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onboarding answers" sheetId="1" r:id="rId5"/>
    <sheet state="visible" name="Audit Overview" sheetId="2" r:id="rId6"/>
    <sheet state="visible" name="Brand Narrative" sheetId="3" r:id="rId7"/>
    <sheet state="visible" name="Socials" sheetId="4" r:id="rId8"/>
    <sheet state="visible" name="Directories" sheetId="5" r:id="rId9"/>
    <sheet state="visible" name="Competitor Content" sheetId="6" r:id="rId10"/>
    <sheet state="visible" name="Ahrefs" sheetId="7" r:id="rId11"/>
    <sheet state="visible" name="External Authority" sheetId="8" r:id="rId12"/>
    <sheet state="visible" name="External Authority - URLs" sheetId="9" r:id="rId13"/>
    <sheet state="visible" name="UGC Roundups - Not Mentioned" sheetId="10" r:id="rId14"/>
    <sheet state="visible" name="UGC Roundups - Mentioned" sheetId="11" r:id="rId15"/>
    <sheet state="visible" name="UGC" sheetId="12" r:id="rId16"/>
    <sheet state="visible" name="Brand Visibility - UK" sheetId="13" r:id="rId17"/>
    <sheet state="visible" name="Brand Visibility - US" sheetId="14" r:id="rId18"/>
    <sheet state="visible" name="Brand Visibility - AU" sheetId="15" r:id="rId19"/>
    <sheet state="visible" name="Brand Visibility - UAE" sheetId="16" r:id="rId20"/>
    <sheet state="visible" name="Brand Visibility - DE" sheetId="17" r:id="rId21"/>
    <sheet state="visible" name="Top Sources Overall" sheetId="18" r:id="rId22"/>
    <sheet state="visible" name="Prompt Visibility Score" sheetId="19" r:id="rId23"/>
  </sheets>
  <definedNames>
    <definedName hidden="1" localSheetId="5" name="_xlnm._FilterDatabase">'Competitor Content'!$A$1:$Z$8000</definedName>
    <definedName hidden="1" localSheetId="6" name="_xlnm._FilterDatabase">Ahrefs!$B$1:$J$27</definedName>
    <definedName hidden="1" localSheetId="7" name="_xlnm._FilterDatabase">'External Authority'!$A$1:$J$42</definedName>
    <definedName hidden="1" localSheetId="8" name="_xlnm._FilterDatabase">'External Authority - URLs'!$A$1:$N$4000</definedName>
    <definedName hidden="1" localSheetId="9" name="_xlnm._FilterDatabase">'UGC Roundups - Not Mentioned'!$A$1:$G$4267</definedName>
    <definedName hidden="1" localSheetId="10" name="_xlnm._FilterDatabase">'UGC Roundups - Mentioned'!$A$1:$G$2023</definedName>
    <definedName hidden="1" localSheetId="11" name="_xlnm._FilterDatabase">UGC!$A$1:$Z$2981</definedName>
    <definedName hidden="1" localSheetId="17" name="_xlnm._FilterDatabase">'Top Sources Overall'!$A$1:$AG$2077</definedName>
    <definedName hidden="1" localSheetId="18" name="_xlnm._FilterDatabase">'Prompt Visibility Score'!$A$1:$M$994</definedName>
  </definedNames>
  <calcPr/>
</workbook>
</file>

<file path=xl/sharedStrings.xml><?xml version="1.0" encoding="utf-8"?>
<sst xmlns="http://schemas.openxmlformats.org/spreadsheetml/2006/main" count="24823" uniqueCount="10578">
  <si>
    <t>AI</t>
  </si>
  <si>
    <t>Platform</t>
  </si>
  <si>
    <t>Profile</t>
  </si>
  <si>
    <t>Profile Description</t>
  </si>
  <si>
    <t>Description/output</t>
  </si>
  <si>
    <t>Engagement metrics</t>
  </si>
  <si>
    <t>Content Types Published on Profile and Frequency of Posting (x p/m by looking at the last 6 - 12 months)</t>
  </si>
  <si>
    <t>Reviews (number of reviews &amp; rating/score)</t>
  </si>
  <si>
    <t>If the AI fails with default, use search / research function
With Search / Research</t>
  </si>
  <si>
    <t>Additional notes</t>
  </si>
  <si>
    <t>Comment + Action</t>
  </si>
  <si>
    <t>Email Address</t>
  </si>
  <si>
    <t>Use the prompt " Tell me everything you know about Pineapple" using an anymous account if possible. Log the summarised result.</t>
  </si>
  <si>
    <t>AI Brand Visibility Audit</t>
  </si>
  <si>
    <t>Your Name</t>
  </si>
  <si>
    <t>Email</t>
  </si>
  <si>
    <t>Key person to contact for questions</t>
  </si>
  <si>
    <t>Business Name</t>
  </si>
  <si>
    <t>Website URL</t>
  </si>
  <si>
    <t>Phone Number (s)</t>
  </si>
  <si>
    <t>Business Address</t>
  </si>
  <si>
    <t>Social Media Handles</t>
  </si>
  <si>
    <t>Key LLMs to focus on</t>
  </si>
  <si>
    <t>Competitors</t>
  </si>
  <si>
    <t>Key Concepts &amp; Terms  (10 Max)</t>
  </si>
  <si>
    <t>Any key goals?</t>
  </si>
  <si>
    <t>Ideal Description of Business</t>
  </si>
  <si>
    <t>Incubeta</t>
  </si>
  <si>
    <t>Any additional notes</t>
  </si>
  <si>
    <t>Who are your ideal clients?</t>
  </si>
  <si>
    <t>By Woww</t>
  </si>
  <si>
    <t>Conducted by: Felix Norton 
Reviewed By: Stuart Marsden</t>
  </si>
  <si>
    <t>lisa@incubeta.com</t>
  </si>
  <si>
    <t>Lisa Morton</t>
  </si>
  <si>
    <t>Self Description</t>
  </si>
  <si>
    <t>incubeta.com</t>
  </si>
  <si>
    <t>Consideration</t>
  </si>
  <si>
    <t>Pass/Fail</t>
  </si>
  <si>
    <t>Requirements</t>
  </si>
  <si>
    <t>Incubeta is a global marketing and AI-outcomes agency. We seamlessly connect Measurement, Creative, Media, and AI to do one thing: turn marketing spend into profitable business growth. We partner with enterprise leaders across Retail, Travel, Finance, and Tech to eliminate data silos, automate operational efficiency, and drive measurable ROI across the entire customer journey.</t>
  </si>
  <si>
    <t>Notes + Action Steps</t>
  </si>
  <si>
    <t>Implementation Status</t>
  </si>
  <si>
    <t>z</t>
  </si>
  <si>
    <t>n/a</t>
  </si>
  <si>
    <t>Brand</t>
  </si>
  <si>
    <t>Google Business Profile</t>
  </si>
  <si>
    <t>14th Floor, The Bower 207 – 211 Old Street London EC1V 9NR</t>
  </si>
  <si>
    <t>https://share.google/dal3YQhMlVWGFNpuU, https://share.google/bLDkE797Uvs1niRQn, https://share.google/olMYHLOHzc8O8VCXf, https://share.google/w9IwWKlx15JeQvFOI, https://share.google/W1AqgaMl6al5HVBC2, https://share.google/bkT9XnYnSqAZiaCiI, https://share.google/BaR6Hk4dfFDHyrAOz, https://share.google/yhwRlYsCD8ZldLMYl, https://share.google/UlH58x5vibZJWd6Px, https://share.google/pUvKPobjH4y7KTXKf, https://share.google/OroSDyZLMpQ8L9z0z, https://share.google/SSojIowteqf3rXgQ8, https://www.instagram.com/incubetaglobal/, https://www.youtube.com/channel/UCnozDypc7kxyDrAXkpeRGpw, https://x.com/IncubetaGlobal, https://www.linkedin.com/company/incubeta, https://www.facebook.com/IncubetaGlobal/, https://www.tiktok.com/@incubeta</t>
  </si>
  <si>
    <t>https://share.google/dal3YQhMlVWGFNpuU</t>
  </si>
  <si>
    <t>ChatGPT, Claude, Perplexity, Gemini, Google AI Overviews</t>
  </si>
  <si>
    <t>Power Digital
Momentum
PMG
Further Group
MSQ Partners
Huge
Brandtech
Dentsu
Croud
New Engen
Acadia
Tinuiti
Adswerve
Labelium
IDHL
Accenture Song
Deloitte Digital
Brainlabs
Making Science
weDiscover
Bark London</t>
  </si>
  <si>
    <t>ChatGPT</t>
  </si>
  <si>
    <t>best performance marketing agency
best agency for marketing measurement and attribution
best AI marketing agency
best agency for marketing ROI and profitability
best agency for media optimisation and efficiency
best agency for marketing incrementality testing
best agency for creative production at scale
best agency for AI readiness and adoption
best agency for first-party data activation
best GEO and AI search agency</t>
  </si>
  <si>
    <t>Quality leads, Increase brand awareness of Incubeta and our service offering, We want to be able to track our position and sentiment in AI</t>
  </si>
  <si>
    <t>Do you describe yourself the same way across all of your social platforms?
Social: Linkedin, Reddit, X (Formerly Twitter), Medium, Facebook, Youtube, etc</t>
  </si>
  <si>
    <t>The main services and solutions we want to be known for:
Measurement &amp; Data, Creative, Media, AI</t>
  </si>
  <si>
    <t>Needs Improvement</t>
  </si>
  <si>
    <t>Our ideal clients are mid-market to enterprise consumer brands (and the agencies serving them) who want measurable, joined-up digital marketing growth. Specifically:  Sectors: retail/ecommerce, health &amp; beauty, consumer goods/FMCG, financial services, travel/hospitality, tech/software Buyers: senior marketing and commercial leaders — CMOs, marketing/ecommerce directors, heads of performance, data and growth — who own the budget and answer for ROI What they want: better measurement, AI adoption, marketplace/Amazon growth, and integrated channels, data and teams Where: global — UK, Europe, MENA, South Africa, Americas, APAC — with particular strength in the Google ecosystem (GMP &amp; Google Cloud) - consumer brands worldwide, led by senior marketers, who want sustainable growth from joined-up marketing.</t>
  </si>
  <si>
    <t xml:space="preserve">"Incubeta è un team di oltre 800 professionisti, pensatori, creatori e marketing manager che lavorano in 22 uffici, a livello globale, per aiutare i clienti come Google, Hyundai, Netflix, HBO e L'Oréal nella continua crescita del loro business. Incubeta racchiude un team di esperti digitali in tutti gli ambiti delle discipline digitali, per garantire risultati di rilievo in ogni singolo touchpoint del brand, dalla brand awareness alla consideration. Il gruppo Incubeta è cresciuto di 20 volte negli ultimi 7 anni, offrendo fantastiche opportunità di crescita per il proprio team e aiutando il suo crescente numero di clienti ad evolvere in un complesso ambiente digitale."
</t>
  </si>
  <si>
    <t>Editing/Proofreading</t>
  </si>
  <si>
    <t>No posts</t>
  </si>
  <si>
    <t>5 stars
1 Review</t>
  </si>
  <si>
    <t xml:space="preserve">[Incubeta](https://incubeta.com/about-us/?utm_source=chatgpt.com) is a privately held global digital marketing agency that helps brands grow through a combination of media, creative, data, analytics, AI, and marketing technology. The company positions itself as an integrated growth partner rather than a traditional advertising agency, emphasizing what it calls a "Seamless Approach" that connects strategy, media, creative, data, and technology into unified marketing programs. ([Incubeta][1])
## Company snapshot
* **Founded:** 2001
* **Industry:** Digital marketing / Advertising services
* **Headquarters:** London, United Kingdom
* **Ownership:** Privately held
* **Employees:** Approximately 500–1,000 (public LinkedIn estimate)
* **Global footprint:** Offices across Europe, North America, Latin America, Africa, the Middle East, and Asia-Pacific. ([LinkedIn][2])
## What Incubeta does
Its services span the full digital marketing stack, including:
* Paid search (Google Ads, Microsoft Ads)
* Paid social advertising
* Programmatic media buying
* Retail media and marketplaces
* SEO
* Creative production
* Analytics and measurement
* Marketing data engineering
* Customer experience optimization
* Conversion rate optimization (CRO)
* AI-enabled marketing solutions
* Marketing cloud implementation
* Marketing strategy and consulting ([Incubeta][1])
Their positioning has evolved from being primarily a performance marketing agency into a broader AI-powered marketing consultancy.
## Core philosophy
Incubeta promotes four interconnected capabilities:
* **Creative**
* **Media**
* **Data**
* **Technology**
Rather than treating these as separate departments, the company argues they should work together continuously to improve business outcomes. They refer to this integration as their **"Seamless Approach."** ([Incubeta][1])
## Major technology partnerships
Incubeta has historically been closely associated with the Google ecosystem and is known for expertise in:
* Google Ads
* Google Marketing Platform (GMP)
* Google Cloud
* Google Analytics
* Campaign Manager
* Display &amp; Video 360
* Search Ads 360
The company describes itself as one of Google's major global marketing partners and builds many client solutions around Google's advertising and analytics products. ([gmp.incubeta.com][3])
## Industries served
Incubeta works across numerous sectors, including:
* Retail
* eCommerce
* Financial services
* Travel
* Automotive
* Telecommunications
* Consumer packaged goods
* Healthcare
* Education
* B2B SaaS
Its client portfolio includes brands such as:
* L'Oréal
* ING
* Marks &amp; Spencer
* Les Mills
alongside many regional and enterprise clients. ([LinkedIn][2])
## Geographic presence
Incubeta operates in more than 20 locations worldwide, including:
**Europe**
* London
* Manchester
* Belfast
* Berlin
* Munich
* Zurich
* Milan
* Madrid
* Lisbon
* Copenhagen
* The Hague
**Americas**
* New York
* Salt Lake City
* Mexico City
* Santo Domingo
**Middle East &amp; Africa**
* Dubai
* Riyadh
* Cape Town
**Asia-Pacific**
* Singapore
* Kuala Lumpur
* Sydney ([Incubeta][1])
## Growth through acquisitions
One of Incubeta's defining strategies has been acquiring specialist agencies to broaden its capabilities. Notable acquisitions include:
| Year | Acquisition             | Purpose                       |                 |
| ---- | ----------------------- | ----------------------------- | --------------- |
| 2013 | NMPi                    | Performance marketing         |                 |
| 2015 | DQ&amp;A                    | Programmatic media            |                 |
| 2018 | Joystick                | Creative production           |                 |
| 2021 | Groundswell             | eCommerce &amp; CRO               |                 |
| 2021 | Maze-One                | Marketplace marketing         |                 |
| 2021 | Panalysis               | Analytics                     |                 |
| 2022 | Extendo                 | Latin American expansion      |                 |
| 2022 | Bruce Clay MENA         | SEO and Middle East expansion |                 |
| 2024 | Persuasion Technologies | Data science &amp; cloud          |                 |
| 2024 | Shout Bravo             | AI-driven search and content  |                 |
| 2025 | RocketSource            | Human-centered AI marketing   | ([Incubeta][1]) |
This acquisition strategy has transformed Incubeta from a collection of specialist agencies into a global integrated marketing group.
## Ownership
A significant milestone came in **2022**, when the global investment firm The Carlyle Group acquired a majority stake in Incubeta. The investment was intended to accelerate international expansion and strengthen AI, data, and technology capabilities. ([Incubeta][1])
## Leadership
Some of the senior leadership includes:
* Jacques van Niekerk — Group CEO
* Sally Laycock — Group COO
* Mark Kerswell — Group CFO
* Michael Ossendrijver — Chief Growth Officer
* Lindsay Shirley — Chief People Officer
* Alex Langshur — CEO, Americas
* Amy Crowther — President, Americas ([Incubeta][1])
## Current strategic focus
Recent messaging indicates several priorities:
* AI-powered marketing
* First-party data strategies
* Marketing automation
* Measurement and attribution
* LLM/search visibility
* Retail media
* Creative automation
* Data engineering
* Marketing cloud implementation
* Sustainable digital marketing ([Incubeta][1])
## Company values
Incubeta publicly emphasizes four values:
* Earn Trust
* Help Others Succeed
* Dare To Lead
* Exceed Expectations ([Incubeta][4])
## Sustainability
The company says its sustainability efforts focus on:
* Reducing digital carbon emissions
* Promoting sustainable eCommerce
* Responsible business operations
* Community engagement
* Transparent governance ([Incubeta][4])
## Reputation in the market
Incubeta is generally regarded as:
**Strengths**
* Strong expertise in Google marketing technologies
* Advanced analytics and measurement capabilities
* Enterprise-scale paid media management
* International delivery model
* Broad experience with digital transformation
* Increasing investment in AI-driven marketing
**Competitive landscape**
It competes with both large global networks and specialist consultancies, including firms such as:
* Accenture Song
* Dentsu
* Publicis Groupe
* WPP
* Jellyfish
* Dept
* Merkle
## Who typically hires Incubeta
Its clients are generally:
* Mid-market businesses scaling internationally
* Enterprise organizations
* eCommerce brands
* Retailers
* Consumer brands
* Companies modernizing their marketing technology and measurement infrastructure
* Organizations seeking integrated media, creative, analytics, and technology support rather than separate agency relationships
Overall, Incubeta has evolved from a performance marketing agency into a global marketing services company with a strong emphasis on AI, data, and Google's advertising ecosystem. Its strategy combines organic growth with targeted acquisitions to expand capabilities in analytics, creative production, search, cloud, and marketing technology. ([Incubeta][1])
[1]: https://incubeta.com/about-us/?utm_source=chatgpt.com "Say Hello To Incubeta | Incubeta"
[2]: https://www.linkedin.com/company/incubeta?utm_source=chatgpt.com "Incubeta | LinkedIn"
[3]: https://gmp.incubeta.com/?utm_source=chatgpt.com "Incubeta | GMP Growth Lab"
[4]: https://incubeta.com/gb/about-us/?utm_source=chatgpt.com "Say Hello To Incubeta | Incubeta"
</t>
  </si>
  <si>
    <t>Links to:
X
Instagram
YouTube
Missing phone number
Adress is present
Profile is unclaimed</t>
  </si>
  <si>
    <t>n/a
...</t>
  </si>
  <si>
    <t>Across Incubeta’s active social profiles, the core brand idea is broadly consistent: the business is presented as a global marketing agency helping ambitious brands outperform by turning complexity into clarity across creative, media, data and technology.
LinkedIn is the strongest and most active social/entity signal, with 81,496 followers, frequent posting, and a company description that aligns closely with Incubeta’s broader positioning. 
YouTube is also a useful authority asset, with 1.25K subscribers, 190 videos and over 1.25M views, and should be treated as an AI visibility asset because video content can be cited or retrieved in AI-led research journeys. Instagram and X are broadly aligned, although their bios are shorter and less complete than the newer audit self-description.
There are consistency gaps across the wider social and local profile footprint. 
Google Business Profiles use a mix of descriptions, including older wording around 18 or 22 offices, translated regional descriptions, and one very short “AI &amp; Marketing Outcomes Agency” description. Several GBP listings appear unclaimed, some are missing phone numbers, none appear to publish posts, and service categories are not consistently listed. 
Facebook is lower-value from an engagement perspective and uses older “800 creators, thinkers, makers &amp; doers” messaging, while TikTok exists but has limited public profile metadata and low engagement.
Because social profiles, Google Business Profiles, LinkedIn, YouTube and Instagram can all act as retrievable entity sources for AI systems, these profiles should be treated as AI visibility assets, not just social channels.
Standardise one source-of-truth profile description across LinkedIn, Google Business Profiles, Instagram, X, YouTube, Facebook and TikTok. The description should reinforce Incubeta as a global marketing and AI-outcomes agency connecting Measurement, Creative, Media and AI to turn marketing spend into profitable business growth. Claim and complete all Google Business Profiles, add missing phone numbers and service categories, update older office-count language, refresh lower-activity profiles, and make sure each profile links back to the same primary website and brand narrative.</t>
  </si>
  <si>
    <t>Needs Review</t>
  </si>
  <si>
    <t>Do LLMs recognise and describe your brand?</t>
  </si>
  <si>
    <t>Research &amp; Data Entry</t>
  </si>
  <si>
    <t>https://share.google/bLDkE797Uvs1niRQn</t>
  </si>
  <si>
    <r>
      <rPr>
        <rFont val="Montserrat"/>
        <b/>
        <color theme="1"/>
        <sz val="10.0"/>
      </rPr>
      <t>Recognition</t>
    </r>
    <r>
      <rPr>
        <rFont val="Montserrat"/>
        <color theme="1"/>
        <sz val="10.0"/>
      </rPr>
      <t xml:space="preserve">
LLMs do generally recognise Incubeta as a global digital marketing, performance marketing and marketing technology agency. Across outputs, the brand is usually understood as an agency that helps enterprise and ambitious brands grow through media, creative, data, analytics, technology and AI. Several models also connect Incubeta to Google Marketing Platform expertise, global delivery, acquisitions, and clients such as L’Oréal, M&amp;S, ING, Hyundai and Les Mills.
</t>
    </r>
    <r>
      <rPr>
        <rFont val="Montserrat"/>
        <b/>
        <color theme="1"/>
        <sz val="10.0"/>
      </rPr>
      <t xml:space="preserve">Common themes highlighted
</t>
    </r>
    <r>
      <rPr>
        <rFont val="Montserrat"/>
        <color theme="1"/>
        <sz val="10.0"/>
      </rPr>
      <t xml:space="preserve">Across models, Incubeta is commonly described as a global agency focused on measurable marketing growth, digital media, data strategy, creative performance, analytics, AI and marketing technology. ChatGPT, Gemini, Grok, Deepseek and Google AI Mode all pick up the core idea of Incubeta as an integrated marketing partner rather than a narrow channel agency. The strongest alignment appears when models mention the newer positioning around Outperform Marketing, Seamless Technology, OutMeasure, OutSmart, OutCreate, AI-driven marketing outcomes and turning marketing activity into profitable business growth.
</t>
    </r>
    <r>
      <rPr>
        <rFont val="Montserrat"/>
        <b/>
        <color theme="1"/>
        <sz val="10.0"/>
      </rPr>
      <t xml:space="preserve">Inconsistencies and improvement areas
</t>
    </r>
    <r>
      <rPr>
        <rFont val="Montserrat"/>
        <color theme="1"/>
        <sz val="10.0"/>
      </rPr>
      <t>There are still meaningful inconsistencies in the details. Models vary on founding date, headquarters, office count, employee count, leadership, acquisition history and client lists. Some outputs lean on older positioning such as “global digital marketing agency” or “Google partner” without fully reflecting the newer “global marketing and AI-outcomes agency” narrative. A few outputs also include potentially outdated or conflicting details, such as older leadership references, headquarters split between London/Cape Town, or office counts ranging from 18 to 22+.
Overall, recognition exists and the main category signals are being picked up, but the narrative is not yet fully consistent. Incubeta is recognised as a credible global marketing agency with strong Google, data, media and AI associations, but LLMs need clearer source-of-truth reinforcement around the current positioning: Measurement, Creative, Media and AI connected to turn marketing spend into profitable business growth.</t>
    </r>
  </si>
  <si>
    <t xml:space="preserve">"Incubeta is a global marketing agency empowering ambitious brands to outperform. With 18 offices worldwide and over 20 years of experience, we partner with leading brands to transform complexity into clarity with creative, media, data, and tech. We deliver sustainable growth with transformative strategies and award-winning execution."
</t>
  </si>
  <si>
    <t>Here’s a deep, well-rounded tour of **pineapple**—from biology and history to chemistry, culture, and odd facts 🍍
---
## 1. What a pineapple is (botanically)
* **Scientific name:** *Ananas comosus*
* **Family:** Bromeliaceae (same family as air plants and Spanish moss)
* **Type of fruit:** **Multiple fruit** (or collective fruit)
  → Each “eye” on the surface comes from a separate flower that fused together.
* **Not a tree fruit:** Pineapples grow on a **short, ground-level plant**, not a tree.
* **Not a berry** (despite common confusion).
---
## 2. How pineapples grow
* A pineapple plant:
  * Grows spiky leaves in a rosette
  * Takes **18–24 months** to produce one fruit
  * Produces **one pineapple per plant** (sometimes a second, smaller “ratoon” fruit)
* The fruit grows from the center on a thick stalk.
* After fruiting, the main plant slowly dies—but produces **offshoots (suckers)** that become new plants.
**Fun fact:** You can grow a pineapple by planting the leafy crown of a store-bought fruit.
---
## 3. Where pineapples come from
* **Native to:** South America (Paraguay–Brazil region)
* Domesticated by Indigenous peoples long before Europeans arrived.
* Spread across the tropics by Indigenous trade routes.
### Global spread
* Christopher Columbus encountered pineapple in 1493.
* Europeans loved it but struggled to grow it outside the tropics.
* Became a **luxury symbol** in Europe and colonial America.
---
## 4. Pineapple as a status symbol 🍍
In the 1600s–1700s:
* Pineapples were **extremely rare and expensive** in Europe.
* They symbolized:
  * Wealth
  * Hospitality
  * Power
* People would **rent pineapples** to display at parties.
* Pineapple imagery appeared in:
  * Architecture
  * Furniture
  * Gateposts
  * Tableware
That’s why pineapples still symbolize **welcome and hospitality** today.
---
## 5. Taste &amp; chemistry (why pineapple burns your mouth)
Pineapples are:
* Sweet
* Acidic
* Slightly painful if eaten raw in large amounts
### The culprit: **Bromelain**
* A group of **proteolytic enzymes**
* Breaks down proteins—including the proteins in your mouth 😬
* Causes tingling, burning, or soreness
**Why cooking helps:**
* Heat denatures bromelain
* Cooked pineapple doesn’t burn your mouth
* Also why fresh pineapple prevents gelatin from setting
---
## 6. Nutritional profile
Pineapple is:
* High in **vitamin C**
* Good source of:
  * Manganese
  * Vitamin B6
  * Copper
* Contains antioxidants
* Low in fat
* Mostly water + natural sugars
**Bromelain benefits (studied):**
* Anti-inflammatory effects
* Aids digestion
* Used medically for swelling and wound healing (in purified form)
---
## 7. Culinary uses
### Fresh
* Eaten raw
* Fruit salads
* Smoothies
* Salsas
* Desserts
### Cooked
* Grilled pineapple
* Stir-fries
* Curries
* Roasts
* Cakes (upside-down cake is iconic)
### Fermented
* Tepache (Mexican fermented pineapple drink)
* Pineapple vinegar
* Alcoholic beverages
---
## 8. Pineapple on pizza 🍕 (yes, that debate)
* Known as **Hawaiian pizza**
* Invented in **Canada**, not Hawaii
* Combines:
  * Sweet pineapple
  * Savory ham
  * Salty cheese
* Polarizing because it challenges traditional savory expectations
No biological, moral, or legal consensus exists 😄
---
## 9. Pineapple varieties
There are many cultivars, including:
* **Smooth Cayenne** – most common commercially
* **Queen** – smaller, very sweet
* **Red Spanish** – firmer, more acidic
* **MD-2** – very sweet, low acid, modern supermarket standard
Color doesn’t always indicate ripeness; smell and softness matter more.
---
## 10. Ripeness &amp; storage
### Ripeness clues
* Sweet smell at the base
* Slight softness
* Leaves pull out easily
* Color alone is unreliable
### Storage
* Whole: room temperature (short term) or refrigerated
* Cut: airtight container in fridge
* Freezes well (texture softens)
---
## 11. Cultural symbolism
* Hospitality &amp; welcome
* Warmth
* Celebration
* Tropical luxury
Appears in:
* Architecture
* Fashion
* Emojis 🍍
* Décor
* Tourism branding
---
## 12. Weird &amp; lesser-known facts
* Pineapple is **self-sterile**; most commercial pineapples have no seeds.
* In nature, birds can pollinate them—but farmers often prevent this.
* Pineapple leaves contain **strong fibers** used for textiles (piña cloth).
* The fruit is technically a **sorosis** (botanical term for fused fruit).
* Overeating pineapple can cause temporary mouth ulcers due to enzyme + acid combo.
---
## 13. Is pineapple a fruit or a berry?
* **Fruit:** Yes
* **Berry:** No
* **Multiple fruit:** Yes
  Botany is cruel.
---
If you want, I can:
* Explain pineapple from a **chemistry**, **evolution**, or **agricultural** angle
* Compare pineapple to similar fruits
* Tell you how to **grow one step by step**
* Or go deeper into **why people love or hate it**
Just say the word 🍍</t>
  </si>
  <si>
    <t>Recognition
LLMs do generally recognise CyberPro Consulting as a South African IT consulting and technology services company, with recurring references to software development, cloud adoption, data engineering, digital transformation, and staff augmentation. The brand is usually understood as an enterprise-focused technology delivery partner rather than a consumer-facing cybersecurity provider, which shows that the main category signals are being picked up.
Common themes highlighted
Across models, CyberPro is commonly described as a South African IT services or professional services firm with a long operating history, a team of 500+ consultants, and capabilities spanning software engineering, cloud, data, AI, integration, DevOps, project delivery, and related consulting services. References to AWS, Microsoft Azure, financial services, retail, and enterprise delivery also appear repeatedly, suggesting these signals are reasonably well-ingested.
Inconsistencies and conflation
There is still meaningful confusion caused by similarly named entities, particularly U.S.-based businesses using the CyberPro / CyberPro Consulting name for cybersecurity consulting and related services. Some models correctly identify the South African company as the main entity, but others split the answer across multiple unrelated firms, which weakens standalone recognition. This means recognition exists, but it is not yet strong enough to make CyberPro Consulting the automatic, unambiguous answer for its priority category.</t>
  </si>
  <si>
    <t>No rating, no reviews</t>
  </si>
  <si>
    <t>Phone number is present
Address is present
Links to: 
X (Twitter), LinkedIn, Instagram, and YouTube. 
No services listed or service categories
No posts published on the profile
Profile is unclaimed claimed</t>
  </si>
  <si>
    <t>Do LLMs describe you the way you want to be seen?</t>
  </si>
  <si>
    <r>
      <rPr>
        <rFont val="Montserrat"/>
        <b/>
        <color theme="1"/>
        <sz val="10.0"/>
      </rPr>
      <t xml:space="preserve">Desired positioning
</t>
    </r>
    <r>
      <rPr>
        <rFont val="Montserrat"/>
        <color theme="1"/>
        <sz val="10.0"/>
      </rPr>
      <t xml:space="preserve">Incubeta’s self-description positions it as a global marketing and AI-outcomes agency that connects Measurement, Creative, Media and AI to turn marketing spend into profitable business growth. The preferred narrative is not just that Incubeta is a digital marketing agency, but that it helps enterprise leaders across Retail, Travel, Finance and Tech eliminate data silos, automate operational efficiency and drive measurable ROI across the full customer journey.
</t>
    </r>
    <r>
      <rPr>
        <rFont val="Montserrat"/>
        <b/>
        <color theme="1"/>
        <sz val="10.0"/>
      </rPr>
      <t xml:space="preserve">How LLMs currently describe the brand
</t>
    </r>
    <r>
      <rPr>
        <rFont val="Montserrat"/>
        <color theme="1"/>
        <sz val="10.0"/>
      </rPr>
      <t xml:space="preserve">When LLMs describe Incubeta, they generally align with the broad category. Models commonly identify it as a global digital marketing, performance marketing or marketing technology agency with strengths in media, creative, data, analytics, AI and Google Marketing Platform expertise. Several outputs also mention its global footprint, acquisition-led growth, major clients, and newer themes such as Outperform Marketing, Seamless Technology, OutMeasure, OutSmart, OutCreate, CPI and OutperformBI.
</t>
    </r>
    <r>
      <rPr>
        <rFont val="Montserrat"/>
        <b/>
        <color theme="1"/>
        <sz val="10.0"/>
      </rPr>
      <t xml:space="preserve">Gap between current and ideal description
</t>
    </r>
    <r>
      <rPr>
        <rFont val="Montserrat"/>
        <color theme="1"/>
        <sz val="10.0"/>
      </rPr>
      <t>The main issue is consistency and precision. LLMs understand the general agency category, but they do not always lead with the newer AI-outcomes positioning or the specific Measurement, Creative, Media and AI framework. Some outputs still frame Incubeta mainly as a Google partner, performance marketing agency, or digital advertising group, while others include conflicting details around founding date, headquarters, office count, employee count, leadership and acquisitions.
Strengthen the gap between broad recognition and preferred positioning by reinforcing one source-of-truth narrative across the website, llms.txt, social profiles, Google Business Profiles, structured data, leadership bios, case studies and third-party profiles. The repeated description should clearly frame Incubeta as a global marketing and AI-outcomes agency connecting Measurement, Creative, Media and AI to turn marketing spend into profitable business growth.</t>
    </r>
  </si>
  <si>
    <t>https://share.google/olMYHLOHzc8O8VCXf</t>
  </si>
  <si>
    <r>
      <rPr>
        <rFont val="Montserrat"/>
        <color theme="1"/>
        <sz val="11.0"/>
      </rPr>
      <t xml:space="preserve">Are you listed in the correct categories with products or services accurately described on all business listing sites?
</t>
    </r>
    <r>
      <rPr>
        <rFont val="Montserrat"/>
        <b/>
        <color theme="1"/>
        <sz val="11.0"/>
      </rPr>
      <t xml:space="preserve">Business Directories: </t>
    </r>
    <r>
      <rPr>
        <rFont val="Montserrat"/>
        <color theme="1"/>
        <sz val="11.0"/>
      </rPr>
      <t xml:space="preserve">G2, Capterra, TrustRadius, Google My Business, Clutch, etc </t>
    </r>
  </si>
  <si>
    <r>
      <rPr>
        <rFont val="Montserrat"/>
        <b/>
        <color rgb="FF000000"/>
        <sz val="10.0"/>
      </rPr>
      <t xml:space="preserve">Directory coverage
</t>
    </r>
    <r>
      <rPr>
        <rFont val="Montserrat"/>
        <color rgb="FF000000"/>
        <sz val="10.0"/>
      </rPr>
      <t xml:space="preserve">Incubeta does have a useful directory, employer-review and business-profile footprint, but it is not yet complete or consistently optimised across all relevant authority surfaces.
Existing profiles include Google Business Profiles, LinkedIn, Facebook, Indeed, Glassdoor, Clutch, The Org, Sortlist and Crunchbase. These help validate Incubeta as a real global marketing agency with regional offices, employer reputation signals, Google/marketing technology expertise, and third-party business information. LinkedIn is the strongest entity signal, while Glassdoor and Indeed are important employer reputation sources.
</t>
    </r>
    <r>
      <rPr>
        <rFont val="Montserrat"/>
        <b/>
        <color rgb="FF000000"/>
        <sz val="10.0"/>
      </rPr>
      <t xml:space="preserve">Gaps and accuracy issues
</t>
    </r>
    <r>
      <rPr>
        <rFont val="Montserrat"/>
        <color rgb="FF000000"/>
        <sz val="10.0"/>
      </rPr>
      <t xml:space="preserve">The main issue is consistency and freshness. Several profiles use older descriptions, with office counts ranging from 18 to 22, employee counts ranging from 600 to 800+, and positioning that varies between digital marketing agency, performance marketing group, Google Marketing Platform partner, and AI-outcomes agency. Clutch has no reviews, Trustpilot and DesignRush were not found, and several Google Business Profiles need ownership, category, service, phone number and description checks.
</t>
    </r>
    <r>
      <rPr>
        <rFont val="Montserrat"/>
        <b/>
        <color rgb="FF000000"/>
        <sz val="10.0"/>
      </rPr>
      <t>Recommendation</t>
    </r>
    <r>
      <rPr>
        <rFont val="Montserrat"/>
        <color rgb="FF000000"/>
        <sz val="10.0"/>
      </rPr>
      <t xml:space="preserve">
Standardise and optimise all key listings so they consistently describe Incubeta as a global marketing and AI-outcomes agency connecting Measurement, Creative, Media and AI to turn marketing spend into profitable business growth. Prioritise Google Business Profiles, LinkedIn, Glassdoor, Indeed, Clutch, The Org, Sortlist and Crunchbase. Update descriptions, office counts, employee ranges, leadership details, categories, services, website links, photos and review-generation opportunities where relevant.</t>
    </r>
  </si>
  <si>
    <t>Google AIO</t>
  </si>
  <si>
    <t>4.3 stars, 6 reviews</t>
  </si>
  <si>
    <t>Phone number is present
Address is present
Links to: 
X (Twitter), LinkedIn, Instagram, and YouTube. 
No services listed or service categories
No posts published on the profile
Profile appears to be claimed</t>
  </si>
  <si>
    <r>
      <rPr>
        <rFont val="Montserrat"/>
        <b/>
        <color theme="1"/>
        <sz val="11.0"/>
      </rPr>
      <t xml:space="preserve">Partnerships  + Roundups
</t>
    </r>
    <r>
      <rPr>
        <rFont val="Montserrat"/>
        <color theme="1"/>
        <sz val="11.0"/>
      </rPr>
      <t>Are you included in key industry, topic, or competitor roundups?</t>
    </r>
  </si>
  <si>
    <t>Outreach</t>
  </si>
  <si>
    <t>Incubeta is a global digital marketing and advertising agency that partners with brands to drive scalable, profitable growth through media, data, and creative technology. Operating in over 17 countries, they specialize in unifying marketing data, AI-driven automation, and performance-first creative.Core Competencies &amp; Tech StackIncubeta’s services are organized around three key marketing pillars:OutCreate: Merges media, data, and generative AI to produce high-quality creative assets at scale. 
They utilize AI to dynamically assemble and adapt visual content in real-time to fit platform requirements.
OutSmart: Helps businesses navigate shifting consumer behaviors and rebalance investments by identifying untapped market opportunities and utilizing machine learning for dynamic media planning.
OutMeasure: Goes beyond basic ad tracking to offer Unified Marketing Measurement (UMM), utilizing incrementality testing and analytics to reveal the actual, incremental value of marketing efforts.For a quick visual overview of their Outperform marketing vision and seamless technology approach:2mTomorrow's World Live: Introduction to Outperform MarketingIncubetaYouTube · Jan 23, 2026AI &amp; Analytics Innovation
Incubeta has built bespoke tools to tackle the shift toward Generative and Agentic AI in marketing:OutperformBI: An agentic AI tool that ingests various business and demand-driver data to explain performance changes and turn marketing teams into forecasting "oracles".Creative Performance Index (CPI): An AI solution that helps brands measure the specific, incremental impact of creative assets on bottom-line performance.Google Marketing Platform (GMP): As a major Google partner, they specialize in full-stack licensing, data integration, and forecasting using tools like Search Ads 360.To understand how these new agentic AI products like OutperformBI and CPI deliver clearer, faster insights into marketing performance:30:44Introduction to Incubeta's Seamless TechnologyIncubetaYouTube · Jan 23, 2026
Company History &amp; FootprintFounded in 1995 and headquartered in Cape Town, South Africa, Incubeta has grown significantly, expanding globally through strategic acquisitions (including Net Media Planet, DQ&amp;A, Joystick, and Groundswell). Today, they maintain 18 global offices across the Americas, EMEA, and APAC.Clients &amp; Industry RecognitionIncubeta works with large-scale enterprise and DTC brands to scale visibility and revenue. Notable past successes include driving a 73% increase in revenue for Imperial London Hotels and a 5% increase in ROAS for Marks &amp; Spencer. 
Their overarching goal centers on digital maturity assessment, ensuring brands own their tech infrastructure rather than relying completely on "walled gardens".Would you like to explore specific case studies related to your industry, or are you looking to learn more about how Incubeta's AI and measurement tools could integrate into your marketing stack?
Introduction to Incubeta's Seamless Technology
Jan 23, 2569 BE30:44YouTube·IncubetaOutperform Marketing With Incubeta Marketing SolutionsIncubeta offers AI-powered marketing solutions, including: * **Outperform Marketing** AI-powered solutions for measurable outcomes...IncubetaTomorrow's World LIVE with Incubeta's Global Director of ...Feb 4, 2569 BE — outperform BI is our tool which is is designed to be a highly tailored marketing agent to not only look at the what of performance...1:00YouTube·IncubetaShow all</t>
  </si>
  <si>
    <t>Incubeta is present in 19 cited roundup/listicle sources across the five regional PEEC datasets, mainly in performance marketing, marketing attribution, paid media, Google Analytics and broader marketing-agency roundups.
Current inclusions include Business of Apps, Web Tonic, Bind Media, Gripped, The Growth Syndicate, Influencer Marketing Hub and Cometly.
However, the opportunity is much larger than the current footprint. The UGC Roundups - Not Mentioned tab contains approximately 3,898 cited roundup-style sources where Incubeta is not mentioned. Many are directly aligned with Incubeta's commercial categories, including paid media, performance marketing, marketing analytics, measurement, incrementality, Google Ads, Google Analytics, AI marketing, GEO/AEO and attribution.
Prioritise inclusion in the highest-retrieval, most relevant roundups first, while also creating owned roundup and comparison content so Incubeta has its own retrievable narrative around key agency and measurement topics.</t>
  </si>
  <si>
    <t>n/a
...+</t>
  </si>
  <si>
    <t xml:space="preserve">Pineapple ((Ananas comosus ) isa tropical, multiple fruit from South America, known for its sweet-tart taste and tough, spiky exterior, actually a fusion of many berries from individual flowers, growing as a low shrub with sword-like leaves, rich in Vitamin C and bromelain, used fresh, canned, grilled, and woven into fabrics, and famously symbolizes hospitality, taking 18-24 months to mature, with major producers now including Thailand, Philippines, Costa Rica, and Brazil. 
Origin &amp; Botany
Native: South America (Brazil/Paraguay region).
Family: A bromeliad, the only edible fruit of its kind.
Structure: A "multiple fruit" formed from fused flowers, not a single berry. Each "eye" on the skin comes from a single flower.
Growth: A low shrub; one pineapple per plant, taking 18-24 months to grow.
Name: Named "piña" (pinecone) by Spanish settlers, hence "pineapple" in English; "Ananas" means "excellent fruit" in a Tupi language. 
Cultivation &amp; Production
Major Producers: Thailand, Philippines, Costa Rica, Brazil, China, and US (Hawaii).
Planting: Often propagated from the crown (top leaves) or slips (side shoots) and planted through mulch paper. 
Culinary &amp; Cultural Uses
Flavor: Sweet and tangy.
Uses: Eaten fresh, canned, juiced, grilled (caramelizes sugars), in desserts, savory dishes, and drinks.
Fiber: Leaves yield "piña cloth," a delicate fabric .
Symbolism: A historical symbol of welcome and hospitality. 
Health &amp; Nutrition
Vitamins: Rich in Vitamin C.
Enzyme: Contains bromelain, which aids digestion and reduces inflammation. 
Fun Facts
Ripening: Ripens faster upside down.
World's Largest: A 28kg pineapple was grown in Australia in 2011.
SpongeBob : Lives in one. </t>
  </si>
  <si>
    <t xml:space="preserve">What is your domain authority relevant to your search competitors? 
If it's much lower, try increasing digital pr and earning more links. </t>
  </si>
  <si>
    <t>https://share.google/w9IwWKlx15JeQvFOI</t>
  </si>
  <si>
    <t>Incubeta has a Domain Rating of 67, which is a credible authority level and stronger than many specialist or regional competitors.
However, Incubeta still sits below the largest enterprise networks and high-authority industry sources that AI systems frequently reference, including Accenture, Deloitte, Clutch, WebFX, Dentsu, Tinuiti, Dept, KlientBoost, Ignite Visibility and Power Digital.
The main issue is not domain strength alone. Incubeta has enough authority to compete, but is not yet converting that authority into consistent AI visibility across the UK, US, AU, UAE and DE.
Prioritise authority building that creates retrievable third-party proof: relevant agency rankings, partner directories, marketing analytics and attribution roundups, performance marketing lists, AI/GEO/AEO agency lists and regional agency sources. Pair this with stronger owned source-of-truth pages around Measurement, Creative, Media and AI outcomes.</t>
  </si>
  <si>
    <t xml:space="preserve">"Incubeta es una empresa multinacional que cuenta con más de 800 especialistas en marketing digital trabajando en más de 20 oficinas por todo el mundo. Acompañamos a nuestros clientes (partners), entre los que se encuentran Google, Hyundai, Netflix y HBO, a potenciar su crecimiento. Incubeta cuenta con los mejores recursos humanos y tecnológicos para optimizar el potencial de crecimiento de nuestros clientes y acompañarles en la evolución del panorama digital. El grupo Incubeta ha multiplicado por 20 el crecimiento en los últimos 7 años, ofreciendo oportunidades de desarrollo para nuestros partners y especialistas."
</t>
  </si>
  <si>
    <t>Performance Tracking</t>
  </si>
  <si>
    <t>5 star rating, 2 reviews</t>
  </si>
  <si>
    <t>Phone number is present
Address is present
Links to: 
X (Twitter), Instagram, and YouTube. 
No services listed or service categories
No posts published on the profile
Profile has not been claimed</t>
  </si>
  <si>
    <t>Gemini</t>
  </si>
  <si>
    <t>Incubeta is a prominent, independent global digital marketing agency and consultancy that specializes in connecting media, technology, creative, and data.  Over the last two decades, it has evolved from a group of specialized marketing firms into a single integrated powerhouse, particularly well-known for its deep, high-level relationship with Google.  
1. Core Services &amp; Expertise
Incubeta’s primary proposition is what they call "Outperform Marketing"—unifying fragmented marketing stacks to drive measurable, privacy-compliant, and highly scalable ROI. They operate across four key pillars:  
Media: Comprehensive digital media planning, buying, programmatic advertising, paid search, and social media management.Technology &amp; Data: Specialized consulting in data activation, custom measurement setups, and navigating advanced attribution (like Marketing Mix Modeling and Search Ads 360).  
Creative: Producing highly targeted, dynamic, and data-driven creative assets designed to perform in real-time digital environments.  
AI Integration &amp; Innovation: They heavily emphasize synthetic audiences for market research, predictive performance intelligence, and helping brands audit their readiness for AI-driven search engine environments.  
2. The Google Connection
One of Incubeta's biggest competitive advantages is its status as one of the largest and longest-established Google Marketing Platform (GMP) Sales Partners in the EMEA and APAC regions.  They are a primary reseller and implementation partner for the entire Google enterprise suite, including Display &amp; Video 360 (DV360), Search Ads 360 (SA360), Campaign Manager 360, and Google Analytics 360 (GA4).They guide major brands through complex processes like "in-housing" (helping brands bring their digital marketing operations in-house rather than relying entirely on traditional third-party agencies).  
3. Global Scale with Local Footprint
Despite competing with massive traditional holding companies (like WPP or Publicis), Incubeta positions itself as a more agile, tech-first alternative.Global Network: They operate out of 18+ offices worldwide.  Key Hubs: Their global footprint includes major locations like London (HQ), New York, Berlin, Cape Town, Dubai, Sydney, Mexico City, and Amsterdam.  Staff: The group employs between 600 to 800+ digital specialists, including media buyers, data scientists, engineers, and creative directors.  
4. Notable Clients &amp; Case Studies
They partner with highly ambitious global brands across retail, travel, FMCG, and finance. A few well-known clients and projects include:  L’Oréal: Built a global multi-agency framework to streamline and align marketing activation across 19 different markets.  Marks &amp; Spencer (M&amp;S): Leveraged advanced bidding models in Paid Search to significantly boost Return on Ad Spend (ROAS) while lowering Cost-Per-Click (CPC).  Other brands: Have worked with major names like Hyundai, ING, Les Mills, Zalando, and even Ferrari.  
5. Mergers, Acquisitions, and GrowthIncubeta's massive global footprint is largely the result of strategic acquisitions over the years. Key specialist agencies that have historically merged into or been acquired by Incubeta include:  NetBooster (a massive European independent digital agency)DQ&amp;A (Google specialists and data specialists)NMPi (originally NetMediaPlanet, focusing on high-performance search and media)Joyous Transatlantic (creative specialists)RocketSource and XPON's GMP/GCP business (strategic moves to bolster their human-centered AI capabilities and Google Cloud infrastructure).</t>
  </si>
  <si>
    <t>n/a+</t>
  </si>
  <si>
    <r>
      <rPr>
        <rFont val="Montserrat"/>
        <color theme="1"/>
        <sz val="11.0"/>
      </rPr>
      <t xml:space="preserve">Have you included GenAI tool referrals into your Organic Search Reporting in Google Analytics 4? 
</t>
    </r>
    <r>
      <rPr>
        <rFont val="Montserrat"/>
        <b/>
        <color theme="1"/>
        <sz val="11.0"/>
      </rPr>
      <t xml:space="preserve">Examples: </t>
    </r>
    <r>
      <rPr>
        <rFont val="Montserrat"/>
        <color theme="1"/>
        <sz val="11.0"/>
      </rPr>
      <t xml:space="preserve">ChatGPT, Perplexity, Claude, DeepSeek, Gemini, CoPilot. </t>
    </r>
  </si>
  <si>
    <t>https://share.google/W1AqgaMl6al5HVBC2</t>
  </si>
  <si>
    <t>Development/Coding</t>
  </si>
  <si>
    <r>
      <rPr>
        <rFont val="Montserrat"/>
        <sz val="10.0"/>
      </rPr>
      <t xml:space="preserve">LookerStudio dashboard has been set up here. 
</t>
    </r>
    <r>
      <rPr>
        <rFont val="Montserrat"/>
        <color rgb="FF1155CC"/>
        <sz val="10.0"/>
        <u/>
      </rPr>
      <t xml:space="preserve">https://datastudio.google.com/s/nQTln4_fRxU
</t>
    </r>
    <r>
      <rPr>
        <rFont val="Montserrat"/>
        <sz val="10.0"/>
      </rPr>
      <t>No traffic recorded from LLMs</t>
    </r>
  </si>
  <si>
    <t>The pineapple (Ananas comosus) is much more than just a tropical snack. From being a 17th-century status symbol to its unique way of "eating you back," it is one of the most fascinating plants in the botanical world.1. Botanical OdditiesIt’s a "Multiple Fruit": A pineapple isn't a single fruit. It is a cluster of up to 200 individual flowers that fuse together around a central core. Each "scale" on the outside was once a separate flower.They Don't Grow on Trees: Contrary to popular belief, pineapples grow on low-lying shrubs. The fruit sits atop a central stalk, surrounded by a rosette of spiny, waxy leaves.The Fibonacci Fruit: If you count the spirals of the scales on the skin, they almost always follow the Fibonacci sequence (usually 8 spirals in one direction and 13 in the other).Slow Food: It takes about 18 to 24 months for a single plant to produce one pineapple. Once the fruit is harvested, the parent plant eventually dies, but not before producing "pups" (clones) to start the next generation.2. The "Mouth Sting" ScienceIf your tongue feels tingly or sore after eating pineapple, it’s because of Bromelain.The Protease Enzyme: Bromelain is a group of enzymes that break down proteins. In essence, while you are eating the pineapple, the enzymes are technically starting to break down the proteins in your mouth.Culinary Hack: This makes pineapple an incredible meat tenderizer. However, if you leave meat in pineapple juice for too long, it will eventually turn to mush.Health Fact: Bromelain is also used medicinally to reduce inflammation, swelling, and to aid digestion.3. History &amp; SymbolismIndigenous Roots: Native to South America (the border of Brazil and Paraguay), it was spread throughout the Caribbean by the Tupi-Guarani people long before Europeans arrived.The Ultimate Luxury: When Christopher Columbus brought the fruit back to Europe in 1493, it became a sensation. Because they were nearly impossible to grow in cold climates, a single pineapple could cost the equivalent of $8,000 today.Pineapple Rentals: In 18th-century England, people who couldn't afford to buy a pineapple would rent one for the night to display as a centerpiece at dinner parties to impress their guests.Symbol of Hospitality: This history of "showing off" the fruit led to it becoming the international symbol of hospitality. You’ll still see pineapple motifs carved into bedposts, gate-piers, and door knockers today.4. Key VarietiesVarietyCharacteristicsSmooth CayenneThe most common grocery store variety. High sugar and acid content.QueenSmaller, more yellow, and more fragrant. Often eaten fresh in Australia and South Africa.Red SpanishHardy and fibrous with a reddish skin; great for shipping.Honeyglow/MD2A modern hybrid designed to be extra sweet, low in acid, and gold in color.PinkglowA genetically modified variety with pink flesh that tastes less acidic and sweeter (often sold in "designer" packaging).5. Quick Tips for SelectionThe Sniff Test: Smell the base. It should smell sweet and "pineapply." No smell means it’s underripe; a fermented or vinegary smell means it’s overripe.The Leaf Tug: Many believe pulling a leaf from the center indicates ripeness—if it pops out easily, it’s ready. (Note: This is more of a myth; the scent and color are better indicators!)No Ripening After Harvest: Unlike bananas, pineapples do not get sweeter once they are picked. They might get softer and juicier, but the sugar content stays the same.Would you like me to find a specific recipe for a dish like Pineapple Fried Rice, or perhaps instructions on how to grow your own at home using a store-bought top?</t>
  </si>
  <si>
    <t>5 star rating, 1 reviews</t>
  </si>
  <si>
    <t>Phone number is present
Address is present
Links to: 
X (Twitter), Instagram, and LinkedIn. 
No services listed or service categories
No posts published on the profile
Profile is unclaimed</t>
  </si>
  <si>
    <t>Published</t>
  </si>
  <si>
    <t>Perplexity</t>
  </si>
  <si>
    <t>https://share.google/bkT9XnYnSqAZiaCiI</t>
  </si>
  <si>
    <r>
      <rPr>
        <rFont val="Montserrat"/>
        <sz val="11.0"/>
      </rPr>
      <t xml:space="preserve">Have you set up GenAI brand visibility monitoring tools to see how your company shows up to users?
</t>
    </r>
    <r>
      <rPr>
        <rFont val="Montserrat"/>
        <b/>
        <sz val="11.0"/>
      </rPr>
      <t xml:space="preserve">Examples: </t>
    </r>
    <r>
      <rPr>
        <rFont val="Montserrat"/>
        <color rgb="FF1155CC"/>
        <sz val="11.0"/>
        <u/>
      </rPr>
      <t>Scrunch</t>
    </r>
    <r>
      <rPr>
        <rFont val="Montserrat"/>
        <sz val="11.0"/>
      </rPr>
      <t xml:space="preserve">, </t>
    </r>
    <r>
      <rPr>
        <rFont val="Montserrat"/>
        <color rgb="FF1155CC"/>
        <sz val="11.0"/>
        <u/>
      </rPr>
      <t>Peec</t>
    </r>
    <r>
      <rPr>
        <rFont val="Montserrat"/>
        <sz val="11.0"/>
      </rPr>
      <t xml:space="preserve">, </t>
    </r>
    <r>
      <rPr>
        <rFont val="Montserrat"/>
        <color rgb="FF1155CC"/>
        <sz val="11.0"/>
        <u/>
      </rPr>
      <t>Profound</t>
    </r>
    <r>
      <rPr>
        <rFont val="Montserrat"/>
        <sz val="11.0"/>
      </rPr>
      <t xml:space="preserve">, </t>
    </r>
    <r>
      <rPr>
        <rFont val="Montserrat"/>
        <color rgb="FF1155CC"/>
        <sz val="11.0"/>
        <u/>
      </rPr>
      <t>Otterly</t>
    </r>
    <r>
      <rPr>
        <rFont val="Montserrat"/>
        <sz val="11.0"/>
      </rPr>
      <t xml:space="preserve">. </t>
    </r>
  </si>
  <si>
    <t>Incubeta is a global marketing agency focused on helping brands improve growth through media, creative, data, technology, and measurement services. It appears to be headquartered in London, operates internationally, and has been in business for over 20 years. [linkedin](https://www.linkedin.com/company/incubeta)
## What it does
Incubeta describes itself as an agency that helps ambitious brands “outperform” by combining strategic insight with execution across digital marketing disciplines. Its service areas include marketing intelligence, digital media, marketing technology, creative, digital experiences, and commerce. [incubeta](https://incubeta.com/about-us/)
## Platform and products
The company’s current marketing framework is branded around “Outperform Marketing,” with offerings such as OutMeasure, OutSmart, and OutCreate. It also promotes “Seamless Technology” and related tools like Seamless Search, Seamless Strategy, Seamless Audience, Seamless Measurement, Seamless Creative, and more. [incubeta](https://incubeta.com/solutions/)
## Company facts
Public company information shows Incubeta UK Limited as an active private limited company incorporated on 23 July 2004, with a registered office in London and a listed SIC code for advertising agencies. Public-facing descriptions also say the company has about 18 offices worldwide and works with brands such as L’Oréal, ING, M&amp;S, Les Mills, and Hyundai. [linkedin](https://www.linkedin.com/company/incubeta)
## Recent developments
In early 2026, Incubeta announced new agentic AI products, including Creative Performance Index (CPI) and OutperformBI, aimed at helping brands improve marketing performance and analytics. Its site also emphasizes AI-driven measurement, creative scaling, and data agents as part of its current offering. [incubeta](https://incubeta.com/solutions/)
## If you meant something else
If “Incuebta” was a misspelling, the most likely match is Incubeta. If you want, I can also give you:
- a plain-English company overview,
- a list of services,
- its leadership and locations,
- or a short history/timeline.</t>
  </si>
  <si>
    <t>Strategy Discussion</t>
  </si>
  <si>
    <t>4 star rating, 4 reviews</t>
  </si>
  <si>
    <r>
      <rPr>
        <rFont val="Montserrat"/>
        <sz val="10.0"/>
      </rPr>
      <t xml:space="preserve">Consider continuing to track efforts using these platforms using </t>
    </r>
    <r>
      <rPr>
        <rFont val="Montserrat"/>
        <color rgb="FF1155CC"/>
        <sz val="10.0"/>
        <u/>
      </rPr>
      <t>PEEC.ai</t>
    </r>
    <r>
      <rPr>
        <rFont val="Montserrat"/>
        <sz val="10.0"/>
      </rPr>
      <t xml:space="preserve"> or </t>
    </r>
    <r>
      <rPr>
        <rFont val="Montserrat"/>
        <color rgb="FF1155CC"/>
        <sz val="10.0"/>
        <u/>
      </rPr>
      <t>brandaxis.ai</t>
    </r>
  </si>
  <si>
    <t xml:space="preserve">Pineapple is a tropical fruit from the Bromeliaceae family, known for its sweet-tart flavor and spiky exterior. The plant, Ananas comosus, produces a single fruit per stalk after about 18-20 months of growth.
​
Botanical Traits
Pineapple plants feature 30-40 stiff, succulent leaves in a rosette around a thick stem. The fruit forms from fused berries on a central core, often in interlocking Fibonacci spirals of 8 and 13.
​
Origin and History
Native to South America, pineapple spread globally after Christopher Columbus encountered it in 1493. Today, major producers include Costa Rica, the Philippines, and Thailand, with Hawaii contributing just 10% of global supply.
​
Nutrition Facts
One cup provides over 100% daily vitamin C, plus manganese, B6, fiber, and bromelain—an enzyme aiding digestion and acting as a meat tenderizer. It supports immunity, reduces inflammation, and may aid post-surgery recovery.
​
Culinary Uses
Enjoy fresh, canned, grilled, or in dishes like piña coladas and upside-down cake. The core holds the most bromelain, while varieties like 'Smooth Cayenne' suit canning.
​
</t>
  </si>
  <si>
    <t>Accessibility</t>
  </si>
  <si>
    <t>https://share.google/BaR6Hk4dfFDHyrAOz</t>
  </si>
  <si>
    <t>Claude</t>
  </si>
  <si>
    <t>4.3 star rating, 26 reviews</t>
  </si>
  <si>
    <t>Heavy reliance on javascript? 
(GenAI crawlers might spend less time per page and visit web pages less often than traditional crawlers like Googlebot</t>
  </si>
  <si>
    <t>Here's what I found on Incubeta:
**Overview**
Incubeta is a global digital marketing and advertising performance agency, founded in 2001 (some sources say 2004) and headquartered in London, UK. It's a team of over 800 creators, thinkers, makers and doers working across 20 offices globally to unlock business growth for clients including Google, Hyundai, Netflix, HBO and L'Oréal.
**What they do**
Incubeta helps brands harness marketing as a driver of sustainable growth, combining global reach with local expertise. The company specializes in media strategy, ad tech infrastructure, and creative services, with particular strength as the largest and longest-established Google Marketing Platform (GMP) sales partner in EMEA. Their services span Creative, Technology, Media, Ecommerce and Data, and they offer a proprietary, fully integrated ad-tech platform focused on helping clients own their media and serve customers in a privacy-compliant way.
**Growth &amp; ownership**
The company has grown substantially through acquisitions: the Incubeta group grew 20-fold over the past 7 years (as of a few years ago). In late 2022, global investment firm Carlyle announced it would acquire a majority stake in Incubeta through its Carlyle Europe Technology Partners platform, with the deal intended to accelerate Incubeta's international growth, technology investment, and M&amp;A-led market consolidation, under CEO Lars Lehne.
**Recent developments (2026)**
- Incubeta appointed Amy Crowther as President, Americas, positioning her to become Americas CEO in 2026.
- The company recently named Adam Woods as Chief Product Officer, tasked with unifying its product strategy globally around AI-driven tools, including agentic products called **CPI** and **OutperformBI**.
- It launched a "Marketing Outlook 2026" guide anticipating shifts shaping the industry, and has been pushing an AI-powered marketing vision it calls a "Seamless Approach" or "Seamless Technology" platform.
**Scale/financials** (estimates vary by source, so treat these loosely — private company data is often approximate):
- Employees: roughly 500–1,000 (most sources cluster around 800)
- Revenue estimates range widely depending on source — some put it around $100–300M, though a couple of data-aggregator sites showed outlier figures that seem unreliable
- Offices: 18–22+ locations across Europe, Africa, North America, and beyond
Worth noting: some of the company-data aggregator sites (LeadIQ, ZoomInfo, etc.) had inconsistent or clearly erroneous figures (e.g., one listed HQ in Malawi and a $12B revenue estimate, which doesn't match other sources), so I'd treat exact financial figures with caution and verify against Incubeta's own site or Carlyle's disclosures if precision matters for your purposes.
Want me to dig into anything specific — like their leadership team, a particular market/office, or the Carlyle deal terms?</t>
  </si>
  <si>
    <t>n/a
...*</t>
  </si>
  <si>
    <t>No strong evidence of heavy JavaScript reliance from the performance data provided.
GTmetrix shows fast rendering and interactivity: FCP 640ms, LCP 640ms, TTI 1.1s, and only a slightly elevated TBT of 171ms. 
PageSpeed desktop lab data is also strong, with Performance 99, FCP 0.4s, LCP 0.6s, and TBT 100ms. This suggests JavaScript is not a major crawlability or rendering bottleneck.
However, mobile field data fails Core Web Vitals due to very high TTFB/FCP/LCP around 5.3-5.4s, which points more toward mobile delivery, caching, CDN, or server response inconsistency than heavy JavaScript execution. Recommend checking whether key page content is present in raw HTML and accessible without client-side rendering.</t>
  </si>
  <si>
    <t>Have you Submitted Sitemaps for Search Console + Bing Webmaster Tools</t>
  </si>
  <si>
    <t>Pineapples are fascinating tropical fruits with a rich history and many interesting characteristics. Let me share what I know about them:
**Botanical Background**
The pineapple (Ananas comosus) is actually a composite fruit made up of many individual berries that fuse together around a central core. It's a member of the Bromeliaceae family and is one of the few edible bromeliads. Despite the name, pineapples aren't related to pine trees or apples—they got their English name because early European explorers thought they resembled pine cones.
**Origins and History**
Pineapples are native to South America, particularly the region between southern Brazil and Paraguay. Indigenous peoples had been cultivating them for centuries before European contact. Christopher Columbus encountered pineapples in Guadeloupe in 1493 during his second voyage. The fruit quickly spread to other tropical regions through European colonization, reaching Hawaii in the 1800s, which later became a major commercial producer.
**How They Grow**
Pineapples grow from a plant that's surprisingly drought-resistant. The plant produces a flowering stalk that develops into the fruit over about six months. Interestingly, each plant typically produces only one or two fruits before needing to be replaced. You can actually grow a new pineapple plant from the crown (the leafy top), though it takes 18-24 months to produce fruit.
**Nutrition and Compounds**
Pineapples are rich in vitamin C, manganese, and dietary fiber. They contain bromelain, a mixture of enzymes that breaks down proteins. This is why pineapple can tenderize meat and why eating a lot of fresh pineapple can make your mouth tingle—the bromelain is literally breaking down proteins in your mouth. This enzyme also prevents gelatin from setting, which is why you can't use fresh pineapple in Jell-O (canned pineapple works because the heating process deactivates the enzyme).
**Culinary Uses**
Beyond being eaten fresh, pineapples are used in countless dishes worldwide. They're popular in sweet and savory applications—from Hawaiian pizza (a controversial topic!) to Caribbean and Asian cuisines where they're used in stir-fries, curries, and salsas. Pineapple juice is popular on its own and in cocktails like piña coladas. The fruit caramelizes beautifully when grilled or roasted.
**Commercial Production**
The top pineapple-producing countries include Costa Rica, the Philippines, Brazil, Thailand, and Indonesia. Hawaii was once the world's largest producer but now focuses on a smaller, premium market, particularly the extra-sweet "Hilo" varieties.
**Cultural Significance**
Pineapples have been symbols of hospitality and welcome, particularly in colonial America where they were rare and expensive. You'll often see pineapple motifs in architecture, on gates, and in decorative arts. In the 17th and 18th centuries, pineapples were so valuable in Europe that wealthy people would rent them for display at parties!
**Varieties**
There are several varieties including Smooth Cayenne (most common commercially), Queen, Abacaxi, and Red Spanish. Each has slightly different flavors, acidity levels, and sweetness.
Is there any particular aspect of pineapples you'd like to know more about?</t>
  </si>
  <si>
    <t>https://share.google/yhwRlYsCD8ZldLMYl</t>
  </si>
  <si>
    <t xml:space="preserve">"AI &amp; Marketing Outcomes Agency"
</t>
  </si>
  <si>
    <t>GSC already set up
Bingwebmaster tools was already set up, and the sitemap has been submitted.</t>
  </si>
  <si>
    <t>5 star rating, 4 reviews</t>
  </si>
  <si>
    <t>Phone number is present
Address is present
Links to: 
LinkedIn, no other social medias linked
No services listed or service categories
No posts published on the profile
Profile is unclaimed</t>
  </si>
  <si>
    <t>Have you created an llms.txt to give more granular controls over how your content is used?</t>
  </si>
  <si>
    <t>Grok</t>
  </si>
  <si>
    <r>
      <rPr>
        <rFont val="Montserrat"/>
        <color rgb="FF1155CC"/>
        <sz val="10.0"/>
        <u/>
      </rPr>
      <t xml:space="preserve">https://incubeta.com/llms.txt
</t>
    </r>
    <r>
      <rPr>
        <rFont val="Montserrat"/>
        <sz val="10.0"/>
      </rPr>
      <t>Finding: llms.txt exists and provides a useful baseline, with clear improvement opportunities
Evidence: The file was generated by Rank Math and includes a broad sitemap-style list of URLs, two H1 headings, HTML entity noise, and the strongest AI-facing brand summary appears near the bottom rather than at the top.
Impact: LLMs can access useful Incubeta content, but the file could guide AI systems more effectively if it prioritised source-of-truth brand context, core services, market pages, flagship proof points, and research assets.
Recommendation: Improve llms.txt by making it more curated: one H1, a concise blockquote summary, priority service/solution links, key market pages, selected case studies, major research reports, and an Optional section for secondary content. Keep the sitemap for full URL discovery.
Priority: Medium</t>
    </r>
  </si>
  <si>
    <t>https://share.google/UlH58x5vibZJWd6Px</t>
  </si>
  <si>
    <t>**Incubeta** is a global digital marketing agency focused on performance marketing, helping ambitious brands achieve sustainable growth through integrated strategies in creative, media, data, technology, and AI.
### Overview and Services
- **Core Offering**: "Outperform Marketing" — an AI-powered approach that unifies measurement (OutMeasure), strategy/intelligence (OutSmart), and creative (OutCreate), all powered by "Seamless Technology." They emphasize breaking silos, proving ROI, accelerating with AI, and driving profitable growth.
- **Specialties**: Paid search, display, social advertising, SEO, analytics, performance marketing, programmatic, eCommerce, marketplace optimization, data science, AI/ML applications, and digital transformation. They are a long-standing Google partner (GMP/GCP).
- **Clients**: Include L’Oréal, Marks &amp; Spencer (M&amp;S), ING, Hyundai, Les Mills, Imperial London Hotels, and others. Case studies highlight results like revenue increases, ROAS improvements, and efficient scaling.
- **Differentiators**: Focus on measurable business outcomes, AI integration (e.g., for search, content, audiences), and combining global scale with local expertise. They also address emerging areas like LLM readiness and agentic AI.
### History and Growth
- **Founded**: 2001 (some sources note related entities or rebranding around 2011 via reverse acquisition). It started by uniting media, tech, and performance companies into a global digital agency.
- **Key Milestone**: In 2022, The Carlyle Group acquired a majority stake to accelerate international growth, technology investments, and M&amp;A.
- **Leadership Evolution**: Lars Lehne was previously a key CEO figure. Jacques van Niekerk became Global CEO (around 2024), bringing extensive marketing experience. Other leaders include Alex Langshur (CEO Americas), Amy Crowther (President, Americas), and various regional MDs.
- **Growth Strategy**: Heavy reliance on acquisitions to expand capabilities and geography. Notable ones include:
  - 2025: RocketSource (human-centered AI consultancy).
  - 2024: Shout Bravo (search intelligence/AI content), Persuasion Technologies (data/cloud/analytics, APAC boost).
  - Earlier: Bruce Clay MENA (2022), Extendo (LatAm), Panalysis, Maze-One, Groundswell, Joystick, DQ&amp;A, NMPi, etc.
  - Recent (2026): Agreement to acquire Datisan (XPON’s GMP/GCP business) for stronger Google capabilities in APAC.
This M&amp;A approach has built depth in SEO, eCommerce, analytics, creative production, and AI.
### Scale and Presence
- **Offices**: Around 18–20 offices worldwide across Americas, UK, Europe (West/Central/Southern), Latin America (e.g., Mexico), Africa &amp; Middle East, and Asia Pacific (e.g., Australia, Malaysia).
- **Team**: Approximately 500–1,000+ employees (reports vary from ~500–800+ "creators, thinkers, makers, and doers").
- **Headquarters**: London, UK.
### Culture and Values
Core values include: Earn Trust, Help Others Succeed, Dare To Lead, and Exceed Expectations. They emphasize sustainability (e.g., reducing digital carbon impact), diversity, innovation, and people development.
### Recent Activity and Focus
- Strong emphasis on AI: From efficiency to strategic growth, synthetic audiences, LLM/answer engine optimization (AEO/GEO), and agentic commerce.
- Partnerships: Deep Google ties and other tech alliances.
- Content/Thought Leadership: Podcasts like "The Digital Edge," insights on Cannes, Google Marketing Live, and industry trends.
- Careers: Actively hiring in areas like software engineering, sales, etc.
Incubeta positions itself as a "next-generation" partner that evolves with (and ahead of) the marketing landscape, moving beyond traditional agency models through tech, data, and acquisitions. For the latest details, visit their official site at [incubeta.com](https://incubeta.com/).
This covers the publicly available information as of my last knowledge update. If you're looking for specifics (e.g., a particular case study, career opportunities, or comparison to competitors), let me know!</t>
  </si>
  <si>
    <t>4.8 star rating, 16 reviews</t>
  </si>
  <si>
    <t>Does your CDN allow AI crawling. eg: Cloudflare has started blocking AI crawlers. You must disable this setting.</t>
  </si>
  <si>
    <t>Phone number is present
Address is present
Links to: 
X (Twitter), Instagram, and LinkedIn. 
No services listed or service categories
No posts published on the profile
Profile has been claimed</t>
  </si>
  <si>
    <t>What is a Pineapple?
The pineapple (Ananas comosus) is a tropical herbaceous perennial plant in the Bromeliaceae family, producing one of the world's most popular edible fruits. It's the only bromeliad that bears edible fruit commercially. Botanically, a pineapple isn't a single fruit but a multiple fruit (syncarp) formed from the fusion of up to 200 individual flowers (berries) around a central core. The tough, spiky exterior protects juicy, sweet-tangy flesh inside.
alamy.comistockphoto.comfoodal.comshutterstock.com
Botany and Growth
Pineapple plants grow as low shrubs with a rosette of 30–40 stiff, waxy, sword-like leaves (often spiny) emerging from a thick stem. They use CAM photosynthesis (crassulacean acid metabolism), opening stomata at night to conserve water—ideal for tropical, drought-prone areas.
The plant flowers once in its lifetime, producing a stalk with purple blooms that fuse into the fruit over 5–6 months. It takes 18–24 months from planting for the first fruit, and up to 3 years for full maturity in some cases. Each plant typically produces one main fruit, plus offsets (slips, suckers) for propagation.
gardeningknowhow.commeadowsfarms.com
History and Origin
Native to the Paraná-Paraguay River basin in South America (southern Brazil/northern Paraguay), pineapples were domesticated by indigenous peoples (Tupi-Guarani, Maya, Aztecs) as early as 1200–800 BCE. They spread across the Americas before European contact.
Christopher Columbus encountered them in Guadeloupe in 1493, calling it "piña de Indes" for its pine cone resemblance. Europeans adopted it as a luxury symbol—rare and expensive, often rented for display at parties rather than eaten.
By the 1600s–1700s, greenhouses in Europe (e.g., the famous Dunmore Pineapple in Scotland) made cultivation possible. It became a symbol of hospitality and wealth in architecture and decor.
Varieties
There are five main botanical groups, with many cultivars:
Smooth Cayenne → Most common for canning/export (e.g., former Hawaii staple).
MD-2 (Golden Ripe) → Modern favorite—sweeter, longer shelf life.
Queen (e.g., Natal Queen) → Smaller, spiny.
Red Spanish → Acidic, fibrous.
Abacaxi (Sugarloaf) → Very sweet, white flesh.
itfnet.orgresearchgate.net
Cultivation and Production
Pineapples thrive in tropical/subtropical climates (zones 10–12), needing full sun, well-drained soil, and temperatures 68–86°F (20–30°C). Major producers: Costa Rica, Philippines, Brazil, Thailand, Indonesia. Global production exceeds 25–30 million tonnes annually (third-largest tropical fruit after bananas and citrus/mango).
Nutrition and Health Benefits
Pineapples are low-calorie, nutrient-dense:
High in vitamin C (immune boost), manganese (bone health), dietary fiber.
Contain bromelain → A protein-digesting enzyme with anti-inflammatory, digestive aid, and potential antioxidant properties.
They may help with digestion, reduce inflammation, and provide minor benefits for immunity and bone strength.
Uses
Fresh eating, juicing, canning.
Iconic in dishes like piña colada, Hawaiian pizza, and upside-down cake.
bettycrocker.comEasy Pineapple Upside-Down Cake
Bromelain tenderizes meat.
Leaves yield fiber for textiles.
Waste used in animal feed or biofuels.
Interesting Facts
The fruit's "eyes" arrange in Fibonacci spirals (often 8 and 13).
Fresh pineapple prevents gelatin from setting (bromelain breaks down proteins).
It regenerates easily—twist off the crown and plant it for a new plant.
Pineapples "eat you back" slightly (bromelain tingles the mouth).
Once so rare, Europeans rented them for parties.
Workers handling pineapples long-term may temporarily lose fingerprints due to bromelain.
Name origin: "Pine" from resemblance to pine cones; "ananas" from Tupi "nanas" (excellent fruit).
Pineapples blend fascinating biology, rich history, and delicious versatility!</t>
  </si>
  <si>
    <r>
      <rPr>
        <rFont val="Montserrat"/>
        <color rgb="FF1155CC"/>
        <sz val="10.0"/>
        <u/>
      </rPr>
      <t xml:space="preserve">https://incubeta.com/robots.txt </t>
    </r>
    <r>
      <rPr>
        <rFont val="Montserrat"/>
        <sz val="10.0"/>
      </rPr>
      <t xml:space="preserve">
Robots.txt file is present. Does not state disallowing LLM crawlers.</t>
    </r>
  </si>
  <si>
    <t>https://share.google/pUvKPobjH4y7KTXKf</t>
  </si>
  <si>
    <r>
      <rPr>
        <rFont val="Montserrat"/>
        <sz val="11.0"/>
      </rPr>
      <t xml:space="preserve">Do your webpages load quickly? Particularly on mobile devices?
</t>
    </r>
    <r>
      <rPr>
        <rFont val="Montserrat"/>
        <color rgb="FF1155CC"/>
        <sz val="11.0"/>
        <u/>
      </rPr>
      <t xml:space="preserve">Using PSI tool </t>
    </r>
    <r>
      <rPr>
        <rFont val="Montserrat"/>
        <sz val="11.0"/>
      </rPr>
      <t xml:space="preserve">and Google's </t>
    </r>
    <r>
      <rPr>
        <rFont val="Montserrat"/>
        <color rgb="FF000000"/>
        <sz val="11.0"/>
      </rPr>
      <t>Core Web Vitals</t>
    </r>
    <r>
      <rPr>
        <rFont val="Montserrat"/>
        <sz val="11.0"/>
      </rPr>
      <t xml:space="preserve"> as a benchmark. </t>
    </r>
  </si>
  <si>
    <t>Deepseek</t>
  </si>
  <si>
    <t>none</t>
  </si>
  <si>
    <t>Phone number is missing
Address is present
Links to: 
X (Twitter), Instagram, and LinkedIn. 
No services listed or service categories
No posts published on the profile
Profile is unclaimed</t>
  </si>
  <si>
    <t>Incubeta is a global marketing agency that positions itself at the intersection of creative, media, data, and technology. It aims to help brands use AI-driven marketing for sustainable business growth and has a strong focus on moving beyond simple metrics like ROAS to drive true incremental growth and profitability.
Here is a detailed breakdown of everything you need to know about them.
### 🏢 Company Overview
| Aspect | Details |
| :--- | :--- |
| **What it is** | A global marketing agency focused on AI-driven outcomes . |
| **Founded** | The modern Incubeta was founded in 2001 from a group of marketing companies, though some legacy entities date back to 1995 . |
| **Global Reach** | Operates from 18 offices worldwide, combining global reach with local expertise . |
| **Team Size** | Has approximately 800 employees globally . |
| **Key Investors** | The Carlyle Group acquired a majority stake in 2022 to accelerate its growth . |
| **Core Philosophy** | "Outperform" - helping clients exceed targets and outpace competitors . |
### 🎯 Key Capabilities &amp; Services
Incubeta is built around a "Seamless Approach," which integrates different marketing disciplines to remove barriers to performance . Their main services include:
*   **Digital Media**: This is a core focus area, covering paid search, paid social, programmatic advertising, and organic search. They emphasize using AI to maximize performance on platforms like Google's Performance Max and Meta's Advantage+ .
*   **Marketing Intelligence**: They help clients turn raw data into actionable insights. This goes beyond standard analytics to answer the "why" and "what if" questions, using techniques like Marketing Mix Modeling (MMM) and predictive analytics to understand the true business impact of marketing spend .
*   **Technology &amp; AI Solutions**: Incubeta develops proprietary technology, including **Seamless Shopping** and **Seamless Search**, which help brands maintain control and transparency over AI-driven campaigns, ensuring they align with business priorities rather than just platform algorithms . Their recent acquisition spree has heavily focused on building out their AI capabilities (see below).
*   **Creative &amp; Data Integration**: They work to unify creative and media to close the performance gap, using generative AI to create personalized content at scale . For example, they helped L’Oréal achieve a **46x increase in engagement** through this integrated approach .
### 🔭 Recent Strategy &amp; Key Acquisitions
A major part of Incubeta's recent story is its rapid growth through strategic acquisitions, all focused on building a leading AI-powered marketing agency.
*   **RocketSource (2025)**: This acquisition was a key move to expand their "human-centered AI" capabilities. RocketSource brings behavioral science expertise and proprietary frameworks like **StoryVesting™** to Incubeta, helping to embed AI across marketing operations .
*   **Shout Bravo (2024)**: Added AI-led content strategies and visibility solutions for a new search landscape, including LLMs .
*   **Persuasion Technologies (2024)**: Accelerated data and cloud capabilities to fuel scalable, AI-powered data science and marketing analytics .
These acquisitions are part of a broader strategy to build a cohesive product suite. In early 2026, the company appointed Adam Woods as its first Global Chief Product Officer to oversee this ecosystem .
### 👑 Leadership &amp; Client Roster
**Leadership:** The company is led by Global CEO **Jacques van Niekerk** . Other key figures include **Alex Langshur** (CEO Americas) and key managing directors across different regions .
**Key Clients:** Incubeta works with a range of ambitious, leading global brands, including:
*   L’Oréal 
*   ING 
*   M&amp;S (Marks &amp; Spencer) 
*   Les Mills 
*   Hyundai 
In summary, Incubeta is a fast-growing, private equity-backed agency that is actively building its identity around AI-powered, data-driven marketing solutions. Their story is one of significant recent acquisitions, a focus on proprietary technology, and a commitment to helping brands drive measurable, profitable growth.</t>
  </si>
  <si>
    <t>GTmetrix lab test for https://incubeta.com/ shows strong technical performance: FCP 640ms, TTI 1.1s, Speed Index 647ms, LCP 640ms, CLS 0.02, TTFB 46ms, Fully Loaded 1.1s. Only Total Blocking Time was slightly above the ideal threshold at 171ms.
PageSpeed Insights reports:
Desktop:
No major lab-performance action required. Minor JavaScript/main-thread optimisation could reduce Total Blocking Time from 171ms to below 150ms.
Mobile
PageSpeed Insights / CrUX field data for https://incubeta.com/ shows mobile Core Web Vitals failed over the latest 28-day period: LCP 5.3s, FCP 5.3s, TTFB 5.4s, INP 179ms, CLS 0.01. Desktop field data passed: LCP 1.8s, INP 63ms, CLS 0.02, FCP 1.7s, TTFB 1.4s.
Investigate mobile real-user TTFB and LCP specifically. Lab tests show the page can be fast, but CrUX data suggests many mobile users experience slow server response and delayed first render. Review CDN/cache behaviour by geography and device, mobile network conditions, edge caching, redirects, third-party scripts, and whether some users are served uncached or bot-protection/challenge responses.</t>
  </si>
  <si>
    <t>n/a
+</t>
  </si>
  <si>
    <t>https://share.google/OroSDyZLMpQ8L9z0z</t>
  </si>
  <si>
    <t>Content</t>
  </si>
  <si>
    <t>4.7 stars, 7 reviews</t>
  </si>
  <si>
    <t>Phone number is missing
Address is present
Links to: 
X (Twitter), Instagram, and LinkedIn. 
No services listed or service categories
No posts published on the profile
Profile has been claimed</t>
  </si>
  <si>
    <t>Google AI Mode</t>
  </si>
  <si>
    <t>Do you have Competitor Roundups and Versus content comparing yourself to other brands with similar business models or customers?</t>
  </si>
  <si>
    <t>Content Creation</t>
  </si>
  <si>
    <t xml:space="preserve">
Incubeta is a global digital marketing agency that unifies media, data, technology, and creative capabilities to help ambitious brands maximize their business performance.
[1, 2] 
## Company Overview &amp; History
* 
* Origins: The company tracing its roots back to 1995 when it originally focused on digitizing South Africa's White and Yellow Pages. [3, 4] 
* Growth Formula: Through major strategic acquisitions—such as Net Media Planet (NMPi) in 2013, DQ&amp;A in 2016, and Joystick in 2018—it evolved into an integrated global agency powerhouse. [4, 5] 
* Global Footprint: Headquartered in Cape Town, South Africa, and Central London, UK, Incubeta operates 18 offices worldwide. [2, 3, 6] 
* Workforce: The agency manages a global headcount of approximately 803 employees, with its primary talent hubs concentrated in South Africa, the United Kingdom, and the United Arab Emirates. [3] 
* Enterprise Clients: They manage global campaigns for major multi-billion dollar brands, including L'Oréal, Google, Amazon, Disney, Hyundai, and Marks &amp; Spencer (M&amp;S). [2, 5, 7, 8, 9] 
* 
## Core Offerings &amp; Proprietary Frameworks
Incubeta structures its digital transformation services into three main strategic pillared solutions under their "Outperform Framework": [10, 11] 
* 
* OutMeasure: Combines Marketing Mix Modeling (MMM), analytics engineering, and incrementality testing to track true business value across fragmented platforms.
* OutSmart: Uses AI-driven media planning tools to uncover hidden growth opportunities and optimize investments away from highly saturated digital channels.
* OutCreate: Unifies media and data pipelines with generative AI to build personalized, performance-first creative assets that scale across channels. [11, 12, 13, 14] 
* 
## Cutting-Edge AI &amp; Marketing Automation
As an official Google Premier Partner and technology-agnostic consulting firm, Incubeta builds its own proprietary tech stack. They deployed specialized Agentic AI products to eliminate blind spots in traditional data reporting: [2, 10, 11, 15, 16] 
* 
* Creative Performance Index (CPI): Uses agentic AI to analyze exactly how visual assets and ad messaging impact real conversions.
* OutperformBI: Bypasses basic static data dashboards to provide real-time automated insight into marketing incrementality.
* LLM-Readiness Assessments: Evaluates how visible and optimized a brand's web content is for AI-driven engines and Large Language Models. [11, 15, 17] 
* 
## Workplace Culture &amp; Internal Core Values
The agency focuses heavy investment on internal mobility, interdisciplinary skill training, and social responsibility. Key wellness initiatives include flexible hybrid work hours, anonymous hiring to mitigate bias, a worldwide carbon-offsetting strategy, and designated mental health "me days" for employees. [18] 
If you are researching them for a specific goal, let me know if you would like me to:
* 
* Find job openings or look into salary data across their offices
* Analyze how they handle Google Marketing Platform (GMP) partnerships
* Review explicit case studies or campaign metrics for their clients
* 
[1] [https://incubeta.com](https://incubeta.com/about-us/)
[2] [https://th.linkedin.com](https://th.linkedin.com/company/incubeta)
[3] [https://www.reveliolabs.com](https://www.reveliolabs.com/companies/incubeta/employees/)
[4] [https://bitscale.ai](https://bitscale.ai/directory/incubeta)
[5] [https://www.businesswire.com](https://www.businesswire.com/news/home/20210412005054/en/Incubeta-Rebrands-as-New-Generation-of-Digital-Partner-to-Help-Businesses-Amplify-Growth)
[6] [https://www.youtube.com](https://www.youtube.com/watch?v=ByTdrSIvD9A)
[7] [https://www.youtube.com](https://www.youtube.com/channel/UCnozDypc7kxyDrAXkpeRGpw)
[8] [https://www.citybiz.co](https://www.citybiz.co/article/298712/incubeta-appoints-sarah-hampton-as-us-chief-operating-officer/)
[9] [https://incubeta.com](https://incubeta.com/news-and-resources/incubeta-uk-is-google-mobile-certified/)
[10] [https://www.youtube.com](https://www.youtube.com/watch?v=k732Q3oJx9Y&amp;t=632)
[11] https://incubeta.com
[12] [https://incubeta.com](https://incubeta.com/capabilities/marketing-intelligence/)
[13] [https://incubeta.com](https://incubeta.com/solutions/outsmart/)
[14] [https://incubeta.com](https://incubeta.com/capabilities/digital-media/)
[15] [https://incubeta.com](https://incubeta.com/news-and-resources/incubeta-launches-new-agentic-ai-products-to-help-brands-understand-what-truly-drives-marketing-performance/)
[16] [https://incubeta.com](https://incubeta.com/news-and-resources/incubeta-has-been-named-a-2022-google-premier-partner/)
[17] [https://www.businesswire.com](https://www.businesswire.com/news/home/20251212541478/en/Incubeta-Appoints-Amy-Crowther-as-President-of-Americas)
[18] [https://incubeta.com](https://incubeta.com/news-and-resources/the-power-behind-incubeta/)
</t>
  </si>
  <si>
    <t>Incubeta does not yet have enough owned competitor roundup or versus content controlling the comparison narrative around its main commercial categories.
Incubeta appears in 7 competitor-owned listicles, but is not currently represented in Alternatives, Comparisons, Category Pages or Product Pages. This leaves competitor and third-party sources to shape how AI systems understand the category.
Create owned comparison and roundup pages around key topics such as performance marketing agencies, marketing measurement partners, Google Marketing Platform partners, paid media agencies, AI marketing outcomes agencies, and Incubeta vs relevant alternatives. These should link to case studies, sector pages, service pages and source-of-truth brand messaging.</t>
  </si>
  <si>
    <t>https://share.google/SSojIowteqf3rXgQ8</t>
  </si>
  <si>
    <t>Do you have multi-modal content? Text, images, audio, video syndicated across all platforms?</t>
  </si>
  <si>
    <t>Incubeta has a meaningful multimodal footprint, especially across LinkedIn and YouTube. LinkedIn is the strongest owned social/entity signal, with 81,496 followers, 748 associated employees and frequent publishing. YouTube is also useful, with 1.25K subscribers, 190 videos and more than 1.25M views.
Instagram, X, Facebook and TikTok are present, but are weaker or less consistent than LinkedIn.
Prioritise YouTube, LinkedIn and short-form video around AI outcomes, Measurement, Creative, Media, incrementality, marketing intelligence, Google Marketing Platform, case studies and sector-specific growth problems.</t>
  </si>
  <si>
    <t xml:space="preserve">"Incubeta es una empresa multinacional que cuenta con más de 800 especialistas en marketing digital trabajando en más de 22 oficinas por todo el mundo. Acompañamos a nuestros clientes (partners), entre los que se encuentran Google, Hyundai, Netflix y HBO, a potenciar su crecimiento. Incubeta cuenta con los mejores recursos humanos y tecnológicos para optimizar el potencial de crecimiento de nuestros clientes y acompañarles en la evolución del panorama digital. Nuestro posicionamiento, "Upgrade Your Growth" resume nuestra filosofía de empresa, añadido a la experiencia, conocimiento y motivación de nuestros equipos."
</t>
  </si>
  <si>
    <t>Do you have indvidual pages created for each solution, product, feature, use case, industry, and role that your offer caters to?</t>
  </si>
  <si>
    <t>Phone number is missing
Address is present
Links to: 
X (Twitter), Instagram, and LinkedIn. 
No services listed or service categories
No posts published on the profile
Profile is unclaimed.</t>
  </si>
  <si>
    <t>Incubeta has a solid base of individual pages, including regional homepages, solution pages for OutMeasure, OutCreate and OutSmart, a solutions hub, knowledge base, news and resources, video library, whitepapers, case studies, contact pages and location pages.
The gap is that several commercially important AI-retrieval topics are not yet mapped to clear standalone pages. Build out stronger pages for marketing measurement, incrementality, attribution, MMM, media effectiveness, paid media, GMP / Google Analytics, AI marketing operations, creative intelligence, retail media, ecommerce growth, and sector-specific pages for Retail, Travel, Finance and Tech.</t>
  </si>
  <si>
    <t>Does your content have FAQs answered concisely and directly?</t>
  </si>
  <si>
    <t>Instagram</t>
  </si>
  <si>
    <t>https://www.instagram.com/incubetaglobal/</t>
  </si>
  <si>
    <t>No consistent FAQ content or FAQPage schema was identified.
This is a missed opportunity because many AI prompts are question-led: which agency is best, how marketing measurement works, which attribution or incrementality partner to choose, and how AI changes paid media.
Add concise FAQs to priority service, solution, case study, knowledge base and regional pages. Start with OutMeasure, OutSmart, OutCreate, measurement, attribution, incrementality, GMP, paid media and AI marketing pages. Add FAQPage schema where appropriate.</t>
  </si>
  <si>
    <t>Do you include formatted summaries at the top of your resource content?</t>
  </si>
  <si>
    <t xml:space="preserve">Empowering brands to harness marketing for sustainable growth 🌍✨ Transforming complexity into clarity with creative, media, data, &amp; tech.
</t>
  </si>
  <si>
    <t>1,472 followers; 111 following; 226 posts. Engagement not visible from public metadata.
2-30 likes (range)
average likes per post: 6
Comments (range):
0-2 per post</t>
  </si>
  <si>
    <t>Incubeta has many resource, knowledge base, news, whitepaper, case study and video-library URLs, but summaries and key takeaways do not appear to be used consistently.
Add short TL;DR sections, key takeaways, answer-first introductions or executive summaries to priority resources. These should clearly state the issue, Incubeta's point of view, the recommended action and how the content connects to Measurement, Creative, Media and AI outcomes.</t>
  </si>
  <si>
    <t xml:space="preserve">Incubeta’s Instagram content is mainly B2B thought leadership and brand authority content: AI/marketing insights, podcast and webinar promotion, industry event coverage, business updates, partner/case-study style posts, plus team and culture photography. </t>
  </si>
  <si>
    <t>Keep as a visual brand and culture/entity signal. Strengthen the bio with Incubeta's current positioning: global marketing and AI-outcomes agency connecting Measurement, Creative, Media and AI to drive profitable growth. Link to the strongest source-of-truth page.</t>
  </si>
  <si>
    <t>Have you published any unique research or tools that only you have access to?</t>
  </si>
  <si>
    <t>Incubeta does have signs of unique assets and productised thinking, including OutMeasure, OutSmart, OutCreate, Creative Performance Index (CPI), OutperformBI, whitepapers, case studies and video content.
The opportunity is to make these proprietary assets more visible and easier for AI systems to associate with Incubeta. Build dedicated source-of-truth pages for key products, frameworks and methodologies, supported by original benchmarks, tools, calculators, case studies, webinars and senior expert commentary.</t>
  </si>
  <si>
    <r>
      <rPr>
        <rFont val="Montserrat"/>
        <sz val="11.0"/>
      </rPr>
      <t xml:space="preserve">Have you implemented </t>
    </r>
    <r>
      <rPr>
        <rFont val="Montserrat"/>
        <color rgb="FF1155CC"/>
        <sz val="11.0"/>
        <u/>
      </rPr>
      <t>Schema.org</t>
    </r>
    <r>
      <rPr>
        <rFont val="Montserrat"/>
        <sz val="11.0"/>
      </rPr>
      <t xml:space="preserve"> structured data? 
</t>
    </r>
    <r>
      <rPr>
        <rFont val="Montserrat"/>
        <b/>
        <sz val="11.0"/>
      </rPr>
      <t xml:space="preserve">Examples: </t>
    </r>
    <r>
      <rPr>
        <rFont val="Montserrat"/>
        <sz val="11.0"/>
      </rPr>
      <t xml:space="preserve">Org, Service, Product, BlogPosting, FAQ
Can help </t>
    </r>
    <r>
      <rPr>
        <rFont val="Montserrat"/>
        <color rgb="FF000000"/>
        <sz val="11.0"/>
      </rPr>
      <t>LLMs better understand</t>
    </r>
    <r>
      <rPr>
        <rFont val="Montserrat"/>
        <sz val="11.0"/>
      </rPr>
      <t xml:space="preserve"> content. </t>
    </r>
  </si>
  <si>
    <t>YouTube</t>
  </si>
  <si>
    <t>https://www.youtube.com/channel/UCnozDypc7kxyDrAXkpeRGpw</t>
  </si>
  <si>
    <t>Structured data is implemented across the site. Common schema items include Organization, WebSite, WebPage, Article, BlogPosting, BreadcrumbList, CollectionPage, ImageObject, Person and VideoObject.
However, schema appears uneven by page type. Location pages often rely on BreadcrumbList only, case study pages could be marked up more richly, no FAQPage schema was identified, and Service schema is not clearly surfaced across core commercial pages.
Expand schema for priority pages: Service schema for key solution and service pages, FAQPage where FAQs are added, VideoObject for video pages, BlogPosting/Article for editorial content, and richer structured data for case studies, whitepapers and regional office pages.</t>
  </si>
  <si>
    <t>Incubeta is a global marketing agency empowering ambitious brands to outperform. With 18 offices worldwide and over 20 years of experience, we partner with leading brands like L'Oreal, ING, M&amp;S, Les Mills, and Hyundai to transform complexity into clarity and deliver sustainable growth with transformative strategies and award-winning execution.</t>
  </si>
  <si>
    <t>1.25K subscribers
190 videos
1,254,425 views</t>
  </si>
  <si>
    <t>Video library, webinars, thought leadership and marketing technology/AI content. Manual review required for exact monthly cadence.</t>
  </si>
  <si>
    <t>Are you regularly updating your content and publish / updated date to reflect the average of competitor content in the top 10 search results?</t>
  </si>
  <si>
    <t>Useful authority asset for AI visibility because video results are already referenced in AI outputs. Continue publishing explainers around AI outcomes, measurement, Seamless Technology, case studies and marketing intelligence. Standardise the channel description with the new audit self-description.</t>
  </si>
  <si>
    <t>Incubeta is publishing current content, including AI, Google, marketing intelligence, MMM and performance topics.
The issue is consistency and visibility of freshness. High-value pages should show clear publish/updated dates and be refreshed against the third-party and competitor sources that AI systems retrieve.
Create a refresh programme for performance marketing, measurement, attribution, incrementality/MMM, AI marketing, GEO/AEO, GMP/Google Analytics, case study and regional service pages. Update visible dates and dateModified schema where appropriate.</t>
  </si>
  <si>
    <r>
      <rPr>
        <rFont val="Montserrat"/>
        <sz val="11.0"/>
      </rPr>
      <t xml:space="preserve">Is your content </t>
    </r>
    <r>
      <rPr>
        <rFont val="Montserrat"/>
        <color rgb="FF1155CC"/>
        <sz val="11.0"/>
        <u/>
      </rPr>
      <t>easily readable</t>
    </r>
    <r>
      <rPr>
        <rFont val="Montserrat"/>
        <sz val="11.0"/>
      </rPr>
      <t xml:space="preserve"> for your target audience?
Flesch readability </t>
    </r>
    <r>
      <rPr>
        <rFont val="Montserrat"/>
        <color rgb="FF1155CC"/>
        <sz val="11.0"/>
        <u/>
      </rPr>
      <t>has been shown</t>
    </r>
    <r>
      <rPr>
        <rFont val="Montserrat"/>
        <sz val="11.0"/>
      </rPr>
      <t xml:space="preserve"> to correlate strongly with visibility. 
</t>
    </r>
  </si>
  <si>
    <t>X</t>
  </si>
  <si>
    <t>https://x.com/IncubetaGlobal</t>
  </si>
  <si>
    <t>A Flesch readability score was not available in the crawl export. Qualitatively, Incubeta's content is credible and specialist, but some pages use high-level B2B language that could be more answer-first for AI retrieval.
Improve readability with direct opening answers, shorter sections, descriptive H2s, comparison tables, bullet summaries, plain-language definitions and clearer links between services, outcomes and sectors. For technical pages, define terms such as MMM, incrementality, attribution, AI Max, marketing intelligence and creative performance.</t>
  </si>
  <si>
    <t>Empowering brands to unlock sustainable growth. Transforming complexity into clarity with creative, media, data, &amp; tech.</t>
  </si>
  <si>
    <t>177 Following
445 Followers</t>
  </si>
  <si>
    <r>
      <rPr>
        <rFont val="Montserrat"/>
        <color theme="1"/>
        <sz val="11.0"/>
      </rPr>
      <t xml:space="preserve">Have you published content (redistributed or net new) on platform's where LLM's have been trained on + regularly cite information from? 
</t>
    </r>
    <r>
      <rPr>
        <rFont val="Montserrat"/>
        <b/>
        <color theme="1"/>
        <sz val="11.0"/>
      </rPr>
      <t>Examples:</t>
    </r>
    <r>
      <rPr>
        <rFont val="Montserrat"/>
        <color theme="1"/>
        <sz val="11.0"/>
      </rPr>
      <t xml:space="preserve"> Wikipedia, X (formerly Twitter), Quora, Reddit, Youtube, Medium, Linkedin, etc. </t>
    </r>
  </si>
  <si>
    <t xml:space="preserve">Short-form brand, thought leadership and resource updates. Manual review required for exact cadence.
2-4 posts per month from April, then gap between April and Setempber last year (no posts). </t>
  </si>
  <si>
    <t>Description is broadly aligned but narrower than the desired AI-outcomes narrative. Update to include Measurement, Creative, Media and AI, and use the profile mainly for thought leadership amplification if posting cadence can be maintained.</t>
  </si>
  <si>
    <t>Incubeta has a meaningful platform footprint, especially on LinkedIn and YouTube, with additional presence across Instagram, X, Facebook and TikTok.
However, UGC visibility is still light. The UGC tab contains 284 social/community/platform URLs across the five regional datasets, but Incubeta is directly mentioned in only 1 of those results.
Treat platform publishing as an AI visibility asset. Prioritise LinkedIn thought leadership, YouTube explainers, webinar clips, case-study content, measurement and AI-outcomes posts, and selective syndicated long-form content on platforms such as Medium where relevant.</t>
  </si>
  <si>
    <r>
      <rPr>
        <rFont val="Montserrat"/>
        <sz val="11.0"/>
      </rPr>
      <t xml:space="preserve">Do you have long form and in depth pillar content (arbitrary recommendation &gt; 1500+ words) for core topics related to your business model? 
</t>
    </r>
    <r>
      <rPr>
        <rFont val="Montserrat"/>
        <i/>
        <sz val="11.0"/>
      </rPr>
      <t xml:space="preserve">Note: Doesn't gaurantee inclusion. You are giving the LLM more context about your brand. </t>
    </r>
    <r>
      <rPr>
        <rFont val="Montserrat"/>
        <sz val="11.0"/>
      </rPr>
      <t xml:space="preserve">
Used to form an opinion of you when responding to prompts.  
</t>
    </r>
    <r>
      <rPr>
        <rFont val="Montserrat"/>
        <color rgb="FF1155CC"/>
        <sz val="11.0"/>
        <u/>
      </rPr>
      <t>[Correlation study]</t>
    </r>
    <r>
      <rPr>
        <rFont val="Montserrat"/>
        <sz val="11.0"/>
      </rPr>
      <t xml:space="preserve"> and also [</t>
    </r>
    <r>
      <rPr>
        <rFont val="Montserrat"/>
        <color rgb="FF1155CC"/>
        <sz val="11.0"/>
        <u/>
      </rPr>
      <t>research on content length</t>
    </r>
    <r>
      <rPr>
        <rFont val="Montserrat"/>
        <sz val="11.0"/>
      </rPr>
      <t>]</t>
    </r>
  </si>
  <si>
    <t>LinkedIn</t>
  </si>
  <si>
    <t>https://www.linkedin.com/company/incubeta</t>
  </si>
  <si>
    <t>Incubeta has a substantial content base, including news/resources, knowledge base pages, video library pages, whitepapers, case studies and regional variations.
The gap is topic ownership. AI systems are retrieving many third-party and competitor sources for performance marketing, paid media, marketing analytics, attribution, incrementality, MMM, Google Marketing Platform, AI marketing, GEO/AEO and agency comparisons.
Create or strengthen long-form pillar pages for Incubeta's core commercial themes. Each pillar should connect to case studies, videos, whitepapers, FAQs, regional pages and comparison content.</t>
  </si>
  <si>
    <t>Empowering brands to unlock sustainable growth. Transforming complexity into clarity with creative, media, data, &amp; tech. 
About section: Incubeta is a global marketing agency empowering ambitious brands to outperform. With 18 offices worldwide and over 20 years of experience, it partners with brands including L'Oreal, ING, M&amp;S, and Les Mills to transform complexity into clarity and deliver sustainable growth.</t>
  </si>
  <si>
    <t>81,496 followers; 748 associated employees; company size 501-1,000 employees. Recent visible post reactions range roughly 6-35 with some comments.</t>
  </si>
  <si>
    <t>Very active channel: multiple recent updates per week, including thought leadership, podcasts, leadership news, company culture, events and AI/marketing intelligence content.</t>
  </si>
  <si>
    <t>Strongest social/entity signal. Update the headline/About copy to reflect the newer AI-outcomes agency positioning and the Measurement, Creative, Media and AI pillars. Continue using LinkedIn for leadership, case studies, AI visibility thinking and source-of-truth brand narrative reinforcement.</t>
  </si>
  <si>
    <t>Facebook</t>
  </si>
  <si>
    <t>https://www.facebook.com/IncubetaGlobal/</t>
  </si>
  <si>
    <t>Incubeta is a team of over 800 creators, thinkers, makers &amp; doers working across 22 offices globally.</t>
  </si>
  <si>
    <t xml:space="preserve">260 Followers. 
Engagement: Very low; visible reactions appear to range from 0-4 per post, with comments around 0-2. Shares not clearly visible from the available export.
</t>
  </si>
  <si>
    <t>Posts/month: Low and irregular; based on the visible sample, Facebook appears to be updated only occasionally, likely around 0-2 posts per month. Manual date check required for exact cadence.
Recent posts include cover photo updates, event attendance such as Rakuten Dealmaker, office/team activity like the Copenhagen Strategy Day, employee Q&amp;A content from the Cape Town office, and people-led achievement posts such as the Mount Kilimanjaro update.</t>
  </si>
  <si>
    <t>No reviews, no recommended score</t>
  </si>
  <si>
    <t>Low visible audience compared with LinkedIn and Instagram. Keep as a hygiene/trust channel or de-prioritise, but standardise the description, website link and brand positioning so the profile does not conflict with current Incubeta messaging.
Email present, phone number not present
Link to bitly but not individual social media profiles
Long bio not present</t>
  </si>
  <si>
    <t>TikTok</t>
  </si>
  <si>
    <t>https://www.tiktok.com/@incubeta</t>
  </si>
  <si>
    <t>Profile URL</t>
  </si>
  <si>
    <t>Review Count</t>
  </si>
  <si>
    <t>Score</t>
  </si>
  <si>
    <t>Profile description</t>
  </si>
  <si>
    <t>Empowering brands to grow by simplifying complexity with creative, media, &amp; tech.</t>
  </si>
  <si>
    <t>Recommendation</t>
  </si>
  <si>
    <t xml:space="preserve">
54
Following
113
Followers
190
Likes
100 to 200 views per video
likes per video 0-5
2 to 5 videos per month</t>
  </si>
  <si>
    <t xml:space="preserve">Digital Edge podcast discussing client case studies and thought leadership style content around marketing and AI.
Awards and videos showing the team at conferences and events
</t>
  </si>
  <si>
    <t xml:space="preserve">If TikTok is strategically relevant, build a dedicated short-form plan around AI marketing explainers, event snippets, people/culture and client-safe thought leadership. If not, maintain profile hygiene with a standardised bio and link, and avoid leaving an empty or inconsistent brand signal.
Showing off novel research and incorporating statistics into content might drive more engagement. 
And providing examples of the work displayed, or infographics to explain strategies may be better than the simple transcript + static cut out of person talking + logo. </t>
  </si>
  <si>
    <t>1 review</t>
  </si>
  <si>
    <t>Improve review count and maintain/improve score
Standardise business description to align with ideal description/narrative of Incubeta</t>
  </si>
  <si>
    <t>Phone number is present
Address is present
Links to: 
X (Twitter), LinkedIn, Instagram, and YouTube. 
No services listed or service categories
No posts published on the profile
Profile is unclaimed</t>
  </si>
  <si>
    <t>6 reviews</t>
  </si>
  <si>
    <t>2 reviews</t>
  </si>
  <si>
    <t>4 reviews</t>
  </si>
  <si>
    <t>26 reviews</t>
  </si>
  <si>
    <t>16 reviews</t>
  </si>
  <si>
    <t>Empowering brands to unlock sustainable growth. Transforming complexity into clarity with creative, media, data, &amp; tech. The About section positions Incubeta as a global marketing agency with 18 offices and over 20 years of experience.</t>
  </si>
  <si>
    <t>Update the headline/About section to reflect the newer AI-outcomes agency positioning and the Measurement, Creative, Media and AI pillars. Continue publishing leadership, case studies, client-safe proof points and AI visibility thinking.</t>
  </si>
  <si>
    <t>Strongest directory/entity signal found. Socials tab records 81,496 followers, 748 associated employees, company size 501-1,000 employees and a very active posting cadence.</t>
  </si>
  <si>
    <t>Keep as a hygiene/trust profile or de-prioritise if Facebook is not strategic. Standardise the description, website link and global agency positioning so it does not conflict with current Incubeta messaging.</t>
  </si>
  <si>
    <t>Public metadata shows 260 likes. Recent sample indicates very low engagement: roughly 0-4 reactions and 0-2 comments per post, with a low/irregular cadence around 0-2 posts per month.</t>
  </si>
  <si>
    <t>Indeed</t>
  </si>
  <si>
    <t>https://za.indeed.com/cmp/Incubeta/reviews</t>
  </si>
  <si>
    <t>18</t>
  </si>
  <si>
    <t>2.7</t>
  </si>
  <si>
    <t xml:space="preserve">We are a global team of over 600 creators, thinkers, makers and doers from a diverse range of backgrounds and industries. Everyone here is obsessed with finding the most creative ways to take brands further than they ever thought possible.
We’re always looking for the most talented people to join our team – the ones that can make a real difference to our business and clients. And we want those people to stay. That’s why we invest heavily not just in training and development, but in all the things that create vibrant, memorable working culture.
With great compensation and awesome benefits, we think working at Incubeta could be the best job of your life.
</t>
  </si>
  <si>
    <t>Monitor employer reviews and address repeated themes where possible. Encourage balanced, current employee feedback and ensure careers/location messaging reflects the current Incubeta employer brand.</t>
  </si>
  <si>
    <t>Important reputation surface for South Africa and hiring-related AI outputs. Review tone is mixed and should be monitored alongside Glassdoor and LinkedIn.
Incubeta employer review profile. Indeed ZA shows an overall rating of 2.7 out of 5 based on 18 reviews, with detailed ratings for work-life balance, pay/benefits, job security, management and culture.</t>
  </si>
  <si>
    <t>Glassdoor Reviews</t>
  </si>
  <si>
    <t>https://www.glassdoor.com/Reviews/Incubeta-Reviews-E965945.htm</t>
  </si>
  <si>
    <t>194</t>
  </si>
  <si>
    <t>3.8</t>
  </si>
  <si>
    <t>No description</t>
  </si>
  <si>
    <t>Keep monitoring and responding where possible. Use employer-brand content to address recurring concerns around leadership, progression, workload and compensation, while reinforcing positive themes around people, training and culture.</t>
  </si>
  <si>
    <t>Incubeta employee review profile. Glassdoor shows 3.8/5, 68% would recommend to a friend, 75% CEO approval and 58% positive business outlook.
High-priority employer reputation surface. Glassdoor explicitly states the 3.8 rating is based on 194 company reviews and is broadly in line with the media/communications industry average.</t>
  </si>
  <si>
    <t>Glassdoor Overview</t>
  </si>
  <si>
    <t>https://www.glassdoor.com/Overview/Working-at-Incubeta-EI_IE965945.11,19.htm</t>
  </si>
  <si>
    <t>Check whether the employer profile is fully claimed and up to date. Align company overview, leadership, locations and careers messaging with the current global positioning.</t>
  </si>
  <si>
    <t>Useful secondary entry point because AI tools may retrieve the overview page rather than the reviews page. Keep both pages consistent.
Employer overview page tied to the same Incubeta Glassdoor profile, covering reviews, jobs, salaries, interviews and company reputation signals.</t>
  </si>
  <si>
    <t>Clutch</t>
  </si>
  <si>
    <t>https://clutch.co/profile/incubeta</t>
  </si>
  <si>
    <t>0</t>
  </si>
  <si>
    <t xml:space="preserve">Incubeta | Media, Tech, and Creative 
Incubeta is a marketing partner built specifically to help businesses upgrade their growth. An international team of experts in digital marketing, Incubeta are a team of over 600 creators, thinkers, makers and doers. Present in 21 offices worldwide, Incubeta is a market leading specialist that uses the power of digital to unlock and amplify business growth potential through bespoke, localized digital solutions with global expertise. With 20+ years of experience in the digital space, Incubeta puts the ownership and control of the customer experience back in the hands of the advertiser. As the largest and longest established Google Marketing Platform (GMP) sales partner in EMEA and APAC, Incubeta has proven through working with top-tier brands that they are leading specialists in helping advertisers tackle complex projects such as in-housing, personalization, data activation and advanced digital media. 
</t>
  </si>
  <si>
    <t>Claim/refresh the profile and add current positioning, service lines, client proof points and case studies. If Clutch is part of the new-business strategy, request client reviews to move the profile beyond 'Not yet reviewed'.</t>
  </si>
  <si>
    <t>Clutch lists Incubeta as not yet reviewed, with 250-999 employees, London location, founded 2005 and an undisclosed project size/hourly rate.</t>
  </si>
  <si>
    <t>The Org</t>
  </si>
  <si>
    <t>https://theorg.com/org/incubeta</t>
  </si>
  <si>
    <t>None</t>
  </si>
  <si>
    <t>Review the profile for accuracy, especially headquarters, employee count and leadership titles. Update or claim if possible so it reflects Incubeta's current structure and global positioning.</t>
  </si>
  <si>
    <t>Useful entity/leadership directory, but some metadata may conflict with the official website and LinkedIn. Treat as a consistency-check surface rather than a review platform.
Global Digital Marketing Performance Group. The Org lists Incubeta with leadership/org chart information, 336 people and 10 jobs.
Website, X, LinkedIn links present</t>
  </si>
  <si>
    <t>Trustpilot</t>
  </si>
  <si>
    <t>not found</t>
  </si>
  <si>
    <t>No useful Incubeta Trustpilot profile found during this audit check.</t>
  </si>
  <si>
    <t>Lower priority for a B2B agency unless there is an active client-review strategy. If a profile exists, claim it and ensure it does not contain outdated or unmanaged brand information.</t>
  </si>
  <si>
    <t>Do not rely on Trustpilot as a current authority source unless a live Incubeta review profile is manually verified.</t>
  </si>
  <si>
    <t>Sortlist</t>
  </si>
  <si>
    <t>https://www.sortlist.com/agency/incubeta</t>
  </si>
  <si>
    <t>manual check required</t>
  </si>
  <si>
    <t>We deliver smart solutions to complex business challenges
Marketing is changing. Connecting with your customer has never been tougher. With rising consumer expectations, shifting behaviors, increasing competition, and rapidly advancing technologies, businesses today must control their marketing better than ever before.
We’re here to help you succeed. We are rethinking the rules of marketing by integrating the three specialisms of Media, Technology and Creative in a seamless way, putting the ownership of the customer experience back in your hands.
Incubeta is the union of three market-leading specialists across Media, Technology and Creative:
NMPI - Award winning experts in media strategy and management
DQ&amp;A - Specialists in ad tech infrastructure, data management, and integration
Joystick - Outstanding creative for the world’s largest brands
AN APPROACH BUILT AROUND YOU.
No two businesses are the same. Every business has unique challenges.
That’s why we work in a way that’s tailored to you. Whether this means upskilling your internal teams to bring activity in-house, providing you with your own access to the latest technology, building creative that connects, or picking up the management of all or parts of your media, we’ve got it covered.
Our flexible best-in-class media management offering means we can assist you with solutions across paid search, organic search, paid social and programmatic display buying.
Through NMPi, our expert team of passionate marketing specialists approach everything they do in a meticulous and detailed way, maximising spend effectiveness, increasing conversion performance, and achieving the best results for you.
Media
With over a decade of experience providing digital marketing solutions for advertisers, agencies and publishers, we have deep expertise in advertising technology, data management, and integration. We have the full power of a global network of marketing technology consultants who can build, implement and maintain full-scale digital marketing solutions for clients.
Technology
As a leading Google Marketing Platform partner, DQ&amp;A has helped hundreds of clients across the globe with defining, deploying and optimizing their digital marketing technology infrastructures. We provide our clients with the world’s leading digital marketing technology set up.
Creative
Every digital touchpoint is an opportunity to create a connection and a conversation with the customer. Our quality creative plays an integral part in campaign performance and ROI.
We offer a wide range of creative services from design to video production including: user experience, design sprints, Adobe CC, Sketch, responsive design, 3D production, ad creative and animation, video, 360 video, animated GIFs and motion graphics.</t>
  </si>
  <si>
    <t>Increase review count, and score/rating.</t>
  </si>
  <si>
    <t>335 people in their team
Speaks English
6 projects in their portfolio
Works remotely across the globe
Sortlist member since 2020
Founded in 2003
3 awards conferred</t>
  </si>
  <si>
    <t>Crunchbase</t>
  </si>
  <si>
    <t>https://www.crunchbase.com/organization/incubeta</t>
  </si>
  <si>
    <t xml:space="preserve">Incubeta is a marketing performance company that offers a range of digital advertising and media solutions.
</t>
  </si>
  <si>
    <t>Check/claim the profile if possible and align founding date, headquarters, ownership, acquisition history, leadership and website links with Incubeta's official source-of-truth content.</t>
  </si>
  <si>
    <t xml:space="preserve">Acquired by
Carlyle Global Partners Logo
Carlyle Global Partners
Founded 
obfuscation
Private
Private Equity
London, England, United Kingdom
501-1000
www.incubeta.com/
Advertising
</t>
  </si>
  <si>
    <t>DesignRush</t>
  </si>
  <si>
    <t>No verified Incubeta DesignRush profile found during this audit check.</t>
  </si>
  <si>
    <t>Consider creating or claiming a profile only if DesignRush is relevant to Incubeta's lead-generation strategy. Prioritise Clutch/LinkedIn/Google Business Profiles first.</t>
  </si>
  <si>
    <t>Comparably</t>
  </si>
  <si>
    <t>Create or claim</t>
  </si>
  <si>
    <t>TrustRadius</t>
  </si>
  <si>
    <t>URL</t>
  </si>
  <si>
    <t>Title</t>
  </si>
  <si>
    <t>Region</t>
  </si>
  <si>
    <t>Domain</t>
  </si>
  <si>
    <t>Type</t>
  </si>
  <si>
    <t>Mentioned?</t>
  </si>
  <si>
    <t>mentions</t>
  </si>
  <si>
    <t>retrievals</t>
  </si>
  <si>
    <t>retrieved_percentage</t>
  </si>
  <si>
    <t>citation_rate</t>
  </si>
  <si>
    <t>Alternatives</t>
  </si>
  <si>
    <t/>
  </si>
  <si>
    <t>You are mentioned</t>
  </si>
  <si>
    <t>You are not mentioned</t>
  </si>
  <si>
    <t>https://segmentstream.com/blog/articles/measured-com-alternatives</t>
  </si>
  <si>
    <t>9 Best Measured Alternatives &amp;amp; Competitors for Incrementality Testing in 2026 — SegmentStream</t>
  </si>
  <si>
    <t>US</t>
  </si>
  <si>
    <t>segmentstream.com</t>
  </si>
  <si>
    <t>Alternative</t>
  </si>
  <si>
    <t>No</t>
  </si>
  <si>
    <t>SegmentStream, Measured, Haus, LifeSight, INCRMNTAL, Recast, LiftLab, Momentum, Sellforte</t>
  </si>
  <si>
    <t>https://segmentstream.com/blog/articles/top-haus-io-alternatives-for-geo-lift-incrementality-testing</t>
  </si>
  <si>
    <t>5 Best Haus.io Alternatives (2026) — SegmentStream</t>
  </si>
  <si>
    <t>SegmentStream, Haus, Measured, INCRMNTAL, Recast</t>
  </si>
  <si>
    <t>UK</t>
  </si>
  <si>
    <t>SegmentStream, Haus, Measured, Recast</t>
  </si>
  <si>
    <t>https://segmentstream.com/blog/articles/incrmntal-alternatives</t>
  </si>
  <si>
    <t>INCRMNTAL Competitors &amp;amp; Alternatives (2026) — SegmentStream</t>
  </si>
  <si>
    <t>UAE</t>
  </si>
  <si>
    <t>SegmentStream, INCRMNTAL, Measured, Haus, LifeSight, Recast</t>
  </si>
  <si>
    <t>SegmentStream, Measured, Haus, LifeSight, INCRMNTAL, Recast, Momentum, Sellforte</t>
  </si>
  <si>
    <t>https://segmentstream.com/blog/articles/northbeam-alternatives</t>
  </si>
  <si>
    <t>10 Best Northbeam Alternatives for DTC Attribution in 2026 — SegmentStream</t>
  </si>
  <si>
    <t>SegmentStream, Northbeam, Triple Whale, Rockerbox, Cometly, Measured, Momentum</t>
  </si>
  <si>
    <t>DE</t>
  </si>
  <si>
    <t>Comparisons</t>
  </si>
  <si>
    <t>https://www.triplewhale.com/blog/best-incrementality-testing-tools</t>
  </si>
  <si>
    <t>The Best Incrementality Testing Tools for Marketers in 2026 | Triple Whale</t>
  </si>
  <si>
    <t>triplewhale.com</t>
  </si>
  <si>
    <t>Comparison</t>
  </si>
  <si>
    <t>Triple Whale, Haus, Measured, INCRMNTAL</t>
  </si>
  <si>
    <t>https://sellforte.com/blog/best-incrementality-testing-tools</t>
  </si>
  <si>
    <t>Best Incrementality Testing Tools in 2026: In-depth Vendor Comparison</t>
  </si>
  <si>
    <t>sellforte.com</t>
  </si>
  <si>
    <t>Sellforte, Measured, Haus, Recast, BCG</t>
  </si>
  <si>
    <t>https://liftlab.com/blog/best-mmm-platforms-2026/</t>
  </si>
  <si>
    <t>Best MMM Platforms 2026: LiftLab vs Measured vs Recast vs Haus</t>
  </si>
  <si>
    <t>liftlab.com</t>
  </si>
  <si>
    <t>LiftLab, Measured, Recast, Haus</t>
  </si>
  <si>
    <t>https://liftlab.com/blog/marketing-mix-modeling-platforms/#:~:text=Different%20platforms%20approach%20calibration%20differently,making%20the%20model's%20confidence%20visible.</t>
  </si>
  <si>
    <t>Top Marketing Mix Modeling Platforms in 2026: A Buyer's Guide for CMOs and CFOs - Liftlab</t>
  </si>
  <si>
    <t>LiftLab, Measured, Recast, Haus, Analytic Partners</t>
  </si>
  <si>
    <t>https://sellforte.com/blog/best-ai-tools-for-mmm-and-incrementality-testing</t>
  </si>
  <si>
    <t>5 Best Conversational AI Tools for MMM and Incrementality Testing in 2026: An In-Depth Comparison</t>
  </si>
  <si>
    <t>Sellforte, LifeSight, Triple Whale, Measured, Recast, INCRMNTAL, BCG</t>
  </si>
  <si>
    <t>https://disruptiveadvertising.com/blog/ppc/display-vs-search-ads/</t>
  </si>
  <si>
    <t>Display vs Search Advertising: Everything You Need to Know</t>
  </si>
  <si>
    <t>disruptiveadvertising.com</t>
  </si>
  <si>
    <t>Disruptive Advertising, Measured</t>
  </si>
  <si>
    <t>https://www.triplewhale.com/blog/incrementality-testing</t>
  </si>
  <si>
    <t>What Is Incrementality Testing? The Ultimate Guide for Modern Marketers | Triple Whale</t>
  </si>
  <si>
    <t>Triple Whale</t>
  </si>
  <si>
    <t>Triple Whale, Haus, Measured</t>
  </si>
  <si>
    <t>Sellforte, Measured, Haus, Recast</t>
  </si>
  <si>
    <t>https://www.rank4ai.co.uk/research/rankings/ai-search-agencies-compared/</t>
  </si>
  <si>
    <t>AI Search Agencies Compared - UK 2026 | Rank4AI</t>
  </si>
  <si>
    <t>rank4ai.co.uk</t>
  </si>
  <si>
    <t>Rank4AI, Found, Varn, Buried Agency, Hallam, Screaming Frog</t>
  </si>
  <si>
    <t>https://www.rank4ai.co.uk/research/rankings/ai-seo-agency-comparison-uk/</t>
  </si>
  <si>
    <t>AI SEO Agency Comparison UK 2026 | Rank4AI</t>
  </si>
  <si>
    <t>Rank4AI, Varn, Found, Blue Array, Buried Agency, Screaming Frog, Exposure Ninja</t>
  </si>
  <si>
    <t>https://www.rank4ai.co.uk/research/rankings/geo-vs-aeo-agencies-uk/</t>
  </si>
  <si>
    <t>GEO vs AEO Agencies UK 2026 | Rank4AI</t>
  </si>
  <si>
    <t>Rank4AI, Measured, Found</t>
  </si>
  <si>
    <t>https://www.tilio.co.uk/geo-agency</t>
  </si>
  <si>
    <t>GEO agency UK | Generative engine optimisation services | Tilio</t>
  </si>
  <si>
    <t>tilio.co.uk</t>
  </si>
  <si>
    <t>Tilio, Measured, Found</t>
  </si>
  <si>
    <t>Sellforte, Measured, Haus, Recast, Pilot, Boston Consulting Group</t>
  </si>
  <si>
    <t>https://www.feld-m.de/en/blog/google-meridian-triangulation-future-marketing-measurement/</t>
  </si>
  <si>
    <t>Google Meridian, Triangulation &amp;amp; the Future of Marketing Measurement | FELD M</t>
  </si>
  <si>
    <t>feld-m.de</t>
  </si>
  <si>
    <t>FELD M</t>
  </si>
  <si>
    <t>https://sellforte.com/about</t>
  </si>
  <si>
    <t>About Sellforte | Enterprise MMM for Ecommerce, DTC &amp;amp; Retail</t>
  </si>
  <si>
    <t>Sellforte, Analytic Partners, Recast, Triple Whale, Northbeam</t>
  </si>
  <si>
    <t>https://www.cometly.com/post/multi-touch-attribution-vs-marketing-mix-modeling</t>
  </si>
  <si>
    <t>Multi Touch Attribution Vs Marketing Mix Modeling Guide</t>
  </si>
  <si>
    <t>cometly.com</t>
  </si>
  <si>
    <t>Cometly</t>
  </si>
  <si>
    <t>https://www.measured.com/faq/what-are-the-pros-and-cons-of-incrementality-testing-versus-mmm-or-mta/</t>
  </si>
  <si>
    <t>What is Incrementality testing vs MMM vs MTA?</t>
  </si>
  <si>
    <t>measured.com</t>
  </si>
  <si>
    <t>Measured</t>
  </si>
  <si>
    <t>Category Pages</t>
  </si>
  <si>
    <t>https://clutch.co/us/agencies</t>
  </si>
  <si>
    <t>Top Advertising Agencies in the United States - Jul 2026 Rankings \| Clutch.co</t>
  </si>
  <si>
    <t>clutch.co</t>
  </si>
  <si>
    <t>Category Page</t>
  </si>
  <si>
    <t>Clutch, SmartSites, WebFX, Ignite Visibility, Momentum, NinjaPromo, KlientBoost, AdVenture Media, Sociallyin, Funnel Boost Media</t>
  </si>
  <si>
    <t>https://clutch.co/us/agencies/digital-marketing</t>
  </si>
  <si>
    <t>Top Digital Marketing Agencies in the United States - Jul 2026 Rankings \| Clutch.co</t>
  </si>
  <si>
    <t>Clutch, Ignite Visibility, Funnel Boost Media, SmartSites, Accelerated Digital Media, Thrive Internet Marketing Agency, Intero Digital, Disruptive Advertising, Elit-Web, NinjaPromo, HawkSEM</t>
  </si>
  <si>
    <t>https://clutch.co/us/agencies/creative</t>
  </si>
  <si>
    <t>Top Creative Agencies in the United States - Jul 2026 Rankings | Clutch.co</t>
  </si>
  <si>
    <t>Clutch, Clay, Huge</t>
  </si>
  <si>
    <t>https://clutch.co/us/agencies/ppc</t>
  </si>
  <si>
    <t>Top PPC Companies in the United States - Jul 2026 Rankings | Clutch.co</t>
  </si>
  <si>
    <t>Clutch, KlientBoost, Disruptive Advertising, AdVenture Media, HawkSEM, SmartSites, Intero Digital, Elit-Web, Searchbloom, Acadia, Ignite Visibility, Storm Brain, Funnel Boost Media</t>
  </si>
  <si>
    <t>https://clutch.co/us/agencies/social-media-marketing</t>
  </si>
  <si>
    <t>Top Social Media Marketing Companies in the United States - Jul 2026 Rankings \| Clutch.co</t>
  </si>
  <si>
    <t>Clutch, Sociallyin, LYFE Marketing, SmartSites, Ignite Visibility, Elit-Web, KlientBoost, Disruptive Advertising, AdVenture Media, HawkSEM</t>
  </si>
  <si>
    <t>https://clutch.co/us/agencies/ppc/advertising-industry</t>
  </si>
  <si>
    <t>Top PPC Agencies for Ad Agencies in the United States - Jul 2026 Rankings \| Clutch.co</t>
  </si>
  <si>
    <t>Clutch, AdVenture Media, Disruptive Advertising, KlientBoost, LYFE Marketing</t>
  </si>
  <si>
    <t>https://clutch.co/agencies</t>
  </si>
  <si>
    <t>Top Advertising Agencies &amp;amp; Marketing Companies - Jul 2026 Rankings | Clutch.co</t>
  </si>
  <si>
    <t>Clutch, Power Digital, Ignite Visibility, SmartSites, LYFE Marketing, NinjaPromo, WebFX, KlientBoost, AdVenture Media, Sociallyin, Funnel Boost Media, The SEO Works</t>
  </si>
  <si>
    <t>https://clutch.co/agencies/ppc/display</t>
  </si>
  <si>
    <t>Top Display Advertising Agencies - Jul 2026 Rankings | Clutch.co</t>
  </si>
  <si>
    <t>Clutch, Elit-Web, AdVenture Media, NinjaPromo, Storm Brain, The SEO Works</t>
  </si>
  <si>
    <t>https://clutch.co/agencies/performance-marketing</t>
  </si>
  <si>
    <t>Top Performance Marketing Agencies - Jul 2026 Rankings | Clutch.co</t>
  </si>
  <si>
    <t>Clutch, Disruptive Advertising, Accelerated Digital Media, Momentum, Web Tonic</t>
  </si>
  <si>
    <t>https://clutch.co/us/seo-firms/generative-engine-optimization</t>
  </si>
  <si>
    <t>Top Generative Engine Optimization (GEO) Agencies in the United States - Jul 2026 Rankings | Clutch.co</t>
  </si>
  <si>
    <t>Clutch, Funnel Boost Media, WebFX, Intero Digital, Ignite Visibility, Elit-Web, Victorious, HawkSEM, Siege Media, Thrive Internet Marketing Agency, RevenueZen, Go Fish Digital, Silverback Strategies</t>
  </si>
  <si>
    <t>https://clutch.co/us/consulting/ai/strategy</t>
  </si>
  <si>
    <t>Top AI Strategy Companies in the United States - Jul 2026 Rankings \| Clutch.co</t>
  </si>
  <si>
    <t>Clutch, Go Fish Digital</t>
  </si>
  <si>
    <t>https://clutch.co/agencies/social-media-marketing</t>
  </si>
  <si>
    <t>Top Social Media Marketing Agencies - Jul 2026 Rankings | Clutch.co</t>
  </si>
  <si>
    <t>Clutch, Sociallyin, LYFE Marketing, KlientBoost, Viral Nation, SmartSites, Huge, Ignite Visibility</t>
  </si>
  <si>
    <t>https://clutch.co/agencies/creative</t>
  </si>
  <si>
    <t>Top Creative Agencies - Jul 2026 Rankings | Clutch.co</t>
  </si>
  <si>
    <t>Clutch, Clay, Momentum</t>
  </si>
  <si>
    <t>https://clutch.co/us/agencies/media-buying</t>
  </si>
  <si>
    <t>Top Media Buying Agencies in the United States - Jul 2026 Rankings \| Clutch.co</t>
  </si>
  <si>
    <t>Clutch, Accelerated Digital Media</t>
  </si>
  <si>
    <t>https://clutch.co/us/consulting/ai</t>
  </si>
  <si>
    <t>Top AI Consultants in the United States - Jul 2026 Rankings \| Clutch.co</t>
  </si>
  <si>
    <t>Clutch, Momentum</t>
  </si>
  <si>
    <t>https://clutch.co/agencies/digital-marketing</t>
  </si>
  <si>
    <t>Best Digital Marketing Agencies - Jul 2026 Rankings | Clutch.co</t>
  </si>
  <si>
    <t>Clutch, Ignite Visibility, Disruptive Advertising, Silverback Strategies, SmartSites, Power Digital, WebFX, Funnel Boost Media, Accelerated Digital Media, Thrive Internet Marketing Agency, Intero Digital, NinjaPromo, Elit-Web</t>
  </si>
  <si>
    <t>https://clutch.co/us/agencies/ppc/google-adwords</t>
  </si>
  <si>
    <t>Top Adwords PPC Agencies in the United States - Jul 2026 Rankings \| Clutch.co</t>
  </si>
  <si>
    <t>Clutch, KlientBoost, Disruptive Advertising, AdVenture Media, HawkSEM, SmartSites, Intero Digital, Elit-Web, Accelerated Digital Media, Ignite Visibility, Searchbloom</t>
  </si>
  <si>
    <t>https://clutch.co/agencies/ppc/google-adwords</t>
  </si>
  <si>
    <t>Top Google Ads PPC Agencies - Jul 2026 Rankings \| Clutch.co</t>
  </si>
  <si>
    <t>Clutch, KlientBoost, SmartSites, HawkSEM, Silverback Strategies, Disruptive Advertising, AdVenture Media, Accelerated Digital Media, Intero Digital, Elit-Web, Ignite Visibility, Searchbloom</t>
  </si>
  <si>
    <t>https://clutch.co/us/agencies/ppc/display?page=2</t>
  </si>
  <si>
    <t>Page 2 - Top Display Advertising Agencies in the United States - Jul 2026 Rankings | Clutch.co</t>
  </si>
  <si>
    <t>Clutch, Go Fish Digital, NoGood, Tinuiti, Elit-Web, AdVenture Media, Storm Brain</t>
  </si>
  <si>
    <t>https://clutch.co/us/agencies/ppc/display?page=8</t>
  </si>
  <si>
    <t>Page 8 - Top Display Advertising Agencies in the United States - Jul 2026 Rankings | Clutch.co</t>
  </si>
  <si>
    <t>Clutch, Elit-Web, AdVenture Media, Go Fish Digital, Storm Brain, NoGood, Tinuiti</t>
  </si>
  <si>
    <t>https://clutch.co/consulting/ai/strategy</t>
  </si>
  <si>
    <t>Top AI Strategy Companies - Jul 2026 Rankings \| Clutch.co</t>
  </si>
  <si>
    <t>https://clutch.co/seo-firms/generative-engine-optimization</t>
  </si>
  <si>
    <t>Top Generative Engine Optimization (GEO) Companies - Jul 2026 Rankings | Clutch.co</t>
  </si>
  <si>
    <t>Clutch, Victorious, Funnel Boost Media, NinjaPromo, WebFX, Intero Digital, Ignite Visibility, Elit-Web, HawkSEM, Siege Media, Huge, The SEO Works, Thrive Internet Marketing Agency</t>
  </si>
  <si>
    <t>https://clutch.co/us/agencies/digital-marketing/enterprise</t>
  </si>
  <si>
    <t>Top Digital Marketing Agencies for Enterprise in the United States - Jul 2026 Rankings | Clutch.co</t>
  </si>
  <si>
    <t>Clutch, Thrive Internet Marketing Agency, Intero Digital, Disruptive Advertising, Ignite Visibility, Elit-Web, NinjaPromo, HawkSEM, WebFX, KlientBoost, Victorious, Siege Media, Searchbloom, Marcel Digital, Brighter Click, Storm Brain, Power Digital</t>
  </si>
  <si>
    <t>https://clutch.co/us/seo-firms/generative-engine-optimization%3Fpage%3D2</t>
  </si>
  <si>
    <t>Clutch, Funnel Boost Media, WebFX, Intero Digital, Ignite Visibility, Elit-Web, Victorious, HawkSEM, Siege Media, Thrive Internet Marketing Agency</t>
  </si>
  <si>
    <t>https://clutch.co/us/seo-firms/generative-engine-optimization%3Fpage%3D4</t>
  </si>
  <si>
    <t>Clutch, Funnel Boost Media, WebFX, Intero Digital, Ignite Visibility, Elit-Web, Victorious, HawkSEM, Thrive Internet Marketing Agency</t>
  </si>
  <si>
    <t>https://clutch.co/us/agencies/ppc/display%3Fpage%3D2</t>
  </si>
  <si>
    <t>Top Display Advertising Agencies in the United States - Jul 2026 Rankings \| Clutch.co</t>
  </si>
  <si>
    <t>Clutch, Elit-Web, AdVenture Media, Storm Brain, Huge</t>
  </si>
  <si>
    <t>https://clutch.co/it-services/analytics/marketing</t>
  </si>
  <si>
    <t>Top Big Data Marketing Companies - Jul 2026 Rankings \| Clutch.co</t>
  </si>
  <si>
    <t>Clutch, Huge</t>
  </si>
  <si>
    <t>https://clutch.co/us/agencies/market-research</t>
  </si>
  <si>
    <t>Top Market Research Agencies in the United States - Jul 2026 Rankings \| Clutch.co</t>
  </si>
  <si>
    <t>Clutch, Acadia, Brighter Click, Momentum, Haus</t>
  </si>
  <si>
    <t>https://clutch.co/us/agencies/ppc/display?page=5</t>
  </si>
  <si>
    <t>Page 5 - Top Display Advertising Agencies in the United States - Jul 2026 Rankings | Clutch.co</t>
  </si>
  <si>
    <t>https://clutch.co/us/agencies?page=1</t>
  </si>
  <si>
    <t>Page 2 - Top Advertising Agencies in the United States - Jul 2026 Rankings \| Clutch.co</t>
  </si>
  <si>
    <t>Clutch, SmartSites, WebFX, Ignite Visibility, Storm Brain, NinjaPromo, Huge</t>
  </si>
  <si>
    <t>https://clutch.co/us/consulting/ai/maturation%3Fpage%3D2</t>
  </si>
  <si>
    <t>Top AI Maturation Services in the United States - Jul 2026 Rankings \| Clutch.co</t>
  </si>
  <si>
    <t>https://clutch.co/us/agencies/social-media-marketing/facebook</t>
  </si>
  <si>
    <t>Top Facebook Advertising Agencies in the United States - Jul 2026 Rankings \| Clutch.co</t>
  </si>
  <si>
    <t>Clutch, LYFE Marketing, SmartSites, Elit-Web, KlientBoost, AdVenture Media, Silverback Strategies, Sociallyin, Disruptive Advertising, HawkSEM, Brighter Click, Accelerated Digital Media, Acadia</t>
  </si>
  <si>
    <t>https://clutch.co/agencies/ppc/display/indiana</t>
  </si>
  <si>
    <t>https://clutch.co/agencies/ppc?geona_id=47171&amp;page=1</t>
  </si>
  <si>
    <t>Page 2 - Top PPC Agencies - Jul 2026 Rankings \| Clutch.co</t>
  </si>
  <si>
    <t>Clutch, Disruptive Advertising, AdVenture Media, KlientBoost, Single Grain, SmartSites, HawkSEM, NinjaPromo, Intero Digital, Elit-Web</t>
  </si>
  <si>
    <t>https://clutch.co/us/agencies/branding/corporate</t>
  </si>
  <si>
    <t>Top Corporate Branding Agencies in the United States - Jul 2026 Rankings \| Clutch.co</t>
  </si>
  <si>
    <t>Clutch, Momentum, Clay</t>
  </si>
  <si>
    <t>https://clutch.co/us/agencies/ppc/display?page=6</t>
  </si>
  <si>
    <t>Page 6 - Top Display Advertising Agencies in the United States - Jul 2026 Rankings | Clutch.co</t>
  </si>
  <si>
    <t>https://clutch.co/agencies/sem?geona_id=25338&amp;page=1</t>
  </si>
  <si>
    <t>Page 2 - Best Search Engine Marketing Agencies - Jul 2026 Rankings \| Clutch.co</t>
  </si>
  <si>
    <t>Clutch, Searchbloom, SmartSites, KlientBoost, Silverback Strategies, HawkSEM, NinjaPromo, Intero Digital, Ignite Visibility, DEPT, Elit-Web, Funnel Boost Media</t>
  </si>
  <si>
    <t>https://clutch.co/us/agencies/digital</t>
  </si>
  <si>
    <t>Top Full-Service Digital Agencies in the United States - Jul 2026 Rankings | Clutch.co</t>
  </si>
  <si>
    <t>Clutch, Ignite Visibility, Storm Brain, Funnel Boost Media, Momentum</t>
  </si>
  <si>
    <t>https://clutch.co/us/agencies/digital-marketing%3Fpage%3D2</t>
  </si>
  <si>
    <t>https://clutch.co/us/agencies/ecommerce-marketing</t>
  </si>
  <si>
    <t>Top E-Commerce Marketing Agencies in the United States - Jul 2026 Rankings \| Clutch.co</t>
  </si>
  <si>
    <t>Clutch, Disruptive Advertising, Acadia, AdVenture Media, Accelerated Digital Media, Brighter Click, Huge, Momentum</t>
  </si>
  <si>
    <t>https://clutch.co/us/agencies/ppc%3Fpage%3D2</t>
  </si>
  <si>
    <t>Top PPC Companies in the United States - Jul 2026 Rankings \| Clutch.co</t>
  </si>
  <si>
    <t>Clutch, KlientBoost, Disruptive Advertising, AdVenture Media, HawkSEM, SmartSites, Intero Digital, Elit-Web</t>
  </si>
  <si>
    <t>https://www.mckinsey.com/capabilities/tech-and-ai/how-we-help-clients</t>
  </si>
  <si>
    <t>AI and Technology Consulting</t>
  </si>
  <si>
    <t>mckinsey.com</t>
  </si>
  <si>
    <t>McKinsey, QuantumBlack</t>
  </si>
  <si>
    <t>https://www.webfx.com/digital-advertising/services/</t>
  </si>
  <si>
    <t>Top-Rated Digital Advertising Services That Cut CPL By 15%</t>
  </si>
  <si>
    <t>webfx.com</t>
  </si>
  <si>
    <t>WebFX, Clutch, Momentum</t>
  </si>
  <si>
    <t>https://clutch.co/agencies/conversion-optimization/research</t>
  </si>
  <si>
    <t>Top User &amp; Conversion Research Companies - Jul 2026 Rankings \| Clutch.co</t>
  </si>
  <si>
    <t>Clutch, Searchbloom, AdVenture Media, Huge</t>
  </si>
  <si>
    <t>https://clutch.co/agencies/media-buying</t>
  </si>
  <si>
    <t>Top Media Buying &amp;amp; Planning Agencies - Jul 2026 Rankings | Clutch.co</t>
  </si>
  <si>
    <t>Clutch, Momentum, Accelerated Digital Media</t>
  </si>
  <si>
    <t>https://clutch.co/agencies/ppc</t>
  </si>
  <si>
    <t>Top PPC Agencies - Jul 2026 Rankings | Clutch.co</t>
  </si>
  <si>
    <t>Clutch, Disruptive Advertising, AdVenture Media, KlientBoost, Single Grain, SmartSites, HawkSEM, Intero Digital, Elit-Web, NinjaPromo</t>
  </si>
  <si>
    <t>https://clutch.co/agencies/ppc/ecommerce-industry</t>
  </si>
  <si>
    <t>Top E-Commerce PPC Companies - Jul 2026 Rankings \| Clutch.co</t>
  </si>
  <si>
    <t>Clutch, Disruptive Advertising, KlientBoost, NinjaPromo, AdVenture Media, Elit-Web, HawkSEM, SmartSites, Intero Digital, Storm Brain</t>
  </si>
  <si>
    <t>https://clutch.co/us/agencies/branding</t>
  </si>
  <si>
    <t>Top Branding Agencies in the United States - Jul 2026 Rankings | Clutch.co</t>
  </si>
  <si>
    <t>https://clutch.co/us/agencies/business-services-industry?page=1</t>
  </si>
  <si>
    <t>Page 2 - Top Advertising Agencies for B2B in the United States - Jul 2026 Rankings \| Clutch.co</t>
  </si>
  <si>
    <t>Clutch, NinjaPromo, Power Digital, Huge, Directive</t>
  </si>
  <si>
    <t>https://clutch.co/us/agencies/market-research/shopper-marketing</t>
  </si>
  <si>
    <t>Top Shopper Marketing Agencies in the United States - Jul 2026 Rankings \| Clutch.co</t>
  </si>
  <si>
    <t>Clutch, Epsilon, VML, Circana</t>
  </si>
  <si>
    <t>https://clutch.co/us/agencies/ppc/display%3Fpage%3D8</t>
  </si>
  <si>
    <t>Clutch, Elit-Web, AdVenture Media, Storm Brain</t>
  </si>
  <si>
    <t>https://clutch.co/us/agencies/ppc/display?page=16</t>
  </si>
  <si>
    <t>Page 16 - Top Display Advertising Agencies in the United States - Jul 2026 Rankings \| Clutch.co</t>
  </si>
  <si>
    <t>Clutch, Elit-Web, AdVenture Media, Storm Brain, Huge, Go Fish Digital, NoGood, Tinuiti</t>
  </si>
  <si>
    <t>https://clutch.co/us/agencies/ppc/ecommerce-industry</t>
  </si>
  <si>
    <t>Top PPC Agencies for E-Commerce Companies in the United States - Jul 2026 Rankings | Clutch.co</t>
  </si>
  <si>
    <t>Clutch, KlientBoost, Disruptive Advertising, AdVenture Media, Elit-Web, HawkSEM, SmartSites, Intero Digital, Storm Brain, Acadia</t>
  </si>
  <si>
    <t>https://clutch.co/us/agencies/ppc/google-adwords%3Fpage%3D16</t>
  </si>
  <si>
    <t>Clutch, KlientBoost, Disruptive Advertising, AdVenture Media, HawkSEM, SmartSites, Intero Digital, Elit-Web, Accelerated Digital Media, Ignite Visibility, Searchbloom, Funnel Boost Media</t>
  </si>
  <si>
    <t>https://clutch.co/us/agencies/programmatic%3Fpage%3D2</t>
  </si>
  <si>
    <t>Top Programmatic Advertising Agencies in the United States - Jul 2026 Rankings \| Clutch.co</t>
  </si>
  <si>
    <t>Clutch, SmartSites, Funnel Boost Media, LYFE Marketing, AdVenture Media, Accelerated Digital Media, Storm Brain</t>
  </si>
  <si>
    <t>https://clutch.co/us/agencies/programmatic%3Fpage%3D3</t>
  </si>
  <si>
    <t>https://clutch.co/us/agencies/programmatic%3Fpage%3D7</t>
  </si>
  <si>
    <t>https://clutch.co/us/agencies/social-media-marketing/influencer/tiktok</t>
  </si>
  <si>
    <t>Top TikTok Influencer Marketing Agencies in the United States - Jul 2026 Rankings \| Clutch.co</t>
  </si>
  <si>
    <t>Clutch, SmartSites, Sociallyin, Elit-Web, Acadia, Disruptive Advertising, Brighter Click, AdVenture Media, Measured</t>
  </si>
  <si>
    <t>https://clutch.co/us/agencies/social-media-marketing/tik-tok</t>
  </si>
  <si>
    <t>Top TikTok Advertising Agencies in the United States - Jul 2026 Rankings \| Clutch.co</t>
  </si>
  <si>
    <t>Clutch, Sociallyin, Elit-Web, SmartSites, Viral Nation, Acadia, HawkSEM, Momentum, Accelerated Digital Media</t>
  </si>
  <si>
    <t>https://clutch.co/us/consulting/ai/maturation?page=6</t>
  </si>
  <si>
    <t>Page 6 - Top AI Maturation Services in the United States - Jul 2026 Rankings | Clutch.co</t>
  </si>
  <si>
    <t>https://clutch.co/us/developers/artificial-intelligence</t>
  </si>
  <si>
    <t>Top Artificial Intelligence Companies in the United States - Jul 2026 Rankings | Clutch.co</t>
  </si>
  <si>
    <t>Clutch, Momentum, Huge</t>
  </si>
  <si>
    <t>https://clutch.co/us/seo-firms</t>
  </si>
  <si>
    <t>Top SEO Agencies in the United States - Jul 2026 Rankings \| Clutch.co</t>
  </si>
  <si>
    <t>Clutch, Funnel Boost Media, SmartSites, Victorious, Acadia, WebFX, Intero Digital, Ignite Visibility, Elit-Web, Searchbloom, Thrive Internet Marketing Agency, HawkSEM, KlientBoost, Disruptive Advertising, Storm Brain, Digital Authority Partners, RevenueZen</t>
  </si>
  <si>
    <t>https://clutch.co/us/seo-firms/international</t>
  </si>
  <si>
    <t>Top International SEO Agencies in the United States - Jul 2026 Rankings \| Clutch.co</t>
  </si>
  <si>
    <t>Clutch, Elit-Web, Searchbloom, Storm Brain, Acadia, NinjaPromo</t>
  </si>
  <si>
    <t>https://clutch.co/us/seo-firms/media-industry</t>
  </si>
  <si>
    <t>Top SEO Companies for Media in the United States - Jul 2026 Rankings \| Clutch.co</t>
  </si>
  <si>
    <t>Clutch, SmartSites, Funnel Boost Media</t>
  </si>
  <si>
    <t>https://clutch.co/video-production/post-production</t>
  </si>
  <si>
    <t>Top Post Production Services - Jul 2026 Rankings \| Clutch.co</t>
  </si>
  <si>
    <t>https://infotrust.com/articles/category/marketing/google-marketing-platform-gmp/</t>
  </si>
  <si>
    <t>Google Marketing Platform (GMP) Archives - InfoTrust</t>
  </si>
  <si>
    <t>infotrust.com</t>
  </si>
  <si>
    <t>InfoTrust, Publicis Groupe</t>
  </si>
  <si>
    <t>https://www.interodigital.com/case-studies/</t>
  </si>
  <si>
    <t>Digital Marketing Agency Case Studies - Intero Digital Results</t>
  </si>
  <si>
    <t>interodigital.com</t>
  </si>
  <si>
    <t>Intero Digital</t>
  </si>
  <si>
    <t>https://tinuiti.com/services/</t>
  </si>
  <si>
    <t>Performance Marketing Services | Tinuiti</t>
  </si>
  <si>
    <t>tinuiti.com</t>
  </si>
  <si>
    <t>Tinuiti, InfoTrust</t>
  </si>
  <si>
    <t>https://inmarketingwetrust.com.au/platforms/</t>
  </si>
  <si>
    <t>Marketing Platforms &amp;amp; Solutions - In Marketing We Trust</t>
  </si>
  <si>
    <t>AU</t>
  </si>
  <si>
    <t>inmarketingwetrust.com.au</t>
  </si>
  <si>
    <t>In Marketing We Trust</t>
  </si>
  <si>
    <t>https://www.impressiondigital.com/paid-media/</t>
  </si>
  <si>
    <t>Paid Media Agency | London &amp;amp; Nottingham | Impression</t>
  </si>
  <si>
    <t>impressiondigital.com</t>
  </si>
  <si>
    <t>Impression</t>
  </si>
  <si>
    <t>https://www.topdevelopers.co/directory/digital-marketing-agencies-in-uae</t>
  </si>
  <si>
    <t>Top 50+ Digital Marketing Agencies in UAE - July 2026 Reviews | Topdevelopers.co</t>
  </si>
  <si>
    <t>topdevelopers.co</t>
  </si>
  <si>
    <t>Digital Gravity, Integrate Solutions, Global Media Insight, GCC Marketing, Bird Marketing, Prism Digital, Huge, Digital Media Sapiens, intouch</t>
  </si>
  <si>
    <t>https://clutch.co/ae/agencies</t>
  </si>
  <si>
    <t>Top Advertising Agencies in the United Arab Emirates - Jul 2026 Rankings | Clutch.co</t>
  </si>
  <si>
    <t>M3.agency, INSIDEA, YouYaa, Momentum, EDS FZCO, intouch, Leads Dubai, NoGood, Prism Digital</t>
  </si>
  <si>
    <t>https://clutch.co/ae/agencies/digital-marketing</t>
  </si>
  <si>
    <t>Top Digital Marketing Agencies in the United Arab Emirates - Jul 2026 Rankings | Clutch.co</t>
  </si>
  <si>
    <t>Ninja Promo, Blue Beetle, Bird Marketing, Dot IT, intouch, M3.agency, INSIDEA, Admoon, Web Tonic, YouYaa, Digital Gravity, Leads Dubai, Huge, Hovi Digital Lab</t>
  </si>
  <si>
    <t>https://www.sortlist.com/s/marketing-analytics/dubai-ae</t>
  </si>
  <si>
    <t>The 10 Best Marketing Analytics Companies in Dubai - 2026 Reviews</t>
  </si>
  <si>
    <t>sortlist.com</t>
  </si>
  <si>
    <t>AlCaz Media, Momentum, M3.agency, Praxis Advertising, Ninja Promo, intouch, Bird Marketing, Pixoo Media</t>
  </si>
  <si>
    <t>https://www.maibornwolff.de/en/ai-consulting/</t>
  </si>
  <si>
    <t>AI consulting for companies from MaibornWolff</t>
  </si>
  <si>
    <t>maibornwolff.de</t>
  </si>
  <si>
    <t>MaibornWolff, Pilot</t>
  </si>
  <si>
    <t>https://think11.de/unternehmen/zertifikate/</t>
  </si>
  <si>
    <t>Zertifikate: Google, HubSpot &amp;amp; Partnerschaften | Think11</t>
  </si>
  <si>
    <t>think11.de</t>
  </si>
  <si>
    <t>Think11</t>
  </si>
  <si>
    <t>https://www.statworx.com/daten-und-ki-loesungen</t>
  </si>
  <si>
    <t>KI-Lösungen: Individuelle AI Solutions für Ihr Unternehmen | statworx</t>
  </si>
  <si>
    <t>statworx.com</t>
  </si>
  <si>
    <t>statworx</t>
  </si>
  <si>
    <t>https://www.statworx.com/en/ecosystem</t>
  </si>
  <si>
    <t>Ecosystem</t>
  </si>
  <si>
    <t>Listicles</t>
  </si>
  <si>
    <t>https://www.webtonic.io/blog/top-paid-media-agencies</t>
  </si>
  <si>
    <t>The 51 Top Paid Media Agencies as of 2026</t>
  </si>
  <si>
    <t>webtonic.io</t>
  </si>
  <si>
    <t>Listicle</t>
  </si>
  <si>
    <t>Yes</t>
  </si>
  <si>
    <t>Web Tonic, Tinuiti, Wpromote, TransUnion, Jellyfish, Merkle, Dentsu, Brainlabs, DEPT, GroupM, Metric Theory, KlientBoost, Power Digital, Disruptive Advertising, AdVenture Media, PMG, Directive, Incubeta, Hawke Media, MuteSix, Amsive</t>
  </si>
  <si>
    <t>https://www.webtonic.io/blog/best-data-driven-marketing-agencies#:~:text=Industries%20Served%3A%20Retail%2C%20Financial%20Services%2C%20Healthcare%2C%20Travel,and%20personalization%20at%20scale.%20%2D%203.%20Jellyfish.</t>
  </si>
  <si>
    <t>35 Best Data-Driven Marketing Agencies for 2026</t>
  </si>
  <si>
    <t>Web Tonic, Merkle, Dentsu, Jellyfish, Wpromote, TransUnion, Tinuiti, Ignite Visibility, KlientBoost, Metric Theory, Power Digital, Brainlabs, Hawke Media, Directive, iProspect, Seer Interactive, Amsive, Rockerbox, Incubeta, GroupM, Measured</t>
  </si>
  <si>
    <t>https://www.webtonic.io/blog/best-performance-marketing-agencies</t>
  </si>
  <si>
    <t>The 26 Best Performance Marketing Agencies for 2026</t>
  </si>
  <si>
    <t>Web Tonic, Tinuiti, Hawke Media, NoGood, Metric Theory, Disruptive Advertising, Power Digital, MuteSix, Wpromote, TransUnion, Directive, SmartSites, KlientBoost, Single Grain, Jellyfish, Incubeta, Sociallyin</t>
  </si>
  <si>
    <t>https://bind.media/insights/top-11-google-analytics-agencies-in-the-uk-2025</t>
  </si>
  <si>
    <t>Top 11 Google Analytics Agencies in the UK [2025]</t>
  </si>
  <si>
    <t>bind.media</t>
  </si>
  <si>
    <t>Bind Media, Artefact, Brainlabs, Hallam, Incubeta, PMG</t>
  </si>
  <si>
    <t>https://gripped.io/b2b-marketing/top-marketing-agencies-uk/</t>
  </si>
  <si>
    <t>Top 50 UK Marketing Agencies: Expert Picks for SEO, PPC &amp;amp; ABM</t>
  </si>
  <si>
    <t>gripped.io</t>
  </si>
  <si>
    <t>Gripped, Brainlabs, Transmission, Clarity Performance, Koozai, We Are Social, Croud, Jellyfish, Ogilvy, Measured, Saatchi &amp; Saatchi, Accenture Song, Dentsu, Publicis Groupe, iCrossing, Merkle, Push, Propellernet, Rise at Seven, Builtvisible, Passion Digital, Gravity Global, Incubeta, VCCP</t>
  </si>
  <si>
    <t>https://www.cometly.com/post/best-marketing-attribution-agencies-in-europe</t>
  </si>
  <si>
    <t>Best Marketing Attribution Agencies In Europe 2026</t>
  </si>
  <si>
    <t>Cometly, Incubeta, Artefact, Convertiv, Jellyfish, Making Science</t>
  </si>
  <si>
    <t>https://www.webtonic.io/blog/best-paid-media-agencies-us</t>
  </si>
  <si>
    <t>The 29 Best Paid Media Agencies in the US for 2026</t>
  </si>
  <si>
    <t>Web Tonic, Wpromote, TransUnion, Tinuiti, PMG, Horizon Media, KlientBoost, Disruptive Advertising, NoGood, Brainlabs, HawkSEM, The Social Shepherd, Power Digital, iProspect, Dentsu, MuteSix, LYFE Marketing, VaynerMedia, Sociallyin, inBeat, Directive, Ignite Visibility, Common Thread Collective</t>
  </si>
  <si>
    <t>https://hawkemedia.com/insights/top-performance-marketing-agencies/</t>
  </si>
  <si>
    <t>Top 25 Performance Marketing Agencies In The U.S. 2026 | Hawke Media</t>
  </si>
  <si>
    <t>hawkemedia.com</t>
  </si>
  <si>
    <t>Hawke Media, Tinuiti, Wpromote, Power Digital, WebFX, KlientBoost, Measured, Disruptive Advertising, Ignite Visibility, NP Digital, New Engen, SmartSites, NoGood, R/GA, Wieden+Kennedy, VML, Ogilvy, BBDO, 72andSunny, Monks, Merkle, Siege Media</t>
  </si>
  <si>
    <t>https://www.searchbloom.com/strategy/best-ai-seo-agency-companies-services-usa/</t>
  </si>
  <si>
    <t>Best AI SEO Companies + Services in the US 2026 (AEO/GEO) - Best AEO Agencies in USA</t>
  </si>
  <si>
    <t>searchbloom.com</t>
  </si>
  <si>
    <t>Searchbloom, The SEO Works, Tinuiti, Digital Authority Partners, Omniscient Digital, iPullRank, Seer Interactive, Single Grain, Amsive, Siege Media, Clutch</t>
  </si>
  <si>
    <t>https://beomniscient.com/blog/best-ai-marketing-agencies/</t>
  </si>
  <si>
    <t>The 5 Best AI Marketing Agencies For B2B (2026 Update) - Omniscient Digital</t>
  </si>
  <si>
    <t>beomniscient.com</t>
  </si>
  <si>
    <t>Omniscient Digital, NoGood, Optimist, Daydream, Single Grain, Measured, Clay, McKinsey</t>
  </si>
  <si>
    <t>https://www.measured.com/faq/best-incrementality-testing-companies-software-for-marketing-2026/</t>
  </si>
  <si>
    <t>Best Incrementality Testing Companies &amp;amp; Software for Marketing (2026)</t>
  </si>
  <si>
    <t>Measured, Clay, Neustar, TransUnion, Rockerbox, Haus, Recast, Analytic Partners</t>
  </si>
  <si>
    <t>https://inbeat.agency/blog/top-marketing-measurement-and-analytics-companies</t>
  </si>
  <si>
    <t>Top 15 Marketing Measurement and Analytics Firms Unlocking ROI Clarity in 2026 - inBeat Agency</t>
  </si>
  <si>
    <t>inbeat.agency</t>
  </si>
  <si>
    <t>inBeat, Nielsen, Artefact, McKinsey, Measured, WebFX</t>
  </si>
  <si>
    <t>https://www.yesoptimist.com/best-aeo-agencies/</t>
  </si>
  <si>
    <t>The Best AEO Agencies for Growing AI Visibility &amp;amp; Revenue (2026) | Optimist</t>
  </si>
  <si>
    <t>yesoptimist.com</t>
  </si>
  <si>
    <t>Optimist, Discovered Labs, iPullRank, First Page Sage, Clutch, Omniscient Digital, RevenueZen, Animalz, Siege Media, Graphite, NoGood, Seer Interactive</t>
  </si>
  <si>
    <t>https://directiveconsulting.com/blog/25-best-paid-media-agencies-that-turn-ad-spend-into-revenue/</t>
  </si>
  <si>
    <t>25 Best Paid Media Agencies For B2B - Directive</t>
  </si>
  <si>
    <t>directiveconsulting.com</t>
  </si>
  <si>
    <t>Directive, Jellyfish, Brainlabs, DEPT, Wpromote, Merkle, Seer Interactive, WebFX, KlientBoost, HawkSEM, Silverback Strategies, Disruptive Advertising, IBM, TransUnion, Dentsu, Clutch</t>
  </si>
  <si>
    <t>https://www.silverbackstrategies.com/lists/best-social-media-advertising-agencies-in-the-us-ranked-reviewed/</t>
  </si>
  <si>
    <t>Best Social Media Advertising Agencies in the U.S. in 2026 (Ranked &amp;amp; Reviewed) | Silverback Strategies</t>
  </si>
  <si>
    <t>silverbackstrategies.com</t>
  </si>
  <si>
    <t>Silverback Strategies, Clutch, Sociallyin, LYFE Marketing, NinjaPromo, Momentum</t>
  </si>
  <si>
    <t>https://inbeat.agency/blog/top-marketing-analytics-agencies#:~:text=NP%20Digital%20is%20a%20full%2Dfunnel%20analytics%20partner,rigorous%20analytics%2C%20delivering%20clarity%20across%20every%20channel.</t>
  </si>
  <si>
    <t>Top 15 Marketing Analytics Agencies Defining 2026 - inBeat Agency</t>
  </si>
  <si>
    <t>inBeat, Nielsen, NP Digital, Artefact, Forthea, Noble Studios, Momentum, McKinsey, Clutch, WebFX, IBM</t>
  </si>
  <si>
    <t>https://www.webtonic.io/blog/best-paid-social-agencies-us</t>
  </si>
  <si>
    <t>27 Best Paid Social Agencies in the US for 2026</t>
  </si>
  <si>
    <t>Web Tonic, Sociallyin, Tinuiti, Disruptive Advertising, Metric Theory, Power Digital, DEPT, Wpromote, TransUnion, Viral Nation, Jellyfish, The Social Shepherd, Ignite Visibility, MuteSix, Directive, Hawke Media</t>
  </si>
  <si>
    <t>https://www.darkroomagency.com/observatory/best-performance-marketing-agencies-in-2026#:~:text=Their%20service%20positioning%20spans%20SEO%2C%20PPC%2C%20social,a%20traditional%20agency%20in%20the%20classic%20sense.</t>
  </si>
  <si>
    <t>Best Performance Marketing Agencies for Ecommerce in 2026</t>
  </si>
  <si>
    <t>darkroomagency.com</t>
  </si>
  <si>
    <t>Darkroom, Tinuiti, Wpromote, Power Digital, Common Thread Collective, Disruptive Advertising, Ignite Visibility, WebFX, Right Side Up, Amsive, Measured, Droga5</t>
  </si>
  <si>
    <t>https://disruptiveadvertising.com/blog/business/top-us-digital-marketing-agencies/</t>
  </si>
  <si>
    <t>Top U.S. Digital Marketing Agencies In 2026 | Disruptive Advertising</t>
  </si>
  <si>
    <t>Disruptive Advertising, KlientBoost, inBeat, Silverback Strategies, Sociallyin, Funnel Boost Media</t>
  </si>
  <si>
    <t>https://nogood.io/blog/performance-marketing-agencies/</t>
  </si>
  <si>
    <t>Top Performance Marketing Agencies in 2026 | NoGood</t>
  </si>
  <si>
    <t>nogood.io</t>
  </si>
  <si>
    <t>NoGood, Traktor, inBeat, Kobe Digital, Ignite Visibility, Right Side Up, Disruptive Advertising, Wpromote, MuteSix, Power Digital, Monks, Intero Digital, Amsive, Directive, Measured, Clutch, TransUnion, Huge</t>
  </si>
  <si>
    <t>https://thesocialshepherd.com/blog/top-paid-media-agencies-us</t>
  </si>
  <si>
    <t>The Social Shepherd | Top 17 Paid Media Agencies in the U.S. (2026)</t>
  </si>
  <si>
    <t>thesocialshepherd.com</t>
  </si>
  <si>
    <t>The Social Shepherd, Marcel Digital, Disruptive Advertising</t>
  </si>
  <si>
    <t>https://www.yesoptimist.com/best-geo-agencies/</t>
  </si>
  <si>
    <t>The 7 Best GEO Agencies Driving Real Revenue from AI in 2026 | Optimist</t>
  </si>
  <si>
    <t>Optimist, Measured, Clutch, iPullRank, Siege Media, Animalz, Omniscient Digital, First Page Sage</t>
  </si>
  <si>
    <t>https://www.measured.com/faq/best-incrementality-testing-companies-software-for-marketing-2025/</t>
  </si>
  <si>
    <t>Best Incrementality Testing Companies &amp; Software for Marketing (2026)</t>
  </si>
  <si>
    <t>https://directiveconsulting.com/blog/top-performance-marketing-agencies/</t>
  </si>
  <si>
    <t>18 Best Performance Marketing Agencies For B2B - Directive</t>
  </si>
  <si>
    <t>Directive, NoGood, Common Thread Collective, Amsive, Hey Digital, Right Side Up, Wpromote, Darkroom, inBeat, Single Grain, Omniscient Digital, Seer Interactive, Brighter Click, Metric Theory, Measured, TransUnion, Clutch</t>
  </si>
  <si>
    <t>https://firstpagesage.com/seo-blog/the-top-saas-geo-aeo-agencies/</t>
  </si>
  <si>
    <t>The Top SaaS GEO / AEO Agencies of 2026 – First Page Sage</t>
  </si>
  <si>
    <t>firstpagesage.com</t>
  </si>
  <si>
    <t>First Page Sage, Clutch, Searchbloom</t>
  </si>
  <si>
    <t>https://sociallyin.com/resources/top-paid-media-agencies-us/</t>
  </si>
  <si>
    <t>Top 5 Paid Media Agencies US: An Expert 2026 Review</t>
  </si>
  <si>
    <t>sociallyin.com</t>
  </si>
  <si>
    <t>Sociallyin, Wpromote, Marcel Digital, Tinuiti, Momentum</t>
  </si>
  <si>
    <t>https://www.superside.com/blog/creative-agencies</t>
  </si>
  <si>
    <t>14 Best Creative Agencies That Make Brands Stand Out in 2026</t>
  </si>
  <si>
    <t>superside.com</t>
  </si>
  <si>
    <t>Superside, Giant Spoon, Wieden+Kennedy, Huge, Ogilvy</t>
  </si>
  <si>
    <t>https://www.cometly.com/post/marketing-incrementality-testing-tools</t>
  </si>
  <si>
    <t>9 Best Marketing Incrementality Testing Tools 2026</t>
  </si>
  <si>
    <t>Cometly, Measured, Rockerbox, Northbeam, LifeSight, Haus, Recast</t>
  </si>
  <si>
    <t>https://directiveconsulting.com/blog/best-marketing-data-agency/</t>
  </si>
  <si>
    <t>18 Best Marketing Data Agencies for B2B - Directive</t>
  </si>
  <si>
    <t>Directive, RevPartners, KlientBoost, Brainlabs, Power Digital, Measured, Clutch</t>
  </si>
  <si>
    <t>https://percepture.com/geo-insights/best-ai-seo-agencies-usa/</t>
  </si>
  <si>
    <t>Best AI SEO Agencies In The USA: Search Growth Guide for</t>
  </si>
  <si>
    <t>percepture.com</t>
  </si>
  <si>
    <t>Percepture, Daydream, iPullRank, First Page Sage, Siege Media, Intero Digital, WebFX, Searchbloom</t>
  </si>
  <si>
    <t>https://inbeat.agency/blog/top-advertising-agencies</t>
  </si>
  <si>
    <t>Leading Advertising Agencies in the USA - inBeat Agency</t>
  </si>
  <si>
    <t>inBeat, Nielsen, Wieden+Kennedy, Droga5, BBDO, 72andSunny, Anomaly, Ogilvy, Accenture Song, WPP, IBM</t>
  </si>
  <si>
    <t>https://thesocialshepherd.com/blog/top-paid-social-agencies-us</t>
  </si>
  <si>
    <t>The Social Shepherd | Top 17 Paid Social Agencies in the U.S. (2026)</t>
  </si>
  <si>
    <t>The Social Shepherd, Disruptive Advertising, Jellyfish, Tinuiti, iProspect</t>
  </si>
  <si>
    <t>https://www.webtonic.io/blog/top-performance-marketing-agencies-us</t>
  </si>
  <si>
    <t>The 50 Top Performance Marketing Agencies in the US as of 2026</t>
  </si>
  <si>
    <t>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t>
  </si>
  <si>
    <t>https://nogood.io/blog/marketing-agencies-usa/#:~:text=%2D%20NoGood.%20Born%20in%20New%20York%20City,%2D%20BBDO.%20%2D%20Digitas.%20%2D%20Disruptive%20Advertising.</t>
  </si>
  <si>
    <t>Top Digital Marketing Agencies In The USA (2026)</t>
  </si>
  <si>
    <t>NoGood, Ogilvy, DEPT, Disruptive Advertising, Ignite Visibility, Clutch, IBM, BBDO, Digitas, Publicis Groupe, Wieden+Kennedy, Dentsu, Monks, Major Tom, LYFE Marketing, Funnel Boost Media, Metric Theory</t>
  </si>
  <si>
    <t>https://sociallyin.com/resources/top-google-ads-agencies-us/</t>
  </si>
  <si>
    <t>Top 15 Google Ads Agencies in the US: 2026 Review</t>
  </si>
  <si>
    <t>Sociallyin, WebFX, SmartSites, AdVenture Media, Ignite Visibility, Disruptive Advertising, KlientBoost, Single Grain, Thrive Internet Marketing Agency, Measured</t>
  </si>
  <si>
    <t>https://www.haus.io/blog/choosing-the-best-incrementality-testing-tool</t>
  </si>
  <si>
    <t>Incrementality Testing: How to Choose the Best Tool</t>
  </si>
  <si>
    <t>haus.io</t>
  </si>
  <si>
    <t>Haus, Anomaly</t>
  </si>
  <si>
    <t>https://www.silverbackstrategies.com/lists/best-ai-search-agencies-in-2026-ranked-reviewed/</t>
  </si>
  <si>
    <t>Best AI Search Agencies in 2026 (Ranked &amp;amp; Reviewed) | Silverback Strategies</t>
  </si>
  <si>
    <t>Silverback Strategies, Clutch, WebFX, Directive, Brainlabs, Omniscient Digital, Measured</t>
  </si>
  <si>
    <t>https://thriveagency.com/news/top-generative-engine-optimization-geo-agencies/</t>
  </si>
  <si>
    <t>AI Vis. Rank</t>
  </si>
  <si>
    <t>10 Top Generative Engine Optimization (GEO) Agencies in 2026</t>
  </si>
  <si>
    <t>thriveagency.com</t>
  </si>
  <si>
    <t xml:space="preserve">Website </t>
  </si>
  <si>
    <t>DR</t>
  </si>
  <si>
    <t>Thrive Internet Marketing Agency, Siege Media, Victorious, Power Digital, Percepture, Go Fish Digital, Directive, Measured</t>
  </si>
  <si>
    <t>AIO</t>
  </si>
  <si>
    <t>https://www.yesoptimist.com/best-ai-seo-agencies/</t>
  </si>
  <si>
    <t>CoPilot</t>
  </si>
  <si>
    <t>The 7 Best AI SEO Agencies Helping Clients Win AI Search in 2026 | Optimist</t>
  </si>
  <si>
    <t>Measured, Optimist, iPullRank, Omniscient Digital, RevenueZen, Siege Media, Single Grain, Clutch, Seer Interactive, Intero Digital</t>
  </si>
  <si>
    <t>https://lifesight.io/blog/best-incrementality-testing-tools/</t>
  </si>
  <si>
    <t>6 Best Incrementality Testing Tools in 2025 [UPDATED] - Lifesight</t>
  </si>
  <si>
    <t>lifesight.io</t>
  </si>
  <si>
    <t>LifeSight, Haus, Measured, Recast, LiftLab, Northbeam, Triple Whale</t>
  </si>
  <si>
    <t>https://thesocialshepherd.com/blog/top-creative-agencies-us</t>
  </si>
  <si>
    <t>The Social Shepherd | Top 17 Creative Agencies in the U.S. (2026)</t>
  </si>
  <si>
    <t>Brainlabs</t>
  </si>
  <si>
    <t>The Social Shepherd, inBeat, Dentsu</t>
  </si>
  <si>
    <t>brainlabsdigital.com</t>
  </si>
  <si>
    <t>https://www.searchbloom.com/strategy/5-top-rated-google-ads-agencies/</t>
  </si>
  <si>
    <t>5 Top-Rated Google Ads Agencies for 2026</t>
  </si>
  <si>
    <t>Searchbloom, BCG, LYFE Marketing, Clutch, Measured, KlientBoost, Disruptive Advertising</t>
  </si>
  <si>
    <t>https://segmentstream.com/blog/articles/top-10-incrementality-testing-tools</t>
  </si>
  <si>
    <t>10 Best Incrementality Testing Tools (2026) — SegmentStream</t>
  </si>
  <si>
    <t>SegmentStream, Measured, Haus, LifeSight, Rockerbox, Recast, LiftLab, INCRMNTAL</t>
  </si>
  <si>
    <t>https://nogood.io/blog/ai-marketing-agency/</t>
  </si>
  <si>
    <t>Top 5 AI Marketing Agencies for Growth in 2026 | NoGood</t>
  </si>
  <si>
    <t>NoGood, Keenfolks, Single Grain, inBeat</t>
  </si>
  <si>
    <t>https://www.darkroomagency.com/observatory/the-12-top-rated-paid-media-agencies-this-year</t>
  </si>
  <si>
    <t>Top-Rated Paid Media Agencies for Scalable Growth</t>
  </si>
  <si>
    <t>Darkroom, Tinuiti, NoGood, Power Digital, MuteSix, Disruptive Advertising, Wpromote, HawkSEM, LYFE Marketing, Directive, inBeat, Droga5</t>
  </si>
  <si>
    <t>https://disruptiveadvertising.com/blog/business/best-ppc-agencies-in-the-us/</t>
  </si>
  <si>
    <t>Best PPC Agencies In The U.S For 2026 | Disruptive Advertising</t>
  </si>
  <si>
    <t>Disruptive Advertising, Momentum, KlientBoost, SmartSites, Silverback Strategies, Single Grain, Clutch, HawkSEM, Intero Digital</t>
  </si>
  <si>
    <t>https://www.webtonic.io/blog/top-display-advertising-agencies</t>
  </si>
  <si>
    <t>The 50 Top Display Advertising Agencies as of 2026</t>
  </si>
  <si>
    <t>Found</t>
  </si>
  <si>
    <t>joinfound.com</t>
  </si>
  <si>
    <t>Web Tonic, WPP, GroupM, Measured, AdVenture Media</t>
  </si>
  <si>
    <t>https://beomniscient.com/blog/best-analytics-agency/</t>
  </si>
  <si>
    <t>The 6 Best Web Analytics Agencies in 2026 - Omniscient Digital</t>
  </si>
  <si>
    <t>Omniscient Digital, Seer Interactive, Evolytics, Huge</t>
  </si>
  <si>
    <t>https://www.hockeystack.com/blog-posts/best-marketing-attribution-software</t>
  </si>
  <si>
    <t>19 Best Marketing Attribution Software Solutions Reviewed for 2026</t>
  </si>
  <si>
    <t>hockeystack.com</t>
  </si>
  <si>
    <t>HockeyStack, Ruler Analytics, Anomaly, Triple Whale, Rockerbox, Northbeam</t>
  </si>
  <si>
    <t>Croud</t>
  </si>
  <si>
    <t>croud.com</t>
  </si>
  <si>
    <t>https://sociallyin.com/resources/top-paid-social-agencies-us/</t>
  </si>
  <si>
    <t>Top 5 Paid Social Agencies US for 2026: An Expert Review</t>
  </si>
  <si>
    <t>Sociallyin, Tinuiti, Power Digital, VaynerMedia, NP Digital, Clutch</t>
  </si>
  <si>
    <t>https://stratabeat.com/best-geo-agency/#:~:text=%23%20%233%20iPullRank%20Headquarters%20%7C%20New%20York%2C,Pricing%20%7C%20Custom%20%E2%80%94%20contact%20for%20quote</t>
  </si>
  <si>
    <t>The 10 Best GEO Agencies in 2026 | Stratabeat</t>
  </si>
  <si>
    <t>stratabeat.com</t>
  </si>
  <si>
    <t>Stratabeat, Clutch, Go Fish Digital, iPullRank, First Page Sage, Omniscient Digital, RevenueZen, Avenue Z</t>
  </si>
  <si>
    <t>Push</t>
  </si>
  <si>
    <t>pushdigitalagency.co.uk</t>
  </si>
  <si>
    <t>https://thesocialshepherd.com/blog/top-google-ads-agencies-us</t>
  </si>
  <si>
    <t>The Social Shepherd | Top 17 Google Ads Agencies in the U.S. (2026)</t>
  </si>
  <si>
    <t>The Social Shepherd, KlientBoost, Directive, Metric Theory, WebFX, Single Grain</t>
  </si>
  <si>
    <t>https://thesocialshepherd.com/blog/top-social-media-agencies-us</t>
  </si>
  <si>
    <t>The Social Shepherd | Top 17 Social Media Marketing Agencies in the…</t>
  </si>
  <si>
    <t>The Social Shepherd, inBeat, Ignite Visibility</t>
  </si>
  <si>
    <t>https://thriveagency.com/news/best-digital-marketing-agencies/</t>
  </si>
  <si>
    <t>20 Best Digital Marketing Agencies in 2026 | Thrive Agency</t>
  </si>
  <si>
    <t>Thrive Internet Marketing Agency, Disruptive Advertising, Power Digital, Intero Digital, KlientBoost, NP Digital, Directive, Victorious, VaynerMedia, Ogilvy, Tinuiti, Refine Labs, Single Grain, Major Tom</t>
  </si>
  <si>
    <t>https://www.cometly.com/post/marketing-attribution-tools-for-agencies</t>
  </si>
  <si>
    <t>Best Marketing Attribution Tools For Agencies 2026</t>
  </si>
  <si>
    <t>Hallam</t>
  </si>
  <si>
    <t>Cometly, Triple Whale, Northbeam, Rockerbox, Ruler Analytics</t>
  </si>
  <si>
    <t>hallam.agency</t>
  </si>
  <si>
    <t>https://thesocialshepherd.com/blog/top-performance-marketing-agencies-us</t>
  </si>
  <si>
    <t>The Social Shepherd | Top 17 Performance Marketing Agencies in the…</t>
  </si>
  <si>
    <t>The Social Shepherd, Single Grain, Tinuiti, Power Digital</t>
  </si>
  <si>
    <t>https://www.cometly.com/post/best-top-marketing-attribution-firms-in-usa</t>
  </si>
  <si>
    <t>Top Marketing Attribution Firms In Usa: 2026 Guide</t>
  </si>
  <si>
    <t>Cometly, Triple Whale, Northbeam, Rockerbox, Measured</t>
  </si>
  <si>
    <t>https://www.cometly.com/post/incrementality-measurement-tool</t>
  </si>
  <si>
    <t>9 Best Incrementality Measurement Tools: 2026 Guide</t>
  </si>
  <si>
    <t>The Social Shepherd</t>
  </si>
  <si>
    <t>Cometly, Measured, Rockerbox, Northbeam, Recast, Haus</t>
  </si>
  <si>
    <t>https://beomniscient.com/blog/growth-marketing-agency/#:~:text=Growth%20Marketing%20Pro.%20Olivine%20Marketing.%201.%20%2D,Disruptive%20Advertising.%20%2D%20Skale.%20%2D%20Directive%20Consulting.</t>
  </si>
  <si>
    <t>The 16 Best Growth Marketing Agencies in 2026 - Omniscient Digital</t>
  </si>
  <si>
    <t>Omniscient Digital, Ignite Visibility, Single Grain, Disruptive Advertising, NoGood, Directive, Graphite, NP Digital, Superside, Momentum</t>
  </si>
  <si>
    <t>https://firstpagesage.com/seo-blog/the-top-growth-marketing-agencies/#:~:text=Power%20Digital%20is%20a%20tech%2Denabled%20growth%20marketing,forecasts%2C%20and%20tracks%20attribution%20across%20every%20channel.</t>
  </si>
  <si>
    <t>The Top Growth Marketing Agencies in 2026 – First Page Sage</t>
  </si>
  <si>
    <t>First Page Sage, Power Digital, Disruptive Advertising</t>
  </si>
  <si>
    <t>https://www.measured.com/faq/top-10-best-media-mix-modeling-companies-software-for-2026/</t>
  </si>
  <si>
    <t>Top 11 Best Media Mix Modeling Companies &amp; Software for 2026 \| Measured®</t>
  </si>
  <si>
    <t>Jellyfish</t>
  </si>
  <si>
    <t>jellyfish.com</t>
  </si>
  <si>
    <t>Measured, Clay, Nielsen, Analytic Partners, Kantar, Neustar, TransUnion, Gain Theory, WPP, Recast, Anomaly, Haus, Rockerbox</t>
  </si>
  <si>
    <t>https://ninjapromo.io/best-ai-marketing-agencies</t>
  </si>
  <si>
    <t>Top 8 AI Marketing Agencies for AI-Driven Digital Campaigns in 2026</t>
  </si>
  <si>
    <t>ninjapromo.io</t>
  </si>
  <si>
    <t>NinjaPromo, Keenfolks, Clutch, IBM, McKinsey</t>
  </si>
  <si>
    <t>https://www.silverbackstrategies.com/lists/best-google-ads-agencies-in-the-us-ranked-reviewed/</t>
  </si>
  <si>
    <t>Best Google Ads Agencies in the U.S. in 2026 (Ranked &amp;amp; Reviewed) | Silverback Strategies</t>
  </si>
  <si>
    <t>Silverback Strategies, Measured, Clutch, Intero Digital, Elit-Web</t>
  </si>
  <si>
    <t>Push Group</t>
  </si>
  <si>
    <t>pushgroup.co.uk</t>
  </si>
  <si>
    <t>https://www.webtonic.io/blog/best-performance-marketing-agencies-2026#:~:text=Great%20For%3A%20Mid%2Dmarket%20to%20enterprise%2Dlevel%20businesses%20requiring,and%20advanced%20analytics%20to%20drive%20measurable%20results.</t>
  </si>
  <si>
    <t>28 Best Performance Marketing Agencies for 2026</t>
  </si>
  <si>
    <t>Web Tonic, Tinuiti, Wpromote, TransUnion, Metric Theory, Brainlabs, Jellyfish, Croud, Amsive, MuteSix, KlientBoost, Disruptive Advertising, NoGood, Power Digital, Directive, Hawke Media, Ignite Visibility, Single Grain, AdVenture Media</t>
  </si>
  <si>
    <t>https://percepture.com/geo-insights/best-generative-ai-seo-agencies/</t>
  </si>
  <si>
    <t>Best Generative AI SEO Agencies in 2026 | Percepture</t>
  </si>
  <si>
    <t>Percepture, iPullRank, Siege Media, First Page Sage, Intero Digital, WebFX, Go Fish Digital, Searchbloom</t>
  </si>
  <si>
    <t>https://beomniscient.com/blog/aeo-agency/</t>
  </si>
  <si>
    <t>Best AEO Agency for B2B SaaS: 5 That Prove Their Worth - Omniscient Digital</t>
  </si>
  <si>
    <t>ClickSlice</t>
  </si>
  <si>
    <t>clickslice.co.uk</t>
  </si>
  <si>
    <t>Omniscient Digital, Optimist, Discovered Labs, Measured</t>
  </si>
  <si>
    <t>https://beomniscient.com/blog/geo-agencies/</t>
  </si>
  <si>
    <t>The 6 Best GEO Agencies for B2B SaaS Brands in 2026 - Omniscient Digital</t>
  </si>
  <si>
    <t>Omniscient Digital, Discovered Labs, NoGood, iPullRank</t>
  </si>
  <si>
    <t>https://directiveconsulting.com/blog/best-geo-agencies/</t>
  </si>
  <si>
    <t>25 Best GEO Agencies For B2B - Directive</t>
  </si>
  <si>
    <t>Directive, iPullRank, Omniscient Digital, Intero Digital, WebFX, First Page Sage, Single Grain, Siege Media, RevenueZen, Victorious, Animalz, IBM, Clutch</t>
  </si>
  <si>
    <t>weDiscover</t>
  </si>
  <si>
    <t>we-discover.com</t>
  </si>
  <si>
    <t>https://directiveconsulting.com/uk/blog/best-geo-agencies/</t>
  </si>
  <si>
    <t>https://firstpagesage.com/seo-blog/the-top-answer-engine-optimization-aeo-companies/</t>
  </si>
  <si>
    <t>The Top Answer Engine Optimization (AEO) Companies of 2026 – First Page Sage</t>
  </si>
  <si>
    <t>First Page Sage, iPullRank, Avenue Z, Omniscient Digital, Marcel Digital</t>
  </si>
  <si>
    <t>https://inbeat.agency/blog/top-creative-agencies</t>
  </si>
  <si>
    <t>Top 16 Creative Agencies Setting the Standard in 2026 - inBeat Agency</t>
  </si>
  <si>
    <t>Bind Media</t>
  </si>
  <si>
    <t>inBeat, Nielsen, WPP, Wieden+Kennedy, Anomaly, 72andSunny, DEPT, Momentum, Ogilvy</t>
  </si>
  <si>
    <t>https://segmentstream.com/blog/articles/top-enterprise-marketing-analytics-and-attribution-platforms</t>
  </si>
  <si>
    <t>10 Best Enterprise Marketing Analytics &amp;amp; Attribution Platforms in 2026 — SegmentStream</t>
  </si>
  <si>
    <t>SegmentStream, Measured, Rockerbox, LifeSight</t>
  </si>
  <si>
    <t>https://www.singlegrain.com/artificial-intelligence/top-14-ai-marketing-agencies-in-2025/</t>
  </si>
  <si>
    <t>Top 14 AI Marketing Agencies in 2025: Expert Analysis &amp;amp; Rankings</t>
  </si>
  <si>
    <t>The SEO Works</t>
  </si>
  <si>
    <t>seoworks.co.uk</t>
  </si>
  <si>
    <t>singlegrain.com</t>
  </si>
  <si>
    <t>Single Grain, VML, Superside, Major Tom, Ignite Visibility</t>
  </si>
  <si>
    <t>https://firstpagesage.com/seo-blog/the-top-generative-engine-optimization-geo-agencies/</t>
  </si>
  <si>
    <t>The Top Generative Engine Optimization (GEO) Agencies of 2026 – First Page Sage</t>
  </si>
  <si>
    <t>First Page Sage</t>
  </si>
  <si>
    <t>https://firstpagesage.com/seo-blog/top-digital-marketing-agencies/</t>
  </si>
  <si>
    <t>The Top Digital Marketing Agencies of 2026 – First Page Sage</t>
  </si>
  <si>
    <t>First Page Sage, Viral Nation, Epsilon, Sociallyin, Metric Theory, Clay</t>
  </si>
  <si>
    <t>Open Partners</t>
  </si>
  <si>
    <t>open.partners</t>
  </si>
  <si>
    <t>https://inbeat.agency/blog/top-digital-marketing-agencies-in-the-us</t>
  </si>
  <si>
    <t>The Digital Marketing Agencies We'd Consider First in the US - inBeat Agency</t>
  </si>
  <si>
    <t>inBeat, Nielsen, WebFX, Disruptive Advertising, NoGood, Victorious, Thrive Internet Marketing Agency, Directive, Tinuiti, Clutch, Wpromote, Power Digital, SmartSites, KlientBoost, HawkSEM, Siege Media, Seer Interactive, Intero Digital, Measured, Graphite</t>
  </si>
  <si>
    <t>https://www.cometly.com/post/incrementality-testing-software</t>
  </si>
  <si>
    <t>Best Incrementality Testing Software Tools Guide 2026</t>
  </si>
  <si>
    <t>Cometly, Measured, Rockerbox, Northbeam, Haus, Recast</t>
  </si>
  <si>
    <t>Tilio</t>
  </si>
  <si>
    <t>https://www.measured.com/faq/top-10-best-media-mix-modeling-companies-software-for-2025/</t>
  </si>
  <si>
    <t>Top 10 Best Media Mix Modeling Companies &amp; Software for 2026</t>
  </si>
  <si>
    <t>Measured, Nielsen, Circana, Analytic Partners, Kantar, Neustar, TransUnion, Gain Theory, WPP, Recast</t>
  </si>
  <si>
    <t>https://www.singlegrain.com/aeo/top-14-aeo-agencies-in-2025/</t>
  </si>
  <si>
    <t>Top 14 AEO Agencies in 2025</t>
  </si>
  <si>
    <t>Single Grain, NoGood, RevenueZen, iPullRank, WebFX, First Page Sage, SmartSites, Siege Media</t>
  </si>
  <si>
    <t>https://www.superside.com/blog/ad-creative-agencies</t>
  </si>
  <si>
    <t>12 Top Ad Creative Agencies for Enterprises &amp;amp; Brands (2026)</t>
  </si>
  <si>
    <t>Rank4AI</t>
  </si>
  <si>
    <t>Superside, Anomaly, Droga5, Wieden+Kennedy, 72andSunny, Ogilvy, Accenture Song, BBDO</t>
  </si>
  <si>
    <t>https://www.superside.com/blog/ai-design-agencies</t>
  </si>
  <si>
    <t>Top 11 AI Design Agencies &amp;amp; Studios for Creative Innovation in 2026</t>
  </si>
  <si>
    <t>Superside, McKinsey, Clutch, Pentagram, Major Tom, Huge</t>
  </si>
  <si>
    <t>https://inbeat.agency/blog/top-social-media-agencies-in-the-us</t>
  </si>
  <si>
    <t>21 US Social Media Agencies We Vetted (Based on Real Data) - inBeat Agency</t>
  </si>
  <si>
    <t>inBeat, Nielsen, Clutch, Sociallyin, LYFE Marketing, VaynerMedia, NoGood, Tinuiti, Wpromote, MuteSix, NinjaPromo, Huge, Momentum</t>
  </si>
  <si>
    <t>Dentsu</t>
  </si>
  <si>
    <t>dentsu.com</t>
  </si>
  <si>
    <t>https://ninjapromo.io/top-display-advertising-agencies</t>
  </si>
  <si>
    <t>Top 8 Display Advertising Agencies That Get You Seen in 2026</t>
  </si>
  <si>
    <t>NinjaPromo, Measured, Momentum, Clutch</t>
  </si>
  <si>
    <t>https://www.searchbloom.com/strategy/best-ppc-agencies-usa/</t>
  </si>
  <si>
    <t>Best PPC Agencies 2026: 20 Top Companies in USA Ranked by Data</t>
  </si>
  <si>
    <t>Searchbloom, Clutch, HawkSEM, Disruptive Advertising, KlientBoost, Directive, Power Digital, AdVenture Media, Metric Theory, Monks, Measured</t>
  </si>
  <si>
    <t>https://www.silverbackstrategies.com/lists/best-geo-agencies-generative-engine-optimization-in-2026-ranked-reviewed/</t>
  </si>
  <si>
    <t>Best GEO Agencies (Generative Engine Optimization) in 2026 (Ranked &amp;amp; Reviewed) | Silverback Strategies</t>
  </si>
  <si>
    <t>Silverback Strategies, Clutch, Siege Media, Omniscient Digital, Victorious, Go Fish Digital, Graphite, Measured</t>
  </si>
  <si>
    <t>Polaris</t>
  </si>
  <si>
    <t>polarisagency.com</t>
  </si>
  <si>
    <t>https://www.webtonic.io/blog/best-digital-marketing-agencies-usa</t>
  </si>
  <si>
    <t>41 Top Digital Marketing Agencies in the US for 2026</t>
  </si>
  <si>
    <t>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t>
  </si>
  <si>
    <t>https://www.webtonic.io/blog/top-creative-agencies</t>
  </si>
  <si>
    <t>The 52 Top Creative Agencies as of 2026</t>
  </si>
  <si>
    <t>Web Tonic, Wieden+Kennedy, Droga5, Accenture Song, BBDO, Ogilvy, WPP, IBM, 72andSunny, R/GA, TBWA\Chiat\Day, Anomaly, Huge</t>
  </si>
  <si>
    <t>Passion Digital</t>
  </si>
  <si>
    <t>passion.digital</t>
  </si>
  <si>
    <t>https://www.darkroomagency.com/observatory/10-best-growth-marketing-agencies-in-2026-(ranked-for-online-sales)#:~:text=Brainlabs%20can%20be%20a%20strong,that%20experimentation%20extends%20beyond%20media.</t>
  </si>
  <si>
    <t>Growth Marketing Solutions: 10 Best Agencies (2026)</t>
  </si>
  <si>
    <t>Darkroom, Tinuiti, Wpromote, Brainlabs, Common Thread Collective, Disruptive Advertising, Power Digital, NoGood, Right Side Up, KlientBoost, Droga5</t>
  </si>
  <si>
    <t>https://directiveconsulting.com/blog/best-google-ads-agencies/</t>
  </si>
  <si>
    <t>20 Best Google Ads Agencies For B2B - Directive</t>
  </si>
  <si>
    <t>Directive, Disruptive Advertising, KlientBoost, Single Grain, Ignite Visibility, WebFX, HawkSEM, SmartSites, Monks, Thrive Internet Marketing Agency, Wpromote, Amsive, NoGood, TransUnion, Clutch</t>
  </si>
  <si>
    <t>https://firstpagesage.com/seo-blog/the-top-industrial-geo-aeo-agencies/</t>
  </si>
  <si>
    <t>The Top Industrial GEO/AEO Agencies of 2026 – First Page Sage</t>
  </si>
  <si>
    <t>VXTX</t>
  </si>
  <si>
    <t>vxtx.co.uk</t>
  </si>
  <si>
    <t>First Page Sage, Measured</t>
  </si>
  <si>
    <t>https://sociallyin.com/resources/top-creative-agencies-us/</t>
  </si>
  <si>
    <t>Top 5 Creative Agencies US Reviewed &amp;amp; Ranked for 2026</t>
  </si>
  <si>
    <t>Sociallyin, McKinsey, inBeat, DEPT, Momentum</t>
  </si>
  <si>
    <t>https://www.cometly.com/post/marketing-attribution-consultant-services</t>
  </si>
  <si>
    <t>Best Marketing Attribution Consultant Services 2026</t>
  </si>
  <si>
    <t>Cometly, Measured, Rockerbox, Northbeam, Triple Whale, Ruler Analytics</t>
  </si>
  <si>
    <t>Dept</t>
  </si>
  <si>
    <t>deptagency.com</t>
  </si>
  <si>
    <t>https://directiveconsulting.com/blog/25-best-advertising-agencies-built-for-media-momentum/</t>
  </si>
  <si>
    <t>25 Best Advertising Agencies For B2B - Directive</t>
  </si>
  <si>
    <t>Directive, Momentum, Refine Labs, Tinuiti, PMG, Seer Interactive, Jellyfish, Wpromote, Accelerated Digital Media, KlientBoost, Merkle, iProspect, Croud, R/GA, Monks, AKQA, Measured, IBM, Clutch</t>
  </si>
  <si>
    <t>https://www.hockeystack.com/blog-posts/best-marketing-analytics-platforms#:~:text=Enterprise%20plan%3A%20Starts%20at%20%E2%82%AC3%2C300%20per%20month%2C,standardize%20incoming%20data%20into%20one%20consistent%20format.</t>
  </si>
  <si>
    <t>12 Best Marketing Analytics Platforms for 2026 [According to Real Users]</t>
  </si>
  <si>
    <t>HockeyStack, Ruler Analytics, Huge, Triple Whale</t>
  </si>
  <si>
    <t>https://segmentstream.com/blog/articles/best-attribution-tools</t>
  </si>
  <si>
    <t>10 Best Marketing Attribution Tools &amp;amp; Platforms (2026) — SegmentStream</t>
  </si>
  <si>
    <t>We Are Social</t>
  </si>
  <si>
    <t>wearesocial.com</t>
  </si>
  <si>
    <t>SegmentStream, Triple Whale, Northbeam, Measured, Rockerbox, Ruler Analytics, Anomaly</t>
  </si>
  <si>
    <t>https://www.silverbackstrategies.com/lists/best-digital-marketing-agencies-in-the-us-rank-reviewed/</t>
  </si>
  <si>
    <t>Best Digital Marketing Agencies in the U.S. in 2026 (Ranked &amp;amp; Reviewed) | Silverback Strategies</t>
  </si>
  <si>
    <t>Silverback Strategies, Clutch, Disruptive Advertising, Elit-Web, Accelerated Digital Media</t>
  </si>
  <si>
    <t>https://www.thekeenfolks.com/blog-article/best-performance-marketing-agencies#:~:text=Best%20For%3A%20Mid%2Dmarket%20to%20enterprise%20companies%20focused,clients%20a%20concrete%20baseline%20for%20evaluating%20performance.</t>
  </si>
  <si>
    <t>The Best Performance Marketing Agencies for Enterprise Growth</t>
  </si>
  <si>
    <t>thekeenfolks.com</t>
  </si>
  <si>
    <t>Keenfolks, Tinuiti, DEPT, Croud, Ignite Visibility, Disruptive Advertising, WebFX</t>
  </si>
  <si>
    <t>Journey Further</t>
  </si>
  <si>
    <t>journeyfurther.com</t>
  </si>
  <si>
    <t>https://www.webtonic.io/blog/top-enterprise-digital-marketing-agencies#:~:text=Their%20capabilities%20include%20advanced%20analytics%2C%20marketing%20automation,Columbia%20(Maryland)%2C%20New%20York%2C%20London%2C%20Global%20offices.</t>
  </si>
  <si>
    <t>40 Top Enterprise Digital Marketing Agencies for 2026</t>
  </si>
  <si>
    <t>Web Tonic, Publicis Sapient, Merkle, Dentsu, Accenture Song, VML, Deloitte Digital, iProspect, R/GA, Huge, Digitas, Epsilon, PwC, Ogilvy, IBM, GroupM, DEPT, WPP</t>
  </si>
  <si>
    <t>https://avenuez.com/blog/top-answer-engine-optimization-aeo-agencies/</t>
  </si>
  <si>
    <t>Top Answer Engine Optimization (AEO) Agencies of 2025 - Avenue Z</t>
  </si>
  <si>
    <t>avenuez.com</t>
  </si>
  <si>
    <t>Avenue Z, First Page Sage, Siege Media, NoGood, Thrive Internet Marketing Agency</t>
  </si>
  <si>
    <t>https://avenuez.com/blog/top-paid-ads-agencies-in-the-u-s/</t>
  </si>
  <si>
    <t>Top Paid Ads Agencies in the U.S. - Avenue Z</t>
  </si>
  <si>
    <t>Avenue Z, Disruptive Advertising, NoGood, Wpromote, Marcel Digital, IBM, Power Digital</t>
  </si>
  <si>
    <t>https://www.cometly.com/post/attribution-tools-for-digital-marketing-agencies</t>
  </si>
  <si>
    <t>9 Best Attribution Tools For Digital Marketing Agencies</t>
  </si>
  <si>
    <t>https://www.cometly.com/post/marketing-attribution-platform-for-agencies#:~:text=1.,full%20customer%20journey%20in%20real</t>
  </si>
  <si>
    <t>Best Marketing Attribution Platform For Agencies 2026</t>
  </si>
  <si>
    <t>Cometly, Triple Whale, Rockerbox, Northbeam, HockeyStack, Ruler Analytics</t>
  </si>
  <si>
    <t>https://directiveconsulting.com/blog/best-programmatic-ad-agencies/</t>
  </si>
  <si>
    <t>17 Best Programmatic Advertising Agencies For B2B - Directive</t>
  </si>
  <si>
    <t>Directive, Tinuiti, Merkle, Wpromote, Monks, Brainlabs, PMG, Jellyfish, Croud, iProspect, Kepler Group, TransUnion, IBM, Clutch</t>
  </si>
  <si>
    <t>https://directiveconsulting.com/blog/the-best-b2b-marketing-agencies-for-technology-companies-in-2026/</t>
  </si>
  <si>
    <t>25 Best B2B Marketing Agencies For B2B Technology Companies</t>
  </si>
  <si>
    <t>Merkle</t>
  </si>
  <si>
    <t>merkle.com</t>
  </si>
  <si>
    <t>Directive, Refine Labs, Merkle, Jellyfish, AKQA, R/GA, Monks, DEPT, Bounteous, Seer Interactive, Wpromote, iProspect, Tinuiti, Victorious, PMG, WebFX, Croud, Measured, Momentum, IBM, Clutch</t>
  </si>
  <si>
    <t>https://inbeat.agency/blog/top-performance-creative-agencies</t>
  </si>
  <si>
    <t>Performance Creative Agencies: 15 Worth a First Call (2026) - inBeat Agency</t>
  </si>
  <si>
    <t>inBeat, Nielsen, Brighter Click, Tinuiti, Darkroom, Bark London</t>
  </si>
  <si>
    <t>https://sociallyin.com/resources/top-performance-marketing-agencies-us/</t>
  </si>
  <si>
    <t>Top 5 Performance Marketing Agencies in the US for 2026</t>
  </si>
  <si>
    <t>Sociallyin, Wpromote, TransUnion, Tinuiti, Disruptive Advertising, Merkle, Clutch, Measured, McKinsey</t>
  </si>
  <si>
    <t>https://www.superside.com/blog/creative-agencies-new-york</t>
  </si>
  <si>
    <t>15 Top Creative Agencies in New York City for 2026</t>
  </si>
  <si>
    <t>Superside</t>
  </si>
  <si>
    <t>https://www.webtonic.io/blog/best-ai-marketing-agencies</t>
  </si>
  <si>
    <t>34 Best AI Marketing Agencies for 2026</t>
  </si>
  <si>
    <t>Web Tonic, Anomaly, IBM, Ogilvy</t>
  </si>
  <si>
    <t>https://www.webtonic.io/blog/best-google-ads-agencies-us</t>
  </si>
  <si>
    <t>Top 32 Google Ads Agencies in the US (2026 Edition)</t>
  </si>
  <si>
    <t>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t>
  </si>
  <si>
    <t>https://www.webtonic.io/blog/top-advertising-agencies-us#:~:text=MullenLowe,Zulu%20Alpha</t>
  </si>
  <si>
    <t>42 Top Advertising Agencies in the US for 2026</t>
  </si>
  <si>
    <t>Bark London</t>
  </si>
  <si>
    <t>bark.london</t>
  </si>
  <si>
    <t>Web Tonic, 72andSunny, AKQA, Anomaly, BBDO, Dentsu, Droga5, Momentum, Ogilvy, IBM, Publicis Groupe, R/GA, TBWA\Chiat\Day, Wieden+Kennedy, Wpromote, VML</t>
  </si>
  <si>
    <t>https://www.animalz.co/blog/best-aeo-agencies</t>
  </si>
  <si>
    <t>10 Best AEO/GEO Agencies - Animalz</t>
  </si>
  <si>
    <t>animalz.co</t>
  </si>
  <si>
    <t>Animalz, First Page Sage, NoGood, Omniscient Digital, iPullRank, RevenueZen, Go Fish Digital, Avenue Z, Stratabeat, Momentum</t>
  </si>
  <si>
    <t>https://clutch.co/agencies/performance-marketing%3Fpage%3D0</t>
  </si>
  <si>
    <t>Top Performance Marketing Agencies - Jul 2026 Rankings \| Clutch.co</t>
  </si>
  <si>
    <t>Accenture Song</t>
  </si>
  <si>
    <t>accenture.com</t>
  </si>
  <si>
    <t>Clutch, Disruptive Advertising, Accelerated Digital Media, Momentum</t>
  </si>
  <si>
    <t>https://clutch.co/press-releases/Best-of-Clutch-winners-2025</t>
  </si>
  <si>
    <t>Clutch Announces 2025 Best of Clutch Award Winners \| Clutch.co</t>
  </si>
  <si>
    <t>Clutch, Ignite Visibility, Victorious</t>
  </si>
  <si>
    <t>https://www.cometly.com/post/marketing-attribution-companies</t>
  </si>
  <si>
    <t>11 Best Marketing Attribution Companies to Track ROI</t>
  </si>
  <si>
    <t>Huge</t>
  </si>
  <si>
    <t>https://www.darkroomagency.com/observatory/top-ai-marketing-agencies-for-growth-in-2025-a-shortlist-that-actually-helps-you-choose</t>
  </si>
  <si>
    <t>hugeinc.com</t>
  </si>
  <si>
    <t>Top AI Marketing Agencies for Growth in 2025</t>
  </si>
  <si>
    <t>Darkroom, WPP, Accenture Song, Publicis Sapient, Superside, Droga5</t>
  </si>
  <si>
    <t>https://directiveconsulting.com/blog/10-ai-marketing-agencies-outperforming-the-market/</t>
  </si>
  <si>
    <t>10 B2B Marketing Agencies Using Proprietary AI to Outperform the Market - Directive</t>
  </si>
  <si>
    <t>Directive, NoGood, Single Grain, Measured, IBM, Clutch</t>
  </si>
  <si>
    <t>https://directiveconsulting.com/blog/top-25-b2b-enterprise-marketing-agencies/</t>
  </si>
  <si>
    <t>25 Best Enterprise Marketing Agencies For B2B - Directive</t>
  </si>
  <si>
    <t>Deloitte Digital</t>
  </si>
  <si>
    <t>deloittedigital.com</t>
  </si>
  <si>
    <t>Directive, Merkle, Accenture Song, Deloitte Digital, Wpromote, iProspect, Dentsu, Ogilvy, Publicis Sapient, Brainlabs, McKinsey, Bain &amp; Company, BCG, PwC, Slalom, Monks, VML, R/GA, Momentum, TransUnion, IBM, Clutch</t>
  </si>
  <si>
    <t>https://directiveconsulting.com/uk/blog/25-best-paid-media-agencies-that-turn-ad-spend-into-revenue/</t>
  </si>
  <si>
    <t>https://firstpagesage.com/seo-blog/the-top-seo-agencies-for-ai-companies/</t>
  </si>
  <si>
    <t>The Top SEO Agencies for AI Companies in 2026 – First Page Sage</t>
  </si>
  <si>
    <t>First Page Sage, Directive, Clay</t>
  </si>
  <si>
    <t>PMG</t>
  </si>
  <si>
    <t>pmg.com</t>
  </si>
  <si>
    <t>https://www.heydigital.co/blog/best-saas-paid-social-agencies#:~:text=Hey%20Digital%20is%20a%20B2B%20SaaS%20performance,funnel.%20How%20Hey%20Digital%20approaches%20paid%20social.</t>
  </si>
  <si>
    <t>The 10 Best SaaS Paid Social Agencies in 2026 | Hey Digital</t>
  </si>
  <si>
    <t>heydigital.co</t>
  </si>
  <si>
    <t>Hey Digital, Refine Labs, NoGood, Directive</t>
  </si>
  <si>
    <t>https://inbeat.agency/blog/top-paid-media-agencies-in-nyc#:~:text=After%20careful%20search%20and%20analysis,York%2C%20NY%2010004%2C%20United%20States</t>
  </si>
  <si>
    <t>Top 14 Paid Media Agencies in NYC for 2026 - inBeat Agency</t>
  </si>
  <si>
    <t>inBeat, Nielsen, Brighter Click, Disruptive Advertising, Avenue Z, Measured, BCG, Clutch, Power Digital</t>
  </si>
  <si>
    <t>Making Science</t>
  </si>
  <si>
    <t>makingscience.com</t>
  </si>
  <si>
    <t>https://lifesight.io/blog/best-unified-marketing-measurement-tools/</t>
  </si>
  <si>
    <t>6 Best Unified Marketing Measurement Tools in 2026 Compared</t>
  </si>
  <si>
    <t>LifeSight, Measured, Haus, LiftLab, Recast, Rockerbox, Northbeam</t>
  </si>
  <si>
    <t>https://www.measured.com/faq/top-11-best-media-mix-modeling-companies-software-for-2026/</t>
  </si>
  <si>
    <t>Top 11 Best Media Mix Modeling Companies &amp;amp; Software for 2026 | Measured®</t>
  </si>
  <si>
    <t>https://newengen.com/insights/top-outdoor-marketing-agencies/</t>
  </si>
  <si>
    <t>Top Outdoor Marketing Agencies for 2026</t>
  </si>
  <si>
    <t>IDHL</t>
  </si>
  <si>
    <t>idhl.co.uk</t>
  </si>
  <si>
    <t>newengen.com</t>
  </si>
  <si>
    <t>New Engen, Power Digital, Tinuiti, Wpromote, Measured, TransUnion</t>
  </si>
  <si>
    <t>https://www.silverbackstrategies.com/lists/best-ppc-agencies-in-the-us-ranked-reviewed/</t>
  </si>
  <si>
    <t>Best PPC Agencies in the U.S. in 2026 (Ranked &amp;amp; Reviewed) | Silverback Strategies</t>
  </si>
  <si>
    <t>Silverback Strategies, Measured, Clutch, Disruptive Advertising, Intero Digital, KlientBoost, Single Grain, HawkSEM</t>
  </si>
  <si>
    <t>https://www.superside.com/blog/marketing-design-services</t>
  </si>
  <si>
    <t>Tinuiti</t>
  </si>
  <si>
    <t>13 Best Marketing Design Services for Enterprises in 2026</t>
  </si>
  <si>
    <t>https://thriveagency.com/news/best-ai-seo-agencies/</t>
  </si>
  <si>
    <t>10 Best AI SEO Agencies in 2026 | Thrive Agency</t>
  </si>
  <si>
    <t>Thrive Internet Marketing Agency, Intero Digital, Victorious, Directive, Seer Interactive, Funnel Boost Media</t>
  </si>
  <si>
    <t>https://thriveagency.com/news/best-ppc-companies/</t>
  </si>
  <si>
    <t>Labelium</t>
  </si>
  <si>
    <t>20 Best PPC Companies in 2026 | Thrive Agency</t>
  </si>
  <si>
    <t>cosmo5.com</t>
  </si>
  <si>
    <t>Thrive Internet Marketing Agency, Disruptive Advertising, Directive, Power Digital, KlientBoost, AdVenture Media, HawkSEM, Metric Theory, Monks, Measured</t>
  </si>
  <si>
    <t>https://www.webfx.com/blog/ai/best-geo-agencies/</t>
  </si>
  <si>
    <t>The Best GEO Agencies for AI Visibility in 2026</t>
  </si>
  <si>
    <t>WebFX, Major Tom, The SEO Works, Clutch</t>
  </si>
  <si>
    <t>https://www.webfx.com/ppc/learn/google-partner-agency/</t>
  </si>
  <si>
    <t>7 Benefits of Working with a Google Partner Agency</t>
  </si>
  <si>
    <t>WebFX</t>
  </si>
  <si>
    <t>https://www.webtonic.io/blog/top-ai-marketing-agencies</t>
  </si>
  <si>
    <t>The 44 Best AI Marketing Agencies as of 2026</t>
  </si>
  <si>
    <t>Web Tonic, Merkle, Wpromote, TransUnion, Jellyfish, Tinuiti, Dentsu, Monks, Huge, IBM, Anomaly, Ogilvy, PwC</t>
  </si>
  <si>
    <t>Power Digital</t>
  </si>
  <si>
    <t>powerdigitalmarketing.com</t>
  </si>
  <si>
    <t>https://www.webtonic.io/blog/top-programmatic-advertising-agencies#:~:text=Industries%20Served%3A%20Consumer%20Goods%2C%20Automotive%2C%20Technology%2C%20Financial,and%20advanced%20attribution%20modelling.%20%2D%203.%20Essence.</t>
  </si>
  <si>
    <t>32 Top Programmatic Advertising Agencies for 2026</t>
  </si>
  <si>
    <t>Web Tonic, GroupM</t>
  </si>
  <si>
    <t>https://www.webtonic.io/blog/top-web-analytics-agencies</t>
  </si>
  <si>
    <t>Top 46 Web Analytics Agencies (2026 Edition)</t>
  </si>
  <si>
    <t>Web Tonic, Bounteous, InfoTrust, Adswerve, Cardinal Path, TransUnion, Seer Interactive, Metric Theory, IBM, Croud, Ogilvy, GroupM</t>
  </si>
  <si>
    <t>https://avenuez.com/blog/top-dtc-marketing-agencies-in-the-usa/</t>
  </si>
  <si>
    <t>Top DTC Marketing Agencies in the U.S. - Avenue Z</t>
  </si>
  <si>
    <t>Momentum</t>
  </si>
  <si>
    <r>
      <rPr>
        <rFont val="Montserrat"/>
        <color rgb="FF1155CC"/>
        <sz val="11.0"/>
        <u/>
      </rPr>
      <t>www.momentumww.com</t>
    </r>
  </si>
  <si>
    <t>Avenue Z, Common Thread Collective, Tinuiti, Power Digital, Momentum</t>
  </si>
  <si>
    <t>https://avenuez.com/blog/top-social-media-advertising-agencies-in-the-usa/</t>
  </si>
  <si>
    <t>Top Social Media Advertising Agencies in the U.S. - Avenue Z</t>
  </si>
  <si>
    <t>Avenue Z, Disruptive Advertising, inBeat, LYFE Marketing</t>
  </si>
  <si>
    <t>https://avenuez.com/blog/top-wellness-marketing-agencies/</t>
  </si>
  <si>
    <t>Top Wellness Marketing Agencies of 2025 - Avenue Z</t>
  </si>
  <si>
    <t>Avenue Z, Momentum, Hawke Media, VaynerMedia, Power Digital</t>
  </si>
  <si>
    <t>Brandtech</t>
  </si>
  <si>
    <t>thebrandtechgroup.com</t>
  </si>
  <si>
    <t>https://beomniscient.com/blog/marketing-agencies/</t>
  </si>
  <si>
    <t>The 6 Best Marketing Agencies in 2026 - Omniscient Digital</t>
  </si>
  <si>
    <t>Omniscient Digital, LYFE Marketing, Disruptive Advertising, NoGood</t>
  </si>
  <si>
    <t>https://clutch.co/agencies/programmatic#:~:text=Version2%20is%20an%20advertising%20agency%20specializing%20in,of%20reviewers%20highlighting%20their%20professionalism%20and%20commitment.</t>
  </si>
  <si>
    <t>Top Programmatic Advertising Companies - Jul 2026 Rankings | Clutch.co</t>
  </si>
  <si>
    <t>Clutch, NinjaPromo, SmartSites, Funnel Boost Media, LYFE Marketing, AdVenture Media, The SEO Works, Accelerated Digital Media, Storm Brain</t>
  </si>
  <si>
    <t>https://www.cometly.com/post/agency-marketing-attribution-tools</t>
  </si>
  <si>
    <t>Top Agency Marketing Attribution Tools for 2026 Tips</t>
  </si>
  <si>
    <t>New Engen</t>
  </si>
  <si>
    <t>Cometly, Triple Whale, Anomaly, Northbeam, Rockerbox, Ruler Analytics</t>
  </si>
  <si>
    <t>https://www.cometly.com/post/attribution-data-platform</t>
  </si>
  <si>
    <t>9 Best Attribution Data Platforms for Marketers 2026</t>
  </si>
  <si>
    <t>Cometly, Triple Whale, Northbeam, Rockerbox, Ruler Analytics, HockeyStack</t>
  </si>
  <si>
    <t>https://www.cometly.com/post/best-ai-powered-marketing-attribution-tools</t>
  </si>
  <si>
    <t>Best AI-Powered Marketing Attribution Tools Guide 2026</t>
  </si>
  <si>
    <t>Cometly, Northbeam, Triple Whale, Rockerbox, Ruler Analytics</t>
  </si>
  <si>
    <t>https://www.cometly.com/post/best-enterprise-attribution-tools</t>
  </si>
  <si>
    <t>Best Enterprise Attribution Tools: Complete 2026 Guide</t>
  </si>
  <si>
    <t>Adswerve</t>
  </si>
  <si>
    <t>adswerve.com</t>
  </si>
  <si>
    <t>Cometly, Anomaly, Northbeam, Triple Whale, Rockerbox, Ruler Analytics</t>
  </si>
  <si>
    <t>https://www.cometly.com/post/cross-channel-campaign-measurement-solutions</t>
  </si>
  <si>
    <t>Top 9 Cross-Channel Campaign Measurement Solutions</t>
  </si>
  <si>
    <t>https://www.cometly.com/post/marketing-analytics-platforms-review</t>
  </si>
  <si>
    <t>9 Best Marketing Analytics Platforms Review Guide 2026</t>
  </si>
  <si>
    <t>Cometly, Anomaly, Triple Whale, Northbeam, Ruler Analytics</t>
  </si>
  <si>
    <t>Further Group</t>
  </si>
  <si>
    <t>further.co</t>
  </si>
  <si>
    <t>https://www.cometly.com/post/marketing-attribution-tools-comparison</t>
  </si>
  <si>
    <t>Marketing Attribution Tools Comparison: 2026 Guide</t>
  </si>
  <si>
    <t>https://www.cometly.com/post/marketing-performance-analytics-tools</t>
  </si>
  <si>
    <t>9 Best Marketing Performance Analytics Tools for 2026</t>
  </si>
  <si>
    <t>Cometly, Triple Whale, Northbeam, Rockerbox</t>
  </si>
  <si>
    <t>https://www.cometly.com/post/paid-advertising-analytics-tools</t>
  </si>
  <si>
    <t>11 Best Paid Advertising Analytics Tools (2026 Guide)</t>
  </si>
  <si>
    <t>MSQ Partners</t>
  </si>
  <si>
    <t>msqpartners.com</t>
  </si>
  <si>
    <t>https://www.darkroomagency.com/observatory/10-best-growth-marketing-agencies-in-2026-%28ranked-for-online-sales%29</t>
  </si>
  <si>
    <t>https://www.darkroomagency.com/observatory/15-leading-performance-creative-agencies-in-2025#:~:text=Each%20brings%20distinct%20strengths%20to%20performance%20creative%2C,ROI%20and%20strategic%20partnership.%20%2D%202.%20Tinuiti.</t>
  </si>
  <si>
    <t>Performance Creative Agencies That Boost ROAS - 2025</t>
  </si>
  <si>
    <t>Darkroom, Measured, Momentum, Tinuiti, NoGood, MuteSix, Power Digital, Superside, Silverback Strategies, inBeat, Croud, Noble Studios, Droga5</t>
  </si>
  <si>
    <t>Acadia</t>
  </si>
  <si>
    <t>acadia.io</t>
  </si>
  <si>
    <t>https://www.darkroomagency.com/observatory/what-is-a-growth-hacking-agency-definition-and-top-12-picks-for-2026</t>
  </si>
  <si>
    <t>What Is a Growth Hacking Agency? Top Picks for 2026</t>
  </si>
  <si>
    <t>Darkroom, Measured, NoGood, Right Side Up, Tinuiti, Power Digital, MuteSix, Droga5</t>
  </si>
  <si>
    <t>https://directiveconsulting.com/blog/27-seo-agencies-built-for-b2b-growth-2026/</t>
  </si>
  <si>
    <t>27 Best SEO Agencies For B2B - Directive</t>
  </si>
  <si>
    <t>Directive, iPullRank, Omniscient Digital, Siege Media, RevenueZen, First Page Sage, Animalz, Amsive, Ignite Visibility, WebFX, Victorious, Silverback Strategies, Intero Digital, Clutch</t>
  </si>
  <si>
    <t>https://directiveconsulting.com/blog/performance-marketing-agencies/</t>
  </si>
  <si>
    <t>5 Top Performance Marketing Agencies Celebrating 10+ Years - Directive</t>
  </si>
  <si>
    <t>Directive, Single Grain, Tinuiti, Wpromote, Clutch</t>
  </si>
  <si>
    <t>https://disruptiveadvertising.com/blog/business/top-digital-marketing-agencies-in-utah/</t>
  </si>
  <si>
    <t>Top Digital Marketing Agencies in Utah for 2026 | Disruptive Advertising</t>
  </si>
  <si>
    <t>Disruptive Advertising, Searchbloom, Funnel Boost Media, Huge</t>
  </si>
  <si>
    <t>https://disruptiveadvertising.com/blog/marketing/top-generative-engine-optimization-geo-agencies-in-2026/</t>
  </si>
  <si>
    <t>Top GEO Agencies In 2026 | Disruptive Advertising</t>
  </si>
  <si>
    <t>Disruptive Advertising, Elit-Web, Ignite Visibility, Thrive Internet Marketing Agency, Avenue Z, Victorious</t>
  </si>
  <si>
    <t>https://firstpagesage.com/seo-blog/the-top-ecommerce-geo-aeo-agencies/</t>
  </si>
  <si>
    <t>The Top eCommerce GEO / AEO Agencies of 2026 – First Page Sage</t>
  </si>
  <si>
    <t>First Page Sage, Clutch, Tinuiti</t>
  </si>
  <si>
    <t>https://firstpagesage.com/seo-blog/the-top-seo-companies-in-the-us/</t>
  </si>
  <si>
    <t>The Top SEO Companies in the U.S. in 2026 – First Page Sage</t>
  </si>
  <si>
    <t>First Page Sage, Epsilon, Clay, Publicis Groupe</t>
  </si>
  <si>
    <t>https://gofishdigital.com/blog/generative-engine-optimization-agencies/</t>
  </si>
  <si>
    <t>8 Generative Engine Optimization (GEO) Agencies &amp;amp; Thought Leaders - Go Fish Digital</t>
  </si>
  <si>
    <t>gofishdigital.com</t>
  </si>
  <si>
    <t>Go Fish Digital, iPullRank, Omniscient Digital, Single Grain, Siege Media</t>
  </si>
  <si>
    <t>https://hawksem.com/blog/digital-marketing-agencies/</t>
  </si>
  <si>
    <t>The 14 Best Digital Marketing Agencies That Get Big Results</t>
  </si>
  <si>
    <t>hawksem.com</t>
  </si>
  <si>
    <t>HawkSEM, Wpromote, Tinuiti, Merkle, Clutch, Power Digital, Silverback Strategies</t>
  </si>
  <si>
    <t>https://hawksem.com/blog/performance-marketing-agency-list/</t>
  </si>
  <si>
    <t>Top 10 Performance Marketing Agencies in 2026</t>
  </si>
  <si>
    <t>HawkSEM, Tinuiti, Merkle, Wpromote, MuteSix</t>
  </si>
  <si>
    <t>https://hawksem.com/blog/top-sem-agencies/</t>
  </si>
  <si>
    <t>Top 12 SEM Agencies to Help Your Business Boost ROI</t>
  </si>
  <si>
    <t>HawkSEM, Merkle, Tinuiti, Dentsu, Clutch, Jellyfish, Wpromote, Ignite Visibility, Victorious, Thrive Internet Marketing Agency</t>
  </si>
  <si>
    <t>https://www.heydigital.co/blog/saas-marketing-agencies</t>
  </si>
  <si>
    <t>The 16 Best SaaS Marketing Agencies in 2026 | Hey Digital</t>
  </si>
  <si>
    <t>Hey Digital, Directive, NoGood, Single Grain, Omniscient Digital, Siege Media, Animalz, Refine Labs</t>
  </si>
  <si>
    <t>https://inbeat.agency/blog/top-ai-marketing-agencies</t>
  </si>
  <si>
    <t>Top 15 AI Marketing Agencies Transforming Digital Strategy in 2025 - inBeat Agency</t>
  </si>
  <si>
    <t>inBeat, Nielsen, Momentum, Keenfolks, NoGood, Avenue Z</t>
  </si>
  <si>
    <t>https://inbeat.agency/blog/top-creative-strategy-agencies</t>
  </si>
  <si>
    <t>The Creative Strategy Hotlist 2026: 15 Agencies to Know - inBeat Agency</t>
  </si>
  <si>
    <t>inBeat, Nielsen, Power Digital, Single Grain</t>
  </si>
  <si>
    <t>https://inbeat.agency/blog/top-growth-marketing-agencies-in-nyc</t>
  </si>
  <si>
    <t>Growth Marketing Agencies for Fast-Rising NYC Brands - inBeat Agency</t>
  </si>
  <si>
    <t>Disruptive Advertising</t>
  </si>
  <si>
    <t>inBeat, Nielsen, Avenue Z, Amsive, Major Tom, Tinuiti, Clutch</t>
  </si>
  <si>
    <t>https://inbeat.agency/blog/top-media-buying-agencies</t>
  </si>
  <si>
    <t>14 Media Buying Agencies That Actually Stretch a Budget - inBeat Agency</t>
  </si>
  <si>
    <t>inBeat, Nielsen, Percepture, Hawke Media, Measured, Clutch</t>
  </si>
  <si>
    <t>https://ninjapromo.io/top-google-ads-agencies</t>
  </si>
  <si>
    <t>12 Best Google Ads Agencies for High-Scale PPC Growth in 2026</t>
  </si>
  <si>
    <t>NinjaPromo, WebFX, Clutch, MuteSix, Single Grain</t>
  </si>
  <si>
    <t>https://ninjapromo.io/top-graphic-design-companies</t>
  </si>
  <si>
    <t>15 Best Graphic Design Companies Redefining Visual Identity</t>
  </si>
  <si>
    <t>NinjaPromo, McKinsey, Pentagram, Superside, IBM, Clutch</t>
  </si>
  <si>
    <t>https://nogood.io/blog/b2b-marketing-agencies/</t>
  </si>
  <si>
    <t>The Best B2B Marketing Agencies in 2026 | NoGood</t>
  </si>
  <si>
    <t>NoGood, Merkle, Clutch, Jellyfish, Viral Nation, IBM, Disruptive Advertising, Brandtech, Momentum</t>
  </si>
  <si>
    <t>https://nogood.io/blog/best-answer-engine-optimization-agencies/</t>
  </si>
  <si>
    <t>Best Answer Engine Optimization (AEO) Agencies 2026 | NoGood</t>
  </si>
  <si>
    <t>Wpromote</t>
  </si>
  <si>
    <t>wpromote.com</t>
  </si>
  <si>
    <t>NoGood, Avenue Z, iPullRank, Amsive, RevenueZen, Go Fish Digital, Omniscient Digital, Marcel Digital</t>
  </si>
  <si>
    <t>https://nogood.io/blog/branding-agencies/#:~:text=AKQA%20at%20%232%20earns%20its%20position%20through,way%20that%20few%20agencies%20can%20credibly%20claim.</t>
  </si>
  <si>
    <t>The Best Branding Agencies in 2026 | NoGood</t>
  </si>
  <si>
    <t>NoGood, Pentagram, Anomaly, AKQA, Dentsu, WPP</t>
  </si>
  <si>
    <t>https://nogood.io/blog/digital-marketing-agencies-new-york/</t>
  </si>
  <si>
    <t>Top Digital Marketing Agencies in New York for 2026 | NoGood</t>
  </si>
  <si>
    <t>NoGood</t>
  </si>
  <si>
    <t>NoGood, Clutch, Wpromote, VaynerMedia, inBeat, Power Digital, Major Tom</t>
  </si>
  <si>
    <t>https://nogood.io/blog/global-marketing-agencies/</t>
  </si>
  <si>
    <t>The Best Global Marketing Agencies in 2026 | NoGood</t>
  </si>
  <si>
    <t>NoGood, Clutch, Digitas, Publicis Groupe, Omnicom Media Group, Viral Nation</t>
  </si>
  <si>
    <t>https://nogood.io/blog/instagram-marketing-agencies/</t>
  </si>
  <si>
    <t>The Instagram Marketing Agencies for 2026 | NoGood</t>
  </si>
  <si>
    <t>Directive</t>
  </si>
  <si>
    <t>NoGood, inBeat, Viral Nation, Sociallyin, LYFE Marketing, Storm Brain, Clutch</t>
  </si>
  <si>
    <t>https://nogood.io/blog/marketing-attribution-tools/</t>
  </si>
  <si>
    <t>Top 10 Marketing Attribution Tools for 2025 [Updated] | NoGood</t>
  </si>
  <si>
    <t>NoGood, Measured, Rockerbox, LifeSight, Triple Whale, Northbeam</t>
  </si>
  <si>
    <t>https://powerdigitalmarketing.com/blog/best-digital-marketing-agency/</t>
  </si>
  <si>
    <t>10 Best Digital Marketing Agencies | Power Digital Marketing</t>
  </si>
  <si>
    <t>Power Digital, NoGood</t>
  </si>
  <si>
    <t>https://www.rightsideup.com/blog/top-fractional-marketing-agencies</t>
  </si>
  <si>
    <t>The Top 7 Fractional Marketing Agencies in 2026 (and How to Choose the Right One)</t>
  </si>
  <si>
    <t>rightsideup.com</t>
  </si>
  <si>
    <t>Right Side Up, Huge</t>
  </si>
  <si>
    <t>https://segmentstream.com/blog/articles/best-marketing-intelligence-tools</t>
  </si>
  <si>
    <t>10 Best Marketing Intelligence Tools &amp;amp; Platforms for 2026 — SegmentStream</t>
  </si>
  <si>
    <t>iPullRank</t>
  </si>
  <si>
    <t>ipullrank.com</t>
  </si>
  <si>
    <t>SegmentStream, LifeSight, Northbeam, Measured, Rockerbox, Anomaly</t>
  </si>
  <si>
    <t>https://www.siegemedia.com/strategy/best-link-building-services</t>
  </si>
  <si>
    <t>The 12 Best Link Building Services for Authority &amp;amp; Mentions in 2026</t>
  </si>
  <si>
    <t>siegemedia.com</t>
  </si>
  <si>
    <t>Siege Media</t>
  </si>
  <si>
    <t>https://www.siegemedia.com/strategy/content-strategy-agency</t>
  </si>
  <si>
    <t>12 Best Content Strategy Agencies That Drive Results (2026)</t>
  </si>
  <si>
    <t>Siege Media, Omniscient Digital, Animalz, NP Digital, Power Digital, Single Grain</t>
  </si>
  <si>
    <t>https://www.silverbackstrategies.com/lists/best-ecommerce-agencies-in-the-us-ranked-reviewed/</t>
  </si>
  <si>
    <t>Best eCommerce Agencies in the U.S. in 2026 (Ranked &amp;amp; Reviewed) | Silverback Strategies</t>
  </si>
  <si>
    <t>Silverback Strategies, Measured, Clutch, Disruptive Advertising, Ignite Visibility, Accelerated Digital Media, NinjaPromo, Elit-Web</t>
  </si>
  <si>
    <t>KlientBoost</t>
  </si>
  <si>
    <t>klientboost.com</t>
  </si>
  <si>
    <t>https://www.smartsites.com/blog/the-different-types-of-ppc-ads/</t>
  </si>
  <si>
    <t>The Different Types Of PPC Ads - SmartSites</t>
  </si>
  <si>
    <t>smartsites.com</t>
  </si>
  <si>
    <t>SmartSites</t>
  </si>
  <si>
    <t>https://sociallyin.com/resources/top-creative-strategy-agencies-us/</t>
  </si>
  <si>
    <t>Top 5 Creative Strategy Agencies in the US (2026 Rankings)</t>
  </si>
  <si>
    <t>Sociallyin, Wieden+Kennedy, Droga5, Accenture Song, R/GA, BBDO, Measured</t>
  </si>
  <si>
    <t>https://sociallyin.com/resources/top-social-media-agencies-in-us/</t>
  </si>
  <si>
    <t>Top 5 Social Media Marketing Agencies in the US (2026)</t>
  </si>
  <si>
    <t>Sociallyin, Clutch, Viral Nation, Measured, Momentum</t>
  </si>
  <si>
    <t>https://www.superside.com/blog/ai-powered-agencies</t>
  </si>
  <si>
    <t>10 AI-Powered Agencies Blending Automation and Creativity in 2026</t>
  </si>
  <si>
    <t>Superside, PwC, Jellyfish, Brandtech, Keenfolks, NoGood</t>
  </si>
  <si>
    <t>Ignite Visibility</t>
  </si>
  <si>
    <t>ignitevisibility.com</t>
  </si>
  <si>
    <t>https://www.superside.com/blog/creative-content-agencies</t>
  </si>
  <si>
    <t>10 Creative Content Agencies Making Brands Shine in 2026</t>
  </si>
  <si>
    <t>Superside, Animalz</t>
  </si>
  <si>
    <t>https://www.superside.com/blog/creative-performance-agencies</t>
  </si>
  <si>
    <t>12 Strategic Creative Performance Agencies for Brands in 2026</t>
  </si>
  <si>
    <t>Superside, Huge, Silverback Strategies, Croud, Noble Studios</t>
  </si>
  <si>
    <t>Ogilvy</t>
  </si>
  <si>
    <t>ogilvy.com</t>
  </si>
  <si>
    <t>https://www.superside.com/blog/financial-services-creative-agencies</t>
  </si>
  <si>
    <t>The 7 Best Financial Services Creative Agencies in 2026</t>
  </si>
  <si>
    <t>Superside, Ogilvy, Droga5, Accenture Song, BBDO, VML, WPP, R/GA, Dentsu, Merkle</t>
  </si>
  <si>
    <t>https://www.superside.com/blog/omnichannel-design-partners</t>
  </si>
  <si>
    <t>The 10 best omnichannel design partners for enterprise brands</t>
  </si>
  <si>
    <t>Superside, Momentum, Accenture Song, DEPT, Wieden+Kennedy, Monks, R/GA, Huge</t>
  </si>
  <si>
    <t>https://www.thekeenfolks.com/blog-article/top-ai-marketing-companies</t>
  </si>
  <si>
    <t>The best AI Marketing Companies for large enterprises</t>
  </si>
  <si>
    <t>Keenfolks, Tinuiti, Wpromote, DEPT, Clay, Measured</t>
  </si>
  <si>
    <t>https://thesocialshepherd.com/blog/top-advertising-agencies-us</t>
  </si>
  <si>
    <t>The Social Shepherd | Top 17 Advertising Agencies in the U.S. (2026)</t>
  </si>
  <si>
    <t>The Social Shepherd, Refine Labs, Kobe Digital</t>
  </si>
  <si>
    <t>https://thesocialshepherd.com/blog/top-digital-marketing-agencies-us</t>
  </si>
  <si>
    <t>Omniscient Digital</t>
  </si>
  <si>
    <t>The Social Shepherd | Top 17 Digital Marketing Agencies in the U.S.…</t>
  </si>
  <si>
    <t>The Social Shepherd, Refine Labs, Intero Digital, Single Grain, Power Digital, KlientBoost, VaynerMedia, Publicis Groupe, Digitas</t>
  </si>
  <si>
    <t>https://thriveagency.com/news/best-digital-pr-agencies/</t>
  </si>
  <si>
    <t>10 Best Digital PR Agencies in 2026 | Thrive Agency</t>
  </si>
  <si>
    <t>Thrive Internet Marketing Agency, Go Fish Digital, Momentum</t>
  </si>
  <si>
    <t>https://thriveagency.com/news/best-social-media-marketing-companies/</t>
  </si>
  <si>
    <t>19 Best Social Media Marketing Companies in 2026 | Thrive</t>
  </si>
  <si>
    <t>Thrive Internet Marketing Agency, Sociallyin, KlientBoost, Power Digital, Hawke Media, Clutch</t>
  </si>
  <si>
    <t>https://www.webfx.com/analytics/learn/top-marketing-analytics-companies/</t>
  </si>
  <si>
    <t>11 Top Marketing Analytics Companies to Enhance Your Campaigns</t>
  </si>
  <si>
    <t>https://www.webtonic.io/blog/best-ai-powered-agencies</t>
  </si>
  <si>
    <t>30 Best AI-Powered Agencies for 2026</t>
  </si>
  <si>
    <t>Web Tonic, Disruptive Advertising, WebFX, Sociallyin, Ignite Visibility, Merkle, Dentsu, iProspect, Jellyfish, Publicis Sapient, Huge, R/GA, Accenture Song, Hawke Media, Wpromote, TransUnion, Tinuiti, Brainlabs, VaynerMedia, IBM, Seer Interactive, SmartSites, Power Digital</t>
  </si>
  <si>
    <t>https://www.webtonic.io/blog/best-global-marketing-agencies</t>
  </si>
  <si>
    <t>35 Best Global Marketing Agencies for 2026</t>
  </si>
  <si>
    <t>Web Tonic, BBDO, WPP, Ogilvy, VML, GroupM, Publicis Groupe, Dentsu, Merkle, Accenture Song, Deloitte Digital, PwC, IBM, R/GA, 72andSunny, Wieden+Kennedy, Droga5, AKQA, Huge</t>
  </si>
  <si>
    <t>https://www.webtonic.io/blog/best-ppc-agencies-us#:~:text=%238.-,HawkSEM,clients%20averaging%204.5x%20ROI.</t>
  </si>
  <si>
    <t>The 37 Best PPC Agencies in the US for 2026</t>
  </si>
  <si>
    <t>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t>
  </si>
  <si>
    <t>https://www.webtonic.io/blog/top-creative-performance-agencies</t>
  </si>
  <si>
    <t>37 Top Creative Performance Agencies for 2026</t>
  </si>
  <si>
    <t>Single Grain</t>
  </si>
  <si>
    <t>Web Tonic, MuteSix, Tinuiti, Wpromote, TransUnion, Metric Theory, WPP, Hawke Media, AKQA, R/GA, Droga5, Accenture Song, 72andSunny, Wieden+Kennedy, Superside</t>
  </si>
  <si>
    <t>https://www.webtonic.io/blog/top-performance-creative-agencies</t>
  </si>
  <si>
    <t>36 Top Performance Creative Agencies in 2026</t>
  </si>
  <si>
    <t>Web Tonic, Triple Whale, Superside, MuteSix, Brainlabs, Tinuiti, NoGood, Jellyfish</t>
  </si>
  <si>
    <t>https://www.23digital.com.au/top-13-full-service-digital-marketing-agencies-in-australia/</t>
  </si>
  <si>
    <t>Top 13 Full-Service Digital Marketing Agencies in Australia</t>
  </si>
  <si>
    <t>23digital.com.au</t>
  </si>
  <si>
    <t>NP Digital</t>
  </si>
  <si>
    <t>npdigital.com</t>
  </si>
  <si>
    <t>23 Digital, Digital Nomads HQ, Megaphone, Rocket Agency, Emote Digital, Clearwater Agency, Earned Media, Soup Agency, Impressive, Reef Digital Agency, Webprofits, King Kong, Sparro, Brainlabs, Farsiight</t>
  </si>
  <si>
    <t>https://digitalnomadshq.com.au/blog/top-digital-marketing-agencies/</t>
  </si>
  <si>
    <t>Top Digital Marketing Agencies in Australia (2026)</t>
  </si>
  <si>
    <t>digitalnomadshq.com.au</t>
  </si>
  <si>
    <t>Digital Nomads HQ, Sparro, CUT THRU, Megaphone, Farsiight, Saatchi &amp; Saatchi, Alpha Digital, Rocket Agency, Brainlabs, XPON</t>
  </si>
  <si>
    <t>https://www.adcore.com/blog/top-10-digital-marketing-agencies-in-australia/</t>
  </si>
  <si>
    <t>Top 10 Digital Marketing Agencies in Australia [2026] | Adcore Blog</t>
  </si>
  <si>
    <t>adcore.com</t>
  </si>
  <si>
    <t>Adcore Elite, Momentum, First Page, First Page Australia, Sparro, Clearwater Agency, Impressive, Alpha Digital, Digital Nomads HQ, Megaphone, Farsiight, Soup Agency</t>
  </si>
  <si>
    <t>https://leadsnow.ai/best-ai-marketing-agencies-australia/</t>
  </si>
  <si>
    <t>Best AI Marketing Agencies in Australia (2026) - Leads Now AI</t>
  </si>
  <si>
    <t>leadsnow.ai</t>
  </si>
  <si>
    <t>LeadsNow.ai, King Kong, Megaphone, Omnicom Media Group, Online Marketing Gurus, XPON, Alpha Digital, Rocket Agency, Absolutely AI, Bushnote</t>
  </si>
  <si>
    <t>Artefact</t>
  </si>
  <si>
    <t>artefact.com</t>
  </si>
  <si>
    <t>https://talonsmarketing.com.au/6-best-aeo-agencies-australia/</t>
  </si>
  <si>
    <t>6 Best AEO Agencies in Australia for 2026 - Talons Marketing</t>
  </si>
  <si>
    <t>talonsmarketing.com.au</t>
  </si>
  <si>
    <t>Talons Marketing, In Marketing We Trust, Prosperity Media, Webprofits, Rocket Agency, Digital Nomads HQ</t>
  </si>
  <si>
    <t>https://talonsmarketing.com.au/8-best-generative-engine-optimisation-geo-agencies-australia/</t>
  </si>
  <si>
    <t>8 Best Generative Engine Optimisation (GEO) Agencies in Australia for 2026 - Talons Marketing</t>
  </si>
  <si>
    <t>Talons Marketing, In Marketing We Trust, Megantic, Prosperity Media, Webprofits, Rocket Agency, Digital Nomads HQ</t>
  </si>
  <si>
    <t>https://theredrepublic.com/top-5-best-advertising-agencies-australia-2026/</t>
  </si>
  <si>
    <t>Our Top 5: The Best Creative Advertising Agencies Leading Australia into 2026 | The Red Republic</t>
  </si>
  <si>
    <t>theredrepublic.com</t>
  </si>
  <si>
    <t>The Red Republic, HERO</t>
  </si>
  <si>
    <t>https://www.bushnote.com/articles/best-aeo-agencies-in-australia-in-2026</t>
  </si>
  <si>
    <t>Australia's Best AEO Agencies for AI Search 2026</t>
  </si>
  <si>
    <t>bushnote.com</t>
  </si>
  <si>
    <t>Measured, Bushnote, Luminary, StudioHawk, Online Marketing Gurus</t>
  </si>
  <si>
    <t>https://ninjapromo.io/top-digital-marketing-agencies-in-australia</t>
  </si>
  <si>
    <t>Top 12 Digital Marketing Agencies in Australia for 2026</t>
  </si>
  <si>
    <t>Ninja Promo, 23 Digital, PHD, Clearwater Agency, Alpha Digital, XPON, Impressive, Measured, Emote Digital, Gorilla 360, Earned Media</t>
  </si>
  <si>
    <t>https://impressive.com.au/best-ai-seo-agencies-melbourne/</t>
  </si>
  <si>
    <t>Best AI SEO Agencies in Melbourne: 2026 Guide</t>
  </si>
  <si>
    <t>impressive.com.au</t>
  </si>
  <si>
    <t>Impressive, Salt &amp; Fuessel, Predicta Digital, Luminary, Rocket Agency, Prosperity Media, Earned Media, Bonfire</t>
  </si>
  <si>
    <t>VML</t>
  </si>
  <si>
    <t>vml.com</t>
  </si>
  <si>
    <t>https://digitalnomadshq.com.au/blog/best-aeo-answer-engine-optimisation-agencies/</t>
  </si>
  <si>
    <t>Best AEO (Answer Engine Optimisation) Agencies 2026</t>
  </si>
  <si>
    <t>Digital Nomads HQ</t>
  </si>
  <si>
    <t>https://talonsmarketing.com.au/10-best-ai-seo-agencies-in-australia/</t>
  </si>
  <si>
    <t>10 Best AI SEO Agencies in Australia (2026 Guide) - Talons Marketing</t>
  </si>
  <si>
    <t>Talons Marketing, eMarket Experts, Supple Digital, Salt &amp; Fuessel, SIXGUN, Intesols, Clearwater Agency, Online Marketing Gurus, First Page, Digital Nomads HQ</t>
  </si>
  <si>
    <t>https://leadsnow.ai/best-ai-seo-aeo-agencies-australia/</t>
  </si>
  <si>
    <t>Best AI SEO &amp;amp; Answer Engine Optimisation (AEO) Agencies in Australia (2026) - Leads Now AI</t>
  </si>
  <si>
    <t>LeadsNow.ai, Earned Media, StudioHawk, Omnicom Media Group, Uprise Digital, HERO, Online Marketing Gurus, Megantic</t>
  </si>
  <si>
    <t>https://www.smartosc.com/top-10-ai-marketing-agency-in-australia/</t>
  </si>
  <si>
    <t>Top 10 AI Marketing Agencies in Australia Driving Data-Led Growth - SmartOSC</t>
  </si>
  <si>
    <t>smartosc.com</t>
  </si>
  <si>
    <t>SmartOSC, Eight Clients, Clearwater Agency, Supple Digital, Emote Digital, King Kong, Bench Media</t>
  </si>
  <si>
    <t>Measured, Haus, Analytic Partners</t>
  </si>
  <si>
    <t>https://uprisedigital.com.au/blog/social-media-agencies-melbourne/</t>
  </si>
  <si>
    <t>Top 15 Social Media Marketing Agencies in Melbourne (2026)</t>
  </si>
  <si>
    <t>uprisedigital.com.au</t>
  </si>
  <si>
    <t>Uprise Digital, Soup Agency, Megaphone, EvenDigit, Emote Digital, Salt &amp; Fuessel, Digital Nomads HQ, Clearwater Agency, Intesols, Ninja Promo, Alley Group</t>
  </si>
  <si>
    <t>https://www.bushnote.com/articles/best-ai-search-agency-australia</t>
  </si>
  <si>
    <t>Best AI Search Agency Australia | AEO and GEO Experts (2026)</t>
  </si>
  <si>
    <t>Bushnote, Luminary, Rocket Agency, Covert, Intesols</t>
  </si>
  <si>
    <t>https://www.smartosc.com/top-10-ai-consulting-firms-in-australia/</t>
  </si>
  <si>
    <t>Top 10 AI Consulting Firms in Australia for Enterprise Transformation - SmartOSC</t>
  </si>
  <si>
    <t>SmartOSC, Deloitte, KPMG</t>
  </si>
  <si>
    <t>https://www.bushnote.com/articles/best-10-aeo-agencies-in-australia-to-promote-b2c-companies-in-2026</t>
  </si>
  <si>
    <t>Best 10 AEO Agencies in Australia for B2C Brands (2026)</t>
  </si>
  <si>
    <t>Bushnote, Online Marketing Gurus, Omnicom Media Group, Prosperity Media, Rocket Agency, StudioHawk, Marketix Digital</t>
  </si>
  <si>
    <t>https://www.bushnote.com/articles/top-ai-marketing-agencies-australia-2025-f19a3</t>
  </si>
  <si>
    <t>Top AI Marketing Agencies Australia 2025</t>
  </si>
  <si>
    <t>Bushnote, Deloitte Digital, Deloitte, Accenture Song</t>
  </si>
  <si>
    <t>https://www.bushnote.com/articles/best-10-aeo-agencies-in-australia-to-promote-b2b-companies-in-2026</t>
  </si>
  <si>
    <t>Best 10 AEO Agencies in Australia for B2B Companies (2026)</t>
  </si>
  <si>
    <t>Luminary, Bushnote, Prosperity Media, Online Marketing Gurus</t>
  </si>
  <si>
    <t>https://digitalnomadshq.com.au/blog/google-ads-companies/</t>
  </si>
  <si>
    <t>Top 10 Google Ads Companies in Australia [2026 Updated]</t>
  </si>
  <si>
    <t>Digital Nomads HQ, Clearwater Agency, Online Marketing Gurus, eMarket Experts, Megaphone, SearchMax, Supple Digital, Earned Media, Omnicom Media Group</t>
  </si>
  <si>
    <t>https://www.bushnote.com/articles/top-ai-marketing-agencies-australia-2025</t>
  </si>
  <si>
    <t>Top AI Marketing Agencies Australia 2025: Strategic Shift</t>
  </si>
  <si>
    <t>Bushnote</t>
  </si>
  <si>
    <t>https://soupagency.com.au/blog/top-digital-marketing-agencies/#:~:text=Soup%20is%20a%20strong%20fit%20for%20businesses,connecting%20those%20channels%20across%20the%20customer%20journey.</t>
  </si>
  <si>
    <t>Top Digital Marketing Agencies in Australia: Options Worth Considering - SOUP Agency</t>
  </si>
  <si>
    <t>soupagency.com.au</t>
  </si>
  <si>
    <t>Soup Agency, Measured, Momentum</t>
  </si>
  <si>
    <t>momentumww.com</t>
  </si>
  <si>
    <t>https://theredrepublic.com/top-10-best-advertising-agencies-leading-australia-2025/</t>
  </si>
  <si>
    <t>Our Top 5: The Best Creative Advertising Agencies Leading Australia in 2025 | The Red Republic</t>
  </si>
  <si>
    <t>https://uprisedigital.com.au/blog/best-google-ads-agencies-sydney/</t>
  </si>
  <si>
    <t>8 Best Google Ads Agencies in Sydney (2026) - Uprise Digital</t>
  </si>
  <si>
    <t>Uprise Digital, Rocket Agency, AdVisible, Online Marketing Gurus, Gorilla 360, Omnicom Media Group</t>
  </si>
  <si>
    <t>https://www.bushnote.com/articles/best-digital-marketing-agency-for-ai-search-australia</t>
  </si>
  <si>
    <t>Best Digital Marketing Agencies for AI Search in Australia</t>
  </si>
  <si>
    <t>Bushnote, Sparro, Resolution Digital, Reload Media</t>
  </si>
  <si>
    <t>https://www.bushnote.com/articles/best-10-aeo-agencies-in-australia-to-promote-b2b-saas-companies-in-2026</t>
  </si>
  <si>
    <t>Best 10 AEO Agencies in Australia for B2B SaaS in 2026</t>
  </si>
  <si>
    <t>Bushnote, Webprofits, StudioHawk, Prosperity Media, Impressive, Luminary, Salt &amp; Fuessel</t>
  </si>
  <si>
    <t>https://talonsmarketing.com.au/10-best-chatgpt-optimisation-agencies-australia/</t>
  </si>
  <si>
    <t>10 Best ChatGPT Optimisation Agencies in Australia (2026) - Talons Marketing</t>
  </si>
  <si>
    <t>Talons Marketing, StudioHawk, Intesols, Online Marketing Gurus, Alley Group, Huge, Measured</t>
  </si>
  <si>
    <t>https://xpon.ai/resources/how-to-choose-a-google-marketing-platform-partner-australia/</t>
  </si>
  <si>
    <t>How to Choose a Google Marketing Platform Partner in Australia | XPON</t>
  </si>
  <si>
    <t>xpon.ai</t>
  </si>
  <si>
    <t>XPON, WPP, Dentsu</t>
  </si>
  <si>
    <t>Haus, PHD</t>
  </si>
  <si>
    <t>https://prosperitymedia.com.au/the-6-best-seo-agencies-in-sydney-2026/#:~:text=Recognisable%20clients%3A%20PepsiCo%2C%20St.%20George%20Bank%2C%20IAG%2C,at%20the%202018%20SEMrush%20Search%20Marketing%20Awards.</t>
  </si>
  <si>
    <t>The 6 Best SEO Agencies in Sydney 2026 - Prosperity Media</t>
  </si>
  <si>
    <t>prosperitymedia.com.au</t>
  </si>
  <si>
    <t>Prosperity Media, Jaywing, Undivided, Measured</t>
  </si>
  <si>
    <t>https://www.bushnote.com/articles/best-digital-marketing-agencies-australia-2025</t>
  </si>
  <si>
    <t>Australia's Top 15 Digital Marketing Agencies 2025</t>
  </si>
  <si>
    <t>Bushnote, Thinkerbell, Measured, The Monkeys, Accenture Song, Sparro, Webprofits, King Kong, Alpha Digital, Emote Digital, Deloitte Digital, Deloitte</t>
  </si>
  <si>
    <t>https://www.bushnote.com/articles/leading-media-buying-agencies-australia</t>
  </si>
  <si>
    <t>Australia's Top 10 Media Buying Agencies: 2024 Guide</t>
  </si>
  <si>
    <t>Bushnote, Deloitte, OMD, PHD, EssenceMediacom, GroupM, Publicis Groupe</t>
  </si>
  <si>
    <t>https://leadsnow.ai/best-high-ticket-marketing-agencies-australia/</t>
  </si>
  <si>
    <t>Best High-Ticket Marketing Agencies in Australia (2026) - Leads Now AI</t>
  </si>
  <si>
    <t>LeadsNow.ai, King Kong, Megaphone, Omnicom Media Group, Online Marketing Gurus, Webprofits, Sparro, Brainlabs, Rocket Agency</t>
  </si>
  <si>
    <t>www.msqpartners.com</t>
  </si>
  <si>
    <t>https://theredrepublic.com/australias-top-10-best-ad-agencies-leading-creative-and-advertising/</t>
  </si>
  <si>
    <t>Australia's Top 5 Best Ad Agencies for Creative and Advertising | The Red Republic</t>
  </si>
  <si>
    <t>https://uprisedigital.com.au/blog/best-solar-marketing-agencies-in-australia/</t>
  </si>
  <si>
    <t>The 10 Best Solar Marketing Agencies in Australia (2026) - Uprise Digital</t>
  </si>
  <si>
    <t>Uprise Digital, Megaphone, Online Marketing Gurus, Omnicom Media Group, Digital Nomads HQ, StudioHawk, Sparro, King Kong</t>
  </si>
  <si>
    <t>https://www.bushnote.com/articles/best-digital-marketing-agency-australia-2025</t>
  </si>
  <si>
    <t>Top 12 Digital Agencies Australia 2025: SEO, PPC, Social</t>
  </si>
  <si>
    <t>Bushnote, Online Marketing Gurus, Omnicom Media Group, Sparro, Reload Media, King Kong, Alpha Digital, Rocket Agency, Impressive, Webprofits</t>
  </si>
  <si>
    <t>https://www.smartosc.com/ai-consulting-services-in-australia/</t>
  </si>
  <si>
    <t>Top-Rated AI Consulting Services Used by Australian Businesses - SmartOSC</t>
  </si>
  <si>
    <t>SmartOSC, Deloitte</t>
  </si>
  <si>
    <t>https://digitalnomadshq.com.au/blog/best-seo-agencies/</t>
  </si>
  <si>
    <t>Best SEO Agencies in Australia [Updated 2026]</t>
  </si>
  <si>
    <t>Digital Nomads HQ, StudioHawk, Online Marketing Gurus, Gorilla 360, Supple Digital, Safari Digital, Clearwater Agency, Impressive, Omnicom Media Group</t>
  </si>
  <si>
    <t>https://digitalnomadshq.com.au/blog/search-engine-marketing-agencies/</t>
  </si>
  <si>
    <t>Top 10 Search Engine Marketing Agencies in Australia 2026</t>
  </si>
  <si>
    <t>Digital Nomads HQ, Online Marketing Gurus, Supple Digital, eMarket Experts, Rocket Agency, Omnicom Media Group</t>
  </si>
  <si>
    <t>First Page, Impressive</t>
  </si>
  <si>
    <t>https://leadsnow.ai/best-pay-per-result-marketing-agencies-australia-2026/</t>
  </si>
  <si>
    <t>Best Pay-Per-Result Marketing Agencies in Australia (2026) | LeadsNow AI</t>
  </si>
  <si>
    <t>Rocket Agency</t>
  </si>
  <si>
    <t>LeadsNow.ai</t>
  </si>
  <si>
    <t>rocketagency.com.au</t>
  </si>
  <si>
    <t>https://www.smartosc.com/why-choose-digital-marketing-and-data-analytics-services-australia/</t>
  </si>
  <si>
    <t>Why Choose Digital Marketing and Data Analytics Services Australia - SmartOSC</t>
  </si>
  <si>
    <t>SmartOSC, Impressive, First Page, Deloitte Digital, Deloitte, Megaphone, Bonfire, Rocket Agency, Luminary</t>
  </si>
  <si>
    <t>https://xpon.ai/resources/best-ai-marketing-tools-for-2025/</t>
  </si>
  <si>
    <t>Best AI Marketing Tools 2026: Australia &amp;amp; NZ Guide | XPON</t>
  </si>
  <si>
    <t>XPON</t>
  </si>
  <si>
    <t>https://www.adcore.com/blog/5-best-digital-marketing-agencies-in-melbourne/</t>
  </si>
  <si>
    <t>5 Best Digital Marketing Agencies in Melbourne [2026] | Adcore Blog</t>
  </si>
  <si>
    <t>Adcore Elite, Online Marketing Gurus, Clearwater Agency, Digital Movement</t>
  </si>
  <si>
    <t>Sparro</t>
  </si>
  <si>
    <t>sparro.com.au</t>
  </si>
  <si>
    <t>https://www.bushnote.com/articles/top-ai-search-agencies-sydney-generative-engine-optimisation</t>
  </si>
  <si>
    <t>Sydney's Top 5 AI Search Agencies: Future of Marketing</t>
  </si>
  <si>
    <t>Bushnote, Luminary</t>
  </si>
  <si>
    <t>https://www.bushnote.com/articles/top-ai-search-optimisation-agencies-australia-2026</t>
  </si>
  <si>
    <t>Top 10 AI Search Optimisation Agencies in Australia 2026</t>
  </si>
  <si>
    <t>Bushnote, StudioHawk, Prosperity Media, Digital Nomads HQ, Online Marketing Gurus, First Page, Measured, Impressive, Rocket Agency, Gorilla 360, Salt &amp; Fuessel</t>
  </si>
  <si>
    <t>https://digitalnomadshq.com.au/blog/best-graphic-design-companies/</t>
  </si>
  <si>
    <t>15 Best Graphic Design Companies in Australia (2026)</t>
  </si>
  <si>
    <t>Digital Nomads HQ, CUT THRU, Soup Agency, Farsiight, Clearwater Agency</t>
  </si>
  <si>
    <t>https://digitalnomadshq.com.au/blog/best-ppc-agency/</t>
  </si>
  <si>
    <t>Best PPC Agencies in Australia (Updated 2026)</t>
  </si>
  <si>
    <t>Impressive</t>
  </si>
  <si>
    <t>Digital Nomads HQ, Megaphone, Soup Agency, Farsiight, Gorilla 360, Impressive, Huge</t>
  </si>
  <si>
    <t>https://digitalnomadshq.com.au/blog/pr-firms/</t>
  </si>
  <si>
    <t>14 Best PR Firms in Australia - Find Your PR Agency...</t>
  </si>
  <si>
    <t>Digital Nomads HQ, WPP, Impressive</t>
  </si>
  <si>
    <t>https://digitalnomadshq.com.au/blog/social-media-companies/</t>
  </si>
  <si>
    <t>Top Social Media Marketing Companies in Australia in 2026</t>
  </si>
  <si>
    <t>Soup Agency</t>
  </si>
  <si>
    <t>Digital Nomads HQ, Online Marketing Gurus, Clearwater Agency, Paradox Marketing, Megaphone, Bench Media, Omnicom Media Group, Earned Media</t>
  </si>
  <si>
    <t>First Page, Earned Media</t>
  </si>
  <si>
    <t>https://megaphone.com.au/27-best-apps-for-marketing/</t>
  </si>
  <si>
    <t>The 27 Best Apps for Marketing Your Business in 2022</t>
  </si>
  <si>
    <t>megaphone.com.au</t>
  </si>
  <si>
    <t>Megaphone</t>
  </si>
  <si>
    <t>Megaphone, Huge</t>
  </si>
  <si>
    <t>https://soupagency.com.au/blog/10-best-ppc-agencies-sydney/</t>
  </si>
  <si>
    <t>Best PPC Agencies in Sydney \| Top 10 Reviewed - SOUP Agency</t>
  </si>
  <si>
    <t>Soup Agency, Publicis Groupe, Dentsu, Mindshare, WPP, VML, PHD</t>
  </si>
  <si>
    <t>https://uprisedigital.com.au/blog/google-ads-agencies-in-brisbane/</t>
  </si>
  <si>
    <t>Online Marketing Gurus</t>
  </si>
  <si>
    <t>onlinemarketinggurus.com.au</t>
  </si>
  <si>
    <t>10 Best Google Ads Agencies in Brisbane (2026) - Uprise Digital</t>
  </si>
  <si>
    <t>Uprise Digital, Farsiight, Alpha Digital, Gorilla 360, Online Marketing Gurus, Omnicom Media Group</t>
  </si>
  <si>
    <t>Resolution Digital</t>
  </si>
  <si>
    <t>resolutiondigital.com.au</t>
  </si>
  <si>
    <t>https://we-discover.com/blog/the-top-15-performance-marketing-agencies-in-the-uk-updated-2026/</t>
  </si>
  <si>
    <t>The Top 15 Performance Marketing Agencies in the UK (Updated 2026) - WeDiscover</t>
  </si>
  <si>
    <t>weDiscover, Momentum, Impression, Croud, Journey Further, Hallam, Propellernet, Bind Media, Bark London, Measured</t>
  </si>
  <si>
    <t>Category</t>
  </si>
  <si>
    <t>https://www.vxtx.co.uk/blog/best-performance-marketing-agencies-uk-2026-top-10-ranked</t>
  </si>
  <si>
    <t>The Best Performance Marketing Agencies in the UK for 2026 (Top 10 Ranked) | VXTX Performance Marketing Blog</t>
  </si>
  <si>
    <t>Clearwater Agency</t>
  </si>
  <si>
    <t>clearwateragency.com.au</t>
  </si>
  <si>
    <t>Source / Domain</t>
  </si>
  <si>
    <t>VXTX, weDiscover, Impression, Croud, The Social Shepherd, NP Digital, PPC Geeks, Gravity Global, The Brains, Momentum</t>
  </si>
  <si>
    <t>Region(s)</t>
  </si>
  <si>
    <t>Authority Tier</t>
  </si>
  <si>
    <t>https://www.pushgroup.co.uk/blog/top-9-ai-marketing-agencies-in-the-uk</t>
  </si>
  <si>
    <t>Top 9 AI Marketing Agencies in the UK (2026) | PUSH Group</t>
  </si>
  <si>
    <t>Use In Audit?</t>
  </si>
  <si>
    <t>Source Role / Why It Matters</t>
  </si>
  <si>
    <t>Incubeta Action</t>
  </si>
  <si>
    <t>Push, Push Group, Found, Croud, Born Social, Brainlabs, Measured, Disrupt Marketing, NoGood, Impression, Open Partners, Single Grain, VCCP</t>
  </si>
  <si>
    <t>PEEC Signal</t>
  </si>
  <si>
    <t>Representative URL</t>
  </si>
  <si>
    <t>Official partner / certification ecosystem</t>
  </si>
  <si>
    <t>https://bind.media/insights/top-25-ppc-agencies-in-the-uk-2025</t>
  </si>
  <si>
    <t>Top 25 PPC agencies in the UK [2026]</t>
  </si>
  <si>
    <t>Found, Bind Media, Hallam, The Social Shepherd, Impression, Push, Push Group, Brainlabs, weDiscover, Soap Media, Croud, Launch Online, PPC Geeks, Jellyfish, Huge, Measured</t>
  </si>
  <si>
    <t>https://open.partners/open-partners-insights/top-ai-marketing-agency-uk/#:~:text=Rank,within%20one%20agile%20operating%20system.</t>
  </si>
  <si>
    <t>Top AI Marketing Agencies UK | Why Open Partners Leads the Way</t>
  </si>
  <si>
    <t>Open Partners, Brainlabs, Impression, Journey Further</t>
  </si>
  <si>
    <t>https://www.clickslice.co.uk/top-performance-marketing-agencies/</t>
  </si>
  <si>
    <t>Top 8 Performance Marketing Agencies in the UK (2026)</t>
  </si>
  <si>
    <t>ClickSlice, Launch Online, Measured</t>
  </si>
  <si>
    <t>https://www.pushgroup.co.uk/blog/top-9-paid-social-agencies-uk</t>
  </si>
  <si>
    <t>Top 9 Paid Social Agencies UK (2026) | Best for ROAS | PUSH Group</t>
  </si>
  <si>
    <t>Push, Push Group, The Social Shepherd, We Are Social, The Good Marketer, Impression, Gripped</t>
  </si>
  <si>
    <t>Google Publishing / Marketing partner listings</t>
  </si>
  <si>
    <t>https://nogood.io/blog/marketing-analytics-agency-uk/</t>
  </si>
  <si>
    <t>Top 8 Marketing Analytics Agencies in the UK in 2025 | NoGood</t>
  </si>
  <si>
    <t>NoGood, Brainlabs, Jellyfish, iCrossing, Hallam, Convosphere, QueryClick</t>
  </si>
  <si>
    <t>Global, DE, UK, UAE, AU, US</t>
  </si>
  <si>
    <t>https://www.clickslice.co.uk/top-aeo-agencies-uk/</t>
  </si>
  <si>
    <t>Top 10 AEO Agencies in the UK for 2026</t>
  </si>
  <si>
    <t>High</t>
  </si>
  <si>
    <t>Core</t>
  </si>
  <si>
    <t>Definitive third-party validation because Google partner and certification pages are official source-of-truth assets.</t>
  </si>
  <si>
    <t>Keep Incubeta's Google partner footprint current, complete, and linked from owned source-of-truth pages.</t>
  </si>
  <si>
    <t>Omnicom Media Group</t>
  </si>
  <si>
    <t>PEEC retrieved Google partner sources; Incubeta appears in Google partner/publishing partner evidence.</t>
  </si>
  <si>
    <t>omnicommediagroup.com</t>
  </si>
  <si>
    <t>https://www.google.com/ads/publisher/partners/find-a-partner/</t>
  </si>
  <si>
    <t>https://digital-landscope.com/best-geo-agencies-in-the-uk/</t>
  </si>
  <si>
    <t>Best GEO Agencies in the UK</t>
  </si>
  <si>
    <t>digital-landscope.com</t>
  </si>
  <si>
    <t>Digital Landscope, The SEO Works, Found</t>
  </si>
  <si>
    <t>enterprisemarketingportal.google</t>
  </si>
  <si>
    <t>Official Google ecosystem partner gallery; stronger authority than agency-owned listicles.</t>
  </si>
  <si>
    <t>Prioritise profile completeness and supporting case-study links.</t>
  </si>
  <si>
    <t>Measured, Neustar, Rockerbox, Haus, Recast, Analytic Partners</t>
  </si>
  <si>
    <t>Mentioned in DE source data; retrievals visible in PEEC URL rows.</t>
  </si>
  <si>
    <t>https://pinpoint-media.global/insights/top-8-paid-media-agencies-in-the-uk</t>
  </si>
  <si>
    <t>Top 8 Paid Media Agencies in the UK | PinPoint Media</t>
  </si>
  <si>
    <t>https://enterprisemarketingportal.google/find-a-partner</t>
  </si>
  <si>
    <t>pinpoint-media.global</t>
  </si>
  <si>
    <t>PinPoint Media, The Social Shepherd, Impression, Journey Further, Bind Media, Push</t>
  </si>
  <si>
    <t>withgoogle.com / google.com</t>
  </si>
  <si>
    <t>US, UK, DE, UAE, AU</t>
  </si>
  <si>
    <t>https://www.tilio.co.uk/blog/the-top-10-ai-search-agencies-in-the-uk-in-2026</t>
  </si>
  <si>
    <t>Mostly No</t>
  </si>
  <si>
    <t>The top 10 AI search agencies in the UK in 2026 | Tilio</t>
  </si>
  <si>
    <t>Core opportunity</t>
  </si>
  <si>
    <t>Official Google-owned domains are high-trust source surfaces even when individual pages do not mention Incubeta.</t>
  </si>
  <si>
    <t>Tilio, Screaming Frog, Found, Varn, Impression, Blue Array, Passion Digital, The SEO Works, Measured</t>
  </si>
  <si>
    <t>Audit Google-owned partner/case-study surfaces and close regional gaps where competitors appear.</t>
  </si>
  <si>
    <t>Google-owned domains are retrieved across markets but Incubeta is not consistently present.</t>
  </si>
  <si>
    <t>https://www.google.com/</t>
  </si>
  <si>
    <t>https://firstmotion.com/insights/best-geo-agencies-uk#:~:text=One%20thing%20and%20one%20thing,no%20paid%20media%2C%20nothing%20else.</t>
  </si>
  <si>
    <t>Industry association / institutional authority</t>
  </si>
  <si>
    <t>Best UK GEO &amp;amp; AI Search Agencies in 2026 | FirstMotion</t>
  </si>
  <si>
    <t>bvdw.org</t>
  </si>
  <si>
    <t>firstmotion.com</t>
  </si>
  <si>
    <t>FirstMotion, Rank4AI, Found, Impression, Passion Digital, Measured, Blue Array, Tilio, Varn, Buried Agency, ClickSlice</t>
  </si>
  <si>
    <t>https://thesocialshepherd.com/blog/top-paid-social-agencies-uk</t>
  </si>
  <si>
    <t>German Association for the Digital Economy; institutional signal for digital business credibility in Germany.</t>
  </si>
  <si>
    <t>The Social Shepherd | Top 13 Paid Social Agencies In The UK (2026)</t>
  </si>
  <si>
    <t>Assess membership, profile, awards, committees, or citations in German-market authority content.</t>
  </si>
  <si>
    <t>DE PEEC retrieves BVDW with competitors and German agency entities, but not Incubeta.</t>
  </si>
  <si>
    <t>https://www.bvdw.org/en/</t>
  </si>
  <si>
    <t>The Social Shepherd, Gripped, The Good Marketer, Found, The Brains, Clarity Performance</t>
  </si>
  <si>
    <t>Prosperity Media</t>
  </si>
  <si>
    <t>Industry association / awards authority</t>
  </si>
  <si>
    <t>oneclub.org</t>
  </si>
  <si>
    <t>https://www.koozai.com/blog/search-marketing/the-best-ai-marketing-agencies-in-the-uk/</t>
  </si>
  <si>
    <t>AI Marketing Agencies in the UK | Koozai</t>
  </si>
  <si>
    <t>Medium</t>
  </si>
  <si>
    <t>koozai.com</t>
  </si>
  <si>
    <t>Secondary</t>
  </si>
  <si>
    <t>Creative/advertising awards and membership signal; useful where Incubeta competes with creative networks.</t>
  </si>
  <si>
    <t>Koozai, Favoured, Measured</t>
  </si>
  <si>
    <t>Only pursue if relevant to campaign awards, creative recognition, or agency credentialing.</t>
  </si>
  <si>
    <t>Retrieved in DE source data but no Incubeta mention.</t>
  </si>
  <si>
    <t>https://www.oneclub.org/</t>
  </si>
  <si>
    <t>https://inbeat.agency/blog/top-performance-marketing-agencies-london</t>
  </si>
  <si>
    <t>Top 31 Performance Marketing Agencies in London as of 2026 - inBeat Agency</t>
  </si>
  <si>
    <t>Analyst / research authority</t>
  </si>
  <si>
    <t>gartner.com</t>
  </si>
  <si>
    <t>US, DE</t>
  </si>
  <si>
    <t>inBeat, Nielsen, The Brains, The Social Shepherd, Triple Whale, Northbeam, PMG, Momentum, Push, Push Group, Found, Passion Digital, NP Digital, Hallam, Huge</t>
  </si>
  <si>
    <t>https://open.partners/open-partners-insights/10-leading-uk-performance-marketing-agencies-that-deliver-proven-roi/</t>
  </si>
  <si>
    <t>Analyst and peer-review authority for global digital marketing agencies and marketing analytics categories.</t>
  </si>
  <si>
    <t>10 Leading UK Performance Marketing Agencies That Deliver Proven ROI - Open Partners</t>
  </si>
  <si>
    <t>Investigate whether Incubeta qualifies for relevant Gartner Peer Insights, market guide, or review profile surfaces.</t>
  </si>
  <si>
    <t>Retrieved in US/DE data; competitors and analytics providers appear, Incubeta does not.</t>
  </si>
  <si>
    <t>https://www.gartner.com/reviews/market/global-digital-marketing-agencies</t>
  </si>
  <si>
    <t>Open Partners, Measured, Croud, Impression, Bind Media, The Brains, Push, Push Group, Bark London, weDiscover, VXTX</t>
  </si>
  <si>
    <t>Industry data / software authority</t>
  </si>
  <si>
    <t>semrush.com</t>
  </si>
  <si>
    <t>https://bind.media/insights/top-9-paid-social-agencies-in-the-uk-2025</t>
  </si>
  <si>
    <t>US, AU, UK, UAE, DE</t>
  </si>
  <si>
    <t>Top 9 Paid Social Agencies in the UK [2025]</t>
  </si>
  <si>
    <t>High-retrieval industry tool/domain; not a neutral analyst, but often cited for SEO and agency discovery.</t>
  </si>
  <si>
    <t>Target relevant partner/profile/listing opportunities only where Semrush has durable agency or market pages.</t>
  </si>
  <si>
    <t>Very high retrievals across regions; Incubeta absent from mention lists.</t>
  </si>
  <si>
    <t>Luminary</t>
  </si>
  <si>
    <t>withluminary.com</t>
  </si>
  <si>
    <t>https://www.semrush.com/</t>
  </si>
  <si>
    <t>Bind Media, Measured, Hallam, We Are Social, The Social Shepherd, Croud, The Good Marketer</t>
  </si>
  <si>
    <t>Agency directory / review marketplace</t>
  </si>
  <si>
    <t>UK = Yes; US/AU/UAE/DE = No or inconsistent</t>
  </si>
  <si>
    <t>https://disruptmarketing.co/blog/best-social-media-marketing-agencies/</t>
  </si>
  <si>
    <t>Mixed</t>
  </si>
  <si>
    <t>Best Social Media Agencies in the UK (2026) | Disrupt</t>
  </si>
  <si>
    <t>disruptmarketing.co</t>
  </si>
  <si>
    <t>Major B2B services marketplace with verified reviews and agency rankings; strong client-facing authority.</t>
  </si>
  <si>
    <t>Disrupt Marketing, We Are Social, Found, Social Chain, Born Social, Croud, Ogilvy, Saatchi &amp; Saatchi, Publicis Groupe, The Social Shepherd, WPP, Measured</t>
  </si>
  <si>
    <t>Strengthen regional Incubeta profiles, reviews, categories, and rankings outside the UK.</t>
  </si>
  <si>
    <t>Top retrieval domain across all markets; UK mentions Incubeta, other markets show competitor-heavy results.</t>
  </si>
  <si>
    <t>https://clutch.co/</t>
  </si>
  <si>
    <t>https://thesocialshepherd.com/blog/paid-media-agencies-uk</t>
  </si>
  <si>
    <t>The Social Shepherd | Top 13 Paid Media Agencies In The UK (2026)</t>
  </si>
  <si>
    <t>sortlist.com / sortlist.co.uk / sortlist.de</t>
  </si>
  <si>
    <t>The Social Shepherd, Croud, Impression, Clarity Performance, Soap Media, 9AM, Disrupt Marketing</t>
  </si>
  <si>
    <t>Farsiight</t>
  </si>
  <si>
    <t>farsiight.com</t>
  </si>
  <si>
    <t>https://www.pushgroup.co.uk/blog/top-9-geo-agencies-in-the-uk</t>
  </si>
  <si>
    <t>Large B2B agency matchmaking marketplace; very high retrieval in UK, UAE, and DE.</t>
  </si>
  <si>
    <t>Top 9 GEO Agencies UK (2026): Reviewed &amp;amp; Compared | PUSH Group</t>
  </si>
  <si>
    <t>Create/optimise regional profiles if commercially relevant; prioritise UK/DE/UAE due retrieval volume.</t>
  </si>
  <si>
    <t>Among highest retrieval domains in UK/UAE/DE, but Incubeta absent.</t>
  </si>
  <si>
    <t>https://www.sortlist.com/</t>
  </si>
  <si>
    <t>Push, Push Group, Found, Propellernet, Builtvisible, Charle Agency, Blue Array, Passion Digital, Impression, Disrupt Marketing, Measured</t>
  </si>
  <si>
    <t>Agency directory / industry network</t>
  </si>
  <si>
    <t>digitalagencynetwork.com</t>
  </si>
  <si>
    <t>https://www.tilio.co.uk/blog/the-ultimate-guide-to-aeo-agencies-in-the-uk-2026</t>
  </si>
  <si>
    <t>5 AEO agencies in the UK to know in 2026 | Tilio</t>
  </si>
  <si>
    <t>Tilio, Found, Propeller, Digital Landscope, Varn</t>
  </si>
  <si>
    <t>Dedicated digital-agency network and directory with regional agency pages; relevant to client discovery.</t>
  </si>
  <si>
    <t>Build or improve Incubeta regional profiles and publish agency news/case studies where possible.</t>
  </si>
  <si>
    <t>Talons Marketing</t>
  </si>
  <si>
    <t>Retrieved across all regions as a reference/source domain, no consistent Incubeta mention.</t>
  </si>
  <si>
    <t>https://www.tilio.co.uk/blog/top-geo-agencies-uk</t>
  </si>
  <si>
    <t>Top 8 GEO agencies in the UK in 2026 | Tilio</t>
  </si>
  <si>
    <t>https://digitalagencynetwork.com/</t>
  </si>
  <si>
    <t>Agency directory / ranking marketplace</t>
  </si>
  <si>
    <t>Tilio, Screaming Frog, Found, Varn, Impression, Blue Array, The SEO Works</t>
  </si>
  <si>
    <t>designrush.com</t>
  </si>
  <si>
    <t>Agency ranking/directory source frequently surfaced by PEEC; useful but less definitive than Google/Gartner/institutional sources.</t>
  </si>
  <si>
    <t>Optimise or create profile in priority regions; avoid treating every listicle page as high authority.</t>
  </si>
  <si>
    <t>Cometly, Measured, Rockerbox, Northbeam, Haus, Recast, Impression</t>
  </si>
  <si>
    <t>High retrievals across markets, competitor-heavy mentions, Incubeta absent.</t>
  </si>
  <si>
    <t>https://www.designrush.com/</t>
  </si>
  <si>
    <t>https://www.pushgroup.co.uk/blog/top-9-answer-engine-optimisation-agencies-uk</t>
  </si>
  <si>
    <t>Top 9 Answer Engine Optimisation Agencies UK (2026 Guide) | PUSH Group</t>
  </si>
  <si>
    <t>themanifest.com</t>
  </si>
  <si>
    <t>US, AU, DE</t>
  </si>
  <si>
    <t>First Page</t>
  </si>
  <si>
    <t>Push, Push Group, Found, The SEO Works, Builtvisible, Dentsu, Impression</t>
  </si>
  <si>
    <t>Secondary opportunity</t>
  </si>
  <si>
    <t>Clutch-adjacent agency directory; relevant for agency discoverability, not a definitive authority.</t>
  </si>
  <si>
    <t>https://www.charle.co.uk/articles/top-ai-seo-agencies/#:~:text=Buried%20Agency%20is%20a%20UK,Google%20AI%20Overviews%2C%20and%20Perplexity.</t>
  </si>
  <si>
    <t>13 Best AI SEO Agencies UK (2026) | Charle</t>
  </si>
  <si>
    <t>Use as profile/listing hygiene, not as a primary authority pillar.</t>
  </si>
  <si>
    <t>charle.co.uk</t>
  </si>
  <si>
    <t>Retrieved in US/AU/DE source data with competitors; no Incubeta.</t>
  </si>
  <si>
    <t>https://themanifest.com/</t>
  </si>
  <si>
    <t>Charle Agency, Buried Agency, Impression, Found, Rise at Seven, Exposure Ninja, ClickSlice, Blue Array, Measured</t>
  </si>
  <si>
    <t>techbehemoths.com</t>
  </si>
  <si>
    <t>DE, UK</t>
  </si>
  <si>
    <t>https://passion.digital/blog/the-best-generative-engine-optimisation-agencies-in-the-uk-2026/</t>
  </si>
  <si>
    <t>The 8 Best Generative Engine Optimisation Agencies in the UK (2026) | Passion Digital®</t>
  </si>
  <si>
    <t>HERO</t>
  </si>
  <si>
    <t>herohq.com.au</t>
  </si>
  <si>
    <t>Technology/provider directory; useful for discoverability but lower strategic authority.</t>
  </si>
  <si>
    <t>Passion Digital, The SEO Works, Bird Marketing, Buried Agency, Polaris, Exposure Ninja</t>
  </si>
  <si>
    <t>Profile hygiene only if listing exists or can be improved efficiently.</t>
  </si>
  <si>
    <t>Retrieved in DE/UK source data; no Incubeta.</t>
  </si>
  <si>
    <t>https://techbehemoths.com/</t>
  </si>
  <si>
    <t>https://www.rank4ai.co.uk/research/rankings/top-geo-agencies-uk-2026/#:~:text=Tests%20all%20six%20platforms.,within%20their%20broader%20SEO%20offering.</t>
  </si>
  <si>
    <t>Top GEO Agencies UK 2026 | Rank4AI</t>
  </si>
  <si>
    <t>Agency directory / local rankings</t>
  </si>
  <si>
    <t>10seos.com</t>
  </si>
  <si>
    <t>AU, UAE</t>
  </si>
  <si>
    <t>Rank4AI, Blue Array, Buried Agency, Varn, Found</t>
  </si>
  <si>
    <t>Low-Medium</t>
  </si>
  <si>
    <t>Local SEO/agency rankings; browsable but less authoritative and can be noisy.</t>
  </si>
  <si>
    <t>https://pinpoint-media.global/insights/top-5-uk-paid-social-agencies-2026</t>
  </si>
  <si>
    <t>Top 5 Paid Social Agencies in the UK (2026) | PinPoint Media</t>
  </si>
  <si>
    <t>Keep as lower-priority listing opportunity; do not over-weight in client narrative.</t>
  </si>
  <si>
    <t>Retrieved in AU/UAE, no Incubeta.</t>
  </si>
  <si>
    <t>https://www.10seos.com/</t>
  </si>
  <si>
    <t>PinPoint Media, Social Chain, Born Social, Found, Huge</t>
  </si>
  <si>
    <t>Agency directory / lower-trust review marketplace</t>
  </si>
  <si>
    <t>goodfirms.co / feedbax.ai</t>
  </si>
  <si>
    <t>US, AU, UAE, DE</t>
  </si>
  <si>
    <t>https://www.vxtx.co.uk/blog/what-is-the-best-performance-marketing-agency-in-the-u-k</t>
  </si>
  <si>
    <t>What Is the Best Performance Marketing Agency in The U.K? | VXTX Performance Marketing Blog</t>
  </si>
  <si>
    <t>Secondary / not core</t>
  </si>
  <si>
    <t>Review/listing sites can influence AI retrieval but are more UGC-like and less definitive.</t>
  </si>
  <si>
    <t>VXTX, Gripped, Hallam, Momentum</t>
  </si>
  <si>
    <t>Only include in implementation backlog if profile updates are easy; keep out of core external authority story.</t>
  </si>
  <si>
    <t>Classed as UGC in PEEC for several regions; competitors appear.</t>
  </si>
  <si>
    <t>SIXGUN</t>
  </si>
  <si>
    <t>sixgun.com.au</t>
  </si>
  <si>
    <t>https://www.goodfirms.co/</t>
  </si>
  <si>
    <t>https://whitehat-seo.co.uk/blog/best-ppc-agencies-uk</t>
  </si>
  <si>
    <t>Best PPC Agencies UK: Pricing &amp;amp; Comparison | Whitehat</t>
  </si>
  <si>
    <t>Trade media / editorial publication</t>
  </si>
  <si>
    <t>businessofapps.com</t>
  </si>
  <si>
    <t>whitehat-seo.co.uk</t>
  </si>
  <si>
    <t>Whitehat, Brainlabs, Croud, Found, Hallam, Impression, PPC Geeks, The SEO Works, LOCALiQ</t>
  </si>
  <si>
    <t>Relevant industry publication/marketplace for performance marketing and app growth ecosystems.</t>
  </si>
  <si>
    <t>https://www.koozai.com/blog/marketing-strategy/top-28-digital-marketing-agencies-in-the-uk/</t>
  </si>
  <si>
    <t>Use as positive evidence; protect/expand Incubeta's inclusion on relevant marketplace/category pages.</t>
  </si>
  <si>
    <t>UK Digital Marketing Agencies: A Resource Guide by Speciality | Koozai</t>
  </si>
  <si>
    <t>US source data includes Incubeta in Business of Apps performance marketing evidence.</t>
  </si>
  <si>
    <t>https://www.businessofapps.com/marketplace/performance-marketing/</t>
  </si>
  <si>
    <t>Koozai, Click Intelligence, Impression, Rise at Seven, Blue Array, ClickSlice, Exposure Ninja, Hallam, The Good Marketer, Gravity Global, Found</t>
  </si>
  <si>
    <t>bandt.com.au</t>
  </si>
  <si>
    <t>Emote Digital</t>
  </si>
  <si>
    <t>https://www.bluearray.co.uk/agency-directory/best-generative-engine-optimisation-geo-agencies-in-the-uk/</t>
  </si>
  <si>
    <t>emotenow.com</t>
  </si>
  <si>
    <t>Best Generative Engine Optimisation (GEO) Agencies in the UK | Top AI Search Experts</t>
  </si>
  <si>
    <t>bluearray.co.uk</t>
  </si>
  <si>
    <t>Australian advertising and marketing trade publication; strong regional credibility.</t>
  </si>
  <si>
    <t>Consider PR, awards, leadership commentary, or case-study pitches in AU.</t>
  </si>
  <si>
    <t>Blue Array, Polaris</t>
  </si>
  <si>
    <t>AU PEEC retrieves B&amp;T with agencies/networks, not Incubeta.</t>
  </si>
  <si>
    <t>https://www.bandt.com.au/</t>
  </si>
  <si>
    <t>Trade media / national business publication</t>
  </si>
  <si>
    <t>https://inbeat.agency/blog/top-digital-marketing-agencies-in-the-uk</t>
  </si>
  <si>
    <t>theaustralian.com.au</t>
  </si>
  <si>
    <t>Top 31 Digital Marketing Agencies in the UK [2026 Review] - inBeat Agency</t>
  </si>
  <si>
    <t>inBeat, Nielsen, Impression, Found, The Social Shepherd, Social Chain, Saatchi &amp; Saatchi, BBH London, We Are Social, Gripped, Soap Media, Make Agency</t>
  </si>
  <si>
    <t>National business/media source; valuable if Incubeta can earn credible coverage.</t>
  </si>
  <si>
    <t>Only pursue through genuine news, appointments, research, or major client/campaign stories.</t>
  </si>
  <si>
    <t>https://ppcgeeks.co.uk/ppc/marketing-attribution-tools/</t>
  </si>
  <si>
    <t>AU source data retrieves The Australian with major networks/consultancies, no Incubeta.</t>
  </si>
  <si>
    <t>Marketing Attribution Tools: A Complete Guide - PPC Geeks Blog</t>
  </si>
  <si>
    <t>https://www.theaustralian.com.au/</t>
  </si>
  <si>
    <t>ppcgeeks.co.uk</t>
  </si>
  <si>
    <t>digitaldigest.au</t>
  </si>
  <si>
    <t>PPC Geeks, Ruler Analytics, Measured, Northbeam, Impression, Found</t>
  </si>
  <si>
    <t>Australian digital/marketing editorial surface; useful for regional relevance.</t>
  </si>
  <si>
    <t>Consider targeted PR or expert commentary if editorial fit is real.</t>
  </si>
  <si>
    <t>inBeat, Nielsen, Artefact, Found, Measured, Polaris, WebFX</t>
  </si>
  <si>
    <t>AU source data retrieves Digital Digest with competitor agencies.</t>
  </si>
  <si>
    <t>Deloitte</t>
  </si>
  <si>
    <t>https://digitaldigest.au/</t>
  </si>
  <si>
    <t>https://www.buriedagency.com/post/top-geo-agencies-uk</t>
  </si>
  <si>
    <t>deloitte.com</t>
  </si>
  <si>
    <t>Top 12 GEO (Generative Engine Optimisation) agencies in the UK</t>
  </si>
  <si>
    <t>buriedagency.com</t>
  </si>
  <si>
    <t>formulate.com.au</t>
  </si>
  <si>
    <t>Buried Agency, Charle Agency, Propeller, Exposure Ninja, Passion Digital, Impression, ClickSlice, Varn, Bird Marketing, Found, Builtvisible, Push, Measured</t>
  </si>
  <si>
    <t>https://www.clickslice.co.uk/top-digital-marketing-agencies-uk/</t>
  </si>
  <si>
    <t>Top 10 Digital Marketing Agencies in the UK (2026)</t>
  </si>
  <si>
    <t>Australian marketing publication/editorial source; useful but more niche.</t>
  </si>
  <si>
    <t>Monitor for relevant thought leadership opportunities.</t>
  </si>
  <si>
    <t>AU PEEC retrieves Formulate with agency mentions, no Incubeta.</t>
  </si>
  <si>
    <t>ClickSlice, Found, Measured</t>
  </si>
  <si>
    <t>https://formulate.com.au/</t>
  </si>
  <si>
    <t>ibusiness.de</t>
  </si>
  <si>
    <t>German digital business/trade publication; valuable DE authority signal.</t>
  </si>
  <si>
    <t>Pitch German-market expertise, case studies, awards, or digital economy commentary.</t>
  </si>
  <si>
    <t>https://www.koozai.com/blog/pay-per-click-ppc/10-best-paid-media-agencies-in-uk/</t>
  </si>
  <si>
    <t>DE source data retrieves iBusiness with German agencies/consultancies, no Incubeta.</t>
  </si>
  <si>
    <t>10 Paid Media Agencies in the UK Worth Speaking To | Koozai</t>
  </si>
  <si>
    <t>https://www.ibusiness.de/</t>
  </si>
  <si>
    <t>neuhandeln.de / onetoone.de</t>
  </si>
  <si>
    <t>Koozai, Brainlabs, Found, Impression, Jellyfish, Journey Further, Propellernet</t>
  </si>
  <si>
    <t>Medium-High</t>
  </si>
  <si>
    <t>https://www.pushgroup.co.uk/blog/top-9-google-ads-agencies-in-the-uk</t>
  </si>
  <si>
    <t>German digital commerce/marketing editorial sources; regionally relevant.</t>
  </si>
  <si>
    <t>Top 9 Google Ads Agencies in the UK 2026 | PUSH Group</t>
  </si>
  <si>
    <t>Use for DE-focused digital commerce, analytics, and marketing technology POVs.</t>
  </si>
  <si>
    <t>DE PEEC retrieves these sources with competitors, no Incubeta.</t>
  </si>
  <si>
    <t>https://neuhandeln.de/</t>
  </si>
  <si>
    <t>Push, Push Group, The Social Shepherd, PPC Geeks, Found</t>
  </si>
  <si>
    <t>First Page Australia</t>
  </si>
  <si>
    <t>Trade media / technology publication</t>
  </si>
  <si>
    <t>firstpage.com.au</t>
  </si>
  <si>
    <t>silicon.de</t>
  </si>
  <si>
    <t>https://www.rank4ai.co.uk/research/rankings/ai-search-optimisation-agencies-uk/</t>
  </si>
  <si>
    <t>AI Search Optimisation Agencies UK 2026 | Rank4AI</t>
  </si>
  <si>
    <t>Rank4AI, Varn, Found, Buried Agency</t>
  </si>
  <si>
    <t>German technology publication; can support digital/AI/analytics authority when topic fit is strong.</t>
  </si>
  <si>
    <t>Consider only for technical or AI/data stories rather than generic agency listicles.</t>
  </si>
  <si>
    <t>DE source data retrieves Silicon.de, no Incubeta.</t>
  </si>
  <si>
    <t>https://www.silicon.de/</t>
  </si>
  <si>
    <t>Trade media / business technology publication</t>
  </si>
  <si>
    <t>techbullion.com</t>
  </si>
  <si>
    <t>SegmentStream, Triple Whale, Northbeam, Measured, Rockerbox, Ruler Analytics, Impression, Push</t>
  </si>
  <si>
    <t>https://www.charle.co.uk/articles/best-geo-agencies-uk/</t>
  </si>
  <si>
    <t>Business/technology editorial surface; may be useful for UAE/MENA thought leadership but not definitive.</t>
  </si>
  <si>
    <t>14 Best GEO Agencies UK (2026) | Top Generative Engine Optimisation Agencies | Charle</t>
  </si>
  <si>
    <t>Use selectively for credible expert commentary, not generic roundup placement.</t>
  </si>
  <si>
    <t>UAE PEEC retrieves TechBullion with regional agency/consultancy names, no Incubeta.</t>
  </si>
  <si>
    <t>https://techbullion.com/</t>
  </si>
  <si>
    <t>Charle Agency, Polaris, Buried Agency, ClickSlice, Exposure Ninja, Blue Array, Found, Measured</t>
  </si>
  <si>
    <t>Industry publication / marketing marketplace</t>
  </si>
  <si>
    <t>influencermarketinghub.com</t>
  </si>
  <si>
    <t>https://directiveconsulting.com/uk/blog/best-marketing-data-agency/</t>
  </si>
  <si>
    <t>Core / monitor</t>
  </si>
  <si>
    <t>Recognised marketing/influencer industry publication and directory-style content source.</t>
  </si>
  <si>
    <t>Directive Consulting, Brainlabs, Power Digital, Measured</t>
  </si>
  <si>
    <t>Treat existing mention as useful, but validate page quality before using prominently.</t>
  </si>
  <si>
    <t>UAE source data includes Incubeta in Influencer Marketing Hub mentions.</t>
  </si>
  <si>
    <t>https://influencermarketinghub.com/</t>
  </si>
  <si>
    <t>https://www.rank4ai.co.uk/research/rankings/best-geo-agencies-uk/</t>
  </si>
  <si>
    <t>Regional agency/media publication</t>
  </si>
  <si>
    <t>Best GEO Agencies UK 2026 | Rank4AI</t>
  </si>
  <si>
    <t>c2cmedia.ae</t>
  </si>
  <si>
    <t>Rank4AI, Blue Array, Buried Agency, Varn, Found, Screaming Frog</t>
  </si>
  <si>
    <t>Regional marketing/media source; useful but should not be weighted like institutional authority.</t>
  </si>
  <si>
    <t>Domain Classification</t>
  </si>
  <si>
    <t>Keep as supporting UAE evidence if page quality is strong.</t>
  </si>
  <si>
    <t>https://www.rank4ai.co.uk/research/rankings/top-ai-search-agencies-london/</t>
  </si>
  <si>
    <t>Top AI Search Agencies London 2026 | Rank4AI</t>
  </si>
  <si>
    <t>UAE source data includes Incubeta in C2C Media mentions.</t>
  </si>
  <si>
    <t>https://c2cmedia.ae/</t>
  </si>
  <si>
    <t>Specialist SEO / agency comparison publication</t>
  </si>
  <si>
    <t>Rank4AI, Found, Exposure Ninja, Blue Array</t>
  </si>
  <si>
    <t>seocompare.co.uk</t>
  </si>
  <si>
    <t>UK, DE</t>
  </si>
  <si>
    <t>https://www.charle.co.uk/articles/top-geo-agency-for-ecommerce/</t>
  </si>
  <si>
    <t>14 Best GEO Agencies UK (2026) \| Top Generative Engine Optimisation Agencies \| Charle</t>
  </si>
  <si>
    <t>Specialist SEO comparison/editorial source; useful for SEO/AEO agency contexts only.</t>
  </si>
  <si>
    <t>Consider only if Incubeta wants stronger SEO/AEO positioning in UK/DE.</t>
  </si>
  <si>
    <t>Retrieved in UK/DE source data, no Incubeta.</t>
  </si>
  <si>
    <t>https://seocompare.co.uk/</t>
  </si>
  <si>
    <t>https://directiveconsulting.com/uk/blog/10-ai-marketing-agencies-outperforming-the-market/</t>
  </si>
  <si>
    <t>Lower-priority competitor/vendor roundup</t>
  </si>
  <si>
    <t>10 B2B Marketing Agencies Using Proprietary AI to Outperform the Market - Directive UK</t>
  </si>
  <si>
    <t>US, UAE</t>
  </si>
  <si>
    <t>Directive Consulting, NoGood, Single Grain, Measured</t>
  </si>
  <si>
    <t>Do not use as core</t>
  </si>
  <si>
    <t>Competitor/vendor-owned roundup source. It can influence retrieval but is not definitive external authority.</t>
  </si>
  <si>
    <t>Keep in competitor/roundup opportunity analysis, not the main authority narrative.</t>
  </si>
  <si>
    <t>PEEC shows Incubeta mentions in US/UAE Web Tonic rows.</t>
  </si>
  <si>
    <t>https://www.webtonic.io/</t>
  </si>
  <si>
    <t>https://weareroast.com/news/best-ppc-agencies-in-the-uk-2026-guide/</t>
  </si>
  <si>
    <t>Best PPC Agencies in the UK (2026 Guide) | We Are ROAST</t>
  </si>
  <si>
    <t>weareroast.com</t>
  </si>
  <si>
    <t>ROAST, Brainlabs, iCrossing, Hallam, Impression, Koozai, Huge, Jellyfish</t>
  </si>
  <si>
    <t>https://www.clickslice.co.uk/best-generative-engine-optimisation-agencies-uk/</t>
  </si>
  <si>
    <t>8 Best Generative Engine Optimisation (GEO) Agencies in the UK</t>
  </si>
  <si>
    <t>Vendor/competitor content around attribution/marketing tools; useful retrieval signal, not independent authority.</t>
  </si>
  <si>
    <t>Track as roundup evidence separately from external authority.</t>
  </si>
  <si>
    <t>DE source data includes Incubeta in Cometly mentions.</t>
  </si>
  <si>
    <t>https://www.cometly.com/</t>
  </si>
  <si>
    <t>thegrowthsyndicate.com</t>
  </si>
  <si>
    <t>Agency/vendor-style roundup; helpful for visibility but not definitive external authority.</t>
  </si>
  <si>
    <t>Use in roundup or competitor-content tab, not as main authority source.</t>
  </si>
  <si>
    <t>https://thesocialshepherd.com/blog/top-social-media-agencies-uk</t>
  </si>
  <si>
    <t>DE source data includes Incubeta among European agency mentions.</t>
  </si>
  <si>
    <t>The Social Shepherd | Top 13 Social Media Agencies In The UK (2026)</t>
  </si>
  <si>
    <t>https://www.thegrowthsyndicate.com/</t>
  </si>
  <si>
    <t>The Social Shepherd, Social Chain, We Are Social, WPP, Monks, Croud, Gripped</t>
  </si>
  <si>
    <t>https://www.cometly.com/post/marketing-attribution-platform-for-agencies</t>
  </si>
  <si>
    <t>Competitor/agency-owned content; useful because Incubeta appears, but not a neutral authority.</t>
  </si>
  <si>
    <t>Keep separate from the core External Authority story.</t>
  </si>
  <si>
    <t>Cometly, Triple Whale, Rockerbox, Northbeam, Ruler Analytics</t>
  </si>
  <si>
    <t>UK source data includes Incubeta in Bind Media mentions.</t>
  </si>
  <si>
    <t>https://inbeat.agency/blog/top-social-media-agencies-in-the-uk</t>
  </si>
  <si>
    <t>https://bind.media/</t>
  </si>
  <si>
    <t>Top 26 Social Media Agencies in the UK (2026 Guide) - inBeat Agency</t>
  </si>
  <si>
    <t>oski.site</t>
  </si>
  <si>
    <t>inBeat, Nielsen, Social Chain, The Good Marketer, ROAST, We Are Social, Born Social, The Social Shepherd, Soap Media</t>
  </si>
  <si>
    <t>Low</t>
  </si>
  <si>
    <t>Exclude from core</t>
  </si>
  <si>
    <t>https://open.partners/open-partners-insights/best-full-service-agencies-uk/</t>
  </si>
  <si>
    <t>Niche/unclear authority source; include only if manually validated.</t>
  </si>
  <si>
    <t>Best Full-Service Marketing Agencies UK | Open Partners</t>
  </si>
  <si>
    <t>Do not present as authoritative until source quality is checked.</t>
  </si>
  <si>
    <t>UAE source data includes Incubeta but authority is unclear.</t>
  </si>
  <si>
    <t>Open Partners, Measured, VCCP, Ogilvy, WPP, Dept, Jellyfish, Brandtech, Gripped, Impression, Accenture Song</t>
  </si>
  <si>
    <t>https://oski.site/</t>
  </si>
  <si>
    <t>https://www.clickslice.co.uk/best-ai-aeo-agencies-uk/</t>
  </si>
  <si>
    <t>6 Best AI Answer Engine Optimisation Agencies in the UK (2026)</t>
  </si>
  <si>
    <t>https://www.rank4ai.co.uk/research/rankings/best-ai-seo-agencies-uk/</t>
  </si>
  <si>
    <t>Best AI SEO Agencies UK 2026 | Rank4AI</t>
  </si>
  <si>
    <t>google.com</t>
  </si>
  <si>
    <t>Rank4AI, Measured, Varn, Found, Buried Agency</t>
  </si>
  <si>
    <t>Yes - priority</t>
  </si>
  <si>
    <t>SegmentStream, Measured, Haus, Rockerbox, Recast</t>
  </si>
  <si>
    <t>https://tilio.co.uk/blog/best-aeo-agencies-2026-uk</t>
  </si>
  <si>
    <t>What are the best UK AEO Agencies in 2026? \| Tilio Blog</t>
  </si>
  <si>
    <t>Tilio, Found, Passion Digital, ClickSlice, Momentum, The SEO Works, Digital Landscope, NoGood</t>
  </si>
  <si>
    <t>Omniscient Digital, NoGood, Daydream, Single Grain, Measured</t>
  </si>
  <si>
    <t>https://www.bluearray.co.uk/agency-directory/best-paid-social-agencies-in-the-uk/</t>
  </si>
  <si>
    <t>Best Paid Social Agencies in the UK - Blue Array SEO</t>
  </si>
  <si>
    <t>Blue Array, Bind Media, Launch Online, Disrupt Marketing</t>
  </si>
  <si>
    <t>withgoogle.com</t>
  </si>
  <si>
    <t>https://www.clickslice.co.uk/top-answer-engine-optimisation-agencies-uk/</t>
  </si>
  <si>
    <t>7 Top Answer Engine Optimisation (AEO) Specialists UK Brands Should Know</t>
  </si>
  <si>
    <t>https://pinpoint-media.global/insights/top-10-paid-media-agencies-in-london</t>
  </si>
  <si>
    <t>Top 10 Paid Media Agencies in London | PinPoint Media</t>
  </si>
  <si>
    <t>PinPoint Media, Jellyfish, Brainlabs, Push, Hallam, Dentsu</t>
  </si>
  <si>
    <t>https://www.superside.com/blog/creative-agencies-london</t>
  </si>
  <si>
    <t>15 Best Ad Creative Agencies in London To Hire in 2026</t>
  </si>
  <si>
    <t>Superside, Favoured, Polaris, Impression</t>
  </si>
  <si>
    <t>https://directiveconsulting.com/uk/blog/top-performance-marketing-agencies/#:~:text=Graysen%20Christopher</t>
  </si>
  <si>
    <t>Directive Consulting, NoGood, Common Thread Collective, Wpromote, Darkroom, inBeat, Single Grain, Omniscient Digital, Measured, Disrupt Marketing</t>
  </si>
  <si>
    <t>https://www.rank4ai.co.uk/research/rankings/ai-search-agencies-for-small-business-uk/</t>
  </si>
  <si>
    <t>AI Search Agencies for Small Business UK | Rank4AI</t>
  </si>
  <si>
    <t>Rank4AI, Found</t>
  </si>
  <si>
    <t>https://www.rank4ai.co.uk/research/rankings/top-ai-seo-agencies-uk-2026/</t>
  </si>
  <si>
    <t>Top 10 AI Search &amp;amp; AI SEO Agencies UK 2026 | Rank4AI</t>
  </si>
  <si>
    <t>Rank4AI, Varn, Found, Buried Agency, Screaming Frog, Blue Array, Exposure Ninja, Hallam</t>
  </si>
  <si>
    <t>https://www.bluearray.co.uk/agency-directory/best-google-analytics-agencies-in-the-uk/</t>
  </si>
  <si>
    <t>Best Google Analytics Agencies in the UK - Blue Array SEO</t>
  </si>
  <si>
    <t>Blue Array, Bind Media, NP Digital, Launch Online, Measurelab, Artefact</t>
  </si>
  <si>
    <t>https://inbeat.agency/blog/top-go-to-market-agencies-uk</t>
  </si>
  <si>
    <t>15 Best UK Go-to-Market Agencies Turning Strategy Into Sales in 2026 - inBeat Agency</t>
  </si>
  <si>
    <t>inBeat, Nielsen, Push, Momentum, Polaris, Found</t>
  </si>
  <si>
    <t>https://pinpoint-media.global/insights/top-5-performance-growth-agencies-in-the-uk-2026</t>
  </si>
  <si>
    <t>Top 5 Performance Growth Agencies in the UK for 2026 | PinPoint Media</t>
  </si>
  <si>
    <t>PinPoint Media, Measured, Brainlabs, Jellyfish, Merkle</t>
  </si>
  <si>
    <t>https://www.rank4ai.co.uk/research/rankings/best-ai-search-visibility-agencies/</t>
  </si>
  <si>
    <t>Best AI Search Visibility Agencies UK 2026 | Rank4AI</t>
  </si>
  <si>
    <t>Directive Consulting, Jellyfish, Brainlabs, Dept, Wpromote, Merkle, WebFX, Disruptive Advertising, Dentsu, Impression</t>
  </si>
  <si>
    <t>https://ninjapromo.io/top-digital-marketing-agencies-in-the-uk</t>
  </si>
  <si>
    <t>14 Best Digital Marketing Agencies in the UK for 2026</t>
  </si>
  <si>
    <t>Ninja Promo, Publicis Groupe, Push, Push Group, Impression, LOCALiQ, Passion Digital, Dept</t>
  </si>
  <si>
    <t>https://ppcgeeks.co.uk/ppc/programmatic-advertising-companies/</t>
  </si>
  <si>
    <t>7 Top Programmatic Advertising Companies in the UK (2026) - PPC Geeks Blog</t>
  </si>
  <si>
    <t>PPC Geeks, Measured, Found</t>
  </si>
  <si>
    <t>Superside, PwC, Found, Jellyfish, Brandtech, VCCP, NoGood, Impression</t>
  </si>
  <si>
    <t>https://thesocialshepherd.com/blog/creative-agencies-uk</t>
  </si>
  <si>
    <t>The Social Shepherd | Top 17 Creative Agencies in the UK (2022)</t>
  </si>
  <si>
    <t>The Social Shepherd, Rise at Seven</t>
  </si>
  <si>
    <t>NoGood, inBeat, Ignite Visibility, Disruptive Advertising, Wpromote, Power Digital, Monks, Measured, Found, Directive Consulting, Huge</t>
  </si>
  <si>
    <t>https://nogood.io/blog/social-media-marketing-agency-london/</t>
  </si>
  <si>
    <t>NEXA</t>
  </si>
  <si>
    <t>Top 10 Social Media Marketing Agencies London (2026) | NoGood</t>
  </si>
  <si>
    <t>digitalnexa.com</t>
  </si>
  <si>
    <t>NoGood, Social Chain, The Social Shepherd, Born Social, Make Agency</t>
  </si>
  <si>
    <t>https://www.clickslice.co.uk/best-social-media-agencies-uk/</t>
  </si>
  <si>
    <t>10 Best Social Media Agencies in the UK (2026 Review)</t>
  </si>
  <si>
    <t>ClickSlice, The Social Shepherd, Propeller</t>
  </si>
  <si>
    <t>https://www.clickslice.co.uk/top-geo-agencies-uk/</t>
  </si>
  <si>
    <t>Top 10 GEO Agencies UK (2026 Review)</t>
  </si>
  <si>
    <t>ClickSlice, Exposure Ninja, Propellernet, Builtvisible, Bird Marketing</t>
  </si>
  <si>
    <t>https://www.rank4ai.co.uk/research/rankings/best-ai-search-agencies-uk/</t>
  </si>
  <si>
    <t>Best AI Search Agencies UK 2026 | Rank4AI</t>
  </si>
  <si>
    <t>Chain Reaction</t>
  </si>
  <si>
    <t>chainreaction.ae</t>
  </si>
  <si>
    <t>https://thesocialshepherd.com/blog/top-advertising-agencies-uk</t>
  </si>
  <si>
    <t>The Social Shepherd | Top 17 Advertising Agencies in the UK | The…</t>
  </si>
  <si>
    <t>The Social Shepherd, BBH London, Dentsu, Ogilvy</t>
  </si>
  <si>
    <t>https://www.clickintelligence.co.uk/guides/agency-lists/seo/best-aeo-seo-agencies/</t>
  </si>
  <si>
    <t>6 Best AEO SEO Agencies and Companies (2026) — UK, US &amp;amp; Global</t>
  </si>
  <si>
    <t>clickintelligence.co.uk</t>
  </si>
  <si>
    <t>Click Intelligence, Whitehat, The SEO Works, Found</t>
  </si>
  <si>
    <t>Prism Digital</t>
  </si>
  <si>
    <t>prism-digital.com</t>
  </si>
  <si>
    <t>https://www.clickslice.co.uk/best-generative-engine-optimisation-specialist-uk/</t>
  </si>
  <si>
    <t>7 Best GEO (Generative Engine Optimisation) Specialists in the UK for 2025</t>
  </si>
  <si>
    <t>https://directiveconsulting.com/uk/blog/25-best-advertising-agencies-built-for-media-momentum/</t>
  </si>
  <si>
    <t>Digital Gravity</t>
  </si>
  <si>
    <t>digitalgravity.ae</t>
  </si>
  <si>
    <t>Directive Consulting, Momentum, Tinuiti, PMG, Jellyfish, Wpromote, Merkle, Croud, Impression, Monks, AKQA, Measured</t>
  </si>
  <si>
    <t>Hawke Media, Tinuiti, Wpromote, Power Digital, WebFX, Measured, Disruptive Advertising, Ignite Visibility, NP Digital, New Engen, NoGood, Ogilvy, Monks, Merkle, Siege Media</t>
  </si>
  <si>
    <t>inBeat, Nielsen, WPP, Dept, Momentum, Ogilvy</t>
  </si>
  <si>
    <t>Global Media Insight</t>
  </si>
  <si>
    <t>globalmediainsight.com</t>
  </si>
  <si>
    <t>https://inbeat.agency/blog/top-marketing-analytics-agencies</t>
  </si>
  <si>
    <t>inBeat, Nielsen, NP Digital, Artefact, Momentum, Found, WebFX</t>
  </si>
  <si>
    <t>inBeat, Nielsen, Impression, Push, Hawke Media, Measured</t>
  </si>
  <si>
    <t>Publicis Groupe</t>
  </si>
  <si>
    <t>publicisgroupe.com</t>
  </si>
  <si>
    <t>NoGood, Single Grain, inBeat</t>
  </si>
  <si>
    <t>https://open.partners/open-partners-insights/top-uk-independent-marketing-agencies-5m-budgets/</t>
  </si>
  <si>
    <t>Top UK Marketing Agencies for £5m+ Budgets | Open Partners</t>
  </si>
  <si>
    <t>Open Partners, Brainlabs, Journey Further, Found, ROAST</t>
  </si>
  <si>
    <t>https://pinpoint-media.global/insights/best-10-digital-marketing-companies-in-the-uk-2026</t>
  </si>
  <si>
    <t>Best 10 Digital Marketing Companies in the UK for 2026 | PinPoint Media</t>
  </si>
  <si>
    <t>Home of Performance</t>
  </si>
  <si>
    <t>PinPoint Media, Found, Social Chain, Born Social, Impression, Hallam, Croud, Brainlabs, Koozai, The SEO Works</t>
  </si>
  <si>
    <t>hop.rocks</t>
  </si>
  <si>
    <t>https://ppcgeeks.co.uk/ppc/top-7-google-ads-agencies-in-the-uk-for-exceptional-ppc-results/</t>
  </si>
  <si>
    <t>Top 7 Google Ads Agencies in the UK: Achieve Exceptional Results</t>
  </si>
  <si>
    <t>PPC Geeks, Push, Push Group, Impression, Found</t>
  </si>
  <si>
    <t>https://www.rank4ai.co.uk/research/rankings/top-ai-search-visibility-agencies-2026/</t>
  </si>
  <si>
    <t>Top AI Search Visibility Agencies UK 2026 | Rank4AI</t>
  </si>
  <si>
    <t>DigitalFarm</t>
  </si>
  <si>
    <t>digitalfarm.ae</t>
  </si>
  <si>
    <t>Rank4AI, Varn, Impression, Builtvisible, Found</t>
  </si>
  <si>
    <t>https://beomniscient.com/blog/growth-marketing-agency/</t>
  </si>
  <si>
    <t>Omniscient Digital, Ignite Visibility, Single Grain, Disruptive Advertising, NoGood, Directive Consulting, NP Digital, Superside, Momentum</t>
  </si>
  <si>
    <t>Omniscient Digital, Disruptive Advertising, NoGood</t>
  </si>
  <si>
    <t>Impact BBDO</t>
  </si>
  <si>
    <t>impactbbdo.com</t>
  </si>
  <si>
    <t>https://www.bluearray.co.uk/agency-directory/best-influencer-agencies-in-the-uk/</t>
  </si>
  <si>
    <t>Best Influencer Agencies in the UK - Blue Array SEO</t>
  </si>
  <si>
    <t>Blue Array, Disrupt Marketing, Push</t>
  </si>
  <si>
    <t>https://www.clickintelligence.co.uk/guides/agency-lists/seo/best-geo-seo-agencies/</t>
  </si>
  <si>
    <t>6 Best GEO SEO Companies and Agencies (2026) — UK, US &amp; Global</t>
  </si>
  <si>
    <t>Click Intelligence, Whitehat, Huge</t>
  </si>
  <si>
    <t>M&amp;C Saatchi Performance</t>
  </si>
  <si>
    <t>mcsaatchiperformance.com</t>
  </si>
  <si>
    <t>https://www.clickslice.co.uk/best-ecommerce-seo-agencies-uk/</t>
  </si>
  <si>
    <t>10 Best eCommerce SEO Agencies in the UK 2026</t>
  </si>
  <si>
    <t>ClickSlice, Rise at Seven, Builtvisible, Brainlabs, Screaming Frog</t>
  </si>
  <si>
    <t>https://www.clickslice.co.uk/recommended-aeo-agencies-for-ai-visibility/</t>
  </si>
  <si>
    <t>7 Recommended UK Agencies Leading the Way in AI Visibility</t>
  </si>
  <si>
    <t>https://www.clickslice.co.uk/roi-focused-ecommerce-seo-agencies/</t>
  </si>
  <si>
    <t>9 ROI-Focused eCommerce SEO Agencies – 2026 List &amp;amp; Buyer’s Guide</t>
  </si>
  <si>
    <t>Bird Marketing</t>
  </si>
  <si>
    <t>bird.marketing</t>
  </si>
  <si>
    <t>ClickSlice, Builtvisible, Brainlabs, Bird Marketing</t>
  </si>
  <si>
    <t>https://www.cometly.com/post/ai-powered-ad-optimization-platform</t>
  </si>
  <si>
    <t>9 Best AI Powered Ad Optimization Platforms 2026 Guide</t>
  </si>
  <si>
    <t>Tenet</t>
  </si>
  <si>
    <t>tenet.ae</t>
  </si>
  <si>
    <t>Cometly, Impression</t>
  </si>
  <si>
    <t>https://www.cometly.com/post/attribution-platforms-for-agencies</t>
  </si>
  <si>
    <t>Top Attribution Platforms For Agencies: 2026 Guide</t>
  </si>
  <si>
    <t>FP7 McCann</t>
  </si>
  <si>
    <t>mccann.com</t>
  </si>
  <si>
    <t>https://www.cometly.com/post/first-party-data-tracking-solutions</t>
  </si>
  <si>
    <t>9 Best First Party Data Tracking Solutions for 2026</t>
  </si>
  <si>
    <t>Cometly, Push</t>
  </si>
  <si>
    <t>WAIM</t>
  </si>
  <si>
    <t>https://www.cometly.com/post/marketing-attribution-platforms-for-agencies</t>
  </si>
  <si>
    <t>waim.my</t>
  </si>
  <si>
    <t>Best Marketing Attribution Platforms For Agencies 2026</t>
  </si>
  <si>
    <t>https://www.cometly.com/post/media-buying-optimization-tool</t>
  </si>
  <si>
    <t>Best Media Buying Optimization Tool for Ad Teams 2026</t>
  </si>
  <si>
    <t>Cometly, Momentum, Northbeam</t>
  </si>
  <si>
    <t>https://www.cometly.com/post/tools-for-marketing-analytics</t>
  </si>
  <si>
    <t>7 Essential Tools For Marketing Analytics You Need Today</t>
  </si>
  <si>
    <t>pushgroup.ae</t>
  </si>
  <si>
    <t>sortlist.co.uk</t>
  </si>
  <si>
    <t>https://www.darkroomagency.com/observatory/best-performance-marketing-agencies-in-2026</t>
  </si>
  <si>
    <t>Darkroom, Tinuiti, Wpromote, Power Digital, Common Thread Collective, Disruptive Advertising, Ignite Visibility, WebFX, Measured</t>
  </si>
  <si>
    <t>https://directiveconsulting.com/blog/17-leading-llm-agencies-powering-ai-innovation-for-modern-b2b-teams/</t>
  </si>
  <si>
    <t>17 Best LLM Agencies For B2B - Directive</t>
  </si>
  <si>
    <t>PwC</t>
  </si>
  <si>
    <t>pwc.com</t>
  </si>
  <si>
    <t>Directive Consulting, Measured, Momentum</t>
  </si>
  <si>
    <t>Memac Ogilvy</t>
  </si>
  <si>
    <t>https://directiveconsulting.com/uk/blog/top-25-b2b-enterprise-marketing-agencies/</t>
  </si>
  <si>
    <t>sortlist.de</t>
  </si>
  <si>
    <t>Directive Consulting, Merkle, Accenture Song, Deloitte Digital, Wpromote, Dentsu, Ogilvy, Brainlabs, PwC, Monks, Momentum, Push</t>
  </si>
  <si>
    <t>Disruptive Advertising, inBeat</t>
  </si>
  <si>
    <t>https://exposureninja.com/blog/best-ai-search-optimisation-agencies/</t>
  </si>
  <si>
    <t>Best AI Search Optimisation Agencies in 2026 (Reviewed)</t>
  </si>
  <si>
    <t>exposureninja.com</t>
  </si>
  <si>
    <t>Exposure Ninja, Found, NP Digital, NoGood</t>
  </si>
  <si>
    <t>United SEO</t>
  </si>
  <si>
    <t>unitedseo.ae</t>
  </si>
  <si>
    <t>https://firstmotion.com/insights/best-geo-agencies-in-london-10-top-partners-for-ai-search-in-2026</t>
  </si>
  <si>
    <t>Best GEO Agencies in London for AI Search (2026) | FirstMotion</t>
  </si>
  <si>
    <t>FirstMotion, Passion Digital, Found, Bird Marketing, Exposure Ninja, Blue Array, Varn, Buried Agency, Charle Agency, Measured</t>
  </si>
  <si>
    <t>https://inbeat.agency/blog/top-dynamic-creative-optimization-companies</t>
  </si>
  <si>
    <t>Top 11 Dynamic Creative Optimization Companies Revolutionizing Personalized Advertising - inBeat Agency</t>
  </si>
  <si>
    <t>inBeat, Nielsen, Impression, Momentum, Found</t>
  </si>
  <si>
    <t>TBWA\RAAD</t>
  </si>
  <si>
    <t>tbwaraad.com</t>
  </si>
  <si>
    <t>inBeat, Nielsen, Bind Media, Tinuiti, Darkroom, Found, Bark London</t>
  </si>
  <si>
    <t>https://inbeat.agency/blog/top-ppc-agencies-uk</t>
  </si>
  <si>
    <t>Top 32 PPC Agencies in the United Kingdom for 2025 - Reviewed - inBeat Agency</t>
  </si>
  <si>
    <t>inBeat, Nielsen, PPC Geeks, Impression, Found, The SEO Works, Soap Media, Launch Online, The Good Marketer, Genie Crawl, LOCALiQ</t>
  </si>
  <si>
    <t>Ninja Promo</t>
  </si>
  <si>
    <t>https://pinpoint-media.global/insights/top-10-full-service-marketing-agencies-in-london</t>
  </si>
  <si>
    <t>Top 10 Full-Service Marketing Agencies in London | PinPoint Media</t>
  </si>
  <si>
    <t>PinPoint Media, Dentsu, Brainlabs, Impression, Found, Tinuiti</t>
  </si>
  <si>
    <t>https://pinpoint-media.global/insights/top-10-tailored-paid-media-agencies-in-london</t>
  </si>
  <si>
    <t>Top 10 Tailored Paid Media Agencies in London | PinPoint Media</t>
  </si>
  <si>
    <t>PinPoint Media, Social Chain, Jellyfish</t>
  </si>
  <si>
    <t>https://pinpoint-media.global/insights/top-5-paid-media-performance-agencies-for-health-wellness-brands</t>
  </si>
  <si>
    <t>Top 5 Paid Media Performance Agencies for Health &amp;amp; Wellness Brands | PinPoint Media</t>
  </si>
  <si>
    <t>PinPoint Media, The Social Shepherd</t>
  </si>
  <si>
    <t>https://www.polarisagency.com/us/marketing-insights/top-branding-agencies-in-london-2024/</t>
  </si>
  <si>
    <t>SEO Sherpa</t>
  </si>
  <si>
    <t>seosherpa.com</t>
  </si>
  <si>
    <t>Top Branding Agencies in London 2024 - POLARIS</t>
  </si>
  <si>
    <t>Polaris, Impression, Push</t>
  </si>
  <si>
    <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t>
  </si>
  <si>
    <t>Top 9 AI Marketing Agencies in the UK (2026) | PUSH</t>
  </si>
  <si>
    <t>https://www.pushgroup.co.uk/blog/top-9-e-commerce-agencies-in-the-uk</t>
  </si>
  <si>
    <t>Top 9 Ecommerce Agencies in the UK (2026) | PUSH Group</t>
  </si>
  <si>
    <t>Push, Push Group, Found, Impression, Croud</t>
  </si>
  <si>
    <t>EDS FZCO</t>
  </si>
  <si>
    <t>eds.ae</t>
  </si>
  <si>
    <t>https://www.rank4ai.co.uk/research/rankings/top-ai-search-agencies-uk/</t>
  </si>
  <si>
    <t>Top AI Search Agencies UK 2026 | Rank4AI</t>
  </si>
  <si>
    <t>https://www.ruleranalytics.com/blog/analytics/marketing-attribution-software/</t>
  </si>
  <si>
    <t>12 Marketing Attribution Software and Tools to Level Up Your Measurement in 2026 | Ruler Analytics</t>
  </si>
  <si>
    <t>ruleranalytics.com</t>
  </si>
  <si>
    <t>Ruler Analytics, Impression, Triple Whale</t>
  </si>
  <si>
    <t>Leads Dubai</t>
  </si>
  <si>
    <t>leadsdubai.com</t>
  </si>
  <si>
    <t>SegmentStream, Measured, Rockerbox</t>
  </si>
  <si>
    <t>Siege Media, Omniscient Digital, NP Digital, Power Digital, Single Grain, Found</t>
  </si>
  <si>
    <t>Hovi Digital Lab</t>
  </si>
  <si>
    <t>hovi.ai</t>
  </si>
  <si>
    <t>Superside, Found, Gravity Global, Ogilvy, Accenture Song</t>
  </si>
  <si>
    <t>Superside, Huge, Ogilvy, Found, Impression</t>
  </si>
  <si>
    <t>Superside, Impression, Push</t>
  </si>
  <si>
    <t>The Social Shepherd, inBeat, Push, Dentsu</t>
  </si>
  <si>
    <t>WebFX, The SEO Works</t>
  </si>
  <si>
    <t>https://www.pushgroup.ae/blog/top-9-geo-agencies-in-dubai</t>
  </si>
  <si>
    <t>Top 9 GEO Agencies in Dubai (2026) | PUSH</t>
  </si>
  <si>
    <t>Push, Chain Reaction, Tenet, KPMG, Digital Gravity, Global Media Insight, Royex Technologies, intouch, Push MENA</t>
  </si>
  <si>
    <t>https://www.wearetenet.com/blog/best-geo-services-in-dubai</t>
  </si>
  <si>
    <t>10 Best GEO agencies in Dubai To Hire in 2026</t>
  </si>
  <si>
    <t>wearetenet.com</t>
  </si>
  <si>
    <t>Tenet, Zenerom, Royex Technologies, ThatWare</t>
  </si>
  <si>
    <t>https://waimhub.com/best-aeo-geo-agencies-dubai/</t>
  </si>
  <si>
    <t>Best AEO/GEO agencies in Dubai: honest guide</t>
  </si>
  <si>
    <t>waimhub.com</t>
  </si>
  <si>
    <t>intouch, WAIM, Chain Reaction, NEXA, Bruce Clay MENA</t>
  </si>
  <si>
    <t>https://www.digitalgravity.ae/blog/top-answer-engine-optimization-aeo-agencies-in-dubai/</t>
  </si>
  <si>
    <t>Top 12 Answer Engine Optimization (AEO) Agencies in Dubai – 2026 Rankings - Digital Gravity | UAE Digital Marketing &amp; Web Design Insights</t>
  </si>
  <si>
    <t>Digital Gravity, Chain Reaction, NEXA, Bruce Clay MENA, United SEO, Red Berries, Global Media Insight, Prism Digital</t>
  </si>
  <si>
    <t>https://www.phable.io/top-creative-agencies/top-10-creative-agencies-operating-in-the-uae</t>
  </si>
  <si>
    <t>Best Creative Agencies in the UAE (2026) | 10 Top Firms Reviewed — Branding And Content Marketing For Technology</t>
  </si>
  <si>
    <t>phable.io</t>
  </si>
  <si>
    <t>Phable, Impact BBDO, FP7 McCann, TBWA\RAAD, Memac Ogilvy, VML, M&amp;C Saatchi Performance, Serviceplan Middle East, WonderEight, Leo Burnett MENA, Momentum</t>
  </si>
  <si>
    <t>https://www.housesofgrowth.com/post/ai-marketing-agencies-in-the-uae</t>
  </si>
  <si>
    <t>10 Best AI Marketing Agencies In The UAE In 2026 [Reviewed]</t>
  </si>
  <si>
    <t>housesofgrowth.com</t>
  </si>
  <si>
    <t>House of Growth, Chain Reaction, Digital Gravity, Bird Marketing, NEXA</t>
  </si>
  <si>
    <t>https://growthhackers.digital/best-performance-marketing-agencies-in-uae/</t>
  </si>
  <si>
    <t>List of Best Performance Marketing Agencies in the UAE</t>
  </si>
  <si>
    <t>growthhackers.digital</t>
  </si>
  <si>
    <t>Growth Hackers, intouch, Chain Reaction, Digital Gravity, Ninja Promo, Home of Performance, Blue Beetle, Red Berries</t>
  </si>
  <si>
    <t>https://www.bicommunications.ae/blog/best-google-ads-agencies-uae/</t>
  </si>
  <si>
    <t>Best Google Ads Agencies in UAE (2026) – Top 15 Experts Ranked</t>
  </si>
  <si>
    <t>bicommunications.ae</t>
  </si>
  <si>
    <t>Admoon, Leads Dubai, Ninja Promo, Tenet, Bird Marketing, Adapts Media, LUMINA, Dot IT, Blue Beetle, WebFX, intouch</t>
  </si>
  <si>
    <t>https://www.bicommunications.ae/blog/best-ppc-agencies-uae/</t>
  </si>
  <si>
    <t>Best PPC Agencies in UAE 2026 | Dubai &amp; Abu Dhabi Experts</t>
  </si>
  <si>
    <t>Bird Marketing, Digital Gravity, Prism Digital, Pixoo Media, intouch</t>
  </si>
  <si>
    <t>https://c2cmedia.ae/blog/best-social-media-agencies-in-dubai/</t>
  </si>
  <si>
    <t>Best 10 Social Media Agencies in Dubai – Proven Picks</t>
  </si>
  <si>
    <t>C2C Media, Global Media Insight, Prism Digital, NEXA, DigitalFarm, intouch, WPP, Publicis Groupe, Dentsu, Growth Hackers</t>
  </si>
  <si>
    <t>https://www.designrush.com/agency/ad-agencies/ae</t>
  </si>
  <si>
    <t>Top Advertising Agencies in United Arab Emirates | 2026</t>
  </si>
  <si>
    <t>Growth Hackers, GPS Marketing Agency, Almost Impossible, EDS FZCO, Leads Dubai</t>
  </si>
  <si>
    <t>https://www.digitalgravity.ae/blog/best-ai-marketing-agencies/</t>
  </si>
  <si>
    <t>The 10 Best AI Marketing Agencies in Dubai - March 2026 Reviews</t>
  </si>
  <si>
    <t>Digital Gravity, NEXA, Tenet, Digital Arabia, Zenerom</t>
  </si>
  <si>
    <t>https://hypebox.me/blog/articles/top-10-uae-marketing-agencies</t>
  </si>
  <si>
    <t>Top 10 UAE Marketing Agencies | Hypebox Media</t>
  </si>
  <si>
    <t>hypebox.me</t>
  </si>
  <si>
    <t>inBeat, ASTUDIO, NEXA, intouch, Prism Digital</t>
  </si>
  <si>
    <t>https://ititans.com/blog/leading-digital-marketing-agencies-in-uae/</t>
  </si>
  <si>
    <t>Top 20 Leading Digital Marketing Agencies in UAE | iTitans</t>
  </si>
  <si>
    <t>ititans.com</t>
  </si>
  <si>
    <t>intouch, NEXA, Chain Reaction, Bruce Clay MENA, Digital Gravity, Red Berries, Blue Beetle, DigitalFarm</t>
  </si>
  <si>
    <t>https://www.globalmediainsight.com/blog/digital-marketing-companies-dubai/</t>
  </si>
  <si>
    <t>Top 10 Digital Marketing Companies in Dubai 2026</t>
  </si>
  <si>
    <t>Global Media Insight, EDS FZCO, Leads Dubai</t>
  </si>
  <si>
    <t>https://thehovi.com/blog/agency-insights/top-10-digital-marketing-agencies-dubai-2026</t>
  </si>
  <si>
    <t>Top 10 Digital Marketing Agencies in Dubai (2026 Guide) | Hovi Digital Lab</t>
  </si>
  <si>
    <t>thehovi.com</t>
  </si>
  <si>
    <t>Hovi Digital Lab, NEXA, Chain Reaction, Digital Gravity, Prism Digital</t>
  </si>
  <si>
    <t>https://www.phable.io/top-creative-agencies/top-10-creative-agencies-in-the-middle-east-2025</t>
  </si>
  <si>
    <t>Best Creative Agencies in the Middle East (2026) | 10 Top Firms Reviewed — Branding And Content Marketing For Technology</t>
  </si>
  <si>
    <t>Phable, Impact BBDO, FP7 McCann, TBWA\RAAD, Memac Ogilvy, VML, WonderEight, Leo Burnett MENA, Momentum, Publicis Groupe</t>
  </si>
  <si>
    <t>https://www.housesofgrowth.com/post/growth-marketing-agencies-in-the-uae</t>
  </si>
  <si>
    <t>10 Best Growth Marketing Agencies in the UAE in 2026 [Reviewed]</t>
  </si>
  <si>
    <t>House of Growth, Blue Beetle, INSIDEA, Leads Dubai, Chain Reaction</t>
  </si>
  <si>
    <t>https://www.spiderworks.ae/blog/digital-marketing-agencies-in-dubai-uae</t>
  </si>
  <si>
    <t>List of Best Digital Marketing Agencies in Dubai, UAE (2026)</t>
  </si>
  <si>
    <t>spiderworks.ae</t>
  </si>
  <si>
    <t>US Roundups</t>
  </si>
  <si>
    <t>NEXA, United SEO, Chain Reaction, Publicis Groupe, Bird Marketing, Dot IT, Digital Gravity, Prism Digital</t>
  </si>
  <si>
    <t>https://techbullion.com/best-aeo-agency-in-dubai-2026-how-to-choose-and-the-top-options-compared/</t>
  </si>
  <si>
    <t>Best AEO Agency in Dubai (2026): How to Choose, and the Top Options Compared - TechBullion</t>
  </si>
  <si>
    <t>NorthQuery</t>
  </si>
  <si>
    <t>https://www.bicommunications.ae/blog/best-social-media-marketing-agencies-uae/</t>
  </si>
  <si>
    <t>goodfirms.co</t>
  </si>
  <si>
    <t>Best Social Media Marketing Agencies in UAE — Expert-Reviewed for 2026</t>
  </si>
  <si>
    <t>NEXA, Prism Digital, Bird Marketing, ASTUDIO, Chain Reaction, GCC Marketing, Dot IT, Web Tonic, inBeat, Solved6, Global Media Insight, intouch</t>
  </si>
  <si>
    <t>https://theuaeblog.com/work/top-10-marketing-analytics-agencies-in-the-uae/</t>
  </si>
  <si>
    <t>Top 10 Marketing Analytics Agencies in the UAE - The UAE Blog</t>
  </si>
  <si>
    <t>https://www.influencer-hero.com/blogs/top-paid-media-agencies-in-the-us</t>
  </si>
  <si>
    <t>theuaeblog.com</t>
  </si>
  <si>
    <t>Top Paid Media Agencies in the US</t>
  </si>
  <si>
    <t>Tinuiti, Wpromote, Disruptive Advertising, Monks, Power Digital, NP Digital, Merkle, Dentsu</t>
  </si>
  <si>
    <t>Riman Agency, 4Sight Research &amp; Analytics</t>
  </si>
  <si>
    <t>https://byteeit.com/blog/best-google-partners-in-uae</t>
  </si>
  <si>
    <t>Top 5 Google Partners in UAE for Google Workspace &amp; Cloud</t>
  </si>
  <si>
    <t>byteeit.com</t>
  </si>
  <si>
    <t>feedbax.ai</t>
  </si>
  <si>
    <t>https://www.dataally.ai/blog/top-paid-media-agencies</t>
  </si>
  <si>
    <t>NEXA, Chain Reaction, Prism Digital, intouch</t>
  </si>
  <si>
    <t>https://eseospace.com/blog/best-ai-seo-consultants-dubai-2026/</t>
  </si>
  <si>
    <t>Top 15 Paid Media Agencies in 2026</t>
  </si>
  <si>
    <t>Brighter Click, NinjaPromo, inBeat, The Social Shepherd, Darkroom, KlientBoost, Disruptive Advertising, VaynerMedia, NP Digital, Viral Nation, Marcel Digital, WebFX</t>
  </si>
  <si>
    <t>Best AI SEO Consultants in Dubai in 2026: Top UAE-Based Search Optimization Experts - eSEOspace</t>
  </si>
  <si>
    <t>eseospace.com</t>
  </si>
  <si>
    <t>WebFX, Power Digital, intouch</t>
  </si>
  <si>
    <t>https://www.solved6.com/blogs/best-digital-marketing-agencies-dubai-2026-report#:~:text=2.%20Digital%20Gravity%20%E2%80%93%20Best%20for%20Performance,Ads%2C%20Meta%20performance%2C%20and%20landing%20page%20CRO.</t>
  </si>
  <si>
    <t>https://digitalagencynetwork.com/agencies/usa/ai-marketing/</t>
  </si>
  <si>
    <t>MONSOON</t>
  </si>
  <si>
    <t>Top AI Marketing Agencies in USA (2026)</t>
  </si>
  <si>
    <t>monsoonlondon.com</t>
  </si>
  <si>
    <t>Major Tom, NoGood, Clay, Clutch, SmartSites, Ignite Visibility, Amsive, NinjaPromo, Victorious, BCG, Intero Digital</t>
  </si>
  <si>
    <t>The 7 Best Digital Marketing Agencies in Dubai (2026 Rankings) - BrightEdge</t>
  </si>
  <si>
    <t>solved6.com</t>
  </si>
  <si>
    <t>feedbax.de</t>
  </si>
  <si>
    <t>Solved6, Digital Gravity, NEXA, Chain Reaction, Assembly MENA, Impact BBDO</t>
  </si>
  <si>
    <t>https://www.bicommunications.ae/blog/best-digital-marketing-agencies-uae/</t>
  </si>
  <si>
    <t>Best Digital Marketing Agencies in UAE 2026 – Reviews, Pricing &amp; Services</t>
  </si>
  <si>
    <t>Prism Digital, Digital Gravity, NEXA, Bird Marketing, Chain Reaction, United SEO, GCC Marketing, Upscale Digital, ASTUDIO, SEO Sherpa, Dot IT, DigitalFarm, Global Media Insight, Push, Measured, Publicis Groupe, intouch</t>
  </si>
  <si>
    <t>Mediacharge</t>
  </si>
  <si>
    <t>mediacharge.com</t>
  </si>
  <si>
    <t>https://www.sortlist.com/s/paid-media/united-states-us</t>
  </si>
  <si>
    <t>The 10 Best Paid Media Agencies in the United States - 2026 Reviews</t>
  </si>
  <si>
    <t>NinjaPromo, Triple Whale, Northbeam, HockeyStack, Clutch</t>
  </si>
  <si>
    <t>https://agencies.semrush.com/list/display-advertising/united-states/</t>
  </si>
  <si>
    <t>Best Display Ads Agencies in United States 2026 | Semrush</t>
  </si>
  <si>
    <t>SmartSites, Elit-Web, Brighter Click</t>
  </si>
  <si>
    <t>Claneo</t>
  </si>
  <si>
    <t>claneo.com</t>
  </si>
  <si>
    <t>Peak Ace</t>
  </si>
  <si>
    <t>peakace.agency</t>
  </si>
  <si>
    <t>Serviceplan Group</t>
  </si>
  <si>
    <t>house-of-communication.com</t>
  </si>
  <si>
    <t>https://www.designrush.com/agency/digital-marketing/analytics/us</t>
  </si>
  <si>
    <t>Top United States Marketing Analytics Companies | 2026</t>
  </si>
  <si>
    <t>SmartSites, Huge, KlientBoost, Funnel Boost Media, Elit-Web, AdVenture Media, Monks, Ignite Visibility, IBM, Measured</t>
  </si>
  <si>
    <t>KlickPiloten</t>
  </si>
  <si>
    <t>klickpiloten.de</t>
  </si>
  <si>
    <t>https://unifiedplatforms.com/blogs/aeo/top-answer-engine-optimization-aeo-agencies-united-states/</t>
  </si>
  <si>
    <t>Top AEO Agencies in the United States 2026 | Best Answer Engine Optimization</t>
  </si>
  <si>
    <t>NoGood, Single Grain, iPullRank, WebFX, Siege Media, Go Fish Digital, First Page Sage, Avenue Z, Marcel Digital, Measured, Merkle</t>
  </si>
  <si>
    <t>https://www.linkedin.com/pulse/top-25-performance-marketing-agencies-us-hawkemedia-iqbnc</t>
  </si>
  <si>
    <t>Top 25 Performance Marketing Agencies In The U.S.</t>
  </si>
  <si>
    <t>https://www.nutshell.com/blog/top-geo-agencies</t>
  </si>
  <si>
    <t>The 10 Top GEO Agencies of 2026 (Reviewed)</t>
  </si>
  <si>
    <t>Clutch, WebFX, Victorious, Siege Media, Major Tom, The SEO Works</t>
  </si>
  <si>
    <t>https://www.agencycluster.com/top-50/ppc-performance-marketing-agencies</t>
  </si>
  <si>
    <t>Top 50 PPC &amp;amp; Performance Marketing Agencies in the USA (2026) | AgencyCluster</t>
  </si>
  <si>
    <t>Disruptive Advertising, Ignite Visibility, KlientBoost, NP Digital, Power Digital, SmartSites, Tinuiti, WebFX, Wpromote, Amsive, HawkSEM, Intero Digital, Kobe Digital, New Engen, NoGood, Seer Interactive, Thrive Internet Marketing Agency, AdVenture Media, Digital Authority Partners, MuteSix</t>
  </si>
  <si>
    <t>https://agencies.semrush.com/list/united-states/</t>
  </si>
  <si>
    <t>Best Digital Marketing Agencies in United States 2026 | Semrush</t>
  </si>
  <si>
    <t>https://clutch.co/us/agencies/ppc/display#:~:text=The%20agency%20consistently%20received%20high%20ratings%20for,2%20of%202%20reviews%20are%205%20stars.</t>
  </si>
  <si>
    <t>https://www.thegrowthsyndicate.com/agencies/best-b2b-performance-marketing-agencies-us</t>
  </si>
  <si>
    <t>The 11 Best B2B Performance Marketing Agencies in the US</t>
  </si>
  <si>
    <t>Disruptive Advertising, KlientBoost, Tinuiti, Metric Theory, Brainlabs, NP Digital, Silverback Strategies, Anomaly, Clutch, Measured</t>
  </si>
  <si>
    <t>https://www.goodfirms.co/directory/country/top-digital-marketing-companies/us</t>
  </si>
  <si>
    <t>Top Digital Marketing Agencies in USA - 2026 Reviews | Goodfirms</t>
  </si>
  <si>
    <t>WebFX, Searchbloom, SmartSites, Funnel Boost Media, Elit-Web, Storm Brain, Go Fish Digital</t>
  </si>
  <si>
    <t>https://onelittleweb.com/top-agencies/top-performance-marketing-agencies/</t>
  </si>
  <si>
    <t>Top Performance Marketing Agencies 2026 – Ranked &amp;amp; Reviewed</t>
  </si>
  <si>
    <t>Clutch, WebFX, SmartSites, Disruptive Advertising, Funnel Boost Media, Searchbloom, DEPT, HawkSEM</t>
  </si>
  <si>
    <t>https://www.m1-project.com/blog/10-best-ai-marketing-agencies-in-depth-comparison</t>
  </si>
  <si>
    <t>10 Best AI Marketing Agencies: In-Depth Comparison | M1-Project</t>
  </si>
  <si>
    <t>NinjaPromo, Ignite Visibility, Major Tom, McKinsey, Measured</t>
  </si>
  <si>
    <t>https://riseopp.com/blog/top-25-geo-agencies-in-the-united-states</t>
  </si>
  <si>
    <t>Top 25 GEO Agencies in the United States - RiseOpp</t>
  </si>
  <si>
    <t>WebFX, Intero Digital, Siege Media, iPullRank, Omniscient Digital, First Page Sage, Hawke Media, Single Grain, Go Fish Digital</t>
  </si>
  <si>
    <t>https://www.creativefrontiers.co/blog/the-20-best-creative-marketing-agencies-in-the-usa-2025-guide</t>
  </si>
  <si>
    <t>The 20 Best Creative Marketing Agencies in the USA [2025 Guide] | Creative Frontiers</t>
  </si>
  <si>
    <t>Wieden+Kennedy, Droga5, Accenture Song, R/GA, BBDO, 72andSunny, Huge, TBWA\Chiat\Day, Giant Spoon, DEPT, Clutch</t>
  </si>
  <si>
    <t>https://quimbydigital.com/top-social-media-agencies-in-the-us-2026/</t>
  </si>
  <si>
    <t>Top Social Media Marketing Agencies in the USA | 2026</t>
  </si>
  <si>
    <t>inBeat, Wpromote, Disruptive Advertising, MuteSix, Tinuiti, Sociallyin, Ignite Visibility, WebFX, Thrive Internet Marketing Agency, The Social Shepherd, NoGood, Viral Nation, Amsive</t>
  </si>
  <si>
    <t>https://www.ritnerdigital.com/blog/the-best-seo-and-ai-search-agencies-in-the-united-states-right-now</t>
  </si>
  <si>
    <t>The Best SEO and AI Search Agencies in the United States Right Now (2026) — Ritner Digital | AI Search &amp;amp; SEO Agency</t>
  </si>
  <si>
    <t>WebFX, Thrive Internet Marketing Agency, Ignite Visibility, Silverback Strategies, Victorious, First Page Sage, iPullRank, Siege Media, Single Grain, Graphite, SmartSites, Funnel Boost Media, Clutch, Searchbloom</t>
  </si>
  <si>
    <t>https://www.callboxinc.com/growth-hacking/best-aeo-agencies/</t>
  </si>
  <si>
    <t>8 Top AEO Agencies in 2026 for Lead Generation</t>
  </si>
  <si>
    <t>DEPT, Clutch, First Page Sage, iPullRank, Omniscient Digital, Directive, Siege Media, Animalz</t>
  </si>
  <si>
    <t>https://www.linkedin.com/pulse/top-10-aeo-agencies-usa-2026-best-answer-engine-companies-sam-israel-pgcwc</t>
  </si>
  <si>
    <t>Top 10 AEO Agencies in the USA (2026): The Best Answer Engine Optimization Companies for AI Search Visibility</t>
  </si>
  <si>
    <t>iPullRank, Omniscient Digital, Siege Media, WebFX, Single Grain, First Page Sage, NoGood, RevenueZen</t>
  </si>
  <si>
    <t>https://www.sortlist.com/s/display-advertising/united-states-us</t>
  </si>
  <si>
    <t>The 10 Best Display Advertising Agencies in the United States - 2026 Reviews</t>
  </si>
  <si>
    <t>Triple Whale, Northbeam, HockeyStack, NinjaPromo, Clutch, IBM</t>
  </si>
  <si>
    <t>https://www.agencycluster.com/top-50/branding-creative-agencies</t>
  </si>
  <si>
    <t>Top 50 Branding &amp;amp; Creative Design Agencies in the USA (2026) | AgencyCluster</t>
  </si>
  <si>
    <t>Clay, Pentagram, R/GA, Wolff Olins, Wieden+Kennedy, Avenue Z, Momentum</t>
  </si>
  <si>
    <t>https://digitalagencynetwork.com/agencies/usa/creative/</t>
  </si>
  <si>
    <t>Top Creative Agencies in USA (2026)</t>
  </si>
  <si>
    <t>Major Tom, Momentum, Clay, Brighter Click, PwC, NoGood, Forthea</t>
  </si>
  <si>
    <t>https://www.agencycluster.com/top-25/branding-creative-agencies</t>
  </si>
  <si>
    <t>Top 25 Branding &amp;amp; Creative Design Agencies in the USA (2026) | AgencyCluster</t>
  </si>
  <si>
    <t>Clay, Pentagram, R/GA, Wolff Olins, Wieden+Kennedy</t>
  </si>
  <si>
    <t>https://www.alphaapexgroup.com/blog/top-ai-consulting-firms</t>
  </si>
  <si>
    <t>Top AI Consulting Firms for Business Transformation in 2026 — Alpha Apex Group - Consulting &amp;amp; Executive Search Firm</t>
  </si>
  <si>
    <t>Artefact, McKinsey, QuantumBlack, Ogilvy, Clutch</t>
  </si>
  <si>
    <t>https://www.revvgrowth.com/aeo/aeo-agency-in-usa</t>
  </si>
  <si>
    <t>AEO | Discover the 10 Best AEO Agencies in the USA for AI Visibility</t>
  </si>
  <si>
    <t>RevenueZen, Omniscient Digital, iPullRank, WebFX, First Page Sage, Single Grain, Avenue Z, NoGood, Siege Media, Clutch</t>
  </si>
  <si>
    <t>https://www.solved6.com/blogs/best-digital-marketing-agencies-usa-2026_report</t>
  </si>
  <si>
    <t>The 7 Best Digital Marketing Agencies in the USA (2026 Rankings) - BrightEdge</t>
  </si>
  <si>
    <t>NoGood, Disruptive Advertising, Clutch, New Engen, Wieden+Kennedy</t>
  </si>
  <si>
    <t>https://www.uforocks.com/blog/top-ai-marketing-agencies-in-the-u-s/</t>
  </si>
  <si>
    <t>Top AI Marketing Agencies in the U.S. - UFO Digital Marketing Agency</t>
  </si>
  <si>
    <t>NoGood, SmartSites, Single Grain, IBM, NP Digital, Tinuiti, WebFX, Wpromote, Clay</t>
  </si>
  <si>
    <t>https://aeovision.ai/articles/best-aeo-geo-agencies-2026/</t>
  </si>
  <si>
    <t>Best 60+ AEO/GEO Agencies in 2026 (US, Europe &amp;amp; Asia Directory) | AEO Vision</t>
  </si>
  <si>
    <t>First Page Sage, iPullRank, Siege Media, Omniscient Digital, Optimist, NoGood, Directive, Animalz, RevenueZen, Single Grain, Avenue Z, Darkroom, Wpromote, Amsive, Discovered Labs</t>
  </si>
  <si>
    <t>https://www.designrush.com/agency/digital-marketing/analytics</t>
  </si>
  <si>
    <t>Top Marketing Analytics Agencies in 2026</t>
  </si>
  <si>
    <t>SmartSites, Huge, KlientBoost, Funnel Boost Media, Elit-Web, AdVenture Media, Monks, Ignite Visibility, Ruler Analytics, Amsive, Intero Digital</t>
  </si>
  <si>
    <t>https://www.rankshift.ai/blog/best-geo-agencies/</t>
  </si>
  <si>
    <t>20 Best GEO Agencies in 2026 for Generative Engine Optimization</t>
  </si>
  <si>
    <t>Graphite, Seer Interactive, Go Fish Digital, iPullRank, WebFX, Clutch</t>
  </si>
  <si>
    <t>DREIKON</t>
  </si>
  <si>
    <t>https://www.sortlist.com/s/performance-marketing/united-states-us</t>
  </si>
  <si>
    <t>dreikon.de</t>
  </si>
  <si>
    <t>The 10 Best Performance Marketing Agencies in the United States - 2026 Reviews</t>
  </si>
  <si>
    <t>Clutch, IBM</t>
  </si>
  <si>
    <t>Radyant</t>
  </si>
  <si>
    <t>radyant.io</t>
  </si>
  <si>
    <t>https://www.g2.com/categories/marketing-analytics-services</t>
  </si>
  <si>
    <t>Best Marketing Analytics Service Providers: User Reviews from January 2026</t>
  </si>
  <si>
    <t>https://www.growthspreeofficial.com/blogs/top-6-ai-powered-b2b-saas-marketing-agencies-in-the-united-states-2026</t>
  </si>
  <si>
    <t>Pilot</t>
  </si>
  <si>
    <t>pilot.de</t>
  </si>
  <si>
    <t>Top 6 AI-Powered B2B SaaS Marketing Agencies USA 2026</t>
  </si>
  <si>
    <t>GrowthSpree, Clutch, Measured</t>
  </si>
  <si>
    <t>https://www.lyfemarketing.com/blog/top-paid-media-agencies-us/</t>
  </si>
  <si>
    <t>Top 20 Paid Media Agencies In The US 2026</t>
  </si>
  <si>
    <t>LYFE Marketing, Marcel Digital, Power Digital, Anomaly, Tinuiti</t>
  </si>
  <si>
    <t>morefire</t>
  </si>
  <si>
    <t>more-fire.com</t>
  </si>
  <si>
    <t>https://agencies.semrush.com/list/smm/united-states/</t>
  </si>
  <si>
    <t>Best Social Media Marketing Agencies in United States 2026 | Semrush</t>
  </si>
  <si>
    <t>https://www.dataally.ai/blog/best-performance-marketing-agencies</t>
  </si>
  <si>
    <t>Jung von Matt</t>
  </si>
  <si>
    <t>10 Best Performance Marketing Agencies in 2026</t>
  </si>
  <si>
    <t>jvm.com</t>
  </si>
  <si>
    <t>Nielsen, Power Digital, Brighter Click, Common Thread Collective, Tinuiti, Wpromote, MuteSix, Directive, NoGood, Right Side Up</t>
  </si>
  <si>
    <t>https://primeavenuegroup.com/best-aeo-agencies/</t>
  </si>
  <si>
    <t>Top 9 Best AEO Agencies in 2026 - Complete Guide to Answer Engine Optimization Providers - Prime Avenue Group</t>
  </si>
  <si>
    <t>First Page Sage, NoGood, Siege Media, Directive, Animalz, Amsive, Clutch</t>
  </si>
  <si>
    <t>https://qoulomb.com/best-geo-agencies-in-the-usa/</t>
  </si>
  <si>
    <t>Best GEO Agencies in the USA</t>
  </si>
  <si>
    <t>iPullRank, NoGood, WebFX, Directive, Avenue Z, Momentum</t>
  </si>
  <si>
    <t>Mawave</t>
  </si>
  <si>
    <t>mawave.com</t>
  </si>
  <si>
    <t>https://www.ritnerdigital.com/blog/best-ai-search-agencies-in-the-us</t>
  </si>
  <si>
    <t>Best AI Search Agencies in the US: Who's Doing Real Work and How to Choose — Ritner Digital | AI Search &amp;amp; SEO Agency</t>
  </si>
  <si>
    <t>Measured, iPullRank, Siege Media</t>
  </si>
  <si>
    <t>artefact-made.com</t>
  </si>
  <si>
    <t>https://www.adbeacon.com/19-best-marketing-attribution-software-solutions-in-2026/</t>
  </si>
  <si>
    <t>19 Best Marketing Attribution Software Solutions in 2026 | AdBeacon</t>
  </si>
  <si>
    <t>HockeyStack, Ruler Analytics, Anomaly, Triple Whale, Rockerbox</t>
  </si>
  <si>
    <t>https://agencies.semrush.com/list/ai-optimization/united-states/</t>
  </si>
  <si>
    <t>Best AI Search Optimization Agencies in United States 2026 | Semrush</t>
  </si>
  <si>
    <t>SmartSites, Elit-Web</t>
  </si>
  <si>
    <t>Smarketer</t>
  </si>
  <si>
    <t>smarketer.de</t>
  </si>
  <si>
    <t>https://clicksgeek.com/marketing-attribution-tracking-services/</t>
  </si>
  <si>
    <t>9 Best Marketing Attribution Tracking Services 2026</t>
  </si>
  <si>
    <t>Measured, Triple Whale, Northbeam, Ruler Analytics, Rockerbox</t>
  </si>
  <si>
    <t>https://www.designrush.com/agency/digital-marketing/performance-marketing-agencies</t>
  </si>
  <si>
    <t>Top Performance Marketing Agencies in 2026</t>
  </si>
  <si>
    <t>Amsive, MuteSix, Wpromote, NoGood, Power Digital, Huge, Searchbloom, Funnel Boost Media, SmartSites, Intero Digital, Silverback Strategies, Disruptive Advertising, PwC, Web Tonic, KlientBoost, DEPT</t>
  </si>
  <si>
    <t>https://www.gartner.com/reviews/market/advanced-analytics-service-providers-for-marketing</t>
  </si>
  <si>
    <t>Best Advanced Analytics Service Providers for Marketing Reviews 2026 \| Gartner Peer Insights</t>
  </si>
  <si>
    <t>Measured, Acxiom, Nielsen, Anomaly, Analytic Partners, LatentView Analytics, Merkle</t>
  </si>
  <si>
    <t>https://www.rzlt.io/blog/best-ai-marketing-agencies-in-2026-the-definitive-guide-by-specialty</t>
  </si>
  <si>
    <t>Best AI Marketing Agencies in 2026: The Definitive Guide</t>
  </si>
  <si>
    <t>Monks, NoGood, Superside, Wpromote, Viral Nation, Jellyfish, Clutch</t>
  </si>
  <si>
    <t>The Boutique Agency</t>
  </si>
  <si>
    <t>the-boutique-agency.de</t>
  </si>
  <si>
    <t>https://www.weareqry.com/blog/best-paid-media-agencies</t>
  </si>
  <si>
    <t>Best Paid Media Agencies for 2026 | QRY</t>
  </si>
  <si>
    <t>Wpromote, Power Digital, WebFX, Single Grain, Directive, Tinuiti</t>
  </si>
  <si>
    <t>https://www.adbeacon.com/7-best-marketing-attribution-tools-compared-2026/</t>
  </si>
  <si>
    <t>7 Best Marketing Attribution Tools Compared (2026) | AdBeacon</t>
  </si>
  <si>
    <t>Mediaplus Performance</t>
  </si>
  <si>
    <t>mediaplus.com</t>
  </si>
  <si>
    <t>https://www.designrush.com/agency/creative-agencies/us</t>
  </si>
  <si>
    <t>Top Creative Agencies - Jul 2026 | DesignRush</t>
  </si>
  <si>
    <t>PwC, Disruptive Advertising, IBM, Huge, Major Tom, Directive, McKinsey, Nielsen, Measured</t>
  </si>
  <si>
    <t>https://www.fahrenheitmarketing.com/services/strategy/top-10-marketing-agencies-usa/#:~:text=A%20powerhouse%20in%20the%20top%2010%20media,them%20a%20place%20among%20top%20marketing%20firms.</t>
  </si>
  <si>
    <t>Top 10 Marketing Agencies in the USA — and What to Look for When Choosing One - Fahrenheit Marketing</t>
  </si>
  <si>
    <t>Ignite Visibility, Thrive Internet Marketing Agency, WebFX, Disruptive Advertising, NoGood, Tinuiti, Measured</t>
  </si>
  <si>
    <t>Scholz &amp; Friends</t>
  </si>
  <si>
    <t>s-f.family</t>
  </si>
  <si>
    <t>https://www.leewayhertz.com/top-ai-consulting-companies/</t>
  </si>
  <si>
    <t>Top 10 AI Consulting Companies 2026 | Top AI Consultants</t>
  </si>
  <si>
    <t>https://thatware.co/10-best-aeo-companies-in-usa/</t>
  </si>
  <si>
    <t>10 Best AEO Companies in the United States You Should Partner</t>
  </si>
  <si>
    <t>WebFX, Victorious, Funnel Boost Media, SmartSites, Ignite Visibility, Intero Digital, Clutch</t>
  </si>
  <si>
    <t>Omnicom</t>
  </si>
  <si>
    <t>omnicomgroup.com</t>
  </si>
  <si>
    <t>Suchhelden</t>
  </si>
  <si>
    <t>suchhelden.de</t>
  </si>
  <si>
    <t>Best Global Digital Marketing Agencies Reviews 2026 | Gartner Peer Insights</t>
  </si>
  <si>
    <t>SmartSites, Accenture Song, Deloitte Digital, Huge, Merkle, AKQA, Digitas, VML, Ogilvy, R/GA</t>
  </si>
  <si>
    <t>https://www.goodfirms.co/big-data-analytics/marketing-analytics</t>
  </si>
  <si>
    <t>Top Marketing Analytics Companies - 2026 Reviews | Goodfirms</t>
  </si>
  <si>
    <t>https://www.loudface.co/blog/best-aeo-agencies-2026</t>
  </si>
  <si>
    <t>Best AEO &amp;amp; AI Search Agencies in 2026 (Ranked) | LoudFace</t>
  </si>
  <si>
    <t>iPullRank, First Page Sage, NoGood, Omniscient Digital, Animalz, Siege Media, Avenue Z, Measured</t>
  </si>
  <si>
    <t>https://www.lyfemarketing.com/blog/top-performance-marketing-agencies-us/</t>
  </si>
  <si>
    <t>Top 36 Performance Marketing Agencies In The US 2026</t>
  </si>
  <si>
    <t>LYFE Marketing, Tinuiti, Directive, Kobe Digital, Power Digital, Amsive, Wpromote, Disruptive Advertising, Right Side Up, Ignite Visibility, MuteSix, Brainlabs, WPP, Publicis Groupe, Sociallyin</t>
  </si>
  <si>
    <t>https://mightyandtrue.com/insights/blog/best-ai-marketing-agencies/</t>
  </si>
  <si>
    <t>The 10 Best AI Marketing Agencies in 2026 (Verified List) | Inference — Mighty &amp;amp; True</t>
  </si>
  <si>
    <t>DEPT</t>
  </si>
  <si>
    <t>Directive, Superside, NoGood, Single Grain, Omniscient Digital, Jellyfish, Keenfolks, Optimist, Daydream</t>
  </si>
  <si>
    <t>https://www.effectivesoft.com/blog/top-ai-consulting-companies-usa.html</t>
  </si>
  <si>
    <t>Top 10 AI Consulting Companies in the USA [2026] - EffectiveSoft</t>
  </si>
  <si>
    <t>Aufgesang</t>
  </si>
  <si>
    <t>aufgesang.de</t>
  </si>
  <si>
    <t>https://marketingltb.com/blog/agency/best-display-ads-agencies/</t>
  </si>
  <si>
    <t>10 Best Display Ads Agencies in 2026 - Marketing LTB</t>
  </si>
  <si>
    <t>Disruptive Advertising, WebFX, Ignite Visibility, HawkSEM, Tinuiti, SmartSites, Directive, MuteSix, Clutch</t>
  </si>
  <si>
    <t>https://www.mintcopywritingstudios.com/blog/ai-search-optimization-geo-agencies</t>
  </si>
  <si>
    <t>Top Generative Engine Optimization (GEO) Agencies in 2026: 10+ AI Search Specialists Compared | Mint Studios</t>
  </si>
  <si>
    <t>NoGood, Intero Digital, Victorious, WebFX, The SEO Works, Siege Media, Omniscient Digital, Single Grain, Huge, Measured</t>
  </si>
  <si>
    <t>https://phosailabs.com/blog/best-ai-consulting-firms-marketing-agencies</t>
  </si>
  <si>
    <t>Best AI Consulting for Marketing Agencies (2026)</t>
  </si>
  <si>
    <t>https://scalixai.com/blog/best-performance-marketing-agencies#:~:text=Growth%2Dstage%20startups.%20%24%24.%20TikTok.%20Multi%2Dchannel.%20ScalixAI.%20B2B,%2B%20SEO.%20%24%24%24.%20IKEA.%20Paid%20search%2C%20analytics.</t>
  </si>
  <si>
    <t>The Best Performance Marketing Agencies for 2026 | ScalixAI</t>
  </si>
  <si>
    <t>Directive, Refine Labs, NoGood, Hey Digital, Single Grain, Wpromote, Seer Interactive, Omniscient Digital, Darkroom, Common Thread Collective</t>
  </si>
  <si>
    <t>https://thedigitalelevator.com/blog/best-generative-engine-optimization-geo-agencies/</t>
  </si>
  <si>
    <t>The 12 Best Generative Engine Optimization (GEO) Agencies of 2026 | Digital Elevator</t>
  </si>
  <si>
    <t>Graphite, Directive, Animalz, Siege Media, Intero Digital, iPullRank, Go Fish Digital</t>
  </si>
  <si>
    <t>https://www.agencycluster.com/top-10/branding-creative-agencies</t>
  </si>
  <si>
    <t>Top 10 Branding &amp;amp; Creative Design Agencies in the USA (2026) | AgencyCluster</t>
  </si>
  <si>
    <t>Clay, Pentagram, R/GA, Wolff Olins</t>
  </si>
  <si>
    <t>https://www.agencyspotter.com/top/paid-search-and-paid-social-advertising</t>
  </si>
  <si>
    <t>Top 80 Paid Search &amp;amp; Paid Social Advertising Agencies Report | Agency Spotter</t>
  </si>
  <si>
    <t>Sociallyin, SmartSites</t>
  </si>
  <si>
    <t>https://www.aimerce.ai/blogs/seo/top-5-incrementality-testing-tools-for-dtc-brands-in-2026</t>
  </si>
  <si>
    <t>neuhandeln.de</t>
  </si>
  <si>
    <t>Top 5 Incrementality Testing Tools for DTC Brands in 2026</t>
  </si>
  <si>
    <t>Northbeam, Triple Whale, Measured</t>
  </si>
  <si>
    <t>https://www.andersoncollaborative.com/best-growth-marketing-agencies-in-the-united-states-accelerating-brand-expansion-through-innovative-strategies/</t>
  </si>
  <si>
    <t>Best Growth Marketing Agencies in the United States (2026 Rankings)</t>
  </si>
  <si>
    <t>Tinuiti, Power Digital, NoGood, Directive, KlientBoost, Single Grain, Metric Theory, WebFX, Disruptive Advertising, NP Digital, Wpromote, Seer Interactive, Thrive Internet Marketing Agency</t>
  </si>
  <si>
    <t>https://www.businessofapps.com/marketplace/ai-marketing/</t>
  </si>
  <si>
    <t>Top AI Marketing Companies (2026) - Business of Apps</t>
  </si>
  <si>
    <t>Huge, NinjaPromo, Anomaly</t>
  </si>
  <si>
    <t>https://www.designrush.com/agency/digital-marketing/artificial-intelligence</t>
  </si>
  <si>
    <t>Top AI Marketing Companies in 2026</t>
  </si>
  <si>
    <t>Amsive, Single Grain, Jellyfish, Major Tom, Searchbloom, SmartSites, Funnel Boost Media, Huge, Intero Digital, Disruptive Advertising, NinjaPromo, PwC, WebFX, IBM</t>
  </si>
  <si>
    <t>https://digitalagencynetwork.com/agencies/usa/</t>
  </si>
  <si>
    <t>Top Digital Marketing Agencies in USA (2026)</t>
  </si>
  <si>
    <t>Major Tom, Ignite Visibility, Dentsu, NinjaPromo, PwC, Monks, SmartSites, Victorious, BCG, Clay, Brighter Click, NoGood, Web Tonic, Amsive</t>
  </si>
  <si>
    <t>onetoone.de</t>
  </si>
  <si>
    <t>https://digitalagencynetwork.com/agencies/usa/geo/</t>
  </si>
  <si>
    <t>Top GEO Agencies in USA for Generative Engine Optimization (2026)</t>
  </si>
  <si>
    <t>Measured, Amsive, NoGood, Major Tom, Victorious, BCG, Web Tonic, Ignite Visibility</t>
  </si>
  <si>
    <t>https://digitalnomadshq.com.au/blog/marketing-agencies-usa/</t>
  </si>
  <si>
    <t>15 Top Marketing Agencies in the USA [2026]</t>
  </si>
  <si>
    <t>BBDO, Ogilvy, SmartSites, NoGood, Clutch, Wieden+Kennedy, Ignite Visibility, Major Tom, Metric Theory, Disruptive Advertising</t>
  </si>
  <si>
    <t>https://marketinginsidergroup.com/content-marketing/best-geo-aeo-agencies-in-us/</t>
  </si>
  <si>
    <t>The Best Generative Engine Optimization (GEO/AEO) Agencies In The US - Marketing Insider Group</t>
  </si>
  <si>
    <t>NP Digital, Single Grain, Victorious, Ignite Visibility, Siege Media, Directive, Omniscient Digital, Animalz</t>
  </si>
  <si>
    <t>https://qoulomb.com/best-ai-seo-agencies-in-the-usa/</t>
  </si>
  <si>
    <t>7 Best AI SEO Agencies in the USA (2026)</t>
  </si>
  <si>
    <t>Searchbloom, iPullRank, Seer Interactive, Omniscient Digital, Single Grain, Clutch, Victorious, Siege Media, Directive, Measured</t>
  </si>
  <si>
    <t>https://www.relevance.com/2026-report-the-best-generative-engine-optimization-agencies/</t>
  </si>
  <si>
    <t>The Best Generative Engine Optimization Agencies [2026 Report] - Relevance</t>
  </si>
  <si>
    <t>Go Fish Digital, Siege Media, Victorious, Omniscient Digital, Directive</t>
  </si>
  <si>
    <t>https://scopicstudios.com/blog/top-marketing-analytics-agencies/</t>
  </si>
  <si>
    <t>https://topgeoagencies.com/</t>
  </si>
  <si>
    <t>The GEO 250 — Best Generative Engine Optimization (GEO) Agencies | TopGEOAgencies.com</t>
  </si>
  <si>
    <t>Clutch, Siege Media, iPullRank, Silverback Strategies, First Page Sage, Graphite</t>
  </si>
  <si>
    <t>https://www.uforocks.com/blog/top-performance-marketing-agencies-in-the-u-s/</t>
  </si>
  <si>
    <t>Top Performance Marketing Agencies in the U.S. - UFO Digital Marketing Agency</t>
  </si>
  <si>
    <t>Accelerated Digital Media, Amsive, Hawke Media, Kobe Digital, New Engen, Publicis Groupe, Power Digital</t>
  </si>
  <si>
    <t>https://agencies.semrush.com/list/display-advertising/</t>
  </si>
  <si>
    <t>Best Display Ads Agencies in the World 2026 | Semrush</t>
  </si>
  <si>
    <t>https://www.designrush.com/agency/paid-media-pay-per-click/display-advertising-agency</t>
  </si>
  <si>
    <t>Top Display Advertising Agencies in 2026</t>
  </si>
  <si>
    <t>Searchbloom, SmartSites, Funnel Boost Media, Huge, Disruptive Advertising, AdVenture Media, Web Tonic, WebFX</t>
  </si>
  <si>
    <t>https://www.lyfemarketing.com/blog/top-paid-social-agencies-us/</t>
  </si>
  <si>
    <t>Top 20 Paid Social Agencies In The US 2026</t>
  </si>
  <si>
    <t>LYFE Marketing, Marcel Digital, Jellyfish, Tinuiti, Power Digital, Anomaly</t>
  </si>
  <si>
    <t>https://www.nationalmarketingawards.com/</t>
  </si>
  <si>
    <t>Best Marketing Agencies in the US, Ranked (2026) | National Marketing Awards</t>
  </si>
  <si>
    <t>WebFX, Ignite Visibility, SmartSites</t>
  </si>
  <si>
    <t>https://sageitinc.com/reference-center/best-ai-consulting-companies</t>
  </si>
  <si>
    <t>10 Best AI Consulting Companies to De-Risk Your AI Adoption</t>
  </si>
  <si>
    <t>IBM, QuantumBlack, McKinsey, Anomaly, Clutch</t>
  </si>
  <si>
    <t>https://www.sortlist.com/s/marketing-analytics/united-states-us</t>
  </si>
  <si>
    <t>The 10 Best Marketing Analytics Companies in the United States - 2026 Reviews</t>
  </si>
  <si>
    <t>NinjaPromo, IBM, Clutch</t>
  </si>
  <si>
    <t>https://sweatpantsagency.com/the-top-9-social-media-ad-agencies</t>
  </si>
  <si>
    <t>9 Best Paid Social Agencies for DTC Brands (2026) | Sweat Pants Agency</t>
  </si>
  <si>
    <t>LYFE Marketing, The Social Shepherd, Sociallyin, Superside, MuteSix</t>
  </si>
  <si>
    <t>https://techbehemoths.com/companies/marketing-analytics/united-states</t>
  </si>
  <si>
    <t>Top 20+ Marketing analytics Companies in United States (2026) - TechBehemoths</t>
  </si>
  <si>
    <t>https://visionlabs.com/blog/top-web-analytics-agencies/</t>
  </si>
  <si>
    <t>Best 7 Web Analytics Agencies of 2026 - A curated list | Vision Labs</t>
  </si>
  <si>
    <t>Omniscient Digital, Artefact, IBM</t>
  </si>
  <si>
    <t>https://www.radyant.io/comparison/6-best-geo-agencies-in-germany</t>
  </si>
  <si>
    <t>6 best GEO agencies in Germany · Radyant</t>
  </si>
  <si>
    <t>Radyant, Claneo, Kosch Klink Performance, Suchhelden, DREIKON</t>
  </si>
  <si>
    <t>https://www.dreikon.de/en/news/online-marketing-knowledge/10-best-seo-and-geo-agencies-2026/#:~:text=The%20agency%20has%20been%20recognised,KG%20(M%C3%BCnster)</t>
  </si>
  <si>
    <t>The 15 best SEO and GEO agencies in 2026</t>
  </si>
  <si>
    <t>DREIKON, TRYSEO, morefire, eMinded GmbH, Measured</t>
  </si>
  <si>
    <t>https://dmidigitalmarketing.com/top-15-ai-marketing-agencies-in-the-us-2026/</t>
  </si>
  <si>
    <t>&amp;nbsp;Top 15 AI Marketing Agencies in the US (2026) -</t>
  </si>
  <si>
    <t>Amsive, Viral Nation, Directive, Single Grain, Ignite Visibility, SmartSites, NoGood</t>
  </si>
  <si>
    <t>https://thecmo.com/tools/best-marketing-attribution-software/</t>
  </si>
  <si>
    <t>https://www.xmethod.de/en/blog/best-ai-agencies</t>
  </si>
  <si>
    <t>Best AI Development &amp;amp; Automation Companies 2026 in Germany</t>
  </si>
  <si>
    <t>10 Best Marketing Attribution Software Reviewed For 2026</t>
  </si>
  <si>
    <t>HockeyStack, Triple Whale, Anomaly, Ruler Analytics, Neustar, Huge</t>
  </si>
  <si>
    <t>xmethod.de</t>
  </si>
  <si>
    <t>Xmethod, Seiten-Werk, Pilot</t>
  </si>
  <si>
    <t>https://www.dreikon.de/en/news/social-media/the-10-best-agencies-in-germany-2026/</t>
  </si>
  <si>
    <t>Ranking of the 10 best social media agencies in Germany</t>
  </si>
  <si>
    <t>DREIKON, Loyamo, Mawave</t>
  </si>
  <si>
    <t>https://advertising-in-the-united-states.com/display-advertising-agencies</t>
  </si>
  <si>
    <t>https://hikemytraffic.com/ai-digital-marketing-agencies-in-germany/</t>
  </si>
  <si>
    <t>15 Best AI Digital Marketing Agencies in Germany (2026)</t>
  </si>
  <si>
    <t>hikemytraffic.com</t>
  </si>
  <si>
    <t>HikeMyTraffic</t>
  </si>
  <si>
    <t>The best Display Advertising Agencies</t>
  </si>
  <si>
    <t>Clay, NinjaPromo, Clutch, IBM</t>
  </si>
  <si>
    <t>https://hikemytraffic.com/ai-digital-marketing-services-in-germany/</t>
  </si>
  <si>
    <t>Top 10 AI Digital Marketing Services in Germany (2026)</t>
  </si>
  <si>
    <t>https://agencies.semrush.com/list/display-advertising/united-states/enterprise-business/</t>
  </si>
  <si>
    <t>Best Display Ads Agencies for Enterprise Business in United States 2026 | Semrush</t>
  </si>
  <si>
    <t>https://www.xmethod.de/en/blog/besten-ki-agenturen</t>
  </si>
  <si>
    <t>Top AI Agencies 2026 in Germany – Services &amp;amp; Costs</t>
  </si>
  <si>
    <t>https://www.dreikon.de/en/news/online-marketing-knowledge/best-online-marketing-agency-in-germany/</t>
  </si>
  <si>
    <t>Best online marketing agency in Germany</t>
  </si>
  <si>
    <t>https://hikemytraffic.com/ai-seo-agencies-in-germany/</t>
  </si>
  <si>
    <t>Top 11 AI SEO Agencies in Germany</t>
  </si>
  <si>
    <t>https://seeders.com/blog/8-best-seo-agencies-in-germany-2026-ranked/</t>
  </si>
  <si>
    <t>8 best SEO agencies in Germany [2026 ranked] | Seeders</t>
  </si>
  <si>
    <t>seeders.com</t>
  </si>
  <si>
    <t>Seeders, Claneo, Omnius, Suchhelden, morefire, Huge</t>
  </si>
  <si>
    <t>https://www.radyant.io/comparison/the-7-best-ai-search-optimization-agencies-in-europe</t>
  </si>
  <si>
    <t>The 7 best AI Search Optimization agencies in Europe · Radyant</t>
  </si>
  <si>
    <t>https://www.creativemilkshake.com/blog/top-us-performance-marketing-agencies</t>
  </si>
  <si>
    <t>Top 12 US Performance Marketing Agencies Turning Ad Spend into Revenue in 2026 | Creative Milkshake</t>
  </si>
  <si>
    <t>Amsive, MuteSix, Clutch, NP Digital, NoGood, KlientBoost, Wpromote, TransUnion</t>
  </si>
  <si>
    <t>Radyant, Omnius, Peak Ace</t>
  </si>
  <si>
    <t>https://seeders.com/blog/top-10-generative-engine-optimization-geo-agencies-in-europe/</t>
  </si>
  <si>
    <t>10 Best European GEO Agencies | Seeders</t>
  </si>
  <si>
    <t>https://www.cygnet.one/feeds/blog/compare-ai-consulting-marketing-automation</t>
  </si>
  <si>
    <t>Top AI Marketing Automation Consulting Services — 2026</t>
  </si>
  <si>
    <t>Accenture Song, Deloitte Digital, Merkle, Publicis Sapient, Ogilvy, Dentsu, Publicis Groupe, WPP, McKinsey</t>
  </si>
  <si>
    <t>Seeders, iProspect, Dentsu, Brainlabs, DEPT, Croud, Peak Ace</t>
  </si>
  <si>
    <t>https://www.omnius.so/blog/best-answer-engine-optimization-agencies</t>
  </si>
  <si>
    <t>16 Best Answer Engine Optimization (AEO) Agencies in 2026</t>
  </si>
  <si>
    <t>https://funnel.io/blog/top-mta-tools</t>
  </si>
  <si>
    <t>omnius.so</t>
  </si>
  <si>
    <t>Top multi-touch attribution (MTA) tools for 2026</t>
  </si>
  <si>
    <t>HockeyStack, SegmentStream, Northbeam</t>
  </si>
  <si>
    <t>Omnius, Omniscient Digital, iPullRank, Single Grain</t>
  </si>
  <si>
    <t>https://www.growth-hackers.net/best-analytics-marketing-agencies/</t>
  </si>
  <si>
    <t>SegmentStream, Measured, Haus, LifeSight, Rockerbox, Recast, INCRMNTAL</t>
  </si>
  <si>
    <t>Top 11 Analytics Marketing Agencies in 2026 | Hire the Best Analytics Marketing Agency | Growth Hackers</t>
  </si>
  <si>
    <t>Seer Interactive, Evolytics</t>
  </si>
  <si>
    <t>https://hikemytraffic.com/ai-digital-marketing-companies-in-germany/</t>
  </si>
  <si>
    <t>Best AI Digital Marketing Companies in Germany (2026)</t>
  </si>
  <si>
    <t>https://www.inbeat.co/articles/paid-media-agencies/</t>
  </si>
  <si>
    <t>15 Top Paid Media Agencies: Finding the Right Partner for 2026</t>
  </si>
  <si>
    <t>inBeat, Web Tonic, NoGood, Power Digital, Clutch, Disruptive Advertising, The Social Shepherd, Single Grain, Marcel Digital</t>
  </si>
  <si>
    <t>https://www.dreikon.de/en/news/online-marketing-knowledge/top-10-google-ads-agencies/</t>
  </si>
  <si>
    <t>The 10 best Google Ads agencies 2026</t>
  </si>
  <si>
    <t>DREIKON, Suchhelden, Bloofusion Germany GmbH, eMinded GmbH</t>
  </si>
  <si>
    <t>https://influencermarketinghub.com/ai-marketing-agencies/</t>
  </si>
  <si>
    <t>Best AI Marketing Agencies For 2026</t>
  </si>
  <si>
    <t>Viral Nation, SmartSites, McKinsey, Momentum, Clutch, Wpromote, Dentsu, Sociallyin</t>
  </si>
  <si>
    <t>https://seeders.com/blog/top-10-digital-pr-agencies-germany/</t>
  </si>
  <si>
    <t>Top 10 digital PR agencies in Germany | Seeders</t>
  </si>
  <si>
    <t>Seeders, Claneo</t>
  </si>
  <si>
    <t>https://influencermarketinghub.com/google-ads-agencies/</t>
  </si>
  <si>
    <t>22 of the Best Google Ads Agencies for 2025</t>
  </si>
  <si>
    <t>Viral Nation, SmartSites, NinjaPromo, McKinsey, LYFE Marketing, Measured, WebFX, Intero Digital, KlientBoost, Ignite Visibility, Single Grain, Disruptive Advertising, Thrive Internet Marketing Agency, Directive</t>
  </si>
  <si>
    <t>LifeSight, Haus, Measured, Recast, Northbeam, Triple Whale</t>
  </si>
  <si>
    <t>https://influencermarketinghub.com/marketing-analytics-agency/</t>
  </si>
  <si>
    <t>Top 12 Marketing Analytics Agency Selections for Data-Driven Success</t>
  </si>
  <si>
    <t>Viral Nation, SmartSites, McKinsey, Noble Studios, Forthea, GroupM, WPP, Disruptive Advertising</t>
  </si>
  <si>
    <t>https://hikemytraffic.com/ai-social-media-marketing-agencies-in-germany/</t>
  </si>
  <si>
    <t>10 Best AI Social Media Marketing Agencies in Germany (2026)</t>
  </si>
  <si>
    <t>https://www.maxiomtech.com/top-10-ai-marketing-automation-agencies/</t>
  </si>
  <si>
    <t>Top 10 AI Marketing Automation Agencies in 2026</t>
  </si>
  <si>
    <t>Accenture Song, Droga5, Deloitte Digital, PwC, VML, WPP, Single Grain, Merkle, Dentsu, Publicis Sapient, Publicis Groupe, Ogilvy</t>
  </si>
  <si>
    <t>https://nationalmarketingawards.com/awards/categories/ppc/</t>
  </si>
  <si>
    <t>Best PPC &amp;amp; Paid Media Agencies in the US (2026) | National Marketing Awards</t>
  </si>
  <si>
    <t>WebFX, Ignite Visibility, SmartSites, Clutch, HawkSEM, Measured, Disruptive Advertising, LYFE Marketing, Intero Digital, Noble Studios, NP Digital, Marcel Digital, Directive, Seer Interactive, Silverback Strategies, Power Digital, Searchbloom, Wpromote, KlientBoost, Single Grain, PMG, Sociallyin, First Page Sage, Clay, Tinuiti, Hawke Media</t>
  </si>
  <si>
    <t>https://www.revvgrowth.com/geo/geo-agency-usa</t>
  </si>
  <si>
    <t>Best GEO Agency in the USA for B2B SaaS (2026)</t>
  </si>
  <si>
    <t>iPullRank, First Page Sage, Omniscient Digital, Siege Media, NoGood, Directive, Go Fish Digital, Animalz, Clutch, Measured</t>
  </si>
  <si>
    <t>https://www.dreikon.de/aktuell/online-marketing-wissen/die-10-besten-seo-und-geo-agenturen-2026/</t>
  </si>
  <si>
    <t>Die 15 besten SEO- und GEO-Agenturen 2026</t>
  </si>
  <si>
    <t>https://sage.agency/blog/best-google-ads-agency-partners-for-2026/</t>
  </si>
  <si>
    <t>Best Google Ads Agency Partners for 2026 - Sage Digital Agency</t>
  </si>
  <si>
    <t>KlientBoost, SmartSites, Disruptive Advertising, Clutch, WebFX, Thrive Internet Marketing Agency</t>
  </si>
  <si>
    <t>DREIKON, TRYSEO, morefire, eMinded GmbH</t>
  </si>
  <si>
    <t>https://www.omnius.so/blog/german-seo-agencies</t>
  </si>
  <si>
    <t>16 Best SEO Agencies in Germany to Work With in 2026</t>
  </si>
  <si>
    <t>https://scalixai.com/blog/top-google-ad-agencies-in-us</t>
  </si>
  <si>
    <t>Top 10 Google Ads Agencies in the US (2026) — Ranked &amp;amp; Reviewed</t>
  </si>
  <si>
    <t>Disruptive Advertising, Directive, KlientBoost, WebFX, Intero Digital, Power Digital</t>
  </si>
  <si>
    <t>Omnius, TRYSEO, morefire</t>
  </si>
  <si>
    <t>https://seoprofy.com/blog/best-ai-seo-agencies/</t>
  </si>
  <si>
    <t>The 10 Best AI SEO Agencies &amp;amp; Services for 2026</t>
  </si>
  <si>
    <t>iPullRank, NP Digital, Omniscient Digital, NoGood, Siege Media, WebFX, Victorious, Clutch, McKinsey</t>
  </si>
  <si>
    <t>Directive Consulting, Momentum, Refine Labs, Tinuiti, PMG, Jellyfish, Wpromote, KlientBoost, Merkle, iProspect, Croud, R/GA, Media.Monks, Monks, AKQA, Measured</t>
  </si>
  <si>
    <t>https://techbehemoths.com/companies/google-marketing-platform/united-states</t>
  </si>
  <si>
    <t>Top 20+ Google Marketing Platform Companies in United States (2026) - TechBehemoths</t>
  </si>
  <si>
    <t>Storm Brain</t>
  </si>
  <si>
    <t>Directive Consulting, NoGood, Common Thread Collective, Wpromote, Darkroom, inBeat, Single Grain, Omniscient Digital, Measured, Pilot</t>
  </si>
  <si>
    <t>https://thebrandsbureau.com/top-creative-agencies-2026/</t>
  </si>
  <si>
    <t>14 Best Creative Agencies in the World for Your Brand 2026</t>
  </si>
  <si>
    <t>https://inbeat.agency/blog/top-marketing-measurement-and-analytics-companies#:~:text=Artefact%3A%20Artefact%20blends%20AI%20and,streams%20into%20a%20unified%20dashboard.</t>
  </si>
  <si>
    <t>Pentagram, R/GA, Wieden+Kennedy, Ogilvy, IBM, Huge, Droga5, AKQA, Superside, BBDO, VML</t>
  </si>
  <si>
    <t>inBeat, Nielsen, Artefact, Measured, WebFX</t>
  </si>
  <si>
    <t>https://www.topseobrands.com/best-display-advertising-firms-in-usa</t>
  </si>
  <si>
    <t>Best Display Advertising Firms in United States | Top SEO Brands</t>
  </si>
  <si>
    <t>inBeat, Nielsen, Hawke Media, Measured</t>
  </si>
  <si>
    <t>https://aeoagency.org/best-aeo-agencies/</t>
  </si>
  <si>
    <t>Best AEO Agencies 2025-2026</t>
  </si>
  <si>
    <t>SegmentStream, Triple Whale, Northbeam, Dreamdata, Measured, Rockerbox, Ruler Analytics</t>
  </si>
  <si>
    <t>Marcel Digital, Graphite, Amsive</t>
  </si>
  <si>
    <t>https://agencies.semrush.com/list/display-advertising/united-states/mid-business/</t>
  </si>
  <si>
    <t>Best Display Ads Agencies for Mid Business in United States 2026 | Semrush</t>
  </si>
  <si>
    <t>Superside, Huge, Ogilvy</t>
  </si>
  <si>
    <t>https://www.agencycluster.com/top-10/ppc-performance-marketing-agencies</t>
  </si>
  <si>
    <t>Top 10 PPC &amp;amp; Performance Marketing Agencies in the USA (2026) | AgencyCluster</t>
  </si>
  <si>
    <t>Disruptive Advertising, Ignite Visibility, KlientBoost, NP Digital, Power Digital, SmartSites, Tinuiti, WebFX, Wpromote</t>
  </si>
  <si>
    <t>https://www.agencycluster.com/top-25/ppc-performance-marketing-agencies</t>
  </si>
  <si>
    <t>https://www.cometly.com/post/ad-campaign-performance-analysis-methods</t>
  </si>
  <si>
    <t>Ad Campaign Performance Analysis Methods: 7 Proven Tips</t>
  </si>
  <si>
    <t>Top 25 PPC &amp;amp; Performance Marketing Agencies in the USA (2026) | AgencyCluster</t>
  </si>
  <si>
    <t>Disruptive Advertising, Ignite Visibility, KlientBoost, NP Digital, Power Digital, SmartSites, Tinuiti, WebFX, Wpromote, Amsive, HawkSEM, Intero Digital, Kobe Digital, New Engen, NoGood, Seer Interactive, Thrive Internet Marketing Agency</t>
  </si>
  <si>
    <t>Cometly, Measured</t>
  </si>
  <si>
    <t>Cometly, Triple Whale, Northbeam, Rockerbox, Ruler Analytics, Dreamdata</t>
  </si>
  <si>
    <t>https://clutch.co/us/agencies/programmatic#:~:text=List%20of%20the%20Top%20United%20States%20Programmatic,108%20reviews.%20%2D%20Onya.%205.0%2030%20reviews.</t>
  </si>
  <si>
    <t>Clutch, SmartSites, Funnel Boost Media, LYFE Marketing, AdVenture Media, Accelerated Digital Media, Storm Brain, Huge</t>
  </si>
  <si>
    <t>https://www.dataally.ai/blog/best-paid-ads-agency</t>
  </si>
  <si>
    <t>https://www.cometly.com/post/ai-powered-marketing-analytics-tools</t>
  </si>
  <si>
    <t>9 Best AI Powered Marketing Analytics Tools for 2026</t>
  </si>
  <si>
    <t>Cometly, Northbeam</t>
  </si>
  <si>
    <t>8 Best Paid Ads Agency in 2026: Top Paid Social Ad Agencies Ranked</t>
  </si>
  <si>
    <t>Brighter Click, Darkroom, NP Digital, The Social Shepherd, KlientBoost, Disruptive Advertising, Directive, Viral Nation, Northbeam, Triple Whale, Momentum</t>
  </si>
  <si>
    <t>https://www.enzuzo.com/blog/best-google-ads-agencies</t>
  </si>
  <si>
    <t>The 13 Top Google Ads Agencies [Reviewed &amp;amp; Rated]</t>
  </si>
  <si>
    <t>SmartSites, NinjaPromo, Clutch</t>
  </si>
  <si>
    <t>https://www.gartner.com/reviews/market/incrementality-measurement-platforms</t>
  </si>
  <si>
    <t>Best Incrementality Measurement Platforms Reviews 2026 \| Gartner Peer Insights</t>
  </si>
  <si>
    <t>Haus, SegmentStream, Measured, INCRMNTAL, LifeSight, Recast</t>
  </si>
  <si>
    <t>https://growthmanager.ai/best-geo-agency</t>
  </si>
  <si>
    <t>Best GEO agencies in 2026, reviewed and ranked</t>
  </si>
  <si>
    <t>Darkroom, Tinuiti, Wpromote, Power Digital, Common Thread Collective, Disruptive Advertising, WebFX, Measured, Pilot</t>
  </si>
  <si>
    <t>https://www.gtm8020.com/blog/best-aeo-agencies</t>
  </si>
  <si>
    <t>Best AEO Agencies - 2026 — GTM 8020</t>
  </si>
  <si>
    <t>Siege Media, Omniscient Digital, Graphite, Amsive, NP Digital, Momentum</t>
  </si>
  <si>
    <t>Directive Consulting, Jellyfish, Brainlabs, DEPT, Wpromote, Merkle, WebFX, KlientBoost, Disruptive Advertising, Dentsu</t>
  </si>
  <si>
    <t>https://joseangelostudios.com/paid-social-agency/</t>
  </si>
  <si>
    <t>21 Best Paid Social Media Agencies of 2025</t>
  </si>
  <si>
    <t>SmartSites, Clutch, AdVenture Media, KlientBoost, Acadia, Huge</t>
  </si>
  <si>
    <t>Directive Consulting, KlientBoost, Brainlabs, Power Digital, Measured</t>
  </si>
  <si>
    <t>https://nealschaffer.com/ai-marketing-agency/</t>
  </si>
  <si>
    <t>15 Best AI Marketing Agencies Helping Brands Grow in 2026</t>
  </si>
  <si>
    <t>Clutch, McKinsey, QuantumBlack, Measured</t>
  </si>
  <si>
    <t>Hawke Media, Tinuiti, Wpromote, Power Digital, WebFX, KlientBoost, Measured, Disruptive Advertising, New Engen, SmartSites, NoGood, R/GA, Ogilvy, Monks, Merkle, Siege Media</t>
  </si>
  <si>
    <t>https://hikemytraffic.com/ppc-agencies-in-germany/</t>
  </si>
  <si>
    <t>10 Best PPC Agencies in Germany (2026)</t>
  </si>
  <si>
    <t>https://onelittleweb.com/top-agencies/top-google-ads-agencies/</t>
  </si>
  <si>
    <t>Top 50 Google Ads Agencies in 2026 – Ranked &amp;amp; Reviewed</t>
  </si>
  <si>
    <t>KlientBoost, SmartSites, Disruptive Advertising, Power Digital, Intero Digital, Clutch, Funnel Boost Media, Elit-Web, Searchbloom, NinjaPromo, HawkSEM, Ignite Visibility, Silverback Strategies, Huge</t>
  </si>
  <si>
    <t>inBeat, Nielsen, Tinuiti, Darkroom, Bark London</t>
  </si>
  <si>
    <t>https://www.perceptive-analytics.com/top-10-best-ai-consulting-firms-for-mid-market-companies-in-the-us-2026-guide/</t>
  </si>
  <si>
    <t>Top 10 Best AI Consulting Firms for Mid-Market Companies in the US (2026 Guide) - Perceptive Analytics</t>
  </si>
  <si>
    <t>Slalom, IBM, BCG, PwC</t>
  </si>
  <si>
    <t>https://lifesight.io/blog/marketing-mix-modeling-software/</t>
  </si>
  <si>
    <t>Best Marketing Mix Modeling Software Tools in 2026 [UPDATED]</t>
  </si>
  <si>
    <t>https://www.quoleady.com/ai-marketing-agencies/</t>
  </si>
  <si>
    <t>LifeSight, Measured, Sellforte, Recast, Rockerbox, Northbeam, Haus</t>
  </si>
  <si>
    <t>Top 11 AI Marketing Agencies in 2025</t>
  </si>
  <si>
    <t>Avenue Z, Huge</t>
  </si>
  <si>
    <t>https://rightleftagency.com/blog/best-paid-search-marketing-agencies-in-usa/</t>
  </si>
  <si>
    <t>Best 15 Paid Search Marketing Agencies in USA 2026</t>
  </si>
  <si>
    <t>Measured, Nielsen, Analytic Partners, Kantar, Neustar, WPP, Recast, Haus, Rockerbox</t>
  </si>
  <si>
    <t>Disruptive Advertising, WebFX, IBM, Tinuiti, KlientBoost, Single Grain, Ignite Visibility, Thrive Internet Marketing Agency, NP Digital, Wpromote, Power Digital</t>
  </si>
  <si>
    <t>https://www.radyant.io/comparison/the-6-best-ai-seo-agencies-for-b2b-startups</t>
  </si>
  <si>
    <t>The 6 best AI SEO agencies for B2B startups · Radyant</t>
  </si>
  <si>
    <t>https://scopicstudios.com/blog/best-incrementality-testing-tools-2026/</t>
  </si>
  <si>
    <t>8 Best Incrementality Testing Tools for Measurement</t>
  </si>
  <si>
    <t>Radyant, Claneo, Omniscient Digital</t>
  </si>
  <si>
    <t>https://seeders.com/blog/10-best-link-building-agencies-in-germany-2026-ranked/</t>
  </si>
  <si>
    <t>10 best link building agencies in Germany [2026 ranked] | Seeders</t>
  </si>
  <si>
    <t>Seeders, Peak Ace, Claneo, Löwenstark, Suchhelden</t>
  </si>
  <si>
    <t>https://sellforte.com/blog/7-incrementality-measurement-tools-to-try-in-2025/</t>
  </si>
  <si>
    <t>7 Incrementality Measurement Tools to Try in 2025</t>
  </si>
  <si>
    <t>Sellforte, Measured, Haus, Boston Consulting Group</t>
  </si>
  <si>
    <t>https://sellforte.com/blog/real-time-mmm-tools-ecommerce</t>
  </si>
  <si>
    <t>Best Real-Time MMM Tools for Ecommerce Brands: Software That Delivers Instant Marketing Insights</t>
  </si>
  <si>
    <t>Sellforte, Triple Whale, Measured, Recast, Northbeam, Pilot, Boston Consulting Group</t>
  </si>
  <si>
    <t>https://www.siegemedia.com/strategy/best-content-marketing-agencies</t>
  </si>
  <si>
    <t>The 13 Best Content Marketing Agencies in 2026</t>
  </si>
  <si>
    <t>Siege Media, Power Digital, Single Grain, McKinsey &amp; Company</t>
  </si>
  <si>
    <t>Single Grain, Superside, Pilot</t>
  </si>
  <si>
    <t>https://www.suchhelden.de/beste-geo-agenturen-deutschlands.php</t>
  </si>
  <si>
    <t>Beste GEO-Agenturen 2026: Top-Liste für KI-Sichtbarkeit</t>
  </si>
  <si>
    <t>Suchhelden, Aufgesang, Claneo, iPullRank, WebFX, Omnius</t>
  </si>
  <si>
    <t>Superside, Ogilvy, Accenture Song</t>
  </si>
  <si>
    <t>Superside, PwC, Jellyfish, Brandtech, NoGood</t>
  </si>
  <si>
    <t>https://www.superside.com/blog/creative-strategy-agencies-examples</t>
  </si>
  <si>
    <t>5 Best Creative Strategy Agencies (5+ Top Campaign Examples)</t>
  </si>
  <si>
    <t>Superside, Momentum, Pilot</t>
  </si>
  <si>
    <t>https://www.tryseo.de/en/online-marketing-en/best-b2b-seo-agencies-germany/</t>
  </si>
  <si>
    <t>Best B2B SEO Agency in Germany: 10 Agencies Compared</t>
  </si>
  <si>
    <t>tryseo.de</t>
  </si>
  <si>
    <t>TRYSEO, DREIKON, performanceLiebe, McKinsey &amp; Company</t>
  </si>
  <si>
    <t>https://www.webfx.com/digital-marketing/learn/top-martech-companies/</t>
  </si>
  <si>
    <t>9 Top Martech Companies of 2026 in the World</t>
  </si>
  <si>
    <t>https://www.xmethod.de/en/blog/best-flutter-app-development-companies</t>
  </si>
  <si>
    <t>10 Best Flutter App Development Companies Reviewed (2026)</t>
  </si>
  <si>
    <t>Xmethod, Pilot</t>
  </si>
  <si>
    <t>https://www.xmethod.de/en/blog/top-10-app-development-companies</t>
  </si>
  <si>
    <t>Top 10 Mobile App Development Companies in Germany 2026</t>
  </si>
  <si>
    <t>Xmethod</t>
  </si>
  <si>
    <t>Product Pages</t>
  </si>
  <si>
    <t>https://www.techstepsolutions.com/digital-marketing-agencies-usa-2026/</t>
  </si>
  <si>
    <t>Top 20 Digital Marketing Agencies in USA 2026 for Growth</t>
  </si>
  <si>
    <t>Disruptive Advertising, Power Digital, Directive, NP Digital, KlientBoost, Victorious, VaynerMedia, Ogilvy, Tinuiti, Major Tom, Refine Labs, Intero Digital, Single Grain</t>
  </si>
  <si>
    <t>https://themanifest.com/us/media-buying/agencies</t>
  </si>
  <si>
    <t>The Best Media Planning and Buying Companies in United States - Jun 2026 | The Manifest</t>
  </si>
  <si>
    <t>Clutch, Accelerated Digital Media, Tinuiti, NP Digital, MuteSix</t>
  </si>
  <si>
    <t>https://www.wearetenet.com/blog/best-ai-seo-agencies</t>
  </si>
  <si>
    <t>10 Best AI SEO Agencies to Win in AI Overviews and LLMs</t>
  </si>
  <si>
    <t>Thrive Internet Marketing Agency, Avenue Z</t>
  </si>
  <si>
    <t>https://wildnetmarketing.agency/blog/best-ai-marketing-agencies-in-usa/</t>
  </si>
  <si>
    <t>Best AI Marketing Agencies in USA 2026</t>
  </si>
  <si>
    <t>https://www.artefact.com/offers/marketing-data-driven/marketing-analytics/#:~:text=Amazon%20Marketing%20Cloud%20(AMC)%20is%20a%20secure%2C,media%20strategy%E2%80%94all%20within%20a%20dedicated%2C%20pseudonymized%20environment.</t>
  </si>
  <si>
    <t>Ogilvy, Merkle, VML, Digitas, Accenture Song, Deloitte Digital, Publicis Groupe, Epsilon</t>
  </si>
  <si>
    <t>Our Marketing Analytics Services - Artefact</t>
  </si>
  <si>
    <t>Product Page</t>
  </si>
  <si>
    <t>https://www.50pros.com/hire/advertising/attribution-and-measurement</t>
  </si>
  <si>
    <t>Top Attribution &amp; Measurement Agencies to Hire in June 2026</t>
  </si>
  <si>
    <t>The SEO Works, Huge, Clutch</t>
  </si>
  <si>
    <t>https://www.haus.io/use-cases/incrementality</t>
  </si>
  <si>
    <t>Haus Incrementality Testing</t>
  </si>
  <si>
    <t>Haus, Momentum</t>
  </si>
  <si>
    <t>https://www.50pros.com/hire/digital-marketing/marketing-attribution</t>
  </si>
  <si>
    <t>Top Marketing Attribution Agencies to Hire in June 2026</t>
  </si>
  <si>
    <t>The SEO Works, Huge</t>
  </si>
  <si>
    <t>https://getrecast.com/experimentation/</t>
  </si>
  <si>
    <t>Experimentation - Recast</t>
  </si>
  <si>
    <t>getrecast.com</t>
  </si>
  <si>
    <t>Recast</t>
  </si>
  <si>
    <t>https://amworldgroup.com/best/digital-marketing-agency-usa</t>
  </si>
  <si>
    <t>Best Digital Marketing Agencies in USA (2026) | AMW®</t>
  </si>
  <si>
    <t>Thrive Internet Marketing Agency, Ignite Visibility, Siege Media, R/GA, Directive</t>
  </si>
  <si>
    <t>https://liftlab.com/platform/incrementality-testing-engine/</t>
  </si>
  <si>
    <t>Incrementality Testing &amp;amp; GEO Experimentation Platform | LiftLab</t>
  </si>
  <si>
    <t>LiftLab</t>
  </si>
  <si>
    <t>https://www.askattest.com/blog/articles/market-research-companies-in-the-us</t>
  </si>
  <si>
    <t>Top 17 Market Research Companies in the US (2026)</t>
  </si>
  <si>
    <t>Nielsen, Merkle</t>
  </si>
  <si>
    <t>https://liftlab.com/solutions/incrementality-testing/</t>
  </si>
  <si>
    <t>Incrementality Testing &amp;amp; MMM Calibration | LiftLab</t>
  </si>
  <si>
    <t>https://blueprintdemand.com/top-10-display-advertising-agency-partners-for-2026/</t>
  </si>
  <si>
    <t>10 Best B2B Display Advertising Agency Partners (2026) – Blueprint Demand: Demand Generation Experts</t>
  </si>
  <si>
    <t>Measured, Momentum, MuteSix, Single Grain</t>
  </si>
  <si>
    <t>https://info.measured.com/media-mix-modeling-demo</t>
  </si>
  <si>
    <t>Incrementality-Powered Media Mix Modeling | Measured</t>
  </si>
  <si>
    <t>https://coolnerdsmarketing.com/top-creative-agencies-us/</t>
  </si>
  <si>
    <t>Top 15 Creative Agencies in the U.S. (2026)</t>
  </si>
  <si>
    <t>https://www.webfx.com/digital-marketing/agency/usa/</t>
  </si>
  <si>
    <t>Dentsu, Momentum</t>
  </si>
  <si>
    <t>Digital Marketing Company in USA | SEO, PPC, &amp;amp; More | WebFX</t>
  </si>
  <si>
    <t>WebFX, Huge</t>
  </si>
  <si>
    <t>https://copilot-experts.com/top-ai-consulting-firm/</t>
  </si>
  <si>
    <t>Top 10 AI Consulting Firms in 2026 - Copilot Experts</t>
  </si>
  <si>
    <t>BCG, McKinsey, QuantumBlack, IBM, PwC, Measured</t>
  </si>
  <si>
    <t>https://www.circana.com/liquid-testing</t>
  </si>
  <si>
    <t>Liquid Testing: Self-Serve Incrementality Testing | Circana</t>
  </si>
  <si>
    <t>circana.com</t>
  </si>
  <si>
    <t>https://www.csp.agency/blog/top-8-geo-agencies-for-2026-ranked-by-data/</t>
  </si>
  <si>
    <t>Circana</t>
  </si>
  <si>
    <t>Top 8 GEO Agencies for 2026 Ranked by Data | CSP</t>
  </si>
  <si>
    <t>Intero Digital, Momentum</t>
  </si>
  <si>
    <t>https://infotrust.com/google-marketing-platform-consulting/</t>
  </si>
  <si>
    <t>Google Marketing Platform Sales Partner and Reseller | GA360, CM360, DV360</t>
  </si>
  <si>
    <t>https://www.designrush.com/agency/digital-marketing/analytics/us?page=23</t>
  </si>
  <si>
    <t>Top United States Marketing Analytics Companies - Page 23</t>
  </si>
  <si>
    <t>InfoTrust</t>
  </si>
  <si>
    <t>IBM, Measured</t>
  </si>
  <si>
    <t>https://percepture.com/services/geo-services/#:~:text=Generative%20Engine%20Optimization%20(GEO)%20is%20the%20process,structured%20data%2C%20entity%20optimization%2C%20and%20digital%20PR.</t>
  </si>
  <si>
    <t>Generative Engine Optimization Services | GEO Agency</t>
  </si>
  <si>
    <t>https://www.designrush.com/agency/digital-marketing/analytics/us?page=24</t>
  </si>
  <si>
    <t>Top United States Marketing Analytics Companies - Page 24</t>
  </si>
  <si>
    <t>Percepture, Huge</t>
  </si>
  <si>
    <t>https://www.bcg.com/capabilities/artificial-intelligence#:~:text=Deep%20Customer%20Engagement%20AI%20by%20BCG%20X.,%2D%20Supply%20Chain%20AI%20by%20BCG%20X.</t>
  </si>
  <si>
    <t>AI @ Scale | AI Consulting and Strategy | BCG</t>
  </si>
  <si>
    <t>https://entermind.com/media/blog/top-ai-consulting-firms-us</t>
  </si>
  <si>
    <t>bcg.com</t>
  </si>
  <si>
    <t>Top 8 AI Consulting Firms in the US | Expert Rankings (2026)</t>
  </si>
  <si>
    <t>IBM</t>
  </si>
  <si>
    <t>BCG, IBM</t>
  </si>
  <si>
    <t>https://directiveconsulting.com/blog/20-best-paid-social-agencies-turning-scrolls-into-sales/#:~:text=Merkle%20B2B%20Merkle%20B2B%20specializes%20in%20enterprise%2Dgrade,complex%20buying%20committees%20across%20LinkedIn%20and%20Meta.</t>
  </si>
  <si>
    <t>20 Best Paid Social Agencies For B2B - Directive</t>
  </si>
  <si>
    <t>https://www.hashmeta.ai/en/generative-ai/best-ai-marketing-agencies</t>
  </si>
  <si>
    <t>Directive, Wpromote, Ignite Visibility, Seer Interactive, Merkle, Disruptive Advertising, PMG, Hawke Media, Sociallyin, Jellyfish, KlientBoost, Viral Nation, Brainlabs, LYFE Marketing, Dentsu, TransUnion, IBM, Momentum, Clutch</t>
  </si>
  <si>
    <t>Best AI Marketing Agencies: Top 25 Agencies Ranked &amp;amp; Reviewed 2025</t>
  </si>
  <si>
    <t>SmartSites, Disruptive Advertising, Clutch, WebFX, Victorious, Tinuiti, Directive, KlientBoost</t>
  </si>
  <si>
    <t>https://www.incrmntal.com/solutions/agencies</t>
  </si>
  <si>
    <t>Marketing measurement solution for Agencies</t>
  </si>
  <si>
    <t>incrmntal.com</t>
  </si>
  <si>
    <t>https://influencermarketinghub.com/digital-marketing-agency-usa/</t>
  </si>
  <si>
    <t>Top Digital Marketing Agencies in the United States 2026</t>
  </si>
  <si>
    <t>INCRMNTAL</t>
  </si>
  <si>
    <t>Viral Nation, SmartSites, McKinsey, Measured, NinjaPromo, Power Digital, Clutch, Ignite Visibility, WebFX, Storm Brain, Major Tom, Funnel Boost Media, Thrive Internet Marketing Agency, Directive, Sociallyin, Disruptive Advertising, LYFE Marketing</t>
  </si>
  <si>
    <t>https://liftlab.com/platform/unified-marketing-measurement/</t>
  </si>
  <si>
    <t>Unified Marketing Measurement Platform (MMM + Incrementality) | LiftLab</t>
  </si>
  <si>
    <t>https://www.lyfemarketing.com/blog/top-creative-agencies-us/</t>
  </si>
  <si>
    <t>https://www.measured.com/incremental-lift-tests/</t>
  </si>
  <si>
    <t>Top 20 Creative Agencies In The U.S. 2026</t>
  </si>
  <si>
    <t>Measured: Incrementality Testing</t>
  </si>
  <si>
    <t>LYFE Marketing, Wieden+Kennedy, Ogilvy, Dentsu</t>
  </si>
  <si>
    <t>https://www.seerinteractive.com/ai-consulting</t>
  </si>
  <si>
    <t>SeerAdvance AI Consulting Services</t>
  </si>
  <si>
    <t>seerinteractive.com</t>
  </si>
  <si>
    <t>https://www.reddit.com/r/TheTopAgencies/comments/1mjdxiv/the_best_generative_engine_optimization_agencies/</t>
  </si>
  <si>
    <t>The Best Generative Engine Optimization Agencies In The United States</t>
  </si>
  <si>
    <t>Brainlabs, Siege Media, Victorious, HawkSEM, Animalz, Omniscient Digital, iPullRank</t>
  </si>
  <si>
    <t>Seer Interactive</t>
  </si>
  <si>
    <t>https://adswerve.com/partners/google</t>
  </si>
  <si>
    <t>Google Marketing and Cloud Platforms - Adswerve</t>
  </si>
  <si>
    <t>https://seoprofy.com/blog/generative-engine-optimization-agencies/</t>
  </si>
  <si>
    <t>TOP 13 Generative Engine Optimization (GEO) Agencies in 2026</t>
  </si>
  <si>
    <t>Clutch, Omniscient Digital, Siege Media, RevenueZen, Go Fish Digital, NoGood, First Page Sage, Intero Digital, WebFX, iPullRank, Victorious, The SEO Works, Measured</t>
  </si>
  <si>
    <t>https://www.techaheadcorp.com/services/ai-consulting-company/</t>
  </si>
  <si>
    <t>https://www.bounteous.com/partners/google/</t>
  </si>
  <si>
    <t>Google Partner | Bounteous</t>
  </si>
  <si>
    <t>Top AI Consulting Company in the United States - TechAhead</t>
  </si>
  <si>
    <t>Anomaly, Measured</t>
  </si>
  <si>
    <t>bounteous.com</t>
  </si>
  <si>
    <t>Bounteous</t>
  </si>
  <si>
    <t>https://www.uforocks.com/blog/top-google-ads-agencies-in-the-u-s/</t>
  </si>
  <si>
    <t>https://www.bounteous.com/partners/google/google-marketing-platform/</t>
  </si>
  <si>
    <t>Top Google Ads Agencies in the U.S. - UFO Digital Marketing Agency</t>
  </si>
  <si>
    <t>Google Marketing Platform Sales Partner | Bounteous</t>
  </si>
  <si>
    <t>AdVenture Media, Directive, Disruptive Advertising, Ignite Visibility, KlientBoost, MuteSix, Dentsu, NP Digital, Seer Interactive, Silverback Strategies, SmartSites, Thrive Internet Marketing Agency, Tinuiti, WebFX, Wpromote</t>
  </si>
  <si>
    <t>https://www.upliftgtm.com/blog/best-aeo-agencies</t>
  </si>
  <si>
    <t>Best AEO Agencies 2026: Top 12 Answer Engine Optimization Firms</t>
  </si>
  <si>
    <t>Animalz, Omniscient Digital, Single Grain, NoGood, Ignite Visibility, Victorious, Siege Media, Measured</t>
  </si>
  <si>
    <t>https://clutch.co/us/agencies/ppc/display%3Fpage%3D5</t>
  </si>
  <si>
    <t>https://wildnetmarketing.agency/blog/best-web-analytics-agencies-in-usa/</t>
  </si>
  <si>
    <t>Best Web Analytics &amp;amp; Attribution Agencies in USA 2026</t>
  </si>
  <si>
    <t>Merkle, Ogilvy, VML, Digitas, Accenture Song, Deloitte Digital, Publicis Groupe, Epsilon, Anomaly</t>
  </si>
  <si>
    <t>https://commonthreadco.com/pages/incrementality</t>
  </si>
  <si>
    <t>https://zyppy.com/companies/c/marketing-attribution/united-states/</t>
  </si>
  <si>
    <t>Geo Holdout Incrementality Testing for Ecommerce Brands</t>
  </si>
  <si>
    <t>Top Marketing Attribution Companies in the United States - July 2026</t>
  </si>
  <si>
    <t>commonthreadco.com</t>
  </si>
  <si>
    <t>Common Thread Collective</t>
  </si>
  <si>
    <t>https://agencies.semrush.com/list/programmatic-advertising/united-states/</t>
  </si>
  <si>
    <t>https://www.measured.com/enterprise/</t>
  </si>
  <si>
    <t>Best Programmatic Advertising Agencies in United States 2026 | Semrush</t>
  </si>
  <si>
    <t>Measured | Platform: Enterprise-Grade</t>
  </si>
  <si>
    <t>SmartSites, Elit-Web, Silverback Strategies, WebFX</t>
  </si>
  <si>
    <t>https://www.measured.com/incrementality-testing/</t>
  </si>
  <si>
    <t>https://www.rockerbox.com/testing</t>
  </si>
  <si>
    <t>Unlock Incrementality with Rockerbox Testing for Data-Backed Decisions | Rockerbox</t>
  </si>
  <si>
    <t>rockerbox.com</t>
  </si>
  <si>
    <t>Rockerbox</t>
  </si>
  <si>
    <t>https://compare.growthmarshal.io/best-geo-agencies-2026/</t>
  </si>
  <si>
    <t>Best GEO Agencies 2026: Top 8 Ranked and Reviewed</t>
  </si>
  <si>
    <t>First Page Sage, Directive, Go Fish Digital, Silverback Strategies</t>
  </si>
  <si>
    <t>https://adswerve.com/our-services/consulting-and-licensing</t>
  </si>
  <si>
    <t>Our Services - Consulting and Licensing - Adswerve</t>
  </si>
  <si>
    <t>https://deviatelabs.com/resources/7-best-ai-marketing-agencies-to-revolutionize-your-growth-in-2025/</t>
  </si>
  <si>
    <t>7 Best AI Marketing Agencies to Revolutionize Your Growth in 2026 \| Deviate Labs</t>
  </si>
  <si>
    <t>Single Grain, SmartSites, Major Tom, NoGood</t>
  </si>
  <si>
    <t>https://adswerve.com/partners</t>
  </si>
  <si>
    <t>https://digitalmarketingsupermarket.com/blog/best-ai-marketing-agencies/</t>
  </si>
  <si>
    <t>Partners - Adswerve</t>
  </si>
  <si>
    <t>Best AI Marketing Agencies: The Definitive 2025 Guide to Finding Your Perfect Partner - Digital Marketing Supermarket</t>
  </si>
  <si>
    <t>SmartSites, Superside, Single Grain, DEPT, Major Tom, NinjaPromo, Clutch, NoGood, Keenfolks</t>
  </si>
  <si>
    <t>https://www.bounteous.com/partners/google/google-search-ads-360/</t>
  </si>
  <si>
    <t>Google Search Ads 360 Reseller &amp;amp; Sales Partner for SA360</t>
  </si>
  <si>
    <t>https://www.bounteous.com/partners/google/media-accelerate/</t>
  </si>
  <si>
    <t>Bounteous + Google l Media Accelerate | Bounteous</t>
  </si>
  <si>
    <t>BCG, Bounteous</t>
  </si>
  <si>
    <t>https://www.circana.com/solutions/marketing-mix</t>
  </si>
  <si>
    <t>Optimize Marketing Efforts &amp;amp; Drive ROI with Marketing Mix Modeling | Circana</t>
  </si>
  <si>
    <t>https://www.gestisoft.com/en/blog/top-ai-consulting-firms</t>
  </si>
  <si>
    <t>Top 10 AI consulting firms in the USA | Gestisoft</t>
  </si>
  <si>
    <t>Fractal Analytics</t>
  </si>
  <si>
    <t>https://clutch.co/us/agencies/ppc/display%3Fpage%3D6</t>
  </si>
  <si>
    <t>Top Display Advertising Agencies in the United States - Jul 2026 Rankings | Clutch.co</t>
  </si>
  <si>
    <t>https://www.dentsu.com/us/en/who-we-are/our-agencies/merkle</t>
  </si>
  <si>
    <t>Merkle | Our Agencies | dentsu USA</t>
  </si>
  <si>
    <t>https://www.loudface.co/blog/best-aeo-agencies-b2b-saas-2026</t>
  </si>
  <si>
    <t>Best AEO &amp;amp; GEO Agencies for B2B SaaS in 2026 | LoudFace</t>
  </si>
  <si>
    <t>Dentsu, Merkle</t>
  </si>
  <si>
    <t>Siege Media, Animalz, NoGood, First Page Sage</t>
  </si>
  <si>
    <t>https://disruptiveadvertising.com/advertising-services/</t>
  </si>
  <si>
    <t>https://omnieclipse.ai/blog/best-aeo-agencies-united-states-2026</t>
  </si>
  <si>
    <t>Best AEO Agencies in the United States for 2026 | Omni Eclipse</t>
  </si>
  <si>
    <t>Digital Advertising Services | #1 Most 5-Star Reviewed Agency</t>
  </si>
  <si>
    <t>McKinsey, First Page Sage, iPullRank, NoGood, Siege Media, RevenueZen, Discovered Labs, Graphite</t>
  </si>
  <si>
    <t>Clutch, Disruptive Advertising</t>
  </si>
  <si>
    <t>https://www.onely.com/blog/best-ai-seo-agencies/</t>
  </si>
  <si>
    <t>https://disruptiveadvertising.com/social-media-advertising/</t>
  </si>
  <si>
    <t>Top 10 AI SEO Agencies in 2026: What They Actually Deliver and How to Evaluate Them - Onely</t>
  </si>
  <si>
    <t>Social Media Marketing Agency | Get a Free Audit | Disruptive Advertising</t>
  </si>
  <si>
    <t>iPullRank, Siege Media, Omniscient Digital, Single Grain, Directive, Thrive Internet Marketing Agency, Searchbloom</t>
  </si>
  <si>
    <t>https://www.onely.com/blog/best-geo-agencies/</t>
  </si>
  <si>
    <t>Top 14 Best GEO Agencies in 2026: An Enterprise Buyer's Evaluation - Onely</t>
  </si>
  <si>
    <t>https://events.bounteous.com/googletrainingprogram</t>
  </si>
  <si>
    <t>Siege Media, Go Fish Digital, First Page Sage, Directive, Seer Interactive, Omniscient Digital, Single Grain, Victorious, WebFX, Ignite Visibility, Clutch, Measured</t>
  </si>
  <si>
    <t>Google Marketing Platform Training Program</t>
  </si>
  <si>
    <t>https://piperocket.digital/list/best-aeo-agency/</t>
  </si>
  <si>
    <t>12 Best AEO Agencies for AI Visibility Tracking &amp;amp; Reporting 2026</t>
  </si>
  <si>
    <t>https://getrecast.com/geolift-by-recast/</t>
  </si>
  <si>
    <t>Clutch, WebFX, First Page Sage, Single Grain, Omniscient Digital, RevenueZen, iPullRank, NoGood, Siege Media, KlientBoost, Animalz, Discovered Labs, Measured</t>
  </si>
  <si>
    <t>GeoLift by Recast - Recast</t>
  </si>
  <si>
    <t>Recast, Acadia</t>
  </si>
  <si>
    <t>https://www.rankarise.com/blog/best-aeo-agencies-in-usa-listing-and-reviews/</t>
  </si>
  <si>
    <t>Best AEO Agencies in USA | Detailed List - RankArise</t>
  </si>
  <si>
    <t>Thrive Internet Marketing Agency, Victorious, Ignite Visibility, WebFX</t>
  </si>
  <si>
    <t>https://www.ibm.com/consulting/marketing</t>
  </si>
  <si>
    <t>Marketing Consulting Services | IBM</t>
  </si>
  <si>
    <t>ibm.com</t>
  </si>
  <si>
    <t>https://www.reddit.com/r/SaaS/comments/1scwc2o/who_is_the_best_answer_engine_optimization_aeo/</t>
  </si>
  <si>
    <t>Who is the best Answer Engine Optimization (AEO) Agency in USA?</t>
  </si>
  <si>
    <t>Animalz, NoGood</t>
  </si>
  <si>
    <t>https://www.incrmntal.com/autonomous</t>
  </si>
  <si>
    <t>Autonomous Marketing Measurement | Incrmntal</t>
  </si>
  <si>
    <t>https://www.reddit.com/r/ecommerce/comments/1qusfa4/looking_for_best_incrementality_testing_tools/</t>
  </si>
  <si>
    <t>Looking for best incrementality testing tools (advice/recommendation)</t>
  </si>
  <si>
    <t>https://www.incrmntal.com/marketing-measurement</t>
  </si>
  <si>
    <t>Marketing Measurement</t>
  </si>
  <si>
    <t>INCRMNTAL, Measured</t>
  </si>
  <si>
    <t>Haus, LifeSight, Measured, SegmentStream, Recast, Rockerbox, Northbeam</t>
  </si>
  <si>
    <t>https://www.incrmntal.com/platform</t>
  </si>
  <si>
    <t>Marketing Measurement Platform | INCRMNTAL</t>
  </si>
  <si>
    <t>https://www.incrmntal.com/solutions/marketing-analysts</t>
  </si>
  <si>
    <t>Marketing Measurement for Analysts</t>
  </si>
  <si>
    <t>https://www.semfirms.com/display-advertising-firms</t>
  </si>
  <si>
    <t>Top Display Advertising Firms in United States | SEM Firms</t>
  </si>
  <si>
    <t>Ignite Visibility, Disruptive Advertising, Intero Digital, Momentum</t>
  </si>
  <si>
    <t>https://www.klientboost.com/services/</t>
  </si>
  <si>
    <t>KlientBoost Services - Online Marketing Services for 2026</t>
  </si>
  <si>
    <t>https://www.sortlist.com/attribution-marketing</t>
  </si>
  <si>
    <t>The 100 Best Attribution Marketing Agencies - 2026 Reviews</t>
  </si>
  <si>
    <t>Triple Whale, Northbeam, HockeyStack, WPP</t>
  </si>
  <si>
    <t>https://www.klientboost.com/services/google-ads-agency/</t>
  </si>
  <si>
    <t>Google Ads Agency | Expert PPC Management for B2B &amp;amp; SaaS | KlientBoost</t>
  </si>
  <si>
    <t>KlientBoost, Clutch, Measured</t>
  </si>
  <si>
    <t>https://75way.com/blog/10-top-ai-consulting-companies-usa</t>
  </si>
  <si>
    <t>Top 10 AI Consulting Companies in USA | 2026 Expert Guide</t>
  </si>
  <si>
    <t>https://lifesight.io/?trk=public_post_main-feed-card-text</t>
  </si>
  <si>
    <t>Lifesight | Agentic Unified Marketing Measurement</t>
  </si>
  <si>
    <t>https://www.accordtechsolutions.com/blog/top-7-ai-marketing-agency-in-the-usa</t>
  </si>
  <si>
    <t>LifeSight, Measured, Anomaly, Northbeam, Haus, Recast, Triple Whale</t>
  </si>
  <si>
    <t>Top 7 AI Digital Marketing Agencies in the USA 2026</t>
  </si>
  <si>
    <t>Huge, NoGood, Viral Nation, SmartSites</t>
  </si>
  <si>
    <t>https://www.marceldigital.com/services/answer-engine-optimization#:~:text=Frequently%20Asked%20Questions%20%2D%20What%20is%20Answer,in%20AI%20Overviews%20and%20other%20answer%20engines%3F</t>
  </si>
  <si>
    <t>Answer Engine Optimization (AEO) Services | Marcel Digital</t>
  </si>
  <si>
    <t>marceldigital.com</t>
  </si>
  <si>
    <t>https://agencylist.com/services/programmatic-display-and-video/us/</t>
  </si>
  <si>
    <t>Marcel Digital</t>
  </si>
  <si>
    <t>Top Programmatic Display and Video Agencies in United States</t>
  </si>
  <si>
    <t>https://www.mckinsey.com/capabilities/growth-marketing-and-sales/how-we-help-clients/cmac</t>
  </si>
  <si>
    <t>Consumer Marketing Analytics Center | Growth, Marketing &amp; Sales | McKinsey &amp; Company</t>
  </si>
  <si>
    <t>https://brandmentions.com/wiki/Top_advertising_agencies_in_USA#:~:text=Renowned%20for%20its%20mantra%2C%20%E2%80%9CThe%20Work.%20The,results.%20%2D%2072andSunny%20%E2%80%93%20Los%20Angeles%2C%20CA.</t>
  </si>
  <si>
    <t>Top advertising agencies in USA - BrandMentions Wiki</t>
  </si>
  <si>
    <t>McKinsey</t>
  </si>
  <si>
    <t>Wieden+Kennedy, Droga5, Accenture Song, Ogilvy, BBDO, 72andSunny, R/GA, TBWA\Chiat\Day, Dentsu, LYFE Marketing</t>
  </si>
  <si>
    <t>https://www.measured.com/blog/%F0%9F%9A%80-unleashing-the-power-of-incrementality-the-all-new-measured-platform/</t>
  </si>
  <si>
    <t>🚀 Unleashing the Power of Incrementality: The All-New Measured Platform</t>
  </si>
  <si>
    <t>https://www.measured.com/incrementality-platform-overview/</t>
  </si>
  <si>
    <t>Measured Platform for Media Effectiveness: Overview</t>
  </si>
  <si>
    <t>https://www.measured.com/media-mix-modeling/</t>
  </si>
  <si>
    <t>Measured Platform: Media Mix Modeling (MMM)</t>
  </si>
  <si>
    <t>https://coolnerdsmarketing.com/top-digital-marketing-agencies-us/</t>
  </si>
  <si>
    <t>Top 17 Digital Marketing Agencies in the U.S. (January 2026)</t>
  </si>
  <si>
    <t>Refine Labs, Intero Digital, Single Grain, Power Digital, KlientBoost, VaynerMedia, inBeat, Publicis Groupe</t>
  </si>
  <si>
    <t>https://www.monks.com/partners/google-marketing-platform</t>
  </si>
  <si>
    <t>Google Marketing Platform | Partnerships | Monks</t>
  </si>
  <si>
    <t>https://derivatex.agency/blog/best-aeo-agencies-usa/</t>
  </si>
  <si>
    <t>6 Best AEO Agencies in the USA for B2B SaaS (2026)</t>
  </si>
  <si>
    <t>monks.com</t>
  </si>
  <si>
    <t>Siege Media, Directive, RevenueZen, iPullRank, Clutch, Omniscient Digital</t>
  </si>
  <si>
    <t>Monks, Momentum</t>
  </si>
  <si>
    <t>https://powerdigitalmarketing.com/atlanta/seo/</t>
  </si>
  <si>
    <t>https://www.designrush.com/agency/paid-media-pay-per-click/google-adwords/us</t>
  </si>
  <si>
    <t>SEO Agency in Atlanta | Power Digital</t>
  </si>
  <si>
    <t>Top Google Ads Agencies in the USA | DesignRush</t>
  </si>
  <si>
    <t>SmartSites, Searchbloom, Huge, Disruptive Advertising, Funnel Boost Media, Silverback Strategies, Intero Digital, KlientBoost, Elit-Web, Major Tom, IBM, AdVenture Media</t>
  </si>
  <si>
    <t>https://www.silverbackstrategies.com/services/measurement/incrementality-testing/</t>
  </si>
  <si>
    <t>Incrementality Testing Strategies | Silverback Strategies</t>
  </si>
  <si>
    <t>Silverback Strategies</t>
  </si>
  <si>
    <t>https://www.smartsites.com/ppc-marketing/display-advertising/</t>
  </si>
  <si>
    <t>Get Seen with #1 Best Display Advertising Services</t>
  </si>
  <si>
    <t>SmartSites, Clutch, Huge</t>
  </si>
  <si>
    <t>https://www.gartner.com/reviews/market/b2b-multitouch-attribution-tools</t>
  </si>
  <si>
    <t>Best B2B Multitouch Attribution Tools Reviews 2026 \| Gartner Peer Insights</t>
  </si>
  <si>
    <t>Triple Whale, Northbeam, HockeyStack, Ruler Analytics, SegmentStream</t>
  </si>
  <si>
    <t>https://www.smartsites.com/web-design/graphics-digital/web-display-banners/</t>
  </si>
  <si>
    <t>Display Banners Design Agency Services | Award Winning Web Designers</t>
  </si>
  <si>
    <t>SmartSites, Clutch</t>
  </si>
  <si>
    <t>https://www.goodfirms.co/advertising-companies/creative/usa</t>
  </si>
  <si>
    <t>Top Creative Agencies in the United States - 2026 Reviews | Goodfirms</t>
  </si>
  <si>
    <t>Brighter Click, SmartSites, PMG</t>
  </si>
  <si>
    <t>https://www.thekeenfolks.com/solutions/20-the-best-ai-marketing-companies-for-large-enterprises</t>
  </si>
  <si>
    <t>20-The best AI Marketing Companies for large enterprises</t>
  </si>
  <si>
    <t>https://www.krowdbase.com/top-marketing-analytics-companies</t>
  </si>
  <si>
    <t>Top Marketing Analytics Companies 2026</t>
  </si>
  <si>
    <t>https://tinuiti.com/blisspoint/measurement/incrementality-lab/</t>
  </si>
  <si>
    <t>Incrementality Lab | Tinuiti</t>
  </si>
  <si>
    <t>https://leadsrx.com/resource/35-marketing-attribution-software-companies/</t>
  </si>
  <si>
    <t>35 Best Marketing Attribution Software For You to Consider</t>
  </si>
  <si>
    <t>Neustar, Nielsen, Rockerbox, Ruler Analytics, Measured, Huge</t>
  </si>
  <si>
    <t>https://tinuiti.com/services/social/</t>
  </si>
  <si>
    <t>Paid Social Media Agency | Tinuiti</t>
  </si>
  <si>
    <t>https://lengreo.com/ai-search-marketing-agencies/</t>
  </si>
  <si>
    <t>13 Best AI Search Marketing Companies for Smarter Growth (2026)</t>
  </si>
  <si>
    <t>WebFX, Keenfolks, Clutch</t>
  </si>
  <si>
    <t>https://www.wpromote.com/digital-marketing-services/strategy-planning/</t>
  </si>
  <si>
    <t>Marketing Strategy Services | Digital Marketing Agency | Wpromote</t>
  </si>
  <si>
    <t>https://www.moburst.com/blog/best-web-marketing-agencies-usa/</t>
  </si>
  <si>
    <t>Wpromote, Giant Spoon</t>
  </si>
  <si>
    <t>https://inmarketingwetrust.com.au/platforms/google-marketing-platform/</t>
  </si>
  <si>
    <t>Google Marketing Platform Partners - In Marketing We Trust</t>
  </si>
  <si>
    <t>https://xpon.ai/google-marketing-platform/</t>
  </si>
  <si>
    <t>Google Marketing Platform Partner | XPON</t>
  </si>
  <si>
    <t>Best Web Marketing Agencies in the USA Right Now | Moburst</t>
  </si>
  <si>
    <t>Ignite Visibility, Disruptive Advertising, Power Digital, WebFX, NoGood, KlientBoost, Momentum</t>
  </si>
  <si>
    <t>https://www.resolutiondigital.com.au/services/measurement/</t>
  </si>
  <si>
    <t>Digital Analytics Services | Resolution Digital Australia</t>
  </si>
  <si>
    <t>https://www.mordorintelligence.com/industry-reports/united-states-marketing-analytics-market/companies</t>
  </si>
  <si>
    <t>United States Marketing Analytics Companies - Top Players' List</t>
  </si>
  <si>
    <t>Resolution Digital, Omnicom Media Group</t>
  </si>
  <si>
    <t>IBM, Neustar, Nielsen</t>
  </si>
  <si>
    <t>https://www.resolutiondigital.com.au/services/cro/google-marketing-platform/</t>
  </si>
  <si>
    <t>Google Marketing Platform Services | Resolution Digital Australia</t>
  </si>
  <si>
    <t>https://www.saffronedge.com/blog/top-aeo-agency/#:~:text=10.%20Flying%20Cat%20Marketing%20%2D%20Strong%20B2B,fit%20for%20software%20companies%20and%20international%20growth.</t>
  </si>
  <si>
    <t>Top 10+ Answer Engine Optimization Companies in the USA</t>
  </si>
  <si>
    <t>Resolution Digital, TRKKN, Omnicom Media Group</t>
  </si>
  <si>
    <t>First Page Sage, Searchbloom, iPullRank, NoGood, Marcel Digital, Clutch</t>
  </si>
  <si>
    <t>https://smacient.com/top-geo-agencies-in-the-usa/</t>
  </si>
  <si>
    <t>Top GEO Agencies in the USA - Smacient</t>
  </si>
  <si>
    <t>First Page Sage, Intero Digital, Directive, Stratabeat</t>
  </si>
  <si>
    <t>https://www.sortlist.com/s/ai-marketing/united-states-us</t>
  </si>
  <si>
    <t>The 10 Best AI Marketing Companies in the United States - 2026 Reviews</t>
  </si>
  <si>
    <t>https://www.resolutiondigital.com.au/services/measurement/attribution/</t>
  </si>
  <si>
    <t>https://sourceloop.ai/blog/best-marketing-measurement-tools/</t>
  </si>
  <si>
    <t>10 Best Marketing Measurement Tools: Compared in 2026 | SourceLoop</t>
  </si>
  <si>
    <t>Northbeam, Triple Whale, Measured, Recast, INCRMNTAL, Rockerbox, Sellforte, Analytic Partners, Cometly, Nielsen, TransUnion</t>
  </si>
  <si>
    <t>Digital Attribution Model | Resolution Digital Australia</t>
  </si>
  <si>
    <t>https://thedigitalelevator.com/blog/best-ai-seo-agencies/</t>
  </si>
  <si>
    <t>The 10 Best AI SEO Agencies in 2026 | Digital Elevator</t>
  </si>
  <si>
    <t>Graphite, Siege Media, Intero Digital, iPullRank, Go Fish Digital</t>
  </si>
  <si>
    <t>https://rocketagency.com.au/services/social-media-ads-agency</t>
  </si>
  <si>
    <t>Social Media Marketing Agency Australia: Ad Experts | Rocket</t>
  </si>
  <si>
    <t>https://wildnetmarketing.agency/blog/best-performance-marketing-agencies-in-usa/</t>
  </si>
  <si>
    <t>Best Performance Marketing Agencies in USA 2026</t>
  </si>
  <si>
    <t>Merkle, Ogilvy, VML, Digitas, iProspect, Accenture Song, Deloitte Digital, Publicis Groupe, Dentsu</t>
  </si>
  <si>
    <t>Rocket Agency, HERO</t>
  </si>
  <si>
    <t>https://amworldgroup.com/best/digital-marketing-agency-worldwide</t>
  </si>
  <si>
    <t>Best Digital Marketing Agencies Worldwide (2026) | AMW®</t>
  </si>
  <si>
    <t>https://impressive.com.au/performance-marketing-agency-sydney/</t>
  </si>
  <si>
    <t>Marketing Agency Sydney | Award-Winning Digital Marketing Agency</t>
  </si>
  <si>
    <t>Impressive, First Page, Deloitte</t>
  </si>
  <si>
    <t>https://avidtrak.com/resource/best-market-attribution-software</t>
  </si>
  <si>
    <t>9 Best Marketing Attribution Software for Agencies</t>
  </si>
  <si>
    <t>Ruler Analytics, Nielsen</t>
  </si>
  <si>
    <t>https://prosperitymedia.com.au/generative-ai-seo-services/</t>
  </si>
  <si>
    <t>Generative AI SEO Services - GEO Agency Australia</t>
  </si>
  <si>
    <t>https://brillmedia.co/resources/best-display-advertising-agencies/</t>
  </si>
  <si>
    <t>Best Display Advertising Agencies | Brill Media</t>
  </si>
  <si>
    <t>Prosperity Media, HERO</t>
  </si>
  <si>
    <t>https://www.resolutiondigital.com.au/services/measurement/reporting/</t>
  </si>
  <si>
    <t>Marketing Reporting &amp;amp; Dashboards | Resolution Digital Australia</t>
  </si>
  <si>
    <t>https://clutch.co/agencies/ppc/display%3Fpage%3D0</t>
  </si>
  <si>
    <t>Clutch, Elit-Web, AdVenture Media, NinjaPromo, Storm Brain, Huge, The SEO Works</t>
  </si>
  <si>
    <t>https://studiohawk.com.au/seo-services/ai-seo/</t>
  </si>
  <si>
    <t>AI SEO Agency Services | AI Search Experts</t>
  </si>
  <si>
    <t>studiohawk.com.au</t>
  </si>
  <si>
    <t>StudioHawk</t>
  </si>
  <si>
    <t>https://amplifir.com.au/services/data-advanced-analytics/attribution-modelling/</t>
  </si>
  <si>
    <t>Attribution Modelling Services | Marketing Attribution Agency | Amplifir</t>
  </si>
  <si>
    <t>amplifir.com.au</t>
  </si>
  <si>
    <t>Amplifir</t>
  </si>
  <si>
    <t>https://www.resolutiondigital.com.au/services/cro/ab-testing/</t>
  </si>
  <si>
    <t>https://www.fieldtrip.agency/post/best-ai-marketing-agencies#:~:text=The%20agency%20offers%20proprietary%20Integrative%20AI%C2%AE%20methodology,local%20implementation%20in%20more%20than%2040%20markets.</t>
  </si>
  <si>
    <t>A/B/n and Multivariate Testing | CRO | Resolution Digital Australia</t>
  </si>
  <si>
    <t>Best AI Marketing Agencies Building the Next Era of Advertising</t>
  </si>
  <si>
    <t>Jellyfish, Keenfolks, Monks, Superside, Single Grain, Wpromote, TransUnion, Brainlabs, Measured, Power Digital, McKinsey, QuantumBlack, inBeat</t>
  </si>
  <si>
    <t>Resolution Digital, PHD, Omnicom Media Group</t>
  </si>
  <si>
    <t>https://www.resolutiondigital.com.au/services/measurement/marketing-mix-modelling/</t>
  </si>
  <si>
    <t>Leading Marketing Mix Modelling (MMM) Agency | Resolution Digital Australia</t>
  </si>
  <si>
    <t>https://www.goodfirms.co/advertising-companies/programmatic</t>
  </si>
  <si>
    <t>Top Programmatic Advertising Companies - 2026 Reviews | Goodfirms</t>
  </si>
  <si>
    <t>Funnel Boost Media, The SEO Works, Daydream</t>
  </si>
  <si>
    <t>Resolution Digital, Measured, Omnicom Media Group</t>
  </si>
  <si>
    <t>https://alleygroup.com.au/acquisition/ppc-agency/google-partner/</t>
  </si>
  <si>
    <t>Google Premier Partner Agency - Alley Group</t>
  </si>
  <si>
    <t>https://www.goodfirms.co/directory/country/top-digital-marketing-companies/advertising-ppc/usa</t>
  </si>
  <si>
    <t>alleygroup.com.au</t>
  </si>
  <si>
    <t>Top PPC Agencies in the USA - 2026 Reviews | Goodfirms</t>
  </si>
  <si>
    <t>Alley Group, Impressive</t>
  </si>
  <si>
    <t>https://impressive.com.au/performance-marketing-agency-melbourne/</t>
  </si>
  <si>
    <t>Performance Marketing Agency Melbourne | Impressive</t>
  </si>
  <si>
    <t>https://www.goodfirms.co/directory/country/top-digital-marketing-companies/media-planning-buying/usa</t>
  </si>
  <si>
    <t>Top Media Buying Agencies in the United States - 2026 Reviews | Goodfirms</t>
  </si>
  <si>
    <t>Impressive, Deloitte</t>
  </si>
  <si>
    <t>WebFX, SmartSites, Elit-Web</t>
  </si>
  <si>
    <t>https://www.onlinemarketinggurus.com.au/social-media-advertising/</t>
  </si>
  <si>
    <t>Social Media Marketing Services Built By Social Specialists</t>
  </si>
  <si>
    <t>https://grizzle.io/blog/best-generative-engine-optimization-agencies-for-b2b</t>
  </si>
  <si>
    <t>6 best generative engine optimization (GEO) agencies for B2B to grow AI visibility in 2026</t>
  </si>
  <si>
    <t>Siege Media, Omniscient Digital, IBM, Measured, Brainlabs, Tinuiti</t>
  </si>
  <si>
    <t>Online Marketing Gurus, Omnicom Media Group, Measured, HERO</t>
  </si>
  <si>
    <t>https://www.gtm8020.com/blog/marketing-analytics-agencies-b2b</t>
  </si>
  <si>
    <t>The 7 Best Marketing Analytics Agencies for B2B in 2026 — GTM 8020</t>
  </si>
  <si>
    <t>Directive, Clutch, Omniscient Digital, NP Digital</t>
  </si>
  <si>
    <t>LiftLab, HERO</t>
  </si>
  <si>
    <t>https://rocketagency.com.au/services/seo-agency/generative-ai-seo</t>
  </si>
  <si>
    <t>Generative AI SEO | Maximise Your SEO Impact | Rocket Agency</t>
  </si>
  <si>
    <t>https://rocketagency.com.au/services/seo-agency/geo</t>
  </si>
  <si>
    <t>GEO Services in Australia | Boost AI Visibility &amp;amp; Traffic</t>
  </si>
  <si>
    <t>Rocket Agency, First Page, HERO</t>
  </si>
  <si>
    <t>https://neurons-lab.com/articles/top-ai-consulting-firms/</t>
  </si>
  <si>
    <t>https://www.bonfire.com.au/services/performance-media/google-ads/</t>
  </si>
  <si>
    <t>Top AI Consulting Firms in 2026 for FSIs</t>
  </si>
  <si>
    <t>Google Ads Agency Perth | Leading Google Premier Partner</t>
  </si>
  <si>
    <t>BCG, Momentum</t>
  </si>
  <si>
    <t>bonfire.com.au</t>
  </si>
  <si>
    <t>Bonfire</t>
  </si>
  <si>
    <t>https://outreachz.com/blog/best-ai-marketing-agencies-2026/</t>
  </si>
  <si>
    <t>https://clearwateragency.com.au/ai-seo-agency</t>
  </si>
  <si>
    <t>AI SEO Agency Australia | Expert AI Search Services</t>
  </si>
  <si>
    <t>Best AI Marketing Agencies (2026): 10 Top Picks for Brands That Want Smarter Growth</t>
  </si>
  <si>
    <t>NoGood, Single Grain, NinjaPromo, NP Digital, Keenfolks, Hawke Media, Huge</t>
  </si>
  <si>
    <t>https://pikaseo.com/articles/best-ai-seo-agencies</t>
  </si>
  <si>
    <t>https://www.resolutiondigital.com.au/services/measurement/analytics/</t>
  </si>
  <si>
    <t>App &amp;amp; Website Analytics | Resolution Digital Australia</t>
  </si>
  <si>
    <t>10 Best AI SEO Agencies (GEO &amp;amp; AEO) in 2026 | PikaSEO</t>
  </si>
  <si>
    <t>iPullRank, Single Grain, NoGood, Omniscient Digital, Directive, Siege Media, WebFX, Go Fish Digital, First Page Sage, Measured</t>
  </si>
  <si>
    <t>Resolution Digital, weDiscover, Omnicom Media Group</t>
  </si>
  <si>
    <t>https://piperocket.digital/list/best-geo-agencies/</t>
  </si>
  <si>
    <t>https://gorilla360.com.au/google-ads/sydney/</t>
  </si>
  <si>
    <t>12 Best GEO (Generative Engine Optimization) Agencies 2026</t>
  </si>
  <si>
    <t>Google Ads Agency Sydney [Google Premier Partner]</t>
  </si>
  <si>
    <t>Clutch, iPullRank, First Page Sage, Omniscient Digital, RevenueZen, Single Grain, Animalz, WebFX, NoGood, Siege Media, KlientBoost, Power Digital</t>
  </si>
  <si>
    <t>gorilla360.com.au</t>
  </si>
  <si>
    <t>Gorilla 360, Huge</t>
  </si>
  <si>
    <t>https://www.plerdy.com/blog/digital-marketing-agencies-in-the-united-states/</t>
  </si>
  <si>
    <t>https://impressive.com.au/social-media-marketing/</t>
  </si>
  <si>
    <t>Best Digital Marketing Agencies in the United States 2025 – Plerdy</t>
  </si>
  <si>
    <t>Social Media Marketing Agency | Award-Winning Social Media Agency</t>
  </si>
  <si>
    <t>SmartSites, Ignite Visibility, KlientBoost, Disruptive Advertising, WebFX, Intero Digital, Storm Brain, Thrive Internet Marketing Agency</t>
  </si>
  <si>
    <t>https://rocketagency.com.au/services/google-ads-agency</t>
  </si>
  <si>
    <t>https://www.reddit.com/r/u_Large_Let1715/comments/1tdt8px/best_marketing_analytics_firms_a_complete/</t>
  </si>
  <si>
    <t>Google Ads Agency: Award-Winning Services | Rocket Agency</t>
  </si>
  <si>
    <t>Best Marketing Analytics firms - a complete breakdown in the USA</t>
  </si>
  <si>
    <t>LatentView Analytics, Fractal Analytics</t>
  </si>
  <si>
    <t>https://www.23digital.com.au/performance-marketing-agency/</t>
  </si>
  <si>
    <t>Performance Marketing | Performance Marketing Agency | 23 Digital</t>
  </si>
  <si>
    <t>23 Digital, Measured</t>
  </si>
  <si>
    <t>https://respona.com/blog/answer-engine-optimization-agencies/#:~:text=NoGood%20is%20a%20growth%20marketing%20agency%20where,not%20as%20a%20bolt%2Don%20to%20traditional%20SEO.</t>
  </si>
  <si>
    <t>23 Best Answer Engine Optimization (AEO) Agencies in 2026</t>
  </si>
  <si>
    <t>https://www.infraworx.com.au/ai-strategy-consulting-sydney/</t>
  </si>
  <si>
    <t>NoGood, Marcel Digital, Clutch</t>
  </si>
  <si>
    <t>AI Consultants &amp; Automation Agency Sydney \| Infraworx</t>
  </si>
  <si>
    <t>infraworx.com.au</t>
  </si>
  <si>
    <t>Infraworx</t>
  </si>
  <si>
    <t>https://dnmdigital.com.au/data-and-analytics/</t>
  </si>
  <si>
    <t>Data &amp;amp; Analytics Agency | Marketing Analytics Services</t>
  </si>
  <si>
    <t>dnmdigital.com.au</t>
  </si>
  <si>
    <t>DNM Digital</t>
  </si>
  <si>
    <t>https://www.sortlist.com/s/international-marketing/united-states-us</t>
  </si>
  <si>
    <t>https://www.resolutiondigital.com.au/services/cro/google-marketing-platform/analytics-360/</t>
  </si>
  <si>
    <t>The 10 Best International Marketing Agencies in the United States - 2026 Reviews</t>
  </si>
  <si>
    <t>Google Analytics 360 Agency Services | Resolution Digital Australia</t>
  </si>
  <si>
    <t>https://www.resolutiondigital.com.au/services/measurement/propensity-modelling/</t>
  </si>
  <si>
    <t>Propensity Modelling Agency | Resolution Digital Australia</t>
  </si>
  <si>
    <t>https://www.resolutiondigital.com.au/technology/partners/google-marketing-platform/</t>
  </si>
  <si>
    <t>https://gorilla360.com.au/google-ads/</t>
  </si>
  <si>
    <t>https://agencyanalytics.com/blog/best-marketing-analytics-tools</t>
  </si>
  <si>
    <t>Google Ads Agency [Google Premier Partner]</t>
  </si>
  <si>
    <t>Best Marketing Analytics Tools for Agencies in 2026 - AgencyAnalytics</t>
  </si>
  <si>
    <t>Anomaly</t>
  </si>
  <si>
    <t>Gorilla 360</t>
  </si>
  <si>
    <t>https://www.charleagency.com/articles/top-social-media-marketing-agencies/</t>
  </si>
  <si>
    <t>Top 12 Social Media Agencies USA (2026) | Charle</t>
  </si>
  <si>
    <t>The Social Shepherd, Disruptive Advertising, Sociallyin, LYFE Marketing, NoGood, inBeat, Silverback Strategies, Clutch, Momentum</t>
  </si>
  <si>
    <t>https://www.resolutiondigital.com.au/services/cro/google-marketing-platform/google-marketing-platform-for-agencies/</t>
  </si>
  <si>
    <t>Google Marketing Platform for Agencies | Resolution Digital Australia</t>
  </si>
  <si>
    <t>https://www.digitxl.com.au/google-analytics-consulting/</t>
  </si>
  <si>
    <t>GA4 Consultants | Digitxl - Certified Google Analytics Agency</t>
  </si>
  <si>
    <t>digitxl.com.au</t>
  </si>
  <si>
    <t>Digitxl</t>
  </si>
  <si>
    <t>https://www.elephantintheboardroom.com.au/geo-agency</t>
  </si>
  <si>
    <t>GEO Agency Australia | Generative Engine Optimization Agency</t>
  </si>
  <si>
    <t>elephantintheboardroom.com.au</t>
  </si>
  <si>
    <t>Elephant In The Boardroom</t>
  </si>
  <si>
    <t>https://inmarketingwetrust.com.au/ai-agentic/ai-operations/</t>
  </si>
  <si>
    <t>AI Operations - In Marketing We Trust</t>
  </si>
  <si>
    <t>https://gaper.io/best-aeo-agencies</t>
  </si>
  <si>
    <t>Best AEO Agencies in 2026: Answer Engine Optimization Shortlist · Gaper</t>
  </si>
  <si>
    <t>Clutch, Directive, NoGood</t>
  </si>
  <si>
    <t>https://www.intesols.com.au/services/generative-engine-optimisation/</t>
  </si>
  <si>
    <t>Trusted Generative Engine Optimisation Company in Australia | Intesols</t>
  </si>
  <si>
    <t>intesols.com.au</t>
  </si>
  <si>
    <t>Intesols</t>
  </si>
  <si>
    <t>https://gemfind.com/blogs/digital-marketing/google-marketing-partner</t>
  </si>
  <si>
    <t>Top 3 Essential Google Marketing Partner Tips – GemFind Digital Solutions</t>
  </si>
  <si>
    <t>https://www.alphadigital.com.au/performance/</t>
  </si>
  <si>
    <t>Performance Marketing Agency Australia | Alpha Digital</t>
  </si>
  <si>
    <t>Monks, DEPT</t>
  </si>
  <si>
    <t>alphadigital.com.au</t>
  </si>
  <si>
    <t>Alpha Digital</t>
  </si>
  <si>
    <t>https://www.alphadigital.com.au/performance/display-programmatic/</t>
  </si>
  <si>
    <t>Programmatic Display Advertising Agency Australia | Alpha Digital</t>
  </si>
  <si>
    <t>https://improvado.io/blog/multi-touch-attribution-solutions</t>
  </si>
  <si>
    <t>https://www.bonfire.com.au/melbourne/programmatic-advertising/</t>
  </si>
  <si>
    <t>Programmatic Advertising Agency Melbourne | Display Ad Services</t>
  </si>
  <si>
    <t>12 Best Multi-Touch Attribution Solutions (2026)</t>
  </si>
  <si>
    <t>Rockerbox, Triple Whale, SegmentStream, Northbeam, HockeyStack, Ruler Analytics, Neustar</t>
  </si>
  <si>
    <t>Bonfire, Measured</t>
  </si>
  <si>
    <t>https://dnmdigital.com.au/seo-agency/ai-seo/#:~:text=Our%20LLM%20SEO%20services%20help,LLMs%20and%20AI%20search%20engines.</t>
  </si>
  <si>
    <t>https://minuttia.com/best-geo-agencies/</t>
  </si>
  <si>
    <t>AI SEO Agency Australia | AEO &amp;amp; GEO Services | DNM Digital</t>
  </si>
  <si>
    <t>10 Best Generative Engine Optimization (GEO) Agencies 2026</t>
  </si>
  <si>
    <t>Intero Digital, Clutch, Huge, Measured</t>
  </si>
  <si>
    <t>https://www.edgeonline.com.au/ai-seo-aio/#:~:text=Our%20live%20dashboards%20track%20your%20brand's%20presence,optimised%20for%20the%20latest%20AI%2Dpowered%20search%20results.</t>
  </si>
  <si>
    <t>AI SEO Agency Australia | Making your brand visible in AI Results</t>
  </si>
  <si>
    <t>https://www.munro.agency/top-geo-agencies/</t>
  </si>
  <si>
    <t>edgeonline.com.au</t>
  </si>
  <si>
    <t>Top 13 GEO Agencies</t>
  </si>
  <si>
    <t>Siege Media, First Page Sage, Omniscient Digital, Go Fish Digital</t>
  </si>
  <si>
    <t>Measured, Edge Marketing</t>
  </si>
  <si>
    <t>https://www.munro.agency/top-performance-marketing-agencies/</t>
  </si>
  <si>
    <t>Top 15 Performance Marketing Agencies for 2026</t>
  </si>
  <si>
    <t>WebFX, Directive, Intero Digital, Viral Nation, Amsive</t>
  </si>
  <si>
    <t>https://www.newform.com/guides/best-paid-social-performance-creative-agencies-2026</t>
  </si>
  <si>
    <t>https://www.safaridigital.com.au/seo-services/</t>
  </si>
  <si>
    <t>SEO Services Australia | AI-Ready SEO/AEO/GEO Strategies for 2026</t>
  </si>
  <si>
    <t>Best Paid Social Performance Creative Agencies in 2026 (Ranked) | NewForm</t>
  </si>
  <si>
    <t>Darkroom, inBeat, MuteSix, Superside, NoGood, Directive, Measured, Dentsu</t>
  </si>
  <si>
    <t>safaridigital.com.au</t>
  </si>
  <si>
    <t>Safari Digital</t>
  </si>
  <si>
    <t>https://sparro.com.au/digital-marketing/</t>
  </si>
  <si>
    <t>Marketing Agency | Sparro by Brainlabs: Independent Digital Marketing</t>
  </si>
  <si>
    <t>https://zibdigital.com.au/seo-agency#:~:text=They're%20engineered%20to%20be%20the%20reference.%20%2D,SEO%20clients%2C%20local%20trades%20to%20ASX%20brands.</t>
  </si>
  <si>
    <t>SEO Agency Australia · Zib Digital</t>
  </si>
  <si>
    <t>zibdigital.com.au</t>
  </si>
  <si>
    <t>https://rampiq.agency/blog/best-ai-search-b2b-marketing-agencies/</t>
  </si>
  <si>
    <t>HERO, Measured, Zib Digital, First Page</t>
  </si>
  <si>
    <t>7 Best AI Search Agencies For B2B Marketing</t>
  </si>
  <si>
    <t>WebFX, Omniscient Digital, First Page Sage, Directive, Siege Media, Single Grain</t>
  </si>
  <si>
    <t>https://www.absolutelyai.com.au/ai-video-services</t>
  </si>
  <si>
    <t>AI Video Services | Absolutely AI</t>
  </si>
  <si>
    <t>absolutelyai.com.au</t>
  </si>
  <si>
    <t>https://www.reddit.com/r/TheTopAgencies/comments/1me9pid/the_best_digital_marketing_agencies_in_the_united/</t>
  </si>
  <si>
    <t>Absolutely AI, HERO</t>
  </si>
  <si>
    <t>The Best Digital Marketing Agencies In The United States</t>
  </si>
  <si>
    <t>LYFE Marketing, Ignite Visibility, Thrive Internet Marketing Agency, Disruptive Advertising, Sociallyin, WebFX, Victorious, Tinuiti, Power Digital, Metric Theory, Brainlabs, Silverback Strategies, Single Grain, HawkSEM, SmartSites, Directive, KlientBoost, First Page Sage, Refine Labs, Kobe Digital, Ogilvy, VaynerMedia</t>
  </si>
  <si>
    <t>https://alleygroup.com.au/contact/melbourne/</t>
  </si>
  <si>
    <t>Digital Marketing Agency Melbourne | Alley Group</t>
  </si>
  <si>
    <t>https://www.reddit.com/r/b2bmarketing/comments/1rl47cr/the_10_best_visibility_companies_and_agencies_for/#:~:text=Conductor%20is%20the%20enterprise%20tool%20behind%20the,else%20is%20doing.%20Lemonshadehere.%20%E2%80%A2%204mo%20ago.</t>
  </si>
  <si>
    <t>The 10 Best Visibility Companies and Agencies for SEO and GEO?</t>
  </si>
  <si>
    <t>Alley Group, Earned Media</t>
  </si>
  <si>
    <t>Seer Interactive, Funnel Boost Media, Huge, Siege Media, Single Grain, First Page Sage, iPullRank, Clutch, Directive</t>
  </si>
  <si>
    <t>https://alleygroup.com.au/strategy/performance/</t>
  </si>
  <si>
    <t>Performance Marketing Agency - Alley Group</t>
  </si>
  <si>
    <t>https://benchmedia.com/paid-media/display-advertising/</t>
  </si>
  <si>
    <t>Display Advertising Sydney - Programmatic Banner Ads</t>
  </si>
  <si>
    <t>benchmedia.com</t>
  </si>
  <si>
    <t>https://www.sortlist.com/s/programmatic-advertising/united-states-us</t>
  </si>
  <si>
    <t>Bench Media</t>
  </si>
  <si>
    <t>The 10 Best Programmatic Advertising Companies in the United States - 2026 Reviews</t>
  </si>
  <si>
    <t>https://www.bluesensedigital.com.au/capabilities#:~:text=Owns%20growth%20strategy%20across%20the%20portfolio%3A%20the,the%20concepts%20and%20angles%20that%20drive%20profit.</t>
  </si>
  <si>
    <t>Capabilities | Blue Sense Digital</t>
  </si>
  <si>
    <t>bluesensedigital.com.au</t>
  </si>
  <si>
    <t>https://techradiant.co/agencies/generative-engine-optimization/</t>
  </si>
  <si>
    <t>Blue Sense Digital, Measured</t>
  </si>
  <si>
    <t>Best Generative Engine Optimization Companies 2026 | Top GEO Experts - Techradiant</t>
  </si>
  <si>
    <t>Intero Digital, RevenueZen, Directive</t>
  </si>
  <si>
    <t>https://www.bonfire.com.au/services/marketing-strategy/</t>
  </si>
  <si>
    <t>Digital Marketing Strategy Perth | Award-Winning Agency</t>
  </si>
  <si>
    <t>https://themanifest.com/programmatic/agencies</t>
  </si>
  <si>
    <t>The Best Programmatic Advertising Companies - Jul 2026 | The Manifest</t>
  </si>
  <si>
    <t>Bonfire, Impressive</t>
  </si>
  <si>
    <t>Clutch, SmartSites, Funnel Boost Media, LYFE Marketing, Major Tom, NinjaPromo, AdVenture Media, Power Digital, The SEO Works, Accelerated Digital Media</t>
  </si>
  <si>
    <t>https://www.bonfire.com.au/services/performance-media/</t>
  </si>
  <si>
    <t>Digital &amp;amp; Online Advertising Services Perth - Ads, Facebook &amp;amp; More</t>
  </si>
  <si>
    <t>https://zipdo.co/service/marketing-analytics/</t>
  </si>
  <si>
    <t>Best Marketing Analytics Services | 2026 Rankings</t>
  </si>
  <si>
    <t>Bonfire, Edge Marketing</t>
  </si>
  <si>
    <t>Merkle, Dentsu, Publicis Groupe, WPP, Measured, Clutch</t>
  </si>
  <si>
    <t>https://www.digitxl.com.au/analytics-agency/</t>
  </si>
  <si>
    <t>Analytics Agency: Digital Data &amp;amp; Marketing Analytics Experts</t>
  </si>
  <si>
    <t>https://www.20northmarketing.com/blog/top-ai-seo-experts</t>
  </si>
  <si>
    <t>The Top AI SEO Experts in the US | Best AI SEO Agencies | 20North</t>
  </si>
  <si>
    <t>iPullRank, Omniscient Digital, First Page Sage, Siege Media</t>
  </si>
  <si>
    <t>https://www.digitxl.com.au/conversion-rate-optimisation-brisbane/</t>
  </si>
  <si>
    <t>Conversion Rate Optimisation Brisbane for Growth - Digitxl</t>
  </si>
  <si>
    <t>https://aeo-collective.com/blog/top-10-aeo-geo-aio-marketing-agencies-in-april-2026/</t>
  </si>
  <si>
    <t>Top AEO Agencies for Boosting AI Search Visibility in 2026</t>
  </si>
  <si>
    <t>Digitxl, Momentum, HERO</t>
  </si>
  <si>
    <t>Discovered Labs, First Page Sage, Single Grain</t>
  </si>
  <si>
    <t>https://www.digitxl.com.au/google-marketing-consultant/</t>
  </si>
  <si>
    <t>https://agencies.semrush.com/list/analytics-data-science/united-states/</t>
  </si>
  <si>
    <t>Google Marketing Consultants | Get a Free Consultation</t>
  </si>
  <si>
    <t>Best Data Analytics Services in United States 2026 | Semrush</t>
  </si>
  <si>
    <t>Elit-Web, Silverback Strategies, WebFX</t>
  </si>
  <si>
    <t>https://www.digitxl.com.au/seo-melbourne/</t>
  </si>
  <si>
    <t>https://agencies.semrush.com/list/ppc/united-states/</t>
  </si>
  <si>
    <t>SEO Agency Melbourne | Smarter Strategies, Better SEO Services.</t>
  </si>
  <si>
    <t>Best PPC Agencies in United States 2026 | Semrush</t>
  </si>
  <si>
    <t>SmartSites, Elit-Web, Clutch</t>
  </si>
  <si>
    <t>Digitxl, First Page</t>
  </si>
  <si>
    <t>https://www.aikenhouse.com/post/best-ai-consulting-firms-that-go-beyond-strategy-decks</t>
  </si>
  <si>
    <t>https://dnmdigital.com.au/ppc-agency/display-ads/</t>
  </si>
  <si>
    <t>Google Display Ads Agency Sydney | Targeted Ad Solutions</t>
  </si>
  <si>
    <t>Best AI Consulting Firms That Go Beyond Strategy Decks | Aiken House Blog</t>
  </si>
  <si>
    <t>McKinsey, BCG, Superside, IBM</t>
  </si>
  <si>
    <t>https://www.barchart.com/story/news/1302801/11-best-ai-search-marketing-agencies-ranked-for-2026</t>
  </si>
  <si>
    <t>https://www.earnedmedia.com.au/services/ai-seo-agency</t>
  </si>
  <si>
    <t>AI SEO Agency — Generative Engine Optimisation (GEO) | Earned Media</t>
  </si>
  <si>
    <t>11 Best AI Search Marketing Agencies Ranked for 2026</t>
  </si>
  <si>
    <t>Momentum, Omniscient Digital, Siege Media, RevenueZen, Go Fish Digital, NoGood, First Page Sage, Intero Digital, WebFX, iPullRank</t>
  </si>
  <si>
    <t>earnedmedia.com.au</t>
  </si>
  <si>
    <t>Earned Media, Impressive</t>
  </si>
  <si>
    <t>https://gorilla360.com.au/cro-agency/</t>
  </si>
  <si>
    <t>Conversion Rate Optimisation Agency Australia</t>
  </si>
  <si>
    <t>https://gorilla360.com.au/google-analytics-agency/</t>
  </si>
  <si>
    <t>Google Analytics Agency Australia | Gorilla 360</t>
  </si>
  <si>
    <t>https://impressive.com.au/paid-media/</t>
  </si>
  <si>
    <t>Paid Media Agency for Targeted Growth | Impressive</t>
  </si>
  <si>
    <t>https://coolnerdsmarketing.com/best-ad-agencies-2025/</t>
  </si>
  <si>
    <t>Top 17 Best Ad Agencies in the U.S. (January 2026 List)</t>
  </si>
  <si>
    <t>Momentum, Wieden+Kennedy, Droga5, Anomaly, TBWA\Chiat\Day, BBDO, Accenture Song</t>
  </si>
  <si>
    <t>https://impressive.com.au/seo-gold-coast/</t>
  </si>
  <si>
    <t>SEO Agency on the Gold Coast | Performance-Driven SEO | Impressive</t>
  </si>
  <si>
    <t>https://www.designrush.com/agency/digital-marketing</t>
  </si>
  <si>
    <t>Top Digital Marketing Agencies in 2026</t>
  </si>
  <si>
    <t>Impressive, Deloitte, First Page</t>
  </si>
  <si>
    <t>SmartSites, Searchbloom, Silverback Strategies, Intero Digital, Funnel Boost Media, Huge, Disruptive Advertising, IBM, PwC, NinjaPromo, KlientBoost, Elit-Web, Momentum</t>
  </si>
  <si>
    <t>https://impressive.com.au/seo-services/#:~:text=%2B66%25%20Rola.%20%2B147%25%20Synergie%20Skin.%20%2B459%25%20T2.,related%20content%20together%20to%20push%20relevance%20site%2Dwide.</t>
  </si>
  <si>
    <t>SEO Agency Melbourne | Award-Winning SEO Services</t>
  </si>
  <si>
    <t>https://www.embarque.io/post/we-found-20-ai-seo-agencies-helping-businesses-rank-in-llm-results</t>
  </si>
  <si>
    <t>We Found 30 of the Best AI SEO Agencies for Ranking in AI Results in 2026 \| Embarque</t>
  </si>
  <si>
    <t>NoGood, Marcel Digital, WebFX, iPullRank, Siege Media, Single Grain, Graphite, First Page Sage, Omniscient Digital, Animalz, Measured, Clutch, Huge, IBM</t>
  </si>
  <si>
    <t>https://inmarketingwetrust.com.au/ai-agentic/ai-discovery/</t>
  </si>
  <si>
    <t>AI Discovery - In Marketing We Trust</t>
  </si>
  <si>
    <t>https://eseospace.com/blog/top-aeo-agencies-2026/</t>
  </si>
  <si>
    <t>Top AEO Agencies in 2026: The Best Answer Engine Optimization Experts - eSEOspace</t>
  </si>
  <si>
    <t>NoGood, Avenue Z, First Page Sage, Clutch</t>
  </si>
  <si>
    <t>https://inmarketingwetrust.com.au/contact/</t>
  </si>
  <si>
    <t>Contact - In Marketing We Trust</t>
  </si>
  <si>
    <t>https://www.forbes.com/lists/ai50/</t>
  </si>
  <si>
    <t>Forbes 2026 AI 50 List | Top Artificial Intelligence Companies</t>
  </si>
  <si>
    <t>https://www.intesols.com.au/services/ai-seo-agency/</t>
  </si>
  <si>
    <t>AI SEO Experts | ChatGPT &amp;amp; AI GEO Solutions | Intesols</t>
  </si>
  <si>
    <t>https://foundgrove.com/blog/top-generative-engine-optimization-agencies-2026</t>
  </si>
  <si>
    <t>Top 10 GEO Agencies Compared (2026) | Foundgrove</t>
  </si>
  <si>
    <t>WebFX, First Page Sage, iPullRank, Go Fish Digital, Directive, Omniscient Digital, Clutch, Siege Media, NoGood, Measured</t>
  </si>
  <si>
    <t>https://leadsnow.ai/ai-for-business/</t>
  </si>
  <si>
    <t>AI for Business in Australia | AI Marketing Agency, AI Sales Agent | LeadsNow</t>
  </si>
  <si>
    <t>https://www.growandconvert.com/seo/best-ai-seo-agencies/</t>
  </si>
  <si>
    <t>11 Best AI SEO Agencies in 2026 (&amp;amp; How to Evaluate Them) | Grow and Convert</t>
  </si>
  <si>
    <t>Siege Media, iPullRank, Omniscient Digital, Avenue Z, First Page Sage</t>
  </si>
  <si>
    <t>LeadsNow.ai, King Kong, Webprofits, Measured</t>
  </si>
  <si>
    <t>https://leadsnow.ai/ai-sales-agents-australia/</t>
  </si>
  <si>
    <t>AI Sales Agents in Australia: Pay-Per-Result Appointment Setting - Leads Now AI</t>
  </si>
  <si>
    <t>https://www.icreativez.com/categories/online-marketing/10-best-display-advertising-services-companies-consultants-2026.html#:~:text=View%2Dthrough%20conversions%20account%20for%2030%2D50%25%20of%20display,increased%20ROAS%20340%25%20using%20dynamic%20creative%20optimization.</t>
  </si>
  <si>
    <t>10 Best Display Advertising Services Companies &amp; Consultants 2026 | iCreativez</t>
  </si>
  <si>
    <t>Measured, Triple Whale, Northbeam, Rockerbox</t>
  </si>
  <si>
    <t>LeadsNow.ai, Measured</t>
  </si>
  <si>
    <t>https://lifesight.io/product/geo-based-incrementality-testing/</t>
  </si>
  <si>
    <t>Geo-Based Incrementality Testing - Lifesight</t>
  </si>
  <si>
    <t>https://www.lyfemarketing.com/blog/top-digital-marketing-agencies-us/</t>
  </si>
  <si>
    <t>Top 35 Digital Marketing Agencies In US 2025</t>
  </si>
  <si>
    <t>LYFE Marketing, Major Tom, Power Digital, KlientBoost, Deloitte Digital, VaynerMedia, Publicis Groupe, Refine Labs</t>
  </si>
  <si>
    <t>Lifesight</t>
  </si>
  <si>
    <t>https://marketerhire.com/blog/performance-marketing-agency</t>
  </si>
  <si>
    <t>10 Best Performance Marketing Agencies to Drive ROI in 2025</t>
  </si>
  <si>
    <t>Tinuiti, Directive, Kobe Digital, Disruptive Advertising, KlientBoost, MuteSix, HawkSEM</t>
  </si>
  <si>
    <t>https://metriclabs.com.au/performance-media-services/</t>
  </si>
  <si>
    <t>https://moosend.com/blog/best-aeo-agencies/</t>
  </si>
  <si>
    <t>Performance Media Services | Paid Search and SEO | Metric Labs</t>
  </si>
  <si>
    <t>11 Best Answer Engine Optimization (AEO) Agencies In 2026</t>
  </si>
  <si>
    <t>metriclabs.com.au</t>
  </si>
  <si>
    <t>First Page Sage, Siege Media, iPullRank, Avenue Z, Graphite, WebFX, RevenueZen, Clutch, Measured</t>
  </si>
  <si>
    <t>Metric Labs</t>
  </si>
  <si>
    <t>https://prosperitymedia.com.au/digital-pr-packages/</t>
  </si>
  <si>
    <t>https://www.position.digital/blog/top-geo-agencies/</t>
  </si>
  <si>
    <t>Award-Winning Digital PR Agency Australia - Prosperity Media</t>
  </si>
  <si>
    <t>Top 13 Generative Engine Optimization (GEO) Agencies in 2026</t>
  </si>
  <si>
    <t>Huge, Ignite Visibility, Avenue Z</t>
  </si>
  <si>
    <t>https://procloser.ai/blog/best-ai-search-optimization-agencies/</t>
  </si>
  <si>
    <t>https://www.reloadmedia.com.au/performance/advertising/</t>
  </si>
  <si>
    <t>Best AI Search Optimization Agencies in 2026 | ProCloser.ai</t>
  </si>
  <si>
    <t>Performance Marketing Agency Australia | Reload Media</t>
  </si>
  <si>
    <t>Clutch, NP Digital, Directive, Victorious, iPullRank, Siege Media, Single Grain, First Page Sage</t>
  </si>
  <si>
    <t>reloadmedia.com.au</t>
  </si>
  <si>
    <t>Reload Media, Measured, Impressive</t>
  </si>
  <si>
    <t>https://www.reddit.com/r/ecommerce/comments/1c4too8/best_tools_for_paid_marketing_attribution/</t>
  </si>
  <si>
    <t>https://www.resolutiondigital.com.au/services/cro/conversion-audit/</t>
  </si>
  <si>
    <t>Conversion Audit | CRO | Resolution Digital Australia</t>
  </si>
  <si>
    <t>Best tools for paid marketing attribution?</t>
  </si>
  <si>
    <t>Cometly, Huge, Ruler Analytics, Triple Whale, Northbeam, Rockerbox, HockeyStack, SegmentStream</t>
  </si>
  <si>
    <t>https://www.resolutiondigital.com.au/services/cro/google-marketing-platform/display-and-video-360/</t>
  </si>
  <si>
    <t>Google Display &amp;amp; Video 360 Agency Services | Resolution Digital Australia</t>
  </si>
  <si>
    <t>https://www.resolutiondigital.com.au/services/cro/google-marketing-platform/looker-studio/</t>
  </si>
  <si>
    <t>Google Looker Studio Agency Services | Resolution Digital Australia</t>
  </si>
  <si>
    <t>https://www.tripledart.com/ai-seo/best-generative-engine-optimization-agencies</t>
  </si>
  <si>
    <t>17 Best GEO Agencies in 2026</t>
  </si>
  <si>
    <t>https://www.resolutiondigital.com.au/technology/partners/google-marketing-platform/campaign-manager-360/</t>
  </si>
  <si>
    <t>Google Campaign Manager 360 Solutions \| Resolution Digital Australia</t>
  </si>
  <si>
    <t>iPullRank, First Page Sage, WebFX, Clutch, Ignite Visibility, NoGood, Avenue Z, Siege Media, Victorious, TransUnion</t>
  </si>
  <si>
    <t>Resolution Digital, Omnicom Media Group, TRKKN</t>
  </si>
  <si>
    <t>https://www.uforocks.com/blog/top-marketing-agencies-in-the-united-states/</t>
  </si>
  <si>
    <t>Top Marketing Agencies in the United States - UFO Digital Marketing Agency</t>
  </si>
  <si>
    <t>https://rocketagency.com.au/services/ppc-agency/programmatic</t>
  </si>
  <si>
    <t>Wpromote, Power Digital, Tinuiti, Siege Media, LYFE Marketing, WebFX, HawkSEM, Disruptive Advertising, KlientBoost, Victorious, Seer Interactive, Silverback Strategies</t>
  </si>
  <si>
    <t>Programmatic Advertising Agency | Rocket Agency</t>
  </si>
  <si>
    <t>https://www.uforocks.com/blog/top-ppc-agencies-in-the-united-states/</t>
  </si>
  <si>
    <t>Top PPC Agencies in the United States - UFO Digital Marketing Agency</t>
  </si>
  <si>
    <t>AdVenture Media, Directive, Disruptive Advertising, Ignite Visibility, KlientBoost, MuteSix, Dentsu, NP Digital, Seer Interactive, Silverback Strategies, SmartSites, Tinuiti, WebFX, Wpromote, HawkSEM</t>
  </si>
  <si>
    <t>https://rocketagency.com.au/services/seo-agency/aeo</t>
  </si>
  <si>
    <t>AI AEO Agency</t>
  </si>
  <si>
    <t>https://www.upliftgtm.com/blog/best-geo-agencies</t>
  </si>
  <si>
    <t>Best GEO Agencies 2026: Top 12 Generative Engine Optimization Firms</t>
  </si>
  <si>
    <t>Animalz, Omniscient Digital, Single Grain, Ignite Visibility, Victorious, NoGood, Siege Media</t>
  </si>
  <si>
    <t>https://saltandfuessel.com.au/ai-seo-agency-melbourne#:~:text=There's%20no%20shortcut%20to%20being%20the%20preferred,opportunity%20to%20be%20cited.%20Entity%2Dbased%20content%20strategy.</t>
  </si>
  <si>
    <t>AI SEO - Salt &amp;amp; Fuessel</t>
  </si>
  <si>
    <t>saltandfuessel.com.au</t>
  </si>
  <si>
    <t>Salt &amp; Fuessel</t>
  </si>
  <si>
    <t>https://www.smartosc.com/data-analytics-agency-australia-for-smarter-decision-making/#:~:text=Get%20to%20know%20us%20or,'single%20source%20of%20truth'.</t>
  </si>
  <si>
    <t>Data Analytics Agency Australia for Smarter Decision-Making - SmartOSC</t>
  </si>
  <si>
    <t>SmartOSC, Metric Labs</t>
  </si>
  <si>
    <t>https://studiohawk.com.au/seo-services/#:~:text=The%20SEO%20masters%20partnering%20with%20you.%20In,for%20us%3B%20we%20live%20and%20breathe%20search.</t>
  </si>
  <si>
    <t>SEO Agency Melbourne | Award-Winning SEO Company | StudioHawk</t>
  </si>
  <si>
    <t>StudioHawk, First Page, Measured</t>
  </si>
  <si>
    <t>https://websavvy.com.au/services/display-video/</t>
  </si>
  <si>
    <t>https://worldmetrics.org/service/media-mix-modeling/</t>
  </si>
  <si>
    <t>Display &amp;amp; Video Programmatic Campaigns That Convert | WebSavvy</t>
  </si>
  <si>
    <t>Best Media Mix Modeling Services | 2026 Rankings</t>
  </si>
  <si>
    <t>Kantar, Nielsen, Croud, Publicis Groupe, WPP, Measured, Momentum, Clutch</t>
  </si>
  <si>
    <t>websavvy.com.au</t>
  </si>
  <si>
    <t>WebSavvy</t>
  </si>
  <si>
    <t>https://www.20northmarketing.com/blog/top-ai-optimization-agencies#:~:text=Based%20in%20San%20Francisco%2C%20First,choose%20which%20sources%20to%20cite.</t>
  </si>
  <si>
    <t>Top AI Optimization Agencies | 20North Marketing | 20North</t>
  </si>
  <si>
    <t>iPullRank, Siege Media, Avenue Z, Intero Digital, First Page Sage</t>
  </si>
  <si>
    <t>https://xpon.ai/au/resources/google-analytics-360-pricing/</t>
  </si>
  <si>
    <t>Google Analytics 360 Pricing | XPON Technologies | XPON Australia</t>
  </si>
  <si>
    <t>https://www.50pros.com/hire/advertising</t>
  </si>
  <si>
    <t>Top Advertising Agencies to Hire in June 2026</t>
  </si>
  <si>
    <t>AdVenture Media</t>
  </si>
  <si>
    <t>https://xpon.ai/google-cloud/</t>
  </si>
  <si>
    <t>Google Cloud for Marketing | XPON</t>
  </si>
  <si>
    <t>https://agencyreview.dev/insights/top-social-media-marketing-agencies</t>
  </si>
  <si>
    <t>Top Social Media Marketing Agencies by Specialty [2026] | AgencyReview</t>
  </si>
  <si>
    <t>Viral Nation, LYFE Marketing, Ignite Visibility, Disruptive Advertising, Tinuiti, Silverback Strategies, Power Digital, Directive, SmartSites</t>
  </si>
  <si>
    <t>https://xpon.ai/resources/google-marketing-platform-partner/</t>
  </si>
  <si>
    <t>The Benefits of Certified Google Marketing Platform Partners | XPON</t>
  </si>
  <si>
    <t>https://www.agencyspotter.com/top/social-media-marketing-agencies</t>
  </si>
  <si>
    <t>Top 25 Social Media Marketing Agencies Report | Agency Spotter</t>
  </si>
  <si>
    <t>Sociallyin</t>
  </si>
  <si>
    <t>https://www.polarisagency.com/marketing-insights/best-aeo-agencies-uk/</t>
  </si>
  <si>
    <t>The Top 8 AEO Agencies for Businesses in the UK</t>
  </si>
  <si>
    <t>https://alexbirkett.com/answer-engine-optimization-agencies/</t>
  </si>
  <si>
    <t>The 7 Best Answer Engine Optimization (AEO) Agencies - Alex Birkett</t>
  </si>
  <si>
    <t>Omniscient Digital, iPullRank, NoGood, Huge</t>
  </si>
  <si>
    <t>Polaris, Push, Push Group, The SEO Works, Digital Landscope, Builtvisible, ClickSlice, Measured</t>
  </si>
  <si>
    <t>https://awisee.com/blog/ai-marketing-agencies-us/</t>
  </si>
  <si>
    <t>Top 4 AI Marketing Agencies US (2026 Rankings &amp;amp; Expert Guide)&amp;nbsp;</t>
  </si>
  <si>
    <t>https://www.dentsu.com/uk/en/marketing-effectiveness</t>
  </si>
  <si>
    <t>dentsu</t>
  </si>
  <si>
    <t>Dentsu, Measured</t>
  </si>
  <si>
    <t>https://brentonway.com/blog/top-performance-marketing-agencies</t>
  </si>
  <si>
    <t>Top 25 Performance Marketing Agencies in 2026 | Brenton Way</t>
  </si>
  <si>
    <t>Right Side Up, NoGood, inBeat, Disruptive Advertising, Directive, Power Digital, Thrive Internet Marketing Agency</t>
  </si>
  <si>
    <t>https://disruptmarketing.co/paid-social/</t>
  </si>
  <si>
    <t>Paid Social Agency London, UK | Paid Social Ad Services | Disrupt</t>
  </si>
  <si>
    <t>Disrupt Marketing, Found</t>
  </si>
  <si>
    <t>https://clicksgeek.com/best-paid-advertising-platforms-for-businesses/</t>
  </si>
  <si>
    <t>Best Paid Advertising Platforms For Businesses 2026</t>
  </si>
  <si>
    <t>https://whitehat-seo.co.uk/ai-consultancy-and-implementation#:~:text=This%20gap%20is%20where%20specialist,revenue%2C%20not%20just%20productivity%20metrics.</t>
  </si>
  <si>
    <t>AI Consultancy &amp;amp; Implementation Services UK | Whitehat</t>
  </si>
  <si>
    <t>Whitehat, Found, PwC, Measured</t>
  </si>
  <si>
    <t>https://www.havasmarket.co.uk/data-science-analytics/</t>
  </si>
  <si>
    <t>Data Science &amp;amp; Analytics Agency | Havas Market UK</t>
  </si>
  <si>
    <t>havasmarket.co.uk</t>
  </si>
  <si>
    <t>Havas Market UK</t>
  </si>
  <si>
    <t>https://www.dentsu.com/uk/en/marketing-effectiveness/our-capabilities</t>
  </si>
  <si>
    <t>Dentsu, Found</t>
  </si>
  <si>
    <t>https://www.ey.com/en_uk/services/consulting/ai-adoption</t>
  </si>
  <si>
    <t>AI Adoption | EY - UK</t>
  </si>
  <si>
    <t>ey.com</t>
  </si>
  <si>
    <t>EY, Found, Momentum</t>
  </si>
  <si>
    <t>https://www.impressiondigital.com/media-solutions/measurement/</t>
  </si>
  <si>
    <t>Marketing Mix Modelling Company | Ad Effectiveness Consultancy</t>
  </si>
  <si>
    <t>https://clutch.co/us/consulting/ai/maturation</t>
  </si>
  <si>
    <t>https://www.impressiondigital.com/about/google-partner-agency/</t>
  </si>
  <si>
    <t>Google Premier Partner Agency | Google Partner | Impression</t>
  </si>
  <si>
    <t>https://passion.digital/services/ai-search/#:~:text=Make%20sure%20when%20your%20customers%20ask%20a,%E2%9C%93%20Always%2Don%20alignment%3A%20%2D%20%E2%9C%93%20Proven%20performance%3A</t>
  </si>
  <si>
    <t>GEO Agency London | AI SEO Agency | Passion Digital</t>
  </si>
  <si>
    <t>https://www.deptagency.com/en-dk/partner/google-marketing-platform/</t>
  </si>
  <si>
    <t>GMP Agency Partner | Reseller | Google Premier Partner - DEPT®</t>
  </si>
  <si>
    <t>Dept, Push</t>
  </si>
  <si>
    <t>https://www.ey.com/en_uk/services/consulting/artificial-intelligence-consulting-services</t>
  </si>
  <si>
    <t>Artificial Intelligence Consulting Services | EY - UK</t>
  </si>
  <si>
    <t>EY, Found</t>
  </si>
  <si>
    <t>https://staging.polarisagency.com/marketing-insights/best-geo-services-uk/</t>
  </si>
  <si>
    <t>The 10 Best GEO Agencies in the UK | Agency Reviews</t>
  </si>
  <si>
    <t>Polaris, Passion Digital, Found, Blue Array, Siege Media, Charle Agency, The SEO Works, Directive Consulting</t>
  </si>
  <si>
    <t>https://www.deptagency.com/partner/google-marketing-platform/</t>
  </si>
  <si>
    <t>GMP Agency Partner - Google Premier Partner - DEPT®</t>
  </si>
  <si>
    <t>https://www.gartner.com/reviews/market/marketing-mix-modeling-solutions</t>
  </si>
  <si>
    <t>Best Marketing Mix Modeling Solutions Reviews 2026 \| Gartner Peer Insights</t>
  </si>
  <si>
    <t>Nielsen, Measured, Analytic Partners, Circana, Dentsu, Gain Theory, Haus, LifeSight, Kantar</t>
  </si>
  <si>
    <t>https://ebiquity.com/solutions/grow/testmatch/</t>
  </si>
  <si>
    <t>TestMatch - Ebiquity</t>
  </si>
  <si>
    <t>ebiquity.com</t>
  </si>
  <si>
    <t>https://www.growth-hackers.net/best-paid-media-agencies/</t>
  </si>
  <si>
    <t>Top 23 Paid Media Agencies in 2026 | Hire the Best Paid Media Agency | Growth Hackers</t>
  </si>
  <si>
    <t>inBeat, Intero Digital, Disruptive Advertising, IDHL, Marcel Digital, IBM</t>
  </si>
  <si>
    <t>Ebiquity</t>
  </si>
  <si>
    <t>https://www.keywordsearch.com/blog/top-ai-marketing-agency-trends-to-watch-in-2025</t>
  </si>
  <si>
    <t>https://www.impressiondigital.com/generative-engine-optimisation-agency/</t>
  </si>
  <si>
    <t>Exploring the Best AI Marketing Agencies in 2025</t>
  </si>
  <si>
    <t>Generative Engine Optimisation (GEO) Agency | Impression</t>
  </si>
  <si>
    <t>https://marketingltb.com/blog/agency/best-global-digital-marketing-agencies/</t>
  </si>
  <si>
    <t>10 Best Global Digital Marketing Agencies in 2026 - Marketing LTB</t>
  </si>
  <si>
    <t>Ogilvy, GroupM, Dentsu, Publicis Sapient, VML, iProspect, R/GA, IBM, WPP, Merkle, Publicis Groupe, Measured, Momentum</t>
  </si>
  <si>
    <t>https://www.masterrvdesigners.com/blog/best-creative-agencies-2026/#:~:text=Why%20Selecting%20the%20Right%20Creative%20Agency%20is,MasterRV%20Designers%3F%20Final%20Thoughts%3B%20FAQs.%20Contact%20Us</t>
  </si>
  <si>
    <t>12 Best Creative Agencies of 2026 for Brands</t>
  </si>
  <si>
    <t>Wieden+Kennedy, Ogilvy, Pentagram, BBDO, R/GA, Publicis Sapient</t>
  </si>
  <si>
    <t>https://www.tilio.co.uk/ai-search-agency</t>
  </si>
  <si>
    <t>UK AI Search Agency | AI Search Optimisation Services | Tilio</t>
  </si>
  <si>
    <t>https://www.mobileappdaily.com/directory/digital-marketing-companies/us/</t>
  </si>
  <si>
    <t>Tilio, Found, Measured</t>
  </si>
  <si>
    <t>50+ Best Digital Marketing Companies in the USA - 2026 Reviews | MobileAppDaily</t>
  </si>
  <si>
    <t>Disruptive Advertising, WebFX, PwC, Ignite Visibility, SmartSites, Intero Digital, Thrive Internet Marketing Agency, NP Digital, Searchbloom, Measured</t>
  </si>
  <si>
    <t>https://www.artefact.com/blog/unleash-the-power-of-first-party-data-with-a-customer-data-platform/</t>
  </si>
  <si>
    <t>Unleash the power of first-party data with a Customer Data Platform - Artefact</t>
  </si>
  <si>
    <t>https://piperocket.digital/list/top-performance-marketing-agencies/</t>
  </si>
  <si>
    <t>Artefact, Merkle, Push, Measured, Found</t>
  </si>
  <si>
    <t>9 Best Performance Marketing Agencies (2026 Review)</t>
  </si>
  <si>
    <t>Clutch, Directive, Tinuiti, Disruptive Advertising, Ignite Visibility, NoGood, The Social Shepherd, Power Digital, Dentsu</t>
  </si>
  <si>
    <t>https://bark.london/services/data-science/attribution-modelling/</t>
  </si>
  <si>
    <t>Attribution Modelling Agency — BARK</t>
  </si>
  <si>
    <t>https://www.reddit.com/r/SearchTides/comments/1uu5d0d/10_best_geo_agencies_for_brands_that_want_to_win/</t>
  </si>
  <si>
    <t>10 Best GEO Agencies for Brands That Want to Win AI Search, Featuring SearchTides</t>
  </si>
  <si>
    <t>Seer Interactive, Funnel Boost Media</t>
  </si>
  <si>
    <t>https://bark.london/services/paid-media/paid-social/</t>
  </si>
  <si>
    <t>Paid Social Agency London — BARK</t>
  </si>
  <si>
    <t>https://retailhub.co/best-of/best-geo-marketing-agency/</t>
  </si>
  <si>
    <t>Bark London, Impression</t>
  </si>
  <si>
    <t>5 Best GEO Marketing Agencies in 2026 (Ranked by AI Search Results) - Retail Hub</t>
  </si>
  <si>
    <t>Clutch, First Page Sage, Siege Media</t>
  </si>
  <si>
    <t>https://bind.media/services/paid-media</t>
  </si>
  <si>
    <t>Paid Media Agency | Bind Media</t>
  </si>
  <si>
    <t>https://www.buriedagency.com/services/geo</t>
  </si>
  <si>
    <t>GEO Agency: Generative Engine Optimisation Services | BURIED</t>
  </si>
  <si>
    <t>Buried Agency, Measured, Huge, Impression</t>
  </si>
  <si>
    <t>https://www.clickslice.co.uk/generative-engine-optimisation-geo-services/</t>
  </si>
  <si>
    <t>Generative Engine Optimisation (GEO) – Dominate AI Search</t>
  </si>
  <si>
    <t>https://www.sortlist.com/digital-marketing/united-states-us</t>
  </si>
  <si>
    <t>The 10 Best Digital Marketing Agencies in USA - 2026 Reviews</t>
  </si>
  <si>
    <t>https://www.clickslice.co.uk/local-seo-services-london/</t>
  </si>
  <si>
    <t>Local SEO Services London | UK Company | ClickSlice - ClickSlice</t>
  </si>
  <si>
    <t>https://www.thedrum.com/news/world-creative-rankings-2023-the-top-holding-companies-and-networks-revealed</t>
  </si>
  <si>
    <t>World Creative Rankings 2023: the top holding companies and networks revealed | The Drum</t>
  </si>
  <si>
    <t>ClickSlice, Huge</t>
  </si>
  <si>
    <t>VML, WPP, Ogilvy, Publicis Groupe, Dentsu, BBDO, Droga5</t>
  </si>
  <si>
    <t>https://croud.com/en-gb/services/audience-suite/analytics/attributiongeni/</t>
  </si>
  <si>
    <t>AttributionGeni | Croud UK</t>
  </si>
  <si>
    <t>https://thefrankagency.com/best-paid-social-media-agencies/</t>
  </si>
  <si>
    <t>Top 13 Paid Social Media Agencies in 2026</t>
  </si>
  <si>
    <t>Power Digital, Thrive Internet Marketing Agency, Momentum, WebFX, Sociallyin</t>
  </si>
  <si>
    <t>Croud, Impression, Measured</t>
  </si>
  <si>
    <t>https://firstmotion.com/generative-engine-optimisation-agency</t>
  </si>
  <si>
    <t>GEO &amp;amp; AI Search Agency for B2B SaaS | FirstMotion</t>
  </si>
  <si>
    <t>https://themanifest.com/us/creative/agencies</t>
  </si>
  <si>
    <t>The Best Creative Companies in United States - Jul 2026 | The Manifest</t>
  </si>
  <si>
    <t>Clutch, IBM, Clay, PwC</t>
  </si>
  <si>
    <t>FirstMotion</t>
  </si>
  <si>
    <t>https://hallam.agency/analytics/</t>
  </si>
  <si>
    <t>https://themanifest.com/us/social-media/agencies</t>
  </si>
  <si>
    <t>Web Analytics Agency | B2B Marketing Analytics | Hallam</t>
  </si>
  <si>
    <t>The Best Social Media Marketing Companies in United States - Jul 2026 | The Manifest</t>
  </si>
  <si>
    <t>Clutch, LYFE Marketing, Sociallyin, Power Digital, Viral Nation, SmartSites, AdVenture Media, NinjaPromo</t>
  </si>
  <si>
    <t>Hallam, Momentum, Measured</t>
  </si>
  <si>
    <t>https://www.tofuhq.com/post/best-ai-agents-for-marketing</t>
  </si>
  <si>
    <t>https://hallam.agency/media-planning/</t>
  </si>
  <si>
    <t>The 7 Best AI Agents for Marketing in 2026</t>
  </si>
  <si>
    <t>Media Planning Agency | Media Planning for B2B | Hallam</t>
  </si>
  <si>
    <t>https://typecast.ai/learn/the-best-ai-marketing-agency/</t>
  </si>
  <si>
    <t>The Best AI Advertising Companies and Marketing Agencies | Typecast</t>
  </si>
  <si>
    <t>https://www.havasmarket.co.uk/paid-search/</t>
  </si>
  <si>
    <t>PPC &amp;amp; Paid Search Agency | Havas Market</t>
  </si>
  <si>
    <t>NoGood, Single Grain, Keenfolks, Ignite Visibility, WPP</t>
  </si>
  <si>
    <t>https://usermaven.com/blog/marketing-analytics-companies</t>
  </si>
  <si>
    <t>Top 10 marketing analytics companies in 2026</t>
  </si>
  <si>
    <t>Ruler Analytics, HockeyStack, Cometly, Triple Whale, Rockerbox, Northbeam</t>
  </si>
  <si>
    <t>https://www.youtube.com/watch?v=uAp_SqhuvFg</t>
  </si>
  <si>
    <t>Top GEO Experts to Follow in 2026</t>
  </si>
  <si>
    <t>https://www.polarisagency.com/marketing-insights/best-demand-gen-agencies-b2b-uk/</t>
  </si>
  <si>
    <t>The Top 8 Demand Generation Agencies for Businesses in the UK</t>
  </si>
  <si>
    <t>https://www.youtube.com/watch?v=wDQs41e1F_Y&amp;t=144</t>
  </si>
  <si>
    <t>Polaris, Gripped, Transmission, Impression, Measured, Directive Consulting, The SEO Works, Found, Push</t>
  </si>
  <si>
    <t>GEO + SEO = Your Agency's Best Option</t>
  </si>
  <si>
    <t>https://ppcgeeks.co.uk/ecommerce-ppc/</t>
  </si>
  <si>
    <t>eCommerce PPC: The Best in The Business - PPC Geeks</t>
  </si>
  <si>
    <t>https://www.50pros.com/hire/artificial-intelligence/ai-powered-search</t>
  </si>
  <si>
    <t>Top AI-Powered Search Companies</t>
  </si>
  <si>
    <t>PPC Geeks, Momentum</t>
  </si>
  <si>
    <t>https://www.pushgroup.co.uk/google-ads-adwords-google-ppc-management-agency-london</t>
  </si>
  <si>
    <t>Google Ads and PPC Management Agency in London | PUSH</t>
  </si>
  <si>
    <t>https://agencyvista.com/lists/top-25-performance-marketing-agencies/</t>
  </si>
  <si>
    <t>Top 25 Performance Marketing Agencies . May 2025 Reviews. | Agency Vista</t>
  </si>
  <si>
    <t>Push, Push Group</t>
  </si>
  <si>
    <t>https://queryclick.com/analytics-insights-attribution/</t>
  </si>
  <si>
    <t>https://www.ai-heroes.co/en-us/blog/best-ai-search-agencies-2026</t>
  </si>
  <si>
    <t>Analytics Insights &amp;amp; Attribution - QueryClick</t>
  </si>
  <si>
    <t>Best AI Search Agencies 2026 (GEO and AEO) Compared | AI Heroes</t>
  </si>
  <si>
    <t>queryclick.com</t>
  </si>
  <si>
    <t>Avenue Z, NoGood, Single Grain, Measured</t>
  </si>
  <si>
    <t>QueryClick</t>
  </si>
  <si>
    <t>https://www.arcintermedia.com/knowledge-base/seo-and-organic-reach/what-are-the-top-answer-engine-optimization-aeo-agencies/</t>
  </si>
  <si>
    <t>TOP Answer Engine Optimization (AEO) Agencies</t>
  </si>
  <si>
    <t>First Page Sage, NoGood, Intero Digital</t>
  </si>
  <si>
    <t>https://www.b2bmarketing.net/top-10-us-b2b-marketing-agencies/</t>
  </si>
  <si>
    <t>https://c2cmedia.ae/services/performance-marketing/</t>
  </si>
  <si>
    <t>Revealed: We Break Down The Top 10 B2B Marketing Agencies In The US - B2B Marketing</t>
  </si>
  <si>
    <t>https://www.barchart.com/story/news/2450048/best-ai-search-agencies-in-2026-which-company-to-choose-for-building-brand-visibility-in-ai</t>
  </si>
  <si>
    <t>Best AI Search Agencies in 2026: Which Company to Choose for Building Brand Visibility in AI?</t>
  </si>
  <si>
    <t>100% Reliable Performance Marketing Agency Dubai | Digital Marketing</t>
  </si>
  <si>
    <t>C2C Media, intouch, Huge</t>
  </si>
  <si>
    <t>https://www.bignewsnetwork.com/news/278956073/the-best-aeo-agencies-in-the-usa-for-2026</t>
  </si>
  <si>
    <t>The Best AEO Agencies in the USA for 2026</t>
  </si>
  <si>
    <t>https://www.apptunix.ae/digital-marketing-agency-dubai-uae/</t>
  </si>
  <si>
    <t>Discovered Labs, WebFX, Measured, First Page Sage, Single Grain, Omniscient Digital, RevenueZen, Siege Media, NoGood, KlientBoost</t>
  </si>
  <si>
    <t>ROI-Driven Digital Marketing Agency in Dubai, UAE</t>
  </si>
  <si>
    <t>https://carvertise.com/top-advertising-agency/</t>
  </si>
  <si>
    <t>Top Advertising Agencies In The US: A Top 10 List</t>
  </si>
  <si>
    <t>apptunix.ae</t>
  </si>
  <si>
    <t>Wieden+Kennedy, Ogilvy, IBM, BBDO, Droga5, TBWA\Chiat\Day, VML</t>
  </si>
  <si>
    <t>Measured, intouch, Push</t>
  </si>
  <si>
    <t>https://hashtag-me.com/services/social-media-agency-paid-social/</t>
  </si>
  <si>
    <t>https://clutch.co/us/consulting/ai/strategy%3Fpage%3D3</t>
  </si>
  <si>
    <t>Top AI Strategy Companies in the United States - Jul 2026 Rankings | Clutch.co</t>
  </si>
  <si>
    <t>Best Paid Social Agency UAE | Social Media Advertising Agency Dubai</t>
  </si>
  <si>
    <t>hashtag-me.com</t>
  </si>
  <si>
    <t>intouch</t>
  </si>
  <si>
    <t>https://kineticcs.com/ai-consulting-services-in-dubai-kinetic-consultancy/</t>
  </si>
  <si>
    <t>https://www.commercepundit.com/blog/best-ai-seo-agencies/</t>
  </si>
  <si>
    <t>10 Best AI SEO Agencies in 2026 | Commerce Pundit</t>
  </si>
  <si>
    <t>Measured, Thrive Internet Marketing Agency, First Page Sage, Directive, Siege Media, Victorious, WebFX, Intero Digital</t>
  </si>
  <si>
    <t>AI Consulting Services in Dubai – Kinetic Consultancy</t>
  </si>
  <si>
    <t>kineticcs.com</t>
  </si>
  <si>
    <t>https://delogostudio.com/blog/top-10-social-media-marketing-agencies-usa-2026/</t>
  </si>
  <si>
    <t>Top 10 Social Media Marketing Agencies USA 2026</t>
  </si>
  <si>
    <t>Disruptive Advertising, Ignite Visibility, SmartSites, Thrive Internet Marketing Agency, WebFX, Power Digital, Measured</t>
  </si>
  <si>
    <t>https://www.designrush.com/agency/paid-media-pay-per-click/google-adwords</t>
  </si>
  <si>
    <t>Top Google Ads Agencies in 2026</t>
  </si>
  <si>
    <t>https://www.mcsaatchiperformance.com/dubai/</t>
  </si>
  <si>
    <t>SmartSites, Searchbloom, Disruptive Advertising, Silverback Strategies, Funnel Boost Media, Huge, Intero Digital, KlientBoost, Elit-Web, Major Tom, IBM, Momentum</t>
  </si>
  <si>
    <t>https://digitalagencynetwork.com/agencies/usa/online-advertising/</t>
  </si>
  <si>
    <t>Performance Marketing Agency Dubai | M+C Saatchi Performance</t>
  </si>
  <si>
    <t>Best Online Advertising Agencies in USA</t>
  </si>
  <si>
    <t>Major Tom, Ignite Visibility, Brighter Click, Amsive, Measured, NoGood, SmartSites, PwC, Forthea, Intero Digital</t>
  </si>
  <si>
    <t>https://www.digitalreference.co/design-professionals/best-creative-agencies-in-the-usa</t>
  </si>
  <si>
    <t>Best Creative Agencies in the USA</t>
  </si>
  <si>
    <t>M&amp;C Saatchi Performance, Push</t>
  </si>
  <si>
    <t>https://digitalmediasapiens.com/best-aeo-agency-dubai/</t>
  </si>
  <si>
    <t>https://www.digitalreference.co/insights/marketing-professionals/best-digital-marketing-agencies-companies-in-the-usa</t>
  </si>
  <si>
    <t>Best Digital Marketing Agencies &amp;amp; Digital Marketing Firms in the USA</t>
  </si>
  <si>
    <t>Best AEO Agency Dubai | AI Search Optimization Experts</t>
  </si>
  <si>
    <t>digitalmediasapiens.com</t>
  </si>
  <si>
    <t>Digital Media Sapiens</t>
  </si>
  <si>
    <t>https://www.gcc-marketing.com/en/ai-consulting-dubai/</t>
  </si>
  <si>
    <t>AI Consulting Services in Dubai | GCC Marketing</t>
  </si>
  <si>
    <t>https://www.goodfirms.co/artificial-intelligence/ai-consulting</t>
  </si>
  <si>
    <t>gcc-marketing.com</t>
  </si>
  <si>
    <t>Top 10+ AI Consulting Companies - 2026 Reviews | Goodfirms</t>
  </si>
  <si>
    <t>https://www.growth-hackers.net/best-paid-social-media-agencies/</t>
  </si>
  <si>
    <t>GCC Marketing</t>
  </si>
  <si>
    <t>Top 18 Paid Social Media Agencies in 2026 | Select the Best Paid Social Media Advertising Agency | Growth Hackers</t>
  </si>
  <si>
    <t>Jellyfish, Marcel Digital, Tinuiti, iProspect</t>
  </si>
  <si>
    <t>https://www.prism-me.com/paid-media-agency</t>
  </si>
  <si>
    <t>https://www.growthmarketingpro.com/best-geo-marketing-agencies/</t>
  </si>
  <si>
    <t>13 Best GEO marketing agencies | GMP</t>
  </si>
  <si>
    <t>First Page Sage, Intero Digital, Victorious, Avenue Z, Siege Media, iPullRank, NoGood</t>
  </si>
  <si>
    <t>Best Paid Media Agency in UAE | Prism Digital</t>
  </si>
  <si>
    <t>prism-me.com</t>
  </si>
  <si>
    <t>intouch, Prism Digital</t>
  </si>
  <si>
    <t>https://www.inbeat.co/articles/top-performance-marketing-agencies/</t>
  </si>
  <si>
    <t>Top 30 Performance Marketing Agencies for 2026 and Beyond</t>
  </si>
  <si>
    <t>inBeat, Web Tonic, Momentum, Tinuiti, Bark London, Single Grain</t>
  </si>
  <si>
    <t>https://indatalabs.com/blog/marketing-analytics-companies</t>
  </si>
  <si>
    <t>Best Marketing Analytics Companies | InData Labs Blog</t>
  </si>
  <si>
    <t>Nielsen, Clutch, Fractal Analytics, IBM, Huge</t>
  </si>
  <si>
    <t>https://jake-jorgovan.com/blog/top-ai-marketing-agencies</t>
  </si>
  <si>
    <t>Top 32 AI Marketing Agencies in 2025 — Jake Jorgovan</t>
  </si>
  <si>
    <t>inBeat, IBM, Single Grain, Keenfolks</t>
  </si>
  <si>
    <t>https://www.linkedin.com/pulse/top-5-geo-agencies-usa-2026-yash-kumar-m4v6c</t>
  </si>
  <si>
    <t>Top 5 GEO Agencies in the USA (2026)</t>
  </si>
  <si>
    <t>iPullRank, Siege Media, First Page Sage</t>
  </si>
  <si>
    <t>https://www.modernmarketingpartners.com/2026/03/19/14-best-answer-engine-optimization-agencies-aeo-insights-company-rankings-for-2026/</t>
  </si>
  <si>
    <t>15 Best Answer Engine Optimization Agencies: AEO Insights Company Rankings for 2026</t>
  </si>
  <si>
    <t>First Page Sage, Clutch, iPullRank, Siege Media, Single Grain, Omniscient Digital, Avenue Z, NoGood</t>
  </si>
  <si>
    <t>https://www.modernmarketingpartners.com/2026/03/19/15-best-answer-engine-optimization-agencies-aeo-insights-company-rankings-for-2026/</t>
  </si>
  <si>
    <t>https://nuoptima.com/ai-search-answer-engine-optimization-companies-usa</t>
  </si>
  <si>
    <t>Top Answer Engine Optimization Companies in the USA</t>
  </si>
  <si>
    <t>Siege Media, RevenueZen, Avenue Z, Omniscient Digital, iPullRank, WebFX, First Page Sage</t>
  </si>
  <si>
    <t>https://www.o8.agency/blog/ai/best-ai-marketing-agencies-2026-honest-comparison#:~:text=Keenfolks%20describes%20itself%20as%20%22the%20first%20AI%2Dnative,The%20Drum's%20Transformation%20Agency%20of%20the%20Year.</t>
  </si>
  <si>
    <t>Best AI Marketing Agencies in 2026: An Honest Comparison | O8</t>
  </si>
  <si>
    <t>Keenfolks, NinjaPromo, Measured</t>
  </si>
  <si>
    <t>https://www.onely.com/blog/best-digital-marketing-agencies/#:~:text=Key%20Features%20*%20Proprietary%20nova%20analytics%20platform,and%20eCommerce%20vertical%20specialization%20with%20ROAS%2Dbased%20accountability.</t>
  </si>
  <si>
    <t>Top 16 Digital Marketing Agencies in 2026: Evaluated by AI Search Readiness, Technical Depth, and Measurable Visibility Impact - Onely</t>
  </si>
  <si>
    <t>Clutch, Directive, Siege Media, Power Digital, Disruptive Advertising, Single Grain, NP Digital, WebFX, Ignite Visibility, SmartSites, KlientBoost, NinjaPromo, IBM</t>
  </si>
  <si>
    <t>https://pearllemon.com/top-performance-marketing-agencies-usa/</t>
  </si>
  <si>
    <t>Top 10 Performance Marketing Agencies In USA (2025)</t>
  </si>
  <si>
    <t>SmartSites, Intero Digital, Ignite Visibility</t>
  </si>
  <si>
    <t>https://www.phable.io/top-creative-agencies/top-creative-agencies-in-the-world-masters-of-branding-content-creation-and-innovation</t>
  </si>
  <si>
    <t>Top Creative Agencies in the World | Leaders in Branding, Content Creation, and Innovation — Branding And Content Marketing For Technology</t>
  </si>
  <si>
    <t>Ogilvy, IBM, Wieden+Kennedy, Droga5, AKQA, BBDO, R/GA, VML</t>
  </si>
  <si>
    <t>https://prescientai.com/blog/top-marketing-attribution-software-solutions</t>
  </si>
  <si>
    <t>12 top marketing attribution software solutions: 2026 comparison guide | Prescient AI</t>
  </si>
  <si>
    <t>Nielsen, Ruler Analytics, HockeyStack, Triple Whale</t>
  </si>
  <si>
    <t>https://www.reddit.com/r/Superframeworks/comments/1twfxf1/10_best_ai_seo_geoaeo_agencies_for_2026_no/</t>
  </si>
  <si>
    <t>10 Best AI SEO (GEO/AEO) Agencies for 2026: No Self-Ranking, Verified by Clutch Reviews and Real AI-Citation Proof</t>
  </si>
  <si>
    <t>First Page Sage, Single Grain, Clutch, NoGood, iPullRank, Victorious</t>
  </si>
  <si>
    <t>https://rtslabs.com/top-ai-consulting-firms/</t>
  </si>
  <si>
    <t>9 Best AI Consulting Firms in 2026 Review + Comparison</t>
  </si>
  <si>
    <t>Fractal Analytics, Slalom, IBM, Measured</t>
  </si>
  <si>
    <t>https://scopicstudios.com/blog/top-performance-marketing-agencies/</t>
  </si>
  <si>
    <t>Top 10 Performance Marketing Agencies for ROI in 2025</t>
  </si>
  <si>
    <t>Clutch, Measured</t>
  </si>
  <si>
    <t>https://www.semfirms.com/digital-marketing-firms</t>
  </si>
  <si>
    <t>Top Digital Marketing Firms in United States | Reviews &amp;amp; Rating</t>
  </si>
  <si>
    <t>Intero Digital, Funnel Boost Media</t>
  </si>
  <si>
    <t>https://www.seoworks.com/lists/top-b2b-geo-and-aeo-agencies/</t>
  </si>
  <si>
    <t>Top 20 B2B GEO and AEO Agencies (2026) | The SEO Works</t>
  </si>
  <si>
    <t>The SEO Works, Discovered Labs, Animalz, Directive, WebFX, Victorious</t>
  </si>
  <si>
    <t>https://www.sortlist.com/advertising/united-states-us</t>
  </si>
  <si>
    <t>The 10 Best Advertising Agencies in the United States - 2026 Reviews</t>
  </si>
  <si>
    <t>NinjaPromo, Publicis Groupe, Clutch</t>
  </si>
  <si>
    <t>https://www.strategyeye.com/top-13-performance-marketing-agencies/</t>
  </si>
  <si>
    <t>Top 13 Performance Marketing Agencies - StrategyEye</t>
  </si>
  <si>
    <t>Merkle, Tinuiti, Wpromote, Metric Theory, iProspect, Brainlabs, PMG</t>
  </si>
  <si>
    <t>https://www.thegrowthsyndicate.com/agencies/best-b2b-google-ads-agencies-us</t>
  </si>
  <si>
    <t>15 Best B2B Google Ads Agencies in the US in 2026</t>
  </si>
  <si>
    <t>Directive, Disruptive Advertising, KlientBoost, Single Grain, Tinuiti, Brainlabs, HawkSEM, AdVenture Media, Silverback Strategies, Clutch, Seer Interactive, Metric Theory, Monks</t>
  </si>
  <si>
    <t>https://theinklusive.com/blog/best-creative-marketing-agency-partners-for-your-brand/</t>
  </si>
  <si>
    <t>15 BEST Creative Marketing Agencies for 2026 (W+K, Ogilvy, Mischief)</t>
  </si>
  <si>
    <t>Momentum, Wieden+Kennedy, Ogilvy, Giant Spoon</t>
  </si>
  <si>
    <t>https://www.performanceliebe.de/aeo-agency-germany/</t>
  </si>
  <si>
    <t>AEO Agency Germany | performanceLiebe</t>
  </si>
  <si>
    <t>performanceliebe.de</t>
  </si>
  <si>
    <t>performanceLiebe</t>
  </si>
  <si>
    <t>https://www.feld-m.de/service/marketing-measurement/</t>
  </si>
  <si>
    <t>Marketing Measurement | FELD M</t>
  </si>
  <si>
    <t>https://www.feld-m.de/en/service/marketing-measurement/</t>
  </si>
  <si>
    <t>Marketing Measurement &amp;amp; Media Mix Modeling for Actionable Insights | FELD M</t>
  </si>
  <si>
    <t>https://mediacharge.com/performance-marketing-agency-germany</t>
  </si>
  <si>
    <t>German Performance Marketing Agency | DACH Agency</t>
  </si>
  <si>
    <t>https://www.opinosis-analytics.com/ai-consulting-in-germany/</t>
  </si>
  <si>
    <t>AI Consulting Company in Germany | AI Agents | Machine Learning Consulting</t>
  </si>
  <si>
    <t>opinosis-analytics.com</t>
  </si>
  <si>
    <t>Opinosis Analytics</t>
  </si>
  <si>
    <t>https://www.more-fire.com/en/implementation/display-advertising/</t>
  </si>
  <si>
    <t>Display Advertising Agency From Cologne, Germany | morefire</t>
  </si>
  <si>
    <t>https://www.performanceliebe.de/geo-agency-germany/</t>
  </si>
  <si>
    <t>GEO Agency Germany | performanceLiebe</t>
  </si>
  <si>
    <t>https://www.haus.io/experiments</t>
  </si>
  <si>
    <t>Haus Incrementality Experiments | Incrementality Testing for Paid Marketing</t>
  </si>
  <si>
    <t>Haus, Measured</t>
  </si>
  <si>
    <t>https://www.statworx.com/en/data-science-and-ai-consulting</t>
  </si>
  <si>
    <t>AI Consulting for Your Company | statworx</t>
  </si>
  <si>
    <t>statworx, Pilot</t>
  </si>
  <si>
    <t>https://s360digital.com/capabilities/data/incrementality-testing/</t>
  </si>
  <si>
    <t>Prove marketing impact with Incrementality Testing | s360</t>
  </si>
  <si>
    <t>s360digital.com</t>
  </si>
  <si>
    <t>s360, Measured</t>
  </si>
  <si>
    <t>https://mediacharge.com/digital-marketing-agency-germany</t>
  </si>
  <si>
    <t>German Digital Marketing Agency | DACH Agency</t>
  </si>
  <si>
    <t>https://www.dreikon.de/en/services/seo-agency/geo/</t>
  </si>
  <si>
    <t>GEO Agency | for more visibility in AI</t>
  </si>
  <si>
    <t>DREIKON, Measured</t>
  </si>
  <si>
    <t>https://www.house-of-communication.com/de/de/brands/serviceplan.html</t>
  </si>
  <si>
    <t>Serviceplan</t>
  </si>
  <si>
    <t>Serviceplan Group, Momentum, Haus</t>
  </si>
  <si>
    <t>https://admiral.media/app-marketing-agency-munich/</t>
  </si>
  <si>
    <t>App Marketing Agency Munich | Admiral Media Germany - Ad...</t>
  </si>
  <si>
    <t>admiral.media</t>
  </si>
  <si>
    <t>Admiral Media, Measured, Pilot</t>
  </si>
  <si>
    <t>https://www.more-fire.com/en/implementation/google-ads/</t>
  </si>
  <si>
    <t>Google Ads - Your Certified German Partner Agency | morefire</t>
  </si>
  <si>
    <t>https://www.hopmann.com/en/marketing-analytics/marketing-science/mmm/</t>
  </si>
  <si>
    <t>Professional Marketing Mix Modeling (MMM) - Hopmann Marketing Analytics</t>
  </si>
  <si>
    <t>hopmann.com</t>
  </si>
  <si>
    <t>Pilot, Hopmann Marketing Analytics GmbH</t>
  </si>
  <si>
    <t>https://www.monks.com/google-partnership#:~:text=Our%20partnership%20with%20Google%20extends,in%20media%20and%20data%20analysis.</t>
  </si>
  <si>
    <t>Google-Certified Partner Agency | GMP, Google Cloud, and Media</t>
  </si>
  <si>
    <t>Monks</t>
  </si>
  <si>
    <t>https://www.hopmann.com/de/marketing-analytics/marketing-science/mmm/</t>
  </si>
  <si>
    <t>MMM: Präzise Marketing Mix Modelling Lösungen von Hopmann</t>
  </si>
  <si>
    <t>https://www.maibornwolff.de/en/ai-readiness-check/</t>
  </si>
  <si>
    <t>AI Readiness Check - Is your company ready for AI?</t>
  </si>
  <si>
    <t>MaibornWolff</t>
  </si>
  <si>
    <t>https://www.omnius.so/geo-agency</t>
  </si>
  <si>
    <t>Generative Engine Optimization (GEO) Agency &amp;amp; Services</t>
  </si>
  <si>
    <t>Omnius</t>
  </si>
  <si>
    <t>https://www.performanceliebe.de/aeo-agentur/</t>
  </si>
  <si>
    <t>AEO Agentur 2026: Answer Engine Optimization | performanceLiebe</t>
  </si>
  <si>
    <t>https://klickpiloten.de/kompetenzen/ai-driven-marketing</t>
  </si>
  <si>
    <t>AI driven Marketing Agentur plus KI Consulting | KlickPiloten</t>
  </si>
  <si>
    <t>https://www.monks.com/de/google-marketing-platform-partnerschaft</t>
  </si>
  <si>
    <t>https://seeders.com/seo-germany/</t>
  </si>
  <si>
    <t>SEO Agency Germany | Seeders</t>
  </si>
  <si>
    <t>Seeders</t>
  </si>
  <si>
    <t>https://www.the-boutique-agency.de/en/ppc-agency</t>
  </si>
  <si>
    <t>PPC Agency in Munich, Germany • The Boutique Agency</t>
  </si>
  <si>
    <t>https://www.dreikon.de/leistungen/seo-agentur/geo/</t>
  </si>
  <si>
    <t>GEO Agentur | für mehr Sichtbarkeit in der KI</t>
  </si>
  <si>
    <t>https://www.feld-m.de/en/events/data-gap-marketing-measurement-event/</t>
  </si>
  <si>
    <t>Event: First-party data &amp;amp; marketing measurement in a privacy-first world | FELD M</t>
  </si>
  <si>
    <t>https://www.globalists.de/leistungen/sea-agentur</t>
  </si>
  <si>
    <t>SEA Agentur | Google Ads mit datengetriebener Performance</t>
  </si>
  <si>
    <t>globalists.de</t>
  </si>
  <si>
    <t>Globalist</t>
  </si>
  <si>
    <t>https://www.hopmann.com/en/marketing-analytics/marketing-efficiency/</t>
  </si>
  <si>
    <t>Marketing Efficiency - Hopmann Marketing Analytics</t>
  </si>
  <si>
    <t>Hopmann Marketing Analytics GmbH</t>
  </si>
  <si>
    <t>https://www.house-of-communication.com/de/en/brands/mediaplus/landingpages/media-agency-of-the-year.html</t>
  </si>
  <si>
    <t>Media agency of the year 2026</t>
  </si>
  <si>
    <t>Serviceplan Group, Mediaplus Group, Momentum</t>
  </si>
  <si>
    <t>https://klickpiloten.de/leistungen/analytics</t>
  </si>
  <si>
    <t>Webanalytics &amp;amp; Dashboards - Beratung und Integration - KlickPiloten</t>
  </si>
  <si>
    <t>https://www.more-fire.com/en/seo-agency/</t>
  </si>
  <si>
    <t>SEO agency from Cologne for more traffic | morefire</t>
  </si>
  <si>
    <t>https://peakace.agency/en/digital-strategy/</t>
  </si>
  <si>
    <t>Integrated Digital Strategy consulting | Peak Ace</t>
  </si>
  <si>
    <t>https://www.performanceliebe.de/ai-mentions-agency-germany/</t>
  </si>
  <si>
    <t>AI Mentions Agency Germany | performanceLiebe</t>
  </si>
  <si>
    <t>https://www.performanceliebe.de/generative-engine-optimization/</t>
  </si>
  <si>
    <t>Generative Engine Optimization (GEO) 2026 | performanceLiebe</t>
  </si>
  <si>
    <t>https://www.performanceliebe.de/geo-optimierung/</t>
  </si>
  <si>
    <t>GEO Optimierung 2026: Generative Engine Optimization</t>
  </si>
  <si>
    <t>https://www.pilot.de/leistungen/programmatic-advertising/</t>
  </si>
  <si>
    <t>Programmatic Advertising | pilot Agenturgruppe</t>
  </si>
  <si>
    <t>https://sellforte.com/solutions/fashion-ecommerce</t>
  </si>
  <si>
    <t>Fashion Ecommerce: MMM + Incrementality Testing + Attribution | Sellforte</t>
  </si>
  <si>
    <t>Sellforte, Huge</t>
  </si>
  <si>
    <t>https://www.suchhelden.de/google-ads-agentur.php</t>
  </si>
  <si>
    <t>Google Ads Agentur 2026 | zertifizierter Premium Partner</t>
  </si>
  <si>
    <t>https://www.zweidigital.de/meta-agentur/</t>
  </si>
  <si>
    <t>Meta Agentur | Meta Business Partner | Performance Ads</t>
  </si>
  <si>
    <t>zweidigital.de</t>
  </si>
  <si>
    <t>ZweiDigital GmbH</t>
  </si>
  <si>
    <t>https://themanifest.com/us/ppc/agencies</t>
  </si>
  <si>
    <t>The Best PPC Companies in United States - Jul 2026 | The Manifest</t>
  </si>
  <si>
    <t>Clutch, KlientBoost, Disruptive Advertising, AdVenture Media, HawkSEM, SmartSites, Intero Digital, Elit-Web, NinjaPromo, Funnel Boost Media, LYFE Marketing</t>
  </si>
  <si>
    <t>https://www.todaymade.com/blog/top-creative-agencies#:~:text=Core%20services%3A%20%2D%20Brand%20strategy%20%26%20positioning.,Ogilvy%2C%20with%20today's%20smartest%20data%20and%20technology.</t>
  </si>
  <si>
    <t>Top Creative Agencies in 2025. Ranked &amp;amp; Matched to Your Goals</t>
  </si>
  <si>
    <t>Wieden+Kennedy, Ogilvy, WPP, BBDO, Huge, Superside, R/GA, AKQA, Droga5, Accenture Song, Graphite, TBWA\Chiat\Day, Publicis Groupe, Dentsu, Pentagram, Monks, Clay, Momentum</t>
  </si>
  <si>
    <t>https://www.uforocks.com/blog/top-ppc-agencies-in-the-u-s/</t>
  </si>
  <si>
    <t>Top PPC Agencies in the U.S. - UFO Digital Marketing Agency</t>
  </si>
  <si>
    <t>https://www.youtube.com/watch?v=Zyd_x8Z9J7I&amp;t=92</t>
  </si>
  <si>
    <t>Best Digital Performance Marketing Companies</t>
  </si>
  <si>
    <t>Tinuiti, Wpromote, Single Grain, Right Side Up</t>
  </si>
  <si>
    <t>https://zipdo.co/service/display-advertising/</t>
  </si>
  <si>
    <t>Top 10 Best Display Advertising Services | Tested in 2026</t>
  </si>
  <si>
    <t>Merkle, Dentsu, WPP, Publicis Groupe, GroupM, Jellyfish, Clutch</t>
  </si>
  <si>
    <t>https://www.accuracast.com/articles/multilingual-7471/top-10-international-digital-marketing-agencies-2026/</t>
  </si>
  <si>
    <t>Top 10 International Digital Marketing Agencies 2026 - Accuracast</t>
  </si>
  <si>
    <t>WebFX, Disruptive Advertising, iProspect, Ignite Visibility, SmartSites, Jellyfish, Accenture Song, Thrive Internet Marketing Agency, NoGood</t>
  </si>
  <si>
    <t>https://www.adogy.com/the-top-generative-engine-optimization-geo-agencies/</t>
  </si>
  <si>
    <t>Best Generative Engine Optimization (GEO) Agencies of 2026</t>
  </si>
  <si>
    <t>NoGood, Intero Digital, Avenue Z, Omniscient Digital, First Page Sage</t>
  </si>
  <si>
    <t>https://agencies.semrush.com/list/analytics-data-science/business-professional-services/united-states/</t>
  </si>
  <si>
    <t>Best B2B Services Data Analytics Services in United States 2026 | Semrush</t>
  </si>
  <si>
    <t>LYFE Marketing, Elit-Web, Silverback Strategies, WebFX</t>
  </si>
  <si>
    <t>https://agencies.semrush.com/list/display-advertising/ecommerce/united-states/</t>
  </si>
  <si>
    <t>Best Ecommerce Display Ads Agencies in United States 2026 | Semrush</t>
  </si>
  <si>
    <t>SmartSites, Elit-Web, Brighter Click, Silverback Strategies</t>
  </si>
  <si>
    <t>https://aiinsiderdaily.com/ai-tools-reviews/ai-agency-guide-2025/</t>
  </si>
  <si>
    <t>AI Agency Guide 2025: Top 20 Best AI Agent Companies in the USA | AI Insider Daily</t>
  </si>
  <si>
    <t>https://www.cleverly.co/blog/best-marketing-attribution-software</t>
  </si>
  <si>
    <t>9 BEST Marketing Attribution Software in 2026 (We Use #1 Personally)</t>
  </si>
  <si>
    <t>Cometly, Ruler Analytics, Triple Whale</t>
  </si>
  <si>
    <t>https://www.commercepundit.com/blog/top-10-ai-consulting-companies-in-2026/</t>
  </si>
  <si>
    <t>Top 10 AI Consulting Companies in 2026 for Businesses</t>
  </si>
  <si>
    <t>McKinsey, QuantumBlack, IBM, BCG, PwC, Clutch</t>
  </si>
  <si>
    <t>https://coolnerdsmarketing.com/best-creative-marketing-agencies-2025/#:~:text=Best%20overall%3A%20Cool%20Nerds%20Marketing.%20Best%20for,and%20Viral%20Marketing%3A%20Crispin%20Porter%20%2B%20Bogusky.</t>
  </si>
  <si>
    <t>Top 20 Best Creative Marketing Agencies in 2026 | Expert List</t>
  </si>
  <si>
    <t>Ogilvy, Wieden+Kennedy, BBDO, VML, Droga5, R/GA, Huge, Disruptive Advertising, 72andSunny, Dentsu, Anomaly, AKQA</t>
  </si>
  <si>
    <t>https://deployflow.co/blog/top-ai-consulting-companies-worldwide/#:~:text=Check%3A%20Confirm%20the%20current%20scope,paired%20with%20real%20build%20muscle.</t>
  </si>
  <si>
    <t>Top AI Consulting Companies in 2026 – CTO’s Ultimate Guide</t>
  </si>
  <si>
    <t>QuantumBlack, McKinsey, BCG, Momentum</t>
  </si>
  <si>
    <t>https://www.designrush.com/agency/creative-agencies</t>
  </si>
  <si>
    <t>Top Creative Agencies in 2026</t>
  </si>
  <si>
    <t>Huge, IBM, Disruptive Advertising, Major Tom, McKinsey, Measured, Nielsen</t>
  </si>
  <si>
    <t>https://digitalstrategyforce.com/top-10-aeo-agencies-2026/</t>
  </si>
  <si>
    <t>Top 10 AEO Agencies in 2026: Best AEO Agencies Ranked | Digital Strategy Force</t>
  </si>
  <si>
    <t>iPullRank, NoGood, First Page Sage, Omniscient Digital, Siege Media, Tinuiti, Searchbloom, Digital Authority Partners, Amsive, Measured, McKinsey</t>
  </si>
  <si>
    <t>https://www.equinoxitsol.com/blog/top-10-performance-marketing-agencies-in-the-us/</t>
  </si>
  <si>
    <t>Top Performance Marketing Agencies US</t>
  </si>
  <si>
    <t>Disruptive Advertising, Thrive Internet Marketing Agency, Power Digital, Tinuiti, WebFX, Ignite Visibility, KlientBoost, Metric Theory, NoGood</t>
  </si>
  <si>
    <t>https://www.goodfirms.co/directory/country/top-digital-marketing-companies/us?sid=3931</t>
  </si>
  <si>
    <t>WebFX, Searchbloom, Funnel Boost Media, Momentum, Bounteous, LYFE Marketing, Elit-Web, Storm Brain</t>
  </si>
  <si>
    <t>https://www.goodfirms.co/directory/country/top-digital-marketing-companies/us?sid=3943</t>
  </si>
  <si>
    <t>WebFX, Searchbloom, IBM, Elit-Web, Storm Brain</t>
  </si>
  <si>
    <t>https://www.growthspreeofficial.com/blogs/top-5-agencies-best-for-large-scale-b2b-demand-generation#:~:text=Senior%20operators%20run%20creation%2C%20capture%2C%20ABM%2C%20and,SaaS%20companies)%2C%20with%20no%20junior%20account%2Dmanager%20handoffs.</t>
  </si>
  <si>
    <t>Top 5 Agencies for Large-Scale B2B Demand Generation (2026)</t>
  </si>
  <si>
    <t>GrowthSpree, Directive, Refine Labs, Measured, NoGood, Bain &amp; Company</t>
  </si>
  <si>
    <t>https://growwithvysta.com/blog/best-youtube-ads-agencies-in-the-us-2026/</t>
  </si>
  <si>
    <t>Best YouTube Ads Agencies in the US (2026)</t>
  </si>
  <si>
    <t>Disruptive Advertising, KlientBoost, Tinuiti, Common Thread Collective</t>
  </si>
  <si>
    <t>https://hashmeta.com/blog/10-best-aeo-geo-agencies-for-ai-search-optimization/</t>
  </si>
  <si>
    <t>10 Best AEO/GEO Agencies for AI Search Optimization | Hashmeta</t>
  </si>
  <si>
    <t>iPullRank, Go Fish Digital, Amsive, Siege Media, Measured</t>
  </si>
  <si>
    <t>https://improvado.io/blog/marketing-mix-modeling-providers</t>
  </si>
  <si>
    <t>12 Best Marketing Mix Modeling Tools 2026 | Provider Guide</t>
  </si>
  <si>
    <t>Analytic Partners, Measured, Recast, Cometly, SegmentStream, LifeSight, Triple Whale, HockeyStack</t>
  </si>
  <si>
    <t>https://iternal.ai/best-ai-consulting-firms</t>
  </si>
  <si>
    <t>Best AI Consulting Firms for Enterprise (2026)</t>
  </si>
  <si>
    <t>McKinsey, QuantumBlack, BCG, Bain &amp; Company, PwC, IBM, Momentum</t>
  </si>
  <si>
    <t>https://www.lyfemarketing.com/blog/top-advertising-agencies-us/</t>
  </si>
  <si>
    <t>Top 32 Advertising Agencies In The US 2026</t>
  </si>
  <si>
    <t>LYFE Marketing, Refine Labs, Kobe Digital, Disruptive Advertising, Ogilvy, Wieden+Kennedy</t>
  </si>
  <si>
    <t>https://www.lyfemarketing.com/blog/top-google-ads-agencies-us/</t>
  </si>
  <si>
    <t>Top 25 Google Ads Agencies In The U.S. 2026</t>
  </si>
  <si>
    <t>LYFE Marketing, Directive, NinjaPromo, KlientBoost, AdVenture Media, Intero Digital, Single Grain</t>
  </si>
  <si>
    <t>https://www.magier.com/blog/best-creative-agency</t>
  </si>
  <si>
    <t>15 Best Creative Agencies for Branding, Ads, and UX (2026)</t>
  </si>
  <si>
    <t>Pentagram, Wolff Olins, Wieden+Kennedy, BBDO, R/GA, AKQA, Ogilvy, Droga5, WPP, Giant Spoon, Clutch, Accenture Song, Momentum, 72andSunny, Clay, Huge, Superside</t>
  </si>
  <si>
    <t>https://marketerhire.com/blog/ai-marketing-agencies</t>
  </si>
  <si>
    <t>Ultimate Guide to the Best AI Marketing Agencies for Your Business</t>
  </si>
  <si>
    <t>https://metaflow.life/blog/best-paid-media-agencies-2026</t>
  </si>
  <si>
    <t>11 Best paid media Agencies for 2026</t>
  </si>
  <si>
    <t>Power Digital, NoGood, Ignite Visibility, Victorious, Amsive</t>
  </si>
  <si>
    <t>https://www.miniloop.ai/blog/best-geo-agencies</t>
  </si>
  <si>
    <t>Best GEO Agencies 2026: Generative Engine Optimization Companies</t>
  </si>
  <si>
    <t>Omniscient Digital, Animalz, Siege Media, Go Fish Digital, Intero Digital</t>
  </si>
  <si>
    <t>https://www.munro.agency/marketing-agencies-in-the-usa/</t>
  </si>
  <si>
    <t>Top 15 Marketing Agencies in the USA for 2026</t>
  </si>
  <si>
    <t>LYFE Marketing, Wieden+Kennedy, Disruptive Advertising, Dentsu, Digitas, BBDO, Major Tom, Funnel Boost Media, 72andSunny, Ignite Visibility</t>
  </si>
  <si>
    <t>https://nationalmarketingawards.com/agency/</t>
  </si>
  <si>
    <t>Top Marketing Agencies 2026 | National Marketing Awards</t>
  </si>
  <si>
    <t>WebFX, VML, WPP, Ignite Visibility, Wieden+Kennedy, SmartSites, Anomaly, HawkSEM, Disruptive Advertising, R/GA, LYFE Marketing, Intero Digital, Noble Studios, NP Digital, Marcel Digital, Directive, Seer Interactive, Silverback Strategies, Publicis Groupe, Power Digital, Victorious, Huge, 72andSunny, Searchbloom, Wpromote, Siege Media, Droga5, Accenture Song, Horizon Media, KlientBoost, Single Grain, PMG, Bounteous, BBDO, Sociallyin, First Page Sage, Viral Nation, Clay, Tinuiti, Hawke Media, NoGood, Clutch, Measured</t>
  </si>
  <si>
    <t>https://www.nine.am/insights/best-performance-marketing-agencies-nyc</t>
  </si>
  <si>
    <t>10 Best Performance Marketing Agencies in NYC (2026 Edition)</t>
  </si>
  <si>
    <t>NoGood, Clutch, Tinuiti, Power Digital, Amsive, VaynerMedia, inBeat</t>
  </si>
  <si>
    <t>https://www.outrightcrm.com/blog/roi-focused-digital-marketing-agencies/</t>
  </si>
  <si>
    <t>15 Best ROI-Focused Digital Marketing Firms in 2026 | OutrightCRM</t>
  </si>
  <si>
    <t>Disruptive Advertising, KlientBoost, SmartSites, Power Digital, Wpromote, Ignite Visibility, Seer Interactive, Directive, Jellyfish, Merkle, VaynerMedia, NP Digital, Thrive Internet Marketing Agency, LYFE Marketing, Clutch, Huge</t>
  </si>
  <si>
    <t>https://oxdpr.com/creative-strategy-agencies/</t>
  </si>
  <si>
    <t>Top 7 Creative Strategy Agencies Shaping Brands in 2026 - OXDPR - Digital Marketing</t>
  </si>
  <si>
    <t>McKinsey, Superside, inBeat, Ogilvy, IBM, Wieden+Kennedy, Accenture Song, Measured</t>
  </si>
  <si>
    <t>https://parallel365.com/best-ai-search-optimization-agencies-for-b2b-companies/</t>
  </si>
  <si>
    <t>Best AI Search Optimization Agencies for B2B Companies in 2026</t>
  </si>
  <si>
    <t>McKinsey, Omniscient Digital, Directive, NoGood, Single Grain, Disruptive Advertising, Power Digital, WebFX, Thrive Internet Marketing Agency, Searchbloom</t>
  </si>
  <si>
    <t>https://piperocket.digital/list/best-paid-social-agencies/</t>
  </si>
  <si>
    <t>9 Best Paid Social Agencies for 2026 (Honest Review)</t>
  </si>
  <si>
    <t>Clutch, Directive, Hey Digital, KlientBoost, NoGood, Measured</t>
  </si>
  <si>
    <t>https://www.pixelmojo.io/best-ai-visibility-agencies</t>
  </si>
  <si>
    <t>Best AI Visibility Agencies in 2026 | GEO and AEO Agencies Compared</t>
  </si>
  <si>
    <t>WebFX, Seer Interactive, iPullRank, NoGood, Siege Media, Directive, Measured</t>
  </si>
  <si>
    <t>https://www.redseo.io/compare/best-ai-seo-agency</t>
  </si>
  <si>
    <t>The 10 Best AI SEO Agencies of 2026 (AEO &amp;amp; GEO Specialists)</t>
  </si>
  <si>
    <t>iPullRank, Graphite, Animalz, Brainlabs, NoGood, Victorious, Seer Interactive, Siege Media, Omniscient Digital, Clutch, Measured</t>
  </si>
  <si>
    <t>https://ritzherald.com/best-marketing-agencies-ai-search-optimization/#:~:text=The%20B2B%20AI%20search%20specialist%20connecting%20AI,earliest%20dedicated%20AI%20Search%20and%20Visibility%20programs.</t>
  </si>
  <si>
    <t>7 Best Marketing Agencies for AI Search Optimization in 2026</t>
  </si>
  <si>
    <t>Measured, Ogilvy, Jellyfish, Brandtech, NP Digital, iProspect, Dentsu, Wpromote, Merkle</t>
  </si>
  <si>
    <t>https://rtslabs.com/ai-consulting-company-in-usa</t>
  </si>
  <si>
    <t>10 Best AI Consulting Companies in USA for 2026</t>
  </si>
  <si>
    <t>Slalom, Artefact, Fractal Analytics, McKinsey, QuantumBlack, IBM</t>
  </si>
  <si>
    <t>https://www.semfirms.com/display-advertising-firms?page=1</t>
  </si>
  <si>
    <t>https://www.sortlist.com/display-advertising</t>
  </si>
  <si>
    <t>The 100 Best Display Advertising Agencies - 2026 Reviews</t>
  </si>
  <si>
    <t>https://www.sortlist.com/marketing-analytics</t>
  </si>
  <si>
    <t>The 100 Best Marketing Analytics Companies - 2026 Reviews</t>
  </si>
  <si>
    <t>NinjaPromo</t>
  </si>
  <si>
    <t>https://www.sortlist.com/s/data-driven-marketing/united-states-us</t>
  </si>
  <si>
    <t>The 10 Best Data Driven Marketing Agencies in the United States - 2026 Reviews</t>
  </si>
  <si>
    <t>NinjaPromo, IBM, Clutch, Measured</t>
  </si>
  <si>
    <t>https://sweatpantsagency.com/best-meta-ad-agencies</t>
  </si>
  <si>
    <t>Best Meta Ad Agencies for DTC Brands (2026) | Sweat Pants Agency</t>
  </si>
  <si>
    <t>Tinuiti, KlientBoost, MuteSix</t>
  </si>
  <si>
    <t>https://teamai.com/blog/generative-ai-and-business/top-geo-agencies-for-ai-visibility/</t>
  </si>
  <si>
    <t>The Best GEO Agencies to Explore in 2026</t>
  </si>
  <si>
    <t>https://thatware.co/10-best-geo-companies-in-usa/</t>
  </si>
  <si>
    <t>10 Best GEO-Listing Companies in USA - Top GEO Agencies</t>
  </si>
  <si>
    <t>Momentum, Clutch</t>
  </si>
  <si>
    <t>https://thatware.co/best-ai-search-optimization-services-usa/</t>
  </si>
  <si>
    <t>Best AI Search Optimization Services in USA – Trusted Provider</t>
  </si>
  <si>
    <t>Anomaly, Clutch</t>
  </si>
  <si>
    <t>https://themanifest.com/us/media-buying/agencies?page=1</t>
  </si>
  <si>
    <t>The Best Media Planning and Buying Companies in United States - Jul 2026 | The Manifest</t>
  </si>
  <si>
    <t>Clutch, DEPT, Amsive, Accelerated Digital Media</t>
  </si>
  <si>
    <t>https://themarketingagency.ca/blog/performance-marketing-agencies/#:~:text=thesocialshepherd.com.%20Features.%20Paid%20Social%20(Meta%2C%20TikTok%2C%20Pinterest).,complex%20B2B%20enterprise%20lead%20gen%2C%20look%20elsewhere.</t>
  </si>
  <si>
    <t>11 Best Performance Marketing Agencies in 2026</t>
  </si>
  <si>
    <t>NoGood, Tinuiti, Disruptive Advertising, The Social Shepherd, WebFX, MuteSix, Directive, Ignite Visibility, Viral Nation, Measured, Clutch, IBM, Single Grain, Power Digital, Publicis Groupe, Momentum</t>
  </si>
  <si>
    <t>https://university.tenten.co/t/top-30-ai-powered-marketing-agencies/2295#:~:text=9%20%7C%20360i%20%7C%20New%20York%2C%20USA,Creative%20innovation%20%7C%20Advanced%20AI%20brand%20systems</t>
  </si>
  <si>
    <t>Top 30 AI-Powered Marketing Agencies - Tenten AI</t>
  </si>
  <si>
    <t>Web Tonic, WebFX, Disruptive Advertising, Sociallyin, Ignite Visibility, Merkle, iProspect, Jellyfish, Publicis Sapient, Huge, R/GA, Accenture Song, Hawke Media, Wpromote, Tinuiti, Brainlabs, VaynerMedia, Seer Interactive, SmartSites, Power Digital</t>
  </si>
  <si>
    <t>https://wamdigital.com/blog/top-5-creative-and-web-development-agencies-for-scalable-production-in-2026</t>
  </si>
  <si>
    <t>Top Creative &amp;amp; Web Development Agencies for Scalable Production in 2026</t>
  </si>
  <si>
    <t>Superside, DEPT</t>
  </si>
  <si>
    <t>https://whyflagshalfmasttoday.com/best-u-s-aeo-agencies-for-answer-engine-optimization-2026/</t>
  </si>
  <si>
    <t>Best U.S. AEO Agencies for Answer Engine Optimization (2026)</t>
  </si>
  <si>
    <t>iPullRank, Seer Interactive, Go Fish Digital, Momentum, Siege Media, Victorious</t>
  </si>
  <si>
    <t>https://wifitalents.com/service/display-advertising/</t>
  </si>
  <si>
    <t>Display Advertising Services: Best Picks (2026)</t>
  </si>
  <si>
    <t>WPP, GroupM, Dentsu, Publicis Groupe, Accenture Song, Tinuiti, Clutch</t>
  </si>
  <si>
    <t>https://www.yall.co/post/top-dtc-performance-creative-agencies-in-2026</t>
  </si>
  <si>
    <t>Top DTC Performance Creative Agencies in 2026 (Updated June 2026) | Y’all, A Performance Creative Agency</t>
  </si>
  <si>
    <t>Hawke Media, Darkroom, Common Thread Collective, MuteSix, Power Digital, DEPT</t>
  </si>
  <si>
    <t>https://www.youtube.com/watch?v=YFmHk-nNoNg&amp;t=46</t>
  </si>
  <si>
    <t>Top 6 AI-Powered B2B SaaS Marketing Agencies in the US (2026 Real Ranking)</t>
  </si>
  <si>
    <t>Clutch, GrowthSpree, Refine Labs, NoGood, Single Grain, AdVenture Media</t>
  </si>
  <si>
    <t>https://www.youtube.com/watch?v=fdPFLXFJlwo&amp;t=30</t>
  </si>
  <si>
    <t>6 Best Revenue Attribution Agencies for B2B SaaS in 2026</t>
  </si>
  <si>
    <t>Clutch, GrowthSpree, Refine Labs, NoGood, Single Grain, Disruptive Advertising, Wpromote</t>
  </si>
  <si>
    <t>https://www.youtube.com/watch?v=jA6Bn5bI298&amp;t=242</t>
  </si>
  <si>
    <t>Best Performance Marketing Agency? What Actually Matters</t>
  </si>
  <si>
    <t>Right Side Up</t>
  </si>
  <si>
    <t>https://zipdo.co/service/global-digital-marketing/</t>
  </si>
  <si>
    <t>Top 10 Best Global Digital Marketing Services | 2026 Edition</t>
  </si>
  <si>
    <t>WPP, Publicis Groupe, Omnicom Media Group, Deloitte Digital, IBM, Kantar, iProspect, Merkle, Publicis Sapient, Clutch</t>
  </si>
  <si>
    <t>https://zipdo.co/service/marketing-data-analytics/</t>
  </si>
  <si>
    <t>Best Marketing Data Analytics Services (2026)</t>
  </si>
  <si>
    <t>Merkle, Dentsu, Publicis Groupe, VML, PwC, Clutch</t>
  </si>
  <si>
    <t>https://ziptie.dev/blog/best-ai-seo-agency/</t>
  </si>
  <si>
    <t>Best AI SEO Agency | How to choose an AI SEO agency? – ZipTie.dev</t>
  </si>
  <si>
    <t>iPullRank, Omniscient Digital, First Page Sage, Siege Media, Directive, Seer Interactive, Searchbloom, NoGood</t>
  </si>
  <si>
    <t>https://zyppy.com/companies/c/generative-ai-seo/united-states/</t>
  </si>
  <si>
    <t>Top Generative AI Search Companies in the United States - July 2026</t>
  </si>
  <si>
    <t>Seer Interactive, Go Fish Digital, RevenueZen, Clutch</t>
  </si>
  <si>
    <t>https://zyppy.com/companies/c/marketing-attribution/</t>
  </si>
  <si>
    <t>Top Marketing Attribution Companies - July 2026</t>
  </si>
  <si>
    <t>https://www.310creative.com/blog/top-abm-agencies</t>
  </si>
  <si>
    <t>Top 10 ABM Agencies in the U.S. 2026 | Reviews | 310 Creative</t>
  </si>
  <si>
    <t>Directive, Momentum</t>
  </si>
  <si>
    <t>https://42dm.net/10-best-generative-engine-optimization-agencies-globally/</t>
  </si>
  <si>
    <t>Top Generative AI SEO Agencies for 2026 – Compare the Best</t>
  </si>
  <si>
    <t>Clutch, Victorious, Intero Digital, Marcel Digital, Avenue Z, Single Grain, NoGood</t>
  </si>
  <si>
    <t>https://www.50pros.com/hire/digital-marketing/marketing-analytics</t>
  </si>
  <si>
    <t>Top Marketing Analytics Agencies to Hire in June 2026</t>
  </si>
  <si>
    <t>https://addepto.com/blog/top-16-ai-consulting-companies/</t>
  </si>
  <si>
    <t>Top 16 AI Consulting Companies to Check in 2026 - Addepto</t>
  </si>
  <si>
    <t>Clutch, Anomaly, BCG, IBM, McKinsey</t>
  </si>
  <si>
    <t>https://agencies.semrush.com/list/display-advertising/new-york/#:~:text=Digital%20Dot.%20Connecting%20the%20Dots%20to%20Your,driving%20organic%20traffic%20and%20generating%20quality%20leads.</t>
  </si>
  <si>
    <t>Best Display Ads Agencies in New York 2026 | Semrush</t>
  </si>
  <si>
    <t>Elit-Web, Measured</t>
  </si>
  <si>
    <t>https://agencies.semrush.com/list/display-advertising/united-states/small-business/</t>
  </si>
  <si>
    <t>Best Display Ads Agencies for Small Business in United States 2026 | Semrush</t>
  </si>
  <si>
    <t>SmartSites, LYFE Marketing, Elit-Web</t>
  </si>
  <si>
    <t>https://agencies.semrush.com/list/programmatic-advertising/information-technology/united-states/</t>
  </si>
  <si>
    <t>Best IT Programmatic Advertising Agencies in United States 2026 | Semrush</t>
  </si>
  <si>
    <t>SmartSites, Elit-Web, Silverback Strategies, WebFX, Measured, Funnel Boost Media</t>
  </si>
  <si>
    <t>https://www.andersoncollaborative.com/digital-marketing-agencies-in-the-united-states-driving-growth-with-data-driven-campaigns/</t>
  </si>
  <si>
    <t>23 Best Digital Marketing Agencies in the US (2026)</t>
  </si>
  <si>
    <t>Clutch, Thrive Internet Marketing Agency, Power Digital, Silverback Strategies, Sociallyin, Single Grain, Directive, Kobe Digital, Victorious, Tinuiti, Wpromote, Metric Theory, DEPT</t>
  </si>
  <si>
    <t>https://appkod.com/blogs/paid-social-agencies-us/</t>
  </si>
  <si>
    <t>Top 17 Paid Social Agencies in the U.S. (2025) -</t>
  </si>
  <si>
    <t>The Social Shepherd, Marcel Digital, Jellyfish, Tinuiti, iProspect</t>
  </si>
  <si>
    <t>https://www.askneedle.com/blog/best-instagram-ad-agencies</t>
  </si>
  <si>
    <t>12 Best Instagram Ad Agencies for DTC Brands in 2026</t>
  </si>
  <si>
    <t>Clutch, Tinuiti, MuteSix, Disruptive Advertising, Hawke Media, Power Digital, LYFE Marketing</t>
  </si>
  <si>
    <t>https://auditynow.com/blog/best-ai-readiness-assessment-tools</t>
  </si>
  <si>
    <t>8 Best AI Readiness Assessment Tools for Consulting Firms (2026)</t>
  </si>
  <si>
    <t>BCG, NoGood, Momentum</t>
  </si>
  <si>
    <t>https://awisee.com/blog/ai-seo-agencies-usa/</t>
  </si>
  <si>
    <t>The 5 Best AI SEO Agencies USA In 2026</t>
  </si>
  <si>
    <t>https://benly.ai/learn/ai-marketing/best-attribution-tools-2026</t>
  </si>
  <si>
    <t>11 Best Marketing Attribution Tools in 2026</t>
  </si>
  <si>
    <t>Northbeam, Triple Whale, Rockerbox, Measured, Ruler Analytics, Anomaly</t>
  </si>
  <si>
    <t>https://bigspy.com/blog/Top-10-Paid-Social-Agencies</t>
  </si>
  <si>
    <t>Top 10 Paid Social Agencies in the US to Boost Your Business in 2024</t>
  </si>
  <si>
    <t>NoGood, NinjaPromo, Tinuiti, inBeat, Power Digital, Brainlabs</t>
  </si>
  <si>
    <t>https://blog.viewed.video/top-10-ai-consulting-firms-boosting-tech-marketing</t>
  </si>
  <si>
    <t>Top 10 AI Consulting Firms Boosting Tech Marketing</t>
  </si>
  <si>
    <t>McKinsey, IBM, BCG, PwC, Bain &amp; Company</t>
  </si>
  <si>
    <t>https://www.brafton.com/blog/paid-search-blog/programmatic-ad-mediation/</t>
  </si>
  <si>
    <t>Top Programmatic Ad Mediation Platforms | Brafton</t>
  </si>
  <si>
    <t>Momentum, Measured</t>
  </si>
  <si>
    <t>https://brillmedia.co/resources/best-connected-tv-advertising-companies/</t>
  </si>
  <si>
    <t>Best Connected TV Advertising Companies | Brill Media</t>
  </si>
  <si>
    <t>https://cairrot.com/blog/best-aeo-agencies/</t>
  </si>
  <si>
    <t>Best AEO Agencies and Services in 2026 | Top 10 AEO/GEO Agencies for Revenue-Focused Performance - Cairrot</t>
  </si>
  <si>
    <t>iPullRank, Directive, Clutch, Momentum</t>
  </si>
  <si>
    <t>https://clicksgeek.com/best-roi-focused-marketing-agencies/</t>
  </si>
  <si>
    <t>Best ROI Focused Marketing Agencies: 2026 Guide &amp;amp; Tips</t>
  </si>
  <si>
    <t>https://collegian.com/sponsored/2025/09/top-10-geo-marketing-agencies-for-improving-ai-search-2025/</t>
  </si>
  <si>
    <t>Top 10 GEO Marketing Agencies for improving AI search [2025] - The Rocky Mountain Collegian</t>
  </si>
  <si>
    <t>Single Grain, RevenueZen, First Page Sage, WebFX, Omniscient Digital, iPullRank</t>
  </si>
  <si>
    <t>https://coolnerdsmarketing.com/top-ppc-agencies-us/</t>
  </si>
  <si>
    <t>Top PPC Agencies in the U.S. (2026 Rankings)</t>
  </si>
  <si>
    <t>Disruptive Advertising, WebFX, Directive, KlientBoost, HawkSEM, Ignite Visibility</t>
  </si>
  <si>
    <t>https://cornerstonecontent.com/best-answer-engine-optimization-aeo-agencies/</t>
  </si>
  <si>
    <t>10 Best Answer Engine Optimization (AEO) Agencies (2026) - Cornerstone Content</t>
  </si>
  <si>
    <t>Omniscient Digital, Marcel Digital, First Page Sage, Single Grain, RevenueZen, Avenue Z, Animalz</t>
  </si>
  <si>
    <t>https://delivix.digital/seo/marketing-agencies/</t>
  </si>
  <si>
    <t>Top 10 Performance Marketing Agencies Globally | Delivix</t>
  </si>
  <si>
    <t>WPP, NoGood, WebFX, Kobe Digital, Tinuiti, Ignite Visibility, Disruptive Advertising, Right Side Up</t>
  </si>
  <si>
    <t>https://www.designrush.com/agency/digital-marketing/analytics/us?page=2</t>
  </si>
  <si>
    <t>Top United States Marketing Analytics Companies - Page 2</t>
  </si>
  <si>
    <t>Nielsen, DEPT, IBM, Measured</t>
  </si>
  <si>
    <t>https://www.designrush.com/agency/digital-marketing/analytics?page=2</t>
  </si>
  <si>
    <t>Top Marketing Analytics Agencies in 2026 - Page 2</t>
  </si>
  <si>
    <t>Ruler Analytics, Amsive, Intero Digital, Ignite Visibility</t>
  </si>
  <si>
    <t>https://www.digipims.com/social-media-marketing-agencies-in-usa/</t>
  </si>
  <si>
    <t>Best Social Media Agencies in USA for Business Growth (updated 2026 )</t>
  </si>
  <si>
    <t>VaynerMedia, Amsive, Thrive Internet Marketing Agency</t>
  </si>
  <si>
    <t>https://digitalagencynetwork.com/agencies/</t>
  </si>
  <si>
    <t>Best Digital Marketing Agencies in the World | Digital Agency Network</t>
  </si>
  <si>
    <t>Ignite Visibility, PwC, Major Tom, Dentsu</t>
  </si>
  <si>
    <t>https://digitalagencynetwork.com/best-ai-agents-for-digital-marketing/</t>
  </si>
  <si>
    <t>Best AI Agents for Digital Marketing: The Ultimate Guide for 2026</t>
  </si>
  <si>
    <t>https://www.digitalrhinos.com/saas-marketing-agency/</t>
  </si>
  <si>
    <t>Top 25 SaaS Marketing Agencies (2025)</t>
  </si>
  <si>
    <t>Directive, Single Grain, Refine Labs, Animalz, KlientBoost, Disruptive Advertising, Hey Digital, NoGood, Siege Media, Clutch</t>
  </si>
  <si>
    <t>https://dmcinsider.com/dmcompanies/best-marketing-analytics-companies-in-the-usa/</t>
  </si>
  <si>
    <t>Best Marketing Analytics Companies in the USA - Digital Marketing Companies Insider</t>
  </si>
  <si>
    <t>Nielsen, Deloitte Digital, Epsilon, Merkle, Accenture Song, Neustar, TransUnion, Bounteous, Rockerbox, LatentView Analytics, InfoTrust</t>
  </si>
  <si>
    <t>https://www.embarque.io/post/generative-engine-optimization-agency</t>
  </si>
  <si>
    <t>Top 40 Generative Engine Optimization (GEO) Agencies in 2025 (+Top 7 Picks) | Embarque</t>
  </si>
  <si>
    <t>First Page Sage, iPullRank, Intero Digital, NoGood, Omniscient Digital, RevenueZen</t>
  </si>
  <si>
    <t>https://www.enzuzo.com/blog/best-performance-marketing-agencies</t>
  </si>
  <si>
    <t>9 Top Performance Marketing Agencies [2024 Review]</t>
  </si>
  <si>
    <t>MuteSix, Amsive, Clutch</t>
  </si>
  <si>
    <t>https://evolveamz.com/ai-search/best-ai-search-optimization-agencies-ecommerce-2026/</t>
  </si>
  <si>
    <t>Best AI Search Optimization Agencies for Ecommerce 2026 | Evolve Media Agency</t>
  </si>
  <si>
    <t>Animalz, Siege Media, Single Grain, NP Digital</t>
  </si>
  <si>
    <t>https://www.fieldtrip.agency/post/best-creative-agencies-for-global-brands</t>
  </si>
  <si>
    <t>Top 14 Creative Agencies Powering Global Branding This Year</t>
  </si>
  <si>
    <t>inBeat, Dentsu, R/GA, Nielsen</t>
  </si>
  <si>
    <t>https://www.fieldtrip.agency/post/top-geo-agencies</t>
  </si>
  <si>
    <t>Top Generative Engine Optimization (GEO) Agencies for Brands in AI Search</t>
  </si>
  <si>
    <t>Clutch, First Page Sage, Siege Media, TransUnion, WebFX, iPullRank, NP Digital, Major Tom, Intero Digital, Omniscient Digital, Measured, Graphite, inBeat</t>
  </si>
  <si>
    <t>https://finance.yahoo.com/sectors/technology/articles/top-10-branding-agencies-u-125000853.html</t>
  </si>
  <si>
    <t>Top 10 Branding Agencies in the U.S., Ranked by DesignRush for April 2026</t>
  </si>
  <si>
    <t>Funnel Boost Media, Clay</t>
  </si>
  <si>
    <t>https://flypix.ai/geospatial-companies-in-the-usa/#:~:text=Tech%20Maven%20Geospatial%20stands%20at%20the%20forefront,of%20spatial%20data%20processing%20and%20conversion%20services.</t>
  </si>
  <si>
    <t>16 Best Geospatial Companies in the USA (2026)</t>
  </si>
  <si>
    <t>Anomaly, IBM</t>
  </si>
  <si>
    <t>https://fuelonline.com/best-agencies/best-new-york-digital-marketing-agencies/</t>
  </si>
  <si>
    <t>12 Best New York Digital Marketing Agencies 2026 - Fuel Online Digital Marketing Agency SEO Services</t>
  </si>
  <si>
    <t>Dentsu, VaynerMedia, Jellyfish, Tinuiti, Huge, iPullRank, R/GA, Droga5, SmartSites</t>
  </si>
  <si>
    <t>https://fuelonline.com/best-agencies/top-20-ppc-agencies-in-the-united-states-ranked-for-2026/</t>
  </si>
  <si>
    <t>Top 20 PPC Agencies In The U.S. For 2026 Ranked</t>
  </si>
  <si>
    <t>KlientBoost, Disruptive Advertising, Ignite Visibility, WebFX, Directive, Single Grain, SmartSites, Power Digital, Seer Interactive, AdVenture Media, HawkSEM</t>
  </si>
  <si>
    <t>https://www.g-co.agency/insights/top-enterprise-digital-marketing-agencies-to-work-with#:~:text=8.%20Monsoon%20Agency.%20This%20enterprise%20digital%20marketing,seo%20marketing%20company%20and%20strategic%20growth%20partner.</t>
  </si>
  <si>
    <t>Top Enterprise Digital Marketing Agencies to Work With - July 2026 | G&amp;amp;CO.</t>
  </si>
  <si>
    <t>First Page Sage, LYFE Marketing, Power Digital</t>
  </si>
  <si>
    <t>https://www.geovate.com/blog/generative-engine-optimization-geo-agencies</t>
  </si>
  <si>
    <t>Best Generative Engine Optimization (GEO) Agencies</t>
  </si>
  <si>
    <t>Omniscient Digital, iPullRank</t>
  </si>
  <si>
    <t>https://www.geovate.com/blog/top-answer-engine-optimization-aeo-agencies</t>
  </si>
  <si>
    <t>Top Answer Engine Optimization (AEO) Agencies</t>
  </si>
  <si>
    <t>Avenue Z, First Page Sage, Siege Media, NoGood</t>
  </si>
  <si>
    <t>https://getadlib.com/blog/best-display-advertising-platforms/#:~:text=Demandbase%20is%20a%20B2B%20advertising%20platform%20with,purchase%20interest%20rather%20than%20broad%20demographic%20segments.</t>
  </si>
  <si>
    <t>10 Best Display Advertising Platforms in 2026 | AdLib</t>
  </si>
  <si>
    <t>https://www.goodfirms.co/advertising-companies/programmatic?locations=us&amp;sort_by=rating</t>
  </si>
  <si>
    <t>Funnel Boost Media, Daydream</t>
  </si>
  <si>
    <t>https://www.goodfirms.co/directory/country/top-digital-marketing-companies/us?reviews=1</t>
  </si>
  <si>
    <t>https://gracker.ai/news/top-10-ai-seo-agencies-digital-marketing-firms-for-2026</t>
  </si>
  <si>
    <t>Top 12 AI SEO Agencies &amp;amp; Digital Marketing Firms for 2026 | Cybersecurity News &amp;amp; Threat Intelligence</t>
  </si>
  <si>
    <t>NoGood, Avenue Z, Daydream, Single Grain, Clay</t>
  </si>
  <si>
    <t>https://icoda.io/ai/best-ai-marketing-agencies-in-the-usa/</t>
  </si>
  <si>
    <t>Top 10 Leading AI Marketing Agencies in the USA for 2026</t>
  </si>
  <si>
    <t>Single Grain, Clutch</t>
  </si>
  <si>
    <t>https://indatalabs.com/blog/ai-consulting-companies-in-usa#:~:text=Slalom%20is%20a%20modern%20consulting,clients%20as%20AI%20systems%20evolve.</t>
  </si>
  <si>
    <t>Top AI Consulting Companies in the USA | InData Labs Blog</t>
  </si>
  <si>
    <t>IBM, McKinsey, QuantumBlack, Fractal Analytics, Slalom, Clutch</t>
  </si>
  <si>
    <t>https://indatalabs.com/blog/data-analytics-companies-in-usa#:~:text=InData%20Labs%20occupies%20a%20distinct%20position%20in,data%20environment%2C%20business%20model%2C%20and%20growth%20objectives.</t>
  </si>
  <si>
    <t>Best Data Analytics Companies in the USA — 2026 Guide</t>
  </si>
  <si>
    <t>McKinsey, IBM, Clutch</t>
  </si>
  <si>
    <t>https://ingestlabs.com/top-digital-ad-agencies/</t>
  </si>
  <si>
    <t>Top 20 Digital Marketing and Advertising Agencies in the World 2024 | Ingest Labs</t>
  </si>
  <si>
    <t>First Page Sage, Clutch, Metric Theory, Epsilon, Ogilvy, IBM, Dentsu, BBDO, Thrive Internet Marketing Agency, Disruptive Advertising, WebFX, KlientBoost</t>
  </si>
  <si>
    <t>https://www.intuz.com/blog/top-ai-consulting-companies-in-usa</t>
  </si>
  <si>
    <t>Top 9 AI Consulting Companies in USA for Enterprises \[2026\]</t>
  </si>
  <si>
    <t>McKinsey, Clutch, Anomaly</t>
  </si>
  <si>
    <t>https://lengreo.com/best-google-ads-agencies-2025/</t>
  </si>
  <si>
    <t>Top 16 Google Ads Companies for Smarter Campaigns (2026)</t>
  </si>
  <si>
    <t>Clutch, WebFX, Disruptive Advertising, KlientBoost, Directive, SmartSites, Ignite Visibility, Thrive Internet Marketing Agency, Power Digital, Single Grain, NP Digital, Brainlabs, Searchbloom, Funnel Boost Media</t>
  </si>
  <si>
    <t>https://lengreo.com/best-us-agencies-for-meta-ads/</t>
  </si>
  <si>
    <t>Top 15 Meta Ads Companies Defining Success in the US Market (2026)</t>
  </si>
  <si>
    <t>Clutch, Disruptive Advertising, LYFE Marketing, KlientBoost, WebFX, Silverback Strategies, Ignite Visibility, Sociallyin, Thrive Internet Marketing Agency, Metric Theory, Monks</t>
  </si>
  <si>
    <t>https://www.m8l.com/blog/top-10-answer-engine-optimization-aeo-agencies</t>
  </si>
  <si>
    <t>Top 10 Answer Engine Optimization (AEO) Agencies of 2025 | Meaningful, m8l</t>
  </si>
  <si>
    <t>https://marketerhire.com/blog/display-advertising-agency</t>
  </si>
  <si>
    <t>10 Top Display Advertising Agencies to Lower CPMs and Lift Conversions</t>
  </si>
  <si>
    <t>MuteSix, Measured, Single Grain, Momentum, inBeat</t>
  </si>
  <si>
    <t>https://marketerhire.com/blog/fractional-marketing-agency</t>
  </si>
  <si>
    <t>7 Best Fractional Marketing Agencies in 2025</t>
  </si>
  <si>
    <t>Right Side Up, Digital Authority Partners</t>
  </si>
  <si>
    <t>https://marketing-attribution-and-consulting.martechoutlook.com/vendors/top-marketing-attribution-and-consulting-services.html</t>
  </si>
  <si>
    <t>Top Marketing Attribution and Consulting Services</t>
  </si>
  <si>
    <t>https://marketingltb.com/blog/agency/best-enterprise-digital-marketing-agencies/</t>
  </si>
  <si>
    <t>10 Best Enterprise Digital Marketing Agencies in 2026 - Marketing LTB</t>
  </si>
  <si>
    <t>Accenture Song, WPP, Merkle, Dentsu, Brainlabs, Tinuiti, Jellyfish, Wpromote, VML, iProspect, Clutch</t>
  </si>
  <si>
    <t>https://www.marksourced.com/p/top-7-b2b-generative-engine-optimization-geo-consultancies-in-2025</t>
  </si>
  <si>
    <t>Top 7 B2B Generative Engine Optimization (GEO) Consultancies in 2025</t>
  </si>
  <si>
    <t>Siege Media, NoGood, First Page Sage, Go Fish Digital, Intero Digital</t>
  </si>
  <si>
    <t>https://www.marksourced.com/p/top-8-b2b-generative-engine-optimization-geo-agencies-in-2025</t>
  </si>
  <si>
    <t>Top 8 B2B Generative Engine Optimization (GEO) Agencies in 2025</t>
  </si>
  <si>
    <t>Siege Media, First Page Sage, Go Fish Digital, Ignite Visibility, NoGood</t>
  </si>
  <si>
    <t>https://www.maximuslabs.ai/answer-engine-optimizations/best-aeo-agencies</t>
  </si>
  <si>
    <t>Top 10 AEO/GEO Agencies 2025, Metrics Evaluated: Pricing, Portfolio &amp;amp; Reviews</t>
  </si>
  <si>
    <t>Victorious, WebFX, Elit-Web, Intero Digital, Ignite Visibility, Clutch, Measured</t>
  </si>
  <si>
    <t>https://www.maximuslabs.ai/answer-engine-optimizations/enterprise-aeo-agencies</t>
  </si>
  <si>
    <t>Top 10 Enterprise AEO/GEO Agencies in 2025: Pricing &amp;amp; ROI Compared</t>
  </si>
  <si>
    <t>Victorious, iPullRank, Amsive, Single Grain, First Page Sage, Intero Digital, NoGood, Clutch, Momentum</t>
  </si>
  <si>
    <t>https://www.munro.agency/top-marketing-data-science-agencies/</t>
  </si>
  <si>
    <t>Top 17 Marketing Data Science Agencies</t>
  </si>
  <si>
    <t>Measured, Artefact, BCG, McKinsey, LatentView Analytics, PwC, Publicis Sapient, Merkle, Fractal Analytics, Analytic Partners</t>
  </si>
  <si>
    <t>https://www.munro.agency/top-paid-media-agencies/</t>
  </si>
  <si>
    <t>Top 10 Paid Media Agencies for 2026</t>
  </si>
  <si>
    <t>inBeat, Power Digital</t>
  </si>
  <si>
    <t>https://www.munro.agency/top-sem-agencies/</t>
  </si>
  <si>
    <t>Top 15 SEM Agencies</t>
  </si>
  <si>
    <t>HawkSEM, Disruptive Advertising, Jellyfish, DEPT, Ignite Visibility, KlientBoost, Brainlabs, Tinuiti, Metric Theory, Seer Interactive, Merkle</t>
  </si>
  <si>
    <t>https://nectivdigital.com/blog/the-best-generative-engine-optimization-agencies-of-2025</t>
  </si>
  <si>
    <t>The Best Generative Engine Optimization Agencies Of 2025 - Nectiv | Nectiv</t>
  </si>
  <si>
    <t>Go Fish Digital, iPullRank, Siege Media, Ignite Visibility, Huge</t>
  </si>
  <si>
    <t>https://www.neuralcapital.ai/articles/top-10-ai-marketing-and-advertising-companies</t>
  </si>
  <si>
    <t>Top 10 AI Marketing &amp;amp; Advertising Companies | NeuralCapital.ai</t>
  </si>
  <si>
    <t>Momentum, Optimist</t>
  </si>
  <si>
    <t>https://news.marketersmedia.com/13-best-generative-engine-optimization-geo-agencies-for-usa-brands-in-2026-multi-engine-coverage-edition/89193560</t>
  </si>
  <si>
    <t>13 Best Generative Engine Optimization (GEO) Agencies for USA Brands in 2026: Multi-Engine Coverage Edition</t>
  </si>
  <si>
    <t>iPullRank, Go Fish Digital, Omniscient Digital, Avenue Z, Intero Digital, Single Grain, Victorious</t>
  </si>
  <si>
    <t>https://nexusexpertresearch.co/blog/best-artificial-intelligence-strategy-consulting-market-leaders/</t>
  </si>
  <si>
    <t>Top Artificial Intelligence Strategy Consulting Market Leaders</t>
  </si>
  <si>
    <t>McKinsey, BCG, PwC, QuantumBlack, IBM</t>
  </si>
  <si>
    <t>https://open.winmo.com/agencies/</t>
  </si>
  <si>
    <t>Discover top companies by advertising spend in 2024. Track decision-makers and ad budgets across all media channels with Winmo. Request a trial today!</t>
  </si>
  <si>
    <t>Dentsu, WPP, Horizon Media, BBDO, VML, Monks</t>
  </si>
  <si>
    <t>https://www.phable.io/top-branding-agencies/top-branding-agencies-in-new-york-2025-icons-of-creative-excellence</t>
  </si>
  <si>
    <t>Top Branding Agencies in New York (2025) | Icons of Creative Excellence — Branding And Content Marketing For Technology</t>
  </si>
  <si>
    <t>Pentagram, Wolff Olins, R/GA, Huge, BBDO</t>
  </si>
  <si>
    <t>https://phosailabs.com/blog/best-ai-implementation-firms-marketing-agencies</t>
  </si>
  <si>
    <t>Best AI Implementation Firms for Marketing Agencies in 2026</t>
  </si>
  <si>
    <t>https://prometheusagency.co/insights/best-ai-agency-for-mid-market-manufacturers</t>
  </si>
  <si>
    <t>Best AI Agency for Mid-Market Manufacturers 2026</t>
  </si>
  <si>
    <t>Measured, Anomaly, Momentum, Directive</t>
  </si>
  <si>
    <t>https://www.reddit.com/r/AISEOTricks/comments/1t9xk64/what_are_the_best_seo_agencies_right_now/</t>
  </si>
  <si>
    <t>What Are the Best SEO Agencies Right Now?</t>
  </si>
  <si>
    <t>Siege Media, Omniscient Digital, First Page Sage, Searchbloom, Intero Digital, iPullRank, Victorious</t>
  </si>
  <si>
    <t>https://www.reddit.com/r/hiredevelopers_/comments/1n84jms/list_of_best_ai_consulting_companies_in_usa/</t>
  </si>
  <si>
    <t>List of Best Ai consulting companies in USA</t>
  </si>
  <si>
    <t>McKinsey, QuantumBlack, Huge, PwC, BCG, Slalom, IBM</t>
  </si>
  <si>
    <t>https://www.reddit.com/r/u_Temporary_Meeting182/comments/1tp4iah/best_saas_geo_agencies_in_2026_who_should/</t>
  </si>
  <si>
    <t>Best SaaS GEO agencies in 2026 - who should enterprises consider?</t>
  </si>
  <si>
    <t>Searchbloom, The SEO Works, Clutch</t>
  </si>
  <si>
    <t>https://www.reddit.com/r/u_ThoughtMetric/comments/1udm00v/best_improvado_alternatives_updated_june_2026/</t>
  </si>
  <si>
    <t>Best Improvado Alternatives (Updated June 2026)</t>
  </si>
  <si>
    <t>Rockerbox, Triple Whale, Northbeam</t>
  </si>
  <si>
    <t>https://www.resultfirst.com/blog/ai-seo/best-ai-seo-agencies/</t>
  </si>
  <si>
    <t>Top 8 AI SEO Agencies to Consider in 2026 | ResultFirst</t>
  </si>
  <si>
    <t>RevenueZen, Omniscient Digital, iPullRank, Siege Media</t>
  </si>
  <si>
    <t>https://revenuezen2.rssing.com/chan-77317245/article73.html?nocache=0</t>
  </si>
  <si>
    <t>Top Answer Engine Optimization Agencies (AEO) In 2025</t>
  </si>
  <si>
    <t>RevenueZen, Omniscient Digital, iPullRank, WebFX, First Page Sage, Huge</t>
  </si>
  <si>
    <t>https://rhblake.com/best-generative-engine-optimization-geo-agencies-2025-edition/</t>
  </si>
  <si>
    <t>Best Generative Engine Optimization (GEO) Agencies — 2025 Edition</t>
  </si>
  <si>
    <t>Avenue Z, First Page Sage, Ignite Visibility, Intero Digital, iPullRank, NoGood, Omniscient Digital, WebFX</t>
  </si>
  <si>
    <t>https://rocketium.ai/academy/all/ai-tools-scaling-creative-production</t>
  </si>
  <si>
    <t>Top 6 AI tools for scaling creative production in 2026</t>
  </si>
  <si>
    <t>https://www.rocktherankings.com/best-geo-agency/</t>
  </si>
  <si>
    <t>Top 13 GEO Agencies for B2B SaaS for Q3 2026</t>
  </si>
  <si>
    <t>First Page Sage, The SEO Works, Directive, Animalz, Siege Media, RevenueZen, Victorious, Clutch</t>
  </si>
  <si>
    <t>https://www.saas-hackers.com/top/b2b-saas-enterprise-agencies</t>
  </si>
  <si>
    <t>Top B2B SaaS Enterprise Marketing Agencies | SaaS Hackers</t>
  </si>
  <si>
    <t>Metric Theory, Merkle, Tinuiti, Seer Interactive, Silverback Strategies, Measured, Dentsu</t>
  </si>
  <si>
    <t>https://scopicstudios.com/blog/best-enterprise-marketing-data-analytics-consulting-firms-2026/</t>
  </si>
  <si>
    <t>Top Marketing Analytics Consulting Firms for Enterprise Data</t>
  </si>
  <si>
    <t>Clutch, Brighter Click, Acadia</t>
  </si>
  <si>
    <t>https://www.sealglobalholdings.com/ai-search-optimization-agency</t>
  </si>
  <si>
    <t>Best AI Search Optimization Agencies 2026 | Top GEO &amp; AEO Agency | Seal Global</t>
  </si>
  <si>
    <t>https://semnexus.com/best-aeo-agencies-in-the-us-for-2026/</t>
  </si>
  <si>
    <t>Best AEO Agencies in the US for 2026 | SEM Nexus</t>
  </si>
  <si>
    <t>Ignite Visibility, WebFX, Thrive Internet Marketing Agency</t>
  </si>
  <si>
    <t>https://www.semrush.com/agencies/list/display-advertising/united-states/</t>
  </si>
  <si>
    <t>Best Display Ads Agencies in United States 2026 \| Semrush</t>
  </si>
  <si>
    <t>https://www.seo.com/ai/companies/</t>
  </si>
  <si>
    <t>The Top AEO Companies for Boosting AI Search Visibility</t>
  </si>
  <si>
    <t>WebFX, Clutch, Victorious, Intero Digital, Elit-Web</t>
  </si>
  <si>
    <t>https://www.seodiscovery.com/blog/best-digital-marketing-companies-in-usa/</t>
  </si>
  <si>
    <t>Best Digital Marketing Companies in USA (2026 Edition)</t>
  </si>
  <si>
    <t>WebFX, SmartSites, Funnel Boost Media, Searchbloom, Huge</t>
  </si>
  <si>
    <t>https://shopiator.com/blog/best-google-ads-agencies-usa</t>
  </si>
  <si>
    <t>15 Best Google Ads Agencies in the USA (2026). Ranked &amp;amp; Reviewed | Shopiator</t>
  </si>
  <si>
    <t>SmartSites, LYFE Marketing, Tinuiti, Directive, WebFX, Disruptive Advertising, KlientBoost, Clutch, Ignite Visibility, Single Grain, HawkSEM, Searchbloom, Huge</t>
  </si>
  <si>
    <t>https://silverspoonagency.com/best-performance-marketing-agencies/</t>
  </si>
  <si>
    <t>7 Best Performance marketing agencies to Drive ROI in 2026</t>
  </si>
  <si>
    <t>https://www.sortlist.com/s/creative/united-states-us</t>
  </si>
  <si>
    <t>The 10 Best Creative Agencies in the United States - 2026 Reviews</t>
  </si>
  <si>
    <t>NinjaPromo, Momentum</t>
  </si>
  <si>
    <t>https://sourceforge.net/software/incrementality-testing/</t>
  </si>
  <si>
    <t>Best Incrementality Testing Tools of 2026 - Reviews &amp;amp; Comparison</t>
  </si>
  <si>
    <t>Measured, LifeSight, Sellforte, Rockerbox, Recast, Haus, Analytic Partners</t>
  </si>
  <si>
    <t>https://themarketingagency.ca/blog/top-creative-agencies-growth/</t>
  </si>
  <si>
    <t>10 Top Creative Agencies for 2026</t>
  </si>
  <si>
    <t>Superside, Wieden+Kennedy, VaynerMedia, Ogilvy, The Social Shepherd, DEPT, inBeat, Giant Spoon, Clutch, Momentum</t>
  </si>
  <si>
    <t>https://www.therealsocialcompany.com/blog/best-ai-marketing-agency-united-states</t>
  </si>
  <si>
    <t>Best AI Marketing Agency in the United States (2026) | The Real Social Company</t>
  </si>
  <si>
    <t>https://www.topbrandingagencies.io/top-branding-agencies-in-america</t>
  </si>
  <si>
    <t>Top 10 Branding Agencies in the USA (2025) – Industry-Leading Firms Ranked — Top Branding Agencies</t>
  </si>
  <si>
    <t>Wieden+Kennedy, Wolff Olins, Clay, BBDO, 72andSunny</t>
  </si>
  <si>
    <t>https://tryxlr8.ai/blogs/best-generative-engine-optimization-agencies#:~:text=XLR8%20AI%20offers%20extensive%20LLM,content%20creation%2C%20and%20page%20optimization.</t>
  </si>
  <si>
    <t>Best GEO Agencies 2026: 13 Ranked (One of Them Is Us — Here's Why) | XLR8 AI</t>
  </si>
  <si>
    <t>First Page Sage, Go Fish Digital, Omniscient Digital, Siege Media, iPullRank, WebFX, Directive, Graphite, Measured</t>
  </si>
  <si>
    <t>https://www.uforocks.com/blog/top-ai-seo-agencies-in-the-u-s/</t>
  </si>
  <si>
    <t>Top AI SEO Agencies in the U.S. - UFO Digital Marketing Agency</t>
  </si>
  <si>
    <t>Omniscient Digital, iPullRank, First Page Sage, WebFX, NoGood, Siege Media, NP Digital, SmartSites, Clutch, Marcel Digital, Thrive Internet Marketing Agency, Seer Interactive, Directive</t>
  </si>
  <si>
    <t>https://usanews.com/newsroom/top-digital-marketing-agencies-in-the-united-states</t>
  </si>
  <si>
    <t>Top Digital Marketing Agencies in the United States | USA News</t>
  </si>
  <si>
    <t>WebFX, Ignite Visibility, Disruptive Advertising, SmartSites</t>
  </si>
  <si>
    <t>https://valasys.com/best-aeo-agencies-b2b-brands/</t>
  </si>
  <si>
    <t>Best AEO Agencies for B2B Brands in 2026 | Top Picks Compared</t>
  </si>
  <si>
    <t>Thrive Internet Marketing Agency, Siege Media, First Page Sage, iPullRank, Single Grain, NoGood</t>
  </si>
  <si>
    <t>https://www.warroominc.com/blog/best-programmatic-advertising-agencies/#:~:text=Be%20sure%20to%20evaluate%20which%20would%20be,Advertising%3A%20%2D%20Fyber%3A%20%2D%20SmartyAds%3A%20%2D%20Choozel%3A</t>
  </si>
  <si>
    <t>14 best programmatic advertising agencies &amp;amp; platforms (2025)</t>
  </si>
  <si>
    <t>https://wildnetmarketing.agency/blog/top-digital-marketing-companies-list/</t>
  </si>
  <si>
    <t>Top 10 Digital Marketing Companies in USA 2026</t>
  </si>
  <si>
    <t>Ogilvy, Deloitte Digital, Digitas, VML, AKQA, Merkle, Accenture Song, Dentsu</t>
  </si>
  <si>
    <t>https://wildnetmarketing.agency/blog/top-programmatic-advertising-agencies-in-usa/#:~:text=Performance%20Media%2C%20Ad%20Tech%20Consulting.%20B2B%2C%20Healthcare%2C,ROI%2Dfocused%20Programmatic%20Engineering%20%26%20Automation.%20%2D%20Merkle.</t>
  </si>
  <si>
    <t>Top 10 Programmatic Advertising Agencies in USA 2026</t>
  </si>
  <si>
    <t>Merkle, Ogilvy, VML, Digitas, Accenture Song, Deloitte Digital, Publicis Groupe, Dentsu, Epsilon</t>
  </si>
  <si>
    <t>https://wolfable.com/best-creative-agencies/</t>
  </si>
  <si>
    <t>20 Best Creative Agencies in the World In 2026</t>
  </si>
  <si>
    <t>WPP, Ogilvy, VML, Wieden+Kennedy, Droga5, BBDO, AKQA, Anomaly, 72andSunny, Superside, The Social Shepherd, Momentum, Measured</t>
  </si>
  <si>
    <t>https://worldmetrics.org/service/creative-marketing/</t>
  </si>
  <si>
    <t>Top 10 Best Creative Marketing Services: 2026 Comparison</t>
  </si>
  <si>
    <t>WPP, Publicis Groupe, Publicis Sapient, Dentsu, Accenture Song, Ogilvy, R/GA, Disruptive Advertising, Clutch</t>
  </si>
  <si>
    <t>https://worldmetrics.org/service/full-digital-marketing/</t>
  </si>
  <si>
    <t>Best Full Digital Marketing Services (2026)</t>
  </si>
  <si>
    <t>WPP, Accenture Song, Dentsu, Publicis Groupe, Merkle, iProspect, Ignite Visibility, Clutch</t>
  </si>
  <si>
    <t>https://xchange.avixa.org/posts/10-best-digital-marketing-agencies-in-usa-2026#:~:text=The%20agency%20focuses%20on%20maximizing%20ROI%20through,marketing.%20Paid%20advertising.%20SEO%20services.%20Content%20strategy.</t>
  </si>
  <si>
    <t>10 Best Digital Marketing Agencies in USA (2026) | AVIXA Xchange</t>
  </si>
  <si>
    <t>SmartSites, Ignite Visibility, Victorious, Directive, Siege Media, WebFX, Single Grain, LYFE Marketing, Thrive Internet Marketing Agency</t>
  </si>
  <si>
    <t>https://xchange.avixa.org/posts/top-10-digital-marketing-companies-in-the-usa-for-2026#:~:text=Personalized%20client%20support.%20%2D%203.%20WebFX.%20WebFX,management.%20Data%2Ddriven%20campaign%20execution.%20Strong%20analytics%20capabilities.</t>
  </si>
  <si>
    <t>Top 10 Digital Marketing Companies in the USA for 2026 | AVIXA Xchange</t>
  </si>
  <si>
    <t>Clutch, WebFX, Ignite Visibility, Thrive Internet Marketing Agency, SmartSites, Disruptive Advertising</t>
  </si>
  <si>
    <t>https://www.youtube.com/watch?v=OR58Odpst7Q</t>
  </si>
  <si>
    <t>Top 12 Digital Marketing Agencies to Hire in 2026</t>
  </si>
  <si>
    <t>Disruptive Advertising, Amsive, Sociallyin</t>
  </si>
  <si>
    <t>https://zipdo.co/service/advertising-and-marketing/</t>
  </si>
  <si>
    <t>Best Advertising And Marketing Services (2026)</t>
  </si>
  <si>
    <t>WPP, Dentsu, Omnicom Media Group, Publicis Groupe, Accenture Song, Croud, Ignite Visibility, Disruptive Advertising, Clutch</t>
  </si>
  <si>
    <t>https://zipdo.co/service/agency-digital-marketing/</t>
  </si>
  <si>
    <t>Top 10 Best Agency Digital Marketing Services | 2026 Edition</t>
  </si>
  <si>
    <t>Dentsu, Publicis Groupe, WPP, Merkle, iProspect, VML, Ignite Visibility, Clutch</t>
  </si>
  <si>
    <t>https://zipdo.co/service/marketing-attribution/</t>
  </si>
  <si>
    <t>Top 10 Best Marketing Attribution Services | Top Picks 2026</t>
  </si>
  <si>
    <t>Northbeam, Merkle, Wpromote, PwC, Bounteous, Clutch</t>
  </si>
  <si>
    <t>https://12amagency.com/blog/digital-marketing-agency-for-small-business-comparison/</t>
  </si>
  <si>
    <t>Best digital marketing agency for small business – Expert Comparison 2025 - 12AM Agency</t>
  </si>
  <si>
    <t>Ignite Visibility, SmartSites, Thrive Internet Marketing Agency, WebFX</t>
  </si>
  <si>
    <t>https://www.20northmarketing.com/blog/best-marketing-agencies-atlanta</t>
  </si>
  <si>
    <t>Best Marketing Agencies in Atlanta | Atlanta Digital Marketing | 20North</t>
  </si>
  <si>
    <t>https://www.50pros.com/hire/conversion-rate-optimization/ab-and-multivariate-testing</t>
  </si>
  <si>
    <t>Top A/B &amp; Multivariate Testing Agencies to Hire in June 2026</t>
  </si>
  <si>
    <t>https://www.50pros.com/hire/digital-marketing/marketing-analytics-and-reporting</t>
  </si>
  <si>
    <t>Top Marketing Analytics &amp; Reporting Agencies to Hire in June 2026</t>
  </si>
  <si>
    <t>https://7span.com/blog/branding-agencies</t>
  </si>
  <si>
    <t>Top 11 Creative Branding Agencies in 2025 | 7Span</t>
  </si>
  <si>
    <t>Clay</t>
  </si>
  <si>
    <t>https://www.abbacustechnologies.com/top-ai-consulting-firms-in-2026/</t>
  </si>
  <si>
    <t>Top AI Consulting Firms in 2026</t>
  </si>
  <si>
    <t>IBM, McKinsey, Anomaly</t>
  </si>
  <si>
    <t>https://www.abbacustechnologies.com/top-ai-development-companies-in-dubai/</t>
  </si>
  <si>
    <t>Top AI Development Companies in Dubai</t>
  </si>
  <si>
    <t>https://www.abetheagency.com/blog/best-b2b-social-media-agencies-for-paid-social-2026</t>
  </si>
  <si>
    <t>25 Best B2B Social Media Agencies for Paid Social (2026)</t>
  </si>
  <si>
    <t>Clutch, WebFX, NinjaPromo, Directive, Disruptive Advertising, Viral Nation, Acadia, NoGood, inBeat, Avenue Z, Measured, Darkroom</t>
  </si>
  <si>
    <t>https://adastracorp.com/articles/top-data-analytics-companies-to-compare-in-2026-usa-canada/#:~:text=HQ%3A%20Cary%2C%20NC%20with%20global%20operations%3B%207%2C983,regulatory%20reporting%2C%20and%20proven%20analytics%20software.%207.</t>
  </si>
  <si>
    <t>Top Data Analytics Companies | 2026</t>
  </si>
  <si>
    <t>McKinsey, IBM</t>
  </si>
  <si>
    <t>https://www.addwebsolution.com/blog/ai-marketing-agencies</t>
  </si>
  <si>
    <t>Top 10 AI Marketing Agencies that Elevate Your Brand for 2025</t>
  </si>
  <si>
    <t>Single Grain, NoGood, Major Tom, SmartSites, Clutch</t>
  </si>
  <si>
    <t>https://adgeeks.agency/blogs/best-programmatic-dsp-agencies-for-google-dv360-access-in-2026</t>
  </si>
  <si>
    <t>Best Programmatic DSP Agencies for Google DV360 in 2026</t>
  </si>
  <si>
    <t>Jellyfish, Kepler Group, Tinuiti, Merkle, Dentsu</t>
  </si>
  <si>
    <t>https://adspyder.io/blog/top-25-global-ad-agencies/</t>
  </si>
  <si>
    <t>Top 25 Global Ad Agencies in July 2026 | Ranking &amp;amp; Revenue</t>
  </si>
  <si>
    <t>Publicis Groupe, WPP, Ogilvy, Accenture Song, Dentsu, Epsilon, Merkle, BBDO, Droga5, PwC, Publicis Sapient, iProspect, VML, Anomaly, 72andSunny, Wieden+Kennedy, R/GA, Measured</t>
  </si>
  <si>
    <t>https://adzooma.com/blog/top-10-advertising-agencies-in-the-uk/</t>
  </si>
  <si>
    <t>Top 10 Advertising Agencies In The UK | Adzooma</t>
  </si>
  <si>
    <t>Ogilvy, VML</t>
  </si>
  <si>
    <t>https://agencies.semrush.com/list/</t>
  </si>
  <si>
    <t>Best Digital Marketing Agencies in the World 2026 | Semrush</t>
  </si>
  <si>
    <t>https://agencies.semrush.com/list/advertising/united-states/</t>
  </si>
  <si>
    <t>Best Advertising Agencies in United States 2026 | Semrush</t>
  </si>
  <si>
    <t>https://agencies.semrush.com/list/ai-optimization/united-states/small-business/</t>
  </si>
  <si>
    <t>Best AI Search Optimization Agencies for Small Business in United States 2026 | Semrush</t>
  </si>
  <si>
    <t>https://agencies.semrush.com/list/los-angeles/</t>
  </si>
  <si>
    <t>Best Digital Marketing Agencies in Los Angeles 2026 | Semrush</t>
  </si>
  <si>
    <t>https://agencies.semrush.com/list/machine-learning-and-ai/business-professional-services/united-states/</t>
  </si>
  <si>
    <t>Best B2B Services Machine Learning and AI Services in United States 2026 | Semrush</t>
  </si>
  <si>
    <t>https://agencies.semrush.com/list/programmatic-advertising/arts-entertainment/united-states/</t>
  </si>
  <si>
    <t>Best Media &amp;amp; Entertainment Programmatic Advertising Agencies in United States 2026 | Semrush</t>
  </si>
  <si>
    <t>SmartSites, Elit-Web, Silverback Strategies, Measured, Funnel Boost Media</t>
  </si>
  <si>
    <t>https://agencylist.com/services/programmatic-display-and-video/us/florida/</t>
  </si>
  <si>
    <t>Top Programmatic Display and Video Agencies in Florida, United States</t>
  </si>
  <si>
    <t>https://www.agencyspotter.com/top/digital-marketing-agencies</t>
  </si>
  <si>
    <t>Top 100 Digital Agencies Report | Agency Spotter</t>
  </si>
  <si>
    <t>Major Tom, Sociallyin, Huge, Haus</t>
  </si>
  <si>
    <t>https://www.agencyspotter.com/top/media-planning-and-strategy-agencies</t>
  </si>
  <si>
    <t>Top 10 Media Planning &amp;amp; Strategy Agencies Report | Agency Spotter</t>
  </si>
  <si>
    <t>https://aiadvantageagency.com/facebook-ads-agency/</t>
  </si>
  <si>
    <t>Best Facebook Ads Agency for Ecommerce: 7 Agencies Ranked</t>
  </si>
  <si>
    <t>Common Thread Collective, MuteSix, Dentsu, Disruptive Advertising, KlientBoost, LYFE Marketing</t>
  </si>
  <si>
    <t>https://www.aikenhouse.com/post/8-top-ai-consulting-companies-to-consider-2026-review-comparison</t>
  </si>
  <si>
    <t>8 Top AI Consulting Companies to Consider: 2026 Review + Comparison | Aiken House Blog</t>
  </si>
  <si>
    <t>McKinsey, QuantumBlack, IBM, BCG, Anomaly, Merkle</t>
  </si>
  <si>
    <t>https://www.airpost.ai/blog/best-performance-marketing-agencies</t>
  </si>
  <si>
    <t>8 Best performance marketing agencies in 2026</t>
  </si>
  <si>
    <t>Tinuiti, Power Digital, Jellyfish, Brandtech, AKQA, WPP, MuteSix, Dentsu, Common Thread Collective, Disruptive Advertising</t>
  </si>
  <si>
    <t>https://aisera.com/blog/ai-agent-development-companies-and-platforms/</t>
  </si>
  <si>
    <t>Top 10 AI Agent Development Companies and Platforms</t>
  </si>
  <si>
    <t>IBM, Anomaly</t>
  </si>
  <si>
    <t>https://ajelix.com/ai/best-ai-agents/</t>
  </si>
  <si>
    <t>The 8 Best AI Agents in 2026 (Reviewed By Our Team) - Ajelix</t>
  </si>
  <si>
    <t>https://algoscale.com/blog/top-business-intelligence-consulting-companies/</t>
  </si>
  <si>
    <t>Top 15 Business Intelligence Consulting Companies in May 2026</t>
  </si>
  <si>
    <t>IBM, PwC, Anomaly, Slalom, Fractal Analytics</t>
  </si>
  <si>
    <t>https://alignedagency.io/best-ai-marketing-agencies-for-2026/</t>
  </si>
  <si>
    <t>Best AI Marketing Agencies for 2026 - Aligned Agency</t>
  </si>
  <si>
    <t>NoGood, Single Grain, inBeat, Keenfolks, SmartSites, Omniscient Digital, Tinuiti, Viral Nation, Momentum</t>
  </si>
  <si>
    <t>https://amworldgroup.com/best/ai-marketing-agencies</t>
  </si>
  <si>
    <t>Best AI Marketing Agencies 2026 | Top 8 Reviewed | AMW®</t>
  </si>
  <si>
    <t>https://www.analyticsinsight.net/amp/story/digital-marketing/top-aeo-agencies-in-usa-best-2026-picks-for-ai-search-optimization</t>
  </si>
  <si>
    <t>Top AEO Agencies in the USA in 2026 for AI Search Growth</t>
  </si>
  <si>
    <t>WebFX, First Page Sage, RevenueZen, Siege Media, NoGood, iPullRank</t>
  </si>
  <si>
    <t>https://www.anml.com/blog/best-b2b-web-design-agencies-in-2026</t>
  </si>
  <si>
    <t>10 Best B2B Web Design Agencies in 2026 | ANML</t>
  </si>
  <si>
    <t>R/GA, DEPT, Huge, Monks, Pentagram, Clutch</t>
  </si>
  <si>
    <t>https://www.answermaniac.ai/best-geo-agencies</t>
  </si>
  <si>
    <t>11 Best Generative Engine Optimization (GEO) Agencies [2026] | AnswerManiac</t>
  </si>
  <si>
    <t>Intero Digital, Measured</t>
  </si>
  <si>
    <t>https://appkod.com/blogs/paid-media-agencies-us/</t>
  </si>
  <si>
    <t>Top 17 Paid Media Agencies in the U.S. (2025) -</t>
  </si>
  <si>
    <t>The Social Shepherd, Marcel Digital, IBM</t>
  </si>
  <si>
    <t>https://www.askneedle.com/blog/best-ai-marketing-tools</t>
  </si>
  <si>
    <t>12 Best AI Marketing Tools for DTC Brands in 2026</t>
  </si>
  <si>
    <t>Huge, McKinsey, PwC</t>
  </si>
  <si>
    <t>https://aspiremarketers.com/top-performance-marketing-companies/</t>
  </si>
  <si>
    <t>Top Performance Marketing Companies for Business Growth</t>
  </si>
  <si>
    <t>https://athenahq.ai/articles/best-ai-seo-tools</t>
  </si>
  <si>
    <t>8 Best AI SEO Tools for 2026 (Tested Firsthand) | Action on AI Search</t>
  </si>
  <si>
    <t>https://www.awesomic.com/blog/full-service-creative-agencies</t>
  </si>
  <si>
    <t>Best Full Service Creative Agencies in 2026: Top Picks for Fast, Affordable Work</t>
  </si>
  <si>
    <t>Droga5, Ogilvy, Wieden+Kennedy, VaynerMedia, Pentagram, BBDO, Accenture Song, Huge, Momentum</t>
  </si>
  <si>
    <t>https://awisee.com/ru/blog/paid-social-media-agencies/</t>
  </si>
  <si>
    <t>Best Paid Social Media Agencies for 2025 – Full Guide</t>
  </si>
  <si>
    <t>VaynerMedia, Power Digital</t>
  </si>
  <si>
    <t>https://www.awwwards.com/the-10-best-agencies-in-new-york-city.html</t>
  </si>
  <si>
    <t>The 10 Best Agencies in New York City</t>
  </si>
  <si>
    <t>Huge, R/GA, DEPT, AKQA, Droga5</t>
  </si>
  <si>
    <t>https://www.barchart.com/story/news/1344974/designrush-unveils-april-2026-ranking-of-top-10-ppc-companies</t>
  </si>
  <si>
    <t>DesignRush Unveils April 2026 Ranking of Top 10 PPC Companies</t>
  </si>
  <si>
    <t>Momentum, SmartSites, Searchbloom, Disruptive Advertising, Silverback Strategies, Intero Digital, Funnel Boost Media</t>
  </si>
  <si>
    <t>https://www.best-masters.com/master-marketing-ranking.html</t>
  </si>
  <si>
    <t>Best Master in Marketing 2026 - Worldwide Ranking</t>
  </si>
  <si>
    <t>Measured, McKinsey</t>
  </si>
  <si>
    <t>https://bestaiseoagencies.com/</t>
  </si>
  <si>
    <t>10 Best AI SEO Agencies 2026 - Independent Rankings</t>
  </si>
  <si>
    <t>Victorious, Clutch, Directive, Seer Interactive, Intero Digital, Funnel Boost Media</t>
  </si>
  <si>
    <t>https://blackthorn-vision.com/blog/top-10-seo-companies-in-the-usa/</t>
  </si>
  <si>
    <t>Top 10 SEO Companies in the USA (2026) — Honest Reviews, Pricing &amp;amp; Comparison</t>
  </si>
  <si>
    <t>WebFX, Victorious, NP Digital, Siege Media, Directive, Ignite Visibility, Thrive Internet Marketing Agency, SmartSites, Clutch</t>
  </si>
  <si>
    <t>https://blazonagency.com/post/top-ad-agencies</t>
  </si>
  <si>
    <t>Top Ad Agencies in 2026 — Who's Actually Delivering Results?</t>
  </si>
  <si>
    <t>Momentum, Anomaly, inBeat, R/GA, VaynerMedia</t>
  </si>
  <si>
    <t>https://www.blendb2b.com/resources/best-aeo-agencies-for-logistics-companies?hs_amp=true</t>
  </si>
  <si>
    <t>The 6 best AEO agencies for logistics companies in 2026</t>
  </si>
  <si>
    <t>RevenueZen, Omniscient Digital, NoGood, First Page Sage, Animalz</t>
  </si>
  <si>
    <t>https://blog.brandburp.com/10-best-digital-marketing-agencies-in-new-york/</t>
  </si>
  <si>
    <t>10 Best Digital Marketing Agencies in New York</t>
  </si>
  <si>
    <t>NoGood, Wpromote, SmartSites, Thrive Internet Marketing Agency, Disruptive Advertising, WebFX, Darkroom</t>
  </si>
  <si>
    <t>https://www.blog.udonis.co/top-agencies/marketing-consulting-firms</t>
  </si>
  <si>
    <t>18 Best Marketing Consulting Firms to Hire in 2026</t>
  </si>
  <si>
    <t>Accenture Song, Deloitte Digital, McKinsey, BCG, Bain &amp; Company, Ogilvy, Slalom, Monks, Wpromote, R/GA, IBM, TransUnion</t>
  </si>
  <si>
    <t>https://www.bloggingtips.com/assets/outsourcing/seo</t>
  </si>
  <si>
    <t>15+ Best SEO Agencies For 2024 [Ranked]</t>
  </si>
  <si>
    <t>Ignite Visibility, SmartSites, WebFX, Seer Interactive</t>
  </si>
  <si>
    <t>https://www.bolderagency.com/journal/startup-branding-agency-guide-2026-best-us-agencies-for-strategic-brand-building</t>
  </si>
  <si>
    <t>Startup branding agency guide: best USA agencies for strategic brand building</t>
  </si>
  <si>
    <t>Pentagram, Clay, Wolff Olins, Clutch</t>
  </si>
  <si>
    <t>https://www.brandedagency.com/blog/top-digital-marketing-agencies</t>
  </si>
  <si>
    <t>Best Digital Marketing Agencies for Growth in 2026</t>
  </si>
  <si>
    <t>Measured, Clutch, WebFX, Thrive Internet Marketing Agency, LYFE Marketing, Ignite Visibility, NinjaPromo</t>
  </si>
  <si>
    <t>https://www.breakingb2b.com/blog/best-aeo-agency</t>
  </si>
  <si>
    <t>Best AEO Agency: Our Top 11 Picks for 2026</t>
  </si>
  <si>
    <t>Omniscient Digital, Animalz, Siege Media, First Page Sage, NoGood, RevenueZen, Measured</t>
  </si>
  <si>
    <t>https://brillmedia.co/locations/best-ad-agencies-in-california/</t>
  </si>
  <si>
    <t>Best Ad Agencies in California | Brill Media</t>
  </si>
  <si>
    <t>https://brillmedia.co/resources/best-bing-ads-agencies/</t>
  </si>
  <si>
    <t>Best Bing Ads Agencies | Bing PPC Management Agency</t>
  </si>
  <si>
    <t>AdVenture Media, NinjaPromo, Thrive Internet Marketing Agency, Disruptive Advertising</t>
  </si>
  <si>
    <t>https://brillmedia.co/resources/display-ads-best-practices/</t>
  </si>
  <si>
    <t>Display Ads Best Practices 2025 | Brill Media</t>
  </si>
  <si>
    <t>https://www.builtincolorado.com/articles/consulting-firms-colorado</t>
  </si>
  <si>
    <t>14 Top Colorado Consulting Firms | Built In Colorado</t>
  </si>
  <si>
    <t>https://business.adobe.com/blog/basics/marketing-attribution</t>
  </si>
  <si>
    <t>Marketing attribution — models and best practices</t>
  </si>
  <si>
    <t>https://www.businessinsider.com/top-geo-tips-ai-search-google-microsoft-perplexity-2025-12</t>
  </si>
  <si>
    <t>Top GEO Tips for AI Search From Google, Microsoft, Perplexity - Business Insider</t>
  </si>
  <si>
    <t>McKinsey, WPP</t>
  </si>
  <si>
    <t>https://c3digitus.com/blog/top-digital-marketing-agencies-usa/</t>
  </si>
  <si>
    <t>Top 10 Digital Marketing Agencies for Growth in the USA</t>
  </si>
  <si>
    <t>WebFX, SmartSites, Ignite Visibility, Disruptive Advertising, NP Digital, Power Digital, KlientBoost, Clutch, IBM</t>
  </si>
  <si>
    <t>https://cabinco.com/best-ai-consulting-firms/</t>
  </si>
  <si>
    <t>Best AI Consulting Firms 2026: Giants vs Boutiques</t>
  </si>
  <si>
    <t>McKinsey, QuantumBlack, IBM, BCG, Clutch, PwC</t>
  </si>
  <si>
    <t>https://www.callboxinc.com/lead-generation/business-to-business-marketing-companies/#:~:text=Services%3A%20Appointment%20setting%20%C2%B7%20Account%2Dbased%20marketing%20%C2%B7,SaaS%20marketing%20%C2%B7%20SEO.%20%2D%20Refine%20Labs.</t>
  </si>
  <si>
    <t>Top B2B Marketing Companies in 2026 | Callbox</t>
  </si>
  <si>
    <t>Directive, Refine Labs, Siege Media</t>
  </si>
  <si>
    <t>https://www.campaignlive.com/article/final-2024-us-media-agency-rankings-in-claimed-top-spot/1907166</t>
  </si>
  <si>
    <t>Final 2024 US media agency rankings are in: Who claimed the top spot? | Campaign US</t>
  </si>
  <si>
    <t>Omnicom Media Group, iProspect, Dentsu, WPP, GroupM, Horizon Media, Publicis Groupe</t>
  </si>
  <si>
    <t>https://www.causalityengine.ai/resources/best-incrementality-testing-platforms</t>
  </si>
  <si>
    <t>Best Incrementality Testing Platforms for True ROI. Causality Engine</t>
  </si>
  <si>
    <t>Measured, Recast, Triple Whale, Northbeam, Rockerbox</t>
  </si>
  <si>
    <t>https://cio.economictimes.indiatimes.com/tools/best-customer-data-platforms/127611075</t>
  </si>
  <si>
    <t>Top 10 Customer Data Platforms for Enterprises in 2026, ETCIO</t>
  </si>
  <si>
    <t>McKinsey, Huge</t>
  </si>
  <si>
    <t>https://www.ciocoverage.com/top-10-leading-google-partners-to-watch-in-2022/</t>
  </si>
  <si>
    <t>Top 10 Leading Google Partners to Watch in 2022 – CIOCoverage- Driven for Technology Leaders</t>
  </si>
  <si>
    <t>Adswerve, Bounteous</t>
  </si>
  <si>
    <t>https://www.cisin.com/coffee-break/software-development-companies-in-the-usa.html</t>
  </si>
  <si>
    <t>Top Software Development Companies in the USA: A Guide</t>
  </si>
  <si>
    <t>https://www.citeme.io/ressources/geo-agency</t>
  </si>
  <si>
    <t>GEO Agency: The 7 Best GEO Agencies in 2026 | Citeme</t>
  </si>
  <si>
    <t>Measured, Graphite, Omniscient Digital, Go Fish Digital, Siege Media, First Page Sage, Directive</t>
  </si>
  <si>
    <t>https://citrusbug.com/blog/mobile-app-development-agencies/</t>
  </si>
  <si>
    <t>Top 10 Best Mobile App Development agencies in 2026</t>
  </si>
  <si>
    <t>https://clay.global/blog/best-web-design-agencies</t>
  </si>
  <si>
    <t>Top Web Design Agencies in 2026: Hand-Picked Best Firms for High-Conversion Websites | Clay</t>
  </si>
  <si>
    <t>Clay, Deloitte Digital, DEPT, R/GA, AKQA, Clutch, Momentum, Pentagram</t>
  </si>
  <si>
    <t>https://www.clearleaddigital.com/blog/2025-guide-top-seo-marketing-agencies</t>
  </si>
  <si>
    <t>Best Search Marketing Agencies 2026: 15 Top Firms Reviewed</t>
  </si>
  <si>
    <t>NoGood, SmartSites, Disruptive Advertising, HawkSEM, Funnel Boost Media, KlientBoost, WebFX, Thrive Internet Marketing Agency, Measured, Directive</t>
  </si>
  <si>
    <t>https://clicksgeek.com/best-google-ads-management-companies/</t>
  </si>
  <si>
    <t>Best Google Ads Management Companies: 2026 Guide &amp;amp; Tips</t>
  </si>
  <si>
    <t>Disruptive Advertising, WebFX, KlientBoost, Directive, Tinuiti, Ignite Visibility, Thrive Internet Marketing Agency, Brainlabs</t>
  </si>
  <si>
    <t>https://clicksgeek.com/best-google-premier-partners/</t>
  </si>
  <si>
    <t>Best Google Premier Partners: Agency Selection Guide</t>
  </si>
  <si>
    <t>https://clicksgeek.com/best-marketing-agency-for-roi/</t>
  </si>
  <si>
    <t>Best Marketing Agency For ROI: 7 Proven Strategies</t>
  </si>
  <si>
    <t>https://clicksgeek.com/best-roi-digital-marketing-agencies/</t>
  </si>
  <si>
    <t>Best ROI Digital Marketing Agencies: Expert Guide 2026</t>
  </si>
  <si>
    <t>https://clicksgeek.com/best-roi-focused-marketing-agency/</t>
  </si>
  <si>
    <t>Best ROI Focused Marketing Agency: 7 Proven Strategies</t>
  </si>
  <si>
    <t>https://clicksgeek.com/best-roi-marketing-agencies/</t>
  </si>
  <si>
    <t>Best ROI Marketing Agencies: 7 Proven Strategies 2026</t>
  </si>
  <si>
    <t>https://clicksgeek.com/display-advertising-management-services/</t>
  </si>
  <si>
    <t>9 Best Display Advertising Management Services 2026</t>
  </si>
  <si>
    <t>WebFX, Disruptive Advertising, KlientBoost, Directive, Measured, Tinuiti</t>
  </si>
  <si>
    <t>https://clicksgeek.com/paid-media-buying-services/</t>
  </si>
  <si>
    <t>9 Best Paid Media Buying Services to Scale Ads 2026</t>
  </si>
  <si>
    <t>WebFX, Disruptive Advertising, KlientBoost, Directive, Tinuiti, Ignite Visibility, AdVenture Media</t>
  </si>
  <si>
    <t>https://clickstrike.com/blog/ai-marketing-agencies/</t>
  </si>
  <si>
    <t>Top AI Marketing Agencies in 2026: 7 Best Partners for AI Companies | Clickstrike</t>
  </si>
  <si>
    <t>NoGood, Directive, Single Grain, NinjaPromo</t>
  </si>
  <si>
    <t>https://cloudconsultingfirms.com/insights/it-services-companies/</t>
  </si>
  <si>
    <t>Top IT Services Companies for Cloud (2026): Independent Comparison</t>
  </si>
  <si>
    <t>Clutch, Slalom, IBM, Measured</t>
  </si>
  <si>
    <t>https://clutch.co/agencies/media-buying?page=0</t>
  </si>
  <si>
    <t>Top Media Buying &amp; Planning Agencies - Jul 2026 Rankings \| Clutch.co</t>
  </si>
  <si>
    <t>Clutch, Accelerated Digital Media, Major Tom, NP Digital, Tinuiti</t>
  </si>
  <si>
    <t>https://clutch.co/us/agencies/digital-marketing/small-business#:~:text=%2410%2C000%2B%20250%20%2D%20999.%20San%20Diego%2C%20CA.,execution%2C%20strong%20communication%2C%20and%20impressive%20project%20management.</t>
  </si>
  <si>
    <t>Top Digital Marketing Agencies for Small Business in the United States - Jul 2026 Rankings \| Clutch.co</t>
  </si>
  <si>
    <t>Clutch, Thrive Internet Marketing Agency, Intero Digital, Disruptive Advertising, Ignite Visibility, Elit-Web, NinjaPromo, SmartSites, HawkSEM, Acadia</t>
  </si>
  <si>
    <t>https://clutch.co/us/agencies/ppc/display?page=10</t>
  </si>
  <si>
    <t>Page 10 - Top Display Advertising Agencies in the United States - Jul 2026 Rankings | Clutch.co</t>
  </si>
  <si>
    <t>https://coinbound.io/top-ai-marketing-agencies/</t>
  </si>
  <si>
    <t>The Best AI Marketing Agencies for 2026: 5 Top Choices</t>
  </si>
  <si>
    <t>NoGood, Single Grain, Momentum</t>
  </si>
  <si>
    <t>https://www.columnfivemedia.com/top-b2b-marketing-agency-for-ai-saas/</t>
  </si>
  <si>
    <t>Top B2B Marketing Agency for AI SaaS: 2026 list</t>
  </si>
  <si>
    <t>Momentum, Omniscient Digital</t>
  </si>
  <si>
    <t>https://compare.growthmarshal.io/best-ai-search-optimization-agencies-2026/</t>
  </si>
  <si>
    <t>Best AI Search Optimization Agencies 2026 | Ranked</t>
  </si>
  <si>
    <t>First Page Sage, Directive, Omniscient Digital, Siege Media, RevenueZen, Animalz</t>
  </si>
  <si>
    <t>https://contensifyhq.com/blog/best-geo-agencies-for-b2b-saas/</t>
  </si>
  <si>
    <t>Best GEO Agencies for B2B SaaS Companies (2026) | Contensify</t>
  </si>
  <si>
    <t>First Page Sage, WebFX, The SEO Works</t>
  </si>
  <si>
    <t>https://contently.com/2025/07/17/top-10-agencies-leading-answer-engine-optimization-aeo-in-2025/#:~:text=New%2DYork%2Dbased%20NoGood%20launched%20a%20stand%2Dalone%20Answer%20Engine,AI%2Dsearch%20wins%20for%20fintech%20and%20health%2Dcare%20clients.</t>
  </si>
  <si>
    <t>Top 10 Agencies Leading Answer Engine Optimization (AEO) in 2025 - Contently</t>
  </si>
  <si>
    <t>NoGood, Brainlabs, NP Digital, Single Grain</t>
  </si>
  <si>
    <t>https://coolnerdsmarketing.com/best-integrated-marketing-agencies/</t>
  </si>
  <si>
    <t>15 Best Integrated Marketing Agencies &amp;amp; Services in 2026</t>
  </si>
  <si>
    <t>Wpromote, Tinuiti, Power Digital, Disruptive Advertising, DEPT, NinjaPromo, KlientBoost, WebFX, SmartSites</t>
  </si>
  <si>
    <t>https://coolnerdsmarketing.com/marketing-agencies-usa/</t>
  </si>
  <si>
    <t>Top Marketing Agencies in the USA (January 2026)</t>
  </si>
  <si>
    <t>Wieden+Kennedy, Droga5, R/GA, AKQA, Publicis Groupe, 72andSunny, Huge, Ogilvy, VML</t>
  </si>
  <si>
    <t>https://coolnerdsmarketing.com/top-omnichannel-marketing-agencies/</t>
  </si>
  <si>
    <t>Top 10 Omnichannel Marketing Agencies in 2026</t>
  </si>
  <si>
    <t>R/GA, DEPT, Tinuiti, Bounteous, Huge, AKQA</t>
  </si>
  <si>
    <t>https://www.coseom.com/best-b2b-marketing-agencies-for-saas-fintech-and-cybersecurity/</t>
  </si>
  <si>
    <t>15 Best B2B Marketing Agencies for SaaS, FinTech, Cybersecurity | COSEOM®</t>
  </si>
  <si>
    <t>Measured, Ignite Visibility, KlientBoost, WebFX, Single Grain, Clutch</t>
  </si>
  <si>
    <t>https://craftandroot.com/blog/saas-tech-branding-agencies/</t>
  </si>
  <si>
    <t>Top 7 SaaS &amp;amp; Tech Branding Agencies in the US (2026)</t>
  </si>
  <si>
    <t>Clay, Measured</t>
  </si>
  <si>
    <t>https://craftandroot.com/blog/web-marketing-agencies/</t>
  </si>
  <si>
    <t>Top 7 Web Marketing Agencies - Craft and Root | Branding and Design Agency</t>
  </si>
  <si>
    <t>Dentsu, Thrive Internet Marketing Agency, WebFX, Ignite Visibility, SmartSites, Disruptive Advertising, Clutch</t>
  </si>
  <si>
    <t>https://creatif.agency/best-branding-agencies-in-the-us/</t>
  </si>
  <si>
    <t>Best branding agencies in the US</t>
  </si>
  <si>
    <t>Pentagram, Wolff Olins, Clay</t>
  </si>
  <si>
    <t>https://creativeformore.com/top-cross-border-marketing-agencies-helping-u-s-brands-expand-into-asia/</t>
  </si>
  <si>
    <t>Top Cross-Border Marketing Agencies for U.S. Brands Expanding Into Asia (2026)</t>
  </si>
  <si>
    <t>R/GA, Ogilvy, Dentsu, Clutch</t>
  </si>
  <si>
    <t>https://www.creativefrontiers.co/blog/best-creative-agency-nyc-elevate-your-brand-with-expert-solutions</t>
  </si>
  <si>
    <t>Best Creative Agency NYC: Elevate Your Brand with Expert Solutions | Creative Frontiers</t>
  </si>
  <si>
    <t>Pentagram, R/GA, Clutch</t>
  </si>
  <si>
    <t>https://creativemediahouse.ae/top-10-creative-agencies-in-gcc/</t>
  </si>
  <si>
    <t>Top 10 Emirati Creative Agencies in GCC | Creative Maketing</t>
  </si>
  <si>
    <t>https://cybersecuritymarketingagencies.com/best-cybersecurity-marketing-agency</t>
  </si>
  <si>
    <t>Best Cybersecurity Marketing Agency 2026: How to Compare and Choose</t>
  </si>
  <si>
    <t>https://www.daasity.com/post/best-ecommerce-analytics-software-for-fast-growing-dtc-brands</t>
  </si>
  <si>
    <t>Best Ecommerce Analytics Software for Fast-Growing DTC Brands | Daasity</t>
  </si>
  <si>
    <t>Triple Whale, Northbeam</t>
  </si>
  <si>
    <t>https://www.darwinapps.com/blog/9-best-marketing-measurement-tools-for-attribution-analytics-and-data-integration-in-2026/</t>
  </si>
  <si>
    <t>9 Best Marketing Measurement Tools for Attribution, Analytics &amp;amp; Data Integration in 2026 · DarwinApps</t>
  </si>
  <si>
    <t>SegmentStream, Triple Whale, Northbeam, Measured, Rockerbox</t>
  </si>
  <si>
    <t>https://www.dataally.ai/blog/best-beauty-marketing-agencies</t>
  </si>
  <si>
    <t>12 Best Beauty Marketing Agencies in 2026 (Ranked &amp;amp; Reviewed)</t>
  </si>
  <si>
    <t>Brighter Click, Common Thread Collective, NoGood, inBeat</t>
  </si>
  <si>
    <t>https://www.dataally.ai/blog/best-saas-marketing-agencies</t>
  </si>
  <si>
    <t>11 Best SaaS Marketing Agencies in 2026</t>
  </si>
  <si>
    <t>Brighter Click, Directive, Animalz, Siege Media, KlientBoost</t>
  </si>
  <si>
    <t>https://delivix.digital/marketing/marketing-agencies-in-the-usa/</t>
  </si>
  <si>
    <t>Top 10 Marketing Agencies in the USA | Best Digital Marketing Firms 2026</t>
  </si>
  <si>
    <t>WebFX, SmartSites, Disruptive Advertising, Ignite Visibility, Power Digital, Ogilvy, Intero Digital, Victorious, KlientBoost</t>
  </si>
  <si>
    <t>https://delivix.digital/seo/top-10-social-media-agencies-globally/</t>
  </si>
  <si>
    <t>Top 10 Social Media Agencies Globally - Delivix</t>
  </si>
  <si>
    <t>LYFE Marketing, WebFX, Clutch, Viral Nation, The Social Shepherd, Disruptive Advertising, SmartSites</t>
  </si>
  <si>
    <t>https://www.demandsage.com/saas-content-marketing-agencies/</t>
  </si>
  <si>
    <t>13 Best SaaS Content Marketing Agencies 2026 [Ranked]</t>
  </si>
  <si>
    <t>Omniscient Digital, Animalz, Siege Media, Hey Digital, Directive, NoGood, NP Digital, Measured, Clutch</t>
  </si>
  <si>
    <t>https://www.designity.com/blog/best-branding-agencies-for-startups</t>
  </si>
  <si>
    <t>10 Best Branding Agencies for Startups in 2026 - Designity - Designity</t>
  </si>
  <si>
    <t>Pentagram, Clutch, Clay, Ogilvy, IBM</t>
  </si>
  <si>
    <t>https://www.designrush.com/agency/ad-agencies/missouri/kansas-city</t>
  </si>
  <si>
    <t>Top Advertising Agencies in Kansas City | 2026</t>
  </si>
  <si>
    <t>Searchbloom, Funnel Boost Media, Huge, SmartSites, Disruptive Advertising, VML</t>
  </si>
  <si>
    <t>https://www.designrush.com/agency/digital-marketing/digital-advertising/us</t>
  </si>
  <si>
    <t>Top Digital Advertising Agencies in the United States | 2026</t>
  </si>
  <si>
    <t>Searchbloom, Funnel Boost Media, Huge, SmartSites, Disruptive Advertising, IBM, Silverback Strategies, Intero Digital, PwC, NinjaPromo, Elit-Web, Major Tom</t>
  </si>
  <si>
    <t>https://www.designrush.com/agency/media-buying-agencies/us</t>
  </si>
  <si>
    <t>Top Media Buying Agencies in US 2026 | DesignRush</t>
  </si>
  <si>
    <t>Searchbloom, AdVenture Media, Clutch, Nielsen, Web Tonic, Measured</t>
  </si>
  <si>
    <t>https://deviatelabs.com/resources/12-best-performance-marketing-agencies-crushing-kpis/#:~:text=With%20%244B%20in%20digital%20media%20under%20management,achieve%20perfect%20harmony.%20What%20makes%20Tinuiti%20special%3F</t>
  </si>
  <si>
    <t>12 Best Performance Marketing Agencies Crushing KPIs in 2026 \| Deviate Labs</t>
  </si>
  <si>
    <t>https://diceus.com/top-generative-ai-consulting-companies/</t>
  </si>
  <si>
    <t>Top 10 Generative AI Consulting Companies for 2026 \| DICEUS</t>
  </si>
  <si>
    <t>McKinsey, QuantumBlack, PwC, IBM, Clutch</t>
  </si>
  <si>
    <t>https://www.digidir.com/digital-marketing-service-in-usa/</t>
  </si>
  <si>
    <t>Digital Marketing Agency in USA | Best Advertising and Social Media Service Provider Company USA</t>
  </si>
  <si>
    <t>https://digital-hunch.com/blog/best-fractional-cmo-companies/</t>
  </si>
  <si>
    <t>Best Fractional CMO Companies | Clutch-Verified List 2026</t>
  </si>
  <si>
    <t>Clutch, NoGood, Momentum</t>
  </si>
  <si>
    <t>https://digitalagencynetwork.com/agencies/san-diego/</t>
  </si>
  <si>
    <t>Best Digital Marketing Agencies in San Diego | Digital Agency Network</t>
  </si>
  <si>
    <t>Ignite Visibility, SmartSites, Amsive, Power Digital, Storm Brain</t>
  </si>
  <si>
    <t>https://digitalagencynetwork.com/agencies/usa/industry/travel-tourism/</t>
  </si>
  <si>
    <t>Top Travel &amp;amp; Tourism Marketing Agencies in USA | Digital Agency Network</t>
  </si>
  <si>
    <t>Victorious, BCG, Monks, Web Tonic, Major Tom, PwC</t>
  </si>
  <si>
    <t>https://digitalagencynetwork.com/geo-agency/</t>
  </si>
  <si>
    <t>What is a GEO Agency? Top 10 GEO Agencies Leading AI Search Optimization</t>
  </si>
  <si>
    <t>McKinsey, QuantumBlack, BCG, Major Tom, SmartSites, The SEO Works</t>
  </si>
  <si>
    <t>https://www.digitalreference.co/insights/marketing-professionals/best-marketing-companies-firms-in-the-usa</t>
  </si>
  <si>
    <t>Best Marketing Companies &amp;amp; Agencies in the USA</t>
  </si>
  <si>
    <t>https://www.digitalsilk.com/branding-agency/branding-trends/best-branding-agencies/</t>
  </si>
  <si>
    <t>Top Branding Agency For Growing Brands \| Digital Silk</t>
  </si>
  <si>
    <t>IBM, Clutch</t>
  </si>
  <si>
    <t>https://www.dslxcontent.com/blog/saas-marketing-agencies</t>
  </si>
  <si>
    <t>The 10 Best SaaS Marketing Agencies to Supercharge Your Growth | dslx</t>
  </si>
  <si>
    <t>Momentum, NP Digital, Monks</t>
  </si>
  <si>
    <t>https://www.ebaqdesign.com/blog/top-branding-agencies</t>
  </si>
  <si>
    <t>Top 30 Branding Agencies in 2026 (Expert Rankings)</t>
  </si>
  <si>
    <t>Pentagram, WPP</t>
  </si>
  <si>
    <t>https://echo-factory.com/the-12-best-pr-agencies-in-los-angeles/</t>
  </si>
  <si>
    <t>Top Los Angeles Area Media Relations and PR Agencies in 2026</t>
  </si>
  <si>
    <t>Hawke Media</t>
  </si>
  <si>
    <t>https://ecommercefastlane.com/best-amazon-brand-management-agencies/</t>
  </si>
  <si>
    <t>Best Amazon Brand Management Agencies For Brands Expanding To Amazon In 2026 | Ecommerce Fastlane</t>
  </si>
  <si>
    <t>https://elementor.com/blog/best-seo-geo-agencies/</t>
  </si>
  <si>
    <t>15 Best SEO &amp;amp; GEO Agencies In 2026</t>
  </si>
  <si>
    <t>NP Digital, Wpromote, VaynerMedia, Tinuiti, Hawke Media, Huge, Common Thread Collective, Momentum</t>
  </si>
  <si>
    <t>https://www.elsner.com/top-answer-engine-optimization-companies/</t>
  </si>
  <si>
    <t>Top Answer Engine Optimization (AEO) Companies for 2026</t>
  </si>
  <si>
    <t>Marcel Digital, Amsive, NoGood</t>
  </si>
  <si>
    <t>https://www.embarque.io/post/we-found-30-ai-seo-agencies-for-ranking-ai-results-2026</t>
  </si>
  <si>
    <t>We Found 30 of the Best AI SEO Agencies for Ranking in AI Results in 2026 | Embarque</t>
  </si>
  <si>
    <t>https://www.emrgmedia.com/best-experiential-marketing-agencies/</t>
  </si>
  <si>
    <t>Unveiling the Best Experiential Marketing Agencies: Your Complete Guide - Top Event Planner New York City | Corporate Event Planning &amp;amp; Marketing Company in NYC</t>
  </si>
  <si>
    <t>https://ensun.io/search/geospatial-gis/united-states#:~:text=Esri%20is%20a%20leading%20provider,insights%20from%20location%2Dbased%20data.</t>
  </si>
  <si>
    <t>Top 100 Geospatial (Gis) Companies in United States (2026) \| ensun</t>
  </si>
  <si>
    <t>https://www.epicslope.partners/buyers-guide/generative-engine-optimization-agencies</t>
  </si>
  <si>
    <t>Top Generative Engine Optimization Agencies in 2026 (Reviewed)</t>
  </si>
  <si>
    <t>First Page Sage, Intero Digital, Omniscient Digital, iPullRank, Avenue Z, Victorious, Clutch, Measured</t>
  </si>
  <si>
    <t>https://epinium.com/en/best-amazon-agencies/</t>
  </si>
  <si>
    <t>Best Amazon Agencies (2026): Ranked | Epinium</t>
  </si>
  <si>
    <t>Tinuiti, Acadia</t>
  </si>
  <si>
    <t>https://evincedev.com/blog/best-display-ad-networks/</t>
  </si>
  <si>
    <t>Top 10 Best Display Ad Networks in 2026 (CPM Comparison)</t>
  </si>
  <si>
    <t>https://www.f6s.com/software/category/first-party-data-activation</t>
  </si>
  <si>
    <t>Best First-Party Data Activation Software • March 2026 \| F6S</t>
  </si>
  <si>
    <t>https://www.factors.ai/blog/top-7-marketing-attribution-tools</t>
  </si>
  <si>
    <t>Top 12 Marketing Attribution Tools in 2026 (Compared)</t>
  </si>
  <si>
    <t>HockeyStack, Triple Whale, Huge, Cometly, Rockerbox, Northbeam, Ruler Analytics</t>
  </si>
  <si>
    <t>https://www.featuredcustomers.com/services/digital-marketing-agencies</t>
  </si>
  <si>
    <t>Best Digital Marketing Agencies 2026 - Reviews, Case Studies &amp;amp; Videos</t>
  </si>
  <si>
    <t>https://www.featuredcustomers.com/software/customer-data-audience-activation</t>
  </si>
  <si>
    <t>Best Customer Data &amp;amp; Audience Activation 2026 - Reviews, Case Studies &amp;amp; Videos</t>
  </si>
  <si>
    <t>https://www.featuredcustomers.com/software/first-party-data-solutions</t>
  </si>
  <si>
    <t>Best First-Party Data Solutions 2026 - Reviews, Case Studies &amp;amp; Videos</t>
  </si>
  <si>
    <t>https://fibr.ai/geo/best-generative-engine-optimization-brands-for-ai</t>
  </si>
  <si>
    <t>11 Best GEO Agencies for AI Search Visibility (2026)</t>
  </si>
  <si>
    <t>https://www.fieldtrip.agency/post/top-enterprise-growth-marketing-agencies#:~:text=The%20agency%20has%20officially%20partnered%20with%20some,work%20with%20big%20clients%20with%20massive%20budgets.</t>
  </si>
  <si>
    <t>Top Growth Marketing Agencies for Enterprise &amp;amp; Late-Stage Brands</t>
  </si>
  <si>
    <t>Tinuiti, NP Digital, DEPT, Brainlabs, Jellyfish, NoGood, Measured, inBeat</t>
  </si>
  <si>
    <t>https://finance.yahoo.com/news/designrush-recognizes-top-10-digital-114500778.html</t>
  </si>
  <si>
    <t>DesignRush Recognizes Top 10 Digital Marketing Agencies for Campaign Performance in March 2026 Rankings</t>
  </si>
  <si>
    <t>Funnel Boost Media, SmartSites, Silverback Strategies, WebFX, Intero Digital, Disruptive Advertising, Searchbloom</t>
  </si>
  <si>
    <t>https://firstpagesage.com/seo-blog/the-top-ecommerce-agentic-search-optimization-aso-agencies</t>
  </si>
  <si>
    <t>The Top eCommerce Agentic Search Optimization (ASO) Agencies of 2026 – First Page Sage</t>
  </si>
  <si>
    <t>First Page Sage, Clutch, Tinuiti, SmartSites</t>
  </si>
  <si>
    <t>https://firstpagesage.com/seo-blog/top-b2b-seo-agencies-us/#:~:text=First%20Page%20Sage%20is%20consistently%20ranked%20the,specifically%20for%20the%20complexity%20of%20B2B%20sales.</t>
  </si>
  <si>
    <t>The Top B2B SEO Agencies in the US — 2026 – First Page Sage</t>
  </si>
  <si>
    <t>First Page Sage, Epsilon, Metric Theory, Monks</t>
  </si>
  <si>
    <t>https://www.firstquery.ai/blog/top-10-ai-search-agencies-to-boost-rankings</t>
  </si>
  <si>
    <t>Top 10 AI Search Optimization Agencies to Boost Rankings</t>
  </si>
  <si>
    <t>Avenue Z, Victorious, First Page Sage, Searchbloom, iPullRank, Omniscient Digital, Siege Media, Amsive, WebFX, Directive, Anomaly</t>
  </si>
  <si>
    <t>https://fixnhour.com/blog/top-advertising-agencies-marketing-companies</t>
  </si>
  <si>
    <t>Top Advertising Agencies &amp;amp; Marketing Companies Worldwide</t>
  </si>
  <si>
    <t>WPP, Publicis Groupe, Dentsu, Accenture Song, Ogilvy, GroupM, VML, BBDO</t>
  </si>
  <si>
    <t>https://www.flyingvgroup.com/ai-marketing-agency/</t>
  </si>
  <si>
    <t>Best 18 AI Marketing Agencies in 2026 | Top AI-Powered Marketing Firms Ranked</t>
  </si>
  <si>
    <t>Viral Nation, SmartSites, Major Tom, NoGood, Single Grain, inBeat, Monks</t>
  </si>
  <si>
    <t>https://www.flyingvgroup.com/programmatic-agency/#:~:text=1.%20%2D%20Flying%20V%20Group.%20Flying%20V,numerous%20successful%20client%20campaigns%20and%20glowing%20testimonials.</t>
  </si>
  <si>
    <t>Top 16 Programmatic Agencies of 2026 (Expert List) – Flying V Group</t>
  </si>
  <si>
    <t>Single Grain, Power Digital, Clutch</t>
  </si>
  <si>
    <t>https://flypix.ai/geospatial-intelligence-companies-usa/#:~:text=NGA%20operates%20as%20both%20a,of%20the%20U.S.%20intelligence%20community.</t>
  </si>
  <si>
    <t>Top Geospatial Intelligence Companies in the USA</t>
  </si>
  <si>
    <t>https://fntmanagement.com/top-marketing-agencies/</t>
  </si>
  <si>
    <t>Best Marketing Agencies 2026: Rating | Expert ROI Guide</t>
  </si>
  <si>
    <t>Clutch, Siege Media, WebFX, Metric Theory</t>
  </si>
  <si>
    <t>https://fueler.io/blog/best-performance-marketing-agencies-in-the-usa</t>
  </si>
  <si>
    <t>Best Performance Marketing Agencies in the USA</t>
  </si>
  <si>
    <t>NoGood, WebFX, Kobe Digital, Wpromote, Ignite Visibility, Disruptive Advertising, Web Tonic, inBeat</t>
  </si>
  <si>
    <t>https://fueler.io/blog/top-us-advertising-and-marketing-agencies</t>
  </si>
  <si>
    <t>Top US Advertising and Marketing Agencies 2026</t>
  </si>
  <si>
    <t>Wieden+Kennedy, Ogilvy, BBDO, Droga5, R/GA, TBWA\Chiat\Day, Disruptive Advertising, IBM, Accenture Song</t>
  </si>
  <si>
    <t>https://www.g2.com/categories/data-governance-tools</t>
  </si>
  <si>
    <t>Best Data Governance Tools: User Reviews from July 2026</t>
  </si>
  <si>
    <t>IBM, Momentum, Huge, SmartSites</t>
  </si>
  <si>
    <t>https://www.gen-optima.com/geo/top-7-generative-engine-optimization-service-providers-ranked/</t>
  </si>
  <si>
    <t>Top 7 Generative Engine Optimization Service Providers Ranked (Q2 2026 Update) - GenOptima</t>
  </si>
  <si>
    <t>Go Fish Digital, iPullRank, Siege Media, WebFX, Intero Digital, Omniscient Digital, Measured</t>
  </si>
  <si>
    <t>https://www.gen-optima.com/geo/top-generative-ai-search-engine-optimization-agencies-2026/</t>
  </si>
  <si>
    <t>Top AI Search Optimization Agencies in 2026 (Q1 2026 Update)</t>
  </si>
  <si>
    <t>iPullRank, First Page Sage, Intero Digital, Siege Media, Omniscient Digital, Go Fish Digital, Single Grain, Victorious</t>
  </si>
  <si>
    <t>https://generatemore.ai/blog/top-generative-engine-optimization-agencies</t>
  </si>
  <si>
    <t>8 Top Answer Engine Optimization (AEO) Agencies [2026]</t>
  </si>
  <si>
    <t>First Page Sage, Intero Digital</t>
  </si>
  <si>
    <t>https://www.genevate.co/best-aso-agencies-2026/</t>
  </si>
  <si>
    <t>The Best Agentic Search Optimization (ASO) Agencies in 2026 | Genevate</t>
  </si>
  <si>
    <t>First Page Sage, iPullRank, Omniscient Digital, Intero Digital, Clutch, Measured</t>
  </si>
  <si>
    <t>https://www.getcrux.ai/discover/marketing-attribution-tools</t>
  </si>
  <si>
    <t>8 Best Marketing Attribution Tools in 2026: Compared</t>
  </si>
  <si>
    <t>Triple Whale, Northbeam, Rockerbox, Cometly, Ruler Analytics, HockeyStack, Anomaly</t>
  </si>
  <si>
    <t>https://gigawattgroup.com/insights/best-geo-agencies-in-2026-who-actually-drives-ai-visibility-and-citations/</t>
  </si>
  <si>
    <t>Best GEO Agencies in 2026: Who Actually Drives AI Visibility and Citations - Gigawatt Group</t>
  </si>
  <si>
    <t>https://www.girikon.com/blog/top-15-salesforce-revenue-cloud-cpq-billing-consultants-in-united-states/</t>
  </si>
  <si>
    <t>Top 15 Salesforce Revenue Cloud (CPQ &amp;amp; Billing) Consultants in United States | CRM Consulting Services | United States | Phoenix, Arizona</t>
  </si>
  <si>
    <t>Slalom, Bounteous</t>
  </si>
  <si>
    <t>https://gitnux.org/service/ai-adoption/</t>
  </si>
  <si>
    <t>10 Tools Compared: Best AI Adoption Services (2026)</t>
  </si>
  <si>
    <t>PwC, IBM, Clutch</t>
  </si>
  <si>
    <t>https://gitnux.org/service/automotive-data-marketing/</t>
  </si>
  <si>
    <t>Best Automotive Data Marketing Services | Ranked for 2026</t>
  </si>
  <si>
    <t>Dentsu, WPP, VML, AKQA, Publicis Groupe, Merkle, Accenture Song, IBM, GroupM, Clutch</t>
  </si>
  <si>
    <t>https://gogloby.com/insights/best-ai-consulting-companies/</t>
  </si>
  <si>
    <t>12 Best AI Consulting Companies in 2026: Top Firms Compared</t>
  </si>
  <si>
    <t>Clutch, QuantumBlack, McKinsey, BCG, IBM</t>
  </si>
  <si>
    <t>https://gogloby.com/insights/best-ai-recruiting-companies/</t>
  </si>
  <si>
    <t>10 Top AI Recruiting Companies for U.S. Businesses in 2026</t>
  </si>
  <si>
    <t>Momentum, Clutch, Huge, Measured</t>
  </si>
  <si>
    <t>https://www.gomega.ai/blog/ai-marketing-agency/</t>
  </si>
  <si>
    <t>5 Best AI Marketing Agencies &amp;amp; How to Choose One</t>
  </si>
  <si>
    <t>https://www.goodfirms.co/advertising-companies/creative/usa?page=12</t>
  </si>
  <si>
    <t>https://www.goodfirms.co/advertising-companies/creative/usa?page=6</t>
  </si>
  <si>
    <t>Momentum, Accelerated Digital Media</t>
  </si>
  <si>
    <t>https://www.goodfirms.co/advertising-companies/creative?sort_by=rating</t>
  </si>
  <si>
    <t>Top Creative Agencies - 2026 Reviews | Goodfirms</t>
  </si>
  <si>
    <t>https://www.goodfirms.co/advertising-companies/usa</t>
  </si>
  <si>
    <t>Top Advertising Agencies in the USA - 2026 Reviews | Goodfirms</t>
  </si>
  <si>
    <t>Funnel Boost Media</t>
  </si>
  <si>
    <t>https://www.goodfirms.co/directory/country/top-digital-marketing-companies/us?reviews=1&amp;sort_by=rating</t>
  </si>
  <si>
    <t>Funnel Boost Media, Elit-Web, Searchbloom, Storm Brain</t>
  </si>
  <si>
    <t>https://www.goodfirms.co/directory/country/top-digital-marketing-companies/us?sid=3951</t>
  </si>
  <si>
    <t>Searchbloom, Elit-Web, Storm Brain</t>
  </si>
  <si>
    <t>https://www.goodfirms.co/directory/country/top-digital-marketing-companies/us?sid=3953</t>
  </si>
  <si>
    <t>Searchbloom, SmartSites, Elit-Web, Storm Brain</t>
  </si>
  <si>
    <t>https://www.goodfirms.co/directory/country/top-digital-marketing-companies/us?sid=3975</t>
  </si>
  <si>
    <t>WebFX, Searchbloom, SmartSites, Elit-Web, Storm Brain</t>
  </si>
  <si>
    <t>https://www.goodfirms.co/directory/marketing-services/top-digital-marketing-companies</t>
  </si>
  <si>
    <t>Top Digital Marketing Companies - 2026 Reviews | Goodfirms</t>
  </si>
  <si>
    <t>WebFX, Searchbloom, SmartSites, Funnel Boost Media, Elit-Web, Power Digital</t>
  </si>
  <si>
    <t>https://www.goodfirms.co/directory/marketing-services/top-digital-marketing-companies/generative-engine-optimization</t>
  </si>
  <si>
    <t>Top Generative Engine Optimization (GEO) Companies - 2026 Reviews | Goodfirms</t>
  </si>
  <si>
    <t>WebFX, Searchbloom, Elit-Web, Intero Digital, Go Fish Digital, Ignite Visibility, Measured, Funnel Boost Media</t>
  </si>
  <si>
    <t>https://www.greenbook.org/market-research-firms/tracking</t>
  </si>
  <si>
    <t>Top Tracking Research Companies — Greenbook</t>
  </si>
  <si>
    <t>https://gripped.io/digital-marketing-strategy/b2b-performance-marketing-agency/</t>
  </si>
  <si>
    <t>Top 10 B2B Performance Marketing Agency Picks UPDATED for 2025 | Gripped</t>
  </si>
  <si>
    <t>Directive, Ogilvy, Momentum</t>
  </si>
  <si>
    <t>https://www.growtal.com/8-best-fractional-cmos-for-fast-growing-e-commerce-companies/</t>
  </si>
  <si>
    <t>8 Best Fractional CMOs for Fast-Growing E-commerce Companies - GrowTal</t>
  </si>
  <si>
    <t>Hawke Media, Huge</t>
  </si>
  <si>
    <t>https://growth.cx/blog/best-performance-marketing-agencies/</t>
  </si>
  <si>
    <t>13 Best Performance Marketing Agencies to Boost ROI in 2026</t>
  </si>
  <si>
    <t>Ignite Visibility, Tinuiti, Kobe Digital, NoGood, Wpromote</t>
  </si>
  <si>
    <t>https://growthlane.marketing/blog/top-b2b-performance-marketing-firms-in-2025-the-ultimate-list-for-revenue-growth</t>
  </si>
  <si>
    <t>Top B2B Performance Marketing Firms in 2025: The Ultimate List for Revenue Growth</t>
  </si>
  <si>
    <t>Directive, Tinuiti, KlientBoost, WebFX, Metric Theory, Brainlabs</t>
  </si>
  <si>
    <t>https://growthrocks.com/blog/performance-marketing-agencies/</t>
  </si>
  <si>
    <t>Top 12 Performance Marketing Agencies in 2024</t>
  </si>
  <si>
    <t>Tinuiti, Wpromote, TransUnion, Metric Theory, Disruptive Advertising, MuteSix, Dentsu, Jellyfish, Power Digital, Directive, Common Thread Collective, Ignite Visibility, NoGood</t>
  </si>
  <si>
    <t>https://www.growthspreeofficial.com/blogs/best-b2b-marketing-agencies-proprietary-ai-tools-2026</t>
  </si>
  <si>
    <t>Best B2B Marketing Agencies with Proprietary AI Tools in 2026: 6 Agencies Compared by AI Infrastructure Depth</t>
  </si>
  <si>
    <t>GrowthSpree, NoGood, Single Grain, Clutch</t>
  </si>
  <si>
    <t>https://growthsprints.co/best-saas-aeo-consultants/</t>
  </si>
  <si>
    <t>7 Best SaaS AEO Consultants In 2026 (And How To Choose) - AEO, SEO &amp;amp; Content Marketing Agency | Growth Sprints</t>
  </si>
  <si>
    <t>Omniscient Digital, Clutch, Optimist, Measured, Discovered Labs, iPullRank, NoGood, First Page Sage</t>
  </si>
  <si>
    <t>https://growwithvysta.com/blog/best-google-ads-agencies-for-ecommerce-brands-in-the-us/#:~:text=%2D%20Agency.%20Best%20For.%20Core%20Strength.%20%2D,conversion%20rate%20optimization.%20%2D%20Tinuiti.%20Enterprise%20ecommerce.</t>
  </si>
  <si>
    <t>Best Google Ads Agencies for eCommerce Brands in the US</t>
  </si>
  <si>
    <t>Common Thread Collective, Tinuiti, KlientBoost</t>
  </si>
  <si>
    <t>https://www.hamstergarage.com/article/best-partner-marketing-agency-guide</t>
  </si>
  <si>
    <t>Best Partner Marketing Agencies for 2026: Top 7 Picks by Use Case, Pricing, and Fit</t>
  </si>
  <si>
    <t>Hawke Media, Clutch, Measured</t>
  </si>
  <si>
    <t>https://www.harleyoliver.com/blog/top-12-companies-design-trends-to-watch-in-2025</t>
  </si>
  <si>
    <t>Top 12 Companies Design Trends to Watch in 2025 — Harley Oliver - Digital Design Firm</t>
  </si>
  <si>
    <t>McKinsey, Clutch, Pentagram, Superside, Wolff Olins</t>
  </si>
  <si>
    <t>https://hashmeta.com/blog/top-15-ai-pr-agencies-for-ai-startups-tech-brands/</t>
  </si>
  <si>
    <t>Top 15 AI PR Agencies for AI Startups &amp;amp; Tech Brands | Hashmeta</t>
  </si>
  <si>
    <t>https://www.havstrategy.com/best-performance-marketing-agency-in-us/</t>
  </si>
  <si>
    <t>Best Performance Marketing Agency in US | D2C Growth | HavStrategy</t>
  </si>
  <si>
    <t>https://www.helloroketto.com/articles/ai-agency</t>
  </si>
  <si>
    <t>9 Best AI Agencies for Your Business: The Ultimate Review</t>
  </si>
  <si>
    <t>Clutch, NoGood, Major Tom, IBM</t>
  </si>
  <si>
    <t>https://www.helloroketto.com/articles/marketing-consultant</t>
  </si>
  <si>
    <t>Top 12 Marketing Consultants to Elevate Your Business Strategy</t>
  </si>
  <si>
    <t>Clutch, Bain &amp; Company, McKinsey, QuantumBlack, BCG, PwC</t>
  </si>
  <si>
    <t>https://hikemytraffic.com/ai-powered-digital-marketing-agency/</t>
  </si>
  <si>
    <t>5 Best AI-Powered Digital Marketing Agencies to Watch in 2026</t>
  </si>
  <si>
    <t>McKinsey, Clutch</t>
  </si>
  <si>
    <t>https://hikemytraffic.com/ai-seo-companies-to-dominate-search/</t>
  </si>
  <si>
    <t>10 Best AI SEO Companies Competing in Global Market</t>
  </si>
  <si>
    <t>Clutch, WebFX, NP Digital, Siege Media, Victorious, Directive, Single Grain, Omniscient Digital</t>
  </si>
  <si>
    <t>https://houseofmvps.com/best-aeo-agencies-for-local-business</t>
  </si>
  <si>
    <t>Best AEO Agencies for Local Businesses in the US (2026) | HouseofMVPs</t>
  </si>
  <si>
    <t>Marcel Digital, Searchbloom, NoGood</t>
  </si>
  <si>
    <t>https://www.housesofgrowth.com/post/ai-digital-marketing-agencies</t>
  </si>
  <si>
    <t>10 Best AI Digital Marketing Agencies (2026)</t>
  </si>
  <si>
    <t>NoGood, Single Grain, Directive, Power Digital, Wpromote, NP Digital, Omniscient Digital, Superside, Keenfolks, Clutch</t>
  </si>
  <si>
    <t>https://hunterdigitalmarketing.com/blog/2026-leading-paid-search-agencies/#:~:text=The%20best%20paid%20media%20agencies%20use%20technology%2C,audience%20quickly%20with%20targeted%20and%20testable%20campaigns.</t>
  </si>
  <si>
    <t>Top PPC Agencies in the US for 2026—Leading Paid Search Partners for Real ROI - Hunter Digital</t>
  </si>
  <si>
    <t>Clutch, Disruptive Advertising, KlientBoost, Ignite Visibility</t>
  </si>
  <si>
    <t>https://www.iacaward.org/iac/winner/18188/delve-wins-2021-iac-award-for-delve-applies-data-science-to-deliver-200-roas-for-unicef-usa.html</t>
  </si>
  <si>
    <t>DELVE Wins 2021 Best Non-profit Online Campaign, Best Of Show Online Campaign Internet Advertising Award for DELVE Applies Data Science to Deliver 200% ROAS for UNICEF USA</t>
  </si>
  <si>
    <t>https://icoda.io/ai/best-ai-digital-marketing-agencies/</t>
  </si>
  <si>
    <t>Top 10 AI Digital Marketing Agencies [2026]</t>
  </si>
  <si>
    <t>McKinsey, Wpromote, Brainlabs, Tinuiti, Keenfolks, Directive, Jellyfish, Single Grain, Clutch, IBM</t>
  </si>
  <si>
    <t>https://www.icreativez.com/categories/online-marketing/10-best-paid-social-media-services-companies-consultants-2026.html</t>
  </si>
  <si>
    <t>10 Best Paid Social Media Companies &amp; Consultants 2026 | iCreativez</t>
  </si>
  <si>
    <t>Triple Whale, Northbeam, Rockerbox</t>
  </si>
  <si>
    <t>https://www.ie.edu/uncover-ie/top-data-analytics-companies-who-shapes-business-data-in-2026/#:~:text=Deloitte%20provides%20analytics%20consulting%20across%20areas%20like,forecasting%2C%20optimization%2C%20and%20operational%20performance%20use%20cases.</t>
  </si>
  <si>
    <t>Top data analytics companies: Who shapes business data in 2026</t>
  </si>
  <si>
    <t>McKinsey, QuantumBlack, BCG, PwC</t>
  </si>
  <si>
    <t>https://improvado.io/blog/best-marketing-agencies-new-york</t>
  </si>
  <si>
    <t>Best NYC Marketing Agencies 2026: Pricing &amp;amp; Reviews</t>
  </si>
  <si>
    <t>Directive, NoGood, Ogilvy, VaynerMedia, Seer Interactive, Huge, Dentsu, DEPT, Merkle, Common Thread Collective, inBeat, WPP, Publicis Groupe, McKinsey, Bain &amp; Company, BCG, Deloitte Digital, WebFX, KlientBoost</t>
  </si>
  <si>
    <t>https://www.inbeat.co/articles/best-ai-digital-marketing-agencies/</t>
  </si>
  <si>
    <t>10 Best AI Digital Marketing Agencies in 2026</t>
  </si>
  <si>
    <t>inBeat, Merkle, SmartSites, Ignite Visibility, Jellyfish, Brainlabs, Wpromote, Tinuiti, Disruptive Advertising, NP Digital</t>
  </si>
  <si>
    <t>https://www.inbeat.co/articles/top-creative-agencies/</t>
  </si>
  <si>
    <t>Top 15 Creative Agencies Tried and Tested [2026 Edition]</t>
  </si>
  <si>
    <t>inBeat, Brighter Click</t>
  </si>
  <si>
    <t>https://indiantelevision.com/mam/the-best-aeo-agencies-in-the-usa-for-2026/</t>
  </si>
  <si>
    <t>The Best AEO Agencies in the USA for 2026 – Indian Television Dot Com</t>
  </si>
  <si>
    <t>https://www.indiehackers.com/post/best-performance-marketing-agency-in-the-usa-paid-ads-or-seo-cLPWTCgkteymkhS5pJS5#:~:text=Scale%20Rankings%20%2D%201.%20ScaleRankings.%20ScaleRankings.com%20isn't,is%20what%20separates%20it%20from%20everyone%20else.</t>
  </si>
  <si>
    <t>Best Performance Marketing Agency in the USA (Paid Ads or SEO) - Indie Hackers</t>
  </si>
  <si>
    <t>Power Digital, Disruptive Advertising, Common Thread Collective, Directive, NoGood, SmartSites, Tinuiti, Measured</t>
  </si>
  <si>
    <t>https://influencermarketinghub.com/geo-agencies/</t>
  </si>
  <si>
    <t>6 Best GEO Agencies Driving AI Search Visibility</t>
  </si>
  <si>
    <t>Viral Nation, SmartSites, McKinsey, Stratabeat, Directive</t>
  </si>
  <si>
    <t>https://innovationegg.com/top-digital-marketing-agency-in-the-usa/#:~:text=Core%20Services%20%2D%20SEO%20services.%20%2D%20Paid,strategy.%20%2D%20Lead%20generation.%20%2D%20Website%20optimization.</t>
  </si>
  <si>
    <t>Top 8 Digital Marketing Agencies in the USA (2026)</t>
  </si>
  <si>
    <t>WebFX, SmartSites, KlientBoost, Directive, Thrive Internet Marketing Agency</t>
  </si>
  <si>
    <t>https://www.instagram.com/reel/DR4csQmDPbW/?hl=en</t>
  </si>
  <si>
    <t>The global advertising industry is led by just 5 companies.
-
-
-
-
[Advertising, Top marketing agencies in the world, Global Advertising, What is WIPOD, WPP, IPG, Publicis Groupe, Omnicon Media Group, OMG, Dentsu, Best Advertising Agencies in the world, Television advertising, radio advertising, newspaper advertising, IIDE, digital marketing]
#advertising #digitalmarketing #iide</t>
  </si>
  <si>
    <t>WPP, Publicis Groupe, Dentsu</t>
  </si>
  <si>
    <t>https://www.intellectyx.com/ai-agent-development-companies-in-usa/</t>
  </si>
  <si>
    <t>Top AI Agent Development Companies in USA (2026)</t>
  </si>
  <si>
    <t>IBM, Clutch, Fractal Analytics</t>
  </si>
  <si>
    <t>https://www.intellectyx.com/best-ai-consulting-firms/</t>
  </si>
  <si>
    <t>Best AI Consulting Firms in USA (2026 Version)</t>
  </si>
  <si>
    <t>IBM, PwC, BCG</t>
  </si>
  <si>
    <t>https://invademarketing.com/best-performance-marketing-agencies-2025/#:~:text=With%20stricter%20privacy%20regulations%20and%20reduced%20third%2Dparty,Experience%20in%20your%20industry%20or%20growth%20stage.</t>
  </si>
  <si>
    <t>Best Performance Marketing Agencies 2025 to Watch</t>
  </si>
  <si>
    <t>https://investor.choicehotels.com/news/news-details/2024/Choice-Hotels-International-Engages-Top-Tier-Agencies-72andSunny-New-York-for-Creative-and-dentsu-X-for-Digital-Media-to-Continue-Taking-Its-Consumer-Marketing-to-the-Next-Level/default.aspx</t>
  </si>
  <si>
    <t>Choice Hotels International, Inc. - Choice Hotels International Engages Top-Tier Agencies, 72andSunny New York for Creative and dentsu X for Digital Media, to Continue Taking Its Consumer Marketing to the Next Level</t>
  </si>
  <si>
    <t>72andSunny, Dentsu, Momentum</t>
  </si>
  <si>
    <t>https://itprofiles.com/services/media-planning-and-buying/united-states</t>
  </si>
  <si>
    <t>Top-Performing Media Planning and Buying Companies in United States Ranked by ITP Score – Jul 2026 | ITProfiles</t>
  </si>
  <si>
    <t>MuteSix, Tinuiti, GroupM, Omnicom Media Group, Dentsu, Horizon Media</t>
  </si>
  <si>
    <t>https://itprofiles.com/services/ppc/united-states</t>
  </si>
  <si>
    <t>Top PPC Companies in United States – ITP Rankings for Jul 2026 | ITProfiles</t>
  </si>
  <si>
    <t>Momentum, Measured, Clutch, Thrive Internet Marketing Agency, Wpromote, Marcel Digital, Tinuiti, Seer Interactive</t>
  </si>
  <si>
    <t>https://www.jellyfishtechnologies.com/top-digital-transformation-companies/</t>
  </si>
  <si>
    <t>Top 10 Digital Transformation Companies &amp;amp; Consulting Firms</t>
  </si>
  <si>
    <t>McKinsey, Huge, Jellyfish, Clutch, Deloitte Digital, Anomaly, IBM</t>
  </si>
  <si>
    <t>https://kanerika.com/blogs/ai-marketing-automation-tools/</t>
  </si>
  <si>
    <t>Best AI Marketing Automation Tools in 2026: Reviewed</t>
  </si>
  <si>
    <t>https://keends.com/blog/top-marketing-mix-modeling-companies/</t>
  </si>
  <si>
    <t>Top marketing mix modeling companies compared | Keen</t>
  </si>
  <si>
    <t>Rockerbox, Recast, Measured, Nielsen, Neustar, Analytic Partners, Gain Theory, WPP, BCG, TransUnion</t>
  </si>
  <si>
    <t>https://www.konstructdigital.com/seo/best-geo-companies/</t>
  </si>
  <si>
    <t>The Best GEO Companies</t>
  </si>
  <si>
    <t>WebFX, First Page Sage, Intero Digital, iPullRank, Seer Interactive</t>
  </si>
  <si>
    <t>https://lasersightdigital.com/blog/best-amazon-agency-top-picks</t>
  </si>
  <si>
    <t>Best Amazon Agency in 2026: Top 10 Picks Ranked — Laser Sight Digital</t>
  </si>
  <si>
    <t>Clutch, Tinuiti, Ignite Visibility</t>
  </si>
  <si>
    <t>https://lawrencebros.com/top-7-marketing-attribution-software-platforms-for-2026/</t>
  </si>
  <si>
    <t>Top 7 Marketing Attribution Software Platforms for 2026 - Lawrence Bros</t>
  </si>
  <si>
    <t>HockeyStack, Triple Whale, Northbeam, Ruler Analytics</t>
  </si>
  <si>
    <t>https://learn.g2.com/best-ppc-agencies</t>
  </si>
  <si>
    <t>7 Best PPC Agencies for 2026: My Top Picks</t>
  </si>
  <si>
    <t>SmartSites, WebFX, KlientBoost, Momentum</t>
  </si>
  <si>
    <t>https://lengreo.com/ai-marketing-consulting-companies/</t>
  </si>
  <si>
    <t>16 Best AI Marketing Consulting Companies (2026)</t>
  </si>
  <si>
    <t>Clutch, NinjaPromo, Bain &amp; Company, McKinsey, QuantumBlack, PwC, BCG, Momentum</t>
  </si>
  <si>
    <t>https://lengreo.com/top-15-aeo-agencies-for-u-s-companies-in-2025/</t>
  </si>
  <si>
    <t>15 Best AEO Companies for U.S. (2026)</t>
  </si>
  <si>
    <t>Marcel Digital, NoGood, Avenue Z, WebFX, Clutch</t>
  </si>
  <si>
    <t>https://lineardesign.com/blog/pay-per-click-advertising-company/</t>
  </si>
  <si>
    <t>Pay Per Click Advertising Company: 10 Best Powerful Picks 2025</t>
  </si>
  <si>
    <t>https://www.linkedin.com/posts/clutch-co_top-15-ppc-agencies-clutch-global-fall-2025-activity-7421548745084932096-DYA_</t>
  </si>
  <si>
    <t>Top 15 PPC Agencies: Clutch Global Fall 2025 | Clutch | 10 comments</t>
  </si>
  <si>
    <t>Clutch, KlientBoost, Disruptive Advertising, AdVenture Media, HawkSEM, Elit-Web, SmartSites</t>
  </si>
  <si>
    <t>https://www.linkedin.com/pulse/10-best-answer-engine-optimization-aeo-agencies-2026-nick-malekos-tkzqf</t>
  </si>
  <si>
    <t>12 Best Answer Engine Optimization (AEO) Agencies in 2026</t>
  </si>
  <si>
    <t>NoGood, iPullRank, Victorious, Clutch, Ignite Visibility, First Page Sage, Graphite</t>
  </si>
  <si>
    <t>https://www.linkedin.com/pulse/30-leading-graphic-design-companies-making-global-impact-lti6f</t>
  </si>
  <si>
    <t>30 Top Graphic Design Companies Revolutionizing the Industry</t>
  </si>
  <si>
    <t>Pentagram, Wolff Olins, AKQA</t>
  </si>
  <si>
    <t>https://www.linkedin.com/pulse/ai-seo-agencies-softtrix-web-solutions-zaxtc</t>
  </si>
  <si>
    <t>Top 10 AI SEO Agencies in USA</t>
  </si>
  <si>
    <t>Clutch, Victorious, Directive, Intero Digital, WebFX, Ignite Visibility, Thrive Internet Marketing Agency, SmartSites, iPullRank, Siege Media</t>
  </si>
  <si>
    <t>https://linkupst.com/design/blog-design/new-york-design-agencies</t>
  </si>
  <si>
    <t>Top New York Design Agencies to Work With in 2026 | Linkup ST</t>
  </si>
  <si>
    <t>Pentagram, Clutch, Momentum</t>
  </si>
  <si>
    <t>https://www.loopexdigital.com/blog/best-seo-companies-for-phoenix-market</t>
  </si>
  <si>
    <t>Top SEO Companies in Phoenix, AZ for 2026</t>
  </si>
  <si>
    <t>https://lotusbrainsstudio.com/ai-automation-agency-london/</t>
  </si>
  <si>
    <t>AI Agency London: Best 15 Providers Compared By Experts</t>
  </si>
  <si>
    <t>https://lseo.com/blog/generative-engine-optimization/the-best-generative-engine-optimization-geo-agencies-of-2026/</t>
  </si>
  <si>
    <t>The Best Generative Engine Optimization (GEO) Agencies of 2026 – LSEO</t>
  </si>
  <si>
    <t>WebFX, iPullRank, First Page Sage, Huge, Siege Media, Intero Digital, NoGood</t>
  </si>
  <si>
    <t>https://lunarailab.com/blog/2026/03/04/top-5-ai-agent-adoption-agencies-in-2026/</t>
  </si>
  <si>
    <t>Top 5 AI Agent Adoption Agencies in 2026 - Lunar AI Lab</t>
  </si>
  <si>
    <t>Slalom, Fractal Analytics, Measured</t>
  </si>
  <si>
    <t>https://www.lyfemarketing.com/blog/top-travel-tourism-marketing-agencies-us/</t>
  </si>
  <si>
    <t>Top 20 Travel &amp;amp; Tourism Marketing Agencies in US 2026</t>
  </si>
  <si>
    <t>LYFE Marketing, Noble Studios</t>
  </si>
  <si>
    <t>https://lymlyt.pro/blog/best-ai-marketing-agencies/</t>
  </si>
  <si>
    <t>10 Best AI Marketing Agencies for B2B SaaS (2026)</t>
  </si>
  <si>
    <t>NoGood, Single Grain, Directive, NP Digital, Omniscient Digital, NinjaPromo, Monks, Keenfolks, Hawke Media, Clutch, Measured</t>
  </si>
  <si>
    <t>https://madgicx.com/blog/ai-marketing-analytics-dashboard-platforms</t>
  </si>
  <si>
    <t>10 Top AI Marketing Analytics Dashboard Platforms for 2026</t>
  </si>
  <si>
    <t>McKinsey, BCG, Anomaly, Huge</t>
  </si>
  <si>
    <t>https://marketerhire.com/blog/b2c-marketing-agency</t>
  </si>
  <si>
    <t>10 Best B2C Marketing Agencies in 2025</t>
  </si>
  <si>
    <t>Sociallyin, Power Digital, Tinuiti, Triple Whale, Rockerbox, HawkSEM</t>
  </si>
  <si>
    <t>https://marketerhire.com/blog/media-buying-agencies</t>
  </si>
  <si>
    <t>25 Best Media Buying Agencies in 2025</t>
  </si>
  <si>
    <t>Momentum, Percepture, Hawke Media, Avenue Z, Clutch</t>
  </si>
  <si>
    <t>https://marketingltb.com/blog/agency/best-email-marketing-agencies/</t>
  </si>
  <si>
    <t>10 Best Email Marketing Agencies in 2026 - Marketing LTB</t>
  </si>
  <si>
    <t>Hawke Media, Clutch</t>
  </si>
  <si>
    <t>https://marketingltb.com/blog/agency/best-google-ads-agencies/</t>
  </si>
  <si>
    <t>10 Best Google Ads Agencies in 2026 - Marketing LTB</t>
  </si>
  <si>
    <t>KlientBoost, Ignite Visibility, SmartSites, Directive, LYFE Marketing, Clutch, Thrive Internet Marketing Agency</t>
  </si>
  <si>
    <t>https://marketingltb.com/blog/agency/best-tourism-digital-marketing-agencies/</t>
  </si>
  <si>
    <t>10 Best Tourism Digital Marketing Agencies in 2026 - Marketing LTB</t>
  </si>
  <si>
    <t>Noble Studios, WebFX, Clutch</t>
  </si>
  <si>
    <t>https://markovate.com/top-ai-development-companies/</t>
  </si>
  <si>
    <t>Top AI Development Companies in 2026 - Markovate</t>
  </si>
  <si>
    <t>https://martal.ca/integrated-marketing-agencies-lb/</t>
  </si>
  <si>
    <t>Top Integrated Marketing Agencies: ROI-Driven Guide for 2026</t>
  </si>
  <si>
    <t>McKinsey, Measured, Dentsu, Thrive Internet Marketing Agency, Intero Digital, Clutch</t>
  </si>
  <si>
    <t>https://www.maximuslabs.ai/answer-engine-optimizations/technical-aeo-agency</t>
  </si>
  <si>
    <t>10 Best Agencies for Technical AEO in 2025, Metrics Evaluated: Pricing, ROI &amp;amp; Reviews</t>
  </si>
  <si>
    <t>Funnel Boost Media, Victorious, NinjaPromo, SmartSites, Intero Digital, Clutch, Measured</t>
  </si>
  <si>
    <t>https://www.mayple.com/resources/paid-advertising/top-digital-marketing-companies-in-the-us</t>
  </si>
  <si>
    <t>Top 10 Digital Marketing Companies - Hire the...</t>
  </si>
  <si>
    <t>https://measpublishing.co.uk/top-geo-agencies-in-the-uk-for-ai-search-performance-marketing</t>
  </si>
  <si>
    <t>Top GEO Agencies in the UK for AI Search Performance Marketing</t>
  </si>
  <si>
    <t>First Page Sage, Single Grain, iPullRank, Silverback Strategies</t>
  </si>
  <si>
    <t>https://www.mediapost.com/publications/article/407384/omd-repeats-as-top-ranked-us-media-agency-by-billi.html</t>
  </si>
  <si>
    <t>OMD Repeats As Top-Ranked US Media Agency By Billings 07/15/2025</t>
  </si>
  <si>
    <t>Horizon Media, Omnicom Media Group, WPP, Measured</t>
  </si>
  <si>
    <t>https://mediavision2020.com/top-50-geofencing-companies-in-2026/#:~:text=Goodway%20Group%20%E2%80%93%20Enterprise%2Dlevel%20programmatic%20agency%20using,Boutique%20agency%20focused%20on%20precise%20geographic%20targeting.</t>
  </si>
  <si>
    <t>Top 50 Geofencing Companies in 2026</t>
  </si>
  <si>
    <t>WebFX, Silverback Strategies, Ignite Visibility, Thrive Internet Marketing Agency, iPullRank, IBM</t>
  </si>
  <si>
    <t>https://medium.com/@naiya.sharma_75305/10-best-digital-marketing-agencies-trusted-by-leading-brands-in-the-usa-db172483a516</t>
  </si>
  <si>
    <t>10+ Best Digital Marketing Agencies Trusted by Leading Brands in the USA | by Naiya Sharma | Medium</t>
  </si>
  <si>
    <t>Ogilvy, IBM, Dentsu, Merkle, Accenture Song, Deloitte Digital, BBDO, Omnicom Media Group, Publicis Groupe, Epsilon, Wieden+Kennedy</t>
  </si>
  <si>
    <t>https://www.midastouchinfotech.com/leading-digital-marketing-agencies-usa/</t>
  </si>
  <si>
    <t>List of Top Digital Marketing Agency in USA to Drive Business Growth</t>
  </si>
  <si>
    <t>Dentsu, Thrive Internet Marketing Agency, SmartSites, PMG</t>
  </si>
  <si>
    <t>https://mikekhorev.com/top-performing-geo-agencies</t>
  </si>
  <si>
    <t>The Best Performing GEO Agencies</t>
  </si>
  <si>
    <t>https://minuttia.com/best-aeo-agencies/#:~:text=Now%20Over%20to%20You.%20HUMAN%20CRAFTED.%20This,Now%2C%20let's%20discuss%20each%20agency%20in%20detail.</t>
  </si>
  <si>
    <t>10 Best Answer Engine Optimization (AEO) Agencies in July, 2026</t>
  </si>
  <si>
    <t>Single Grain, First Page Sage, Siege Media, iPullRank, Avenue Z, NoGood, Clutch</t>
  </si>
  <si>
    <t>https://minuttia.com/best-ai-seo-agencies/</t>
  </si>
  <si>
    <t>10 Best AI SEO Agencies in July, 2026 - Minuttia</t>
  </si>
  <si>
    <t>iPullRank, Go Fish Digital, NoGood, Clutch</t>
  </si>
  <si>
    <t>https://www.moburst.com/blog/top-media-buying-agencies/</t>
  </si>
  <si>
    <t>Top 10 Media Buying Agencies | Moburst</t>
  </si>
  <si>
    <t>Dentsu, inBeat, Single Grain, Percepture</t>
  </si>
  <si>
    <t>https://www.munro.agency/best-ai-seo-agencies-in-the-usa/</t>
  </si>
  <si>
    <t>20 Best AI SEO Agencies in the USA</t>
  </si>
  <si>
    <t>iPullRank, Omniscient Digital, Momentum, First Page Sage, RevenueZen, WebFX, Single Grain, NoGood, Victorious, Intero Digital, Thrive Internet Marketing Agency, Noble Studios</t>
  </si>
  <si>
    <t>https://www.munro.agency/insights/top-marketing-companies-in-the-world/</t>
  </si>
  <si>
    <t>Top 50 Marketing Companies in the World Ranked by Revenue - The Munro Agency</t>
  </si>
  <si>
    <t>IBM, Croud, R/GA, AKQA, VML, Ogilvy, Publicis Sapient, WPP, Digitas, Dentsu, Publicis Groupe, Accenture Song, Deloitte Digital, PwC, BCG, McKinsey</t>
  </si>
  <si>
    <t>https://www.munro.agency/top-10-paid-media-agencies/</t>
  </si>
  <si>
    <t>https://www.mythology.com/blog/most-creative-agency-nyc</t>
  </si>
  <si>
    <t>Blog - Best Creative Agency in New York City</t>
  </si>
  <si>
    <t>Droga5, R/GA, Anomaly, Pentagram, 72andSunny</t>
  </si>
  <si>
    <t>https://www.neowork.com/insights/marketing-analytics-outsourcing-companies</t>
  </si>
  <si>
    <t>13 Best Marketing Analytics Outsourcing Companies (2026)</t>
  </si>
  <si>
    <t>https://www.newform.com/guides/best-performance-creative-agencies-nyc-2026</t>
  </si>
  <si>
    <t>Best Performance Creative Agencies in NYC for 2026 (Ranked) | NewForm</t>
  </si>
  <si>
    <t>Darkroom, inBeat, NoGood, Tinuiti, Power Digital, Directive, Droga5, Wieden+Kennedy, Ogilvy, R/GA, Huge</t>
  </si>
  <si>
    <t>https://www.niracore.com/top-data-analytics-companies-usa-2026/</t>
  </si>
  <si>
    <t>Top Data Analytics Companies in USA (2026)</t>
  </si>
  <si>
    <t>https://northquery.com/best-aeo-agency/enterprise</t>
  </si>
  <si>
    <t>Best AEO Agency for Enterprise 2026: I Ranked 8 (With Honest Scores) | Northquery</t>
  </si>
  <si>
    <t>Siege Media, Wpromote, Jellyfish, Merkle, Dentsu, Graphite, NP Digital</t>
  </si>
  <si>
    <t>https://www.norvelljefferson.com/insights/top-25-creative-agencies-amsterdam-2026</t>
  </si>
  <si>
    <t>Top 25 Creative Agencies in Amsterdam 2026||Top 25 Creative Agencies in Amsterdam 2026</t>
  </si>
  <si>
    <t>Wieden+Kennedy, Dentsu, Publicis Groupe, Monks, 72andSunny, Ogilvy</t>
  </si>
  <si>
    <t>https://www.nutshell.com/blog/best-ai-seo-companies</t>
  </si>
  <si>
    <t>The 7 Best AI SEO Companies You Can Hire to Get Results</t>
  </si>
  <si>
    <t>Clutch, WebFX, The SEO Works</t>
  </si>
  <si>
    <t>https://nuundigital.com/insights/strategy/top-growth-agencies-north-america</t>
  </si>
  <si>
    <t>Top Growth Agencies in North America 2026 | NUUN Digital | NUUN Digital</t>
  </si>
  <si>
    <t>Tinuiti, Wpromote, NoGood, Jellyfish, VaynerMedia, R/GA, Huge, AKQA, Single Grain, Brandtech, WPP, GroupM, Dentsu, Measured, MuteSix</t>
  </si>
  <si>
    <t>https://oakpool.xyz/drift/top-10-geo-aeo-ai-search-agencies/</t>
  </si>
  <si>
    <t>Top 10 GEO Agencies for AI Search in 2026</t>
  </si>
  <si>
    <t>First Page Sage, iPullRank, Seer Interactive, Intero Digital, NoGood</t>
  </si>
  <si>
    <t>https://www.omdena.com/blog/ai-agent-development-companies</t>
  </si>
  <si>
    <t>AI Agent Development Companies: Top Picks for 2026</t>
  </si>
  <si>
    <t>https://www.omnius.so/blog/best-answer-engine-optimization-agencies#:~:text=2%20%7C%20Position%20Digital%20%7C%20%2F%20%7C,B2B%20SaaS%20multi%2Dsurface%20AEO%20%26%20pipeline%20attribution</t>
  </si>
  <si>
    <t>Clutch, Omniscient Digital, iPullRank, Single Grain, Go Fish Digital, Seer Interactive</t>
  </si>
  <si>
    <t>https://www.omnius.so/blog/best-geo-agencies</t>
  </si>
  <si>
    <t>Top 15 Generative Engine Optimization (GEO) Agencies (2026)</t>
  </si>
  <si>
    <t>iPullRank, The SEO Works, First Page Sage, WebFX, Ignite Visibility, NoGood, Avenue Z, Victorious</t>
  </si>
  <si>
    <t>https://www.omnius.so/blog/marketing-agencies-for-small-businesses</t>
  </si>
  <si>
    <t>15 Best Marketing Agencies for Small Businesses in 2026</t>
  </si>
  <si>
    <t>Clutch, LYFE Marketing, Disruptive Advertising, NoGood, WebFX, NinjaPromo, Ignite Visibility, SmartSites</t>
  </si>
  <si>
    <t>https://onelittleweb.com/top-agencies/b2b-seo-agency/</t>
  </si>
  <si>
    <t>Top B2B SEO Agencies in the USA 2026 (Ranked &amp;amp; Reviewed)</t>
  </si>
  <si>
    <t>Clutch, WebFX, KlientBoost, Disruptive Advertising, Power Digital, SmartSites, Thrive Internet Marketing Agency, Intero Digital, Searchbloom, Funnel Boost Media, NinjaPromo, Siege Media, Go Fish Digital, Silverback Strategies, HawkSEM, Marcel Digital, Stratabeat, Storm Brain, Huge, Momentum</t>
  </si>
  <si>
    <t>https://onelittleweb.com/top-agencies/top-ai-seo-agencies/</t>
  </si>
  <si>
    <t>Top AI SEO Agencies 2026 – Best GEO &amp;amp; AI SEO Services</t>
  </si>
  <si>
    <t>WebFX, Intero Digital, Measured, Clutch, SmartSites, Funnel Boost Media, Elit-Web, The SEO Works, Momentum, Directive, Ignite Visibility</t>
  </si>
  <si>
    <t>https://www.onely.com/blog/best-geo-agencies-for-enterprise-brands/</t>
  </si>
  <si>
    <t>6 Best GEO Agencies for Enterprise Brands (2026) - Onely</t>
  </si>
  <si>
    <t>First Page Sage, iPullRank, Go Fish Digital, Siege Media, Intero Digital, Clutch</t>
  </si>
  <si>
    <t>https://onlineoptimism.com/learn/the-best-aeo-agencies-for-b2b-companies/</t>
  </si>
  <si>
    <t>The Best AEO Agencies for B2B Companies | Online Optimism</t>
  </si>
  <si>
    <t>Optimist</t>
  </si>
  <si>
    <t>https://openmoves.com/blog/the-50-best-b2b-social-media-companies/</t>
  </si>
  <si>
    <t>The 50 Best BtoB Social Media Companies - OpenMoves - Digital Marketing Agency NY</t>
  </si>
  <si>
    <t>WebFX, Clutch, The Social Shepherd, Sociallyin, Single Grain, Directive, Jellyfish, Intero Digital, Merkle, Ignite Visibility, Silverback Strategies, Power Digital, LYFE Marketing, Wpromote, Tinuiti</t>
  </si>
  <si>
    <t>https://www.opinosis-analytics.com/blog/best-ai-consulting-firms/</t>
  </si>
  <si>
    <t>Best AI Consulting Firms in 2026: 10 Options to Consider &amp;amp; How to Choose the Right One for Your Business | Opinosis Analytics</t>
  </si>
  <si>
    <t>IBM, McKinsey, QuantumBlack, BCG, PwC, Fractal Analytics, Bain &amp; Company</t>
  </si>
  <si>
    <t>https://orm-tech.com/blog/best-marketing-attribution-software/</t>
  </si>
  <si>
    <t>9 Best Marketing Attribution Software for B2B (2026) | ORM</t>
  </si>
  <si>
    <t>https://oski.site/blog/sales-and-marketing-analytics-usa/</t>
  </si>
  <si>
    <t>10 Best Sales and Marketing Analytics Companies in the USA (2026)</t>
  </si>
  <si>
    <t>https://ossisto.com/blog/display-advertising-companies/</t>
  </si>
  <si>
    <t>10 Best Display Advertising Companies for 2026</t>
  </si>
  <si>
    <t>https://outpaceseo.com/article/best-seo-agencies/</t>
  </si>
  <si>
    <t>25 Best SEO Agencies in the US [2026] - Top SEO Companies Reviewed</t>
  </si>
  <si>
    <t>WebFX, SmartSites, Ignite Visibility, Searchbloom, Victorious, HawkSEM, Funnel Boost Media, First Page Sage, Darkroom, Clay, Momentum, Clutch</t>
  </si>
  <si>
    <t>https://outreachz.com/blog/10-best-ai-seo-agencies-in-2026/</t>
  </si>
  <si>
    <t>10 Best AI SEO Agencies in 2026: Top Firms for AI Search, AEO, and GEO</t>
  </si>
  <si>
    <t>First Page Sage, NoGood, WebFX, Directive, Amsive, Victorious, iPullRank, Searchbloom</t>
  </si>
  <si>
    <t>https://www.outsourceaccelerator.com/guide/top-digital-marketing-companies-in-the-us/</t>
  </si>
  <si>
    <t>Top 50 digital marketing companies in the US | Outsource Accelerator</t>
  </si>
  <si>
    <t>WebFX, LYFE Marketing, Ignite Visibility, SmartSites, VaynerMedia, Merkle</t>
  </si>
  <si>
    <t>https://www.patientprism.com/blog/best-marketing-attribution-tools-healthcare/</t>
  </si>
  <si>
    <t>Best Marketing Attribution Tools for Healthcare (Revenue-Focused Comparison): 2026 - Patient Prism</t>
  </si>
  <si>
    <t>Ruler Analytics, HockeyStack</t>
  </si>
  <si>
    <t>https://www.pedowitzgroup.com/blog/best-revenue-marketing-consulting-firms-for-fortune-1000-enterprises?hs_amp=true</t>
  </si>
  <si>
    <t>Best Revenue Marketing Consulting Firms for Fortune 1000 Enterprises</t>
  </si>
  <si>
    <t>IBM, Accenture Song, Deloitte Digital, PwC, Publicis Sapient, Slalom, Merkle, Dentsu, McKinsey, BCG</t>
  </si>
  <si>
    <t>https://www.phable.io/top-creative-agencies/leading-creative-agencies-in-new-york-masters-of-branding-content-creation-and-digital-innovation</t>
  </si>
  <si>
    <t>Top Creative Agencies in New York | Leaders in Branding and Digital Innovation — Branding And Content Marketing For Technology</t>
  </si>
  <si>
    <t>Pentagram, Huge, R/GA, Droga5, Wieden+Kennedy, Ogilvy, IBM, AKQA</t>
  </si>
  <si>
    <t>https://pipeline.zoominfo.com/marketing/digital-marketing-tools</t>
  </si>
  <si>
    <t>Digital Marketing Tools: 12 Best Platforms Compared for 2026</t>
  </si>
  <si>
    <t>https://www.pitchkitchen.com/best-ai-sales-marketing-agencies</t>
  </si>
  <si>
    <t>Best AI Sales and Marketing Agencies for B2B in 2026 | PitchKitchen</t>
  </si>
  <si>
    <t>https://www.pleiadesconsultancy.com/blog/best-ai-search-agencies-2026</t>
  </si>
  <si>
    <t>Best AI Search Optimization Agencies in 2026, Compared</t>
  </si>
  <si>
    <t>https://www.plerdy.com/blog/performance-marketing/</t>
  </si>
  <si>
    <t>Top 15 Performance Marketing Agencies – Plerdy</t>
  </si>
  <si>
    <t>Clutch, Disruptive Advertising, WebFX, Ignite Visibility, Directive, Kobe Digital, Publicis Groupe</t>
  </si>
  <si>
    <t>https://www.plerdy.com/blog/social-media-marketing-agencies/</t>
  </si>
  <si>
    <t>Top 15 Social Media Marketing Agencies for 2025 – Plerdy</t>
  </si>
  <si>
    <t>LYFE Marketing, Sociallyin, Clutch, Power Digital</t>
  </si>
  <si>
    <t>https://prerender.io/blog/best-technical-geo-and-ai-se-tools/</t>
  </si>
  <si>
    <t>7 Best Technical GEO Tools for 2026 (AI Search Optimization)</t>
  </si>
  <si>
    <t>https://projectmanagers.net/top-a-b-testing-agencies-delivering-proven-results/</t>
  </si>
  <si>
    <t>Top 8 Testing Agencies Delivering Proven Results in 2025</t>
  </si>
  <si>
    <t>US roundups</t>
  </si>
  <si>
    <t>https://www.promodo.com/blog/best-geo-agencies</t>
  </si>
  <si>
    <t>Top GEO Agencies in 2026: Get Your Brand Cited by AI Search</t>
  </si>
  <si>
    <t>Clutch, Searchbloom, Directive, Siege Media, The SEO Works, Go Fish Digital, Intero Digital, Measured</t>
  </si>
  <si>
    <t>Top Performance Marketing Agencies (2026) - Business of Apps</t>
  </si>
  <si>
    <t>https://www.provokemedia.com/ranking-and-data/global-pr-agency-rankings/2025-pr-agency-rankings/top-250</t>
  </si>
  <si>
    <t>The Social Shepherd, Measured, Incubeta, Directive</t>
  </si>
  <si>
    <t>Global Top 250 PR Agency Ranking 2025 \| PRovoke Media</t>
  </si>
  <si>
    <t>https://punchcut.com/perspectives/best-ai-design-agencies/</t>
  </si>
  <si>
    <t>The 8 Best AI Design Agencies in 2026: An Honest Comparison</t>
  </si>
  <si>
    <t>Accenture Song, Huge, Clay, McKinsey, QuantumBlack</t>
  </si>
  <si>
    <t>https://puremarketing.ai/aeo-agency-montclair/</t>
  </si>
  <si>
    <t>Best AEO Agency for AI Search Visibility (Complete Guide)</t>
  </si>
  <si>
    <t>Brainlabs, Croud, Jellyfish, VML, Ogilvy, Measured, Accenture Song, iProspect, Dentsu, Publicis Groupe, Merkle, Incubeta</t>
  </si>
  <si>
    <t>https://www.q3tech.com/blogs/ai-agent-development-companies-in-usa/</t>
  </si>
  <si>
    <t>Top 10 AI Agent Development Companies in the USA (2026)</t>
  </si>
  <si>
    <t>Momentum, Measured, IBM</t>
  </si>
  <si>
    <t>https://www.quoleady.com/aeo-agencies/</t>
  </si>
  <si>
    <t>AU roundups</t>
  </si>
  <si>
    <t>8 Best AEO Agencies in 2026: Who's Optimizing for AI Answers</t>
  </si>
  <si>
    <t>Measured, Darkroom, Omniscient Digital, Discovered Labs, NoGood</t>
  </si>
  <si>
    <t>https://www.ramotion.com/blog/top-branding-agencies/</t>
  </si>
  <si>
    <t>Top Branding Agencies in 2026 | Ramotion</t>
  </si>
  <si>
    <t>Wolff Olins, Pentagram, BBDO</t>
  </si>
  <si>
    <t>Tinuiti, Dentsu, Brainlabs, GroupM, Power Digital, PMG, Incubeta, Reload Media</t>
  </si>
  <si>
    <t>https://rankai.ai/articles/best-geo-agencies</t>
  </si>
  <si>
    <t>Best GEO Agencies in 2026 — Ranked for AI Search Optimization</t>
  </si>
  <si>
    <t>Daydream, Graphite, iPullRank, Clay</t>
  </si>
  <si>
    <t>UK roundups</t>
  </si>
  <si>
    <t>https://rankmybusiness.com.au/ai-seo-marketing-agency/</t>
  </si>
  <si>
    <t>AI Digital Marketing Agency | Australia&amp;#039;s Best AI Marketing &amp;amp; SEO Services</t>
  </si>
  <si>
    <t>https://ranktix.co.uk/best-answer-engine-optimization-tools/</t>
  </si>
  <si>
    <t>10 Best Answer Engine Optimization Tools In 2026 – Ranktix</t>
  </si>
  <si>
    <t>https://www.thegrowthsyndicate.com/agencies/best-b2b-performance-marketing-agencies-europe</t>
  </si>
  <si>
    <t>The 12 Best B2B Performance Marketing Agencies in Europe</t>
  </si>
  <si>
    <t>Brainlabs, WPP, GroupM, Incubeta, Croud, Born Social, Measured, Havas Market UK, Huge, Publicis Groupe, Omnicom, Dentsu, Merkle, Impression</t>
  </si>
  <si>
    <t>https://www.ranktracker.com/blog/best-aiseo-agencies/</t>
  </si>
  <si>
    <t>Push, The Social Shepherd, Measured, Favoured, Incubeta</t>
  </si>
  <si>
    <t>8 Best AI Visibility (AISEO) Agencies in 2026</t>
  </si>
  <si>
    <t>Clutch, Momentum, Ignite Visibility, Single Grain, First Page Sage, Intero Digital</t>
  </si>
  <si>
    <t>https://influencermarketinghub.com/performance-marketing-agencies/</t>
  </si>
  <si>
    <t>Top 54 Performance Marketing Agencies to Boost Your ROI in 2026</t>
  </si>
  <si>
    <t>McKinsey &amp; Company, Momentum, 9AM, Measured, WebFX, Ignite Visibility, Tinuiti, GroupM, Wpromote, Dept, Dentsu, iCrossing, Merkle, Power Digital, Croud, The Brains, Incubeta, NoGood, Disruptive Advertising, Directive Consulting</t>
  </si>
  <si>
    <t>UAE roundups</t>
  </si>
  <si>
    <t>https://www.ranktracker.com/blog/generative-engine-optimization-agencies/</t>
  </si>
  <si>
    <t>7 Top Generative Engine Optimization (GEO) Agencies to Get Your Brand Found in AI Search</t>
  </si>
  <si>
    <t>https://oski.site/blog/sales-and-marketing-analytics-companies-uae/</t>
  </si>
  <si>
    <t>https://rankz.co/blog/best-agencies-for-ai-search-optimization/</t>
  </si>
  <si>
    <t>Best Agencies for AI Search Optimization: 12 Top Picks for 2026</t>
  </si>
  <si>
    <t>iPullRank, First Page Sage, Avenue Z, NoGood, Single Grain</t>
  </si>
  <si>
    <t>Top Sales and Marketing Analytics Companies in the UAE</t>
  </si>
  <si>
    <t>https://rankz.co/blog/best-ai-marketing-agencies/</t>
  </si>
  <si>
    <t>Best AI Marketing Agencies (2026): Top Picks for Smarter Growth</t>
  </si>
  <si>
    <t>intouch, SOL Analytics, Chain Reaction, Incubeta, Adapts Media</t>
  </si>
  <si>
    <t>Anomaly, WebFX, IBM, Single Grain, NP Digital, Disruptive Advertising, SmartSites, Directive, Siege Media, Tinuiti, Thrive Internet Marketing Agency, Clutch</t>
  </si>
  <si>
    <t>https://rankz.co/blog/top-ai-marketing-agencies/</t>
  </si>
  <si>
    <t>Top AI Marketing Agencies in 2026: Best Partners for SEO, Paid Media, Content, and AI Search Growth - RankZ Blog</t>
  </si>
  <si>
    <t>https://c2cmedia.ae/blog/best-performance-marketing-agency-dubai/</t>
  </si>
  <si>
    <t>McKinsey, WebFX, NoGood, Single Grain, NP Digital, Jellyfish, Keenfolks, SmartSites, Huge</t>
  </si>
  <si>
    <t>https://www.rebootonline.com/data-marketing/best-data-marketing-agencies/</t>
  </si>
  <si>
    <t>Best Performance Marketing Agency in Dubai for ROI</t>
  </si>
  <si>
    <t>C2C Media, NEXA, Chain Reaction, SEO Sherpa, Incubeta, Huge, WPP, Publicis Groupe</t>
  </si>
  <si>
    <t>Best Data Marketing Agencies 2026 | Ultimate Top 10 List Ranked &amp;amp; Rated</t>
  </si>
  <si>
    <t>Brainlabs, PMG, Directive</t>
  </si>
  <si>
    <t>https://nucleusmedia.ae/blog/the-best-digital-marketing-agencies-in-uae-2025-the-ultimate-list/#:~:text=The%20UAE%2Dbased%20brand%20looking,and%20analytics%20for%20their%20operations.</t>
  </si>
  <si>
    <t>https://www.rebootonline.com/seo/best-seo-agencies/</t>
  </si>
  <si>
    <t>Best SEO Agencies for 2026 | Ultimate Top 20 List Ranked &amp;amp; Rated</t>
  </si>
  <si>
    <t>The SEO Works, NP Digital, WebFX, Clutch</t>
  </si>
  <si>
    <t>Top Digital Marketing Agencies in UAE 2025 | Ultimate List</t>
  </si>
  <si>
    <t>NEXA, Incubeta</t>
  </si>
  <si>
    <t>https://www.inbeat.co/articles/top-digital-marketing-agencies-dubai/</t>
  </si>
  <si>
    <t>https://red-engage.com/blog/best-ai-seo-agencies</t>
  </si>
  <si>
    <t>10 Best Answer Engine Optimization (AEO) Agencies in 2026</t>
  </si>
  <si>
    <t>iPullRank, Amsive, Sociallyin, First Page Sage, Single Grain, Clutch</t>
  </si>
  <si>
    <t>Top 31 Digital Marketing Agencies in Dubai (Reviewed in January 2025)</t>
  </si>
  <si>
    <t>inBeat, NEXA, ASTUDIO, Prism Digital, Digital Gravity, Red Berries, GCC Marketing, Chain Reaction, GPS Marketing Agency, DigitalFarm, Digital Media Sapiens, United SEO, Incubeta</t>
  </si>
  <si>
    <t>https://www.reddit.com/r/GenEngineOptimization/comments/1qab4rt/what_are_the_top_geo_agencies_and_what_softwares/</t>
  </si>
  <si>
    <t>What are the top GEO Agencies and what softwares are they using?</t>
  </si>
  <si>
    <t>DE roundups</t>
  </si>
  <si>
    <t>https://www.reddit.com/r/SaaS/comments/1rd9bem/whats_the_best_marketing_agency_youve_worked_with/</t>
  </si>
  <si>
    <t>What’s the best marketing agency you’ve worked with, and what did they actually do well?</t>
  </si>
  <si>
    <t>Measured, Huge, Animalz</t>
  </si>
  <si>
    <t>https://www.reddit.com/r/TheTopAgencies/comments/1m6imy5/the_best_digital_marketing_agencies_in_seattle/</t>
  </si>
  <si>
    <t>Brainlabs, WPP, GroupM, s360, Incubeta, Croud, iProspect, Measured, Huge, Mindshare, Publicis Groupe, Omnicom, Dentsu, Merkle</t>
  </si>
  <si>
    <t>The Best Digital Marketing Agencies in Seattle</t>
  </si>
  <si>
    <t>Thrive Internet Marketing Agency, Brainlabs, NoGood</t>
  </si>
  <si>
    <t>https://www.webtonic.io/blog/best-performance-marketing-agencies#:~:text=About%3A%20Hawke%20Media%20pioneered%20the,email%20marketing%2C%20and%20conversion%20optimization.</t>
  </si>
  <si>
    <t>Tinuiti, Hawke Media, NoGood, Disruptive Advertising, Power Digital, Wpromote, Directive Consulting, SmartSites, KlientBoost, Single Grain, Jellyfish, Incubeta</t>
  </si>
  <si>
    <t>https://www.reddit.com/r/digital_marketing/comments/1rpmtmy/what_are_the_top_5_ai_visibility_agencies_in_2026/</t>
  </si>
  <si>
    <t>What Are the Top 5 AI Visibility Agencies in 2026?</t>
  </si>
  <si>
    <t>Measured, Incubeta</t>
  </si>
  <si>
    <t>https://www.reddit.com/r/u_ThoughtMetric/comments/1t4mvsi/we_put_together_a_comparison_of_the_top_shopify/</t>
  </si>
  <si>
    <t>We put together a comparison of the top Shopify attribution tools (features, pricing, and who they fit)</t>
  </si>
  <si>
    <t>https://www.reddit.com/r/u_ThoughtMetric/comments/1tdbr6w/top_hyros_alternatives_updated_may_2026/</t>
  </si>
  <si>
    <t>Top Hyros alternatives (updated May 2026)</t>
  </si>
  <si>
    <t>Rockerbox, Northbeam, Triple Whale</t>
  </si>
  <si>
    <t>https://www.responsify.com/b2b-content-marketing-agencies</t>
  </si>
  <si>
    <t>Best B2B Content Marketing Agencies: Options to Consider &amp;amp; How to Choose - Responsify</t>
  </si>
  <si>
    <t>Clutch, Siege Media, Omniscient Digital</t>
  </si>
  <si>
    <t>https://www.resultfirst.com/blog/ecommerce-seo/top-ecommerce-seo-agencies/</t>
  </si>
  <si>
    <t>Best Ecommerce SEO Agencies in the US [2026] | ResultFirst</t>
  </si>
  <si>
    <t>Thrive Internet Marketing Agency, First Page Sage, Siege Media, Searchbloom, Measured, Clutch</t>
  </si>
  <si>
    <t>https://www.revvgrowth.com/geo/enterprise-geo-agency</t>
  </si>
  <si>
    <t>10 Best Enterprise GEO Agencies in 2026 | AI Search Optimization</t>
  </si>
  <si>
    <t>First Page Sage, Intero Digital, Siege Media, Go Fish Digital, WebFX, Omniscient Digital, iPullRank, NoGood, Clutch, Single Grain, Measured</t>
  </si>
  <si>
    <t>https://riverjournalonline.com/news/best-amazon-ppc-agencies-to-lower-acos-in-2026/300535/</t>
  </si>
  <si>
    <t>Best Amazon PPC Agencies to Lower ACoS in 2026 - River Journal Online - News for Tarrytown, Sleepy Hollow, Irvington, Ossining, Briarcliff Manor, Croton-on-Hudson, Cortlandt and Peekskill</t>
  </si>
  <si>
    <t>https://s3da-design.com/guest-contribution/best-remodeling-digital-marketing-agencies-in-2025/</t>
  </si>
  <si>
    <t>Best Remodeling Digital Marketing &amp;amp; SEO Agencies for Contractors 2025</t>
  </si>
  <si>
    <t>https://salesduo.com/blog/amazon-product-ads-management-agencies-comparison/</t>
  </si>
  <si>
    <t>Best Amazon Product Ads Management Agencies in 2026</t>
  </si>
  <si>
    <t>Tinuiti, Disruptive Advertising, Measured</t>
  </si>
  <si>
    <t>https://scopicstudios.com/blog/best-geo-agencies-ai-search-visibility-2026/</t>
  </si>
  <si>
    <t>10 Best GEO Agencies for AI Search Brand Visibility</t>
  </si>
  <si>
    <t>https://scopicstudios.com/blog/top-ai-marketing-agencies/</t>
  </si>
  <si>
    <t>10 Best AI Marketing Agencies in 2026 (Ranked &amp;amp; Reviewed)</t>
  </si>
  <si>
    <t>Clutch, NoGood, Single Grain, Keenfolks, Anomaly</t>
  </si>
  <si>
    <t>https://searchconversions.com/the-10-best-answer-engine-optimization-aeo-agencies/</t>
  </si>
  <si>
    <t>The 10 Best Answer Engine Optimization (AEO) Agencies</t>
  </si>
  <si>
    <t>Omniscient Digital, iPullRank, NoGood, Ignite Visibility, Single Grain</t>
  </si>
  <si>
    <t>https://segmetrics.io/articles/the-best-marketing-attribution-tools-for-2026-and-how-to-choose-the-right-one/</t>
  </si>
  <si>
    <t>The Best Marketing Attribution Tools for 2026 (And How to Choose the Right One) - SegMetrics</t>
  </si>
  <si>
    <t>Triple Whale, Northbeam, Cometly</t>
  </si>
  <si>
    <t>https://selectedfirms.co/companies/aeo-companies</t>
  </si>
  <si>
    <t>Top AEO Companies Companies (2026) — SelectedFirms</t>
  </si>
  <si>
    <t>IBM, Silverback Strategies, Clutch, Momentum, Avenue Z</t>
  </si>
  <si>
    <t>https://selectedfirms.co/companies/digital-marketing-agencies/usa</t>
  </si>
  <si>
    <t>Top Digital Marketing Companies in USA (2026) — SelectedFirms</t>
  </si>
  <si>
    <t>IBM, Elit-Web, Clutch, Huge, Momentum, AdVenture Media, HawkSEM, Silverback Strategies, RevenueZen</t>
  </si>
  <si>
    <t>https://semnexus.com/top-ai-powered-marketing-agencies-in-2026-ranked-by-innovation-performance/</t>
  </si>
  <si>
    <t>Top AI-Powered Marketing Agencies in 2026 (Ranked by Innovation &amp;amp; Performance) | SEM Nexus</t>
  </si>
  <si>
    <t>Jellyfish, Wpromote, NoGood</t>
  </si>
  <si>
    <t>https://www.semrush.com/agencies/list/display-advertising/information-technology/united-states/</t>
  </si>
  <si>
    <t>Best IT Display Ads Agencies in United States 2026 \| Semrush</t>
  </si>
  <si>
    <t>https://seostrategylab.com/blog/best-llm-seo-agencies-usa/</t>
  </si>
  <si>
    <t>Best LLM SEO Agencies in the USA for AI Search Growth</t>
  </si>
  <si>
    <t>Omniscient Digital, iPullRank, Go Fish Digital, Thrive Internet Marketing Agency</t>
  </si>
  <si>
    <t>https://seostrategylab.com/blog/best-technical-seo-agencies-usa/</t>
  </si>
  <si>
    <t>Best Technical SEO Agencies in the USA (2026 Edition) | SEO Strategy Lab</t>
  </si>
  <si>
    <t>iPullRank, Darkroom, Single Grain</t>
  </si>
  <si>
    <t>https://www.sianamarketing.com/resources/the-top-geo-agencies-2026</t>
  </si>
  <si>
    <t>The Top GEO Agencies of 2026 — Siana</t>
  </si>
  <si>
    <t>Clutch, First Page Sage, Intero Digital, Graphite</t>
  </si>
  <si>
    <t>https://www.signitysolutions.com/blog/top-ai-consulting-firms</t>
  </si>
  <si>
    <t>Top 10 AI Consulting Companies 2026</t>
  </si>
  <si>
    <t>Clutch, McKinsey, QuantumBlack, IBM, PwC, BCG</t>
  </si>
  <si>
    <t>https://simplythebestdigital.com/best-digital-marketing-agencies-usa/</t>
  </si>
  <si>
    <t>Best Digital Marketing Agencies in the USA 2026 (Ranked &amp;amp; Reviewed) | Simply The Best Digital</t>
  </si>
  <si>
    <t>WebFX, Ignite Visibility, SmartSites, Disruptive Advertising, First Page Sage, Power Digital, Clutch</t>
  </si>
  <si>
    <t>https://www.singlegrain.com/?p=69243</t>
  </si>
  <si>
    <t>Single Grain, NoGood, RevenueZen, iPullRank, WebFX, First Page Sage</t>
  </si>
  <si>
    <t>https://www.singlegrain.com/?p=69273</t>
  </si>
  <si>
    <t>https://www.singlestoneconsulting.com/blog/best-data-modernization-services</t>
  </si>
  <si>
    <t>SingleStone - The 6 Best Data Modernization Services of 2026</t>
  </si>
  <si>
    <t>Slalom, PwC</t>
  </si>
  <si>
    <t>https://slashdot.org/software/incrementality-testing/</t>
  </si>
  <si>
    <t>Top Incrementality Testing Tools in 2026</t>
  </si>
  <si>
    <t>Measured, LifeSight, Sellforte, Rockerbox, Recast, Haus, Analytic Partners, Momentum</t>
  </si>
  <si>
    <t>https://slashdot.org/software/incrementality-testing/in-usa/</t>
  </si>
  <si>
    <t>Top Incrementality Testing Tools in the USA in 2026</t>
  </si>
  <si>
    <t>https://www.smartosc.com/10-best-ai-services-in-japan/</t>
  </si>
  <si>
    <t>10 Best AI Services Solutions for Japanese Organisations - SmartOSC</t>
  </si>
  <si>
    <t>McKinsey, Anomaly, Measured</t>
  </si>
  <si>
    <t>https://snov.io/blog/best-digital-marketing-platforms/</t>
  </si>
  <si>
    <t>13 best digital marketing platforms in 2026 (reviewed &amp;amp; ranked)</t>
  </si>
  <si>
    <t>https://socialander.com/top-digital-marketing-companies-in-usa/</t>
  </si>
  <si>
    <t>Top 17 Digital Marketing Companies in USA</t>
  </si>
  <si>
    <t>Ignite Visibility, WebFX, Disruptive Advertising, KlientBoost, LYFE Marketing, Searchbloom, Thrive Internet Marketing Agency, SmartSites</t>
  </si>
  <si>
    <t>https://sociallypowerful.com/post/top-international-marketing-agencies</t>
  </si>
  <si>
    <t>Top 25 International Marketing Agencies</t>
  </si>
  <si>
    <t>NoGood, AKQA, inBeat, Web Tonic, R/GA, Ignite Visibility, WebFX</t>
  </si>
  <si>
    <t>https://sociallypowerful.com/post/top-retail-marketing-agencies</t>
  </si>
  <si>
    <t>Top 30 Retail Marketing Agencies (2025)</t>
  </si>
  <si>
    <t>SmartSites, Disruptive Advertising, NoGood, BBDO, Web Tonic</t>
  </si>
  <si>
    <t>https://sociolabs.in/top-indian-generative-engine-optimization-companies/</t>
  </si>
  <si>
    <t>Top Indian Companies in Generative Engine Optimization</t>
  </si>
  <si>
    <t>https://www.sortlist.com/digital-marketing/doha-qa</t>
  </si>
  <si>
    <t>The 10 Best Digital Marketing Agencies in Doha - 2026 Reviews</t>
  </si>
  <si>
    <t>Clutch, Directive</t>
  </si>
  <si>
    <t>https://www.sortlist.com/paid-media#:~:text=Instead%20of%20traditional%20agencies%20that%20bill%20per,marketing%20across%20all%20key%20channels%20and%20disciplines.</t>
  </si>
  <si>
    <t>The 100 Best Paid Media Agencies - 2026 Reviews</t>
  </si>
  <si>
    <t>NinjaPromo, Triple Whale, Northbeam, HockeyStack</t>
  </si>
  <si>
    <t>https://www.sortlist.com/performance-marketing</t>
  </si>
  <si>
    <t>The 100 Best Performance Marketing Agencies - 2026 Reviews</t>
  </si>
  <si>
    <t>Triple Whale, Northbeam, HockeyStack, Measured</t>
  </si>
  <si>
    <t>https://www.sortlist.com/s/artificial-intelligence/united-states-us</t>
  </si>
  <si>
    <t>The 10 Best Artificial Intelligence Agencies in the United States - 2026 Reviews</t>
  </si>
  <si>
    <t>https://www.sortlist.com/s/display-advertising/los-angeles-ca-us</t>
  </si>
  <si>
    <t>The 10 Best Display Advertising Agencies in Los Angeles, CA - 2026 Reviews</t>
  </si>
  <si>
    <t>NinjaPromo, IBM, Clutch, Clay</t>
  </si>
  <si>
    <t>https://www.sortlist.com/s/display-advertising/nashville-tn-us</t>
  </si>
  <si>
    <t>The 10 Best Display Advertising Agencies in Nashville - 2026 Reviews</t>
  </si>
  <si>
    <t>NinjaPromo, IBM, Clutch, Clay, Nielsen</t>
  </si>
  <si>
    <t>https://www.sortlist.com/s/performance-marketing/atlanta-ga-us</t>
  </si>
  <si>
    <t>The 10 Best Performance Marketing Agencies in Atlanta, GA - 2026 Reviews</t>
  </si>
  <si>
    <t>IBM, Clutch, Clay, Anomaly</t>
  </si>
  <si>
    <t>https://sourceforge.net/software/incrementality-testing/usa/</t>
  </si>
  <si>
    <t>Best Incrementality Testing Tools in the USA of 2026 - Reviews &amp;amp; Comparison</t>
  </si>
  <si>
    <t>https://www.sparkouttech.com/ui-ux-design-agencies-usa/</t>
  </si>
  <si>
    <t>Discover Top 10 UI/UX Design Agencies in USA For Businesses</t>
  </si>
  <si>
    <t>Clay, Momentum, IBM, Haus</t>
  </si>
  <si>
    <t>https://www.spicymargarita.co/blog/top-ai-seo-agencies-for-b2b</t>
  </si>
  <si>
    <t>8 Top AI SEO Agencies for B2B | The Best AI SEO Agencies in 2026</t>
  </si>
  <si>
    <t>Go Fish Digital, Intero Digital</t>
  </si>
  <si>
    <t>https://www.stackmatix.com/blog/best-facebook-ads-agencies</t>
  </si>
  <si>
    <t>15 Best Facebook Ads Agencies in 2026 (Vetted &amp;amp; Compared)</t>
  </si>
  <si>
    <t>Disruptive Advertising, Clutch, KlientBoost, SmartSites, WebFX, LYFE Marketing, Thrive Internet Marketing Agency, The Social Shepherd, Brighter Click, Power Digital, Single Grain</t>
  </si>
  <si>
    <t>https://stridec.com/blog/best-ai-seo-agencies/</t>
  </si>
  <si>
    <t>7 Best AI SEO Agencies in 2026 (Ranked by Results)</t>
  </si>
  <si>
    <t>First Page Sage, Siege Media, WebFX</t>
  </si>
  <si>
    <t>https://stridec.com/blog/best-geo-tools-ai-search/</t>
  </si>
  <si>
    <t>10 Best GEO Tools for AI Search Optimization (2026 Guide)</t>
  </si>
  <si>
    <t>https://www.stryde.com/best-ecommerce-paid-search-agencies-in-the-us/</t>
  </si>
  <si>
    <t>Best Ecommerce Paid Search Agencies in the US in 2026 - STRYDE</t>
  </si>
  <si>
    <t>NoGood, HawkSEM, Disruptive Advertising, Thrive Internet Marketing Agency, Seer Interactive, Tinuiti, Huge</t>
  </si>
  <si>
    <t>https://superbcompanies.com/categories/media-planning-buying-agencies-in-the-usa/</t>
  </si>
  <si>
    <t>Top 50 Media Planning &amp;amp; Buying Agencies in the United States - Jul 2026 | Ranking | SuperbCompanies</t>
  </si>
  <si>
    <t>https://sweatpantsagency.com/the-top-9-digital-marketing-agencies</t>
  </si>
  <si>
    <t>The Top 9 Digital Marketing Agencies in 2026 | Sweat Pants Agency</t>
  </si>
  <si>
    <t>Wieden+Kennedy, NoGood, WebFX, The Social Shepherd, LYFE Marketing, First Page Sage, Disruptive Advertising</t>
  </si>
  <si>
    <t>https://taqwah.agency/blog/top-saas-landing-page-design-agencies</t>
  </si>
  <si>
    <t>Top 10 SaaS Landing Page Design Agencies 2026</t>
  </si>
  <si>
    <t>Clay, Clutch</t>
  </si>
  <si>
    <t>https://techradiant.co/agencies/social-media-marketing/</t>
  </si>
  <si>
    <t>Best Social Media Marketing Agencies 2026 | Top SMM Experts - Techradiant</t>
  </si>
  <si>
    <t>Power Digital, Sociallyin, Elit-Web</t>
  </si>
  <si>
    <t>https://techreviewer.co/digital-marketing</t>
  </si>
  <si>
    <t>Top Digital Marketing Agencies in 2026 | Techreviewer.co</t>
  </si>
  <si>
    <t>inBeat, Clutch, Huge</t>
  </si>
  <si>
    <t>https://www.tenspeed.io/blog/best-content-marketing-agencies</t>
  </si>
  <si>
    <t>The 8 Best Content Marketing Agencies in 2026 | Ten Speed</t>
  </si>
  <si>
    <t>Single Grain, Siege Media, Omniscient Digital, Animalz, Power Digital, Clutch</t>
  </si>
  <si>
    <t>https://theb2bplaybook.com/best-google-ads-agencies-for-b2b</t>
  </si>
  <si>
    <t>12 Best Google Ads Agencies for B2B Companies [2026]</t>
  </si>
  <si>
    <t>Directive, McKinsey, KlientBoost, HawkSEM, Disruptive Advertising, WebFX, Single Grain, Silverback Strategies, NP Digital, Momentum, Clutch</t>
  </si>
  <si>
    <t>https://www.thebusinessrover.com/blog/best-ppc-agencies</t>
  </si>
  <si>
    <t>21 Best PPC Agencies in 2026 | The Business Rover</t>
  </si>
  <si>
    <t>Disruptive Advertising, KlientBoost, Directive, Tinuiti, AdVenture Media, Brainlabs, Merkle, iProspect, DEPT, Wpromote, Jellyfish, Momentum, Dentsu, TransUnion</t>
  </si>
  <si>
    <t>https://www.thebusinessrover.com/sv/blog/growth-marketing-agencies#:~:text=Right%20Side%20Up%20is%20a,house%2C%20not%20junior%20account%20managers.</t>
  </si>
  <si>
    <t>14 Best Growth Marketing Agencies in 2026 | Business Rover</t>
  </si>
  <si>
    <t>NoGood, NP Digital, Right Side Up, Wpromote, Omniscient Digital, Single Grain, Refine Labs, TransUnion</t>
  </si>
  <si>
    <t>https://thecmo.com/services/best-digital-marketing-agency/</t>
  </si>
  <si>
    <t>10 Best Digital Marketing Agency Reviewed in 2026</t>
  </si>
  <si>
    <t>Victorious, Searchbloom, Thrive Internet Marketing Agency, WebFX, SmartSites, KlientBoost</t>
  </si>
  <si>
    <t>https://thecrunch.io/ai-software-sales/</t>
  </si>
  <si>
    <t>10 Best AI Software Sales Tools to Double Your Revenue in 2026</t>
  </si>
  <si>
    <t>https://www.thedrum.com/news/world-creative-rankings-the-top-100-most-awarded-agencies-the-us</t>
  </si>
  <si>
    <t>World Creative Rankings: the top 100 most awarded agencies in the US \| The Drum</t>
  </si>
  <si>
    <t>72andSunny, Merkle</t>
  </si>
  <si>
    <t>https://www.thegrowthsyndicate.com/agencies/best-b2b-marketing-agencies-us</t>
  </si>
  <si>
    <t>The 10 Best B2B Marketing Agencies in the US in 2026</t>
  </si>
  <si>
    <t>Directive, Measured, Animalz, Clutch, Refine Labs</t>
  </si>
  <si>
    <t>https://www.thegrowthsyndicate.com/agencies/best-linkedin-ads-agencies-us</t>
  </si>
  <si>
    <t>Best LinkedIn Ads Agencies in the US (2026)</t>
  </si>
  <si>
    <t>Directive, Refine Labs, Disruptive Advertising, Clutch, Measured</t>
  </si>
  <si>
    <t>https://theinklusive.com/blog/12-best-branding-agencies/</t>
  </si>
  <si>
    <t>Top 15 Branding Agencies in the World (2025 Rankings)</t>
  </si>
  <si>
    <t>BCG, Dentsu, Anomaly, Pentagram, WPP</t>
  </si>
  <si>
    <t>https://themanifest.com/media-buying/agencies</t>
  </si>
  <si>
    <t>The Best Media Planning and Buying Companies - Jul 2026 | The Manifest</t>
  </si>
  <si>
    <t>Clutch, Accelerated Digital Media, Major Tom, Tinuiti</t>
  </si>
  <si>
    <t>https://themanifest.com/us/creative/agencies?page=1</t>
  </si>
  <si>
    <t>https://themanifest.com/us/digital/agencies</t>
  </si>
  <si>
    <t>The Best Full Service Digital Companies in United States - Jul 2026 | The Manifest</t>
  </si>
  <si>
    <t>Clutch, Ignite Visibility, Storm Brain, Funnel Boost Media</t>
  </si>
  <si>
    <t>https://themanifest.com/us/social-media/agencies?page=1</t>
  </si>
  <si>
    <t>Clutch, Ignite Visibility, Elit-Web, KlientBoost, Disruptive Advertising, AdVenture Media, HawkSEM, Acadia, SmartSites, NinjaPromo, LYFE Marketing, Sociallyin</t>
  </si>
  <si>
    <t>https://themanifest.com/us/social-media/instagram/agencies</t>
  </si>
  <si>
    <t>The Best Instagram Advertising Companies in United States - Jul 2026 | The Manifest</t>
  </si>
  <si>
    <t>Clutch, LYFE Marketing, Elit-Web, Power Digital, Disruptive Advertising, Sociallyin, SmartSites, AdVenture Media, HawkSEM, Brighter Click, NinjaPromo</t>
  </si>
  <si>
    <t>https://www.thezulumethod.com/top-ai-marketing-agencies</t>
  </si>
  <si>
    <t>Top 7 AI Marketing Agencies in 2026 (Compared) | Zulu</t>
  </si>
  <si>
    <t>Power Digital, Wpromote, Single Grain, Directive, NoGood, Giant Spoon, Hawke Media, Measured</t>
  </si>
  <si>
    <t>https://thinkwithalec.com/2025/03/02/best-marketing-platforms-for-tracking-first-party-data/</t>
  </si>
  <si>
    <t>Best Marketing Platforms for Tracking First-Party Data – THINK WITH ALEC</t>
  </si>
  <si>
    <t>https://www.thirstysprout.com/post/best-tech-recruiting-agencies</t>
  </si>
  <si>
    <t>7 Best Tech Recruiting Agencies for AI &amp;amp; Engineering in 2025 | ThirstySprout</t>
  </si>
  <si>
    <t>https://trailblazermktg.com/blog/best-seo-agency-in-the-usa#:~:text=They%20operate%20in%2015%2B%20languages,around%20content%20and%20authority%20signals.</t>
  </si>
  <si>
    <t>42 Best SEO Agencies in the USA in 2026 to Grow Traffic &amp;amp; Revenue - Trailblazer</t>
  </si>
  <si>
    <t>Momentum, WebFX, Clutch, First Page Sage, Victorious, Thrive Internet Marketing Agency, Ignite Visibility, SmartSites, LYFE Marketing, NinjaPromo, Storm Brain, Go Fish Digital, Funnel Boost Media, KlientBoost, Major Tom, Searchbloom, Directive, Siege Media</t>
  </si>
  <si>
    <t>https://tribetronics.com/blog/top-ai-marketing-agencies-in-usa</t>
  </si>
  <si>
    <t>Top AI Marketing Agencies in USA | Tribetronics</t>
  </si>
  <si>
    <t>https://www.tripledart.com/ai-marketing/ai-marketing-agencies</t>
  </si>
  <si>
    <t>7 Best B2B AI Marketing Agencies for 2026</t>
  </si>
  <si>
    <t>Single Grain, NoGood, Major Tom, Clutch, Croud</t>
  </si>
  <si>
    <t>https://www.tripledart.com/ai-seo/ai-seo-agencies</t>
  </si>
  <si>
    <t>Best AI SEO Agencies in 2026</t>
  </si>
  <si>
    <t>iPullRank, First Page Sage, WebFX, NoGood, SmartSites, Omniscient Digital, Siege Media, Measured</t>
  </si>
  <si>
    <t>https://www.tripledart.com/saas-seo/agencies</t>
  </si>
  <si>
    <t>Top SaaS SEO Agencies in 2026</t>
  </si>
  <si>
    <t>Omniscient Digital, Single Grain, Directive, Optimist, Clutch, WebFX</t>
  </si>
  <si>
    <t>https://www.uforocks.com/blog/20-top-marketing-agencies-in-kansas-city-for-impressive-business-growth/</t>
  </si>
  <si>
    <t>20 Top Marketing Agencies in Kansas City for Impressive Business Growth - UFO Digital Marketing Agency</t>
  </si>
  <si>
    <t>https://ugcengine.ai/blog/best-aeo-agencies</t>
  </si>
  <si>
    <t>Best AEO Agencies in 2026: 9 Top Firms for AI Search Visibility</t>
  </si>
  <si>
    <t>NoGood, iPullRank, Animalz, Omniscient Digital, Graphite, First Page Sage, Amsive, Momentum</t>
  </si>
  <si>
    <t>https://uitop.design/blog/design/b2b-design-agency/</t>
  </si>
  <si>
    <t>TOP-5 B2B Design Agencies in 2025 | UITOP</t>
  </si>
  <si>
    <t>Clay, Pentagram, Clutch</t>
  </si>
  <si>
    <t>https://www.usekaya.com/blog/b2b-marketing-agencies-for-ads</t>
  </si>
  <si>
    <t>Top B2B Marketing Agencies for Paid Ads in 2025 \| Kaya</t>
  </si>
  <si>
    <t>Directive, WebFX, KlientBoost, Single Grain, Hey Digital, Metric Theory, Brainlabs, Measured, Huge</t>
  </si>
  <si>
    <t>https://usermaven.com/blog/marketing-attribution-tools</t>
  </si>
  <si>
    <t>15 best marketing attribution tools (compared for 2026)</t>
  </si>
  <si>
    <t>HockeyStack, Triple Whale, Cometly, Rockerbox, Measured, Ruler Analytics, Northbeam</t>
  </si>
  <si>
    <t>https://www.venturemedia.io/post/top-social-media-marketing-agencies-in-the-united-states#:~:text=Sociallyin%20is%20a%20creative%2Dled%20social%20media%20marketing,strong%20blend%20of%20creativity%20with%20data%2Ddriven%20strategy.</t>
  </si>
  <si>
    <t>Top Social Media Marketing Agencies in the US (2026)</t>
  </si>
  <si>
    <t>Clutch, SmartSites, LYFE Marketing, Sociallyin, Disruptive Advertising, Ignite Visibility, Power Digital, VaynerMedia</t>
  </si>
  <si>
    <t>https://vibebranding.com/blog/best-performance-marketing-agencies/</t>
  </si>
  <si>
    <t>Best Performance Marketing Agencies for ROI Growth 2025</t>
  </si>
  <si>
    <t>https://vidi-corp.com/ecommerce-analytics-companies/</t>
  </si>
  <si>
    <t>Top 10 Ecommerce Analytics Companies For Data-Driven Growth</t>
  </si>
  <si>
    <t>Fractal Analytics, Artefact</t>
  </si>
  <si>
    <t>https://vidico.com/news/creative-advertising-agencies/</t>
  </si>
  <si>
    <t>15 Best Creative Advertising Agencies in 2026 (Complete Guide)</t>
  </si>
  <si>
    <t>Wieden+Kennedy, Ogilvy, Superside, Giant Spoon, IBM, WPP, Measured, Droga5, Accenture Song, Publicis Groupe, Dentsu, VML, BBDO, Kantar</t>
  </si>
  <si>
    <t>https://vietnammarcom.edu.vn/marketing/best-digital-marketing-agencies-winning-projects-around-the-world/</t>
  </si>
  <si>
    <t>Best Digital Marketing Agencies Winning Projects Around The World - VietnamMarcom</t>
  </si>
  <si>
    <t>WebFX, Disruptive Advertising, NoGood, Directive</t>
  </si>
  <si>
    <t>https://virtualadagency.com.au/top-digital-advertising-agencies/</t>
  </si>
  <si>
    <t>7 Top Digital Advertising Agencies in Australia (2025 Guide)</t>
  </si>
  <si>
    <t>https://vstorm.co/agentic-ai/top-10-agentic-ai-development-and-consulting-companies-for-smbs-and-enterprises/</t>
  </si>
  <si>
    <t>Top 10 agentic AI development and consulting companies for SMBs and enterprises in 2026 - Vstorm</t>
  </si>
  <si>
    <t>Measured, WPP, McKinsey</t>
  </si>
  <si>
    <t>https://www.w3era.com/blog/local-seo/top-digital-marketing-agencies-usa/</t>
  </si>
  <si>
    <t>Top 10 Digital Marketing Agencies in USA (2025 Guide)</t>
  </si>
  <si>
    <t>Clutch, Ignite Visibility, WebFX, Disruptive Advertising, Thrive Internet Marketing Agency, SmartSites, LYFE Marketing, Directive, Measured</t>
  </si>
  <si>
    <t>https://www.weareqry.com/blog/best-performance-marketing-agencies</t>
  </si>
  <si>
    <t>Best Performance Marketing Agencies for 2026 | QRY</t>
  </si>
  <si>
    <t>Measured, Tinuiti, Power Digital, NoGood, Right Side Up, Major Tom, Hawke Media</t>
  </si>
  <si>
    <t>https://wellows.com/blog/digital-marketing-agencies/</t>
  </si>
  <si>
    <t>Top Digital Marketing Agencies in 2026: A Practical Buyer’s Guide</t>
  </si>
  <si>
    <t>Storm Brain, NoGood, Ignite Visibility, inBeat, Funnel Boost Media, Silverback Strategies, Measured, McKinsey, Momentum</t>
  </si>
  <si>
    <t>https://wellows.com/blog/social-media-marketing-agencies/</t>
  </si>
  <si>
    <t>Top 25 Social Media Marketing Agencies in 2026</t>
  </si>
  <si>
    <t>KlientBoost, VaynerMedia, Viral Nation, The Social Shepherd, NoGood, LYFE Marketing, Disruptive Advertising, Sociallyin, inBeat, Silverback Strategies, Ignite Visibility, Tinuiti, MuteSix, Wpromote, Measured</t>
  </si>
  <si>
    <t>https://wellows.com/blog/top-ai-seo-agencies/</t>
  </si>
  <si>
    <t>17 Top AI SEO agencies in 2026</t>
  </si>
  <si>
    <t>iPullRank, Avenue Z, NP Digital, WebFX, Victorious, NoGood, Measured</t>
  </si>
  <si>
    <t>https://whyflagshalfmasttoday.com/the-best-aeo-optimization-company-in-the-united-states-2026-a-decision-stage-ranking/</t>
  </si>
  <si>
    <t>The Best AEO Optimization Company in the United States (2026): A Decision-Stage Ranking - Whyflagshalfmasttoday</t>
  </si>
  <si>
    <t>iPullRank, Seer Interactive, WebFX, Measured</t>
  </si>
  <si>
    <t>https://wifitalents.com/service/ai-adoption/</t>
  </si>
  <si>
    <t>Top AI Adoption Services (2026)</t>
  </si>
  <si>
    <t>PwC, IBM, Momentum, Clutch</t>
  </si>
  <si>
    <t>https://www.within.co/blog/best-agencies-for-enterprise-brands/</t>
  </si>
  <si>
    <t>Best Integrated Marketing Agencies for Enterprise Brands 2026 — WITHIN</t>
  </si>
  <si>
    <t>Measured, Giant Spoon, Wpromote, NoGood</t>
  </si>
  <si>
    <t>https://wordable.io/best-ai-seo-agency/</t>
  </si>
  <si>
    <t>5 Best AI SEO Agencies to Boost Your Business in 2025</t>
  </si>
  <si>
    <t>Clutch, WebFX, iPullRank, NoGood, Victorious, Huge</t>
  </si>
  <si>
    <t>https://worldmetrics.org/service/ai-adoption/</t>
  </si>
  <si>
    <t>Top 10 Best AI Adoption Services | 2026 Expert Picks</t>
  </si>
  <si>
    <t>https://worldmetrics.org/service/data-marketing/</t>
  </si>
  <si>
    <t>Best Data Marketing Services (2026)</t>
  </si>
  <si>
    <t>Merkle, Dentsu, Publicis Groupe, WPP, Kantar, iProspect, Clutch</t>
  </si>
  <si>
    <t>https://worldmetrics.org/service/digital-content-marketing/</t>
  </si>
  <si>
    <t>Best Digital Content Marketing Services | 2026 Rankings</t>
  </si>
  <si>
    <t>Dentsu, WPP, Accenture Song, Publicis Groupe, IBM, R/GA, Ogilvy, AKQA, VML, Clutch</t>
  </si>
  <si>
    <t>https://worldmetrics.org/service/digital-media-planning/</t>
  </si>
  <si>
    <t>Best Digital Media Planning Services | 2026 Rankings</t>
  </si>
  <si>
    <t>GroupM, Dentsu, Measured, Accenture Song, Deloitte Digital, WPP, Merkle, VML, Clutch</t>
  </si>
  <si>
    <t>https://worldmetrics.org/service/digital-media-production/</t>
  </si>
  <si>
    <t>Best Digital Media Production Services (2026)</t>
  </si>
  <si>
    <t>Wieden+Kennedy, R/GA, AKQA, Dentsu, VML, Clutch</t>
  </si>
  <si>
    <t>https://www.wpp.com/en/news/2026/03/wpp-claims-top-spot-on-warc-creative-100-for-fourth-consecutive-year</t>
  </si>
  <si>
    <t>WPP claims top spot on WARC Creative 100 for fourth consecutive year | WPP</t>
  </si>
  <si>
    <t>WPP, Ogilvy, VML, AKQA</t>
  </si>
  <si>
    <t>https://xcelacore.com/ai-consultants-for-mid-sized-companies/</t>
  </si>
  <si>
    <t>Top AI Consultants for Mid-Sized Companies (2026)</t>
  </si>
  <si>
    <t>BCG, PwC</t>
  </si>
  <si>
    <t>https://xcelacore.com/best-ai-automation-agencies-usa-guide/</t>
  </si>
  <si>
    <t>Top AI Automation Agencies in the USA: Best Enterprise Solutions</t>
  </si>
  <si>
    <t>Slalom</t>
  </si>
  <si>
    <t>https://yourcontentmart.co/best-answer-engine-optimization-agencies/</t>
  </si>
  <si>
    <t>7 Best Answer Engine Optimization Agencies for SaaS Companies</t>
  </si>
  <si>
    <t>iPullRank, Omniscient Digital, Discovered Labs, NoGood, Momentum, Clutch</t>
  </si>
  <si>
    <t>https://www.youtube.com/shorts/-1J3sczOLNs</t>
  </si>
  <si>
    <t>5 Best Answer Engine Optimization (AEO) Agencies in 2026</t>
  </si>
  <si>
    <t>Single Grain, First Page Sage, Siege Media</t>
  </si>
  <si>
    <t>https://www.youtube.com/watch?v=3KVWXIXXyJo</t>
  </si>
  <si>
    <t>What Are the Best Generative Engine Optimization (GEO) Agencies in Moreno Valley?</t>
  </si>
  <si>
    <t>https://www.youtube.com/watch?v=DKfcaxbRHcQ&amp;t=331</t>
  </si>
  <si>
    <t>Cometly Review: The Best Marketing Attribution Platform for B2B</t>
  </si>
  <si>
    <t>https://www.youtube.com/watch?v=GBZzmnhPh4U&amp;t=5</t>
  </si>
  <si>
    <t>What Are The 10 Best Artificial Intelligence (AI) Consulting Firms?</t>
  </si>
  <si>
    <t>PwC, QuantumBlack, McKinsey, BCG, IBM</t>
  </si>
  <si>
    <t>https://www.youtube.com/watch?v=IjasEPvA-K4</t>
  </si>
  <si>
    <t>Top 10 AI-Native B2B Marketing Agencies for 2026 | Unbiased list</t>
  </si>
  <si>
    <t>Single Grain, Directive, NoGood, Omniscient Digital, Measured, Major Tom, GrowthSpree</t>
  </si>
  <si>
    <t>https://www.youtube.com/watch?v=NXkXQbQ9-kk&amp;vl=en&amp;t=332</t>
  </si>
  <si>
    <t>Best AI Tools for Generative Engine Optimization (GEO)</t>
  </si>
  <si>
    <t>https://www.youtube.com/watch?v=VQQ_1ODhyvo&amp;vl=en</t>
  </si>
  <si>
    <t>HubSpot AEO vs Profound vs Rankability: What's Best for Agencies?</t>
  </si>
  <si>
    <t>https://www.youtube.com/watch?v=YVG_HfB0Dpw&amp;t=604</t>
  </si>
  <si>
    <t>3 Best AI Marketing Agencies To Start in 2025</t>
  </si>
  <si>
    <t>https://www.youtube.com/watch?v=a_Q3LpltO8I&amp;t=2</t>
  </si>
  <si>
    <t>Top Marketing Attribution Software</t>
  </si>
  <si>
    <t>https://www.youtube.com/watch?v=yIAxLp4yY3E</t>
  </si>
  <si>
    <t>7 Best B2B SaaS Marketing Agencies Under $5,000/Month in 2026</t>
  </si>
  <si>
    <t>GrowthSpree, AdVenture Media, Searchbloom, Clutch</t>
  </si>
  <si>
    <t>https://zeroado.com/blog/best-marketing-agencies-for-small-businesses</t>
  </si>
  <si>
    <t>7 Best Marketing Agencies for Small Businesses in India</t>
  </si>
  <si>
    <t>IBM, Huge</t>
  </si>
  <si>
    <t>https://zeroado.com/blog/generative-engine-optimization-agencies-in-bangalore</t>
  </si>
  <si>
    <t>7 Best GEO Agencies in Bangalore for AI SEO in 2026</t>
  </si>
  <si>
    <t>https://zipdo.co/service/business-digital-marketing/</t>
  </si>
  <si>
    <t>Best Business Digital Marketing Services | 2026 Rankings</t>
  </si>
  <si>
    <t>WPP, Dentsu, Publicis Groupe, Accenture Song, IBM, Merkle, Publicis Sapient, iProspect, Thrive Internet Marketing Agency, Momentum, Clutch</t>
  </si>
  <si>
    <t>https://zipdo.co/service/digital-marketing-analytics/</t>
  </si>
  <si>
    <t>Digital Marketing Analytics Services: Best Picks (2026)</t>
  </si>
  <si>
    <t>Merkle, Dentsu, Publicis Sapient, Kantar, WebFX, Victorious, Clutch</t>
  </si>
  <si>
    <t>https://zipdo.co/service/first-party-data/</t>
  </si>
  <si>
    <t>First Party Data Services: Best Picks (2026)</t>
  </si>
  <si>
    <t>Cardinal Path, Merkle, Dentsu, Publicis Groupe, PwC, Clutch</t>
  </si>
  <si>
    <t>https://zipdo.co/service/media-mix-modeling/</t>
  </si>
  <si>
    <t>Top 10 Best Media Mix Modeling Services: 2026 Comparison</t>
  </si>
  <si>
    <t>Kantar, Epsilon, Merkle, Dentsu, GroupM, Measured, Momentum, Clutch</t>
  </si>
  <si>
    <t>https://zryly.net/paid-social-agencies-in-the-u-s/</t>
  </si>
  <si>
    <t>Top 17 Paid Social Agencies in the U.S. (2025)</t>
  </si>
  <si>
    <t>The Social Shepherd, Jellyfish, Tinuiti, iProspect</t>
  </si>
  <si>
    <t>https://zyner.io/blog/best-ui-ux-design-agency</t>
  </si>
  <si>
    <t>Best UI UX Design Agencies for Startups 2026 (Ranked)</t>
  </si>
  <si>
    <t>Clutch, Clay</t>
  </si>
  <si>
    <t>https://agencies.semrush.com/list/australia/</t>
  </si>
  <si>
    <t>Best Digital Marketing Agencies in Australia 2026 | Semrush</t>
  </si>
  <si>
    <t>Edge Marketing, Digital Nomads HQ, Supple Digital, DNM Digital, Soup Agency, First Page, Clearwater Agency, Measured, Earned Media, Impressive, Online Marketing Gurus, Omnicom Media Group, Human Digital, Click Click Media</t>
  </si>
  <si>
    <t>https://clutch.co/au/agencies/digital-marketing</t>
  </si>
  <si>
    <t>Top Digital Marketing Agencies in Australia - Jul 2026 Rankings \| Clutch.co</t>
  </si>
  <si>
    <t>Clearwater Agency, Soup Agency, Luminary, Farsiight, Digital Nomads HQ, SIXGUN, Impressive, Intesols, 80/20 Digital, MyWork, Ninja Promo, Human Digital, Undivided, Salt &amp; Fuessel, Emote Digital, StudioHawk, Supple Digital, Alley Group, EvenDigit</t>
  </si>
  <si>
    <t>https://clutch.co/au/agencies</t>
  </si>
  <si>
    <t>Top Advertising Agencies in Australia - Jul 2026 Rankings \| Clutch.co</t>
  </si>
  <si>
    <t>Chello, Human Digital, Soup Agency, Farsiight, DNM Digital, In Marketing We Trust, Version2, Impressive, Ninja Promo, Bench Media, Insil</t>
  </si>
  <si>
    <t>https://agencies.semrush.com/list/advertising/australia/</t>
  </si>
  <si>
    <t>Best Advertising Agencies in Australia 2026 | Semrush</t>
  </si>
  <si>
    <t>Edge Marketing, Momentum, Supple Digital, DNM Digital, Soup Agency, First Page, Clearwater Agency, Measured, Earned Media, Impressive, Online Marketing Gurus, Omnicom Media Group, Click Click Media, First Page Australia</t>
  </si>
  <si>
    <t>https://www.sortlist.com/s/paid-media/australia-au</t>
  </si>
  <si>
    <t>The 10 Best Paid Media Agencies in Australia - 2026 Reviews</t>
  </si>
  <si>
    <t>Measured, Earned Media, Clearwater Agency, Impressive, Supple Digital, SIXGUN, Digital Nomads HQ, Soup Agency, HERO</t>
  </si>
  <si>
    <t>https://www.formulate.com.au/articles/best-ai-seo-agencies-in-australia-2026/#:~:text=This%20sits%20alongside%20a%20mature%20technical%20SEO,of%20the%20discipline.%20%2D%20Jaywing.%20Best%20for.</t>
  </si>
  <si>
    <t>Best AI SEO Agencies in Australia (2026) &amp;#8211; Formulate Design Blog</t>
  </si>
  <si>
    <t>Prosperity Media, Jaywing</t>
  </si>
  <si>
    <t>https://intelligentresourcing.co/blogs/best-aeo-agencies-australia</t>
  </si>
  <si>
    <t>Best GEO and AEO Agencies in Australia 2026: Not Doing Traditional SEO</t>
  </si>
  <si>
    <t>Intelligent Resourcing, ROI Growth Agency, Luminary, Covert, UR Digital, Ziff Digital, Digital Nomads HQ, In Marketing We Trust</t>
  </si>
  <si>
    <t>https://agencies.semrush.com/list/display-advertising/australia/</t>
  </si>
  <si>
    <t>Best Display Ads Agencies in Australia 2026 | Semrush</t>
  </si>
  <si>
    <t>Soup Agency, First Page, Clearwater Agency, Measured, Earned Media, Impressive, Online Marketing Gurus, Omnicom Media Group, Click Click Media, First Page Australia, Bench Media</t>
  </si>
  <si>
    <t>https://clutch.co/au/agencies/ppc</t>
  </si>
  <si>
    <t>Top PPC Agencies in Australia - Jul 2026 Rankings | Clutch.co</t>
  </si>
  <si>
    <t>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t>
  </si>
  <si>
    <t>https://digitalagencynetwork.com/agencies/australia/ai-marketing/</t>
  </si>
  <si>
    <t>Top AI Marketing Agencies in Australia (2026)</t>
  </si>
  <si>
    <t>In Marketing We Trust, Soup Agency</t>
  </si>
  <si>
    <t>https://clutch.co/au/agencies/social-media-marketing#:~:text=farsiight%20is%20a%20digital%20marketing%20agency%20specializing,return%20on%20ad%20spend%20and%20customer%20acquisition.</t>
  </si>
  <si>
    <t>Top Social Media Marketing Companies in Australia - Jul 2026 Rankings | Clutch.co</t>
  </si>
  <si>
    <t>Soup Agency, Impressive, Digital Nomads HQ, SIXGUN, Farsiight, Human Digital, Emote Digital, Intesols, MyWork, Salt &amp; Fuessel, Alley Group, EvenDigit, Rocket Agency, Clearwater Agency, DNM Digital, Edge Marketing, Megaphone</t>
  </si>
  <si>
    <t>https://ensun.io/search/marketing-analytics/australia</t>
  </si>
  <si>
    <t>Top 100 Marketing Analytics Companies in Australia (2026) \| ensun</t>
  </si>
  <si>
    <t>Loves Data, Online Marketing Gurus, Omnicom Media Group</t>
  </si>
  <si>
    <t>https://www.thehero.co/news/top-10-best-ad-agency-in-australia-leading-sydney-melbourne-brisbane</t>
  </si>
  <si>
    <t>HERO Tops Best Creative Ad Agency Hot List for Australia, Across Sydney, Melbourne and Brisbane</t>
  </si>
  <si>
    <t>HERO, Momentum</t>
  </si>
  <si>
    <t>https://digitalagencynetwork.com/agencies/australia/</t>
  </si>
  <si>
    <t>Best Digital Marketing Agencies in Australia | Digital Agency Network</t>
  </si>
  <si>
    <t>Emote Digital, Luminary, Supple Digital, 80/20 Digital, Clearwater Agency, Digital Nomads HQ, Soup Agency, Impressive, Jaywing, In Marketing We Trust</t>
  </si>
  <si>
    <t>https://agencies.semrush.com/list/smm/australia/</t>
  </si>
  <si>
    <t>Best Social Media Marketing Agencies in Australia 2026 | Semrush</t>
  </si>
  <si>
    <t>Digital Nomads HQ, DNM Digital, Soup Agency, First Page, Clearwater Agency, Measured, Earned Media, Impressive, Online Marketing Gurus, Omnicom Media Group, Human Digital, Click Click Media, Bench Media</t>
  </si>
  <si>
    <t>https://www.reddit.com/r/BestInAustralia/comments/1rwwbcw/5_best_digital_marketing_agencies_leveraging_ai/</t>
  </si>
  <si>
    <t>5 Best Digital Marketing Agencies Leveraging AI in Australia (2026 Guide)</t>
  </si>
  <si>
    <t>Rocket Agency, Marketix Digital, Alley Group, In Marketing We Trust, Digital Nomads HQ</t>
  </si>
  <si>
    <t>https://agencies.semrush.com/list/ai-optimization/sydney/</t>
  </si>
  <si>
    <t>Best AI Search Optimization Agencies in Sydney 2026 | Semrush</t>
  </si>
  <si>
    <t>DNM Digital, Online Marketing Gurus, Omnicom Media Group, Earned Media, Huge, Edge Marketing, First Page, Clearwater Agency, Measured</t>
  </si>
  <si>
    <t>https://clutch.co/au/agencies/creative</t>
  </si>
  <si>
    <t>Top Creative Agencies in Australia - Jul 2026 Rankings \| Clutch.co</t>
  </si>
  <si>
    <t>Chello, Human Digital, Impressive, Measured, Dentsu</t>
  </si>
  <si>
    <t>https://mediaplusdigital.co/au/ai-marketing-agencies-in-australia/#:~:text=Kamexa%20is%20often%20ranked%20among%20top%20AI,businesses%20that%20want%20deep%20AI%20implementation.%203.</t>
  </si>
  <si>
    <t>Top 10 AI Marketing Agencies in Australia (2026) - MPD Australia</t>
  </si>
  <si>
    <t>Alley Group, Rocket Agency, Marketix Digital, Digital Nomads HQ, First Page, First Page Australia, Sparro</t>
  </si>
  <si>
    <t>https://clutch.co/au/agencies/ppc/display</t>
  </si>
  <si>
    <t>Top Display Advertising Services in Australia - Jul 2026 Rankings | Clutch.co</t>
  </si>
  <si>
    <t>Intesols, First Page, Soup Agency, Impressive, Salt &amp; Fuessel, EvenDigit, Paradox Marketing, Click Click Media</t>
  </si>
  <si>
    <t>https://business.localsearch.com.au/blog/top-digital-marketing-agencies-australia-2026</t>
  </si>
  <si>
    <t>The Top 10 Digital Marketing Agencies in Australia for 2026: Our Honest Take</t>
  </si>
  <si>
    <t>Sparro, Brainlabs, King Kong, Online Marketing Gurus, Omnicom Media Group, First Page, StudioHawk, Prosperity Media, Clearwater Agency, SIXGUN, Measured</t>
  </si>
  <si>
    <t>https://sourceforge.net/software/incrementality-testing/australia/</t>
  </si>
  <si>
    <t>Best Incrementality Testing Tools in Australia of 2026 - Reviews &amp;amp; Comparison</t>
  </si>
  <si>
    <t>Measured, Lifesight, Workmagic, Haus, Analytic Partners</t>
  </si>
  <si>
    <t>https://thatware.co/top-10-ai-search-companies-in-australia/</t>
  </si>
  <si>
    <t>Top AI Search Optimisation Companies Australia | 10 Best AI Firms</t>
  </si>
  <si>
    <t>StudioHawk, Intesols, Gorilla 360, Supple Digital, Predicta Digital, ROI Growth Agency, Digital Nomads HQ</t>
  </si>
  <si>
    <t>https://agencies.semrush.com/list/analytics-data-science/australia/</t>
  </si>
  <si>
    <t>Best Data Analytics Services in Australia 2026 | Semrush</t>
  </si>
  <si>
    <t>Soup Agency, First Page, Clearwater Agency, Measured, Earned Media, Impressive, Online Marketing Gurus, Omnicom Media Group, Click Click Media, 80/20 Digital, Bonfire, Huge, Megantic</t>
  </si>
  <si>
    <t>https://mediaplusdigital.co/au/geo-agencies-in-australia/</t>
  </si>
  <si>
    <t>Top 10 GEO Agencies in Australia (2026) - MPD Australia</t>
  </si>
  <si>
    <t>Online Marketing Gurus, StudioHawk, Bushnote, Prosperity Media, Impressive, Webprofits, Megantic, Digital Nomads HQ, Intesols, Omnicom Media Group</t>
  </si>
  <si>
    <t>https://thatware.co/top-10-aeo-companies-in-australia/</t>
  </si>
  <si>
    <t>Top AEO Companies in Australia \| 10 Best Australia AEO Firms</t>
  </si>
  <si>
    <t>https://marginmedia.com.au/our-blog/top-digital-marketing-agencies-australia#:~:text=Their%20team%20takes%20an%20evidence%2Dbased%20approach%2C%20using,%26%20PPC%2C%20CRO%2C%20digital%20strategy%2C%20content%20optimisation.</t>
  </si>
  <si>
    <t>Top 15 Digital Marketing Agencies in Australia for 2026</t>
  </si>
  <si>
    <t>Clearwater Agency, Reef Digital Agency, Zib Digital, Rocket Agency, AdVisible, Sparro, Emote Digital, Momentum</t>
  </si>
  <si>
    <t>https://digitalagencynetwork.com/agencies/australia/geo/</t>
  </si>
  <si>
    <t>Top GEO Agencies in Australia for Generative Engine Optimization (2026)</t>
  </si>
  <si>
    <t>Luminary, Digital Nomads HQ, Clearwater Agency, In Marketing We Trust</t>
  </si>
  <si>
    <t>https://www.globalgenie.com.au/top-digital-marketing-agencies-in-australia/</t>
  </si>
  <si>
    <t>Top 7 Digital Marketing Agencies in Australia (2026 Rankings)</t>
  </si>
  <si>
    <t>Emote Digital, Intero Digital, Impressive, King Kong, MyWork</t>
  </si>
  <si>
    <t>https://slashdot.org/software/incrementality-testing/in-australia/</t>
  </si>
  <si>
    <t>Top Incrementality Testing Tools in Australia in 2026</t>
  </si>
  <si>
    <t>Measured, Lifesight, Workmagic, Haus, Edge Marketing, Analytic Partners</t>
  </si>
  <si>
    <t>https://www.sortlist.com/s/display-advertising/australia-au</t>
  </si>
  <si>
    <t>The 10 Best Display Advertising Agencies in Australia - 2026 Reviews</t>
  </si>
  <si>
    <t>Measured, Earned Media, Clearwater Agency, Impressive, Supple Digital, SIXGUN, Soup Agency, HERO, Digital Nomads HQ, Momentum, CUT THRU</t>
  </si>
  <si>
    <t>https://lengreo.com/australia-aeo-geo-llmo-companies/</t>
  </si>
  <si>
    <t>7 Best Australia's Companies for AEO, GEO, and LLMO (2026)</t>
  </si>
  <si>
    <t>Salt &amp; Fuessel, Luminary</t>
  </si>
  <si>
    <t>https://www.purshology.com/2026/07/8-top-ai-driven-marketing-agencies-redefining-search-in-australia/</t>
  </si>
  <si>
    <t>8-Top AI-Driven Marketing Agencies Redefining Search in Australia - purshoLOGY</t>
  </si>
  <si>
    <t>Measured, NP Digital Australia, SIXGUN, StudioHawk, Online Marketing Gurus, Rocket Agency, First Page, First Page Australia, Digital Nomads HQ</t>
  </si>
  <si>
    <t>https://thatware.co/top-10-geo-companies-in-australia/</t>
  </si>
  <si>
    <t>Top GEO Companies in Australia | 10 Best Australia GEO Firms</t>
  </si>
  <si>
    <t>Luminary, Intesols, Predicta Digital, PK SEO, Prosperity Media</t>
  </si>
  <si>
    <t>https://clutch.co/au/consulting/ai</t>
  </si>
  <si>
    <t>Top AI Consultants in Australia - Jul 2026 Rankings \| Clutch.co</t>
  </si>
  <si>
    <t>Luminary, Impressive, Huge, In Marketing We Trust, Team 400</t>
  </si>
  <si>
    <t>https://digitalagencynetwork.com/agencies/australia/creative/</t>
  </si>
  <si>
    <t>Top Creative Agencies in Australia (2026)</t>
  </si>
  <si>
    <t>Jaywing, Clearwater Agency, Emote Digital</t>
  </si>
  <si>
    <t>https://www.goodfirms.co/advertising-companies/creative/australia</t>
  </si>
  <si>
    <t>Top Creative Agencies in Australia - 2026 Reviews | Goodfirms</t>
  </si>
  <si>
    <t>Uprise Digital, CUT THRU, BMF, Measured, Digital Movement</t>
  </si>
  <si>
    <t>https://www.undivided.com.au/blog/top-5-digital-agencies-in-australia</t>
  </si>
  <si>
    <t>Top 5 Digital Agencies in Australia</t>
  </si>
  <si>
    <t>Undivided, Sparro, Jaywing, King Kong, Impressive, Earned Media, Measured</t>
  </si>
  <si>
    <t>https://www.bbe.io/best-advertising-agencies-2026-melbourne-sydney-brisbane#:~:text=HERO%20dominated%20the%20new%20AdNews%20category%20with,2026%20AdNews%20Independent%20Agency%20of%20the%20Year.</t>
  </si>
  <si>
    <t>The BBE Best: Top Creative Advertising Agencies for 2026 in Sydney, Melbourne and Brisbane</t>
  </si>
  <si>
    <t>HERO, Impressive</t>
  </si>
  <si>
    <t>https://www.designrush.com/agency/creative-agencies/au</t>
  </si>
  <si>
    <t>Top Creative Agencies in Australia | 2026</t>
  </si>
  <si>
    <t>https://raw.studio/blog/top-10-creative-design-agencies-in-australia-in-2026/#:~:text=Luminary%20is%20one%20of%20the%20most%20established,where%20UX%2C%20accessibility%2C%20and%20governance%20are%20critical.</t>
  </si>
  <si>
    <t>Top 10 Creative Design Agencies in Australia in 2026 | Raw.Studio</t>
  </si>
  <si>
    <t>RAW Studio, CUT THRU, Digital Nomads HQ, Luminary, HERO</t>
  </si>
  <si>
    <t>https://clutch.co/au/agencies/media-buying</t>
  </si>
  <si>
    <t>Top Media Buying Agencies in Australia - Jul 2026 Rankings \| Clutch.co</t>
  </si>
  <si>
    <t>Soup Agency, DNM Digital, Bench Media, Impressive, MK Media</t>
  </si>
  <si>
    <t>https://digitalagencynetwork.com/agencies/australia/social-media-marketing/</t>
  </si>
  <si>
    <t>Best Social Media Marketing Agencies in Australia | Digital Agency Network</t>
  </si>
  <si>
    <t>Emote Digital, Clearwater Agency, Supple Digital, Soup Agency, Digital Nomads HQ, Impressive, Momentum, Measured, Human Digital</t>
  </si>
  <si>
    <t>https://digitalagencynetwork.com/agencies/sydney/geo/</t>
  </si>
  <si>
    <t>Top GEO Agencies in Sydney for Generative Engine Optimization (2026)</t>
  </si>
  <si>
    <t>Luminary, Digital Nomads HQ, In Marketing We Trust</t>
  </si>
  <si>
    <t>https://www.inbeat.co/articles/top-marketing-agencies-australia/</t>
  </si>
  <si>
    <t>Top 31 Marketing Agencies in Australia for Collaboration in 2025</t>
  </si>
  <si>
    <t>Sparro, King Kong, Earned Media, Alpha Digital, First Page, First Page Australia, Megaphone, Zib Digital, Soup Agency, Emote Digital, Online Marketing Gurus, Ogilvy Australia, Eight Clients, Resolution Digital, Impressive</t>
  </si>
  <si>
    <t>https://metapress.com/the-6-best-australian-agencies-for-navigating-the-ai-search-era/</t>
  </si>
  <si>
    <t>The 6 Best Australian Agencies for Navigating the AI Search Era</t>
  </si>
  <si>
    <t>NP Digital Australia, Impressive, Megantic, Emote Digital, Soup Agency</t>
  </si>
  <si>
    <t>https://clickclickbangbang.com.au/google-display-advertising-companies/</t>
  </si>
  <si>
    <t>Top google display advertising companies in Australia (2025)</t>
  </si>
  <si>
    <t>Reload Media, WebSavvy, Sparro, Brainlabs, Megaphone, Impressive</t>
  </si>
  <si>
    <t>https://clutch.co/au/agencies/ppc/advertising-industry</t>
  </si>
  <si>
    <t>Top PPC Agencies for Ad Agencies in Australia - Jul 2026 Rankings | Clutch.co</t>
  </si>
  <si>
    <t>Soup Agency, Impressive, Alley Group, Rocket Agency, DNM Digital, Megaphone, Online Marketing Gurus, Omnicom Media Group</t>
  </si>
  <si>
    <t>https://noirandblanco.com/best-digital-marketing-agencies-in-australia/</t>
  </si>
  <si>
    <t>11 Best Digital Marketing Agencies in Australia</t>
  </si>
  <si>
    <t>Supple Digital, Alley Group, 80/20 Digital, Earned Media</t>
  </si>
  <si>
    <t>https://tdsaustralia.com.au/best-brand-design-agency-australia/?srsltid=AfmBOoqgyBP8Mx3xalA9482IFmPBsWmB_7IcuOz2wt01IXzLQd8IhP8w</t>
  </si>
  <si>
    <t>The 12 Best Brand Design Agencies in Australia (2025–2026)</t>
  </si>
  <si>
    <t>Hulsbosch, WPP, Chello</t>
  </si>
  <si>
    <t>https://www.caribbeannationalweekly.com/posts/top-generative-engine-optimisation-geo-agencies-for-australian-brands</t>
  </si>
  <si>
    <t>Top Generative Engine Optimisation Agencies for Brands</t>
  </si>
  <si>
    <t>NP Digital Australia, StudioHawk, Impressive, Prosperity Media, Rocket Agency, Reef Digital Agency, Webprofits, Farsiight, Alpha Digital</t>
  </si>
  <si>
    <t>https://edisonai.au/insights/top-ai-consulting-firms-australia#:~:text=Quick%20answer.%20Australia's%20best%20AI%20consulting%20firm,for%20secure%20Microsoft%20365%20and%20Copilot%20adoption.</t>
  </si>
  <si>
    <t>Top 7 AI Consulting Firms in Australia (2026) \| Edison AI</t>
  </si>
  <si>
    <t>Edison AI, Deloitte, KPMG, Mantel Group, Momentum, Measured</t>
  </si>
  <si>
    <t>https://findcreatives.com.au/journal/top-creative-agencies-in-australia</t>
  </si>
  <si>
    <t>Top Creative Agencies in Australia | Find Creatives</t>
  </si>
  <si>
    <t>Chello</t>
  </si>
  <si>
    <t>https://www.sortlist.com/s/paid-media/sydney-au</t>
  </si>
  <si>
    <t>The 10 Best Paid Media Agencies in Sydney - 2026 Reviews</t>
  </si>
  <si>
    <t>Impressive, Supple Digital, Measured, Earned Media, Clearwater Agency, SIXGUN, Ninja Promo, Momentum, Soup Agency, HERO, Digital Nomads HQ</t>
  </si>
  <si>
    <t>https://www.sortlist.com/s/performance-marketing/australia-au</t>
  </si>
  <si>
    <t>The 10 Best Performance Marketing Agencies in Australia - 2026 Reviews</t>
  </si>
  <si>
    <t>Measured, Earned Media, Clearwater Agency, Impressive, Supple Digital, SIXGUN, Digital Nomads HQ, Soup Agency, HERO, Momentum, CUT THRU</t>
  </si>
  <si>
    <t>https://titanblue.com.au/best-seo-agency-australia/</t>
  </si>
  <si>
    <t>7 Of The Best SEO Agency Australia Picks For 2026</t>
  </si>
  <si>
    <t>StudioHawk, Prosperity Media, Rocket Agency, Safari Digital, Online Marketing Gurus, Omnicom Media Group, Megantic</t>
  </si>
  <si>
    <t>https://conquerradigital.com.au/top-10-programmatic-ads-agencies-in-the-australia/</t>
  </si>
  <si>
    <t>Top 10 Programmatic Ads Agencies In The Australia | Conquerra Digital</t>
  </si>
  <si>
    <t>Soup Agency, Bench Media, Rocket Agency, Megaphone, Resolution Digital, WebSavvy, Clearwater Agency, Momentum</t>
  </si>
  <si>
    <t>https://www.airanklab.com/blog/best-ai-seo-agencies-australia</t>
  </si>
  <si>
    <t>7 Best AI SEO Agencies in Australia 2026: Ranked | AI Rank Lab - Free SEO, AEO &amp;amp; GEO Analyzer</t>
  </si>
  <si>
    <t>HERO, Supple Digital, StudioHawk, First Page</t>
  </si>
  <si>
    <t>https://clutch.co/au/agencies/social-media-marketing/facebook</t>
  </si>
  <si>
    <t>Top Facebook Advertising Agencies in Australia - Jul 2026 Rankings | Clutch.co</t>
  </si>
  <si>
    <t>Digital Nomads HQ, SIXGUN, Intesols, Impressive, Farsiight, Soup Agency, Emote Digital, Human Digital, Salt &amp; Fuessel, EvenDigit, Rocket Agency, Clearwater Agency, DNM Digital, Edge Marketing, Megaphone, Online Marketing Gurus, Omnicom Media Group, Paradox Marketing, Bench Media, Insil</t>
  </si>
  <si>
    <t>Measured, Lifesight, Haus</t>
  </si>
  <si>
    <t>https://mystrika.com/directory/agencies/top/data-analytics-in-country-australia</t>
  </si>
  <si>
    <t>Top Rated Data Analytics Agencies in Australia - Directory - Mystrika | Stop Cold Emailing. Start Conversations</t>
  </si>
  <si>
    <t>Digital Nomads HQ, DNM Digital, Edge Marketing, Soup Agency, Supple Digital, 80/20 Digital, Bench Media, Bonfire, Measured, Clearwater Agency, Earned Media, Click Click Media, First Page, First Page Australia, Human Digital, Impressive, Megaphone, Online Marketing Gurus, Omnicom Media Group, Salt &amp; Fuessel, Luminary, Megantic, Rocket Agency, Webprofits</t>
  </si>
  <si>
    <t>https://newsfromperth.com/business/our-top-7-ai-geo-generative-engine-optimisation-agencies-in-australia/</t>
  </si>
  <si>
    <t>Our Top 7 AI GEO (Generative Engine Optimisation) Agencies in Australia – News from Perth</t>
  </si>
  <si>
    <t>https://www.sortlist.com/s/creative/australia-au</t>
  </si>
  <si>
    <t>The 10 Best Creative Agencies in Australia - 2026 Reviews</t>
  </si>
  <si>
    <t>Momentum, Impressive, Ninja Promo</t>
  </si>
  <si>
    <t>https://www.sortlist.com/s/performance-marketing/melbourne-au</t>
  </si>
  <si>
    <t>The 10 Best Performance Marketing Agencies in Melbourne - 2026 Reviews</t>
  </si>
  <si>
    <t>Measured, Earned Media, Clearwater Agency, SIXGUN, Impressive, Supple Digital, Momentum, Adcore Elite, 80/20 Digital, Deloitte</t>
  </si>
  <si>
    <t>https://agencies.semrush.com/list/ai-optimization/australia/small-business/</t>
  </si>
  <si>
    <t>Best AI Search Optimization Agencies for Small Business in Australia 2026 | Semrush</t>
  </si>
  <si>
    <t>DNM Digital, First Page, Clearwater Agency, Measured, Earned Media, Online Marketing Gurus, Omnicom Media Group, Huge</t>
  </si>
  <si>
    <t>https://programminginsider.com/the-10-best-agencies-for-seo-and-geo-visibility-in-australia/</t>
  </si>
  <si>
    <t>The 10 Best Agencies for SEO and GEO Visibility in Australia - Programming Insider</t>
  </si>
  <si>
    <t>NP Digital Australia, Zib Digital, Safari Digital, Megantic, 80/20 Digital, Click Click Media, Digital Nomads HQ</t>
  </si>
  <si>
    <t>https://www.sortlist.com/s/marketing-analytics/australia-au</t>
  </si>
  <si>
    <t>The 10 Best Marketing Analytics Companies in Australia - 2026 Reviews</t>
  </si>
  <si>
    <t>Digital Nomads HQ, Momentum, Soup Agency, HERO, SIXGUN, Impressive, Intelligent Resourcing, Ninja Promo</t>
  </si>
  <si>
    <t>https://www.designrush.com/agency/ad-agencies/au</t>
  </si>
  <si>
    <t>Top Australia Advertising Agencies | 2026</t>
  </si>
  <si>
    <t>Growth Digital, Soup Agency</t>
  </si>
  <si>
    <t>https://mentionfirst.ai/best-ai-seo-agencies-in-australia-the-2026-rankings/</t>
  </si>
  <si>
    <t>Best AI SEO Agencies in Australia: The 2026 Rankings - Mention First AI</t>
  </si>
  <si>
    <t>Online Marketing Gurus, Omnicom Media Group, Digital Nomads HQ, Supple Digital, Emote Digital</t>
  </si>
  <si>
    <t>https://www.softwaresuggest.com/services/marketing-analytics-companies/australia</t>
  </si>
  <si>
    <t>Top Marketing analytics Companies in Australia for 2025</t>
  </si>
  <si>
    <t>https://superbcompanies.com/categories/creative-agencies-in-australia/</t>
  </si>
  <si>
    <t>Top 100 Creative Agencies in Australia - Jul 2026 | Ranking | SuperbCompanies</t>
  </si>
  <si>
    <t>Emote Digital, Luminary, Impressive</t>
  </si>
  <si>
    <t>https://agencies.semrush.com/list/machine-learning-and-ai/australia/</t>
  </si>
  <si>
    <t>Best Machine Learning and AI Services in Australia 2026 | Semrush</t>
  </si>
  <si>
    <t>Soup Agency, First Page, Clearwater Agency, Measured, Earned Media, Impressive, Online Marketing Gurus, Omnicom Media Group, 80/20 Digital</t>
  </si>
  <si>
    <t>https://mediaplusdigital.co/au/top-digital-media-agencies-in-australia/</t>
  </si>
  <si>
    <t>Top 10 Digital Media Agencies in Australia (2026): Compared by Specialisation - MPD Australia</t>
  </si>
  <si>
    <t>OMD, EssenceMediacom, WPP, Wavemaker, Sparro, Brainlabs, Impressive, King Kong, Rocket Agency, Megaphone, Clearwater Agency, Luminary, Measured, Momentum</t>
  </si>
  <si>
    <t>https://omnieclipse.ai/au/blog/best-aeo-agencies-australia-2026</t>
  </si>
  <si>
    <t>Best AEO Agencies in Australia for 2026 | Omni Eclipse</t>
  </si>
  <si>
    <t>Omni Eclipse, Talons Marketing, Luminary, Intesols, Brainlabs, Bushnote</t>
  </si>
  <si>
    <t>https://clutch.co/au/agencies/ppc/google-adwords</t>
  </si>
  <si>
    <t>Top Google Ads PPC Agencies in Australia - Jul 2026 Rankings \| Clutch.co</t>
  </si>
  <si>
    <t>Digital Nomads HQ, SIXGUN, Human Digital, Farsiight, Intesols, MyWork, Soup Agency, 80/20 Digital, Impressive, Salt &amp; Fuessel, Emote Digital, Supple Digital, EvenDigit, Rocket Agency, Clearwater Agency, DNM Digital, Megaphone, Momentum</t>
  </si>
  <si>
    <t>https://www.digitalreference.co/design-professionals/best-creative-agencies-in-australia</t>
  </si>
  <si>
    <t>Best Creative Agencies &amp;amp; Creative Firms in Australia</t>
  </si>
  <si>
    <t>https://hikemytraffic.com/ai-digital-marketing-services-in-australia/</t>
  </si>
  <si>
    <t>12 Best AI-Powered Digital Marketing Services in Australia (2026)</t>
  </si>
  <si>
    <t>OMD, Rocket Agency, Digital Movement, First Page, Emote Digital</t>
  </si>
  <si>
    <t>https://www.redpandas.com.au/blog/best-paid-media-agencies-in-australia-an-unbiased-review/</t>
  </si>
  <si>
    <t>Best Paid Media Agencies in Australia: An Unbiased Review&amp;nbsp; | RedPandas Digital</t>
  </si>
  <si>
    <t>https://skyscale.com.au/blogs/best-aeo-agencies-melbourne-2025</t>
  </si>
  <si>
    <t>Best AEO Agencies in Melbourne: How to Choose the Right Partner</t>
  </si>
  <si>
    <t>https://themanifest.com/au/creative/agencies</t>
  </si>
  <si>
    <t>The Best Creative Companies in Australia - Jul 2026 | The Manifest</t>
  </si>
  <si>
    <t>Chello, Human Digital</t>
  </si>
  <si>
    <t>https://www.10seos.com/au/display-advertising-companies-in-australia?page=4</t>
  </si>
  <si>
    <t>Top 10 Display Advertising Companies For Best Services-Australia | July 2026</t>
  </si>
  <si>
    <t>https://clutch.co/au/consulting/ai/strategy</t>
  </si>
  <si>
    <t>Top AI Strategy Companies in Australia - Jul 2026 Rankings \| Clutch.co</t>
  </si>
  <si>
    <t>In Marketing We Trust, Impressive, Team 400</t>
  </si>
  <si>
    <t>https://digitalagencynetwork.com/agencies/australia/online-advertising/</t>
  </si>
  <si>
    <t>Best Online Advertising Agencies in Australia</t>
  </si>
  <si>
    <t>Emote Digital, 80/20 Digital, Clearwater Agency, Jaywing, Impressive, In Marketing We Trust, Digital Nomads HQ, Human Digital, Online Marketing Gurus, Zib Digital</t>
  </si>
  <si>
    <t>https://digitalagencynetwork.com/agencies/melbourne/ai-marketing/</t>
  </si>
  <si>
    <t>Top AI Marketing Agencies in Melbourne (2026)</t>
  </si>
  <si>
    <t>Emote Digital, Luminary, Soup Agency</t>
  </si>
  <si>
    <t>https://godigitalalpha.com/best-performance-marketing-services-in-australia-2025/</t>
  </si>
  <si>
    <t>Best Performance Marketing Services in Australia | Go Digital Alpha</t>
  </si>
  <si>
    <t>Reload Media, Megaphone, First Page, First Page Australia, Rocket Agency, Clearwater Agency, Sparro</t>
  </si>
  <si>
    <t>https://oski.site/blog/ai-consulting-companies-australia/</t>
  </si>
  <si>
    <t>Top AI Consulting Companies in Australia 2026</t>
  </si>
  <si>
    <t>PHD</t>
  </si>
  <si>
    <t>https://www.salesmate.io/blog/marketing-attribution-software/</t>
  </si>
  <si>
    <t>11 Best Marketing Attribution Software (2026 Guide)</t>
  </si>
  <si>
    <t>Measured, Haus</t>
  </si>
  <si>
    <t>https://www.sortlist.com/media-planning/australia-au</t>
  </si>
  <si>
    <t>The 10 Best Media Agencies in Australia - 2026 Reviews</t>
  </si>
  <si>
    <t>Impressive, CUT THRU, Momentum, Earned Media, SIXGUN</t>
  </si>
  <si>
    <t>https://www.sortlist.com/s/paid-media/australian-capital-territory-act-au</t>
  </si>
  <si>
    <t>The 10 Best Paid Media Agencies in Australian Capital Territory - 2026 Reviews</t>
  </si>
  <si>
    <t>Measured, Earned Media, Clearwater Agency, SIXGUN, Impressive, Supple Digital, Ninja Promo, Momentum, Digital Nomads HQ, Soup Agency, HERO, 23 Digital</t>
  </si>
  <si>
    <t>https://team400.ai/blog/2026-04-top-ai-consultants-australia</t>
  </si>
  <si>
    <t>Top AI Consultants in Australia (2026) | Team 400 Blog</t>
  </si>
  <si>
    <t>Team 400, KPMG, Deloitte</t>
  </si>
  <si>
    <t>https://www.thehero.co/news/top-10-best-advertising-agencies-leading-australia-2025-sydney-melbourne-brisbane</t>
  </si>
  <si>
    <t>HERO Tops Best Creative Advertising Agencies In Australia (2025) for Sydney, Melbourne and Brisbane</t>
  </si>
  <si>
    <t>https://www.topseobrands.com/au/best-display-advertising-firms-in-australia</t>
  </si>
  <si>
    <t>Best Display Advertising Firms in Australia | Top SEO Brands</t>
  </si>
  <si>
    <t>Intesols, Impressive</t>
  </si>
  <si>
    <t>https://agencies.semrush.com/list/display-advertising/sydney/</t>
  </si>
  <si>
    <t>Best Display Ads Agencies in Sydney 2026 | Semrush</t>
  </si>
  <si>
    <t>Soup Agency, Online Marketing Gurus, Omnicom Media Group, Click Click Media, Bench Media, Rocket Agency, First Page, Clearwater Agency, Measured, Earned Media, Impressive</t>
  </si>
  <si>
    <t>https://agencies.semrush.com/list/programmatic-advertising/australia/</t>
  </si>
  <si>
    <t>Best Programmatic Advertising Agencies in Australia 2026 | Semrush</t>
  </si>
  <si>
    <t>DNM Digital, Soup Agency, First Page, Impressive, Online Marketing Gurus, Omnicom Media Group, Click Click Media, Bench Media, 80/20 Digital, Salt &amp; Fuessel, Bonfire, Rocket Agency</t>
  </si>
  <si>
    <t>https://auratechinsights.medium.com/top-10-ai-development-and-consulting-companies-in-australia-7093eee60fbe</t>
  </si>
  <si>
    <t>Top 10 AI Development and Consulting Companies in Australia | by Aura Tech Insights | Medium</t>
  </si>
  <si>
    <t>https://www.bbe.io/top-ranked-best-advertising-agency-leaders-australia-2026-sydney-melbourne-brisbane</t>
  </si>
  <si>
    <t>The BBE Best: The Best Creative Leaders of the Top Advertising Agencies in Australia</t>
  </si>
  <si>
    <t>HERO, VML</t>
  </si>
  <si>
    <t>https://www.goodfirms.co/directory/country/top-digital-marketing-companies/au/</t>
  </si>
  <si>
    <t>Top Digital Marketing Agencies in Australia - 2026 Reviews | Goodfirms</t>
  </si>
  <si>
    <t>Impressive, CUT THRU, eMarket Experts, SIXGUN, Elephant In The Boardroom, Supple Digital, AdVisible, Digital Nomads HQ, Emote Digital</t>
  </si>
  <si>
    <t>https://www.greenbook.org/market-research-companies/australia</t>
  </si>
  <si>
    <t>Top Marketing Research Firms in Australia — Greenbook</t>
  </si>
  <si>
    <t>Mindshare, PHD, Accenture Song</t>
  </si>
  <si>
    <t>https://www.hashmeta.ai/en/blog/top-10-best-ai-marketing-agencies-in-australia-expert-comparison-guide</t>
  </si>
  <si>
    <t>Top 10 Best AI Marketing Agencies in Australia: Expert Comparison Guide | Hashmeta AI Marketing Blog</t>
  </si>
  <si>
    <t>Rocket Agency, Zib Digital, King Kong, Reef Digital Agency, Impressive, Absolutely AI</t>
  </si>
  <si>
    <t>https://www.savit.au/top-social-media-marketing-agencies-in-australia-for-2026-whos-building-brands-that-actually-sell/</t>
  </si>
  <si>
    <t>Top Social Media Marketing Agencies in Australia 2026</t>
  </si>
  <si>
    <t>We Are Social, Impressive, Soup Agency, Megaphone, Supple Digital</t>
  </si>
  <si>
    <t>Measured, Haus, Lifesight, Workmagic, LiftLab</t>
  </si>
  <si>
    <t>https://www.semrush.com/agencies/list/analytics-data-science/melbourne/</t>
  </si>
  <si>
    <t>Best Data Analytics Services in Melbourne 2026 \| Semrush</t>
  </si>
  <si>
    <t>Soup Agency, First Page, Clearwater Agency, Measured, Earned Media, Impressive, Online Marketing Gurus, Omnicom Media Group, 80/20 Digital, Bonfire, Megantic, Click Click Media</t>
  </si>
  <si>
    <t>https://themanifest.com/au/programmatic/agencies</t>
  </si>
  <si>
    <t>Top-Rated Programmatic Advertising &amp;amp; RTB Platforms for Retail, Automotive, Travel in Australia, Sydney, Melbourne | Vetted &amp;amp; Reviewed July 2026 | The Manifest</t>
  </si>
  <si>
    <t>Soup Agency, Bench Media, DNM Digital, In Marketing We Trust</t>
  </si>
  <si>
    <t>https://www.youtube.com/watch?v=ZaxGzqO8OCk</t>
  </si>
  <si>
    <t>What Are the Best Generative Engine Optimization (GEO) Agencies in Australia?</t>
  </si>
  <si>
    <t>https://clutch.co/au/agencies/digital</t>
  </si>
  <si>
    <t>Top Full-Service Digital Agencies in Australia - Jul 2026 Rankings \| Clutch.co</t>
  </si>
  <si>
    <t>Digital Nomads HQ, MyWork, Farsiight, Soup Agency, Emote Digital, Intesols, Luminary, Human Digital, Impressive, Salt &amp; Fuessel, Alley Group, Clearwater Agency, DNM Digital, Paradox Marketing</t>
  </si>
  <si>
    <t>https://digitaldigest.au/google-ads-agencies/</t>
  </si>
  <si>
    <t>13 Best Google Ads Agencies Australia 2025 | Expert Reviews</t>
  </si>
  <si>
    <t>Huge, Digital Nomads HQ, Impressive, Online Marketing Gurus, Omnicom Media Group, Megaphone, Farsiight, Paradox Marketing, Human Digital, CUT THRU, Emote Digital, DNM Digital, First Page</t>
  </si>
  <si>
    <t>https://edisonai.au/insights/best-ai-consulting-firms-in-australia</t>
  </si>
  <si>
    <t>Best AI Consulting Firms in Australia (2026) \| Edison AI</t>
  </si>
  <si>
    <t>Edison AI, Deloitte, KPMG, Measured, Impressive</t>
  </si>
  <si>
    <t>https://elioplus.com/asia-pacific/australia/channel-partners/google</t>
  </si>
  <si>
    <t>Best Google partners &amp; resellers in Australia \| Elioplus</t>
  </si>
  <si>
    <t>King Kong, Impressive, eMarket Experts</t>
  </si>
  <si>
    <t>https://www.mayple.com/resources/social-media-marketing/social-media-agencies-australia</t>
  </si>
  <si>
    <t>Top 7 Social Media Agencies in Australia</t>
  </si>
  <si>
    <t>https://www.semrush.com/agencies/list/display-advertising/australia/</t>
  </si>
  <si>
    <t>Best Display Ads Agencies in Australia 2026 \| Semrush</t>
  </si>
  <si>
    <t>https://techbehemoths.com/companies/google-marketing-platform/australia</t>
  </si>
  <si>
    <t>Top 20+ Google Marketing Platform Companies in Australia (2026) - TechBehemoths</t>
  </si>
  <si>
    <t>https://aeoagencyservices.com/Blog-Page/best-aeo-agency-in-australia-top-answer-engine-optimization-companies</t>
  </si>
  <si>
    <t>Best AEO Agency in Australia: 14 Top Answer Engine Optimization Companies - Web Of Picasso</t>
  </si>
  <si>
    <t>Digital Nomads HQ, First Page, First Page Australia, StudioHawk, Prosperity Media, Safari Digital, Supple Digital, Online Marketing Gurus, Earned Media, Impressive, Omnicom Media Group, Momentum</t>
  </si>
  <si>
    <t>https://agencies.semrush.com/list/display-advertising/australia/small-business/</t>
  </si>
  <si>
    <t>Best Display Ads Agencies for Small Business in Australia 2026 | Semrush</t>
  </si>
  <si>
    <t>Soup Agency, First Page, Clearwater Agency, Measured, Earned Media, Impressive, Online Marketing Gurus, Omnicom Media Group, Click Click Media, First Page Australia, 80/20 Digital</t>
  </si>
  <si>
    <t>https://agencies.semrush.com/list/display-advertising/perth/</t>
  </si>
  <si>
    <t>Best Display Ads Agencies in Perth 2026 | Semrush</t>
  </si>
  <si>
    <t>Bonfire, Soup Agency, First Page, Clearwater Agency, Measured, Earned Media, Impressive, Online Marketing Gurus, Omnicom Media Group, Click Click Media</t>
  </si>
  <si>
    <t>https://avinashvagh.com/blog/best-geo-agencies-australia</t>
  </si>
  <si>
    <t>Best GEO Agency Australia: 6 SaaS Options for 2026</t>
  </si>
  <si>
    <t>Talons Marketing, Prosperity Media, In Marketing We Trust, Elephant In The Boardroom</t>
  </si>
  <si>
    <t>https://blog.applabx.com/top-10-best-geo-agencies-in-australia-in-2026/</t>
  </si>
  <si>
    <t>Top 10 Best GEO Agencies in Australia in 2026</t>
  </si>
  <si>
    <t>StudioHawk, Online Marketing Gurus, Intesols, Supple Digital, Digital Nomads HQ, Emote Digital, Omnicom Media Group, First Page, Measured, HERO</t>
  </si>
  <si>
    <t>https://clutch.co/au/agencies/programmatic</t>
  </si>
  <si>
    <t>Top Programmatic Advertising Companies in Australia - Jul 2026 Rankings | Clutch.co</t>
  </si>
  <si>
    <t>Soup Agency, Impressive, DNM Digital, In Marketing We Trust, Bench Media</t>
  </si>
  <si>
    <t>https://www.designrush.com/agency/social-media-marketing/au</t>
  </si>
  <si>
    <t>Top Social Media Marketing Agencies in Australia | 2026</t>
  </si>
  <si>
    <t>Supple Digital, eMarket Experts, Online Marketing Gurus, SIXGUN, Digital Nomads HQ, Impressive, Deloitte, HERO</t>
  </si>
  <si>
    <t>https://fastlanerecruit.com/blog/top-15-advertising-agencies-in-australia/#:~:text=A%20global%20leader%20in%20creative%20communications%2C%20Leo,insight%2C%20helping%20companies%20forge%20deep%20audience%20connections.</t>
  </si>
  <si>
    <t>Top 15 Advertising Agencies in Australia</t>
  </si>
  <si>
    <t>Clemenger BBDO, Supple Digital, Online Marketing Gurus, Ogilvy Australia, WPP, Omnicom Media Group, Edge Marketing, Soup Agency, First Page, First Page Australia, KPMG</t>
  </si>
  <si>
    <t>First Page, Measured, Earned Media</t>
  </si>
  <si>
    <t>https://agencies.semrush.com/list/ai-optimization/australia/mid-business/</t>
  </si>
  <si>
    <t>Best AI Search Optimization Agencies for Mid Business in Australia 2026 | Semrush</t>
  </si>
  <si>
    <t>DNM Digital, Edge Marketing, First Page, Clearwater Agency, Measured, Earned Media, Online Marketing Gurus, Omnicom Media Group, Huge</t>
  </si>
  <si>
    <t>https://agrtech.com.au/ai/top-10-best-geo-optimization-agencies-in-the-world/</t>
  </si>
  <si>
    <t>Top GEO Optimization Agencies in the World 2026</t>
  </si>
  <si>
    <t>Intero Digital, First Page, Earned Media</t>
  </si>
  <si>
    <t>https://www.bushletter.com/best-aeo-agencies-australia-2026-ai-engine-test/</t>
  </si>
  <si>
    <t>Best AEO agencies in Australia for 2026: we asked four AI engines who they cite</t>
  </si>
  <si>
    <t>Bushnote, Reload Media, StudioHawk, Prosperity Media, Webprofits, Impressive</t>
  </si>
  <si>
    <t>https://www.bushletter.com/the-10-best-aeo-agencies-for-australian-financial-services-firms-in-2026/</t>
  </si>
  <si>
    <t>Best AEO agencies for Australian financial services 2026</t>
  </si>
  <si>
    <t>Bushnote, Luminary, Webprofits, Impressive, Online Marketing Gurus, Omnicom Media Group</t>
  </si>
  <si>
    <t>https://www.designrush.com/agency/digital-marketing/au</t>
  </si>
  <si>
    <t>Top Digital Marketing Agencies in Australia | 2026</t>
  </si>
  <si>
    <t>First Page, First Page Australia, Impressive, Deloitte, Supple Digital, eMarket Experts, Online Marketing Gurus, SIXGUN, Digital Nomads HQ, 23 Digital</t>
  </si>
  <si>
    <t>https://digitaldigest.au/ai-seo-agencies/</t>
  </si>
  <si>
    <t>9 Best AI SEO Agencies in Australia (2026)</t>
  </si>
  <si>
    <t>Digital Nomads HQ, Prosperity Media, StudioHawk, Impressive, Luminary, Intesols</t>
  </si>
  <si>
    <t>https://digitaldigest.au/best-social-media-agencies/</t>
  </si>
  <si>
    <t>15 Best Social Media Agencies in 2025 (With Reviews)</t>
  </si>
  <si>
    <t>Impressive, Online Marketing Gurus, Omnicom Media Group, Deloitte, Soup Agency, Farsiight, Megaphone, Paradox Marketing, Emote Digital, Human Digital, DNM Digital, Rocket Agency, Clearwater Agency, Earned Media</t>
  </si>
  <si>
    <t>https://www.exaltgrowth.com/generative-engine-optimization/top-australian-saas-geo-agencies</t>
  </si>
  <si>
    <t>Top 10 Australian SaaS GEO Agencies in 2026</t>
  </si>
  <si>
    <t>Prosperity Media, First Page, Impressive, StudioHawk, Luminary, Predicta Digital, Earned Media</t>
  </si>
  <si>
    <t>https://www.hashtag.net.au/news/technology/146815-top-agencies-using-ai-to-improve-search-visibility-for-australian-brands</t>
  </si>
  <si>
    <t>Top Agencies Using AI to Improve Search Visibility for Australian Brands</t>
  </si>
  <si>
    <t>NP Digital Australia, Impressive, Safari Digital, Clearwater Agency, King Kong, Emote Digital, Soup Agency, Prosperity Media, Measured</t>
  </si>
  <si>
    <t>https://itprofiles.com/services/ppc/australia</t>
  </si>
  <si>
    <t>Official Jul 2026 Rankings: Top PPC Companies in Australia | ITProfiles</t>
  </si>
  <si>
    <t>Soup Agency, Digital Nomads HQ, Farsiight, Clearwater Agency, eMarket Experts, DNM Digital, Marketix Digital, SIXGUN, Insil, Sparro, Reform Digital, Edge Marketing</t>
  </si>
  <si>
    <t>https://mightyhive.com/mightyhive-named-top-aunz-google-marketing-platform-partner-second-year-row</t>
  </si>
  <si>
    <t>MightyHive Named Top AUNZ Google Marketing Platform Partner Second Year in a Row | MightyHive</t>
  </si>
  <si>
    <t>Huge, First Page, Earned Media</t>
  </si>
  <si>
    <t>https://www.sortlist.com/s/performance-marketing/sydney-au</t>
  </si>
  <si>
    <t>The 10 Best Performance Marketing Agencies in Sydney - 2026 Reviews</t>
  </si>
  <si>
    <t>Impressive, Supple Digital, Measured, Earned Media, Clearwater Agency, SIXGUN, Momentum, Soup Agency, HERO, Digital Nomads HQ, Sparro, AdVisible</t>
  </si>
  <si>
    <t>https://agencies.semrush.com/list/analytics-data-science/australia/small-business/</t>
  </si>
  <si>
    <t>Best Data Analytics Services for Small Business in Australia 2026 | Semrush</t>
  </si>
  <si>
    <t>Soup Agency, First Page, Clearwater Agency, Measured, Earned Media, Impressive, Online Marketing Gurus, Omnicom Media Group, Click Click Media, 80/20 Digital, Huge, Megantic</t>
  </si>
  <si>
    <t>Earned Media, Intero Digital, First Page, Deloitte</t>
  </si>
  <si>
    <t>https://govanator.com/best-performance-marketing-services-in-australia/</t>
  </si>
  <si>
    <t>Best Performance Marketing Services in Australia</t>
  </si>
  <si>
    <t>Digital Nomads HQ, Clearwater Agency, Online Marketing Gurus, eMarket Experts, Megaphone, SearchMax, Supple Digital, Reload Media, Webprofits, Alpha Digital, Rocket Agency, Impressive, Zib Digital</t>
  </si>
  <si>
    <t>https://www.linkedin.com/pulse/top-data-analytics-services-australia-vanator-assist-dcjvf?trk=public_post</t>
  </si>
  <si>
    <t>Top Data Analytics Services in Australia</t>
  </si>
  <si>
    <t>https://omnieclipse.ai/blog/best-aeo-agencies-australia-2026</t>
  </si>
  <si>
    <t>https://rokitupmedia.com.au/top-10-affordable-media-agencies-in-australia-for-small-businesses/</t>
  </si>
  <si>
    <t>Top 10 Affordable Media Agencies in Australia for Small Businesses - Rokitup Media</t>
  </si>
  <si>
    <t>Zib Digital, Emote Digital, Rocket Agency, King Kong</t>
  </si>
  <si>
    <t>https://www.smartinc.com/news/top-10-best-ad-agency-in-australia-leading-sydney-melbourne-brisbane#:~:text=2.%20Blue%2DChip%20Client%20Portfolios%20and%20Commercial%20Impact.,simple%20aesthetics%20to%20solve%20complex%20business%20problems.</t>
  </si>
  <si>
    <t>HERO Tops Best Creative Ad Agency Hot List for Australia, Across Sydney, Melbourne and Brisbane — SMART</t>
  </si>
  <si>
    <t>https://www.sortlist.com/s/programmatic-advertising/australia-au</t>
  </si>
  <si>
    <t>The 10 Best Programmatic Advertising Companies in Australia - 2026 Reviews</t>
  </si>
  <si>
    <t>https://www.sortlist.com/social-media/australia-au</t>
  </si>
  <si>
    <t>The 10 Best Social Media Agencies in Australia - 2026 Reviews</t>
  </si>
  <si>
    <t>Measured, Earned Media, Clearwater Agency, Impressive, Supple Digital, Soup Agency, HERO, Digital Nomads HQ, SIXGUN</t>
  </si>
  <si>
    <t>https://www.10seos.com/au/display-advertising-companies-in-australia?page=2</t>
  </si>
  <si>
    <t>https://agencies.semrush.com/list/ai-optimization/australia/</t>
  </si>
  <si>
    <t>Best AI Search Optimization Agencies in Australia 2026 | Semrush</t>
  </si>
  <si>
    <t>https://agencies.semrush.com/list/display-advertising/arts-entertainment/australia/</t>
  </si>
  <si>
    <t>Best Media &amp;amp; Entertainment Display Ads Agencies in Australia 2026 | Semrush</t>
  </si>
  <si>
    <t>Soup Agency, First Page, Online Marketing Gurus, Omnicom Media Group, 80/20 Digital, Measured</t>
  </si>
  <si>
    <t>https://www.bbe.io/top-10-best-advertising-agency-leaders-australia-2025-sydney-melbourne-brisbane</t>
  </si>
  <si>
    <t>Impressive, Momentum, Edge Marketing</t>
  </si>
  <si>
    <t>https://digitalagencynetwork.com/agencies/sydney/ai-marketing/</t>
  </si>
  <si>
    <t>Top AI Marketing Agencies in Sydney (2026)</t>
  </si>
  <si>
    <t>Luminary, In Marketing We Trust, Soup Agency</t>
  </si>
  <si>
    <t>https://influencermarketinghub.com/social-media-marketing-agencies-australia/</t>
  </si>
  <si>
    <t>Top 13 Social Media Marketing Agencies in Australia</t>
  </si>
  <si>
    <t>Megaphone, Farsiight, Emote Digital, Sparro</t>
  </si>
  <si>
    <t>https://www.latentview.com/glossary/incrementality-testing/</t>
  </si>
  <si>
    <t>What Is Incrementality Testing? Purpose, Best Practices &amp;amp; Frameworks</t>
  </si>
  <si>
    <t>https://www.mayple.com/resources/googleadvertising/google-ads-agencies-australia</t>
  </si>
  <si>
    <t>5 Best Google Ads Agencies in Australia for Local...</t>
  </si>
  <si>
    <t>Supple Digital</t>
  </si>
  <si>
    <t>https://www.sortlist.com/digital-marketing/australia-au</t>
  </si>
  <si>
    <t>The 10 Best Digital Marketing Agencies in Australia - 2026 Reviews</t>
  </si>
  <si>
    <t>Measured, Earned Media, Clearwater Agency, Impressive, Supple Digital, Digital Nomads HQ, Soup Agency, HERO, Momentum</t>
  </si>
  <si>
    <t>https://www.sortlist.com/l/australia-au</t>
  </si>
  <si>
    <t>The 10 Best Marketing Agencies in Australia - 2026 Reviews</t>
  </si>
  <si>
    <t>Measured, Earned Media, Clearwater Agency, Digital Nomads HQ, Soup Agency, HERO, Impressive, Supple Digital</t>
  </si>
  <si>
    <t>https://www.thehero.co/news</t>
  </si>
  <si>
    <t>The Best of Australia’s Top-Ranked Creative Advertising &amp;amp; Marketing Performance Agency | HERO News</t>
  </si>
  <si>
    <t>https://themanifest.com/au/media-buying/agencies</t>
  </si>
  <si>
    <t>The Best Media Planning and Buying Companies in Australia - Jul 2026 | The Manifest</t>
  </si>
  <si>
    <t>Soup Agency, Bench Media, DNM Digital, MK Media</t>
  </si>
  <si>
    <t>https://virtualadagency.com.au/best-digital-marketing-companies/</t>
  </si>
  <si>
    <t>Finding the 7 Best Digital Marketing Companies in Australia for 2026</t>
  </si>
  <si>
    <t>Online Marketing Gurus, Omnicom Media Group, Sparro, Brainlabs, Reload Media, Impressive, Rocket Agency, King Kong</t>
  </si>
  <si>
    <t>https://avinashvagh.com/blog/best-aeo-agencies-australia</t>
  </si>
  <si>
    <t>Best AEO Agencies in Australia for SaaS Founders 2026</t>
  </si>
  <si>
    <t>Measured, Digital Nomads HQ</t>
  </si>
  <si>
    <t>https://clickclickbangbang.com.au/social-media-marketing-firms/</t>
  </si>
  <si>
    <t>Top 7 Social Media Marketing Firms for 2026</t>
  </si>
  <si>
    <t>Momentum, Megaphone, Reload Media, Sparro, Brainlabs</t>
  </si>
  <si>
    <t>https://clutch.co/au/consulting/ai/sydney</t>
  </si>
  <si>
    <t>Top AI Consultants in Sydney - Jul 2026 Rankings \| Clutch.co</t>
  </si>
  <si>
    <t>Luminary, In Marketing We Trust, Impressive, Huge, Team 400</t>
  </si>
  <si>
    <t>https://conquerradigital.com.au/top-10-digital-marketing-agencies-in-australia/</t>
  </si>
  <si>
    <t>Top 10 Digital Marketing Agencies In Australia | Conquerra Digital</t>
  </si>
  <si>
    <t>King Kong, Online Marketing Gurus, Clearwater Agency, Sparro, First Page, Alpha Digital, Webprofits, Bushnote, Omnicom Media Group, Momentum</t>
  </si>
  <si>
    <t>https://corporatedesignsolutions.com.au/top-10-generative-engine-optimisation-agencies-western-australia/</t>
  </si>
  <si>
    <t>Our Top 10 AI GEO (Generative Engine Optimisation) Agencies in Western Australia 2025 Rankings – corporatedesignsolutions.com.au</t>
  </si>
  <si>
    <t>https://fastlanerecruit.com/blog/top-20-digital-marketing-companies-in-australia/</t>
  </si>
  <si>
    <t>Top Digital Marketing Agencies Australia 2026</t>
  </si>
  <si>
    <t>Clearwater Agency, Soup Agency, Luminary, Farsiight, Digital Nomads HQ, SIXGUN, Human Digital, Intesols, 80/20 Digital, Salt &amp; Fuessel, Emote Digital, StudioHawk, King Kong, Megaphone, KPMG</t>
  </si>
  <si>
    <t>Haus, Measured, Lifesight, Workmagic</t>
  </si>
  <si>
    <t>https://hikemytraffic.com/ai-digital-marketing-agencies-in-australia/</t>
  </si>
  <si>
    <t>Top 7 AI Digital Marketing Agencies in Australia</t>
  </si>
  <si>
    <t>Alley Group, Bench Media</t>
  </si>
  <si>
    <t>https://hustlemarketers.com/best-google-ads-agency-australia/</t>
  </si>
  <si>
    <t>Best Google Ads Agency in Australia 2026: 12 Picks</t>
  </si>
  <si>
    <t>Online Marketing Gurus, Rocket Agency, Megaphone, Clearwater Agency, Omnicom Media Group, Digital Nomads HQ, Farsiight, Alpha Digital</t>
  </si>
  <si>
    <t>https://lengreo.com/australia-perth-aeo-geo-llmo-companies/</t>
  </si>
  <si>
    <t>Top 6 AEO, GEO and LLMO Companies in Perth, Australia (2026)</t>
  </si>
  <si>
    <t>https://www.linkedin.com/pulse/digital-marketing-agencies-australia-abhinav-puri-oeg4f</t>
  </si>
  <si>
    <t>Top 12 Digital Marketing Agencies in Australia 2025</t>
  </si>
  <si>
    <t>Digital Nomads HQ, Impressive, Sparro, King Kong, Megaphone, Emote Digital</t>
  </si>
  <si>
    <t>Earned Media, First Page</t>
  </si>
  <si>
    <t>https://magnetoitsolutions.com/au/answer-engine-optimization</t>
  </si>
  <si>
    <t>Australia's Top Answer Engine Optimisation Company | MIS</t>
  </si>
  <si>
    <t>https://www.shoutdigital.com.au/blog/best-geo-agency-in-melbourne-for-e-commerce-a-direct-comparison-2026/</t>
  </si>
  <si>
    <t>Best GEO Agency Melbourne for E-Commerce (2026): Honest Comparison</t>
  </si>
  <si>
    <t>Impressive, Gorilla 360, Salt &amp; Fuessel, UR Digital</t>
  </si>
  <si>
    <t>https://sourceforge.net/software/marketing-attribution/australia/</t>
  </si>
  <si>
    <t>Best Marketing Attribution Software in Australia of 2026 - Reviews &amp;amp; Comparison</t>
  </si>
  <si>
    <t>https://syntermedia.ai/blog/best-attribution-software-marketing-teams</t>
  </si>
  <si>
    <t>10 Best Attribution Software for Marketing Teams (2026 Compared) | Synter</t>
  </si>
  <si>
    <t>https://www.thehero.co/news/australias-top-creative-agency-named-in-business-best-performers#:~:text=The%20report%20found%20food%20manufacturing%20was%20the,PR%20and%20CX%2C%20according%20to%20the%20report.</t>
  </si>
  <si>
    <t>Australia's Top Creative Agency Named By TrinityP3 and B&amp;amp;T In New Business Rankings Best Performers</t>
  </si>
  <si>
    <t>https://titanblue.com.au/companies-for-social-media-marketing/?srsltid=AfmBOoq21wO8ZjboQuZ1D2V8SlPXLR8gDWQUvPiH1eQa9htbHDXUXWx_</t>
  </si>
  <si>
    <t>Top 8 companies for social media marketing in Australia</t>
  </si>
  <si>
    <t>Impressive, Megaphone, King Kong</t>
  </si>
  <si>
    <t>https://agencies.semrush.com/list/display-advertising/western-australia/</t>
  </si>
  <si>
    <t>Best Display Ads Agencies in Western Australia 2026 | Semrush</t>
  </si>
  <si>
    <t>https://blurn.com/au/digital-marketing-services/direct-display-advertising-services/</t>
  </si>
  <si>
    <t>Rated Best Direct Display Advertising in Australia | Blurn, Sydney</t>
  </si>
  <si>
    <t>https://www.bushletter.com/the-10-best-aeo-agencies-for-australian-law-firms-in-2026/</t>
  </si>
  <si>
    <t>Best AEO agencies for Australian law firms 2026</t>
  </si>
  <si>
    <t>Bushnote, Uprise Digital, Webprofits</t>
  </si>
  <si>
    <t>https://capedigital.com.au/post/top-10-digital-marketing-agency-in-australia</t>
  </si>
  <si>
    <t>Cape Digital | Top 10 Digital Marketing Agencies in Australia</t>
  </si>
  <si>
    <t>Rocket Agency, Impressive, King Kong, Digital Movement</t>
  </si>
  <si>
    <t>https://clutch.co/au/agencies/conversion-optimization</t>
  </si>
  <si>
    <t>Top Conversion Rate Optimization Services in Australia - Jul 2026 Rankings \| Clutch.co</t>
  </si>
  <si>
    <t>Human Digital, CUT THRU, Impressive, Huge, Reform Digital, ROI Growth Agency, RAW Studio, Digitxl</t>
  </si>
  <si>
    <t>https://clutch.co/au/agencies/creative/sydney</t>
  </si>
  <si>
    <t>Top Creative Agencies in Sydney - Jul 2026 Rankings \| Clutch.co</t>
  </si>
  <si>
    <t>Chello, Human Digital, Impressive, Huge, Dentsu, BMF</t>
  </si>
  <si>
    <t>https://clutch.co/au/agencies/ppc/display?page=2</t>
  </si>
  <si>
    <t>Page 2 - Top Display Advertising Services in Australia - Jul 2026 Rankings | Clutch.co</t>
  </si>
  <si>
    <t>First Page, Impressive, Paradox Marketing, Intesols, Soup Agency, Salt &amp; Fuessel, Click Click Media</t>
  </si>
  <si>
    <t>https://clutch.co/au/it-services/analytics</t>
  </si>
  <si>
    <t>Top Big Data Analytics Companies in Australia - Jul 2026 Rankings | Clutch.co</t>
  </si>
  <si>
    <t>Impressive, Huge</t>
  </si>
  <si>
    <t>https://www.designrush.com/agency/paid-media-pay-per-click/au?page=6</t>
  </si>
  <si>
    <t>Top PPC Services in Australia - Page 6</t>
  </si>
  <si>
    <t>Reload Media, Impressive, Zib Digital, AdVisible</t>
  </si>
  <si>
    <t>https://www.exaltgrowth.com/generative-engine-optimization/top-sydney-saas-geo-agencies</t>
  </si>
  <si>
    <t>Top 8 Sydney SaaS GEO Agencies in 2026</t>
  </si>
  <si>
    <t>Prosperity Media, Impressive, Soup Agency, PK SEO, Earned Media, Marketix Digital</t>
  </si>
  <si>
    <t>https://frankdigital.agency/google-ads/google-display-advertising-companies/</t>
  </si>
  <si>
    <t>7 Top Google Display Advertising Companies in Australia for 2025</t>
  </si>
  <si>
    <t>Rocket Agency, SearchMax</t>
  </si>
  <si>
    <t>https://www.hashmeta.ai/en/blog/top-10-ai-agencies-in-australia-expert-guide-to-choosing-your-ai-marketing-partner</t>
  </si>
  <si>
    <t>Top 10 AI Agencies in Australia: Expert Guide to Choosing Your AI Marketing Partner | Hashmeta AI Marketing Blog</t>
  </si>
  <si>
    <t>Emote Digital, Impressive</t>
  </si>
  <si>
    <t>https://homerdigitalmarketing.com/pay-per-click-agency/</t>
  </si>
  <si>
    <t>Top 12 Pay Per Click Agency Options in Australia for 2024 - Homer Digital Marketing</t>
  </si>
  <si>
    <t>WebSavvy, Sparro, Brainlabs, Reload Media, Alpha Digital, Bonfire, Rocket Agency, Impressive, Clearwater Agency, Click Click Media</t>
  </si>
  <si>
    <t>https://inbeat.agency/blog/top-digital-marketing-agencies-sydney</t>
  </si>
  <si>
    <t>Best 30+ Digital Marketing Agencies in Sydney – Reviewed in June 2025 - inBeat Agency</t>
  </si>
  <si>
    <t>Rocket Agency, AdVisible, Impressive, Soup Agency, Bench Media, 23 Digital, Zib Digital, Gorilla 360, Resolution Digital, Supple Digital, Alpha Digital, Bonfire, Reef Digital Agency</t>
  </si>
  <si>
    <t>PHD, Momentum</t>
  </si>
  <si>
    <t>https://www.linkedin.com/pulse/top-ai-seo-agencies-australia-watch-year-shivanshi-rai-dpy2c</t>
  </si>
  <si>
    <t>Top AI SEO Agencies in Australia to Watch This Year</t>
  </si>
  <si>
    <t>Supple Digital, Digital Nomads HQ, StudioHawk, First Page, First Page Australia, Online Marketing Gurus, Clearwater Agency, Megaphone</t>
  </si>
  <si>
    <t>https://liondigital.com.au/lion-digital-a-premier-google-partner-placed-in-the-top-3-of-agencies/</t>
  </si>
  <si>
    <t>Premier Google Partner - Top 3% of agencies | LION Digital</t>
  </si>
  <si>
    <t>https://omegaadvertising.com.au/top-5-digital-marketing-agencies-in-australia-for-ai-seo/</t>
  </si>
  <si>
    <t>Top 5 Digital Marketing Agencies in Australia for AI SEO – Omega Advertising</t>
  </si>
  <si>
    <t>https://raw.studio/blog/top-branding-agencies-in-australia-in-2026/#:~:text=FutureBrand%20takes%20a%20highly%20strategic,Key%20strengths%3A</t>
  </si>
  <si>
    <t>Top Branding Agencies in Australia in 2026 | Raw.Studio</t>
  </si>
  <si>
    <t>RAW Studio, CUT THRU</t>
  </si>
  <si>
    <t>Haus, Lifesight, Measured</t>
  </si>
  <si>
    <t>https://www.redpandas.com.au/all/best-paid-media-agencies-in-australia-an-unbiased-review/</t>
  </si>
  <si>
    <t>https://www.savit.au/the-best-ppc-agencies-in-australia-2026-where-to-spend-your-google-ads-budget/</t>
  </si>
  <si>
    <t>Top PPC Agencies in Australia for 2026</t>
  </si>
  <si>
    <t>Online Marketing Gurus, Omnicom Media Group, First Page, First Page Australia, Impressive, Supple Digital, StudioHawk</t>
  </si>
  <si>
    <t>https://www.searchmax.com.au/searchmax-among-the-top-3-of-google-partners-in-the-country/</t>
  </si>
  <si>
    <t>Google Premier Partner - Top 3% of Google Agencies in Australia</t>
  </si>
  <si>
    <t>SearchMax</t>
  </si>
  <si>
    <t>Measured, Impressive</t>
  </si>
  <si>
    <t>https://www.sortlist.com/s/paid-media/melbourne-au</t>
  </si>
  <si>
    <t>The 10 Best Paid Media Agencies in Melbourne - 2026 Reviews</t>
  </si>
  <si>
    <t>Measured, Earned Media, Clearwater Agency, Impressive, SIXGUN, Supple Digital, Momentum, Adcore Elite</t>
  </si>
  <si>
    <t>https://www.techguide.com.au/news/computers-news/the-best-ai-optimisation-agencies-in-australia/</t>
  </si>
  <si>
    <t>The Best AI Optimisation Agencies in Australia - Tech Guide</t>
  </si>
  <si>
    <t>NP Digital Australia, Prosperity Media, Reef Digital Agency, Farsiight, Alpha Digital, SIXGUN, Zib Digital, Online Marketing Gurus</t>
  </si>
  <si>
    <t>https://www.theardor.com.au/google-ads-agencies-in-australia/</t>
  </si>
  <si>
    <t>11 Best Google Ads (Adwords) Agencies in Australia (2026)</t>
  </si>
  <si>
    <t>Digital Nomads HQ, Clearwater Agency, Online Marketing Gurus, eMarket Experts, Megaphone, Supple Digital, SearchMax, Omnicom Media Group</t>
  </si>
  <si>
    <t>https://townsquare.agency/news/ts-once-again-ranked-one-of-australias-best-creative-agencies/</t>
  </si>
  <si>
    <t>TS once again ranked one of Australia’s best creative agencies - Town Square</t>
  </si>
  <si>
    <t>https://vulbmedia.com/top-creative-agencies-in-sydney/</t>
  </si>
  <si>
    <t>Top Creative Agencies in Sydney (2025) | Vulb Media Insights – Vulb Media</t>
  </si>
  <si>
    <t>https://agencies.semrush.com/list/display-advertising/ecommerce/australia/</t>
  </si>
  <si>
    <t>Best Ecommerce Display Ads Agencies in Australia 2026 | Semrush</t>
  </si>
  <si>
    <t>Soup Agency, First Page, Clearwater Agency, Measured, Earned Media, Impressive, Online Marketing Gurus, Omnicom Media Group, First Page Australia, 80/20 Digital, Salt &amp; Fuessel, Megaphone, Bonfire</t>
  </si>
  <si>
    <t>https://agencies.semrush.com/list/ppc/australia/</t>
  </si>
  <si>
    <t>Best PPC Agencies in Australia 2026 | Semrush</t>
  </si>
  <si>
    <t>https://apacsearchawards.com/2025/07/07/top-20-award-winning-apac-marketing-agencies/</t>
  </si>
  <si>
    <t>Top 20 Award Winning Agencies (and two others to note) | APAC Search Awards</t>
  </si>
  <si>
    <t>Megantic, Prosperity Media, Rocket Agency, StudioHawk, Impressive, Adcore Elite, Clearwater Agency, Jaywing, SIXGUN, AdVisible</t>
  </si>
  <si>
    <t>https://builtinmelbourne.com/articles/digital-marketing-companies-melbourne</t>
  </si>
  <si>
    <t>20 Top Digital Marketing Companies in Melbourne | Built In Melbourne</t>
  </si>
  <si>
    <t>Emote Digital, Megaphone, Salt &amp; Fuessel, Ogilvy Australia, King Kong, Dentsu</t>
  </si>
  <si>
    <t>https://businessinfopro.com/blogs/information-technology-blog/top-ai-development-consulting-firms-in-australia/</t>
  </si>
  <si>
    <t>Top 10 AI Development and Consulting Companies in Australia</t>
  </si>
  <si>
    <t>https://clutch.co/au/agencies/business-services-industry</t>
  </si>
  <si>
    <t>Top Advertising Agencies for B2B in Australia - Jul 2026 Rankings | Clutch.co</t>
  </si>
  <si>
    <t>Version2, Impressive, Chello, Human Digital, Soup Agency, Farsiight, DNM Digital, Ninja Promo, Insil, First Page</t>
  </si>
  <si>
    <t>https://clutch.co/au/agencies/melbourne</t>
  </si>
  <si>
    <t>Top Advertising Agencies in Melbourne, Australia - Jul 2026 Rankings \| Clutch.co</t>
  </si>
  <si>
    <t>Version2, Impressive, Ninja Promo, WebSavvy</t>
  </si>
  <si>
    <t>https://clutch.co/au/agencies/ppc%3Fpage%3D2</t>
  </si>
  <si>
    <t>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t>
  </si>
  <si>
    <t>https://clutch.co/au/agencies/ppc/sydney</t>
  </si>
  <si>
    <t>Top PPC Agencies in Sydney - Jul 2026 Rankings \| Clutch.co</t>
  </si>
  <si>
    <t>Human Digital, Soup Agency, Supple Digital, Alley Group, Digital Nomads HQ, Rocket Agency, Impressive, Huge, DNM Digital, Megaphone, Online Marketing Gurus, Marketix Digital, First Page, Sparro, Insil, AdVisible</t>
  </si>
  <si>
    <t>https://conquerradigital.com.au/top-10-programmatic-ads-agencies-in-brisbane/</t>
  </si>
  <si>
    <t>Top 10 Programmatic Ads Agencies In Brisbane | Conquerra Digital</t>
  </si>
  <si>
    <t>Soup Agency, Alpha Digital, Digital Nomads HQ, Momentum</t>
  </si>
  <si>
    <t>https://dejanmarketing.com/best-ai-seo-agencies/#:~:text=If%20you%20want%20AI%2Daware%20SEO%20that%20feels,technical%20SEO%2C%20product%20management%2C%20and%20applied%20AI.</t>
  </si>
  <si>
    <t>Best AI SEO agencies to watch out for in 2026</t>
  </si>
  <si>
    <t>Huge, PHD</t>
  </si>
  <si>
    <t>https://www.digitalreference.co/insights/marketing-professionals/best-digital-marketing-agencies-companies-in-australia</t>
  </si>
  <si>
    <t>Best Digital Marketing Agencies &amp;amp; Digital Marketing Firms in Australia</t>
  </si>
  <si>
    <t>Digital Movement, Momentum, Digital Nomads HQ, Online Marketing Gurus, Omnicom Media Group</t>
  </si>
  <si>
    <t>https://edisonai.au/insights/best-ai-consultants-for-small-business-australia</t>
  </si>
  <si>
    <t>Best AI Consultants for Small Business Australia (2026) \| Edison AI</t>
  </si>
  <si>
    <t>Edison AI, Mantel Group, Momentum, Measured</t>
  </si>
  <si>
    <t>https://ensun.io/search/ai-marketing/australia</t>
  </si>
  <si>
    <t>Top 100 AI Marketing Companies in Australia (2026) \| ensun</t>
  </si>
  <si>
    <t>https://www.goodfirms.co/directory/city/top-digital-marketing-companies/media-planning-buying/melbourne</t>
  </si>
  <si>
    <t>Top Media Buying Agencies in Melbourne - 2026 Reviews | Goodfirms</t>
  </si>
  <si>
    <t>Emote Digital, eMarket Experts, SIXGUN, Impressive</t>
  </si>
  <si>
    <t>https://www.goodfirms.co/directory/country/top-digital-marketing-companies/media-planning-buying/australia</t>
  </si>
  <si>
    <t>Top Media Buying Agencies in Australia - 2026 Reviews | Goodfirms</t>
  </si>
  <si>
    <t>Emote Digital, Bench Media, Reload Media, Soup Agency, Impressive, eMarket Experts, CUT THRU</t>
  </si>
  <si>
    <t>Measured, Huge</t>
  </si>
  <si>
    <t>https://lengreo.com/australia-brisbane-aeo-geo-llmo-companies/</t>
  </si>
  <si>
    <t>6 Best AEO, GEO &amp;amp; LLMO Companies in Brisbane, Australia (2026)</t>
  </si>
  <si>
    <t>Supple Digital, StudioHawk</t>
  </si>
  <si>
    <t>Power Digital, Intero Digital, Measured, Earned Media, Huge</t>
  </si>
  <si>
    <t>https://www.sortlist.com/s/display-advertising/brisbane-qld-au</t>
  </si>
  <si>
    <t>The 10 Best Display Advertising Agencies in Brisbane - 2026 Reviews</t>
  </si>
  <si>
    <t>Measured, Earned Media, Clearwater Agency, SIXGUN, Soup Agency, HERO, Impressive, Supple Digital, Ninja Promo, Digital Nomads HQ, Momentum, Alpha Digital</t>
  </si>
  <si>
    <t>https://tdsaustralia.com.au/top-50-brand-design-agencies-australia/</t>
  </si>
  <si>
    <t>Top 50 Branding Agencies in Australia (April 2026) | Ranked by Experts | TDS Australia</t>
  </si>
  <si>
    <t>Hulsbosch, CUT THRU, Chello, RAW Studio, Digital Nomads HQ, Soup Agency, WPP</t>
  </si>
  <si>
    <t>https://worldmetrics.org/service/melbourne-marketing/</t>
  </si>
  <si>
    <t>Top 10 Best Melbourne Marketing Services | Ranked for 2026</t>
  </si>
  <si>
    <t>Webprofits, WPP, Deloitte Digital, Deloitte, KPMG</t>
  </si>
  <si>
    <t>https://agencies.semrush.com/list/analytics-data-science/information-technology/australia/</t>
  </si>
  <si>
    <t>Best IT Data Analytics Services in Australia 2026 | Semrush</t>
  </si>
  <si>
    <t>Soup Agency, First Page, Online Marketing Gurus, Omnicom Media Group, 80/20 Digital, Earned Media</t>
  </si>
  <si>
    <t>https://agencies.semrush.com/list/display-advertising/australia/enterprise-business/</t>
  </si>
  <si>
    <t>Best Display Ads Agencies for Enterprise Business in Australia 2026 | Semrush</t>
  </si>
  <si>
    <t>https://agencies.semrush.com/list/display-advertising/melbourne/</t>
  </si>
  <si>
    <t>Best Display Ads Agencies in Melbourne 2026 | Semrush</t>
  </si>
  <si>
    <t>https://agencies.semrush.com/list/ppc/arts-entertainment/australia/</t>
  </si>
  <si>
    <t>Best Media &amp;amp; Entertainment PPC Agencies in Australia 2026 | Semrush</t>
  </si>
  <si>
    <t>Supple Digital, Soup Agency, First Page, Online Marketing Gurus, Omnicom Media Group, 80/20 Digital, Measured</t>
  </si>
  <si>
    <t>https://aivy.com.au/resources/best-ai-marketing-tools-australia/</t>
  </si>
  <si>
    <t>Best AI Tools for Marketing in Australia (2026 Guide)</t>
  </si>
  <si>
    <t>https://aivy.com.au/resources/best-ai-search-engine-optimisation-tools-australia/</t>
  </si>
  <si>
    <t>Best AI search engine optimisation tools (Australia 2026)</t>
  </si>
  <si>
    <t>https://clickclickbangbang.com.au/best-facebook-ads-agency/</t>
  </si>
  <si>
    <t>7 Best Facebook Ads Agency Picks for Australian Businesses in 2026</t>
  </si>
  <si>
    <t>Megaphone, Online Marketing Gurus, Deloitte, Omnicom Media Group, Rocket Agency, Reload Media, King Kong</t>
  </si>
  <si>
    <t>https://clickclickbangbang.com.au/ppc-management-companies/</t>
  </si>
  <si>
    <t>Top 12 PPC Management Companies in Australia for 2025</t>
  </si>
  <si>
    <t>Sparro, Brainlabs, WebSavvy, Reload Media, Online Marketing Gurus, Omnicom Media Group, Impressive, Rocket Agency</t>
  </si>
  <si>
    <t>https://clutch.co/au/agencies/social-media-marketing/tik-tok</t>
  </si>
  <si>
    <t>Top TikTok Advertising Agencies in Australia - Jul 2026 Rankings | Clutch.co</t>
  </si>
  <si>
    <t>Impressive, Digital Nomads HQ, Soup Agency, Emote Digital, Salt &amp; Fuessel, Edge Marketing, Megaphone, Paradox Marketing, Momentum, Bench Media, Reform Digital, Eight Clients</t>
  </si>
  <si>
    <t>https://www.designrush.com/agency/digital-agencies/au</t>
  </si>
  <si>
    <t>Top Digital Agencies in Australia | 2026</t>
  </si>
  <si>
    <t>Impressive, Digital Nomads HQ, 80/20 Digital, Luminary, Edge Marketing</t>
  </si>
  <si>
    <t>https://www.designrush.com/agency/paid-media-pay-per-click/au/melbourne</t>
  </si>
  <si>
    <t>Top PPC Agencies in Melbourne | 2026</t>
  </si>
  <si>
    <t>eMarket Experts, First Page, Supple Digital, Online Marketing Gurus, SIXGUN, Predicta Digital, First Page Australia, Impressive</t>
  </si>
  <si>
    <t>https://digitalagencynetwork.com/agencies/australia/industry/it-technology/</t>
  </si>
  <si>
    <t>Top Technology Marketing Agencies in Australia (2026)</t>
  </si>
  <si>
    <t>Clearwater Agency, Digital Nomads HQ, Emote Digital, Impressive</t>
  </si>
  <si>
    <t>https://edisonai.au/insights/top-ai-agencies-in-australia</t>
  </si>
  <si>
    <t>Top AI Agencies in Australia (2026 Guide) \| Edison AI</t>
  </si>
  <si>
    <t>Edison AI, Impressive, Measured</t>
  </si>
  <si>
    <t>https://ensun.io/search/geospatial-gis/australia</t>
  </si>
  <si>
    <t>Top 100 Geospatial (Gis) Companies in Australia (2026) \| ensun</t>
  </si>
  <si>
    <t>https://enterprisemonkey.com.au/top-10-ai-consulting-firms-melbourne-2026-complete-guide/</t>
  </si>
  <si>
    <t>Top 10 AI Consulting Firms in Melbourne (2026): The Complete Guide | Web, App &amp;amp; Software Development Company in Melbourne &amp;amp; Geelong.</t>
  </si>
  <si>
    <t>Deloitte, Team 400, Impressive, Measured</t>
  </si>
  <si>
    <t>https://www.goodfirms.co/advertising-companies/sydney</t>
  </si>
  <si>
    <t>Best Advertising Agencies in Sydney - 2026 Reviews | Goodfirms</t>
  </si>
  <si>
    <t>CUT THRU, BMF, Bench Media, Chello, Edge Marketing</t>
  </si>
  <si>
    <t>https://www.goodfirms.co/directory/country/top-digital-marketing-companies/au?sort_by=matrix</t>
  </si>
  <si>
    <t>eMarket Experts, Impressive, AdVisible, SIXGUN, Supple Digital, Digital Nomads HQ, CUT THRU, Intesols, Emote Digital</t>
  </si>
  <si>
    <t>https://www.hashmeta.ai/zh/blog/top-10-ai-agencies-in-australia-expert-guide-to-choosing-your-ai-marketing-partner</t>
  </si>
  <si>
    <t>https://www.havstrategy.com/best-performance-marketing-agency-in-australia/</t>
  </si>
  <si>
    <t>Best Performance Marketing Agency in Australia</t>
  </si>
  <si>
    <t>https://inbeat.agency/blog/top-ppc-agencies-sydney</t>
  </si>
  <si>
    <t>Top 31 PPC Agencies in Sydney (Tried and Tested in January 2025) - inBeat Agency</t>
  </si>
  <si>
    <t>Marketix Digital, Metric Labs, Online Marketing Gurus, Rocket Agency, King Kong, 23 Digital, Jaywing</t>
  </si>
  <si>
    <t>https://itprofiles.com/services/media-planning-and-buying/australia</t>
  </si>
  <si>
    <t>56 Best Media Planning and Buying Companies in Australia - Jul 2026 Rankings | ITProfiles</t>
  </si>
  <si>
    <t>Bench Media, Momentum, GroupM, OMD</t>
  </si>
  <si>
    <t>Impressive, Intero Digital</t>
  </si>
  <si>
    <t>https://nettyawards.com/a-look-at-australias-top-digital-agencies-in-2025/</t>
  </si>
  <si>
    <t>A Look at Australia’s Top Digital Agencies in 2025 - Netty Awards</t>
  </si>
  <si>
    <t>Megaphone, Measured</t>
  </si>
  <si>
    <t>https://www.ocmsolution.com/digital-agencies-in-sydney/</t>
  </si>
  <si>
    <t>Top 10 Best Digital Agencies &amp;amp; Marketing Companies in Sydney, Australia – OCM Solution – Best Change Management Solution, Content, Services</t>
  </si>
  <si>
    <t>AdVisible, Sparro, We Are Social, Rocket Agency, Impressive</t>
  </si>
  <si>
    <t>https://outgrow.co/blog/advertising-agencies-australia</t>
  </si>
  <si>
    <t>Top 14 Advertising Agencies in Australia You Must Know</t>
  </si>
  <si>
    <t>Saatchi &amp; Saatchi, Dentsu, Ogilvy Australia, DDB Australia, Intesols</t>
  </si>
  <si>
    <t>https://prwire.com.au/pr/127124/rankingco-rises-into-australia-s-top-3-of-google-partners-as-a-2026-premier-partner</t>
  </si>
  <si>
    <t>RankingCo rises into Australia’s top 3% of Google Partners as a 2026 Premier Partner</t>
  </si>
  <si>
    <t>RankingCo</t>
  </si>
  <si>
    <t>https://pwd.com.au/blog/best-digital-marketing-company-perth/</t>
  </si>
  <si>
    <t>Best Digital Marketing Company in Perth 2026 \| PWD</t>
  </si>
  <si>
    <t>HERO, Clemenger BBDO, OMD, Bonfire</t>
  </si>
  <si>
    <t>https://seocompare.co.uk/ai-search-agencies-australia/</t>
  </si>
  <si>
    <t>4 Best AI Search Agencies Australia - 2026 Guide | SEOCompare</t>
  </si>
  <si>
    <t>https://www.sortlist.com/s/data-driven-marketing/australia-au</t>
  </si>
  <si>
    <t>The 10 Best Data Driven Marketing Agencies in Australia - 2026 Reviews</t>
  </si>
  <si>
    <t>Measured, Earned Media, Clearwater Agency, SIXGUN, Soup Agency, HERO, Ninja Promo</t>
  </si>
  <si>
    <t>https://www.sortlist.com/s/paid-media/new-south-wales-nsw-au</t>
  </si>
  <si>
    <t>The 10 Best Paid Media Agencies in New South Wales - 2026 Reviews</t>
  </si>
  <si>
    <t>Impressive, Supple Digital, CUT THRU, Measured, Earned Media, Clearwater Agency, SIXGUN, Ninja Promo</t>
  </si>
  <si>
    <t>https://techbullion.com/top-australian-geo-agencies-helping-brands-appear-in-ai-generated-answers/</t>
  </si>
  <si>
    <t>Top Australian GEO Agencies Helping Brands Appear in AI-Generated Answers - TechBullion</t>
  </si>
  <si>
    <t>NP Digital Australia, Soup Agency, Reef Digital Agency, First Page, First Page Australia, King Kong, Megantic, StudioHawk, Clearwater Agency</t>
  </si>
  <si>
    <t>https://www.thehero.co/news/australias-best-marketing-advertising-firm-2026-top-100</t>
  </si>
  <si>
    <t>Australia's Top Creative Agency in 2026 Global 100 Best Marketing and Advertising Awards Is HERO</t>
  </si>
  <si>
    <t>https://themanifest.com/au/digital-marketing/agencies</t>
  </si>
  <si>
    <t>The Best Digital Marketing Companies in Australia - Jul 2026 | The Manifest</t>
  </si>
  <si>
    <t>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t>
  </si>
  <si>
    <t>https://themanifest.com/au/digital-marketing/agencies?page=1</t>
  </si>
  <si>
    <t>Salt &amp; Fuessel, Impressive, Insil, Luminary, Sparro, Reform Digital, Digital Nomads HQ, EvenDigit, Alley Group, SIXGUN, MyWork</t>
  </si>
  <si>
    <t>https://upcity.com/au/creative</t>
  </si>
  <si>
    <t>Top 30 Creative Agencies in Australia - May 2025 Reviews</t>
  </si>
  <si>
    <t>Omnicom Media Group, Dentsu</t>
  </si>
  <si>
    <t>https://www.usercall.co/post/top-20-market-research-companies-in-australia-2025#:~:text=10.%20Bastion%20Insights%20%E2%80%93%20Cremorne.%20They%20combine,FMCG%2C%20this%20niche%20firm%20provides%20unmatched%20expertise.</t>
  </si>
  <si>
    <t>Top 20 Market Research Companies in Australia (Who to Hire in 2026)</t>
  </si>
  <si>
    <t>https://webprofits.com.au/about.html</t>
  </si>
  <si>
    <t>About | The Best Performance Marketers in Australia | Webprofits</t>
  </si>
  <si>
    <t>Webprofits</t>
  </si>
  <si>
    <t>https://zipdo.co/service/attribution/</t>
  </si>
  <si>
    <t>Top 10 Best Attribution Services (2026 Expert Review)</t>
  </si>
  <si>
    <t>Deloitte, WPP, Publicis Media, Publicis Groupe</t>
  </si>
  <si>
    <t>https://aeroleads.com/list/top-geospatial-companies-in-australia</t>
  </si>
  <si>
    <t>Top 39 Geospatial Companies in Australia - Emails &amp; Contacts</t>
  </si>
  <si>
    <t>https://agencies.semrush.com/list/advertising/melbourne/</t>
  </si>
  <si>
    <t>Best Advertising Agencies in Melbourne 2026 | Semrush</t>
  </si>
  <si>
    <t>Supple Digital, Soup Agency, First Page, Clearwater Agency, Measured, Earned Media, Impressive, Online Marketing Gurus, Omnicom Media Group, First Page Australia, 80/20 Digital, Salt &amp; Fuessel, Megaphone</t>
  </si>
  <si>
    <t>https://agencies.semrush.com/list/analytics-data-science/melbourne/</t>
  </si>
  <si>
    <t>Best Data Analytics Services in Melbourne 2026 | Semrush</t>
  </si>
  <si>
    <t>https://agencies.semrush.com/list/analytics-data-science/melbourne/enterprise-business/</t>
  </si>
  <si>
    <t>Best Data Analytics Services for Enterprise Business in Melbourne 2026 | Semrush</t>
  </si>
  <si>
    <t>Soup Agency, First Page, Clearwater Agency, Measured, Earned Media, Impressive, Online Marketing Gurus, Omnicom Media Group, Bonfire, Megantic, Click Click Media, Huge</t>
  </si>
  <si>
    <t>https://agencies.semrush.com/list/display-advertising/melbourne/small-business/</t>
  </si>
  <si>
    <t>Best Display Ads Agencies for Small Business in Melbourne 2026 | Semrush</t>
  </si>
  <si>
    <t>Soup Agency, First Page, Clearwater Agency, Measured, Earned Media, Impressive, Online Marketing Gurus, Omnicom Media Group, First Page Australia, 80/20 Digital, Megaphone, Salt &amp; Fuessel</t>
  </si>
  <si>
    <t>https://agencies.semrush.com/list/facebook-advertising/australia/</t>
  </si>
  <si>
    <t>Best Facebook Advertising Agencies in Australia 2026 | Semrush</t>
  </si>
  <si>
    <t>https://agencies.semrush.com/list/machine-learning-and-ai/sydney/</t>
  </si>
  <si>
    <t>Best Machine Learning and AI Services in Sydney 2026 | Semrush</t>
  </si>
  <si>
    <t>Soup Agency, Online Marketing Gurus, Omnicom Media Group, Earned Media, First Page, Clearwater Agency, Measured, Impressive, 80/20 Digital</t>
  </si>
  <si>
    <t>https://agencies.semrush.com/list/smm/sydney/</t>
  </si>
  <si>
    <t>Best Social Media Marketing Agencies in Sydney 2026 | Semrush</t>
  </si>
  <si>
    <t>DNM Digital, Soup Agency, Online Marketing Gurus, Omnicom Media Group, Human Digital, Digital Nomads HQ, Click Click Media, Bench Media, Earned Media, Rocket Agency, First Page, Clearwater Agency, Measured</t>
  </si>
  <si>
    <t>https://agencylist.com/services/measurement-and-coverage-reports/au/</t>
  </si>
  <si>
    <t>Top Measurement and Coverage Reports Agencies in Australia</t>
  </si>
  <si>
    <t>https://analyzify.com/hub/digital-marketing-agencies-in-au</t>
  </si>
  <si>
    <t>Top 12 Digital Marketing Agencies In Australia | Analyzify</t>
  </si>
  <si>
    <t>Digital Nomads HQ, Megaphone, Insil, AdVisible, Reef Digital Agency</t>
  </si>
  <si>
    <t>https://anirup.com/top-10-google-ads-agency-australia/</t>
  </si>
  <si>
    <t>Top 10 Google Ads Agency In Australia 2026 | Melbourne &amp;amp; Sydney</t>
  </si>
  <si>
    <t>Digital Nomads HQ, Clearwater Agency, Megaphone, Online Marketing Gurus, Omnicom Media Group, eMarket Experts, Supple Digital</t>
  </si>
  <si>
    <t>https://avenuegroupaus.com.au/top-seo-companies-in-australia/#:~:text=Megantic.%20One%20of%20the%20few%20e%2Dcommerce%2Doriented%20SEO,E%2Dcommerce%20SEO%20is%20a%20very%20specific%20field.</t>
  </si>
  <si>
    <t>Top 10 SEO Companies in Australia to Consider in 2026</t>
  </si>
  <si>
    <t>First Page, Prosperity Media, SIXGUN, Megantic</t>
  </si>
  <si>
    <t>https://bestforexapp.com/best-ai-marketing-agency-australia-2026-2/</t>
  </si>
  <si>
    <t>Who Runs Australia’s AI Marketing Scene in 2026? - Best Forex App</t>
  </si>
  <si>
    <t>https://www.bluethings.co/blog/top-seo-agencies-australia#:~:text=Mid%2Dmarket%20and%20enterprise%20businesses%20operating%20in%20competitive,ThreatX%2C%20and%20Tiddle.%20Key%20services.%20SEO%20management.</t>
  </si>
  <si>
    <t>Top 20 SEO Agencies in Australia for 2026 and Beyond</t>
  </si>
  <si>
    <t>eMarket Experts, First Page, First Page Australia, Safari Digital, AdVisible, Impressive, KPMG, Online Marketing Gurus, Omnicom Media Group, Marketix Digital, Earned Media, Supple Digital, Gorilla 360, Clearwater Agency, SIXGUN</t>
  </si>
  <si>
    <t>https://bondipages.com/best-marketing-in-australia/</t>
  </si>
  <si>
    <t>Best Marketing in Australia: 7 Agencies That Actually Deliver (2026)</t>
  </si>
  <si>
    <t>Digital Nomads HQ, Sparro, Megaphone, First Page, Momentum</t>
  </si>
  <si>
    <t>https://builtinsydney.au/articles/digital-marketing-companies-sydney</t>
  </si>
  <si>
    <t>20 Top Digital Marketing Companies in Sydney | Built In Sydney</t>
  </si>
  <si>
    <t>AdVisible, Soup Agency, Human Digital, Webprofits</t>
  </si>
  <si>
    <t>https://clutch.co/au/agencies/creative/melbourne</t>
  </si>
  <si>
    <t>Top Creative Agencies in Melbourne - Jul 2026 Rankings | Clutch.co</t>
  </si>
  <si>
    <t>https://clutch.co/au/agencies/market-research</t>
  </si>
  <si>
    <t>Top Market Research Companies in Australia - Jul 2026 Rankings | Clutch.co</t>
  </si>
  <si>
    <t>Impressive, Huge, weDiscover</t>
  </si>
  <si>
    <t>https://clutch.co/au/agencies/social-media-marketing/facebook?page=9</t>
  </si>
  <si>
    <t>Page 9 - Top Facebook Advertising Agencies in Australia - Jul 2026 Rankings | Clutch.co</t>
  </si>
  <si>
    <t>Impressive, Digital Nomads HQ, SIXGUN, Megaphone, Intesols, Farsiight, Soup Agency, Online Marketing Gurus, Paradox Marketing, Emote Digital, Rocket Agency, Human Digital, Bench Media, Insil, Clearwater Agency, Salt &amp; Fuessel</t>
  </si>
  <si>
    <t>https://clutch.co/au/seo-firms</t>
  </si>
  <si>
    <t>Top SEO Companies in Australia - Jul 2026 Rankings | Clutch.co</t>
  </si>
  <si>
    <t>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t>
  </si>
  <si>
    <t>https://conquerradigital.com.au/top-10-programmatic-ads-agencies-in-melbourne/</t>
  </si>
  <si>
    <t>Top 10 Programmatic Ads Agencies In Melbourne | Conquerra Digital</t>
  </si>
  <si>
    <t>Megaphone, Rocket Agency, Soup Agency, Bench Media, WebSavvy, Resolution Digital, Momentum</t>
  </si>
  <si>
    <t>https://www.designrush.com/agency/ad-agencies/au/melbourne</t>
  </si>
  <si>
    <t>Top Advertising Agencies in Melbourne | 2026</t>
  </si>
  <si>
    <t>Elephant In The Boardroom, Omnicom Media Group, First Page, First Page Australia, The Monkeys</t>
  </si>
  <si>
    <t>Huge, Supple Digital, Deloitte, Intero Digital</t>
  </si>
  <si>
    <t>https://www.designrush.com/agency/paid-media-pay-per-click/au/sydney</t>
  </si>
  <si>
    <t>Top PPC Agencies in Sydney | 2026</t>
  </si>
  <si>
    <t>Impressive, Supple Digital, Online Marketing Gurus, Soup Agency, Clearwater Agency, Human Digital</t>
  </si>
  <si>
    <t>https://digitalagencynetwork.com/agencies/melbourne/geo/</t>
  </si>
  <si>
    <t>Top GEO Agencies in Melbourne for Generative Engine Optimization (2026)</t>
  </si>
  <si>
    <t>Emote Digital, Luminary, Clearwater Agency, Digital Nomads HQ</t>
  </si>
  <si>
    <t>https://ecosystem.hubspot.com/marketplace/solutions/paid-advertising/australia</t>
  </si>
  <si>
    <t>The 228 Best Paid Advertising Agencies or Service Providers in Australia \| HubSpot</t>
  </si>
  <si>
    <t>https://www.elsner.com.au/top-10-seo-agencies-australia-2026/</t>
  </si>
  <si>
    <t>Top 10 SEO Agencies in Australia 2026 | Results &amp;amp; Expertise</t>
  </si>
  <si>
    <t>StudioHawk, Prosperity Media, Clearwater Agency, Reef Digital Agency</t>
  </si>
  <si>
    <t>https://ensun.io/search/display-advertising/australia</t>
  </si>
  <si>
    <t>Top 100 Display Advertising Companies in Australia (2026) \| ensun</t>
  </si>
  <si>
    <t>https://ensun.io/search/geospatial-data/australia</t>
  </si>
  <si>
    <t>Top 100 Geospatial Data Companies in Australia (2026) \| ensun</t>
  </si>
  <si>
    <t>https://flypix.ai/geospatial-companies-in-australia/</t>
  </si>
  <si>
    <t>10 Best Geospatial Companies in Australia (2026)</t>
  </si>
  <si>
    <t>https://gdaybroadcast.com.au/marketing-agencies-in-melbourne/</t>
  </si>
  <si>
    <t>Top 10 Marketing Agencies in Melbourne - G'Day Broadcast</t>
  </si>
  <si>
    <t>Clearwater Agency, Impressive, Emote Digital, Megaphone, Luminary, Online Marketing Gurus, Elephant In The Boardroom</t>
  </si>
  <si>
    <t>https://www.goodfirms.co/directory/country/top-digital-marketing-companies/advertising-ppc/australia</t>
  </si>
  <si>
    <t>Top PPC Agencies in Australia - 2026 Reviews | Goodfirms</t>
  </si>
  <si>
    <t>Impressive, SIXGUN, eMarket Experts, Elephant In The Boardroom, Digital Nomads HQ, CUT THRU, Emote Digital</t>
  </si>
  <si>
    <t>https://www.goodfirms.co/directory/country/top-digital-marketing-companies/au?sort_by=rating</t>
  </si>
  <si>
    <t>CUT THRU, Impressive, Elephant In The Boardroom, eMarket Experts, SIXGUN, Supple Digital, AdVisible, Intesols, Emote Digital</t>
  </si>
  <si>
    <t>https://www.growthspreeofficial.com/blogs/best-b2b-saas-agencies-cross-channel-attribution-2026</t>
  </si>
  <si>
    <t>The Best B2B SaaS Cross-Channel Attribution Agencies (2026)</t>
  </si>
  <si>
    <t>https://www.intelegain.com/top-10-ai-development-and-consulting-companies-in-australia/</t>
  </si>
  <si>
    <t>Huge, Momentum</t>
  </si>
  <si>
    <t>https://itprofiles.com/services/ppc/sydney</t>
  </si>
  <si>
    <t>The Definitive List: Best PPC Companies in Sydney in Jul 2026 | ITProfiles</t>
  </si>
  <si>
    <t>AdVisible, Sparro</t>
  </si>
  <si>
    <t>https://www.linkedin.com/pulse/best-performance-marketing-services-australia-vanator-assist-jhjyc</t>
  </si>
  <si>
    <t>Digital Nomads HQ, Clearwater Agency, Online Marketing Gurus</t>
  </si>
  <si>
    <t>https://madebyevoke.com/blog/top-branding-agencies-melbourne</t>
  </si>
  <si>
    <t>Top 10 Branding Agencies in Melbourne, Australia (2026) — Ranked | Evoke Studio</t>
  </si>
  <si>
    <t>Clemenger BBDO, Ogilvy Australia, DDB Australia</t>
  </si>
  <si>
    <t>https://printvideoweb.com.au/blog/30-best-digital-marketing-agencies-in-australia/</t>
  </si>
  <si>
    <t>Top 30 Digital Marketing Agencies in Australia for 2025</t>
  </si>
  <si>
    <t>https://www.reddit.com/r/aeo/comments/1twcbr2/best_aeo_agency_guide_what_to_look_for_in_an/</t>
  </si>
  <si>
    <t>Best AEO Agency Guide What to Look for in an Answer Engine Partner?</t>
  </si>
  <si>
    <t>https://www.rightfirms.co/directory/geo-services/country/australia</t>
  </si>
  <si>
    <t>Top GEO Services Companies in Australia | RightFirms</t>
  </si>
  <si>
    <t>https://roi.com.au/know-how/ai-seo-geo-answer-engine-optimisation/what-are-the-best-geo-tools-for-australian-businesses</t>
  </si>
  <si>
    <t>What are the best GEO tools for Australian businesses? | AI Marketing Agency Australia | roi.com.au</t>
  </si>
  <si>
    <t>ROI Growth Agency</t>
  </si>
  <si>
    <t>https://sandlabs.com.au/blog/top-ai-consulting-companies-australia</t>
  </si>
  <si>
    <t>Top 10 AI Consulting Companies in Australia (2026) - Sandlabs</t>
  </si>
  <si>
    <t>Mantel Group</t>
  </si>
  <si>
    <t>Measured, Haus, Lifesight, Workmagic, LiftLab, Momentum</t>
  </si>
  <si>
    <t>https://www.semrush.com/agencies/list/analytics-data-science/australia/</t>
  </si>
  <si>
    <t>Best Data Analytics Services in Australia 2026 \| Semrush</t>
  </si>
  <si>
    <t>https://www.seoworks.com/lists/best-aeo-answer-engine-optimisation-agencies/</t>
  </si>
  <si>
    <t>20 Best Answer Engine Optimisation (AEO) Agencies (2026) | The SEO Works</t>
  </si>
  <si>
    <t>Measured, Brainlabs</t>
  </si>
  <si>
    <t>https://socialchameleon.com/top-25-digital-marketing-agencies-in-australia/</t>
  </si>
  <si>
    <t>25 Best Digital Marketing Agencies Australia 2025 | Social Chameleon</t>
  </si>
  <si>
    <t>Huge, Salt &amp; Fuessel, Megaphone, Digital Movement, Alpha Digital</t>
  </si>
  <si>
    <t>https://www.sortlist.com/s/artificial-intelligence/sydney-au</t>
  </si>
  <si>
    <t>The 10 Best Artificial Intelligence Agencies in Sydney - 2026 Reviews</t>
  </si>
  <si>
    <t>Team 400</t>
  </si>
  <si>
    <t>https://www.sortlist.com/s/performance-marketing/queensland-qld-au</t>
  </si>
  <si>
    <t>The 10 Best Performance Marketing Agencies in Queensland - 2026 Reviews</t>
  </si>
  <si>
    <t>Digital Nomads HQ, Soup Agency, HERO, Measured, Earned Media, Clearwater Agency, SIXGUN, Impressive, Supple Digital, Momentum, Alpha Digital, 23 Digital</t>
  </si>
  <si>
    <t>https://www.sortlist.com/s/sm-analytics/australia-au</t>
  </si>
  <si>
    <t>The 10 Best SM Analytics Consultants in Australia - 2026 Reviews</t>
  </si>
  <si>
    <t>Measured, Earned Media, Clearwater Agency, SIXGUN, Impressive, Digital Nomads HQ</t>
  </si>
  <si>
    <t>https://www.sortlist.com/web-analytics/melbourne-au</t>
  </si>
  <si>
    <t>The 10 Best Web Analytics Agencies in Melbourne - 2026 Reviews</t>
  </si>
  <si>
    <t>Impressive, SIXGUN, 23 Digital</t>
  </si>
  <si>
    <t>https://www.techyflavors.com/2026/07/top-ai-driven-seo-agencies-in-australia.html</t>
  </si>
  <si>
    <t>Top AI-Driven SEO Agencies in Australia for Enterprise Companies</t>
  </si>
  <si>
    <t>NP Digital Australia, Zib Digital, Prosperity Media, 80/20 Digital, Safari Digital, Measured</t>
  </si>
  <si>
    <t>https://thatware.co/top-10-seo-companies-in-australia/</t>
  </si>
  <si>
    <t>Top SEO Companies in Australia | 10 Best Australia SEO Firms</t>
  </si>
  <si>
    <t>Ninja Promo, Supple Digital, Safari Digital, Digital Nomads HQ, Clearwater Agency, Gorilla 360, Measured, Zib Digital</t>
  </si>
  <si>
    <t>https://www.thehero.co/about</t>
  </si>
  <si>
    <t>ABOUT | Leading Creative &amp;amp; Brand Partner for Australia’s Best Brands and Marketing Performance HERO</t>
  </si>
  <si>
    <t>HERO, Momentum, PHD</t>
  </si>
  <si>
    <t>https://themanifest.com/au/social-media/tiktok/agencies</t>
  </si>
  <si>
    <t>The Best TikTok Advertising Companies in Australia - Jul 2026 | The Manifest</t>
  </si>
  <si>
    <t>Digital Nomads HQ, Megaphone, Soup Agency, Paradox Marketing, Emote Digital, Bench Media, Salt &amp; Fuessel, Reform Digital</t>
  </si>
  <si>
    <t>https://www.youfinddigital.com/blog/best-geo-agency-for-ai-search.html</t>
  </si>
  <si>
    <t>15 Best GEO Agencies in 2026 | Top Generative Engine Optimization Firms</t>
  </si>
  <si>
    <t>Intero Digital, First Page</t>
  </si>
  <si>
    <t>https://www.youtube.com/watch?v=3y6n2-qGxnE</t>
  </si>
  <si>
    <t>12 Best AI Digital Marketing Services in Australia | Solve Traffic &amp; Sales Problems in 2026</t>
  </si>
  <si>
    <t>https://www.youtube.com/watch?v=Mggba8bAXVU</t>
  </si>
  <si>
    <t>How Australia's Top SEO Agency Is Ranking Clients in ChatGPT | James Norquay</t>
  </si>
  <si>
    <t>Prosperity Media, Huge, HERO</t>
  </si>
  <si>
    <t>https://www.10seos.com/au/display-advertising-companies-in-australia?page=16</t>
  </si>
  <si>
    <t>https://www.10seos.com/au/display-advertising-companies-in-melbourne-australia</t>
  </si>
  <si>
    <t>Top 10 Display Advertising Companies For Best Services-Melbourne-Australia | July 2026</t>
  </si>
  <si>
    <t>eMarket Experts, Intesols</t>
  </si>
  <si>
    <t>https://6sense.com/blog/best-account-based-marketing-platforms/</t>
  </si>
  <si>
    <t>Best Account Based Marketing Platforms | 6sense</t>
  </si>
  <si>
    <t>https://aamax.co/blog/top-10-best-digital-marketing-companies-in-australia</t>
  </si>
  <si>
    <t>Top 10 Best Digital Marketing Companies in Australia</t>
  </si>
  <si>
    <t>WPP, Dentsu, Resolution Digital, Sparro, StudioHawk, Webprofits, Online Marketing Gurus</t>
  </si>
  <si>
    <t>https://www.abbacustechnologies.com/top-ecommerce-development-firms-in-sydney/</t>
  </si>
  <si>
    <t>Top Ecommerce Development Firms in Sydney</t>
  </si>
  <si>
    <t>Human Digital, Digital Nomads HQ, Luminary</t>
  </si>
  <si>
    <t>https://agencies.semrush.com/list/advertising/australia/mid-business/</t>
  </si>
  <si>
    <t>Best Advertising Agencies for Mid Business in Australia 2026 | Semrush</t>
  </si>
  <si>
    <t>Edge Marketing, DNM Digital, Supple Digital, Soup Agency, Momentum, First Page, Clearwater Agency, Measured, Earned Media, Impressive, Online Marketing Gurus, Omnicom Media Group, Click Click Media, First Page Australia</t>
  </si>
  <si>
    <t>https://agencies.semrush.com/list/ai-optimization/australia/enterprise-business/</t>
  </si>
  <si>
    <t>Best AI Search Optimization Agencies for Enterprise Business in Australia 2026 | Semrush</t>
  </si>
  <si>
    <t>https://agencies.semrush.com/list/ai-optimization/melbourne/</t>
  </si>
  <si>
    <t>Best AI Search Optimization Agencies in Melbourne 2026 | Semrush</t>
  </si>
  <si>
    <t>First Page, Clearwater Agency, Measured, Earned Media, Online Marketing Gurus, Omnicom Media Group, Edge Marketing, DNM Digital</t>
  </si>
  <si>
    <t>https://agencies.semrush.com/list/analytics-data-science/arts-entertainment/australia/</t>
  </si>
  <si>
    <t>Best Media &amp;amp; Entertainment Data Analytics Services in Australia 2026 | Semrush</t>
  </si>
  <si>
    <t>https://agencies.semrush.com/list/analytics-data-science/sydney/</t>
  </si>
  <si>
    <t>Best Data Analytics Services in Sydney 2026 | Semrush</t>
  </si>
  <si>
    <t>Soup Agency, Online Marketing Gurus, Omnicom Media Group, Click Click Media, Earned Media, Clearwater Agency, Huge, First Page, Measured, Impressive, 80/20 Digital</t>
  </si>
  <si>
    <t>https://agencies.semrush.com/list/display-advertising/business-professional-services/australia/</t>
  </si>
  <si>
    <t>Best B2B Services Display Ads Agencies in Australia 2026 | Semrush</t>
  </si>
  <si>
    <t>Soup Agency, First Page, Clearwater Agency, Measured, Earned Media, Impressive, Online Marketing Gurus, Omnicom Media Group, First Page Australia, 80/20 Digital, Megaphone, Bonfire</t>
  </si>
  <si>
    <t>https://agencies.semrush.com/list/display-advertising/canberra/</t>
  </si>
  <si>
    <t>Best Display Ads Agencies in Canberra 2026 | Semrush</t>
  </si>
  <si>
    <t>Soup Agency, First Page, Clearwater Agency, Measured, Earned Media, Impressive, Online Marketing Gurus, Omnicom Media Group, Click Click Media, First Page Australia</t>
  </si>
  <si>
    <t>https://agencies.semrush.com/list/enterprise-business/australia/</t>
  </si>
  <si>
    <t>Best Digital Marketing Agencies for Enterprise Business in Australia 2026 | Semrush</t>
  </si>
  <si>
    <t>Supple Digital, DNM Digital, Soup Agency, First Page, Clearwater Agency, Measured, Earned Media, Impressive, Online Marketing Gurus, Omnicom Media Group, Human Digital, Click Click Media, StudioHawk, First Page Australia</t>
  </si>
  <si>
    <t>https://agencies.semrush.com/list/market-analysis/australia/</t>
  </si>
  <si>
    <t>Best Market Research Companies in Australia 2026 | Semrush</t>
  </si>
  <si>
    <t>Soup Agency, First Page, Clearwater Agency, Measured, Earned Media, Impressive, Online Marketing Gurus, Omnicom Media Group, Human Digital, Click Click Media, 80/20 Digital, Salt &amp; Fuessel, Megaphone</t>
  </si>
  <si>
    <t>https://agencies.semrush.com/list/ppc/brisbane/</t>
  </si>
  <si>
    <t>Best PPC Agencies in Brisbane 2026 | Semrush</t>
  </si>
  <si>
    <t>Edge Marketing, Supple Digital, Soup Agency, Momentum, DNM Digital, First Page, Clearwater Agency, Measured, Earned Media, Impressive</t>
  </si>
  <si>
    <t>https://agencies.semrush.com/list/ppc/melbourne/</t>
  </si>
  <si>
    <t>Best PPC Agencies in Melbourne 2026 | Semrush</t>
  </si>
  <si>
    <t>Supple Digital, Soup Agency, First Page, Clearwater Agency, Measured, Earned Media, Impressive, Online Marketing Gurus, Omnicom Media Group, First Page Australia, 80/20 Digital, Salt &amp; Fuessel, Megaphone, Bonfire</t>
  </si>
  <si>
    <t>https://agencies.semrush.com/list/programmatic-advertising/australia/mid-business/</t>
  </si>
  <si>
    <t>Best Programmatic Advertising Agencies for Mid Business in Australia 2026 | Semrush</t>
  </si>
  <si>
    <t>https://agencies.semrush.com/list/programmatic-advertising/australia/small-business/</t>
  </si>
  <si>
    <t>Best Programmatic Advertising Agencies for Small Business in Australia 2026 | Semrush</t>
  </si>
  <si>
    <t>DNM Digital, Soup Agency, First Page, Impressive, Online Marketing Gurus, Omnicom Media Group, Click Click Media, 80/20 Digital, Salt &amp; Fuessel, Rocket Agency</t>
  </si>
  <si>
    <t>https://agencies.semrush.com/list/programmatic-advertising/ecommerce/australia/</t>
  </si>
  <si>
    <t>Best Ecommerce Programmatic Advertising Agencies in Australia 2026 | Semrush</t>
  </si>
  <si>
    <t>DNM Digital, Soup Agency, First Page, Impressive, Online Marketing Gurus, Omnicom Media Group, 80/20 Digital, Salt &amp; Fuessel, Bonfire, Rocket Agency, Measured</t>
  </si>
  <si>
    <t>https://agencies.semrush.com/list/programmatic-advertising/sydney/</t>
  </si>
  <si>
    <t>Best Programmatic Advertising Agencies in Sydney 2026 | Semrush</t>
  </si>
  <si>
    <t>DNM Digital, Soup Agency, Online Marketing Gurus, Omnicom Media Group, Click Click Media, Bench Media, Rocket Agency, First Page, Impressive, Measured</t>
  </si>
  <si>
    <t>https://agencies.semrush.com/list/search-engine-marketing/australia/</t>
  </si>
  <si>
    <t>Best Search Engine Marketing Companies in Australia 2026 | Semrush</t>
  </si>
  <si>
    <t>Edge Marketing, Momentum, Supple Digital, DNM Digital, Soup Agency, First Page, Clearwater Agency, Measured, Earned Media, Impressive, Online Marketing Gurus, Omnicom Media Group, Click Click Media, StudioHawk, Bench Media</t>
  </si>
  <si>
    <t>https://agencies.semrush.com/list/smm/australia/small-business/</t>
  </si>
  <si>
    <t>Best Social Media Marketing Agencies for Small Business in Australia 2026 | Semrush</t>
  </si>
  <si>
    <t>Digital Nomads HQ, DNM Digital, Soup Agency, First Page, Clearwater Agency, Measured, Earned Media, Impressive, Online Marketing Gurus, Omnicom Media Group, Click Click Media, 80/20 Digital</t>
  </si>
  <si>
    <t>https://aiims.group/services/best-seo-agency-australia/</t>
  </si>
  <si>
    <t>Best SEO Agency Australia | Award-Winning Digital Marketing Agency | AIIMS Group</t>
  </si>
  <si>
    <t>Huge, AdVisible</t>
  </si>
  <si>
    <t>Deloitte, Impressive</t>
  </si>
  <si>
    <t>https://arc.dev/employer-blog/social-media-agencies/</t>
  </si>
  <si>
    <t>Top 22 Social Media Agencies for Tech Companies in 2025</t>
  </si>
  <si>
    <t>Momentum, KPMG, Online Marketing Gurus, Omnicom Media Group, Power Digital, Impressive, Soup Agency</t>
  </si>
  <si>
    <t>https://bestanswerengineoptimizationservices.com/</t>
  </si>
  <si>
    <t>Best Answer Engine Optimization Services - Best Answer Engine Optimization Services</t>
  </si>
  <si>
    <t>https://bestgeoagency.com.au/guides/8-best-geo-agencies-for-b2b-and-expert-led-companies/</t>
  </si>
  <si>
    <t>8 Best GEO Agencies for B2B and Expert-Led Companies | Best GEO Agency</t>
  </si>
  <si>
    <t>Prosperity Media, Online Marketing Gurus, StudioHawk, Reload Media, King Kong, Luminary, Momentum</t>
  </si>
  <si>
    <t>https://www.bushletter.com/best-digital-marketing-media-buying-agencies-australia-2026/</t>
  </si>
  <si>
    <t>Best Digital Marketing &amp;amp; Media Buying Agencies 2026</t>
  </si>
  <si>
    <t>Bushnote, Sparro, Measured, King Kong, Resolution Digital, Webprofits</t>
  </si>
  <si>
    <t>https://business.adobe.com/au/blog/basics/marketing-attribution</t>
  </si>
  <si>
    <t>https://www.businessage.com/post/6-best-ai-native-seo-agencies-in-melbourne-that-optimise-for-geo-and-aeo#:~:text=%23%20The%206%20best%20AI%20SEO%20agencies,AI%2Dassisted%2C%20delivery%2Dfocused%20%7C%20Enterprise%20technical%20SEO%20depth</t>
  </si>
  <si>
    <t>6 Best AI-Native SEO Agencies in Melbourne That Optimise for GEO and AEO</t>
  </si>
  <si>
    <t>Intesols, Clearwater Agency</t>
  </si>
  <si>
    <t>https://calypsodesigns.com.au/top-10-google-ads-management-agencies-in-australia-a-2026/</t>
  </si>
  <si>
    <t>Top 10 Google Ads Management Agencies in Australia: A 2026 Complete Guide – Calypso Designs</t>
  </si>
  <si>
    <t>https://campaignbrief.com/bestads-rankings-which-are-the-top-australian-ad-agencies-and-clients-of-the-decade/</t>
  </si>
  <si>
    <t>Bestads Rankings: Which are the Top Australian ad agencies and clients of the decade? – Campaign Brief</t>
  </si>
  <si>
    <t>Clemenger BBDO, The Monkeys, BMF</t>
  </si>
  <si>
    <t>https://campaignbrief.com/in-marketing-we-trust-joins-top-1-of-google-agency-partners-in-australia/</t>
  </si>
  <si>
    <t>In Marketing We Trust joins Top 1% of Google Agency Partners in Australia – Campaign Brief</t>
  </si>
  <si>
    <t>https://cantydigital.com.au/top-10-australian-amazon-marketing-agencies/</t>
  </si>
  <si>
    <t>Top 10 Australian Amazon Marketing Agencies | Canty Digital</t>
  </si>
  <si>
    <t>Megaphone, Clearwater Agency, Soup Agency, Digital Nomads HQ</t>
  </si>
  <si>
    <t>https://clickclickbangbang.com.au/best-google-ads-manager/</t>
  </si>
  <si>
    <t>7 Best Google Ads Managers in Australia for 2026</t>
  </si>
  <si>
    <t>Sparro, Brainlabs, WebSavvy, Rocket Agency, Reload Media, Online Marketing Gurus, Omnicom Media Group, Megaphone</t>
  </si>
  <si>
    <t>EvenDigit, Ninja Promo, Impressive, Intesols, Soup Agency, Salt &amp; Fuessel</t>
  </si>
  <si>
    <t>https://clutch.co/au/agencies/branding</t>
  </si>
  <si>
    <t>Top Branding Agencies in Australia - Jul 2026 Rankings \| Clutch.co</t>
  </si>
  <si>
    <t>Chello, CUT THRU, 80/20 Digital, Alley Group, Impressive, Rocket Agency</t>
  </si>
  <si>
    <t>https://clutch.co/au/agencies/media-buying/sydney</t>
  </si>
  <si>
    <t>Top Media Buying Agencies in Sydney - Jul 2026 Rankings | Clutch.co</t>
  </si>
  <si>
    <t>Impressive, Momentum, Soup Agency, DNM Digital, Bench Media</t>
  </si>
  <si>
    <t>https://clutch.co/au/agencies/media-buying?page=2</t>
  </si>
  <si>
    <t>Page 2 - Top Media Buying Agencies in Australia - Jul 2026 Rankings \| Clutch.co</t>
  </si>
  <si>
    <t>https://clutch.co/au/agencies/ppc/brisbane</t>
  </si>
  <si>
    <t>Top PPC Agencies in Brisbane - Jul 2026 Rankings | Clutch.co</t>
  </si>
  <si>
    <t>Soup Agency, Farsiight, Impressive, MyWork, Supple Digital, Digital Nomads HQ, Edge Marketing, Megaphone, Alpha Digital, Growth Digital</t>
  </si>
  <si>
    <t>https://clutch.co/au/agencies/ppc/google-adwords/sydney</t>
  </si>
  <si>
    <t>Top Adwords PPC Agencies in Sydney - Jul 2026 Rankings \| Clutch.co</t>
  </si>
  <si>
    <t>Human Digital, Soup Agency, Supple Digital, Digital Nomads HQ, Rocket Agency, DNM Digital, Impressive, Megaphone, Online Marketing Gurus, Marketix Digital, Insil, Sparro, AdVisible, Click Click Media</t>
  </si>
  <si>
    <t>https://clutch.co/au/agencies/ppc/melbourne</t>
  </si>
  <si>
    <t>Top PPC Agencies in Melbourne - Jul 2026 Rankings \| Clutch.co</t>
  </si>
  <si>
    <t>EvenDigit, SIXGUN, Intesols, Impressive, Emote Digital, 80/20 Digital, Supple Digital, Alley Group, Soup Agency, Salt &amp; Fuessel, Digital Nomads HQ, Clearwater Agency, Megaphone, Reform Digital</t>
  </si>
  <si>
    <t>https://clutch.co/au/agencies/ppc?page=2</t>
  </si>
  <si>
    <t>Page 2 - Top PPC Agencies in Australia - Jul 2026 Rankings | Clutch.co</t>
  </si>
  <si>
    <t>Soup Agency, Impressive, Insil, Reform Digital, AdVisible, Megaphone, Digital Nomads HQ, Farsiight, SIXGUN, Human Digital, Paradox Marketing, Rocket Agency, Online Marketing Gurus, Intesols, MyWork, Emote Digital, Clearwater Agency, Salt &amp; Fuessel, 80/20 Digital, Marketix Digital</t>
  </si>
  <si>
    <t>https://clutch.co/au/agencies/programmatic/sydney</t>
  </si>
  <si>
    <t>Top Programmatic Advertising Agencies in Sydney - Jul 2026 Rankings | Clutch.co</t>
  </si>
  <si>
    <t>Soup Agency, DNM Digital, In Marketing We Trust, Bench Media, Impressive</t>
  </si>
  <si>
    <t>https://clutch.co/au/agencies/seo/technical</t>
  </si>
  <si>
    <t>Top Technical SEO Agencies in Australia - Jul 2026 Rankings | Clutch.co</t>
  </si>
  <si>
    <t>Intesols, Impressive, StudioHawk, Soup Agency, Luminary, Emote Digital, Salt &amp; Fuessel, EvenDigit, First Page, DNM Digital, Edge Marketing, In Marketing We Trust, eMarket Experts, Marketix Digital, Megaphone, Paradox Marketing, Prosperity Media</t>
  </si>
  <si>
    <t>https://clutch.co/au/agencies/social-media-marketing/facebook/sydney</t>
  </si>
  <si>
    <t>Top Facebook Advertising Agencies in Sydney - Jul 2026 Rankings \| Clutch.co</t>
  </si>
  <si>
    <t>Soup Agency, Human Digital, Digital Nomads HQ, Rocket Agency, DNM Digital, Impressive, Megaphone, Online Marketing Gurus, Omnicom Media Group, Bench Media, Insil, Huge, AdVisible</t>
  </si>
  <si>
    <t>https://clutch.co/au/agencies/social-media-marketing/facebook?page=6</t>
  </si>
  <si>
    <t>Page 6 - Top Facebook Advertising Agencies in Australia - Jul 2026 Rankings \| Clutch.co</t>
  </si>
  <si>
    <t>Digital Nomads HQ, SIXGUN, Intesols, Farsiight, Soup Agency, Emote Digital, Impressive, Human Digital, Megaphone, Online Marketing Gurus, Paradox Marketing, Rocket Agency, Bench Media, Insil, Clearwater Agency, Salt &amp; Fuessel</t>
  </si>
  <si>
    <t>https://clutch.co/au/agencies/social-media-marketing/tik-tok/melbourne</t>
  </si>
  <si>
    <t>Top TikTok Advertising Agencies in Melbourne - Jul 2026 Rankings | Clutch.co</t>
  </si>
  <si>
    <t>Impressive, Emote Digital, Salt &amp; Fuessel, Digital Nomads HQ, Megaphone, Reform Digital, Eight Clients</t>
  </si>
  <si>
    <t>https://clutch.co/au/agencies/social-media-marketing/tik-tok/sydney</t>
  </si>
  <si>
    <t>Top TikTok Advertising Agencies in Sydney - Jul 2026 Rankings | Clutch.co</t>
  </si>
  <si>
    <t>Soup Agency, Impressive, Digital Nomads HQ, Megaphone, Bench Media, Eight Clients</t>
  </si>
  <si>
    <t>https://clutch.co/au/agencies/social-media-marketing/tik-tok?page=2</t>
  </si>
  <si>
    <t>Page 2 - Top TikTok Advertising Agencies in Australia - Jul 2026 Rankings | Clutch.co</t>
  </si>
  <si>
    <t>Impressive, Digital Nomads HQ, Megaphone, Soup Agency, Paradox Marketing, Emote Digital, Bench Media, Salt &amp; Fuessel, Reform Digital</t>
  </si>
  <si>
    <t>https://clutch.co/au/agencies?page=7</t>
  </si>
  <si>
    <t>Page 7 - Top Advertising Agencies in Australia - Jul 2026 Rankings | Clutch.co</t>
  </si>
  <si>
    <t>Version2, Impressive, weDiscover, Ninja Promo, Loud Days, Chello, Human Digital, Soup Agency, Bench Media, Farsiight, Insil, DNM Digital</t>
  </si>
  <si>
    <t>https://www.cometly.com/post/multi-touch-attribution-platform</t>
  </si>
  <si>
    <t>9 Best Multi Touch Attribution Platforms 2026 Guide</t>
  </si>
  <si>
    <t>https://conquerradigital.com.au/top-9-programmatic-ads-agencies-in-adelaide/</t>
  </si>
  <si>
    <t>Top 9 Programmatic Ads Agencies In Adelaide | Conquerra Digital</t>
  </si>
  <si>
    <t>OMD, Momentum</t>
  </si>
  <si>
    <t>https://www.dailybulletin.com.au/news/technology/96125-best-australian-agencies-for-content-that-ranks-in-ai</t>
  </si>
  <si>
    <t>Best Australian Agencies for Content that Ranks in AI</t>
  </si>
  <si>
    <t>NP Digital Australia, Prosperity Media, Impressive, Rocket Agency, Clearwater Agency, Webprofits, Emote Digital, Soup Agency, Safari Digital, Measured</t>
  </si>
  <si>
    <t>Tinuiti, Power Digital, Impressive</t>
  </si>
  <si>
    <t>https://designmagazine.com.au/best-australian-design-studios/</t>
  </si>
  <si>
    <t>Best Australian Design Studios 2026: An Editorial Roundup</t>
  </si>
  <si>
    <t>Hulsbosch, CUT THRU</t>
  </si>
  <si>
    <t>https://www.designrush.com/agency/conversion-optimization/au</t>
  </si>
  <si>
    <t>Top Conversion Rate Optimization Services in Australia | 2026</t>
  </si>
  <si>
    <t>Impressive, Deloitte, eMarket Experts, SIXGUN, In Marketing We Trust, Luminary, Soup Agency, Growth Digital, Digitxl</t>
  </si>
  <si>
    <t>https://www.designrush.com/agency/paid-media-pay-per-click/au</t>
  </si>
  <si>
    <t>Top PPC Services in Australia | 2026</t>
  </si>
  <si>
    <t>Impressive, Supple Digital, eMarket Experts, Online Marketing Gurus, SIXGUN, Digital Nomads HQ, Soup Agency, 80/20 Digital</t>
  </si>
  <si>
    <t>https://www.designrush.com/agency/paid-media-pay-per-click/google-adwords/au</t>
  </si>
  <si>
    <t>Top Google Ads Agencies in Australia | 2026</t>
  </si>
  <si>
    <t>Impressive, Supple Digital, eMarket Experts, Online Marketing Gurus, SIXGUN, Digital Nomads HQ</t>
  </si>
  <si>
    <t>https://www.designrush.com/agency/search-engine-optimization/au</t>
  </si>
  <si>
    <t>Top SEO Agencies in Australia | 2026</t>
  </si>
  <si>
    <t>Impressive, First Page, First Page Australia, Supple Digital, eMarket Experts, Online Marketing Gurus, SIXGUN, UR Digital, Digital Nomads HQ, Saatchi &amp; Saatchi</t>
  </si>
  <si>
    <t>https://digitalagencynetwork.com/agencies/australia/creative/page/4/</t>
  </si>
  <si>
    <t>Best Creative Agencies in Australia</t>
  </si>
  <si>
    <t>https://digitalagencynetwork.com/agencies/sydney/</t>
  </si>
  <si>
    <t>Best Digital Marketing Agencies in Sydney (2026)</t>
  </si>
  <si>
    <t>Luminary, Supple Digital, Jaywing, In Marketing We Trust, Digital Nomads HQ, Soup Agency, Emote Digital, Human Digital, Online Marketing Gurus, Insil, Zib Digital, Bench Media, AdVisible</t>
  </si>
  <si>
    <t>https://digitaldigest.au/social-media-marketing-companies/</t>
  </si>
  <si>
    <t>15 Best Social Media Marketing Companies in Australia 2025</t>
  </si>
  <si>
    <t>Digital Nomads HQ, Online Marketing Gurus, Omnicom Media Group, Impressive, Soup Agency, Megaphone, Farsiight, Paradox Marketing, Emote Digital, Rocket Agency, Clearwater Agency</t>
  </si>
  <si>
    <t>Impressive, Ninja Promo</t>
  </si>
  <si>
    <t>https://digitalmarketingsupermarket.com/blog/best-ai-marketing-agencies-2026/</t>
  </si>
  <si>
    <t>Best AI Marketing Agencies: The Definitive 2026 Guide to Finding Your Perfect Partner - Digital Marketing Supermarket</t>
  </si>
  <si>
    <t>https://edisonai.au/insights/top-ai-implementation-agencies-australia</t>
  </si>
  <si>
    <t>Top 7 AI Implementation Agencies in Australia (2026) \| Edison AI</t>
  </si>
  <si>
    <t>https://elioplus.com/asia-pacific/australia/victoria/melbourne/channel-partners/google</t>
  </si>
  <si>
    <t>Best Google partners &amp; resellers in Melbourne \| Elioplus</t>
  </si>
  <si>
    <t>https://fixnhour.com/companies/social-media-marketing-agencies/australia</t>
  </si>
  <si>
    <t>Top Social Media Marketing Agencies in Australia | Best SMM Services 2026 | July 2026 Rankings</t>
  </si>
  <si>
    <t>https://www.formulate.com.au/articles/top-seven-seo-agencies-in-melbourne/</t>
  </si>
  <si>
    <t>Top Seven SEO Agencies in Melbourne &amp;#8211; Formulate Design Blog</t>
  </si>
  <si>
    <t>Alley Group, Prosperity Media, Luminary, First Page</t>
  </si>
  <si>
    <t>https://geooptimisation.com.au/best-geo-agencies-australia-2026/</t>
  </si>
  <si>
    <t>Best GEO Agencies in Australia 2026: An Honest Comparison | GEO Optimisation Australia</t>
  </si>
  <si>
    <t>Luminary, Prosperity Media, Rocket Agency, First Page</t>
  </si>
  <si>
    <t>https://www.goodfirms.co/advertising-companies/creative/melbourne</t>
  </si>
  <si>
    <t>Top Creative Agencies in Melbourne - 2026 Reviews | Goodfirms</t>
  </si>
  <si>
    <t>Uprise Digital, Omnicom Media Group, Digital Movement</t>
  </si>
  <si>
    <t>Impressive, Team 400</t>
  </si>
  <si>
    <t>https://www.goodfirms.co/artificial-intelligence/sydney</t>
  </si>
  <si>
    <t>Top Artificial Intelligence Companies in Sydney - 2026 Reviews | Goodfirms</t>
  </si>
  <si>
    <t>Team 400, Impressive, Get AI Ready</t>
  </si>
  <si>
    <t>https://www.goodfirms.co/directory/city/top-digital-marketing-companies/advertising-ppc/brisbane</t>
  </si>
  <si>
    <t>Top PPC Agencies in Brisbane - 2026 Reviews | Goodfirms</t>
  </si>
  <si>
    <t>Farsiight, First Page</t>
  </si>
  <si>
    <t>https://www.goodfirms.co/directory/city/top-digital-marketing-companies/media-planning-buying/sydney</t>
  </si>
  <si>
    <t>Top Media Buying Agencies in Sydney - 2026 Reviews | Goodfirms</t>
  </si>
  <si>
    <t>Bench Media, Soup Agency, AdVisible, Impressive, CUT THRU</t>
  </si>
  <si>
    <t>Loves Data</t>
  </si>
  <si>
    <t>https://hikemytraffic.com/ai-digital-marketing-companies-in-australia/</t>
  </si>
  <si>
    <t>Top 10 AI Digital Marketing Companies in Australia 2026</t>
  </si>
  <si>
    <t>https://www.hirewithnear.com/blog/graphic-designer-recruitment-agencies</t>
  </si>
  <si>
    <t>Graphic Design Recruitment Agency: 10 Top Picks for 2026</t>
  </si>
  <si>
    <t>https://homerdigitalmarketing.com/instagram-ads-agency/</t>
  </si>
  <si>
    <t>12 Best Instagram Ads Agencies in Australia (2026 Guide)</t>
  </si>
  <si>
    <t>Megaphone, Impressive, Online Marketing Gurus, Omnicom Media Group, Rocket Agency, Alpha Digital, Clearwater Agency, WebSavvy, Sparro, Brainlabs, Metric Labs, Click Click Media</t>
  </si>
  <si>
    <t>https://homerdigitalmarketing.com/lead-gen-agency/</t>
  </si>
  <si>
    <t>6 Best Lead Gen Agencies in Australia for Service Businesses (2026 Guide)</t>
  </si>
  <si>
    <t>King Kong</t>
  </si>
  <si>
    <t>https://www.i4s.au/best-ppc-agency-in-2025/</t>
  </si>
  <si>
    <t>Best PPC Agency in 2025| I4S</t>
  </si>
  <si>
    <t>Impressive, WebSavvy, Online Marketing Gurus, Omnicom Media Group, Reload Media</t>
  </si>
  <si>
    <t>https://ichelonconsulting.com/aeo-agency-australia</t>
  </si>
  <si>
    <t>Best AEO Agency in Australia · Healthcare-Only · ICG</t>
  </si>
  <si>
    <t>https://www.influencer-hero.com/agencies/best-influencer-marketing-agencies-australia</t>
  </si>
  <si>
    <t>Best Influencer Marketing Agencies in Australia</t>
  </si>
  <si>
    <t>HERO, Emote Digital, Earned Media</t>
  </si>
  <si>
    <t>https://influencermarketinghub.com/digital-marketing-agency-australia/</t>
  </si>
  <si>
    <t>Top 13 Digital Marketing Agencies in Australia</t>
  </si>
  <si>
    <t>Reef Digital Agency, Edge Marketing, AdVisible, Clearwater Agency, Insil</t>
  </si>
  <si>
    <t>https://intelligentresourcing.co/blogs/top-gtm-engineering-agencies-australia</t>
  </si>
  <si>
    <t>Top GTM Engineering Agencies in Australia 2026</t>
  </si>
  <si>
    <t>Intelligent Resourcing, Measured</t>
  </si>
  <si>
    <t>https://www.interteammarketing.com/blog/best-b2b-ppc-agencies</t>
  </si>
  <si>
    <t>10 Best B2B PPC Agencies for High-Growth Companies [2026]</t>
  </si>
  <si>
    <t>https://invademarketing.com/top-rated-digital-marketing-agencies-australia/</t>
  </si>
  <si>
    <t>Top-Rated Digital Marketing Agencies Australia | Grow Online</t>
  </si>
  <si>
    <t>https://kamexa.ai/top-5-ai-agencies-in-queensland-2025-kamexa-leads-brisbane-gold-coast/</t>
  </si>
  <si>
    <t>Top 5 AI Agencies in Queensland 2025: Kamexa Leads Brisbane &amp;amp; Gold Coast - Kamexa AI</t>
  </si>
  <si>
    <t>https://kersai.com/best-ai-companies-in-australia-for-business-transformation/</t>
  </si>
  <si>
    <t>Best AI Companies in Australia for Business Transformation | KERSAI</t>
  </si>
  <si>
    <t>https://lengreo.com/australia-adelaide-aeo-geo-llmo-companies/</t>
  </si>
  <si>
    <t>Top 5 AEO, LLMO and GEO Companies in Adelaide, Australia (2026)</t>
  </si>
  <si>
    <t>https://lengreo.com/australia-melbourne-aeo-geo-llmo-companies/</t>
  </si>
  <si>
    <t>Top 7 AEO, GEO &amp;amp; LLMO Companies in Melbourne, Australia (2026)</t>
  </si>
  <si>
    <t>Predicta Digital, Luminary, Salt &amp; Fuessel</t>
  </si>
  <si>
    <t>https://www.lightningventures.com.au/ai-agency/sydney/#:~:text=Top%20AI%20Agency%20in%20Sydney.%20Lightning%20Ventures,build%20for%20Sydney%20businesses%20%2D%20AI%20Integration.</t>
  </si>
  <si>
    <t>Top AI Agency in Sydney | Lightning Ventures</t>
  </si>
  <si>
    <t>https://www.marketingattributionsoftware.com/</t>
  </si>
  <si>
    <t>Best Marketing Attribution Software 2026 — Full Comparison of 18 Tools</t>
  </si>
  <si>
    <t>https://marketingcosmos.com/agencies/data-analytics/sydney</t>
  </si>
  <si>
    <t>TOP Data Analytics Companies in Sydney - Marketing Cosmos</t>
  </si>
  <si>
    <t>Bonfire, Metric Labs</t>
  </si>
  <si>
    <t>https://marketingcosmos.com/agencies/display-ads/perth</t>
  </si>
  <si>
    <t>TOP Display Ads Companies in Perth - Marketing Cosmos</t>
  </si>
  <si>
    <t>https://www.mayple.com/resources/paid-advertising/ppc-agencies-australia</t>
  </si>
  <si>
    <t>Top 6 PPC Agencies in Australia to Hire in 2026</t>
  </si>
  <si>
    <t>https://mediaplusdigital.co/au/best-social-media-marketing-agencies-in-australia/</t>
  </si>
  <si>
    <t>10 Best Social Media Marketing Agencies in Australia (2026 Guide) - MPD Australia</t>
  </si>
  <si>
    <t>King Kong, Reload Media</t>
  </si>
  <si>
    <t>https://mediaplusdigital.co/au/digital-marketing-agencies-in-australia/</t>
  </si>
  <si>
    <t>Top 10 Digital Marketing Agencies in Australia (2026 Guide) - MPD Australia</t>
  </si>
  <si>
    <t>Online Marketing Gurus, Supple Digital, First Page, First Page Australia, Megaphone, Clearwater Agency, Impressive, Digital Nomads HQ</t>
  </si>
  <si>
    <t>https://mentionfirst.ai/what-are-the-best-ai-seo-companies-in-australia-and-how-to-choose-one/</t>
  </si>
  <si>
    <t>What are the best AI SEO companies in Australia and how to choose one? - Mention First AI</t>
  </si>
  <si>
    <t>PK SEO, StudioHawk, Supple Digital</t>
  </si>
  <si>
    <t>https://www.mida.so/cro-agency/country/australia#:~:text=Their%20focus%20on%20thorough%20upfront,Perth%2C%20Australia</t>
  </si>
  <si>
    <t>Top 8 CRO Agencies in Australia (2026) | Mida</t>
  </si>
  <si>
    <t>Croud, Saatchi &amp; Saatchi, VML, Mindshare, WPP, Earned Media, Dentsu, Publicis Groupe, Accenture Song, Deloitte Digital, Deloitte, KPMG</t>
  </si>
  <si>
    <t>https://noirandblanco.com/best-digital-marketing-agencies-in-melbourne/</t>
  </si>
  <si>
    <t>11 Best Digital Marketing Agencies in Melbourne</t>
  </si>
  <si>
    <t>Supple Digital, Alley Group, 80/20 Digital, Earned Media, First Page, Soup Agency</t>
  </si>
  <si>
    <t>https://www.optimising.com.au/blog/5-best-seo-agencies-in-sydney</t>
  </si>
  <si>
    <t>The 5 Best SEO Agencies in Sydney | Optimising</t>
  </si>
  <si>
    <t>https://peertopeermarketing.co/performance-agencies/</t>
  </si>
  <si>
    <t>18 Best Performance Marketing Agencies to Boost Your ROI [2026]</t>
  </si>
  <si>
    <t>Huge, Dentsu, GroupM, WPP</t>
  </si>
  <si>
    <t>https://pimms.io/blog/top-10-marketing-attribution-tools-you-need-in-2025</t>
  </si>
  <si>
    <t>Best Marketing Attribution Tools 2025: ROI Tracking &amp;amp; Analytics</t>
  </si>
  <si>
    <t>https://www.reddit.com/r/AIConsultingAustralia/comments/1r3gb5b/who_are_the_top_ai_consulting_companies_in/</t>
  </si>
  <si>
    <t>Who are the top AI Consulting Companies in Australia?</t>
  </si>
  <si>
    <t>Team 400, Get AI Ready, Impressive</t>
  </si>
  <si>
    <t>https://www.reddit.com/r/AskMarketing/comments/1r6neq7/i_run_one_of_australias_top_20_digital_agencies/</t>
  </si>
  <si>
    <t>I run one of Australia's top 20 digital agencies, and I think the model is broken for SMB's</t>
  </si>
  <si>
    <t>https://www.reddit.com/r/BestInAustralia/comments/1pun446/7_best_seo_agencies_in_melbourne_2026_guide/</t>
  </si>
  <si>
    <t>7 Best SEO Agencies in Melbourne (2026 Guide)</t>
  </si>
  <si>
    <t>Impressive, Talons Marketing, StudioHawk, SIXGUN, Supple Digital, Measured, Online Marketing Gurus, Omnicom Media Group</t>
  </si>
  <si>
    <t>https://www.reddit.com/r/BestInAustralia/comments/1s8fbyv/best_seo_company_in_melbourne_april_2026/</t>
  </si>
  <si>
    <t>Best SEO Company In Melbourne April 2026</t>
  </si>
  <si>
    <t>StudioHawk, Supple Digital, Bonfire, Clearwater Agency, SIXGUN, Earned Media, Measured, Talons Marketing</t>
  </si>
  <si>
    <t>https://www.reddit.com/r/BestInAustralia/comments/1tghlmb/5_best_seo_agencies_in_southbank_2026/</t>
  </si>
  <si>
    <t>5 Best SEO Agencies in Southbank 2026</t>
  </si>
  <si>
    <t>Talons Marketing, StudioHawk, Clearwater Agency, Online Marketing Gurus, Impressive</t>
  </si>
  <si>
    <t>https://riseuplabs.com/top-web-design-agencies-in-australia/</t>
  </si>
  <si>
    <t>Top Web Design Agencies in Australia (2026): Best Companies, Reviews, &amp;amp; Expert Guide - Riseup Labs</t>
  </si>
  <si>
    <t>Emote Digital, Digital Nomads HQ, Sparro</t>
  </si>
  <si>
    <t>https://roi.com.au/know-how/challenges/roi-profitability/what-analytics-platforms-work-best</t>
  </si>
  <si>
    <t>What analytics platforms work best | AI Marketing Agency Australia | roi.com.au</t>
  </si>
  <si>
    <t>https://www.salesforce.com/au/marketing/ai/best-ai-marketing-tools/</t>
  </si>
  <si>
    <t>20 Best AI Marketing Tools in 2026 \| Salesforce AU</t>
  </si>
  <si>
    <t>https://shokeproductions.com/Post/top-marketing-agencies-in-australia-for-tech-and-ai</t>
  </si>
  <si>
    <t>Top Marketing Agencies in Australia for Tech and AI by Shoke Productions</t>
  </si>
  <si>
    <t>https://shuffledigital.com.au/best-seo-agencies-in-australia/</t>
  </si>
  <si>
    <t>Best SEO Agencies in Australia by Shuffle [Updated 2026]</t>
  </si>
  <si>
    <t>Prosperity Media, Alley Group, StudioHawk</t>
  </si>
  <si>
    <t>VML, Impressive</t>
  </si>
  <si>
    <t>https://www.smartinc.com/</t>
  </si>
  <si>
    <t>SMART | A Smarter Strategic and Creative Agency | Sydney, Melbourne, Brisbane | Top Ad Talent For Best Advertising Results</t>
  </si>
  <si>
    <t>https://socialchameleon.com/top-30-marketing-agencies-australia-2/</t>
  </si>
  <si>
    <t>Top 30 Marketing Agencies in Australia | Social Chameleon Marketing</t>
  </si>
  <si>
    <t>Impressive, Online Marketing Gurus, Farsiight, Digital Nomads HQ, Saatchi &amp; Saatchi, Luminary, Emote Digital, Rocket Agency, Paradox Marketing, Huge</t>
  </si>
  <si>
    <t>https://www.sortlist.com/digital-marketing/australia-au?custom=advertising%2Caustralia-au</t>
  </si>
  <si>
    <t>https://www.sortlist.com/marketing-communication</t>
  </si>
  <si>
    <t>The 100 Best Marketing Communication Agencies - 2026 Reviews</t>
  </si>
  <si>
    <t>https://www.sortlist.com/s/display-advertising/new-south-wales-nsw-au</t>
  </si>
  <si>
    <t>The 10 Best Display Advertising Agencies in New South Wales - 2026 Reviews</t>
  </si>
  <si>
    <t>Impressive, Supple Digital, CUT THRU, Measured, Earned Media, Clearwater Agency, SIXGUN, Ninja Promo, Momentum, Soup Agency, HERO, Digital Nomads HQ</t>
  </si>
  <si>
    <t>https://www.sortlist.com/s/display-advertising/sydney-au</t>
  </si>
  <si>
    <t>The 10 Best Display Advertising Agencies in Sydney - 2026 Reviews</t>
  </si>
  <si>
    <t>Impressive, Supple Digital, Measured, Earned Media, Clearwater Agency, SIXGUN, Ninja Promo, Momentum, Soup Agency, HERO, Digital Nomads HQ, AdVisible, Alpha Digital</t>
  </si>
  <si>
    <t>https://www.sortlist.com/s/display-advertising/western-australia-wa-au</t>
  </si>
  <si>
    <t>Clearwater Agency, Measured, Earned Media, Supple Digital, Impressive, SIXGUN, Soup Agency, HERO, Digital Nomads HQ, Momentum, CUT THRU</t>
  </si>
  <si>
    <t>https://www.sortlist.com/s/linkedin-advertising/australia-au</t>
  </si>
  <si>
    <t>The 10 Best LinkedIn Ads Agencies in Australia - 2026 Reviews</t>
  </si>
  <si>
    <t>SIXGUN, Impressive, Ninja Promo, AdVisible, 23 Digital</t>
  </si>
  <si>
    <t>https://www.sortlist.com/s/paid-media/victoria-vic-au</t>
  </si>
  <si>
    <t>The 10 Best Paid Media Agencies in Victoria - 2026 Reviews</t>
  </si>
  <si>
    <t>Measured, Earned Media, Clearwater Agency, Impressive, SIXGUN, Supple Digital, Momentum, 80/20 Digital</t>
  </si>
  <si>
    <t>https://www.sortlist.com/s/performance-marketing/victoria-vic-au</t>
  </si>
  <si>
    <t>The 10 Best Performance Marketing Agencies in Victoria - 2026 Reviews</t>
  </si>
  <si>
    <t>Measured, Earned Media, Clearwater Agency, SIXGUN, Impressive, Supple Digital, Momentum, 80/20 Digital, Adcore Elite</t>
  </si>
  <si>
    <t>https://www.sortlist.com/s/performance-marketing/western-australia-wa-au</t>
  </si>
  <si>
    <t>The 10 Best Performance Marketing Agencies in Western Australia - 2026 Reviews</t>
  </si>
  <si>
    <t>Measured, Earned Media, Clearwater Agency, SIXGUN, Impressive, Supple Digital, Momentum, Digital Nomads HQ, Soup Agency, HERO, Alpha Digital, 23 Digital</t>
  </si>
  <si>
    <t>https://www.sortlist.com/s/programmatic-advertising/sydney-au</t>
  </si>
  <si>
    <t>The 10 Best Programmatic Advertising Companies in Sydney - 2026 Reviews</t>
  </si>
  <si>
    <t>Impressive, Supple Digital, Measured, Earned Media, Clearwater Agency, SIXGUN, Soup Agency, HERO, Digital Nomads HQ</t>
  </si>
  <si>
    <t>https://www.sortlist.com/s/tiktok-advertising/australia-au</t>
  </si>
  <si>
    <t>The 10 Best TikTok Advertising Agencies in Australia - 2026 Reviews</t>
  </si>
  <si>
    <t>Soup Agency, HERO, Adcore Elite, 23 Digital</t>
  </si>
  <si>
    <t>https://www.sortlist.com/web-analytics/australia-au</t>
  </si>
  <si>
    <t>The 10 Best Web Analytics Agencies in Australia - 2026 Reviews</t>
  </si>
  <si>
    <t>Impressive, SIXGUN</t>
  </si>
  <si>
    <t>https://sotatek.com.au/blogs/ai-solutions-in-australia/</t>
  </si>
  <si>
    <t>Top 5 Best Providers for AI Solutions in Australia</t>
  </si>
  <si>
    <t>https://stackdigital.com.au/top-5-ai-seo-agencies-in-australia-2025-rankings/</t>
  </si>
  <si>
    <t>Top 7 AI SEO Agencies in Australia (2025 Rankings) – Modern Digital Marketing Agency</t>
  </si>
  <si>
    <t>https://stratabeat.com/best-geo-agency/</t>
  </si>
  <si>
    <t>First Page, Impressive, Earned Media</t>
  </si>
  <si>
    <t>Tinuiti, Brainlabs, PMG</t>
  </si>
  <si>
    <t>https://techtalkradio.com.au/top-australian-ppc-agencies-pricing-results-and-quality/</t>
  </si>
  <si>
    <t>Top Australian PPC Agencies: Pricing, Results and Quality – Tech Talk Radio</t>
  </si>
  <si>
    <t>https://www.theardor.com.au/best-seo-companies-in-australia/</t>
  </si>
  <si>
    <t>15 Best SEO Companies in Australia (2026 Ranked &amp;amp; Reviewed)</t>
  </si>
  <si>
    <t>Ninja Promo, First Page, Digital Nomads HQ, Clearwater Agency, StudioHawk, SIXGUN, Online Marketing Gurus, Gorilla 360, Supple Digital, Omnicom Media Group</t>
  </si>
  <si>
    <t>https://www.theardor.com.au/top-pr-agencies/</t>
  </si>
  <si>
    <t>16 Top PR Agencies Australia | Trusted Public Relations Firm</t>
  </si>
  <si>
    <t>Earned Media, Impressive, Momentum</t>
  </si>
  <si>
    <t>https://www.thehero.co/news/advertising-marketings-best-agencies-top-sydney-2026-mumbrella-awards-list</t>
  </si>
  <si>
    <t>Advertising &amp;amp; Marketing’s Best Agencies In Sydney Top 2026 Mumbrella Awards List</t>
  </si>
  <si>
    <t>https://www.thehero.co/news/sydneys-top-ad-agencies-and-the-best-sydney-creative-agency-for-2026</t>
  </si>
  <si>
    <t>Sydney's Top Ad Agencies and The Best Sydney Creative Agency for 2026</t>
  </si>
  <si>
    <t>https://www.thehero.co/news/top-10-best-ad-agency-in-sydney-leading-australia-at-wina-2026</t>
  </si>
  <si>
    <t>HERO Wins Best Sydney Creative Ad Agency at Global WINA Awards for Top Result in Australian History</t>
  </si>
  <si>
    <t>HERO, Huge, Measured, Momentum</t>
  </si>
  <si>
    <t>https://www.thehero.co/services-creative-performance-ai</t>
  </si>
  <si>
    <t>Australia's Best Creative, Performance &amp;amp; Top AI Innovation Agency | HERO</t>
  </si>
  <si>
    <t>HERO, Earned Media</t>
  </si>
  <si>
    <t>https://www.thehypesociety.com.au/#:~:text=Australia's%20Best%20Performance%20Creative%20Agency,Our%20strategies%20incorporate%20the</t>
  </si>
  <si>
    <t>Top Creative Agency in Melbourne 2026 | TheHypeSociety</t>
  </si>
  <si>
    <t>https://themanifest.com/au/programmatic/agencies/sydney</t>
  </si>
  <si>
    <t>The Best Programmatic Advertising Companies in Sydney - Jul 2026 | The Manifest</t>
  </si>
  <si>
    <t>https://themanifest.com/au/social-media/linkedin/agencies</t>
  </si>
  <si>
    <t>The Best LinkedIn Advertising Companies in Australia - Jul 2026 | The Manifest</t>
  </si>
  <si>
    <t>Human Digital, Digital Nomads HQ, Farsiight, SIXGUN, Megaphone, Soup Agency, Paradox Marketing, Emote Digital, Rocket Agency, Intesols, Bench Media, Clearwater Agency, Impressive, Insil, Salt &amp; Fuessel, EvenDigit</t>
  </si>
  <si>
    <t>https://themanifest.com/au/social-media/tiktok/agencies/sydney</t>
  </si>
  <si>
    <t>The Best TikTok Advertising Companies in Sydney - Jul 2026 | The Manifest</t>
  </si>
  <si>
    <t>Megaphone, Soup Agency, Bench Media, Eight Clients, Digital Nomads HQ</t>
  </si>
  <si>
    <t>https://thetimes.com.au/news/articles/51019-the-best-ai-automation-agencies-in-australia-in-2026#:~:text=The%20leading%20AI%20automation%20agencies,IT%20team%20to%20run%20it.</t>
  </si>
  <si>
    <t>The best AI automation agencies in Australia in 2026</t>
  </si>
  <si>
    <t>https://titanblue.com.au/social-media-marketing-companies/</t>
  </si>
  <si>
    <t>https://vegavid.com/blog/top-ai-agent-development-companies-in-australia</t>
  </si>
  <si>
    <t>Top 10 AI Agent Development Companies in Australia To Hire in 2026 | Vegavid</t>
  </si>
  <si>
    <t>https://virtualadagency.com.au/companies-for-social-media-marketing/#:~:text=Virtual%20Ad%20Agency%20(VAA)%20distinguishes%20itself%20as,top%2Dof%2Dfunnel%20creative%20campaigns%20with%20bottom%2Dfunnel%20business%20outcomes.</t>
  </si>
  <si>
    <t>Top 12 Companies for Social Media Marketing in Australia (2026 Guide)</t>
  </si>
  <si>
    <t>https://www.webtonic.io/blog/best-performance-marketing-agencies-2026</t>
  </si>
  <si>
    <t>Tinuiti, Brainlabs, Croud, Power Digital</t>
  </si>
  <si>
    <t>https://wmegroup.com.au/blog/best-seo-agencies-australia/</t>
  </si>
  <si>
    <t>The Best SEO Agencies in Australia (2026) - WME</t>
  </si>
  <si>
    <t>StudioHawk, Deloitte, Online Marketing Gurus, Omnicom Media Group, Prosperity Media, Earned Media, Safari Digital, Digital Nomads HQ, SIXGUN, Supple Digital, King Kong, Huge, First Page, First Page Australia</t>
  </si>
  <si>
    <t>https://www.wmtips.com/technologies/marketing-attribution/</t>
  </si>
  <si>
    <t>Top 25+ Marketing Attribution Platforms by Market Share (2026)</t>
  </si>
  <si>
    <t>https://www.wpp.com/en/news/2025/03/wpp-claims-top-honours-on-the-warc-creative-100</t>
  </si>
  <si>
    <t>WPP claims top honours on the WARC Creative 100 for third consecutive year | WPP</t>
  </si>
  <si>
    <t>WPP, VML</t>
  </si>
  <si>
    <t>https://www.wpp.com/en/news/wpp-agencies-triumph-at-cannes-lions-2026-with-ogilvy-and-vml-claiming-the-top-two-creative-network-honours</t>
  </si>
  <si>
    <t>WPP agencies triumph at Cannes Lions 2026, with Ogilvy and VML claiming the top two creative network honours | WPP</t>
  </si>
  <si>
    <t>WPP, VML, Impressive, EssenceMediacom</t>
  </si>
  <si>
    <t>https://www.youtube.com/watch?v=IxHlhnkaTC4&amp;t=408</t>
  </si>
  <si>
    <t>11 Best AI Agents for Marketing for 2026 (Ranked by Best Use Cases)</t>
  </si>
  <si>
    <t>Momentum, Huge</t>
  </si>
  <si>
    <t>https://www.youtube.com/watch?v=OJN95taKMwo</t>
  </si>
  <si>
    <t>Top 7 AI-Powered Digital Marketing Agencies in Australia | Start an AI Marketing Agency</t>
  </si>
  <si>
    <t>https://agencies.semrush.com/list/united-kingdom/</t>
  </si>
  <si>
    <t>Best Digital Marketing Agencies in United Kingdom 2026 | Semrush</t>
  </si>
  <si>
    <t>Found, Bird Marketing, Measured, Passion Digital</t>
  </si>
  <si>
    <t>https://clutch.co/agencies/uk</t>
  </si>
  <si>
    <t>Top Advertising Agencies in the United Kingdom - Jul 2026 Rankings | Clutch.co</t>
  </si>
  <si>
    <t>Favoured, Ninja Promo, Chello, ROAST, M3.agency, The SEO Works, Push</t>
  </si>
  <si>
    <t>https://www.polarisagency.com/marketing-insights/best-geo-services-uk/#:~:text=POLARIS%20earns%20the%20top%20position,broad%2Dbased%20organic%20search%20practice.&amp;text=POLARIS%20offers%20AI%20Search%20and,citation%20building%20through%20digital%20PR.</t>
  </si>
  <si>
    <t>https://digitalagencynetwork.com/agencies/uk/ai-marketing/</t>
  </si>
  <si>
    <t>Top AI Marketing Agencies in UK (2026)</t>
  </si>
  <si>
    <t>Favoured, Propeller, GA Agency, Make Agency, Anicca Digital, Found, FirstMotion, Bird Marketing, Ninja Promo, ROAST, Open Partners, Hallam</t>
  </si>
  <si>
    <t>https://oski.site/blog/sales-and-marketing-analytics-companies-uk/</t>
  </si>
  <si>
    <t>Top 16 Sales and Marketing Analytics Companies in the UK (2026)</t>
  </si>
  <si>
    <t>Momentum, Oski Solutions, Croud, Hallam, Analytic Partners, Directive Consulting</t>
  </si>
  <si>
    <t>https://clutch.co/agencies/digital-marketing/uk</t>
  </si>
  <si>
    <t>Top Digital Marketing Agencies in the UK - Jul 2026 Rankings | Clutch.co</t>
  </si>
  <si>
    <t>M3.agency, Favoured, Ninja Promo, ROAST, Soap Media, GA Agency, The SEO Works, Propeller, Bird Marketing, Launch Online, Passion Digital</t>
  </si>
  <si>
    <t>https://wearehumaine.com/best-ai-first-marketing-agencies-uk-2026/</t>
  </si>
  <si>
    <t>Best AI-First Marketing Agencies in the UK 2026 | Humaine</t>
  </si>
  <si>
    <t>Open Partners, Brainlabs, Impression, Journey Further, Koozai, VCCP, Favoured, Push, Push Group</t>
  </si>
  <si>
    <t>https://www.dontpaniclondon.com/blog/best-uk-creative-agencies/</t>
  </si>
  <si>
    <t>Compare the UK’s 8 Best Creative Agencies in 2026 (+examples)</t>
  </si>
  <si>
    <t>Mother London, Lucky Generals, Pablo, Disruptive Advertising, Huge, Uncommon Creative Studio, Adam&amp;eveDDB, Saatchi &amp; Saatchi, BBH London</t>
  </si>
  <si>
    <t>https://www.sortlist.co.uk/s/ai-marketing/united-kingdom-gb</t>
  </si>
  <si>
    <t>10+ Top AI Marketing Companies in the UK - 2026 Reviews</t>
  </si>
  <si>
    <t>https://www.influencer-hero.com/blogs/top-paid-media-agencies-in-the-united-kingdom</t>
  </si>
  <si>
    <t>Top 10 Paid Media Agencies in the United Kingdom</t>
  </si>
  <si>
    <t>Brainlabs, Vivify Agency, Manifest Group, Impression, Hallam, Passion Digital</t>
  </si>
  <si>
    <t>https://agencies.semrush.com/list/display-advertising/united-kingdom/</t>
  </si>
  <si>
    <t>Best Display Ads Agencies in United Kingdom 2026 | Semrush</t>
  </si>
  <si>
    <t>Found, Passion Digital, Soap Media, GA Agency, The SEO Works</t>
  </si>
  <si>
    <t>https://www.digitallitmus.com/blog/best-marketing-agencies-uk</t>
  </si>
  <si>
    <t>The Top Marketing Agencies in the UK To Work With In 2026</t>
  </si>
  <si>
    <t>Momentum, Gripped, Omniscient Digital, Transmission, Gravity Global, Directive Consulting, Merkle, Hallam, Jellyfish, Found, Soap Media, The Good Marketer, The Social Shepherd, Koozai, AKQA, Blue Array, Builtvisible, Passion Digital, Impression, Push, Push Group</t>
  </si>
  <si>
    <t>https://www.domisearch.com/blog/best-aeo-agencies-uk</t>
  </si>
  <si>
    <t>Best AEO Agencies in the UK: 2026 Honest Roundup · DomiSearch</t>
  </si>
  <si>
    <t>Push, Push Group, Tilio, Click Intelligence, Found, Digital Landscope</t>
  </si>
  <si>
    <t>https://www.sortlist.co.uk/s/display-advertising/united-kingdom-gb</t>
  </si>
  <si>
    <t>The 10 Best Display Advertising Agencies in The United Kingdom - 2026 Reviews</t>
  </si>
  <si>
    <t>Found, Momentum, M3.agency, Ninja Promo, Impression</t>
  </si>
  <si>
    <t>https://www.sortlist.co.uk/s/marketing-analytics/united-kingdom-gb</t>
  </si>
  <si>
    <t>The 10 Best Marketing Analytics Companies in The United Kingdom - 2026 Reviews</t>
  </si>
  <si>
    <t>McKinsey &amp; Company, Momentum, M3.agency, Found, Ninja Promo, Bird Marketing</t>
  </si>
  <si>
    <t>https://www.inbeat.co/articles/top-paid-media-agencies-in-the-uk/</t>
  </si>
  <si>
    <t>Top 20 Paid Media Agencies in the UK for 2026 and Beyond</t>
  </si>
  <si>
    <t>inBeat, Impression, Bark London, The Social Shepherd, Clarity Performance, Croud, Found, Disrupt Marketing, Push, PwC</t>
  </si>
  <si>
    <t>https://thesocialshepherd.com/blog/top-performance-marketing-agencies-uk</t>
  </si>
  <si>
    <t>The Social Shepherd | Top 13 Performance Marketing Agencies In The UK…</t>
  </si>
  <si>
    <t>The Social Shepherd, 9AM, Gravity Global, Directive Consulting, Gripped, The Brains, The Good Marketer</t>
  </si>
  <si>
    <t>https://www.consultico.co.uk/articles/best-ppc-agencies-uk#:~:text=Its%20track%20record%20spans%20large,automation%20depth%20and%20consistent%20results.</t>
  </si>
  <si>
    <t>Best PPC Agencies in the UK (2026): 7 Top Companies Compared | Consultico</t>
  </si>
  <si>
    <t>Jellyfish, Croud, Push, Push Group</t>
  </si>
  <si>
    <t>https://grizzle.io/blog/best-content-marketing-agencies-uk</t>
  </si>
  <si>
    <t>Best content marketing agencies in the UK</t>
  </si>
  <si>
    <t>ClickSlice, Brainlabs, Rise at Seven, Croud, Siege Media, Measured, Tinuiti, Found</t>
  </si>
  <si>
    <t>https://sunnypatel.co.uk/blog/best-aeo-agencies/</t>
  </si>
  <si>
    <t>Best AEO Agencies UK 2026 — AI Search &amp;amp; GEO Specialists | Sunny Patel</t>
  </si>
  <si>
    <t>Rise at Seven, Builtvisible, Impression, The SEO Works</t>
  </si>
  <si>
    <t>https://www.influencer-hero.com/blogs/top-paid-advertising-agencies-in-the-united-kingdom</t>
  </si>
  <si>
    <t>Top 10 Paid Advertising Agencies in the United Kingdom</t>
  </si>
  <si>
    <t>The Social Shepherd, Vivify Agency, Manifest Group, Clarity Performance, Croud, Impression, Disrupt Marketing</t>
  </si>
  <si>
    <t>https://digitalagencynetwork.com/agencies/london/ai-marketing/</t>
  </si>
  <si>
    <t>Top AI Marketing Agencies in London (2026)</t>
  </si>
  <si>
    <t>Favoured, Propeller, FirstMotion, Ninja Promo, Bird Marketing, Found, Make Agency, ROAST, GA Agency</t>
  </si>
  <si>
    <t>https://nautilusmarketing.co.uk/top-15-paid-media-agencies-in-the-uk-2026/#:~:text=B2B%20technology%20sales.-,Impression,Tiles%2C%20and%20Cancer%20Research%20UK.</t>
  </si>
  <si>
    <t>Top 15 Paid Media Agencies in the UK (2026)</t>
  </si>
  <si>
    <t>iCrossing, Push, Push Group, GA Agency, Impression, Disrupt Marketing, Propeller, Clarity Performance, The Social Shepherd</t>
  </si>
  <si>
    <t>https://www.designrush.com/agency/creative-agencies/uk</t>
  </si>
  <si>
    <t>Top Creative Agencies in the United Kingdom | 2026</t>
  </si>
  <si>
    <t>Huge, Directive Consulting</t>
  </si>
  <si>
    <t>https://www.sortlist.co.uk/s/marketing-analytics/london-england-gb</t>
  </si>
  <si>
    <t>The 10 Best Marketing Analytics Companies in London - 2026 Reviews</t>
  </si>
  <si>
    <t>Momentum, M3.agency, Whitehat, McKinsey &amp; Company, Found</t>
  </si>
  <si>
    <t>https://ensun.io/search/marketing-analytics/united-kingdom</t>
  </si>
  <si>
    <t>Top 0 Marketing Analytics Companies in United Kingdom (2026) \| ensun</t>
  </si>
  <si>
    <t>https://aeoagency.co.uk/top-aeo-agencies-uk-list/</t>
  </si>
  <si>
    <t>Top AEO Agencies in the UK | 2026 &amp;amp; Beyond</t>
  </si>
  <si>
    <t>Digital Landscope, The SEO Works, Push</t>
  </si>
  <si>
    <t>https://digitalagencynetwork.com/agencies/london/</t>
  </si>
  <si>
    <t>Best Digital Marketing Agencies in London (2026)</t>
  </si>
  <si>
    <t>Favoured, Hallam, Propeller, Make Agency, Bird Marketing, FirstMotion, Impression, GA Agency, Push, Ninja Promo, ROAST, Found, Passion Digital</t>
  </si>
  <si>
    <t>https://digitalagencynetwork.com/agencies/uk/</t>
  </si>
  <si>
    <t>Best Digital Marketing Agencies in the UK | Digital Agency Network</t>
  </si>
  <si>
    <t>Favoured, Propeller, FirstMotion, The SEO Works, Hallam, Anicca Digital, ROAST, Found, Make Agency, Ninja Promo, Bird Marketing, Push, M3.agency, GA Agency</t>
  </si>
  <si>
    <t>https://www.hunterlodge.co.uk/ai-visibility-research/insights/top-ai-visibility-agencies-in-the-uk/</t>
  </si>
  <si>
    <t>Top AI Visibility Agencies in the UK - Hunterlodge</t>
  </si>
  <si>
    <t>ClickSlice, Found, Hallam, Blue Array, Exposure Ninja, Measured, Buried Agency</t>
  </si>
  <si>
    <t>https://www.munro.agency/ai-marketing-agency/</t>
  </si>
  <si>
    <t>10 Best AI Marketing Agencies in the UK for 2026</t>
  </si>
  <si>
    <t>Hallam, Favoured, Propeller, Disrupt Marketing</t>
  </si>
  <si>
    <t>https://www.sortlist.co.uk/s/paid-media/london-england-gb</t>
  </si>
  <si>
    <t>The 10 Best Paid Media Agencies in London - 2026 Reviews</t>
  </si>
  <si>
    <t>Push, Triple Whale, Northbeam, Whitehat, Found</t>
  </si>
  <si>
    <t>https://clutch.co/agencies/creative/uk</t>
  </si>
  <si>
    <t>Top Creative Agencies in the United Kingdom - Jul 2026 Rankings | Clutch.co</t>
  </si>
  <si>
    <t>Polaris, Chello, Favoured, Make Agency</t>
  </si>
  <si>
    <t>https://eseospace.com/blog/best-aeo-agencies-london-2026/</t>
  </si>
  <si>
    <t>Best AEO Agencies in London in 2026: Top Answer Engine Optimization Experts in the UK - eSEOspace</t>
  </si>
  <si>
    <t>Impression, Builtvisible, Rise at Seven, Screaming Frog</t>
  </si>
  <si>
    <t>https://www.found.co.uk/blog/best-aio-ai-optimisation-agencies/</t>
  </si>
  <si>
    <t>Best AIO (AI Optimisation) Agencies in the UK \| Found</t>
  </si>
  <si>
    <t>Found, Dept, Rise at Seven, Jellyfish, ROAST, Koozai</t>
  </si>
  <si>
    <t>https://www.rebootonline.com/paid-media/best-paid-media-agencies/</t>
  </si>
  <si>
    <t>Best Paid Media Agencies 2026 | Ultimate Top 10 List Ranked &amp;amp; Rated</t>
  </si>
  <si>
    <t>Impression, Disrupt Marketing, NoGood, Tinuiti, Found</t>
  </si>
  <si>
    <t>https://www.wildishandco.co.uk/blog/best-creative-agencies</t>
  </si>
  <si>
    <t>12 Best Creative Agencies in 2026 | Wildish &amp;amp; Co.</t>
  </si>
  <si>
    <t>Momentum, Push, inBeat</t>
  </si>
  <si>
    <t>https://agencies.semrush.com/list/ai-optimization/london-city/</t>
  </si>
  <si>
    <t>Best AI Search Optimization Agencies in London 2026 | Semrush</t>
  </si>
  <si>
    <t>Found, Measured, Passion Digital, The SEO Works, Gravity Global, ROAST</t>
  </si>
  <si>
    <t>https://agencies.semrush.com/list/ai-optimization/united-kingdom/</t>
  </si>
  <si>
    <t>Best AI Search Optimization Agencies in United Kingdom 2026 | Semrush</t>
  </si>
  <si>
    <t>Found, Measured, Click Intelligence, Passion Digital, The SEO Works, Gravity Global, ROAST, Huge</t>
  </si>
  <si>
    <t>https://agencies.semrush.com/list/display-advertising/london-city/</t>
  </si>
  <si>
    <t>Best Display Ads Agencies in London 2026 | Semrush</t>
  </si>
  <si>
    <t>Passion Digital, GA Agency, The SEO Works, ROAST, Found</t>
  </si>
  <si>
    <t>https://www.charleagency.com/articles/best-geo-agencies-uk/</t>
  </si>
  <si>
    <t>13 Best GEO Agencies UK (2026) | Top Generative Engine Optimization Agencies | Charle</t>
  </si>
  <si>
    <t>Charle Agency, Buried Agency, ClickSlice, Exposure Ninja, Blue Array, Found, Measured</t>
  </si>
  <si>
    <t>https://digitalagencynetwork.com/agencies/uk/creative/</t>
  </si>
  <si>
    <t>Top Creative Agencies in UK (2026)</t>
  </si>
  <si>
    <t>Favoured, Propeller, M3.agency, Make Agency, Impression, Bird Marketing</t>
  </si>
  <si>
    <t>https://www.askattest.com/blog/articles/market-research-companies-uk</t>
  </si>
  <si>
    <t>Top 14 Market Research Companies in the UK (2026)</t>
  </si>
  <si>
    <t>Kantar, Nielsen, YouGov, Huge</t>
  </si>
  <si>
    <t>https://www.propeller.co.uk/insights/top-digital-marketing-agencies-uk-2025</t>
  </si>
  <si>
    <t>Top Digital Marketing Agencies UK (2026) | Propeller</t>
  </si>
  <si>
    <t>Propeller, Saatchi &amp; Saatchi, Impression, BBH London, Gripped</t>
  </si>
  <si>
    <t>https://thatware.co/best-aeo-companies-in-uk/</t>
  </si>
  <si>
    <t>Best AEO Companies in UK - Top 10 AEO Services UK</t>
  </si>
  <si>
    <t>ClickSlice, Builtvisible, Rise at Seven, Momentum</t>
  </si>
  <si>
    <t>https://www.wearetenet.com/blog/ai-seo-agencies-in-london</t>
  </si>
  <si>
    <t>7 Best AI SEO Agencies in London</t>
  </si>
  <si>
    <t>Rank4AI, ClickSlice, Hallam, Favoured</t>
  </si>
  <si>
    <t>https://agencies.semrush.com/list/display-advertising/united-kingdom/enterprise-business/</t>
  </si>
  <si>
    <t>Best Display Ads Agencies for Enterprise Business in United Kingdom 2026 | Semrush</t>
  </si>
  <si>
    <t>Found, Soap Media, GA Agency, The SEO Works, ROAST</t>
  </si>
  <si>
    <t>https://blazonagency.com/post/marketing-agency-uk</t>
  </si>
  <si>
    <t>Best Marketing Agency UK Picks for 2026 | Blazon Agency</t>
  </si>
  <si>
    <t>Impression, Found, inBeat, Rise at Seven, Koozai, Propeller</t>
  </si>
  <si>
    <t>https://clutch.co/agencies/ppc/uk/england</t>
  </si>
  <si>
    <t>Top PPC Agencies in England - Jul 2026 Rankings \| Clutch.co</t>
  </si>
  <si>
    <t>Launch Online, M3.agency, ROAST, Soap Media, GA Agency, The SEO Works, Huge, Ninja Promo, Momentum, Propeller, Found</t>
  </si>
  <si>
    <t>https://digitalagencynetwork.com/agencies/uk/geo/</t>
  </si>
  <si>
    <t>Top GEO Agencies in UK for Generative Engine Optimization (2026)</t>
  </si>
  <si>
    <t>Favoured, Measured, Found, Propeller, Anicca Digital, The SEO Works, Bird Marketing, GA Agency, ROAST, FirstMotion</t>
  </si>
  <si>
    <t>https://sbc-performance.com/blog/best-paid-social-media-agencies-uk/</t>
  </si>
  <si>
    <t>Best Paid Social Media Agencies in the UK (2026) – Shortlist</t>
  </si>
  <si>
    <t>The Social Shepherd, Impression, Disrupt Marketing, Found, Soap Media</t>
  </si>
  <si>
    <t>https://www.sortlist.co.uk/s/performance-marketing/united-kingdom-gb</t>
  </si>
  <si>
    <t>The 10 Best Performance Marketing Agencies in The United Kingdom - 2026 Reviews</t>
  </si>
  <si>
    <t>Momentum, M3.agency, Found, McKinsey &amp; Company, Push</t>
  </si>
  <si>
    <t>https://clutch.co/agencies/ppc/display/uk</t>
  </si>
  <si>
    <t>Top Display Advertising Services in the United Kingdom - Jul 2026 Rankings \| Clutch.co</t>
  </si>
  <si>
    <t>Ninja Promo, Soap Media, The SEO Works, GA Agency, Bind Media, Found</t>
  </si>
  <si>
    <t>https://clutch.co/agencies/social-media-marketing/uk</t>
  </si>
  <si>
    <t>Top Social Media Marketing Agencies in the United Kingdom - Jul 2026 Rankings \| Clutch.co</t>
  </si>
  <si>
    <t>Ninja Promo, ROAST, Favoured, Soap Media, Impression, Found, Momentum, M3.agency, Propeller</t>
  </si>
  <si>
    <t>https://www.goodfirms.co/directory/country/top-digital-marketing-companies/gb</t>
  </si>
  <si>
    <t>Top Digital Marketing Agencies in UK - 2026 Reviews | Goodfirms</t>
  </si>
  <si>
    <t>WebFX, The SEO Works, Bird Marketing, Impression, Push, Found</t>
  </si>
  <si>
    <t>https://slashdot.org/software/incrementality-testing/in-uk/</t>
  </si>
  <si>
    <t>Top Incrementality Testing Tools in the UK in 2026</t>
  </si>
  <si>
    <t>Measured, Sellforte, Rockerbox, Recast, Disrupt Marketing, Haus, Analytic Partners</t>
  </si>
  <si>
    <t>https://www.superhub.biz/top-19-social-media-marketing-agencies-uk-2026</t>
  </si>
  <si>
    <t>Top 19 Social Media Marketing Agencies UK 2026</t>
  </si>
  <si>
    <t>The Social Shepherd, We Are Social, Born Social, Croud, Social Chain, The Good Marketer, Soap Media</t>
  </si>
  <si>
    <t>https://www.51d.co/top-10-ai-strategy-consultants-in-london-for-2026-a-comprehensive-guide/</t>
  </si>
  <si>
    <t>Top 10 AI Strategy Consultants in London in 2026: Comprehensive Guide - Fifty One Degrees</t>
  </si>
  <si>
    <t>McKinsey &amp; Company, Measured, QuantumBlack</t>
  </si>
  <si>
    <t>https://seocompare.co.uk/best-geo-agencies-uk/</t>
  </si>
  <si>
    <t>Best GEO Agencies UK 2026 - Compared | SEOCompare</t>
  </si>
  <si>
    <t>Found, Rank4AI, ClickSlice</t>
  </si>
  <si>
    <t>https://www.sortlist.co.uk/s/display-advertising/england-england-gb</t>
  </si>
  <si>
    <t>The 10 Best Display Advertising Agencies in England - 2026 Reviews</t>
  </si>
  <si>
    <t>Found, Momentum, M3.agency, Ninja Promo</t>
  </si>
  <si>
    <t>https://delivix.digital/marketing/ai-marketing-agencies-in-the-uk/</t>
  </si>
  <si>
    <t>10 best AI marketing agencies in the UK - Delivix</t>
  </si>
  <si>
    <t>Found, Hallam, VCCP, Push, Koozai, Open Partners</t>
  </si>
  <si>
    <t>https://www.sortlist.co.uk/s/performance-marketing/london-england-gb</t>
  </si>
  <si>
    <t>The 10 Best Performance Marketing Agencies in London - 2026 Reviews</t>
  </si>
  <si>
    <t>Push, Triple Whale, Northbeam, Whitehat, Found, Momentum, M3.agency</t>
  </si>
  <si>
    <t>https://thatware.co/top-10-geo-companies-in-uk/</t>
  </si>
  <si>
    <t>Top GEO Companies in UK \| 10 Best UK GEO Agencies</t>
  </si>
  <si>
    <t>Varn, Blue Array, Bird Marketing, Found</t>
  </si>
  <si>
    <t>https://clutch.co/consulting/ai/uk</t>
  </si>
  <si>
    <t>Top AI Consultants in the United Kingdom - Jul 2026 Rankings \| Clutch.co</t>
  </si>
  <si>
    <t>https://www.designrush.com/agency/digital-marketing/uk</t>
  </si>
  <si>
    <t>Top Digital Marketing Agencies in the United Kingdom | 2026</t>
  </si>
  <si>
    <t>Bird Marketing, Genie Crawl, Nielsen, Favoured, WebFX, Directive Consulting, Momentum</t>
  </si>
  <si>
    <t>https://www.leverdigital.co.uk/guides/top-10-google-ad-management-agencies-uk</t>
  </si>
  <si>
    <t>Top 10 Google Ad Management Agencies in the UK (2026 Guide)</t>
  </si>
  <si>
    <t>Gripped, Impression, Brainlabs, Huge, Push, Push Group, PPC Geeks, The Social Shepherd</t>
  </si>
  <si>
    <t>https://www.okapiandco.co.uk/blog/best-geo-agencies-uk-2026</t>
  </si>
  <si>
    <t>Best GEO Agencies in the UK (2026): Who Is Actually Doing AI Search? | Okapi &amp;amp; Co</t>
  </si>
  <si>
    <t>Impression, Koozai, Found</t>
  </si>
  <si>
    <t>https://techbehemoths.com/companies/marketing-analytics/united-kingdom</t>
  </si>
  <si>
    <t>Top 20+ Marketing analytics Companies in United Kingdom (2026) - TechBehemoths</t>
  </si>
  <si>
    <t>WebFX, Gripped, Directive Consulting, The Brains, Gravity Global</t>
  </si>
  <si>
    <t>https://thesocialshepherd.com/blog/top-digital-marketing-agencies-uk#:~:text=They%20believe%20that%20weaving%20stories,Gripped</t>
  </si>
  <si>
    <t>The Social Shepherd | Top 17 Digital Marketing Agencies In The UK…</t>
  </si>
  <si>
    <t>The Social Shepherd, Gripped, Found, The Good Marketer, Impression, We Are Social, Saatchi &amp; Saatchi, Huge, BBH London</t>
  </si>
  <si>
    <t>https://clutch.co/agencies/ppc/uk</t>
  </si>
  <si>
    <t>Top PPC Agencies in the United Kingdom - Jul 2026 Rankings \| Clutch.co</t>
  </si>
  <si>
    <t>Launch Online, M3.agency, Ninja Promo, ROAST, Soap Media, GA Agency, The SEO Works, Propeller, Impression, ClickSlice, Found, Bind Media, Passion Digital, PPC Geeks, Gripped</t>
  </si>
  <si>
    <t>https://www.compare.agency/7-of-the-top-ppc-agencies-in-the-uk-for-2026</t>
  </si>
  <si>
    <t>7 Top PPC Agencies in the UK for 2026 | Compare.Agency</t>
  </si>
  <si>
    <t>Brainlabs, Jellyfish, Brandtech, Croud, Impression, Journey Further, Havas Market UK</t>
  </si>
  <si>
    <t>Haus, Measured, Recast, Push, Northbeam, Triple Whale</t>
  </si>
  <si>
    <t>https://www.panovistamarketing.com/blog/best-ai-seo-agencies-uk#:~:text=1.,is%20not%20the%20same%20thing.</t>
  </si>
  <si>
    <t>Best AI SEO Agencies UK 2026 | How to Choose Wisely</t>
  </si>
  <si>
    <t>Panovista Marketing, Found</t>
  </si>
  <si>
    <t>https://www.polarisagency.com/us/marketing-insights/best-geo-services-uk/</t>
  </si>
  <si>
    <t>https://www.ryesing.com/post/performance-marketing-agencies-uk</t>
  </si>
  <si>
    <t>7 Best Performance Marketing Agencies UK 2026 (Expert Guide)</t>
  </si>
  <si>
    <t>https://www.sortlist.co.uk/s/creative/united-kingdom-gb</t>
  </si>
  <si>
    <t>The 10 Best Creative Agencies in The United Kingdom - 2026 Reviews</t>
  </si>
  <si>
    <t>Ninja Promo, Whitehat, Momentum</t>
  </si>
  <si>
    <t>https://www.sortlist.co.uk/s/paid-media/united-kingdom-gb</t>
  </si>
  <si>
    <t>The 10 Best Paid Media Agencies in The United Kingdom - 2026 Reviews</t>
  </si>
  <si>
    <t>Push, Triple Whale, Northbeam, Found, Momentum, M3.agency, McKinsey &amp; Company, Impression</t>
  </si>
  <si>
    <t>https://www.toasttv.co.uk/blog/working-with-the-best-in-house-creative-agencies</t>
  </si>
  <si>
    <t>Who are the best In-house creative agencies in the UK?</t>
  </si>
  <si>
    <t>https://www.webtonic.io/blog/best-creative-agencies-london</t>
  </si>
  <si>
    <t>The 30 Best Creative Agencies in London as of 2026</t>
  </si>
  <si>
    <t>Mother London, Adam&amp;eveDDB, Uncommon Creative Studio, BBH London, AMV BBDO, Accenture Song, VCCP, Ogilvy, Pablo, Lucky Generals, Saatchi &amp; Saatchi</t>
  </si>
  <si>
    <t>https://brandspeak.co.uk/blog/top-market-research-agencies-uk/#:~:text=Kantar's%20Blueprint%20for%20Brand%20Growth,intelligence%20it%20brings%20to%20clients.</t>
  </si>
  <si>
    <t>Best Market Research Agencies in the UK (2026) | Compared &amp;amp; Reviewed</t>
  </si>
  <si>
    <t>Kantar, Accenture Song, YouGov</t>
  </si>
  <si>
    <t>https://buzzgen.uk/2026/03/04/top-10-geo-and-ai-ranking-agencies-in-the-uk-march-2026/</t>
  </si>
  <si>
    <t>Top 10 GEO and AI-Ranking Agencies in the UK - March 2026 -</t>
  </si>
  <si>
    <t>Found, The SEO Works, Blue Array, Passion Digital, Varn, Exposure Ninja, ClickSlice</t>
  </si>
  <si>
    <t>https://www.dontpaniclondon.com/blog/best-uk-advertising-agencies/</t>
  </si>
  <si>
    <t>The 8 Best UK Advertising Agencies in 2026 (with examples)</t>
  </si>
  <si>
    <t>Omnicom, AMV BBDO, Momentum, Adam&amp;eveDDB, BBH London, Uncommon Creative Studio, Push, Saatchi &amp; Saatchi, WPP, Dentsu</t>
  </si>
  <si>
    <t>Impression, Push, ClickSlice, inBeat, Power Digital</t>
  </si>
  <si>
    <t>https://www.seoworks.com/lists/20-best-geo-agencies-in-the-uk/</t>
  </si>
  <si>
    <t>20 Best GEO Agencies in the UK (2026) | The SEO Works</t>
  </si>
  <si>
    <t>The SEO Works, Passion Digital, Huge, Digital Landscope, Click Intelligence, Launch Online, Propellernet, Varn</t>
  </si>
  <si>
    <t>https://www.sortlist.co.uk/s/attribution-marketing/london-england-gb</t>
  </si>
  <si>
    <t>The 10 Best Attribution Marketing Agencies in London - 2026 Reviews</t>
  </si>
  <si>
    <t>GA Agency</t>
  </si>
  <si>
    <t>https://www.sortlist.co.uk/s/display-advertising/london-england-gb</t>
  </si>
  <si>
    <t>The 10 Best Display Advertising Agencies in London - 2026 Reviews</t>
  </si>
  <si>
    <t>Found, Ninja Promo, Momentum, M3.agency, Transmission</t>
  </si>
  <si>
    <t>https://www.sortlist.co.uk/social-media/united-kingdom-gb</t>
  </si>
  <si>
    <t>The 10 Best Social Media Agencies in The United Kingdom - 2026 Reviews</t>
  </si>
  <si>
    <t>Publicis Groupe, Found, Momentum, M3.agency</t>
  </si>
  <si>
    <t>https://www.sortlist.co.uk/web-analytics/united-kingdom-gb</t>
  </si>
  <si>
    <t>The 10 Best Web Analytics Agencies in The United Kingdom - 2026 Reviews</t>
  </si>
  <si>
    <t>Found, Whitehat</t>
  </si>
  <si>
    <t>Ruler Analytics, Push, Triple Whale, Rockerbox</t>
  </si>
  <si>
    <t>Artefact, QuantumBlack, Ogilvy, Found, McKinsey &amp; Company</t>
  </si>
  <si>
    <t>https://brandspeak.co.uk/blog/top-market-research-companies-uk/</t>
  </si>
  <si>
    <t>Top Market Research Companies UK (2026) | Best Agencies Compared</t>
  </si>
  <si>
    <t>Kantar, YouGov</t>
  </si>
  <si>
    <t>https://www.creativemarketingltd.co.uk/blog/top-digital-marketing-agencies</t>
  </si>
  <si>
    <t>Top 20 Digital Marketing Agencies in the UK (2026)</t>
  </si>
  <si>
    <t>https://www.digitalreference.co/design-professionals/best-creative-agencies-in-the-uk</t>
  </si>
  <si>
    <t>Best Creative Agencies &amp;amp; Creative Firms in the UK</t>
  </si>
  <si>
    <t>https://evangelistsoftware.com/blog/top-ai-consulting-firms-in-uk/</t>
  </si>
  <si>
    <t>Best AI Consulting Firms in the UK: Top Picks for 2026</t>
  </si>
  <si>
    <t>https://lengreo.com/best-answer-engine-optimization-aeo-agencies-for-uk-companies-in-2025/</t>
  </si>
  <si>
    <t>Top 10 Answer Engine Optimization (AEO) Companies for UK (2026)</t>
  </si>
  <si>
    <t>https://www.reddit.com/r/advertising/comments/n8z67i/best_uk_based_agencies/</t>
  </si>
  <si>
    <t>Best UK Based Agencies?</t>
  </si>
  <si>
    <t>Lucky Generals, AMV BBDO, VCCP, Uncommon Creative Studio, Mother London, BBH London</t>
  </si>
  <si>
    <t>https://www.wearetenet.com/blog/google-ads-agencies-in-the-uk</t>
  </si>
  <si>
    <t>10 Best Google Ads Agencies in the UK to Hire From (2026)</t>
  </si>
  <si>
    <t>PPC Geeks, The SEO Works, Impression, Hallam, Favoured</t>
  </si>
  <si>
    <t>https://www.webtonic.io/blog/top-digital-marketing-agencies-uk</t>
  </si>
  <si>
    <t>Top 46 Digital Marketing Agencies in the UK (Reviewed in 2026)</t>
  </si>
  <si>
    <t>ClickSlice, Ignite Visibility, Hallam, The Social Shepherd, Ninja Promo, Favoured, Whitehat, Omniscient Digital, Found, Make Agency, FirstMotion, Soap Media, ROAST, The SEO Works, Bird Marketing, Propeller, Gripped, M3.agency, Momentum</t>
  </si>
  <si>
    <t>https://agencies.semrush.com/list/display-advertising/united-kingdom/small-business/</t>
  </si>
  <si>
    <t>Best Display Ads Agencies for Small Business in United Kingdom 2026 | Semrush</t>
  </si>
  <si>
    <t>Found, Soap Media, The SEO Works</t>
  </si>
  <si>
    <t>https://climb-seo.co.uk/best-aeo-geo-agencies-uk-2026/</t>
  </si>
  <si>
    <t>The Best AEO and GEO Agencies in the UK (2026 Guide) - Climb SEO</t>
  </si>
  <si>
    <t>Tilio, Charle Agency, The SEO Works, Polaris, Measured</t>
  </si>
  <si>
    <t>https://clutch.co/consulting/ai/strategy/uk</t>
  </si>
  <si>
    <t>Top AI Strategy Companies in the United Kingdom - Jul 2026 Rankings \| Clutch.co</t>
  </si>
  <si>
    <t>Found, Impression</t>
  </si>
  <si>
    <t>https://superbcompanies.com/categories/creative-agencies-in-the-uk/</t>
  </si>
  <si>
    <t>Top 100 Creative Agencies in the United Kingdom - Jul 2026 | Ranking | SuperbCompanies</t>
  </si>
  <si>
    <t>Bird Marketing, The SEO Works, Dept, Found, Impression</t>
  </si>
  <si>
    <t>https://thatware.co/top-10-ai-seo-companies-in-uk/</t>
  </si>
  <si>
    <t>Top 10 AI Search Optimization Companies in UK | ThatWare</t>
  </si>
  <si>
    <t>The SEO Works, Click Intelligence, Exposure Ninja, Impression, Blue Array</t>
  </si>
  <si>
    <t>https://www.webdesignchoice.co.uk/top-aeo-agencies-uk-2026.html</t>
  </si>
  <si>
    <t>Best AEO Agencies UK 2026 | Top Answer Engine Optimisation Companies Ranked</t>
  </si>
  <si>
    <t>ClickSlice, The SEO Works, Push, Push Group, Click Intelligence, Exposure Ninja, Charle Agency, Builtvisible, Measured, Digital Landscope</t>
  </si>
  <si>
    <t>The SEO Works, Found, Huge</t>
  </si>
  <si>
    <t>The SEO Works, Found, Huge, Impression</t>
  </si>
  <si>
    <t>https://www.brainz.digital/blog/best-b2b-analytics-agencies/</t>
  </si>
  <si>
    <t>Best B2B Analytics Agencies That Drive Results In 2026</t>
  </si>
  <si>
    <t>Found, Push, Directive Consulting, Omniscient Digital, Power Digital, Brainlabs</t>
  </si>
  <si>
    <t>https://clutch.co/consulting/ai/uk/england/london</t>
  </si>
  <si>
    <t>Top AI Consulting Agencies in London - Jul 2026 Rankings \| Clutch.co</t>
  </si>
  <si>
    <t>Momentum, Impression, Found</t>
  </si>
  <si>
    <t>https://www.consultancy.uk/rankings/top-consulting-firms-in-the-uk-by-area-of-expertise/ai-genai</t>
  </si>
  <si>
    <t>Top AI &amp;amp; Gen AI consulting firms in the UK</t>
  </si>
  <si>
    <t>McKinsey &amp; Company, PwC, EY, Artefact</t>
  </si>
  <si>
    <t>https://coolnerdsmarketing.com/top-creative-agencies-uk/</t>
  </si>
  <si>
    <t>Top Creative Agencies in the UK (2026)</t>
  </si>
  <si>
    <t>We Are Social, Dentsu, The Social Shepherd, Gravity Global, Transmission</t>
  </si>
  <si>
    <t>https://www.creativebrief.com/top-30/agencies</t>
  </si>
  <si>
    <t>The Top 30 most viewed agencies | Creativebrief</t>
  </si>
  <si>
    <t>Mother London, Saatchi &amp; Saatchi, AMV BBDO, BBH London, Born Social, We Are Social</t>
  </si>
  <si>
    <t>https://www.linkedin.com/pulse/top-performance-marketing-agencies-uk-steve-walker-mrjxe</t>
  </si>
  <si>
    <t>Top Content on LinkedIn</t>
  </si>
  <si>
    <t>https://marketingsignals.com/best-digital-marketing-agency-2026-the-top-uk-full-service-agencies-ranked/</t>
  </si>
  <si>
    <t>Best Digital Marketing Agency 2026: The Top UK Full-Service Agencies Ranked - Marketing Signals</t>
  </si>
  <si>
    <t>Impression, Hallam, Passion Digital, Brainlabs, Measured, Transmission</t>
  </si>
  <si>
    <t>https://news.digitalagencyleaders.net/the-best-ai-marketing-agencies-in-the-uk-2025/</t>
  </si>
  <si>
    <t>The Best AI Marketing Agencies in the UK 2025 - Digital Agency News</t>
  </si>
  <si>
    <t>Koozai, Found, VCCP, Favoured, Whitehat</t>
  </si>
  <si>
    <t>https://seocompare.co.uk/ai-seo-agency-uk/</t>
  </si>
  <si>
    <t>AI SEO Agency UK 2026: 7 Best, Compared and Rated | SEOCompare</t>
  </si>
  <si>
    <t>Rank4AI, ClickSlice, Found</t>
  </si>
  <si>
    <t>https://seocompare.co.uk/best-ai-search-agencies/</t>
  </si>
  <si>
    <t>Best AI Search Agencies UK: 14 Compared 2026</t>
  </si>
  <si>
    <t>Rank4AI, Directive Consulting, Omniscient Digital, Siege Media, Ignite Visibility</t>
  </si>
  <si>
    <t>https://sorttheclicks.com/insights/best-uk-geo-agencies-2026/</t>
  </si>
  <si>
    <t>Best UK GEO &amp;amp; AI search agencies in 2026</t>
  </si>
  <si>
    <t>Whitehat, Tilio, Passion Digital, The SEO Works, Found, Push, Push Group, Builtvisible, Charle Agency, Screaming Frog</t>
  </si>
  <si>
    <t>https://www.superhub.biz/top-7-performance-marketing-companies-uk-2026</t>
  </si>
  <si>
    <t>7 Best Performance Marketing Companies UK 2026 | Results Focused</t>
  </si>
  <si>
    <t>Measured, Brainlabs, Journey Further</t>
  </si>
  <si>
    <t>https://www.51d.co/ai-consulting-agencies-lead-qualification-uk/</t>
  </si>
  <si>
    <t>Top AI Consulting Agencies for Sales | Fifty One Degrees</t>
  </si>
  <si>
    <t>Superside, Momentum, QuantumBlack, Push</t>
  </si>
  <si>
    <t>https://agencies.semrush.com/list/display-advertising/london-city/small-business/</t>
  </si>
  <si>
    <t>Best Display Ads Agencies for Small Business in London 2026 | Semrush</t>
  </si>
  <si>
    <t>The SEO Works, Found, Measured</t>
  </si>
  <si>
    <t>https://clutch.co/agencies/digital/uk</t>
  </si>
  <si>
    <t>Top Full-Service Digital Agencies in the United Kingdom - Jul 2026 Rankings | Clutch.co</t>
  </si>
  <si>
    <t>Soap Media, Favoured, Momentum, Impression, M3.agency, The SEO Works</t>
  </si>
  <si>
    <t>https://digitalagencynetwork.com/agencies/london/geo/</t>
  </si>
  <si>
    <t>Top GEO Agencies in London for Generative Engine Optimization (2026)</t>
  </si>
  <si>
    <t>Favoured, Measured, Propeller, FirstMotion, Found, Bird Marketing, ROAST, GA Agency</t>
  </si>
  <si>
    <t>Haus, SegmentStream, Measured, Recast</t>
  </si>
  <si>
    <t>https://www.greenbook.org/market-research-companies/united-kingdom</t>
  </si>
  <si>
    <t>Top Marketing Research Firms in United Kingdom — Greenbook</t>
  </si>
  <si>
    <t>YouGov, Accenture Song, Kantar, Found</t>
  </si>
  <si>
    <t>https://lengreo.com/top-answer-engine-optimization-aeo-agencies-for-uk-businesses-in-2025/</t>
  </si>
  <si>
    <t>10 Best AEO Companies for UK (2026)</t>
  </si>
  <si>
    <t>NoGood, WebFX, Found</t>
  </si>
  <si>
    <t>https://www.margen.net/best-aeo-agencies-uk-2026-answer-engine-optimisation-experts-compared/</t>
  </si>
  <si>
    <t>Best AEO Agencies UK 2026: Answer Engine Optimisation Experts Compared | MarGen</t>
  </si>
  <si>
    <t>Whitehat, Digital Landscope, Buried Agency</t>
  </si>
  <si>
    <t>https://www.marketingagencyindex.com/uk/industries/ai</t>
  </si>
  <si>
    <t>Best AI Marketing Agencies in the UK | Agency Index</t>
  </si>
  <si>
    <t>Impression, The SEO Works, The Brains, Propellernet</t>
  </si>
  <si>
    <t>https://www.munro.agency/best-data-analysis-agencies/</t>
  </si>
  <si>
    <t>15 Best Data Analysis Agencies</t>
  </si>
  <si>
    <t>inBeat</t>
  </si>
  <si>
    <t>https://neuraladx.com/the-10-best-generative-engine-optimisation-companies-in-the-uk/</t>
  </si>
  <si>
    <t>The 10 best generative engine optimisation companies in the uk</t>
  </si>
  <si>
    <t>Measured, Found, Bird Marketing, The SEO Works, Digital Landscope, Varn, Exposure Ninja, Momentum, Blue Array</t>
  </si>
  <si>
    <t>https://thedigitalmaze.com/blog/top-10-digital-marketing-agencies-in-the-uk-2026/</t>
  </si>
  <si>
    <t>Push, Impression, Croud, Journey Further, Rise at Seven, Bird Marketing, ClickSlice</t>
  </si>
  <si>
    <t>https://www.wearetenet.com/blog/best-geo-agencies-london</t>
  </si>
  <si>
    <t>10 Best GEO Agencies in London to Hire in 2026</t>
  </si>
  <si>
    <t>Found, Genie Crawl, ClickSlice, GA Agency, Buried Agency, Bird Marketing, Passion Digital, Measured, Hallam, Favoured</t>
  </si>
  <si>
    <t>https://agencies.semrush.com/list/display-advertising/london-city/mid-business/</t>
  </si>
  <si>
    <t>Best Display Ads Agencies for Mid Business in London 2026 | Semrush</t>
  </si>
  <si>
    <t>Passion Digital, The SEO Works, ROAST, Found</t>
  </si>
  <si>
    <t>https://clutch.co/agencies/digital-marketing/uk/england/london</t>
  </si>
  <si>
    <t>Top London Digital Marketing Agencies - Jul 2026 Rankings | Clutch.co</t>
  </si>
  <si>
    <t>M3.agency, Ninja Promo, ROAST, Favoured, GA Agency, Propeller, Bird Marketing, Passion Digital, Impression</t>
  </si>
  <si>
    <t>https://clutch.co/agencies/media-buying/uk</t>
  </si>
  <si>
    <t>Top Media Buying Agencies in the United Kingdom - Jul 2026 Rankings | Clutch.co</t>
  </si>
  <si>
    <t>ROAST, Impression, NP Digital, Propellernet</t>
  </si>
  <si>
    <t>https://clutch.co/agencies/ppc/google-adwords/uk</t>
  </si>
  <si>
    <t>Top Adwords PPC Agencies in the United Kingdom - Jul 2026 Rankings | Clutch.co</t>
  </si>
  <si>
    <t>Propeller, Push, ROAST, M3.agency, Momentum, Launch Online, Huge, Ninja Promo, The SEO Works, Soap Media, GA Agency, Measured, Impression, ClickSlice, Found</t>
  </si>
  <si>
    <t>https://www.expertsure.com/uk/ai-tools/best-ai-consultants/</t>
  </si>
  <si>
    <t>Best AI Automation Consultants UK 2026 | ExpertSure</t>
  </si>
  <si>
    <t>Found, Momentum, ClickSlice</t>
  </si>
  <si>
    <t>https://www.gambitagency.co.uk/blog/10-best-paid-social-agencies</t>
  </si>
  <si>
    <t>Top 10 Paid Social Agencies UK 2025 - Gambit Agency</t>
  </si>
  <si>
    <t>The Social Shepherd, Impression, Found, Soap Media, Make Agency, Disrupt Marketing</t>
  </si>
  <si>
    <t>https://limeup.io/blog/digital-marketing-agency/</t>
  </si>
  <si>
    <t>Top 15 Digital Marketing Agencies in the UK (2026)</t>
  </si>
  <si>
    <t>Passion Digital, McKinsey &amp; Company, Huge</t>
  </si>
  <si>
    <t>https://www.margen.net/best-geo-agencies-uk-2026-the-complete-comparison-guide/</t>
  </si>
  <si>
    <t>Best GEO Agencies UK 2026: The Complete Comparison Guide | MarGen</t>
  </si>
  <si>
    <t>Buried Agency, ClickSlice, Found, Whitehat, Hallam, Passion Digital, Bird Marketing</t>
  </si>
  <si>
    <t>https://www.marketingagencyindex.com/uk/services/social-media-advertising</t>
  </si>
  <si>
    <t>Best Social Media Advertising Agencies in the UK | Agency Index</t>
  </si>
  <si>
    <t>Momentum, GA Agency, The SEO Works, Measured</t>
  </si>
  <si>
    <t>Found, WebFX</t>
  </si>
  <si>
    <t>https://www.superhub.biz/top-5-aeo-and-geo-agencies-uk-2026</t>
  </si>
  <si>
    <t>Top 5 AEO and GEO Agencies UK 2026 (Compared)</t>
  </si>
  <si>
    <t>Tinuiti, Measured, The SEO Works, Charle Agency, Merkle</t>
  </si>
  <si>
    <t>https://www.topseobrands.com/uk/best-display-advertising-firms-in-uk</t>
  </si>
  <si>
    <t>Best Display Advertising Firms in United Kingdom | Top SEO Brands</t>
  </si>
  <si>
    <t>We Are Social, Found</t>
  </si>
  <si>
    <t>https://aeoagencyservices.com/aeo-uk</t>
  </si>
  <si>
    <t>Top AEO Services UK | Expert AEO Agency United Kingdom</t>
  </si>
  <si>
    <t>https://agencies.semrush.com/list/analytics-data-science/united-kingdom/</t>
  </si>
  <si>
    <t>Best Data Analytics Services in United Kingdom 2026 | Semrush</t>
  </si>
  <si>
    <t>Found, The SEO Works, Huge</t>
  </si>
  <si>
    <t>https://clutch.co/agencies/programmatic/uk</t>
  </si>
  <si>
    <t>Top Programmatic Advertising Companies in the United Kingdom - Jul 2026 Rankings \| Clutch.co</t>
  </si>
  <si>
    <t>ROAST, Ninja Promo, The SEO Works, M3.agency</t>
  </si>
  <si>
    <t>https://clutch.co/agencies/sem/uk</t>
  </si>
  <si>
    <t>Top Search Engine Marketing Agencies in the United Kingdom - Jul 2026 Rankings | Clutch.co</t>
  </si>
  <si>
    <t>Huge, The SEO Works, ROAST, M3.agency, GA Agency, Ninja Promo, Propeller, Soap Media, Found, ClickSlice, Impression, Passion Digital, Genie Crawl</t>
  </si>
  <si>
    <t>https://www.digitalreference.co/insights/marketing-professionals/best-digital-marketing-agencies-companies-in-uk</t>
  </si>
  <si>
    <t>Best Digital Marketing Agencies &amp;amp; Digital Marketing Firms in the UK</t>
  </si>
  <si>
    <t>https://www.ecomone.com/insights/top-geo-agencies-uk/</t>
  </si>
  <si>
    <t>Top 10 Best GEO Agencies in the UK (2026) - eComOne</t>
  </si>
  <si>
    <t>Passion Digital, Blue Array, Exposure Ninja, ClickSlice, Builtvisible, Propellernet, Polaris</t>
  </si>
  <si>
    <t>https://factoryjet.com/blog/best-ai-seo-agencies-uk</t>
  </si>
  <si>
    <t>The 10 Best AI SEO Agencies in the UK (2026)</t>
  </si>
  <si>
    <t>Found, The SEO Works, Blue Array, Screaming Frog, Varn, GA Agency, Passion Digital, Brainlabs, Builtvisible, Deloitte Digital</t>
  </si>
  <si>
    <t>Ruler Analytics, Disrupt Marketing, Push, Triple Whale, Rockerbox, Impression, Northbeam</t>
  </si>
  <si>
    <t>https://joinupscale.com/blog/top-google-shopping-ads-agencies-uk/</t>
  </si>
  <si>
    <t>Top Google Shopping Ads Agencies UK: Shortlist &amp;amp; RFP Guide 2026</t>
  </si>
  <si>
    <t>Impression, Found</t>
  </si>
  <si>
    <t>The SEO Works, Measured, Jellyfish, Builtvisible, Siege Media, NP Digital, Brainlabs, WebFX</t>
  </si>
  <si>
    <t>https://www.sortlist.co.uk/s/performance-marketing/england-england-gb</t>
  </si>
  <si>
    <t>The 10 Best Performance Marketing Agencies in England - 2026 Reviews</t>
  </si>
  <si>
    <t>Momentum, M3.agency, Found, McKinsey &amp; Company</t>
  </si>
  <si>
    <t>https://sourceforge.net/software/incrementality-testing/uk/</t>
  </si>
  <si>
    <t>Best Incrementality Testing Tools in the UK of 2026 - Reviews &amp;amp; Comparison</t>
  </si>
  <si>
    <t>Measured, Sellforte, Rockerbox, Recast, Haus, Analytic Partners, Push</t>
  </si>
  <si>
    <t>https://swifterm.com/top-google-ad-agencies-in-the-united-kingdom/</t>
  </si>
  <si>
    <t>Top Google-Ad Agencies In The UK - SwiftERM AI Technology</t>
  </si>
  <si>
    <t>Push, Push Group, PPC Geeks</t>
  </si>
  <si>
    <t>https://thedigitalmaze.com/blog/top-10-ppc-agencies-in-the-uk-2026/</t>
  </si>
  <si>
    <t>Top 10 PPC Agencies in the UK (2026)</t>
  </si>
  <si>
    <t>Found, Croud, Huge, Impression, Journey Further, Bind Media, Push, Push Group, Jellyfish, PPC Geeks, Propeller</t>
  </si>
  <si>
    <t>https://themanifest.com/creative/agencies/uk</t>
  </si>
  <si>
    <t>The Best Creative Companies in United Kingdom - Jul 2026 | The Manifest</t>
  </si>
  <si>
    <t>Chello, Favoured</t>
  </si>
  <si>
    <t>https://agencies.semrush.com/list/advertising/united-kingdom/</t>
  </si>
  <si>
    <t>Best Advertising Agencies in United Kingdom 2026 | Semrush</t>
  </si>
  <si>
    <t>Found, Impression, Click Intelligence, Passion Digital, Soap Media</t>
  </si>
  <si>
    <t>https://agencies.semrush.com/list/display-advertising/united-kingdom/mid-business/</t>
  </si>
  <si>
    <t>Best Display Ads Agencies for Mid Business in United Kingdom 2026 | Semrush</t>
  </si>
  <si>
    <t>Found, Passion Digital, Soap Media, The SEO Works</t>
  </si>
  <si>
    <t>https://ampliflow.ai/blog/best-ai-agencies-uk-2026</t>
  </si>
  <si>
    <t>Best AI Agencies in the UK: The 2026 Definitive Guide</t>
  </si>
  <si>
    <t>Gripped</t>
  </si>
  <si>
    <t>https://atomicdigitalmarketing.co.uk/</t>
  </si>
  <si>
    <t>Top Digital Marketing Agency UK | Full Service Online Marketing Company</t>
  </si>
  <si>
    <t>https://www.cornishwebservices.co.uk/articles/marketing/Top-10-PPC-Agencies-in-the-UK-in-2026.html</t>
  </si>
  <si>
    <t>Impression, Brainlabs, Hallam, Croud, Found, Push, Push Group</t>
  </si>
  <si>
    <t>https://dramatik.com/blog/google-ads-agencies-uk/</t>
  </si>
  <si>
    <t>Best Google Ads Agencies in the UK (Updated for 2025) - Dramatik</t>
  </si>
  <si>
    <t>Push, Push Group, The Social Shepherd, PPC Geeks, The Brains, Clarity Performance</t>
  </si>
  <si>
    <t>https://ecomposer.io/blogs/comparison/data-driven-marketing-agencies-uk</t>
  </si>
  <si>
    <t>10 Best Data-Driven Marketing Agencies in the UK for 2026 – EComposer</t>
  </si>
  <si>
    <t>Found, Impression, Croud, Brainlabs, Hallam, Push, Push Group, Huge, Bind Media</t>
  </si>
  <si>
    <t>https://www.influencer-hero.com/de/blogs/top-paid-media-agencies-in-the-united-kingdom</t>
  </si>
  <si>
    <t>Die Top 10 Paid-Media-Agenturen im Vereinigten Königreich</t>
  </si>
  <si>
    <t>https://pearllemon.com/top-paid-media-agencies-uk/</t>
  </si>
  <si>
    <t>Top Paid Media Agencies In The UK For Business Services</t>
  </si>
  <si>
    <t>The Social Shepherd, Disruptive Advertising, Ninja Promo, Impression, ClickSlice, PPC Geeks, Found, Make Agency, Soap Media</t>
  </si>
  <si>
    <t>Single Grain, NoGood</t>
  </si>
  <si>
    <t>https://www.reddit.com/r/Topagencies/comments/1spi0q0/top_ppc_agencies_in_england_packages_pricing_cost/</t>
  </si>
  <si>
    <t>Top PPC Agencies in England — Packages, Pricing, Cost &amp;amp; Services Guide</t>
  </si>
  <si>
    <t>Impression, PPC Geeks, Bind Media, The SEO Works, Passion Digital</t>
  </si>
  <si>
    <t>https://semnexus.com/top-aeo-agencies-london</t>
  </si>
  <si>
    <t>Top AEO Agencies in London: Dominating AI Search in 2026 | SEM Nexus</t>
  </si>
  <si>
    <t>https://www.seoworks.com/lists/20-best-digital-marketing-companies-in-the-uk/</t>
  </si>
  <si>
    <t>20 Best Digital Marketing Companies in the UK (2026) | January 15, 2026</t>
  </si>
  <si>
    <t>The SEO Works, Brainlabs, Builtvisible, Propellernet, Varn, ROAST</t>
  </si>
  <si>
    <t>https://www.softomatesolutions.com/blog/best-ai-strategy-consultants-london/</t>
  </si>
  <si>
    <t>Best AI Strategy Consultants London 2026: Hire Vetted Experts for Your AI Roadmap</t>
  </si>
  <si>
    <t>Found, QuantumBlack, Measured</t>
  </si>
  <si>
    <t>https://www.sortlist.co.uk/s/artificial-intelligence/london-england-gb</t>
  </si>
  <si>
    <t>The 10 Best Artificial Intelligence Agencies in London - 2026 Reviews</t>
  </si>
  <si>
    <t>Impression, Push, Triple Whale, Northbeam, WPP</t>
  </si>
  <si>
    <t>https://techbehemoths.com/companies/google-ads/united-kingdom</t>
  </si>
  <si>
    <t>Top 20+ Google Ads Agencies in United Kingdom (2026) - TechBehemoths</t>
  </si>
  <si>
    <t>Found, Bird Marketing, Soap Media, The SEO Works, Disruptive Advertising, Impression</t>
  </si>
  <si>
    <t>https://www.wildishandco.co.uk/blog/best-creative-agencies-lifestyle-brands-uk</t>
  </si>
  <si>
    <t>Best Creative Agencies for Lifestyle Brands in the UK | Wildish &amp;amp; Co.</t>
  </si>
  <si>
    <t>Northbeam, Merkle, Wpromote, PwC</t>
  </si>
  <si>
    <t>https://agencies.semrush.com/list/search-engine-marketing/united-kingdom/</t>
  </si>
  <si>
    <t>Best Search Engine Marketing Companies in United Kingdom 2026 | Semrush</t>
  </si>
  <si>
    <t>Found, Impression, Bird Marketing, Measured, Click Intelligence, Passion Digital, Soap Media</t>
  </si>
  <si>
    <t>https://www.design-intellect.co.uk/top_50_advertising_marketing_agencies_list.html</t>
  </si>
  <si>
    <t>List of 50 of the top award winning advertising and marketing agencies in the UK</t>
  </si>
  <si>
    <t>AMV BBDO, Found, BBH London, Huge, YouGov, Dentsu, Saatchi &amp; Saatchi, Mother London, Ogilvy, Publicis Groupe, VCCP, We Are Social, Disrupt Marketing</t>
  </si>
  <si>
    <t>https://digitalagencynetwork.com/agencies/uk/branding/</t>
  </si>
  <si>
    <t>Top Branding Agencies in UK (2026)</t>
  </si>
  <si>
    <t>Favoured, Bird Marketing, Hallam, M3.agency, Impression</t>
  </si>
  <si>
    <t>https://hikemytraffic.com/ai-social-media-marketing-agencies-in-uk/</t>
  </si>
  <si>
    <t>12 Best AI social media marketing agencies in UK (2026)</t>
  </si>
  <si>
    <t>NoGood, Omniscient Digital, Siege Media, Measured</t>
  </si>
  <si>
    <t>https://nautilusmarketing.co.uk/top-15-paid-media-agencies-in-the-uk-2025/</t>
  </si>
  <si>
    <t>https://neuraladx.com/top-5-geo-agencies-uk-2026-review/</t>
  </si>
  <si>
    <t>Top 5 GEO Agencies UK (2026 Review) - NeuralAdX Ltd</t>
  </si>
  <si>
    <t>Found, Exposure Ninja, Measured</t>
  </si>
  <si>
    <t>https://www.reddit.com/r/aeo/comments/1sf4z2h/what_are_the_top_ai_visibility_agencies_in_the_uk/</t>
  </si>
  <si>
    <t>what are the top AI visibility agencies in the UK? Looking for recommendations</t>
  </si>
  <si>
    <t>Found, Momentum, Impression, Whitehat, 9AM</t>
  </si>
  <si>
    <t>https://www.seo.com/agency/best-digital-marketing-companies-uk/</t>
  </si>
  <si>
    <t>The 10 Best Digital Marketing Companies in the UK in 2026</t>
  </si>
  <si>
    <t>WebFX, M3.agency, The SEO Works, Ninja Promo</t>
  </si>
  <si>
    <t>https://weframetech.com/blog/top-ai-marketing-agencies-in-london-2026-for-growth</t>
  </si>
  <si>
    <t>London’s 7 Best AI Marketing Agencies to Boost Growth 2026</t>
  </si>
  <si>
    <t>Koozai, Open Partners, Propeller</t>
  </si>
  <si>
    <t>https://agencies.semrush.com/list/ai-optimization/united-kingdom/enterprise-business/</t>
  </si>
  <si>
    <t>Best AI Search Optimization Agencies for Enterprise Business in United Kingdom 2026 | Semrush</t>
  </si>
  <si>
    <t>Found, Measured, Click Intelligence, Momentum, The SEO Works, Gravity Global, ROAST, Huge</t>
  </si>
  <si>
    <t>https://agencies.semrush.com/list/analytics-data-science/business-professional-services/united-kingdom/</t>
  </si>
  <si>
    <t>Best B2B Services Data Analytics Services in United Kingdom 2026 | Semrush</t>
  </si>
  <si>
    <t>Found, The SEO Works, Huge, Measured</t>
  </si>
  <si>
    <t>Ninja Promo, Soap Media, Found, The SEO Works, GA Agency</t>
  </si>
  <si>
    <t>McKinsey &amp; Company, QuantumBlack, EY, PwC, Measured</t>
  </si>
  <si>
    <t>https://www.elevateai.co.uk/blog/ai-automation-agencies-uk-2026</t>
  </si>
  <si>
    <t>Best AI Automation Agencies UK 2026: Shortlist by Price, Proof, and SME Fit</t>
  </si>
  <si>
    <t>Favoured, Measured</t>
  </si>
  <si>
    <t>https://gulftagline.ae/2025/03/06/the-5-best-advertising-and-marketing-agencies-in-the-uk/</t>
  </si>
  <si>
    <t>The 5 Best Advertising and Marketing Agencies in the UK – GulfTagline Magazine</t>
  </si>
  <si>
    <t>BBH London, Adam&amp;eveDDB, The Social Shepherd</t>
  </si>
  <si>
    <t>https://lengreo.com/performance-marketing-agencies-in-the-uk/</t>
  </si>
  <si>
    <t>Unlocking Success: Top Performance Marketing Agencies in the UK</t>
  </si>
  <si>
    <t>The Social Shepherd, Directive Consulting, The Brains, Gravity Global, Gripped</t>
  </si>
  <si>
    <t>https://levelupleads.co.uk/best-ai-seo-agency-uk/</t>
  </si>
  <si>
    <t>7 Best AI SEO Agencies in the UK (2026)</t>
  </si>
  <si>
    <t>Found, Blue Array, The SEO Works, Hallam, Varn</t>
  </si>
  <si>
    <t>https://www.reddit.com/r/PPC/comments/15afa5c/best_agencies_for_paid_media_ld_uk/#:~:text=In%20the%20UK%2C%20many%20big,enjoy%20the%20outstanding%20training%20programs.</t>
  </si>
  <si>
    <t>Best agencies for Paid Media L&amp;amp;D (UK)</t>
  </si>
  <si>
    <t>Merkle, Dentsu</t>
  </si>
  <si>
    <t>https://snowballcreations.com/the-11-top-google-ads-agencies-in-the-uk-2026/</t>
  </si>
  <si>
    <t>Best Google Ads Agencies in the UK: Top 11 Picks for PPC | Snowball Creations</t>
  </si>
  <si>
    <t>The Good Marketer, Found</t>
  </si>
  <si>
    <t>https://www.sortlist.co.uk/s/ai-marketing/greater-london-england-gb</t>
  </si>
  <si>
    <t>The 10 Best AI Marketing Companies in Greater London - 2026 Reviews</t>
  </si>
  <si>
    <t>https://www.sortlist.co.uk/s/paid-media/england-england-gb</t>
  </si>
  <si>
    <t>The 10 Best Paid Media Agencies in England - 2026 Reviews</t>
  </si>
  <si>
    <t>Push, Triple Whale, Northbeam, Found, Momentum, M3.agency, McKinsey &amp; Company</t>
  </si>
  <si>
    <t>https://startups.co.uk/marketing/best-social-media-marketing-agencies-uk/</t>
  </si>
  <si>
    <t>10 Best social media marketing agencies in the UK | Startups.co.uk</t>
  </si>
  <si>
    <t>We Are Social, Favoured, Huge</t>
  </si>
  <si>
    <t>Kantar, Nielsen, PwC, Merkle, WPP, Publicis Groupe, Impression</t>
  </si>
  <si>
    <t>https://bestwebdevelopers.co.uk/display-advertising/</t>
  </si>
  <si>
    <t>The Best Display Advertising Agencies in UK</t>
  </si>
  <si>
    <t>https://birdeye.com/blog/ai-companies-uk/</t>
  </si>
  <si>
    <t>AI for Multi-Location Marketing UK: Top 11 Platforms (2026)</t>
  </si>
  <si>
    <t>Disruptive Advertising, Launch Online, Found, Momentum, GA Agency</t>
  </si>
  <si>
    <t>https://clutch.co/agencies/ppc/display/uk?page=1</t>
  </si>
  <si>
    <t>Page 2 - Top Display Advertising Services in the United Kingdom - Jul 2026 Rankings \| Clutch.co</t>
  </si>
  <si>
    <t>https://www.designrush.com/agency/social-media-marketing/uk</t>
  </si>
  <si>
    <t>Top Social Media Marketing Companies in the United Kingdom | 2026</t>
  </si>
  <si>
    <t>WebFX, Nielsen, Bird Marketing, Genie Crawl, Favoured, Impression, The SEO Works</t>
  </si>
  <si>
    <t>Superside, Single Grain, Dept, NoGood, Ninja Promo, Omniscient Digital, Hallam, Favoured</t>
  </si>
  <si>
    <t>https://www.ecomone.com/insights/best-ppc-agencies/</t>
  </si>
  <si>
    <t>Top 10 Best PPC Agencies in the UK | eComOne</t>
  </si>
  <si>
    <t>Found, Brainlabs, Bind Media, Propeller, ROAST, Push, Push Group, The Social Shepherd</t>
  </si>
  <si>
    <t>https://www.found.co.uk/blog/best-generative-engine-optimisation-agencies/</t>
  </si>
  <si>
    <t>The Best Generative Engine Optimisation (GEO) Agencies 2026 \| Found</t>
  </si>
  <si>
    <t>Found, Jellyfish, Propellernet, Propeller, Hallam</t>
  </si>
  <si>
    <t>https://www.goodfirms.co/advertising-companies/creative/uk</t>
  </si>
  <si>
    <t>Top Creative Agencies in the United Kingdom - 2026 Reviews | Goodfirms</t>
  </si>
  <si>
    <t>Haus, Found</t>
  </si>
  <si>
    <t>https://www.goodfirms.co/directory/country/top-digital-marketing-companies/advertising-ppc/uk</t>
  </si>
  <si>
    <t>Top PPC Agencies in the UK - 2026 Reviews | Goodfirms</t>
  </si>
  <si>
    <t>WebFX, The SEO Works, Bird Marketing, Push, Found</t>
  </si>
  <si>
    <t>https://www.inbeat.co/articles/marketing-agencies-in-uk/</t>
  </si>
  <si>
    <t>16 Best Marketing Agencies in the UK as of 2026</t>
  </si>
  <si>
    <t>inBeat, M3.agency, Dept, Ninja Promo, Nielsen, iCrossing, NP Digital, Push, Huge, Found, Make Agency</t>
  </si>
  <si>
    <t>https://www.magnetic-london.co.uk/post/best-digital-marketing-agencies-in-the-uk-for-2026-what-they-do-why-it-matters-and-top-picks</t>
  </si>
  <si>
    <t>Best Digital Marketing Agencies in the UK for 2026: What They Do, Why It Matters, and Top Picks</t>
  </si>
  <si>
    <t>Push, Hallam, Impression, M3.agency, Brainlabs</t>
  </si>
  <si>
    <t>WebFX, Siege Media, The SEO Works</t>
  </si>
  <si>
    <t>https://www.phable.io/top-branding-agencies/top-branding-agencies-in-the-uk-2025-leaders-in-creative-identity</t>
  </si>
  <si>
    <t>Top Branding Agencies for Technology Companies in the UK in 2026: 12 Firms Reviewed by Specialism, Stage and Fit — Branding And Content Marketing For Technology</t>
  </si>
  <si>
    <t>https://www.phable.io/top-branding-agencies/top-branding-agencies-in-the-uk-experts-in-building-iconic-identities</t>
  </si>
  <si>
    <t>Top Branding Agencies in the UK | Leaders in Building Iconic Identities — Branding And Content Marketing For Technology</t>
  </si>
  <si>
    <t>Momentum, Further Group</t>
  </si>
  <si>
    <t>https://socialchameleon.com/30-marketing-agencies-uk/</t>
  </si>
  <si>
    <t>Top 30 Marketing Agencies in the UK | Social Chameleon</t>
  </si>
  <si>
    <t>Found, Ogilvy, Huge, BBH London, Dentsu, Mother London, Screaming Frog, The Good Marketer</t>
  </si>
  <si>
    <t>https://www.sortlist.co.uk/branding/united-kingdom-gb</t>
  </si>
  <si>
    <t>The 10 Best Branding Agencies in The United Kingdom - 2026 Reviews</t>
  </si>
  <si>
    <t>https://www.sortlist.co.uk/digital-marketing/united-kingdom-gb</t>
  </si>
  <si>
    <t>100+ Top Digital Marketing Agencies in the UK - 2026 Reviews</t>
  </si>
  <si>
    <t>Found, Momentum, M3.agency</t>
  </si>
  <si>
    <t>https://www.sortlist.co.uk/media-planning/united-kingdom-gb</t>
  </si>
  <si>
    <t>The 10 Best Media Agencies in The United Kingdom - 2026 Reviews</t>
  </si>
  <si>
    <t>Momentum, M3.agency, Ninja Promo, YouGov, Kantar</t>
  </si>
  <si>
    <t>https://www.sortlist.co.uk/s/attribution-marketing/united-kingdom-gb</t>
  </si>
  <si>
    <t>The 10 Best Attribution Marketing Agencies in The United Kingdom - 2026 Reviews</t>
  </si>
  <si>
    <t>https://www.sortlist.com/i/s/data-driven-marketing/united-kingdom-gb</t>
  </si>
  <si>
    <t>The 10 Best Data Driven Marketing Agencies in The United Kingdom - 2026 Reviews</t>
  </si>
  <si>
    <t>Momentum, M3.agency, Ninja Promo, Bird Marketing</t>
  </si>
  <si>
    <t>https://sunnypatel.co.uk/blog/top-geo-agencies/#:~:text=Rise%20at%20Seven%3A%20Best%20for,to%20earn%20national%20press%20coverage.</t>
  </si>
  <si>
    <t>Top GEO Agencies UK 2026: Generative Engine Specialists | Sunny Patel</t>
  </si>
  <si>
    <t>Rise at Seven, Builtvisible, Impression, Measured</t>
  </si>
  <si>
    <t>https://www.thedrum.com/news/world-creative-rankings-2026-several-dublin-agencies-break-into-uk-ireland-top-spots</t>
  </si>
  <si>
    <t>World Creative Rankings 2026: Dublin agencies break into UK &amp;amp; Ireland top spots | The Drum</t>
  </si>
  <si>
    <t>Omnicom, AMV BBDO, Adam&amp;eveDDB, VCCP, BBH London</t>
  </si>
  <si>
    <t>https://therubiconagency.com/technology-marketing-blog/top-10-b2b-ppc-agencies-uk/</t>
  </si>
  <si>
    <t>Top 10 B2B PPC Agencies in the UK (2026 Guide)</t>
  </si>
  <si>
    <t>Measured, Gripped, Brainlabs, Soap Media, Directive Consulting</t>
  </si>
  <si>
    <t>https://www.topseobrands.com/uk/london/best-display-advertising-firms</t>
  </si>
  <si>
    <t>Best Display Advertising Firms in London | Top SEO Brands</t>
  </si>
  <si>
    <t>https://arramton.com/blogs/performance-marketing-agencies</t>
  </si>
  <si>
    <t>Top Performance Marketing Agencies in the UK \| 2025 Guide</t>
  </si>
  <si>
    <t>Impression, Found, Croud, Gravity Global, Push, Push Group</t>
  </si>
  <si>
    <t>https://clutch.co/agencies/branding/uk</t>
  </si>
  <si>
    <t>Top Branding Agencies in the United Kingdom - Jul 2026 Rankings \| Clutch.co</t>
  </si>
  <si>
    <t>Chello, Impression, Polaris, Favoured, Found</t>
  </si>
  <si>
    <t>https://clutch.co/agencies/ppc/advertising-industry/uk</t>
  </si>
  <si>
    <t>Top PPC Agencies for Ad Agencies in the United Kingdom - Jul 2026 Rankings \| Clutch.co</t>
  </si>
  <si>
    <t>Launch Online, Ninja Promo, M3.agency, ClickSlice, Gripped, Genie Crawl, Impression</t>
  </si>
  <si>
    <t>https://clutch.co/agencies/ppc/display/uk/england/london</t>
  </si>
  <si>
    <t>Top Display Advertising Agencies - Jul 2026 Rankings \| Clutch.co</t>
  </si>
  <si>
    <t>Ninja Promo, Soap Media, Huge, Found, The SEO Works, GA Agency</t>
  </si>
  <si>
    <t>https://www.designrush.com/agency/ad-agencies/uk</t>
  </si>
  <si>
    <t>Top Advertising Agencies in the United Kingdom | 2026</t>
  </si>
  <si>
    <t>Favoured, PPC Geeks, Passion Digital</t>
  </si>
  <si>
    <t>https://linea-analytics.com/articles/best-marketing-mix-modeling-tools-uk/article.html</t>
  </si>
  <si>
    <t>Linea Analytics - Top 6 Marketing Mix Modelling Tools for UK Brands in 2026</t>
  </si>
  <si>
    <t>Ekimetrics</t>
  </si>
  <si>
    <t>https://macreativeag.com/digital-marketing/uk-top-digital-marketing-agencies/</t>
  </si>
  <si>
    <t>Top 10 Digital Marketing Agencies in the UK (2026) - Best for Startups &amp;amp; SMEs</t>
  </si>
  <si>
    <t>WebFX, Disruptive Advertising, Ninja Promo, Ignite Visibility, The Social Shepherd, Found, Gripped</t>
  </si>
  <si>
    <t>https://www.marketingagencyindex.com/uk/services/ppc</t>
  </si>
  <si>
    <t>Best PPC Agencies in the UK | Agency Index</t>
  </si>
  <si>
    <t>https://oyik.ai/automation/the-top-consulting-firms-in-the-uk-for-ai-gen-ai-services/</t>
  </si>
  <si>
    <t>Top AI Consulting Firms in the UK | Oyik.AI</t>
  </si>
  <si>
    <t>PwC, EY</t>
  </si>
  <si>
    <t>Directive Consulting, NoGood, Measured</t>
  </si>
  <si>
    <t>https://www.reddit.com/r/PPC/comments/1tkc7rr/which_ppc_agencies_are_actually_considered_the/</t>
  </si>
  <si>
    <t>Which PPC agencies are actually considered the best right now?</t>
  </si>
  <si>
    <t>Dentsu, Measured, WPP, Omnicom</t>
  </si>
  <si>
    <t>https://www.rzlt.io/blog/best-ai-marketing-agencies-in-2026-the-definitive-guide-by-specialty#:~:text=That%20is%20not%20how%20this%20works%20here.,top.%20%2D%20HikeMyTraffic%3A%20Award%2DWinning%20AI%20Digital%20Marketing.</t>
  </si>
  <si>
    <t>Monks, NoGood, Superside, Wpromote, Polaris, Jellyfish</t>
  </si>
  <si>
    <t>https://septemai.com/blog/top-ai-consulting-firms-companies-uk-2026</t>
  </si>
  <si>
    <t>Top AI Consulting Firms &amp;amp; Companies UK 2026 | SeptemAI</t>
  </si>
  <si>
    <t>EY</t>
  </si>
  <si>
    <t>https://www.softwaresuggest.com/services/marketing-analytics-companies/uk</t>
  </si>
  <si>
    <t>Top Marketing analytics Companies in the UK for 2025</t>
  </si>
  <si>
    <t>Disrupt Marketing</t>
  </si>
  <si>
    <t>https://www.sortlist.co.uk/s/ai-marketing/england-england-gb</t>
  </si>
  <si>
    <t>The 10 Best AI Marketing Companies in England - 2026 Reviews</t>
  </si>
  <si>
    <t>https://www.sortlist.co.uk/s/attribution-marketing/england-england-gb#:~:text=Up%20Analytics%20consist%20of%20a,for%20work%20in%20Attribution%20Marketing</t>
  </si>
  <si>
    <t>The 10 Best Attribution Marketing Agencies in England - 2026 Reviews</t>
  </si>
  <si>
    <t>https://www.sortlist.co.uk/s/marketing-analytics/west-midlands-england-gb</t>
  </si>
  <si>
    <t>The 10 Best Marketing Analytics Companies in West Midlands - 2026 Reviews</t>
  </si>
  <si>
    <t>Momentum, M3.agency, Ninja Promo</t>
  </si>
  <si>
    <t>https://www.thesmallbizexpert.co.uk/blog/best-ai-seo-agencies-uk</t>
  </si>
  <si>
    <t>Best AI SEO Agencies UK | The Small Biz Expert</t>
  </si>
  <si>
    <t>Found, The SEO Works, Click Intelligence, Impression, Propellernet, Rise at Seven</t>
  </si>
  <si>
    <t>https://agencies.semrush.com/list/market-analysis/united-kingdom/</t>
  </si>
  <si>
    <t>Best Market Research Companies in United Kingdom 2026 | Semrush</t>
  </si>
  <si>
    <t>Found, GA Agency, Huge</t>
  </si>
  <si>
    <t>https://agencylist.com/data-and-analytics/gb/</t>
  </si>
  <si>
    <t>Top Data and Analytics Agencies in United Kingdom</t>
  </si>
  <si>
    <t>https://aisuperior.com/ai-consulting-companies-in-the-uk/</t>
  </si>
  <si>
    <t>19 Best AI Consulting Companies in the UK (2026)</t>
  </si>
  <si>
    <t>https://www.b2bmarketing.net/reports/top-b2b-marketing-agencies-uk-2026/</t>
  </si>
  <si>
    <t>Top Marketing Agencies In The UK 2026 - B2B Marketing</t>
  </si>
  <si>
    <t>Dentsu, Gravity Global, Transmission</t>
  </si>
  <si>
    <t>https://www.bbntimes.com/companies/top-10-uk-based-ai-consulting-firms-2025</t>
  </si>
  <si>
    <t>Top 10 UK-Based AI Consulting Firms (2025)</t>
  </si>
  <si>
    <t>QuantumBlack, EY, Found</t>
  </si>
  <si>
    <t>https://bird.co.uk/</t>
  </si>
  <si>
    <t>Full Service Digital Marketing Agency UK - Award Winning - Top Rated - Bird Marketing</t>
  </si>
  <si>
    <t>https://blog.tenaciousmarketing.co.uk/top-15-best-geo-agencies-in-the-uk-2026</t>
  </si>
  <si>
    <t>Top 15 GEO Agencies in the UK for 2026 |AI Search Visibility</t>
  </si>
  <si>
    <t>Measured, Charle Agency, Blue Array, The SEO Works, Impression, Digital Landscope, Rise at Seven, Propellernet, Builtvisible, Hallam, Journey Further, Found</t>
  </si>
  <si>
    <t>https://carlosalbamedia.co.uk/best-marketing-agency-uk/</t>
  </si>
  <si>
    <t>7 Best Marketing Agency UK Picks for 2026 – Carlos Alba Media</t>
  </si>
  <si>
    <t>Jellyfish, Brainlabs, VCCP, Mother London, AMV BBDO, Impression, Rise at Seven, Momentum</t>
  </si>
  <si>
    <t>https://carmatec.co.uk/blog/top-10-ai-consultancies-in-the-uk/</t>
  </si>
  <si>
    <t>Top 10 AI Consultancies in the UK (2026) - Carmatec Digital UK</t>
  </si>
  <si>
    <t>WPP, Transmission</t>
  </si>
  <si>
    <t>https://clutch.co/agencies/ppc/display/uk?page=2</t>
  </si>
  <si>
    <t>https://www.cognitute.org/blogs/top-ai-strategy-consulting-firms-globally</t>
  </si>
  <si>
    <t>Top AI Strategy Consulting Firms Globally for Enterprise Transformation | 2026</t>
  </si>
  <si>
    <t>Found, QuantumBlack, EY, PwC, Disrupt Marketing</t>
  </si>
  <si>
    <t>https://www.goodfirms.co/advertising-companies/creative/uk?sort_by=rating</t>
  </si>
  <si>
    <t>https://www.goodfirms.co/directory/country/top-digital-marketing-companies/gb?sort_by=rating</t>
  </si>
  <si>
    <t>Bird Marketing, Found</t>
  </si>
  <si>
    <t>https://growth-labs.co.uk/best-uk-digital-marketing-agencies-2026/</t>
  </si>
  <si>
    <t>Best UK Digital Marketing Agencies 2026 | Growthlabs</t>
  </si>
  <si>
    <t>Hallam, Momentum, Impression, ROAST, Push, Brainlabs, M3.agency, Rise at Seven, Found, The SEO Works</t>
  </si>
  <si>
    <t>https://www.happyhourproductions.co.uk/insights/top-creative-agencies-2026</t>
  </si>
  <si>
    <t>Happy Hour Ranked in Campaign Magazine's Top 20 UK Creative Agencies for 2026 | Happy Hour Productions</t>
  </si>
  <si>
    <t>https://indexly.ai/blog/top-10-seo-agencies-in-london/</t>
  </si>
  <si>
    <t>10 Best SEO Agencies in London (2026 Pricing, Reviews &amp; Services)</t>
  </si>
  <si>
    <t>Directive Consulting, Impression, Found, ClickSlice, Bird Marketing, Dentsu, The SEO Works, Croud, The Good Marketer</t>
  </si>
  <si>
    <t>https://www.jdrgroup.co.uk/blog/best-ppc-agency-uk</t>
  </si>
  <si>
    <t>12 Of The Best PPC &amp;amp; Google Ads Agencies In The UK - JDR Group</t>
  </si>
  <si>
    <t>Huge, Momentum, Found, Measured, Push, Push Group, PPC Geeks, Impression, Soap Media</t>
  </si>
  <si>
    <t>https://www.marketingagencyindex.com/uk/services/programmatic</t>
  </si>
  <si>
    <t>Best Programmatic Agencies in the UK | Agency Index</t>
  </si>
  <si>
    <t>Found, Measured, Propellernet, Saatchi &amp; Saatchi, Jellyfish, Brandtech, GroupM, Omnicom, Dentsu, Push</t>
  </si>
  <si>
    <t>https://www.mida.so/cro-agency/service/a-b-testing</t>
  </si>
  <si>
    <t>Top 95 CRO Agencies Offering A/B testing (2026) | Mida</t>
  </si>
  <si>
    <t>Impression, Journey Further, NoGood, Open Partners, Tinuiti</t>
  </si>
  <si>
    <t>https://www.munro.agency/best-ai-seo-agencies-in-the-uk/</t>
  </si>
  <si>
    <t>20 Best AI SEO Agencies in the UK</t>
  </si>
  <si>
    <t>Found, Blue Array, Varn, Click Intelligence, Momentum, Bird Marketing, Exposure Ninja, Builtvisible, Genie Crawl, Passion Digital, Koozai</t>
  </si>
  <si>
    <t>https://neuraladx.com/best-ai-search-optimisation-agency-saas-companies-uk/</t>
  </si>
  <si>
    <t>Best AI Search Optimisation Agency for SaaS Companies UK</t>
  </si>
  <si>
    <t>Measured, QuantumBlack, Found, Siege Media</t>
  </si>
  <si>
    <t>Impression, WebFX, Disruptive Advertising, Dept, ClickSlice, Found</t>
  </si>
  <si>
    <t>https://oxdpr.com/creative-strategy-agencies/#:~:text=strategy%20agencies%20worldwide.-,Superside,5x%20faster%20than%20traditional%20agencies.</t>
  </si>
  <si>
    <t>Superside, inBeat, Ogilvy, Mother London, Accenture Song, Measured, Found</t>
  </si>
  <si>
    <t>https://pearllemon.com/top-performance-marketing-agencies-uk/</t>
  </si>
  <si>
    <t>Top 10 Performance Marketing Agencies In UK (2025)</t>
  </si>
  <si>
    <t>Favoured, The SEO Works, ROAST</t>
  </si>
  <si>
    <t>https://seocompare.co.uk/ai-search-agencies-uk/</t>
  </si>
  <si>
    <t>19 Best AI SEO Agencies UK | SEOCompare</t>
  </si>
  <si>
    <t>Rank4AI, ClickSlice, Propeller, Screaming Frog, Blue Array, Passion Digital, Impression, Builtvisible</t>
  </si>
  <si>
    <t>https://www.seoworks.com/lists/the-20-best-geo-agencies/</t>
  </si>
  <si>
    <t>20 Best GEO Agencies (2026) | The SEO Works</t>
  </si>
  <si>
    <t>The SEO Works, Omniscient Digital, GA Agency, Exposure Ninja</t>
  </si>
  <si>
    <t>https://smacient.com/top-ai-marketing-agencies-in-the-uk/</t>
  </si>
  <si>
    <t>Top AI Marketing Agencies in the UK - Smacient</t>
  </si>
  <si>
    <t>Impression, Open Partners, Brainlabs, Hallam, Koozai, Found</t>
  </si>
  <si>
    <t>https://softblues.io/blog/best-ai-consulting-companies-uk</t>
  </si>
  <si>
    <t>Best AI Consulting Companies in the UK (2026): Who's Good at What | SoftBlues Blog</t>
  </si>
  <si>
    <t>EY, PwC, QuantumBlack</t>
  </si>
  <si>
    <t>https://www.sortlist.co.uk/s/data-driven-marketing/united-kingdom-gb</t>
  </si>
  <si>
    <t>https://thegraygency.com/the-11-top-paid-social-agencies-for-social-media-growth/</t>
  </si>
  <si>
    <t>The 11 Top Paid Social Agencies for Social Media Growth - The Graygency</t>
  </si>
  <si>
    <t>Soap Media, We Are Social, Huge, Ninja Promo, The Social Shepherd</t>
  </si>
  <si>
    <t>https://themanifest.com/advertising/agencies/uk</t>
  </si>
  <si>
    <t>The Best Advertising Companies in United Kingdom - Jul 2026 | The Manifest</t>
  </si>
  <si>
    <t>Ninja Promo, ROAST, Favoured, M3.agency, Chello, The SEO Works</t>
  </si>
  <si>
    <t>https://ultrascout.ai/guides/agency-directory/</t>
  </si>
  <si>
    <t>Top GEO &amp;amp; AEO Agencies UK 2026: Definitive Guide | #1 UltraScout</t>
  </si>
  <si>
    <t>Charle Agency, ClickSlice, The SEO Works, Gain Theory</t>
  </si>
  <si>
    <t>https://www.webtonic.io/blog/best-ppc-agencies-uk</t>
  </si>
  <si>
    <t>The 44 Best PPC Agencies in the UK as of 2026</t>
  </si>
  <si>
    <t>PPC Geeks, Bind Media, Impression, Found, The SEO Works, Gripped, Hallam, Croud, The Social Shepherd, Koozai, Soap Media, Push, Push Group, Launch Online, The Good Marketer, LOCALiQ, Passion Digital, ClickSlice, NP Digital</t>
  </si>
  <si>
    <t>https://www.wowinfotech.co.uk/blog/google-ads-agency-uk</t>
  </si>
  <si>
    <t>10 Best Google Ads Agency UK [Updated List 2026]</t>
  </si>
  <si>
    <t>The Social Shepherd, Impression, Hallam, Found</t>
  </si>
  <si>
    <t>https://www.youtube.com/watch?v=5K95qPc0HJs</t>
  </si>
  <si>
    <t>Top 10 AI Digital Marketing Agencies in UK | AI Agents Will Change Digital Marketing</t>
  </si>
  <si>
    <t>https://www.youtube.com/watch?v=fdPFLXFJlwo&amp;t=55</t>
  </si>
  <si>
    <t>GrowthSpree, NoGood, Single Grain, Disruptive Advertising, Wpromote, Polaris</t>
  </si>
  <si>
    <t>https://www.10seos.com/gb/display-advertising-companies-in-uk</t>
  </si>
  <si>
    <t>Top 10 Display Advertising Companies For Best Services. UK | July 2026</t>
  </si>
  <si>
    <t>https://www.abbacustechnologies.com/top-ecommerce-development-companies-in-the-uk/</t>
  </si>
  <si>
    <t>Top Ecommerce Development Companies in the UK</t>
  </si>
  <si>
    <t>https://agencies.semrush.com/list/ai-optimization/london-city/mid-business/</t>
  </si>
  <si>
    <t>Best AI Search Optimization Agencies for Mid Business in London 2026 | Semrush</t>
  </si>
  <si>
    <t>https://agencies.semrush.com/list/analytics-data-science/london-city/</t>
  </si>
  <si>
    <t>Best Data Analytics Services in London 2026 | Semrush</t>
  </si>
  <si>
    <t>https://agencies.semrush.com/list/ppc/london-city/</t>
  </si>
  <si>
    <t>Best PPC Agencies in London 2026 | Semrush</t>
  </si>
  <si>
    <t>Impression, Passion Digital, Found, GA Agency, The SEO Works, ROAST</t>
  </si>
  <si>
    <t>https://agencies.semrush.com/list/programmatic-advertising/united-kingdom/</t>
  </si>
  <si>
    <t>Best Programmatic Advertising Agencies in United Kingdom 2026 | Semrush</t>
  </si>
  <si>
    <t>Found, Passion Digital, GA Agency, The SEO Works, ROAST</t>
  </si>
  <si>
    <t>https://agencylist.com/services/programmatic-display-and-video/gb/</t>
  </si>
  <si>
    <t>Top Programmatic Display and Video Agencies in United Kingdom</t>
  </si>
  <si>
    <t>https://bird.co.uk/social-media/</t>
  </si>
  <si>
    <t>Top Social Media Agency UK - Award Winning - UK Based</t>
  </si>
  <si>
    <t>https://cellsior.com/best-analytics-agencies-uk/</t>
  </si>
  <si>
    <t>Best Analytics and Reporting Agencies in the UK</t>
  </si>
  <si>
    <t>Measurelab, Anicca Digital, Screaming Frog</t>
  </si>
  <si>
    <t>Mentioned = yes</t>
  </si>
  <si>
    <t>Mentioned = no</t>
  </si>
  <si>
    <t>Power Digital, Ignite Visibility, Favoured, Ninja Promo, WebFX, Chello, ROAST, M3.agency, The SEO Works</t>
  </si>
  <si>
    <t>https://clutch.co/agencies/market-research/shopper-marketing/uk</t>
  </si>
  <si>
    <t>Top Shopper Marketing Agencies in the United Kingdom - Jul 2026 Rankings | Clutch.co</t>
  </si>
  <si>
    <t>youtube.com</t>
  </si>
  <si>
    <t>https://clutch.co/agencies/ppc/display/uk/england</t>
  </si>
  <si>
    <t>https://clutch.co/agencies/social-media-marketing/influencer/uk</t>
  </si>
  <si>
    <t>Top Influencer Advertising Agencies in the United Kingdom - Jul 2026 Rankings \| Clutch.co</t>
  </si>
  <si>
    <t>Ninja Promo, Favoured, Found, Momentum, Propeller, Impression</t>
  </si>
  <si>
    <t>How-To Guide</t>
  </si>
  <si>
    <t>https://clutch.co/consulting/ai/uk?page=3</t>
  </si>
  <si>
    <t>Page 3 - Top AI Consultants in the United Kingdom - Jul 2026 Rankings \| Clutch.co</t>
  </si>
  <si>
    <t>Single Grain, Jellyfish, Push, Huge, Found, Disruptive Advertising, Ninja Promo, PwC, Impression, WebFX</t>
  </si>
  <si>
    <t>Wpromote, Polaris, NoGood, Power Digital, Found, Huge, Push, Disruptive Advertising, Impression, PwC, Propeller, Dept</t>
  </si>
  <si>
    <t>Push, Huge, Disruptive Advertising, Bird Marketing, Impression, WebFX, Found</t>
  </si>
  <si>
    <t>https://digiscorp.com/best-ai-consulting-firms-in-london-top-ai-experts-for-your-business/</t>
  </si>
  <si>
    <t>Best AI Consulting Firms in London</t>
  </si>
  <si>
    <t>QuantumBlack</t>
  </si>
  <si>
    <t>https://www.digitalagencyleaders.net/blog/best-ai-seo-agencies-uk</t>
  </si>
  <si>
    <t>The 15 Best AI SEO Agencies in the UK (2026): GEO &amp;amp; AEO Specialists Ranked — Digital Agency Leaders Blog</t>
  </si>
  <si>
    <t>The SEO Works, Momentum, Found, Measured, Blue Array, Rise at Seven, Exposure Ninja, Impression, Passion Digital, Polaris, ClickSlice, Panovista Marketing, Hallam</t>
  </si>
  <si>
    <t>https://digitalagencynetwork.com/agencies/uk/online-advertising/</t>
  </si>
  <si>
    <t>Best Online Advertising Agencies in UK</t>
  </si>
  <si>
    <t>Favoured, GA Agency, Measured, Propeller, M3.agency, Bird Marketing, Passion Digital</t>
  </si>
  <si>
    <t>Favoured, NoGood, Ignite Visibility, Propeller, Ninja Promo, Bird Marketing, ROAST, Found, Impression</t>
  </si>
  <si>
    <t>https://digitalmarketingcompanyinlondon.com/best-10-paid-media-agencies-in-london-2025/</t>
  </si>
  <si>
    <t>Best 10 Paid Media Agencies in London (2025) – Digital Marketing Company in London</t>
  </si>
  <si>
    <t>Found, ROAST, Croud, Jellyfish, Favoured, The Good Marketer, Impression, Passion Digital</t>
  </si>
  <si>
    <t>https://www.youtube.com/watch?v=dtlZTULGX4A</t>
  </si>
  <si>
    <t>GEO Keyword Research and Tracking AI Search Results For Your Main Keywords</t>
  </si>
  <si>
    <t>https://eintelligenceweb.com/blog/top-generative-engine-optimisation-geo-agencies/</t>
  </si>
  <si>
    <t>Top Generative Engine Optimisation (GEO) Agencies in UK</t>
  </si>
  <si>
    <t>ClickSlice, Blue Array, Huge</t>
  </si>
  <si>
    <t>https://www.fieldtrip.agency/post/top-geo-agencies#:~:text=First%20Page%20Sage%20has%20built,%2C%20Alcoa%2C%20and%20U.S.%20Bancorp.</t>
  </si>
  <si>
    <t>Siege Media, WebFX, NP Digital, Omniscient Digital, Measured, Found, inBeat</t>
  </si>
  <si>
    <t>https://www.youtube.com/watch?v=AF_p3QnDcNE&amp;t=358</t>
  </si>
  <si>
    <t>https://www.goodfirms.co/advertising-companies/creative/uk?page=2</t>
  </si>
  <si>
    <t>The Social Shepherd, Mother London, Huge, Impression, Found</t>
  </si>
  <si>
    <t>5 AI Search Signals Winning Rankings in 2026</t>
  </si>
  <si>
    <t>https://www.goodfirms.co/directory/country/top-digital-marketing-companies/advertising-ppc/uk?sort_by=reviews</t>
  </si>
  <si>
    <t>Bird Marketing, WebFX, Found</t>
  </si>
  <si>
    <t>https://www.groupcaliber.com/top-reputation-monitoring-tools-and-why-stakeholder-intelligence-is-next/</t>
  </si>
  <si>
    <t>Top Reputation Monitoring Tools 2026 | Caliber</t>
  </si>
  <si>
    <t>YouGov, Kantar</t>
  </si>
  <si>
    <t>Other</t>
  </si>
  <si>
    <t>https://hikemytraffic.com/ai-digital-marketing-agencies-in-uk/</t>
  </si>
  <si>
    <t>Top 10 AI Digital Marketing Agencies in UK (2026)</t>
  </si>
  <si>
    <t>Found, The Good Marketer, Dentsu</t>
  </si>
  <si>
    <t>https://hikemytraffic.com/ai-digital-marketing-services-in-uk/</t>
  </si>
  <si>
    <t>20 Best AI Digital Marketing Services in UK</t>
  </si>
  <si>
    <t>Gripped, The Social Shepherd, Found, The Good Marketer, Bird Marketing</t>
  </si>
  <si>
    <t>https://ikon.london/articles/best-creative-agencies</t>
  </si>
  <si>
    <t>https://www.youtube.com/watch?v=LPvRUxJ5J1E</t>
  </si>
  <si>
    <t>Best Creative Agencies in London &amp;amp; Beyond | 2026 | Top 10</t>
  </si>
  <si>
    <t>AKQA, Ogilvy, Mother London</t>
  </si>
  <si>
    <t>Incrementality Testing and Marketing ROI with Aleksandra Semenenko - Data Coffee</t>
  </si>
  <si>
    <t>Article</t>
  </si>
  <si>
    <t>https://www.youtube.com/watch?v=OvrST0uq8uk</t>
  </si>
  <si>
    <t>https://www.inbeat.co/articles/advertising-agencies-in-the-uk/</t>
  </si>
  <si>
    <t>Top 20 Advertising Agencies in the UK as of 2026</t>
  </si>
  <si>
    <t>inBeat, The Social Shepherd, Adam&amp;eveDDB, BBH London, Disrupt Marketing, Measured, PPC Geeks, Favoured, Found</t>
  </si>
  <si>
    <t>How Mejuri Used Incrementality Testing to Unlock a 13% Lift in New Customer Revenue | Haus</t>
  </si>
  <si>
    <t>McKinsey &amp; Company, Momentum, Found, Wpromote, Dentsu</t>
  </si>
  <si>
    <t>https://itprofiles.com/services/ppc/uk</t>
  </si>
  <si>
    <t>Top 100+ PPC Companies in United Kingdom - Jul 2026 Rankings | ITProfiles</t>
  </si>
  <si>
    <t>https://www.youtube.com/watch?v=XhMbeN7cH34&amp;t=707</t>
  </si>
  <si>
    <t>The SEO Works, Soap Media, Found</t>
  </si>
  <si>
    <t>Incrementality Testing: How to Actually Measure Marketing Effectiveness (2026)</t>
  </si>
  <si>
    <t>Measured, Haus, Recast, Push</t>
  </si>
  <si>
    <t>https://www.youtube.com/watch?v=XuM7q15_u04</t>
  </si>
  <si>
    <t>Ninja Promo, Ignite Visibility, Found, Push, Measured</t>
  </si>
  <si>
    <t>How Incrementality Cuts Waste + What and Where to Test in Ecommerce</t>
  </si>
  <si>
    <t>Northbeam, Measured, Huge</t>
  </si>
  <si>
    <t>https://madebyshape.co.uk/web-design-blog/the-best-social-media-agencies-in-the-uk/</t>
  </si>
  <si>
    <t>The Best Social Media Agencies in the UK | MadeByShape</t>
  </si>
  <si>
    <t>The Good Marketer</t>
  </si>
  <si>
    <t>https://www.marketingagencyindex.com/uk/services/creative</t>
  </si>
  <si>
    <t>Best Creative Agencies in the UK | Agency Index</t>
  </si>
  <si>
    <t>Momentum, Mother London, Adam&amp;eveDDB</t>
  </si>
  <si>
    <t>https://marketingsignals.com/best-geo-agency-2026-the-top-generative-engine-optimisation-agencies-ranked/</t>
  </si>
  <si>
    <t>Best GEO Agency 2026: The Top Generative Engine Optimisation Agencies Ranked - Marketing Signals</t>
  </si>
  <si>
    <t>Single Grain, Measured, Transmission</t>
  </si>
  <si>
    <t>Found, NoGood, WebFX, The SEO Works, Siege Media, Omniscient Digital, Single Grain, Huge, Measured</t>
  </si>
  <si>
    <t>Siege Media, Single Grain, Omniscient Digital, NoGood</t>
  </si>
  <si>
    <t>https://www.moreaboutadvertising.com/2025/03/saatchi-saatchi-tops-uk-billings-table-publicis-is-top-group/</t>
  </si>
  <si>
    <t>Saatchi &amp; Saatchi tops UK billings table, Publicis is top group - More About Advertising</t>
  </si>
  <si>
    <t>Nielsen, Saatchi &amp; Saatchi, VCCP, BBH London, Publicis Groupe, WPP, Ogilvy, Omnicom, Adam&amp;eveDDB, AMV BBDO, Lucky Generals</t>
  </si>
  <si>
    <t>https://www.youtube.com/watch?v=ytsrFDab4QQ</t>
  </si>
  <si>
    <t>https://mqlflow.com/</t>
  </si>
  <si>
    <t>Best AI Automation Agency UK | MQLFlow</t>
  </si>
  <si>
    <t>E123: The Meta Incrementality Report: Lessons from 640 Haus Experiments</t>
  </si>
  <si>
    <t>https://www.munro.agency/best-digital-marketing-agencies-in-london/</t>
  </si>
  <si>
    <t>10 Best Digital Marketing Agencies in London for 2026</t>
  </si>
  <si>
    <t>Haus, Northbeam, Measured, Huge</t>
  </si>
  <si>
    <t>Found, Croud, Born Social, ROAST</t>
  </si>
  <si>
    <t>Croud, Saatchi &amp; Saatchi, AKQA, Ogilvy, WPP, Dentsu, Omnicom, Publicis Groupe, Accenture Song, Deloitte Digital, PwC, EY</t>
  </si>
  <si>
    <t>https://netmonkeys.co.uk/top-10-ai-gen-ai-consultancy-firms-in-the-uk-netmonkeys</t>
  </si>
  <si>
    <t>Top 10 AI &amp;amp; Gen AI Consultancy Firms in the UK | NetMonkeys</t>
  </si>
  <si>
    <t>EY, PwC</t>
  </si>
  <si>
    <t>https://neuraladx.com/best-ai-search-optimisation-agency-property-companies-uk/</t>
  </si>
  <si>
    <t>Best AI Search Optimisation Agency for Property Companies UK</t>
  </si>
  <si>
    <t>PwC, Siege Media, Found, Deloitte Digital</t>
  </si>
  <si>
    <t>https://neuraladx.com/top-10-geo-agencies-uk/</t>
  </si>
  <si>
    <t>Top 10 GEO Agencies UK for ChatGPT, Perplexity, Copilot &amp;amp; Google AI Mode</t>
  </si>
  <si>
    <t>Impression, Blue Array, Koozai, Hallam, Found, Builtvisible</t>
  </si>
  <si>
    <t>https://www.noisemediagroup.co.uk/insights/the-best-social-media-marketing-agencies-in-london-2026</t>
  </si>
  <si>
    <t>The Best Social Media Marketing Agencies in London (2026)</t>
  </si>
  <si>
    <t>The Social Shepherd, Born Social, Croud, Social Chain, We Are Social, Dept, Disrupt Marketing</t>
  </si>
  <si>
    <t>https://www.noisemediagroup.co.uk/insights/the-best-tiktok-marketing-agencies-in-the-uk-2026</t>
  </si>
  <si>
    <t>The Best TikTok Marketing Agencies in the UK (2026)</t>
  </si>
  <si>
    <t>The Social Shepherd, Disrupt Marketing, Social Chain, Brainlabs, Momentum</t>
  </si>
  <si>
    <t>https://www.youtube.com/watch?v=Ko4i_WqyPwE&amp;t=263</t>
  </si>
  <si>
    <t>Omniscient Digital, Single Grain, Found</t>
  </si>
  <si>
    <t>Digital Marketing in Australia in 2026 - Your Questions Answered | Smarter Marketer Podcast</t>
  </si>
  <si>
    <t>Rocket Agency, Huge</t>
  </si>
  <si>
    <t>https://www.youtube.com/watch?v=J3TiyuWqYng</t>
  </si>
  <si>
    <t>The #1 AI Creative Strategy That Helped This Agency Scale to 2k+ Ads Per Month</t>
  </si>
  <si>
    <t>Huge, Found, Push, Impression, Measured</t>
  </si>
  <si>
    <t>https://www.youtube.com/watch?v=KjRgCP-x_Dw</t>
  </si>
  <si>
    <t>Creative Production Operations on a Global Scale: An Agency Perspective</t>
  </si>
  <si>
    <t>WPP, Found</t>
  </si>
  <si>
    <t>https://www.youtube.com/watch?v=XGLA7lE-TLo#:~:text=In%20this%20video%2C%20I'll%20show%20you%20the,Known%20for%20clear%20results%20and%20honest%20reporting.</t>
  </si>
  <si>
    <t>15 Best AI-Powered Digital Marketing Companies in UK | Turn Your Small Business Into a Brand</t>
  </si>
  <si>
    <t>The Good Marketer, Propeller, Soap Media</t>
  </si>
  <si>
    <t>Found, Huge</t>
  </si>
  <si>
    <t>https://www.youtube.com/watch?v=osffLDnwyR8</t>
  </si>
  <si>
    <t>Attribution vs. MMM: What Really Works? | Stefan Hock (About You)</t>
  </si>
  <si>
    <t>Huge, Impression, Push</t>
  </si>
  <si>
    <t>https://www.youtube.com/watch?v=qnrNaTO7nCs</t>
  </si>
  <si>
    <t>Marketing Attribution at Lynchpin</t>
  </si>
  <si>
    <t>https://www.youtube.com/watch?v=wfXrhCjh9mA</t>
  </si>
  <si>
    <t>Top AI SEO Agencies in the UK now ‑ 3i SEO</t>
  </si>
  <si>
    <t>Rank4AI, ClickSlice, Found, Varn</t>
  </si>
  <si>
    <t>https://www.youtube.com/watch?v=IhghlPIIuic</t>
  </si>
  <si>
    <t>What Are the Best Generative Engine Optimization (GEO) Agencies in the United Arab Emirates?</t>
  </si>
  <si>
    <t>https://savit.ae/best-social-media-agencies-in-dubai-for-roi-driven-campaigns/#:~:text=Multi%2Dplatform%20expertise%20across%20Meta%2C%20LinkedIn%2C%20TikTok%2C%20YouTube%2C,Best%20for%20Paid%20Social%20ROAS%20at%20Scale.</t>
  </si>
  <si>
    <t>Best Social Media Agencies in Dubai for ROI-Driven Campaigns</t>
  </si>
  <si>
    <t>savit.ae</t>
  </si>
  <si>
    <t>https://www.youtube.com/watch?v=fAu38Nl3Iqw</t>
  </si>
  <si>
    <t>Unknown</t>
  </si>
  <si>
    <t>https://www.youtube.com/watch?v=PYot-krI4rA</t>
  </si>
  <si>
    <t>Best 15 AI-Powered Digital Marketing Services in UAE | Grow Your Business Faster with AI</t>
  </si>
  <si>
    <t>Digital Arabia, United SEO, ASTUDIO</t>
  </si>
  <si>
    <t>https://www.youtube.com/watch?v=_6r4JfsFDAQ</t>
  </si>
  <si>
    <t>Incrementality Testing in Digital Marketing &amp; testing architecture</t>
  </si>
  <si>
    <t>https://www.youtube.com/watch?v=00C1PZt8bLw&amp;vl=de&amp;t=116</t>
  </si>
  <si>
    <t>Die 5 besten GEO-Agenturen in Deutschland 2026 (Liste)</t>
  </si>
  <si>
    <t>https://www.youtube.com/watch?v=iUNdeZPBkbk</t>
  </si>
  <si>
    <t>15 Best AI Digital Marketing Agencies in Germany (2026) | You NEED These AI Agencies!</t>
  </si>
  <si>
    <t>https://www.youtube.com/watch?v=4L7On3IGqKQ</t>
  </si>
  <si>
    <t>What Are the Best Generative Engine Optimization (GEO) Agencies in Germany?</t>
  </si>
  <si>
    <t>Huge, Brainlabs</t>
  </si>
  <si>
    <t>https://www.youtube.com/watch?v=yqAWlB2swWU</t>
  </si>
  <si>
    <t>AI SEO Guide 2026: In ChatGPT gefunden werden (GEO, AEO, LLMO)</t>
  </si>
  <si>
    <t>https://www.youtube.com/watch?v=7pP2AGlSn50</t>
  </si>
  <si>
    <t>What Are the Best Generative Engine Optimization GEO Agencies in Gelsenkirchen?</t>
  </si>
  <si>
    <t>https://www.youtube.com/watch?v=JmDHPizWIOA</t>
  </si>
  <si>
    <t>What Are the Best Generative Engine Optimization (GEO) Agencies in Germany</t>
  </si>
  <si>
    <t>https://www.youtube.com/watch?v=00C1PZt8bLw&amp;vl=en</t>
  </si>
  <si>
    <t>Best GEO agencies in Germany</t>
  </si>
  <si>
    <t>https://www.youtube.com/watch?v=CS31tb_2rCc&amp;t=389</t>
  </si>
  <si>
    <t>Die BESTEN AI Tools für deutsche Agenturen</t>
  </si>
  <si>
    <t>https://www.youtube.com/watch?v=GCuRtQenQ80&amp;t=153</t>
  </si>
  <si>
    <t>The 10 best AI tools for your business</t>
  </si>
  <si>
    <t>https://www.youtube.com/watch?v=JwCJmenpGKQ&amp;t=75</t>
  </si>
  <si>
    <t>#OMR26</t>
  </si>
  <si>
    <t>Claneo, Haus, Pilot</t>
  </si>
  <si>
    <t>https://www.youtube.com/watch?v=LPvRUxJ5J1E&amp;t=45</t>
  </si>
  <si>
    <t>https://www.youtube.com/watch?v=NXkXQbQ9-kk&amp;vl=de-DE</t>
  </si>
  <si>
    <t>https://www.youtube.com/watch?v=WD-3boLVluY&amp;vl=de&amp;t=368</t>
  </si>
  <si>
    <t>The 2026 Playbook: Generative Engine Optimization &amp; LLMO</t>
  </si>
  <si>
    <t>https://www.youtube.com/watch?v=XhMbeN7cH34&amp;vl=de&amp;t=707</t>
  </si>
  <si>
    <t>https://www.youtube.com/watch?v=kfjxG-B28VY&amp;t=53</t>
  </si>
  <si>
    <t>Unlock True Marketing ROI: Incrementality Testing Explained (eBay Case Study) | Lifesight</t>
  </si>
  <si>
    <t>LifeSight</t>
  </si>
  <si>
    <t>Reddit</t>
  </si>
  <si>
    <t>https://www.reddit.com/r/MktgSupermarket/comments/1qom30j/compiled_a_directory_of_25_ai_marketing_agencies/</t>
  </si>
  <si>
    <t>Compiled a directory of 25 AI marketing agencies — here's the breakdown by category</t>
  </si>
  <si>
    <t>reddit.com</t>
  </si>
  <si>
    <t>Discussion</t>
  </si>
  <si>
    <t>SmartSites, Single Grain, Superside, DEPT, NoGood, NinjaPromo, Keenfolks, Omniscient Digital</t>
  </si>
  <si>
    <t>https://www.reddit.com/r/agency/comments/1ok212i/performance_marketing_incrementality/</t>
  </si>
  <si>
    <t>Performance Marketing Incrementality</t>
  </si>
  <si>
    <t>Haus, Measured, Recast</t>
  </si>
  <si>
    <t>https://www.reddit.com/r/b2bmarketing/comments/1t546si/the_7_leading_ai_seo_agencies_for_modern_search/</t>
  </si>
  <si>
    <t>The 7 Leading AI SEO Agencies for Modern Search</t>
  </si>
  <si>
    <t>Omniscient Digital, Siege Media, Seer Interactive, iPullRank</t>
  </si>
  <si>
    <t>https://www.reddit.com/r/LLMTraffic/comments/1t44tn7/which_geo_marketing_agencies_are_actually_worth/#:~:text=The%20strategy%20includes%20digital%20PR,designed%20to%20increase%20citation%20probability.</t>
  </si>
  <si>
    <t>Which "GEO marketing" agencies are actually worth talking to?</t>
  </si>
  <si>
    <t>https://www.reddit.com/r/SocialMediaMarketing/comments/18gblts/what_are_some_trusted_legit_a_social_media/</t>
  </si>
  <si>
    <t>What are some trusted legit A+ social media marketing agencies?</t>
  </si>
  <si>
    <t>Huge, Sociallyin, LYFE Marketing, KlientBoost</t>
  </si>
  <si>
    <t>https://www.reddit.com/r/Agentic_Marketing/comments/1ue8msc/top_ai_consulting_firms_in_the_usa_driving/</t>
  </si>
  <si>
    <t>Top AI Consulting Firms in the USA: Driving Innovation and Business Transformation in 2026</t>
  </si>
  <si>
    <t>https://www.reddit.com/r/AskMarketing/comments/1jwyn6z/a_client_is_looking_for_a_cheaper_incrementality/</t>
  </si>
  <si>
    <t>A client is looking for a cheaper incrementality testing alternative.</t>
  </si>
  <si>
    <t>Measured, Haus, LifeSight, INCRMNTAL, Huge, Northbeam, LiftLab</t>
  </si>
  <si>
    <t>https://www.reddit.com/r/DigitalMarketing/comments/1rwxybs/which_agencies_are_actually_wellknown_worldwide/</t>
  </si>
  <si>
    <t>Which agencies are actually well-known worldwide right now</t>
  </si>
  <si>
    <t>https://www.reddit.com/r/DigitalMarketing/comments/1tdfcjb/every_seo_agency_now_lists_ai_search_optimization/</t>
  </si>
  <si>
    <t>Every SEO agency now lists AI search optimization. Most are describing the wrong thing.</t>
  </si>
  <si>
    <t>https://www.reddit.com/r/DigitalMarketing/comments/1tpb0sw/mmm_tools_for_50k200kmo_ad_spend_brands_recast_vs/</t>
  </si>
  <si>
    <t>MMM tools for $50K-$200K/mo ad spend brands. Recast vs Lifesight vs in-house. real-world experience?</t>
  </si>
  <si>
    <t>Recast, LifeSight</t>
  </si>
  <si>
    <t>https://www.reddit.com/r/FacebookAds/comments/1nhohty/meta_insights_based_on_640_incrementality_tests/</t>
  </si>
  <si>
    <t>Meta Insights based on 640 Incrementality Tests</t>
  </si>
  <si>
    <t>Haus, Huge</t>
  </si>
  <si>
    <t>https://www.reddit.com/r/GrowthHacking/comments/1rri9ch/searching_for_10_ai_visibility_agency_brands_are/</t>
  </si>
  <si>
    <t>Searching for 10 AI visibility agency brands are talking about right now?</t>
  </si>
  <si>
    <t>Haus, Measured, Workmagic</t>
  </si>
  <si>
    <t>https://www.reddit.com/r/AskAnAustralian/comments/1kygrc6/advertising_agencies_in_aus/</t>
  </si>
  <si>
    <t>Advertising agencies in Aus</t>
  </si>
  <si>
    <t>HERO, Thinkerbell</t>
  </si>
  <si>
    <t>https://www.reddit.com/r/adtech/comments/1u5mwrq/measurement_source_of_truth/</t>
  </si>
  <si>
    <t>Measurement source of truth</t>
  </si>
  <si>
    <t>https://www.reddit.com/r/MktgSupermarket/comments/1qoc7o0/looking_for_digital_marketing_agencies_in_perth/</t>
  </si>
  <si>
    <t>Looking for digital marketing agencies in Perth? Here's a list of 10 options</t>
  </si>
  <si>
    <t>https://www.reddit.com/r/DigitalMarketing/comments/1pd7lti/can_someone_explain_geo_and_aeo_in_a_simple_way/#:~:text=So%20instead%20of%20just%20ranking%20on%20a,even%20on%20platforms%20like%20Google's%20answer%20box.</t>
  </si>
  <si>
    <t>Can someone explain GEO and AEO in a simple way? Trying to understand these newer terms clearly.</t>
  </si>
  <si>
    <t>https://www.reddit.com/r/DigitalMarketing/comments/1tdo237/which_performance_marketing_agencies_specialize/</t>
  </si>
  <si>
    <t>Which performance marketing agencies specialize in driving measurable leads and revenue, not just traffic?</t>
  </si>
  <si>
    <t>https://www.reddit.com/r/LLMTraffic/comments/1t44tn7/which_geo_marketing_agencies_are_actually_worth/</t>
  </si>
  <si>
    <t>Online Marketing Gurus, Earned Media, Measured</t>
  </si>
  <si>
    <t>https://www.reddit.com/r/advertising/comments/1d5ypn3</t>
  </si>
  <si>
    <t>Creative Ad Agencies in Australia?</t>
  </si>
  <si>
    <t>The Monkeys, Clemenger BBDO, HERO</t>
  </si>
  <si>
    <t>Disruptive Advertising, Power Digital, Wpromote, Ignite Visibility, Directive Consulting, Jellyfish, Merkle, NP Digital, Huge, Push</t>
  </si>
  <si>
    <t>Single Grain, Superside, Dept, NoGood, Ninja Promo, Omniscient Digital, Hallam, Favoured</t>
  </si>
  <si>
    <t>https://www.reddit.com/r/b2bmarketing/comments/1rl47cr/the_10_best_visibility_companies_and_agencies_for/#:~:text=AEO%20Collective%20is%20good%2C%20they,3mo%20ago</t>
  </si>
  <si>
    <t>Huge, Siege Media, Single Grain</t>
  </si>
  <si>
    <t>https://www.rightfirms.co/directory/geo-services/country/united-kingdom</t>
  </si>
  <si>
    <t>Top GEO Services Companies in the United Kingdom | RightFirms</t>
  </si>
  <si>
    <t>9AM, Measured</t>
  </si>
  <si>
    <t>https://socialander.com/top-digital-marketing-company-in-the-united-kingdom/</t>
  </si>
  <si>
    <t>Top Digital Marketing Company in the United Kingdom</t>
  </si>
  <si>
    <t>Huge, Impression, M3.agency, Favoured, Soap Media, Propeller, Hallam, ROAST, Gripped, We Are Social, Found</t>
  </si>
  <si>
    <t>https://www.sortlist.co.uk/s/ai-marketing/london-england-gb</t>
  </si>
  <si>
    <t>The 10 Best AI Marketing Companies in London - 2026 Reviews</t>
  </si>
  <si>
    <t>Haus, Measured, Found, Recast, Impression</t>
  </si>
  <si>
    <t>https://www.sortlist.co.uk/s/attribution-marketing/essex-england-gb</t>
  </si>
  <si>
    <t>The 10 Best Attribution Marketing Agencies in Essex - 2026 Reviews</t>
  </si>
  <si>
    <t>https://www.sortlist.co.uk/s/creative/england-england-gb</t>
  </si>
  <si>
    <t>The 10 Best Creative Agencies in England - 2026 Reviews</t>
  </si>
  <si>
    <t>https://www.reddit.com/r/Analyzify/comments/1d2js1n</t>
  </si>
  <si>
    <t>https://www.sortlist.co.uk/s/digital-advertising/united-kingdom-gb</t>
  </si>
  <si>
    <t>The Best PPC Agencies in London 2024</t>
  </si>
  <si>
    <t>The 10 Best Digital Advertising Agencies in The United Kingdom - 2026 Reviews</t>
  </si>
  <si>
    <t>Push, Push Group, The Brains, PPC Geeks</t>
  </si>
  <si>
    <t>https://www.sortlist.co.uk/s/marketing-analytics/birmingham-england-gb</t>
  </si>
  <si>
    <t>The 10 Best Marketing Analytics Companies in Birmingham - 2026 Reviews</t>
  </si>
  <si>
    <t>Push, Found</t>
  </si>
  <si>
    <t>https://www.reddit.com/r/MktgSupermarket/comments/1rqsemv/i_spent_weeks_researching_london_digital/</t>
  </si>
  <si>
    <t>https://www.sortlist.co.uk/s/paid-media/greater-london-england-gb</t>
  </si>
  <si>
    <t>The 10 Best Paid Media Agencies in Greater London - 2026 Reviews</t>
  </si>
  <si>
    <t>Push, Triple Whale, Northbeam, McKinsey &amp; Company, Momentum, M3.agency</t>
  </si>
  <si>
    <t>I spent weeks researching London digital marketing agencies - here is what I actually found</t>
  </si>
  <si>
    <t>https://www.sortlist.co.uk/s/programmatic-advertising/united-kingdom-gb</t>
  </si>
  <si>
    <t>100+ Top Programmatic Advertising Companies in the UK - 2026 Reviews</t>
  </si>
  <si>
    <t>Dept, Brainlabs, ClickSlice, Found, The Good Marketer</t>
  </si>
  <si>
    <t>Push, Triple Whale, Northbeam, Momentum, M3.agency, Impression</t>
  </si>
  <si>
    <t>https://www.reddit.com/r/agency/comments/1j8nw3r/digital_marketing_attribution_challenges/</t>
  </si>
  <si>
    <t>Digital Marketing  &amp;amp; attribution challenges</t>
  </si>
  <si>
    <t>Northbeam, Triple Whale, Measured, Recast, Rockerbox, Sellforte, Analytic Partners, Push, Cometly, Nielsen</t>
  </si>
  <si>
    <t>Huge, Measured</t>
  </si>
  <si>
    <t>https://spicyadvisory.com/blog/best-ai-consulting-firms-london-uk-2026</t>
  </si>
  <si>
    <t>Best AI Consulting Firms in London &amp;amp; the UK (2026): An Honest Comparison | Spicy Advisory</t>
  </si>
  <si>
    <t>https://www.reddit.com/r/branding/comments/d6zp5l/what_are_the_top_branding_agencies_out_there/</t>
  </si>
  <si>
    <t>QuantumBlack, Measured</t>
  </si>
  <si>
    <t>What are the top branding agencies out there?</t>
  </si>
  <si>
    <t>https://superbcompanies.com/categories/digital-marketing-companies-in-the-uk/</t>
  </si>
  <si>
    <t>Top 100 Digital Marketing Companies in the United Kingdom - Jul 2026 | Ranking | SuperbCompanies</t>
  </si>
  <si>
    <t>Bird Marketing, The SEO Works, Found, Impression</t>
  </si>
  <si>
    <t>https://www.reddit.com/r/digital_marketing/comments/1sd6dxn/whats_the_best_aeogeo_agency_that_actually_gets/</t>
  </si>
  <si>
    <t>https://techbehemoths.com/companies/google-marketing-platform/united-kingdom</t>
  </si>
  <si>
    <t>Top 20+ Google Marketing Platform Companies in United Kingdom (2026) - TechBehemoths</t>
  </si>
  <si>
    <t>What's the best AEO/GEO Agency that actually gets results?</t>
  </si>
  <si>
    <t>https://thatware.co/top-10-seo-companies-in-uk/</t>
  </si>
  <si>
    <t>Top SEO Companies in UK | 10 Best UK SEO Agencies</t>
  </si>
  <si>
    <t>Ninja Promo, Impression, Genie Crawl, Rise at Seven, Builtvisible, Whitehat</t>
  </si>
  <si>
    <t>Haus, Measured, SegmentStream, Recast, Rockerbox, Northbeam, Found</t>
  </si>
  <si>
    <t>https://www.thegrowthsyndicate.com/agencies/best-b2b-digital-marketing-agencies-uk</t>
  </si>
  <si>
    <t>https://www.reddit.com/r/smallbusiness/comments/1r3lo3y/good_agency_for_performance_marketing/</t>
  </si>
  <si>
    <t>The 11 Best B2B Digital Marketing Agencies in the UK (2026)</t>
  </si>
  <si>
    <t>The Social Shepherd, Propellernet, Dentsu, LOCALiQ, Found</t>
  </si>
  <si>
    <t>Good agency for performance marketing</t>
  </si>
  <si>
    <t>https://themanifest.com/programmatic/agencies/uk</t>
  </si>
  <si>
    <t>The Best Programmatic Advertising Companies in United Kingdom - Jun 2026 \| The Manifest</t>
  </si>
  <si>
    <t>https://thetechfounders.co.uk/guides/10-best-ai-readiness-assessment-platforms-available-in-2026/#:~:text=Avanade's%20assessment%20is%20informed%20by,human%20side%20of%20AI%20adoption.</t>
  </si>
  <si>
    <t>10 Best AI Readiness Assessment Platforms Available in 2026 | The Tech Founders</t>
  </si>
  <si>
    <t>YouGov</t>
  </si>
  <si>
    <t>https://www.reddit.com/r/UAE/comments/1gt9dr2/which_is_the_best_performance_marketing_agency_in/</t>
  </si>
  <si>
    <t>https://www.topseobrands.com/uk/best-display-advertising-firms-in-uk/page/8</t>
  </si>
  <si>
    <t>Which is the best performance marketing agency in Dubai?</t>
  </si>
  <si>
    <t>https://www.webtonic.io/blog/top-conversion-rate-optimisation-agencies-london</t>
  </si>
  <si>
    <t>25 Top Conversion Rate Optimisation Agencies in London for 2026</t>
  </si>
  <si>
    <t>Impression, Anicca Digital</t>
  </si>
  <si>
    <t>TIDAL Digital, Acquisit, Chain Reaction, PHD, Assembly MENA, NP Digital, Huge, House of Growth, NEXA, M&amp;C Saatchi Performance, Home of Performance, LUMINA, Dentsu, Merkle</t>
  </si>
  <si>
    <t>https://www.reddit.com/r/uaemarketing/comments/1m9pccx/top_rated_generative_engine_optimization_geo/</t>
  </si>
  <si>
    <t>https://www.webtonic.io/blog/top-social-media-agencies-uk</t>
  </si>
  <si>
    <t>Top 48 Social Media Agencies in the UK (Reviewed in 2026)</t>
  </si>
  <si>
    <t>The Social Shepherd, We Are Social, Social Chain, WPP, Born Social, Brainlabs, Ninja Promo, Make Agency, Croud, The Good Marketer, Gripped, Measured, inBeat, Bird Marketing, Disrupt Marketing, Soap Media</t>
  </si>
  <si>
    <t>Top Rated Generative Engine Optimization GEO Agency Dubai</t>
  </si>
  <si>
    <t>https://www.20northmarketing.com/blog/top-ai-optimization-agencies</t>
  </si>
  <si>
    <t>Royex Technologies</t>
  </si>
  <si>
    <t>https://www.reddit.com/r/AppDevelopersDubai/comments/1qy6tf9/top_10_digital_marketing_agencies_in_the_middle/#:~:text=Chain%20Reaction%20is%20a%20well,8.</t>
  </si>
  <si>
    <t>https://www.2pointagency.com/glossary/data-activation-and-first-party-data-strategy-a-comprehensive-guide-for-businesses/</t>
  </si>
  <si>
    <t>Data Activation and First-Party Data Strategy: A Comprehensive Guide for Businesses - 2POINT Agency - Best Digital Marketing Agency</t>
  </si>
  <si>
    <t>Top 10 Digital Marketing Agencies in the Middle East (2026 Updated)</t>
  </si>
  <si>
    <t>https://www.303.london/blog/top-creative-agencies-uk</t>
  </si>
  <si>
    <t>Top Creative Agencies in the UK 2023/24</t>
  </si>
  <si>
    <t>https://www.50pros.com/hire/market-research</t>
  </si>
  <si>
    <t>Single Grain, NoGood, iPullRank</t>
  </si>
  <si>
    <t>Top Market Research Agencies to Hire in June 2026</t>
  </si>
  <si>
    <t>Huge, Found, Push</t>
  </si>
  <si>
    <t>https://www.adstellar.ai/blog/media-buying-automation-tools</t>
  </si>
  <si>
    <t>Top 9 Media Buying Automation Tools: 2026… | AdStellar</t>
  </si>
  <si>
    <t>https://www.reddit.com/r/DesignDigitalProducts/comments/1tm0oqk/top_5_best_branding_agencies_in_dubai_based_on_my/</t>
  </si>
  <si>
    <t>Ogilvy, Saatchi &amp; Saatchi, The Brains, Adam&amp;eveDDB, BBH London, Found</t>
  </si>
  <si>
    <t>Top 5 Best Branding Agencies In Dubai Based On My Experience</t>
  </si>
  <si>
    <t>https://aeo-rex.com/blog/best-aeo-agencies-uk-2026</t>
  </si>
  <si>
    <t>Best AEO Agencies in the UK (2026), Answer Engine Optimisation Consultancies Ranked</t>
  </si>
  <si>
    <t>https://www.reddit.com/r/UAE/comments/1oienom/which_is_the_best_performance_and_roifocused/</t>
  </si>
  <si>
    <t>ClickSlice, The SEO Works, Push, Push Group, Varn</t>
  </si>
  <si>
    <t>https://agencies.semrush.com/list/advertising/united-kingdom/small-business/</t>
  </si>
  <si>
    <t>Which is the Best Performance and ROI-Focused Digital Marketing Agency In Dubai, UAE?</t>
  </si>
  <si>
    <t>Best Advertising Agencies for Small Business in United Kingdom 2026 | Semrush</t>
  </si>
  <si>
    <t>Found, Impression, Click Intelligence, Soap Media</t>
  </si>
  <si>
    <t>https://agencies.semrush.com/list/ai-optimization/united-kingdom/mid-business/</t>
  </si>
  <si>
    <t>Best AI Search Optimization Agencies for Mid Business in United Kingdom 2026 | Semrush</t>
  </si>
  <si>
    <t>https://www.reddit.com/r/b2bmarketing/comments/1rl47cr/the_10_best_visibility_companies_and_agencies_for/</t>
  </si>
  <si>
    <t>Huge, Siege Media, Single Grain, iPullRank, Directive, Growth Hackers</t>
  </si>
  <si>
    <t>https://www.reddit.com/r/dubai/comments/139gps7/what_are_the_most_creative_digital_marketing/</t>
  </si>
  <si>
    <t>https://agencies.semrush.com/list/machine-learning-and-ai/london-city/</t>
  </si>
  <si>
    <t>Best Machine Learning and AI Services in London 2026 | Semrush</t>
  </si>
  <si>
    <t>What are the most creative digital marketing agencies in Dubai?</t>
  </si>
  <si>
    <t>https://agencies.semrush.com/list/ppc/united-kingdom/</t>
  </si>
  <si>
    <t>Best PPC Agencies in United Kingdom 2026 | Semrush</t>
  </si>
  <si>
    <t>Found, Impression, Passion Digital, Soap Media</t>
  </si>
  <si>
    <t>Dentsu, Seven Media, Incubeta, Assembly MENA, intouch, NEXA, Red Berries, DigitalFarm</t>
  </si>
  <si>
    <t>https://www.reddit.com/r/u_odysseymarketing20/comments/1sky3gp/10_best_seo_companies_in_dubai_you_can_trust/</t>
  </si>
  <si>
    <t>Whitehat</t>
  </si>
  <si>
    <t>10 Best SEO Companies in Dubai You Can Trust</t>
  </si>
  <si>
    <t>https://agencylocator.io/r-ga-vs-accenture-interactive</t>
  </si>
  <si>
    <t>SEO Sherpa, Chain Reaction, Red Berries, Global Media Insight, United SEO, Prism Digital, Publicis Groupe, NEXA</t>
  </si>
  <si>
    <t>R/GA vs AKQA: Which Digital Agency Suits Your Needs Best? · agencylocator</t>
  </si>
  <si>
    <t>AKQA, WPP, Deloitte Digital, Huge, Accenture Song, Push, Found</t>
  </si>
  <si>
    <t>https://www.reddit.com/r/branding/comments/1s5trnk/top_10_best_international_seo_agency_in_germany/</t>
  </si>
  <si>
    <t>https://aigeo360.com/gis-companies-in-uk/</t>
  </si>
  <si>
    <t>Top 10 Best International SEO Agency in Germany (2026 Guide)</t>
  </si>
  <si>
    <t>Top 10 GIS Companies in UK | Best Geospatial Firms in 2025</t>
  </si>
  <si>
    <t>Claneo, Radyant, KlickPiloten, morefire</t>
  </si>
  <si>
    <t>https://www.reddit.com/r/Topagencies/comments/1sv50o9/top_ppc_services_agencies_in_germany_ppc_cost/</t>
  </si>
  <si>
    <t>https://alexbirkett.com/digital-pr-agencies/</t>
  </si>
  <si>
    <t>The 7 Best Digital PR Agencies in 2026 - Alex Birkett</t>
  </si>
  <si>
    <t>Omniscient Digital, Power Digital</t>
  </si>
  <si>
    <t>Top PPC Services Agencies in Germany – PPC Cost, Pricing, Packages &amp;amp; Best PPC Companies (2026 Guide)</t>
  </si>
  <si>
    <t>https://altorise.com/hub/content-marketing-agency-in-london/</t>
  </si>
  <si>
    <t>Smarketer, Peak Ace, Claneo</t>
  </si>
  <si>
    <t>Best 15 Content Marketing Agency in London in 2026 - Altorise Hub</t>
  </si>
  <si>
    <t>Passion Digital, The Good Marketer, The Social Shepherd, Found, NoGood, LOCALiQ, Measured</t>
  </si>
  <si>
    <t>https://www.amraandelma.com/sports-social-media-management-agencies/</t>
  </si>
  <si>
    <t>7 BEST SPORTS SOCIAL MEDIA MANAGEMENT AGENCIES SECRETLY DOMINATING FAN CULTURE IN 2026</t>
  </si>
  <si>
    <t>Momentum, Disrupt Marketing</t>
  </si>
  <si>
    <t>https://www.appearonline.co.uk/blog/best-uk-digital-marketing-agencies</t>
  </si>
  <si>
    <t>10 Best UK Digital Marketing Agencies (2026) | Appear Online</t>
  </si>
  <si>
    <t>The SEO Works, Blue Array, Builtvisible, Impression, Hallam, Found, Rise at Seven</t>
  </si>
  <si>
    <t>Found, NoGood, Momentum</t>
  </si>
  <si>
    <t>LifeSight, Dreamdata</t>
  </si>
  <si>
    <t>https://www.reddit.com/r/programmatic/comments/1nzh99f</t>
  </si>
  <si>
    <t>https://www.awarenessai.co.uk/blogs/top-geo-and-ai-visibility-agencies-in-the-uk-2026</t>
  </si>
  <si>
    <t>Top GEO and AI Visibility Agencies in the UK (2026) | AwarenessAI Blog</t>
  </si>
  <si>
    <t>Looking for reliable German publishers for programmatic display — any recommendations?</t>
  </si>
  <si>
    <t>https://www.b2bmarketing.net/top-10-uk-marketing-agencies-blog/</t>
  </si>
  <si>
    <t>Revealed: Top 10 B2B UK Agencies 2026 - B2B Marketing</t>
  </si>
  <si>
    <t>Dentsu, Gravity Global, Transmission, Momentum</t>
  </si>
  <si>
    <t>https://www.reddit.com/r/GermanCompanies/comments/1rfxt68/top_10_ai_agencies_in_germany_2026/</t>
  </si>
  <si>
    <t>https://www.back9.co.nz/how-to-find-a-certified-google-partner/</t>
  </si>
  <si>
    <t>Certified Google Partner: How to find the best one for you - Back9 Digital</t>
  </si>
  <si>
    <t>https://belkins.io/blog/best-appointment-setting-companies-uk</t>
  </si>
  <si>
    <t>7 Best B2B Appointment Setting Companies in UK for 2024</t>
  </si>
  <si>
    <t>Dept, Hawke Media</t>
  </si>
  <si>
    <t>Northbeam, Triple Whale, Rockerbox, Measured, Ruler Analytics</t>
  </si>
  <si>
    <t>https://www.reddit.com/r/DigitalMarketing/comments/1tn7zll/which_digital_marketing_agencies_are_best_at/</t>
  </si>
  <si>
    <t>Which digital marketing agencies are best at helping brands show up in AI assistants like ChatGPT and Perplexity?</t>
  </si>
  <si>
    <t>https://best-ai-readiness-assessments.com/</t>
  </si>
  <si>
    <t>Huge, NoGood, Omniscient Digital, Siege Media</t>
  </si>
  <si>
    <t>Best AI Readiness Assessments of 2026: Top 9 Ranked</t>
  </si>
  <si>
    <t>https://www.bizzabo.com/blog/top-uk-event-agencies</t>
  </si>
  <si>
    <t>The Top UK Event Agencies for 2024</t>
  </si>
  <si>
    <t>https://www.reddit.com/r/Topagencies/comments/1spi6ov/top_ppc_agencies_in_berlin_packages_pricing_cost/</t>
  </si>
  <si>
    <t>Adam&amp;eveDDB, AMV BBDO, BBH London, Push, Lucky Generals, Merkle, Mother London, Saatchi &amp; Saatchi, VCCP, WPP</t>
  </si>
  <si>
    <t>https://www.blendb2b.com/resources/best-aeo-agencies-for-b2b-companies</t>
  </si>
  <si>
    <t>The 6 best B2B AEO agencies in 2026</t>
  </si>
  <si>
    <t>Top PPC Agencies in Berlin — Packages, Pricing, Cost &amp;amp; Services Guide</t>
  </si>
  <si>
    <t>Passion Digital, Single Grain, Siege Media, Measured</t>
  </si>
  <si>
    <t>Mediacharge, PwC, MONSOON, REPLUG, Aufgesang, Measured</t>
  </si>
  <si>
    <t>https://www.reddit.com/r/Topagencies/comments/1srfjwq/top_ppc_services_agencies_in_frankfurt_package/</t>
  </si>
  <si>
    <t>Top PPC Services Agencies in Frankfurt - Package, Pricing &amp;amp; Cost Guide</t>
  </si>
  <si>
    <t>Measured, Impression, Momentum, Single Grain</t>
  </si>
  <si>
    <t>https://www.reddit.com/r/analytics/comments/1l4qcx4/what_is_incrementality_testing_and_how_is_it/?tl=de</t>
  </si>
  <si>
    <t>Found, Measured, WebFX, Ignite Visibility, Ninja Promo</t>
  </si>
  <si>
    <t>https://www.brandsandagencies.co.uk/news-insights/uk-best-integrated-marketing-agencies/</t>
  </si>
  <si>
    <t>What is Incrementality Testing? And how is it different from marketing experiments - what's the real diff?</t>
  </si>
  <si>
    <t>Top UK Integrated Marketing Agencies 2025 | Insight guide | Brands &amp;amp; Agencies</t>
  </si>
  <si>
    <t>MSQ Partners, WPP, Soap Media</t>
  </si>
  <si>
    <t>LifeSight, Haus, Measured</t>
  </si>
  <si>
    <t>https://www.reddit.com/r/analytics/comments/1q5d8wc/advice_for_the_best_customer_data_platforms_2026/</t>
  </si>
  <si>
    <t>https://brandspeak.co.uk/blog/top-10-market-research-agencies/</t>
  </si>
  <si>
    <t>Best Market Research Agencies in the UK (2026) \| Compared &amp; Reviewed</t>
  </si>
  <si>
    <t>Push, NoGood, inBeat, Disruptive Advertising, Directive Consulting, Power Digital</t>
  </si>
  <si>
    <t>advice for the best customer data platforms 2026 for unifying customer data</t>
  </si>
  <si>
    <t>https://brysa.co.uk/insights/top-ai-consulting-companies-uk</t>
  </si>
  <si>
    <t>Top AI Transformation Consulting Companies in the UK</t>
  </si>
  <si>
    <t>Huge, Omnius, Siege Media, Single Grain, iPullRank</t>
  </si>
  <si>
    <t>Omniscient Digital, Siege Media, iPullRank</t>
  </si>
  <si>
    <t>https://careerfoundry.com/en/blog/digital-marketing/top-digital-marketing-agencies/</t>
  </si>
  <si>
    <t>https://www.reddit.com/r/u_Emkutis/comments/1u2d4ma/the_best_geo_ai_search_agencies_in_europe_in_2026/</t>
  </si>
  <si>
    <t>The Top 10 Best Digital Marketing Agencies in the World</t>
  </si>
  <si>
    <t>Momentum, Huge, WebFX, Disruptive Advertising, WPP, Ogilvy, GroupM, Omnicom, Publicis Groupe, Dentsu</t>
  </si>
  <si>
    <t>The best GEO (AI search) agencies in Europe in 2026, ranked</t>
  </si>
  <si>
    <t>Radyant, Omnius, Peak Ace, Measured</t>
  </si>
  <si>
    <t>Quora</t>
  </si>
  <si>
    <t>https://cdp.com/glossary/data-management-platform-dmp-vendors/</t>
  </si>
  <si>
    <t>DMP Vendors 2026: Top Data Management Platforms | CDP.com</t>
  </si>
  <si>
    <t>Neustar, Nielsen</t>
  </si>
  <si>
    <t>https://ceek.co.uk/</t>
  </si>
  <si>
    <t>CEEK Marketing \| Best Digital Marketing Agency In London</t>
  </si>
  <si>
    <t>Push, Measured</t>
  </si>
  <si>
    <t>https://www.quora.com/What-is-the-best-AEO-agency-in-the-USA-in-2026</t>
  </si>
  <si>
    <t>quora.com</t>
  </si>
  <si>
    <t>https://clicksgeek.com/best-paid-advertising-platforms-for-small-business/</t>
  </si>
  <si>
    <t>Best Paid Advertising Platforms For Small Business 2026</t>
  </si>
  <si>
    <t>https://www.quora.com/What-are-some-AI-SEO-agencies</t>
  </si>
  <si>
    <t>What are some AI SEO agencies? - Quora</t>
  </si>
  <si>
    <t>NP Digital, Directive, Victorious, Single Grain, Siege Media</t>
  </si>
  <si>
    <t>https://www.quora.com/Which-are-the-best-social-media-marketing-agencies-in-USA</t>
  </si>
  <si>
    <t>https://www.quora.com/What-are-Berlins-best-creative-agencies-in-advertising-digital-and-production</t>
  </si>
  <si>
    <t>Measured, Push</t>
  </si>
  <si>
    <t>Huge, Jung von Matt, Scholz &amp; Friends, AKQA, Ogilvy</t>
  </si>
  <si>
    <t>NoGood, Directive Consulting, Single Grain, Ninja Promo, Found</t>
  </si>
  <si>
    <t>https://clutch.co/agencies/account-based-marketing/uk</t>
  </si>
  <si>
    <t>Top Account Based Marketing Agencies in the United Kingdom - Jul 2026 Rankings \| Clutch.co</t>
  </si>
  <si>
    <t>Found, Gripped, Momentum</t>
  </si>
  <si>
    <t>https://clutch.co/agencies/conversion-optimization/uk</t>
  </si>
  <si>
    <t>Top Conversion Rate Optimization Services in the United Kingdom - Jul 2026 Rankings \| Clutch.co</t>
  </si>
  <si>
    <t>Soap Media, Launch Online, Propeller, Found, Gripped, Bind Media</t>
  </si>
  <si>
    <t>https://clutch.co/agencies/digital-marketing#:~:text=Disruptive%20Advertising%20is%20a%20digital,driven%20approaches%20and%20proactive%20communication.</t>
  </si>
  <si>
    <t>Best Digital Marketing Agencies - Jul 2026 Rankings \| Clutch.co</t>
  </si>
  <si>
    <t>Ignite Visibility, Disruptive Advertising, Propeller, Power Digital, WebFX, GA Agency, Ninja Promo, M3.agency, ROAST, Acadia, Impression</t>
  </si>
  <si>
    <t>https://clutch.co/agencies/digital-marketing/enterprise/uk/england/london</t>
  </si>
  <si>
    <t>Top Digital Marketing Agencies for Enterprise in London - Jul 2026 Rankings \| Clutch.co</t>
  </si>
  <si>
    <t>Impression, M3.agency, Ninja Promo, ROAST, Favoured, GA Agency, Propeller, Bird Marketing, Found</t>
  </si>
  <si>
    <t>https://clutch.co/agencies/market-research/uk</t>
  </si>
  <si>
    <t>Top Market Research Companies in the United Kingdom - Jul 2026 Rankings \| Clutch.co</t>
  </si>
  <si>
    <t>medium.com</t>
  </si>
  <si>
    <t>https://medium.com/data-science-at-microsoft/how-do-you-know-your-ai-actually-works-b1a380a07825</t>
  </si>
  <si>
    <t>Disruptive Advertising, Launch Online, Momentum, GA Agency, Found</t>
  </si>
  <si>
    <t>AI evals platforms: A comparative guide for production AI systems | by Francesca Lazzeri | Data Science + AI at Microsoft | Medium</t>
  </si>
  <si>
    <t>Ninja Promo, Soap Media, Found, Impression, Huge, The SEO Works, GA Agency</t>
  </si>
  <si>
    <t>https://clutch.co/agencies/ppc/uk/england/nottingham</t>
  </si>
  <si>
    <t>Top PPC Agencies - Jul 2026 Rankings \| Clutch.co</t>
  </si>
  <si>
    <t>Propeller, Disruptive Advertising, Single Grain, Launch Online, Ninja Promo</t>
  </si>
  <si>
    <t>https://clutch.co/agencies/programmatic/uk/england/london</t>
  </si>
  <si>
    <t>Top Programmatic Advertising Agencies in London - Jul 2026 Rankings \| Clutch.co</t>
  </si>
  <si>
    <t>ROAST, Ninja Promo, Push, WPP, Omnicom</t>
  </si>
  <si>
    <t>https://clutch.co/agencies/programmatic/uk/england/manchester</t>
  </si>
  <si>
    <t>Top Programmatic Advertising Companies in Manchester - Jul 2026 Rankings \| Clutch.co</t>
  </si>
  <si>
    <t>M3.agency, The SEO Works</t>
  </si>
  <si>
    <t>https://medium.com/@tweet2faizal/best-70-digital-marketing-agencies-in-uae-a893126b7674</t>
  </si>
  <si>
    <t>https://clutch.co/agencies/programmatic/uk?page=2</t>
  </si>
  <si>
    <t>Page 2 - Top Programmatic Advertising Companies in the United Kingdom - Jul 2026 Rankings \| Clutch.co</t>
  </si>
  <si>
    <t>Best 70 Digital Marketing Agencies in UAE | by Mohamed Faizal | Medium</t>
  </si>
  <si>
    <t>https://clutch.co/agencies/social-media-marketing/tik-tok/uk</t>
  </si>
  <si>
    <t>Top TikTok Advertising Agencies in the United Kingdom - Jul 2026 Rankings \| Clutch.co</t>
  </si>
  <si>
    <t>Favoured, Ninja Promo, Soap Media, M3.agency, Huge, Propeller, Impression, Found</t>
  </si>
  <si>
    <t>Red Berries, NEXA, Digital Media Sapiens, Prism Digital, Chain Reaction, Global Media Insight, EDS FZCO, Blue Beetle, Leads Dubai, Dentsu, DigitalFarm, Integrate Solutions</t>
  </si>
  <si>
    <t>TripAdvisor</t>
  </si>
  <si>
    <t>https://clutch.co/developers/ecommerce</t>
  </si>
  <si>
    <t>Top E-Commerce Development Agencies - Jul 2026 Rankings | Clutch.co</t>
  </si>
  <si>
    <t>Found, Launch Online</t>
  </si>
  <si>
    <t>https://clutch.co/seo-firms/amazon/uk</t>
  </si>
  <si>
    <t>Top Amazon SEO Services in the United Kingdom - Jul 2026 Rankings \| Clutch.co</t>
  </si>
  <si>
    <t>https://clutch.co/seo-firms/link-building</t>
  </si>
  <si>
    <t>Top Link Building Companies - Jul 2026 Rankings \| Clutch.co</t>
  </si>
  <si>
    <t>Bird Marketing, WebFX, Ignite Visibility, Huge</t>
  </si>
  <si>
    <t>https://www.facebook.com/McKinsey/videos/only-11-of-companies-are-fully-leveraging-the-potential-of-gen-ai-quantumblack-a/932826565549113/</t>
  </si>
  <si>
    <t>https://companies.london/performance-marketing-companies/</t>
  </si>
  <si>
    <t>Top 10 Performance Marketing Companies in London | ROI Driven</t>
  </si>
  <si>
    <t>inBeat, The Social Shepherd, PMG, Bind Media</t>
  </si>
  <si>
    <t>facebook.com</t>
  </si>
  <si>
    <t>https://www.consultancy.eu/news/7008/googles-top-emea-premier-partner-digital-marketing-consultancies</t>
  </si>
  <si>
    <t>QuantumBlack, McKinsey</t>
  </si>
  <si>
    <t>Google’s top EMEA premier partner digital marketing consultancies</t>
  </si>
  <si>
    <t>Merkle, Croud, Labelium, Brainlabs, Jellyfish, Artefact</t>
  </si>
  <si>
    <t>https://www.facebook.com/tinuiti1/</t>
  </si>
  <si>
    <t>https://www.consultancy.uk/rankings/top-consulting-firms-in-the-uk-by-area-of-expertise/marketing#:~:text=Simon%2DKucher%20is%20a%20global,Publicis%20Sapient</t>
  </si>
  <si>
    <t>Top Marketing consulting firms in the UK</t>
  </si>
  <si>
    <t>EY, Ogilvy, Kantar, PwC, McKinsey &amp; Company, Merkle, Artefact, Ekimetrics</t>
  </si>
  <si>
    <t>https://www.facebook.com/business/marketing-partners/business-innovation-technology-podcast/Marketing_Mix_Modeling_Utilizing_Open_Source</t>
  </si>
  <si>
    <t>MMM: Utilizing Open Source Technologies to Improve Advertising ROI \| Meta for Business</t>
  </si>
  <si>
    <t>https://www.cornishwebservices.co.uk/articles/marketing/Top-10-Social-Media-Agencies-in-the-UK-in-2026.html</t>
  </si>
  <si>
    <t>Top 10 Social Media Agencies in the UK (2026)</t>
  </si>
  <si>
    <t>Deloitte, Measured</t>
  </si>
  <si>
    <t>Social Chain, We Are Social, Jellyfish, Passion Digital</t>
  </si>
  <si>
    <t>https://www.facebook.com/metriclabsau/</t>
  </si>
  <si>
    <t>https://www.cornishwebservices.co.uk/articles/marketing/Top-Digital-Marketing-Agencies-in-the-UK.html</t>
  </si>
  <si>
    <t>Top Digital Marketing Agencies in the UK (2026)</t>
  </si>
  <si>
    <t>Impression, Brainlabs, Hallam, Found, Croud</t>
  </si>
  <si>
    <t>https://corsactech.com/cloud-migration-service-providers</t>
  </si>
  <si>
    <t>https://www.facebook.com/sparrogram/</t>
  </si>
  <si>
    <t>Best 22 Cloud Migration Service Providers to Watch in 2026</t>
  </si>
  <si>
    <t>https://www.creativecorner.studio/blog/best-marketing-agencies-in-europe</t>
  </si>
  <si>
    <t>11 Best Marketing Agencies in Europe [2026]</t>
  </si>
  <si>
    <t>Found, The Social Shepherd, Saatchi &amp; Saatchi</t>
  </si>
  <si>
    <t>https://www.bicommunications.ae/blog/best-facebook-marketing-agencies-dubai/</t>
  </si>
  <si>
    <t>https://www.creativemarketingltd.co.uk/blog/top-fashion-marketing-agencies</t>
  </si>
  <si>
    <t>Top 20 Fashion Marketing Agencies in the UK (2026)</t>
  </si>
  <si>
    <t>Best Facebook Marketing Agencies in Dubai (2026) | Top Meta Ads Experts</t>
  </si>
  <si>
    <t>NEXA, Prism Digital, Bird Marketing, Adapts Media, Dot IT, Chain Reaction, Web Tonic, Ninja Promo, GCC Marketing, intouch</t>
  </si>
  <si>
    <t>Ninja Promo, inBeat, The Social Shepherd, Darkroom, Disruptive Advertising, NP Digital, WebFX, Found, Push</t>
  </si>
  <si>
    <t>https://www.facebook.com/incrmntal/</t>
  </si>
  <si>
    <t>https://www.decentriq.com/article/best-data-management-platforms</t>
  </si>
  <si>
    <t>Best data management platforms for advertising (2026)</t>
  </si>
  <si>
    <t>Found, Push, Impression</t>
  </si>
  <si>
    <t>https://delivix.digital/marketing/marketing-agencies-in-the-uk/</t>
  </si>
  <si>
    <t>Top 10 marketing agencies in the UK for business growth</t>
  </si>
  <si>
    <t>The Good Marketer, Passion Digital, Found</t>
  </si>
  <si>
    <t>https://www.delve.ai/blog/audience-insights-tools</t>
  </si>
  <si>
    <t>Top 13 Audience Insights Tools For Marketers in 2026 [Free+Paid]</t>
  </si>
  <si>
    <t>Momentum, YouGov</t>
  </si>
  <si>
    <t>Huge, Monks, Found, Ignite Visibility, Ruler Analytics</t>
  </si>
  <si>
    <t>https://au.linkedin.com/company/xpontechnologies</t>
  </si>
  <si>
    <t>https://www.designrush.com/agency/digital-marketing/integrated-marketing</t>
  </si>
  <si>
    <t>Top Integrated Marketing Agencies in 2026</t>
  </si>
  <si>
    <t>Momentum, PwC, Wpromote</t>
  </si>
  <si>
    <t>XPON | LinkedIn</t>
  </si>
  <si>
    <t>linkedin.com</t>
  </si>
  <si>
    <t>XPON, Momentum, Incubeta</t>
  </si>
  <si>
    <t>https://www.devopsschool.com/blog/top-10-brand-tracking-tools-features-pros-cons-comparison/</t>
  </si>
  <si>
    <t>Top 10 Brand Tracking Tools: Features, Pros, Cons &amp;amp; Comparison</t>
  </si>
  <si>
    <t>https://devsdata.com/digital-analytics-agency-top-firms/</t>
  </si>
  <si>
    <t>Digital Analytics Agency: Top 8 Firms</t>
  </si>
  <si>
    <t>https://digitalagencynetwork.com/agencies/london/creative/</t>
  </si>
  <si>
    <t>Top Creative Agencies in London (2026)</t>
  </si>
  <si>
    <t>Favoured, Propeller, FirstMotion, Impression, Make Agency, Bird Marketing</t>
  </si>
  <si>
    <t>Favoured, QuantumBlack, Propeller, GA Agency, The SEO Works, Found</t>
  </si>
  <si>
    <t>https://www.digitallitmus.com/blog/best-linkedin-marketing-agencies-for-2024</t>
  </si>
  <si>
    <t>Best LinkedIn Marketing Agencies in the UK (2025)</t>
  </si>
  <si>
    <t>The Good Marketer, Disruptive Advertising, The Social Shepherd</t>
  </si>
  <si>
    <t>https://digitalmarketingcompanyinlondon.com/top-8-display-advertising-agencies-in-london/</t>
  </si>
  <si>
    <t>Top 8 Display Advertising Agencies in London – Digital Marketing Company in London</t>
  </si>
  <si>
    <t>Found, ROAST, Croud, Passion Digital, The Good Marketer, Jellyfish, Impression, Hallam</t>
  </si>
  <si>
    <t>https://www.digitalreference.co/insights/engineering-professionals/best-ai-machine-learning-consulting-services-in-the-uk</t>
  </si>
  <si>
    <t>https://www.linkedin.com/company/mutesix</t>
  </si>
  <si>
    <t>Top United Kingdom AI &amp;amp; Machine Learning Consultants</t>
  </si>
  <si>
    <t>MuteSix | LinkedIn</t>
  </si>
  <si>
    <t>MuteSix, Common Thread Collective, Power Digital, Wpromote, Tinuiti, Monks, NoGood</t>
  </si>
  <si>
    <t>https://www.linkedin.com/company/analytics-pros</t>
  </si>
  <si>
    <t>Analytics Pros | LinkedIn</t>
  </si>
  <si>
    <t>Adswerve, InfoTrust, Tinuiti, Monks, Acxiom</t>
  </si>
  <si>
    <t>https://www.linkedin.com/company/artefact-global</t>
  </si>
  <si>
    <t>Artefact | LinkedIn</t>
  </si>
  <si>
    <t>Artefact, IBM, Momentum, BCG</t>
  </si>
  <si>
    <t>https://www.linkedin.com/company/the-social-shepherd</t>
  </si>
  <si>
    <t>The Social Shepherd | LinkedIn</t>
  </si>
  <si>
    <t>https://eakwire.com/top-8-ai-marketing-agencies-tools-strategies/</t>
  </si>
  <si>
    <t>The Social Shepherd, Huge</t>
  </si>
  <si>
    <t>Top 8 AI Marketing Agencies in 2026: Tools &amp;amp; Strategies</t>
  </si>
  <si>
    <t>Wpromote, Polaris, Jellyfish, NoGood, Single Grain, Tinuiti</t>
  </si>
  <si>
    <t>https://www.linkedin.com/company/vaynermedia</t>
  </si>
  <si>
    <t>https://www.ecomone.com/insights/ai-seo-agencies-uk/</t>
  </si>
  <si>
    <t>VaynerMedia | LinkedIn</t>
  </si>
  <si>
    <t>Top 10 AI SEO Agencies in 2026 - eComOne</t>
  </si>
  <si>
    <t>NP Digital, Measured</t>
  </si>
  <si>
    <t>VaynerMedia, Huge, DEPT, Ogilvy, Dentsu, VML, Publicis Groupe</t>
  </si>
  <si>
    <t>https://www.linkedin.com/posts/clutch-co_bestofclutch-digitalmarketing-webdevelopment-activity-7323717286719090688-G6i3</t>
  </si>
  <si>
    <t>https://www.ecomone.com/insights/best-facebook-advertising-agencies-uk/</t>
  </si>
  <si>
    <t>10 Best Facebook Advertising Agencies in the UK 2026</t>
  </si>
  <si>
    <t>The Social Shepherd, Push, Push Group, ClickSlice, Disruptive Advertising, Bird Marketing, The SEO Works, Triple Whale, Northbeam</t>
  </si>
  <si>
    <t>#bestofclutch #digitalmarketing #webdevelopment #webdesign | Clutch | 20 comments</t>
  </si>
  <si>
    <t>Clutch, Ignite Visibility, Victorious, Huge</t>
  </si>
  <si>
    <t>https://www.linkedin.com/pulse/deconstructing-common-solutions-first-party-data-pierre-cholet-booce</t>
  </si>
  <si>
    <t>Deconstructing common solutions for first-party data activation</t>
  </si>
  <si>
    <t>Epsilon</t>
  </si>
  <si>
    <t>https://au.linkedin.com/company/thinkerbellagency</t>
  </si>
  <si>
    <t>Thinkerbell | LinkedIn</t>
  </si>
  <si>
    <t>Thinkerbell, Measured, EssenceMediacom, Howatson+Company, BMF, Clemenger BBDO, Ogilvy Australia</t>
  </si>
  <si>
    <t>https://www.linkedin.com/company/sparro-digital</t>
  </si>
  <si>
    <t>Sparro | LinkedIn</t>
  </si>
  <si>
    <t>Sparro, Brainlabs, Huge, Rocket Agency, Thinkerbell, Impressive, Online Marketing Gurus</t>
  </si>
  <si>
    <t>https://au.linkedin.com/company/alley-group</t>
  </si>
  <si>
    <t>Alley Group | LinkedIn</t>
  </si>
  <si>
    <t>Alley Group, Huge, Rocket Agency</t>
  </si>
  <si>
    <t>https://au.linkedin.com/company/alpha-digital</t>
  </si>
  <si>
    <t>Alpha Digital | LinkedIn</t>
  </si>
  <si>
    <t>Alpha Digital, XPON, Momentum, Huge, Reload Media, Farsiight</t>
  </si>
  <si>
    <t>https://au.linkedin.com/company/bmf-advertising-pty-ltd-</t>
  </si>
  <si>
    <t>BMF Australia | LinkedIn</t>
  </si>
  <si>
    <t>BMF, Huge, Thinkerbell, Howatson+Company, Clemenger BBDO, Ogilvy Australia, Leo Australia</t>
  </si>
  <si>
    <t>https://au.linkedin.com/company/clemenger-bbdo</t>
  </si>
  <si>
    <t>Clemenger BBDO | LinkedIn</t>
  </si>
  <si>
    <t>Clemenger BBDO, Earned Media, OMD, Huge, Thinkerbell, Howatson+Company, BMF, Ogilvy Australia</t>
  </si>
  <si>
    <t>https://au.linkedin.com/company/droga5-anz</t>
  </si>
  <si>
    <t>https://www.ecomone.com/insights/top-best-ppc-agencies-in-the-uk-2/</t>
  </si>
  <si>
    <t>Droga5 ANZ | LinkedIn</t>
  </si>
  <si>
    <t>The Monkeys, Accenture Song, Huge, Thinkerbell, BMF, Howatson+Company, Clemenger BBDO, Ogilvy Australia, Bear Meets Eagle On Fire</t>
  </si>
  <si>
    <t>Top 5 Best PPC Agencies in the UK for 2025 | eComOne</t>
  </si>
  <si>
    <t>PPC Geeks, Bind Media, Found</t>
  </si>
  <si>
    <t>https://au.linkedin.com/company/ground-control-data</t>
  </si>
  <si>
    <t>Ground Control Data | LinkedIn</t>
  </si>
  <si>
    <t>https://ecosystem.hubspot.com/marketplace/solutions/greece</t>
  </si>
  <si>
    <t>The 32 Best Agencies or Service Providers in Greece \| HubSpot</t>
  </si>
  <si>
    <t>Whitehat, Push</t>
  </si>
  <si>
    <t>https://au.linkedin.com/company/metric-labs</t>
  </si>
  <si>
    <t>https://ensun.io/search/ai-consulting/united-kingdom</t>
  </si>
  <si>
    <t>Top 100 AI Consulting Companies in United Kingdom (2026) \| ensun</t>
  </si>
  <si>
    <t>Metric Labs | LinkedIn</t>
  </si>
  <si>
    <t>Metric Labs, Luminary</t>
  </si>
  <si>
    <t>https://au.linkedin.com/company/ogilvy-australia</t>
  </si>
  <si>
    <t>https://ensun.io/search/geospatial-data/united-kingdom</t>
  </si>
  <si>
    <t>Top 100 Geospatial Data Companies in United Kingdom (2026) \| ensun</t>
  </si>
  <si>
    <t>Ogilvy Australia | LinkedIn</t>
  </si>
  <si>
    <t>Ogilvy Australia, Huge, Thinkerbell, BMF, Saatchi &amp; Saatchi, Howatson+Company, Clemenger BBDO</t>
  </si>
  <si>
    <t>https://au.linkedin.com/company/online-marketing-gurus</t>
  </si>
  <si>
    <t>https://ensun.io/search/geospatial-gis/united-kingdom</t>
  </si>
  <si>
    <t>Top 100 Geospatial (Gis) Companies in United Kingdom (2026) \| ensun</t>
  </si>
  <si>
    <t>Online Marketing Gurus | LinkedIn</t>
  </si>
  <si>
    <t>Online Marketing Gurus, Omnicom Media Group, Huge, Rocket Agency, StudioHawk, Megaphone, Sparro, Impressive, King Kong, Clearwater Agency, First Page, DNM Digital</t>
  </si>
  <si>
    <t>https://au.linkedin.com/company/trkkn</t>
  </si>
  <si>
    <t>TRKKN | LinkedIn</t>
  </si>
  <si>
    <t>TRKKN, Omnicom Media Group, Huge, Measured, Dentsu, PHD</t>
  </si>
  <si>
    <t>https://au.linkedin.com/in/iampaulio</t>
  </si>
  <si>
    <t>Paul Hewett - In Marketing We Trust \| LinkedIn</t>
  </si>
  <si>
    <t>In Marketing We Trust, Thinkerbell, Measured</t>
  </si>
  <si>
    <t>https://uk.linkedin.com/company/lynchpin-analytics-ltd</t>
  </si>
  <si>
    <t>Lynchpin | LinkedIn</t>
  </si>
  <si>
    <t>https://factoryjet.com/blog/best-seo-agencies-uk</t>
  </si>
  <si>
    <t>The 10 Best SEO Agencies in the UK (2026)</t>
  </si>
  <si>
    <t>Brainlabs, Builtvisible, The SEO Works, Croud, Rise at Seven, Screaming Frog, Blue Array, Whitehat</t>
  </si>
  <si>
    <t>https://uk.linkedin.com/company/queryclick</t>
  </si>
  <si>
    <t>https://www.fibbler.co/blog/b2b-marketing-attribution-software</t>
  </si>
  <si>
    <t>15 Best B2B Marketing Attribution Software for 2026 | Fibbler | Fibbler</t>
  </si>
  <si>
    <t>QueryClick | LinkedIn</t>
  </si>
  <si>
    <t>Impression, Ruler Analytics, SegmentStream, Cometly, Found</t>
  </si>
  <si>
    <t>https://www.linkedin.com/pulse/top-21-data-science-consulting-companies-2026-saurabh-sharma-kzwge</t>
  </si>
  <si>
    <t>inBeat, Dentsu, We Are Social, Omnicom, Nielsen</t>
  </si>
  <si>
    <t>Top 21 Data Science Consulting Companies in 2026</t>
  </si>
  <si>
    <t>https://uk.linkedin.com/company/ruleranalytics</t>
  </si>
  <si>
    <t>Ruler Analytics | LinkedIn</t>
  </si>
  <si>
    <t>NoGood, Single Grain, inBeat, Monks, Found</t>
  </si>
  <si>
    <t>Ruler Analytics, Impression, Found, Measured, Cometly, Rockerbox, Triple Whale</t>
  </si>
  <si>
    <t>https://uk.linkedin.com/company/the-social-shepherd</t>
  </si>
  <si>
    <t>https://www.flyingvgroup.com/franchise-marketing-agency/</t>
  </si>
  <si>
    <t>Best 12 Franchise Marketing Agencies in 2026 – Flying V Group</t>
  </si>
  <si>
    <t>https://www.flyingvgroup.com/programmatic-agency/</t>
  </si>
  <si>
    <t>The Social Shepherd, Huge, We Are Social, Born Social</t>
  </si>
  <si>
    <t>ROAST, Single Grain, Power Digital</t>
  </si>
  <si>
    <t>https://uk.linkedin.com/in/digantika-mitra</t>
  </si>
  <si>
    <t>https://flypix.ai/geospatial-companies-in-london/</t>
  </si>
  <si>
    <t>Top Geospatial Companies in London: Industry Leaders</t>
  </si>
  <si>
    <t>https://www.linkedin.com/pulse/definitive-list-best-generative-engine-optimization-geo-agencies-svknc</t>
  </si>
  <si>
    <t>https://flypix.ai/geospatial-companies-in-the-uk/</t>
  </si>
  <si>
    <t>Best Generative Engine Optimization Agency Dubai: 2026</t>
  </si>
  <si>
    <t>5 Best UK Geospatial Companies in the UK (2026)</t>
  </si>
  <si>
    <t>ThatWare, Digital Gravity, NEXA, EDS FZCO</t>
  </si>
  <si>
    <t>https://www.linkedin.com/pulse/top-10-ai-consulting-services-providers-dubai-abu-dhabi-hazel-wilson-fvqvf</t>
  </si>
  <si>
    <t>Siege Media, WebFX, The Good Marketer</t>
  </si>
  <si>
    <t>Top 10 AI Consulting Services Providers in Dubai &amp; Abu Dhabi [2026 Edition]</t>
  </si>
  <si>
    <t>https://forlinux.co.uk/best-ppc-agencies-in-the-uk-for-scalable-advertising-success</t>
  </si>
  <si>
    <t>Best PPC Agencies in the UK for Scalable Advertising Success</t>
  </si>
  <si>
    <t>Brainlabs, Hallam, The Social Shepherd, PPC Geeks</t>
  </si>
  <si>
    <t>https://www.found.co.uk/blog/top-10-ppc-agencies/</t>
  </si>
  <si>
    <t>Best PPC Agencies 2026 UK | Top 10 PPC Companies | Found</t>
  </si>
  <si>
    <t>https://www.linkedin.com/posts/crystal-infoway_best-5-digital-marketing-agencies-in-uae-activity-7417873568446775297-9DW8</t>
  </si>
  <si>
    <t>Found, Propeller, Jellyfish, Impression, Journey Further, Hallam, Croud</t>
  </si>
  <si>
    <t>Found, SegmentStream, Northbeam, Push</t>
  </si>
  <si>
    <t>UAE Digital Marketing Agencies: Data-Driven Strategies for Business Growth | Crystal Infoway posted on the topic | LinkedIn</t>
  </si>
  <si>
    <t>Push, Growth Hackers, Measured</t>
  </si>
  <si>
    <t>https://www.gambitagency.co.uk/blog/the-best-ppc-agencies</t>
  </si>
  <si>
    <t>Top 19 PPC Agencies in the UK - Gambit Agency</t>
  </si>
  <si>
    <t>https://www.linkedin.com/pulse/best-10-ai-consulting-companies-dubai-uae-2025-ranjana-srivastava-2bstc</t>
  </si>
  <si>
    <t>Jellyfish, Brainlabs, Bind Media, Impression, Koozai, Croud, Push, Push Group, Disruptive Advertising, Hallam</t>
  </si>
  <si>
    <t>Best 10 AI Consulting Companies in Dubai, UAE [2025 Edition]</t>
  </si>
  <si>
    <t>Accenture Song, Deloitte Digital, Huge, Merkle, AKQA, Ogilvy, iCrossing, Bird Marketing</t>
  </si>
  <si>
    <t>Boston Consulting Group, PwC</t>
  </si>
  <si>
    <t>https://www.linkedin.com/pulse/top-branding-agencies-mena-best-middle-east-north-africa-firms-jgame</t>
  </si>
  <si>
    <t>https://www.gartner.com/reviews/market/global-digital-marketing-agencies/vendor/r-ga/product/r-ga-global-digital-marketing-services/alternatives</t>
  </si>
  <si>
    <t>Top R/GA Global Digital Marketing Services Alternatives &amp; Competitors 2026 \| Gartner Peer Insights</t>
  </si>
  <si>
    <t>Accenture Song, Huge, AKQA</t>
  </si>
  <si>
    <t>Top Branding Agencies in MENA – Best Middle East &amp; North Africa Firms</t>
  </si>
  <si>
    <t>WonderEight, WPP, McKinsey &amp; Company</t>
  </si>
  <si>
    <t>https://www.gartner.com/reviews/product/r-ga-global-digital-marketing-services/alternatives</t>
  </si>
  <si>
    <t>Top R/GA Global Digital Marketing Services Alternatives &amp;amp; Competitors 2026 | Gartner Peer Insights</t>
  </si>
  <si>
    <t>Accenture Song, Huge, AKQA, Merkle, Deloitte Digital</t>
  </si>
  <si>
    <t>https://ae.linkedin.com/in/hossameldin-kamel</t>
  </si>
  <si>
    <t>Hossam Kamel - Floward | LinkedIn</t>
  </si>
  <si>
    <t>Siege Media, Omniscient Digital, Single Grain</t>
  </si>
  <si>
    <t>Impact BBDO, Huge, Chain Reaction, PHD, Publicis Groupe, Publicis Media, Incubeta, Home of Performance</t>
  </si>
  <si>
    <t>https://ae.linkedin.com/in/raya-succar-667b23173</t>
  </si>
  <si>
    <t>https://www.geniecrawl.com/top-50-seo-agencies-in-the-uk-2026-rankings/</t>
  </si>
  <si>
    <t>Top 50 Search Engine Optimisation (SEO) Agencies in the UK (2026 Rankings)</t>
  </si>
  <si>
    <t>Genie Crawl, ClickSlice, The SEO Works, Bird Marketing, Found, Passion Digital, Momentum, The Good Marketer, LOCALiQ, Hallam, Push, Push Group, Propeller</t>
  </si>
  <si>
    <t>Raya Succar - Acquisit | LinkedIn</t>
  </si>
  <si>
    <t>Acquisit, McKinsey &amp; Company, Publicis Groupe</t>
  </si>
  <si>
    <t>https://ae.linkedin.com/in/sumedh-gaikwad-b3799854</t>
  </si>
  <si>
    <t>Sumedh Gaikwad - RAKBANK | LinkedIn</t>
  </si>
  <si>
    <t>https://ginitalent.com/top-10-creative-agencies-in-the-uk-2025-guide/</t>
  </si>
  <si>
    <t>Home of Performance, Push</t>
  </si>
  <si>
    <t>Top 10 Creative Agencies in the UK (2025 Guide) - Gini Talent</t>
  </si>
  <si>
    <t>https://au.linkedin.com/in/rami-alcheikh</t>
  </si>
  <si>
    <t>Rami Alcheikh - Emerge Digital | LinkedIn</t>
  </si>
  <si>
    <t>https://www.gohighlevel.com/post/the-ai-ready-agency-what-the-top-5-are-doing-differently</t>
  </si>
  <si>
    <t>The AI-ready agency: What the top 5% are doing differently</t>
  </si>
  <si>
    <t>https://ie.linkedin.com/company/acquisit-advertising?trk=ppro_cprof</t>
  </si>
  <si>
    <t>https://www.goodfirms.co/advertising-companies/creative</t>
  </si>
  <si>
    <t>Acquisit | LinkedIn</t>
  </si>
  <si>
    <t>Found, Daydream</t>
  </si>
  <si>
    <t>Acquisit, GCC Marketing, Huge</t>
  </si>
  <si>
    <t>https://www.goodfirms.co/advertising-companies/creative/uk?sort_by=reviews</t>
  </si>
  <si>
    <t>https://in.linkedin.com/company/nexaai-co-in</t>
  </si>
  <si>
    <t>Nexa AI | LinkedIn</t>
  </si>
  <si>
    <t>The SEO Works, Found, Daydream</t>
  </si>
  <si>
    <t>https://www.linkedin.com/company/chain-reaction-digital-services</t>
  </si>
  <si>
    <t>https://www.goodfirms.co/directory/city/top-digital-marketing-companies/advertising-ppc/london?sort_by=reviews</t>
  </si>
  <si>
    <t>Top PPC Agencies in London - 2026 Reviews | Goodfirms</t>
  </si>
  <si>
    <t>Chain Reaction | LinkedIn</t>
  </si>
  <si>
    <t>Chain Reaction, Publicis Groupe, Leo Burnett MENA, Epsilon, Memac Ogilvy, VML, NEXA</t>
  </si>
  <si>
    <t>https://www.goodfirms.co/directory/country/top-digital-marketing-companies/advertising-ppc/uk?sort_by=matrix</t>
  </si>
  <si>
    <t>https://www.linkedin.com/company/hopmarketing/?originalSubdomain=ae</t>
  </si>
  <si>
    <t>Bird Marketing, WebFX, The SEO Works, Found</t>
  </si>
  <si>
    <t>https://www.goodfirms.co/directory/country/top-digital-marketing-companies/gb?hss_channel=fbp-687194624745812utm_content%3D126613956&amp;page=2</t>
  </si>
  <si>
    <t>Home of Performance | LinkedIn</t>
  </si>
  <si>
    <t>Whitehat, Found, Bird Marketing</t>
  </si>
  <si>
    <t>Home of Performance, Créo Global, TIDAL Digital, NEXA, Prism Digital, Chain Reaction</t>
  </si>
  <si>
    <t>https://www.linkedin.com/in/khalidelsadig/</t>
  </si>
  <si>
    <t>https://www.goodfirms.co/directory/country/top-digital-marketing-companies/media-planning-buying/uk</t>
  </si>
  <si>
    <t>Top Media Buying Agencies in the United Kingdom - 2026 Reviews | Goodfirms</t>
  </si>
  <si>
    <t>WebFX, VCCP, Favoured, Omnicom, Found, Bird Marketing</t>
  </si>
  <si>
    <t>Khalid Mohamed - Acquisit | LinkedIn</t>
  </si>
  <si>
    <t>Acquisit, Push, intouch</t>
  </si>
  <si>
    <t>https://www.linkedin.com/jobs/view/4394391942/</t>
  </si>
  <si>
    <t>Chain Reaction hiring Programmatic Director / Head of Programmatic in Dubai, Dubai, United Arab Emirates | LinkedIn</t>
  </si>
  <si>
    <t>Chain Reaction, Push, Mindshare, WPP, Monks, Publicis Groupe</t>
  </si>
  <si>
    <t>https://www.linkedin.com/posts/lapaone_best-ppc-management-agencies-in-dubai-lapaone-activity-7412535693329223680-fnGx</t>
  </si>
  <si>
    <t>Siege Media, Omniscient Digital, Found, Push, Rise at Seven, Measured, Brainlabs, Tinuiti</t>
  </si>
  <si>
    <t>Dubai PPC Agencies: Scaling Business with Paid Ads | LapaOne posted on the topic | LinkedIn</t>
  </si>
  <si>
    <t>https://growth-labs.co.uk/top-50-uk-web-development-companies-2026-rankings/</t>
  </si>
  <si>
    <t>Push, INSIDEA, Nielsen</t>
  </si>
  <si>
    <t>Top 50 UK Web Development Companies | 2026 Rankings | Growthlabs</t>
  </si>
  <si>
    <t>Propeller, Impression, Dept, AKQA, Hallam, Bird Marketing</t>
  </si>
  <si>
    <t>https://www.linkedin.com/pulse/10-best-ai-development-companies-uae-leading-innovation-sophie-henry-srcec</t>
  </si>
  <si>
    <t>10 Best AI Development Companies in the UAE Leading the Innovation Race In 2026</t>
  </si>
  <si>
    <t>Ignite Visibility, Tinuiti, NoGood, iCrossing, Wpromote</t>
  </si>
  <si>
    <t>Momentum, Push, PwC, PHD, Artefact</t>
  </si>
  <si>
    <t>https://www.linkedin.com/pulse/10-best-ai-development-companies-uae-leading-race-mohammad-rahman-kqchc</t>
  </si>
  <si>
    <t>https://growthcurve.co/agency/digital-marketing-agency/best-growth-marketing-agencies#:~:text=Growthcurve%20gives%20you%20a%20complete,more%20shipped%20and%20fewer%20handoffs.</t>
  </si>
  <si>
    <t>Best Growth Marketing Agencies | Growthcurve</t>
  </si>
  <si>
    <t>Found, Push</t>
  </si>
  <si>
    <t>10 Best AI Development Companies in UAE Leading the Innovation Race</t>
  </si>
  <si>
    <t>PwC, EY, KPMG</t>
  </si>
  <si>
    <t>Epsilon, intouch</t>
  </si>
  <si>
    <t>https://www.linkedin.com/pulse/top-10-ai-prompt-engineering-service-companies-2025-jagadish-thaker-xw6lc</t>
  </si>
  <si>
    <t>GrowthSpree, Measured, Found</t>
  </si>
  <si>
    <t>Top 10 AI Prompt Engineering Service Companies in 2026</t>
  </si>
  <si>
    <t>https://www.happyhourproductions.co.uk/insights/top-tv-advertising-agencies-uk</t>
  </si>
  <si>
    <t>Top 8 TV Advertising Agencies in the UK (2026) | Happy Hour Productions</t>
  </si>
  <si>
    <t>Saatchi &amp; Saatchi, VCCP, BBH London, Mother London, AMV BBDO, Adam&amp;eveDDB, Found</t>
  </si>
  <si>
    <t>Tinuiti, Wpromote, Power Digital, WebFX, Measured, Disruptive Advertising, NP Digital, New Engen, NoGood, VML, Monks, Merkle, Siege Media</t>
  </si>
  <si>
    <t>https://www.linkedin.com/pulse/top-ai-consulting-companies-dubai-2025-global-leaders-smith-johnes-dirbc</t>
  </si>
  <si>
    <t>Siege Media, Blue Array, Measured</t>
  </si>
  <si>
    <t>Top AI Consulting Companies in Dubai (2025): Global Leaders Driving Enterprise AI Transformation</t>
  </si>
  <si>
    <t>Tinuiti, Merkle, Wpromote, Polaris, iCrossing</t>
  </si>
  <si>
    <t>PwC, McKinsey &amp; Company</t>
  </si>
  <si>
    <t>https://de.linkedin.com/company/jung-von-matt</t>
  </si>
  <si>
    <t>Found, Directive Consulting, NoGood, Single Grain, Omniscient Digital, Siege Media</t>
  </si>
  <si>
    <t>Jung von Matt | LinkedIn</t>
  </si>
  <si>
    <t>Jung von Matt, Momentum, R/GA, Scholz &amp; Friends, Serviceplan Group</t>
  </si>
  <si>
    <t>https://hikemytraffic.com/ai-digital-marketing-companies-in-uk/</t>
  </si>
  <si>
    <t>15 Best AI Digital Marketing Companies in UK (Updated 2026)</t>
  </si>
  <si>
    <t>https://de.linkedin.com/company/mawave-marketing</t>
  </si>
  <si>
    <t>Mawave | LinkedIn</t>
  </si>
  <si>
    <t>Rockerbox, Triple Whale, SegmentStream, Northbeam, Ruler Analytics, Neustar</t>
  </si>
  <si>
    <t>Mawave, Serviceplan Group</t>
  </si>
  <si>
    <t>https://de.linkedin.com/company/the-boutique-agency-de</t>
  </si>
  <si>
    <t>The Boutique Agency | LinkedIn</t>
  </si>
  <si>
    <t>The Boutique Agency, eMinded GmbH, Serviceplan Group, Smarketer, Loyamo</t>
  </si>
  <si>
    <t>https://de.linkedin.com/company/bbdo-holding-germany</t>
  </si>
  <si>
    <t>BBDO Germany | LinkedIn</t>
  </si>
  <si>
    <t>inBeat, 9AM, Momentum, Tinuiti, Bark London, The Brains, Single Grain, Found</t>
  </si>
  <si>
    <t>BBDO Germany, Huge, Omnicom, DDB Germany, Scholz &amp; Friends, Jung von Matt, Serviceplan Group, Ogilvy</t>
  </si>
  <si>
    <t>https://de.linkedin.com/company/trkkn</t>
  </si>
  <si>
    <t>Bird Marketing, McKinsey &amp; Company, Directive Consulting</t>
  </si>
  <si>
    <t>TRKKN \| LinkedIn</t>
  </si>
  <si>
    <t>Omnicom, Omnicom Media Group, Huge, Measured, Dentsu, Jellyfish, Merkle</t>
  </si>
  <si>
    <t>https://insanelogic.co.uk/top-uk-geo-agencies-for-scaling-visibility-in-generative-engines</t>
  </si>
  <si>
    <t>https://www.linkedin.com/posts/landwehr_most-seo-agencies-are-now-geo-agencies-activity-7440030279630680064-yR88</t>
  </si>
  <si>
    <t>Top UK GEO Agencies for Scaling Visibility in Generative Engines</t>
  </si>
  <si>
    <t>Most SEO agencies are now GEO agencies. iBusiness recently published a list of the top 100 SEO agencies in Germany. The ranking included - self-reported - focus areas. ➡️ 84% of SEO agencies now… | Malte Landwehr | 28 comments</t>
  </si>
  <si>
    <t>https://insight.atlas-mapping.com/blog/top-8-gis-mapping-companies</t>
  </si>
  <si>
    <t>Top 8 GIS Mapping Companies (2026)</t>
  </si>
  <si>
    <t>https://de.linkedin.com/company/ddb-germany</t>
  </si>
  <si>
    <t>DDB Germany | LinkedIn</t>
  </si>
  <si>
    <t>DDB Germany, BBDO Germany, Omnicom, Huge, Scholz &amp; Friends, Jung von Matt, Serviceplan Group</t>
  </si>
  <si>
    <t>https://de.linkedin.com/company/deptagency</t>
  </si>
  <si>
    <t>https://itprofiles.com/services/ai-consulting/uk</t>
  </si>
  <si>
    <t>22 Best-Rated AI Consulting Companies in United Kingdom- Jul 2026 Rankings | ITProfiles</t>
  </si>
  <si>
    <t>DEPT® | LinkedIn</t>
  </si>
  <si>
    <t>DEPT, Huge, Recast, Monks, Dentsu, Ogilvy, Brandtech</t>
  </si>
  <si>
    <t>https://jake-jorgovan.com/blog/tiktok-marketing-agencies</t>
  </si>
  <si>
    <t>https://de.linkedin.com/company/hyamstudios</t>
  </si>
  <si>
    <t>Top 30 TikTok Marketing Agencies in 2025 — Jake Jorgovan</t>
  </si>
  <si>
    <t>inBeat, NoGood, Measured, Power Digital, Disrupt Marketing, The Social Shepherd</t>
  </si>
  <si>
    <t>HY.AM STUDIOS | LinkedIn</t>
  </si>
  <si>
    <t>HY.AM STUDIOS</t>
  </si>
  <si>
    <t>https://www.k2l.co.uk/top-25-digital-marketing-agencies-in-the-uk-2024/</t>
  </si>
  <si>
    <t>https://de.linkedin.com/company/scholz-&amp;-friends</t>
  </si>
  <si>
    <t>Top 25 Digital Marketing Agencies in the UK (2024) | K2L Marketing</t>
  </si>
  <si>
    <t>Found, Push, Push Group, Dept, Gripped, The Brains, Huge, LOCALiQ, Saatchi &amp; Saatchi, BBH London, Transmission</t>
  </si>
  <si>
    <t>Scholz &amp;amp; Friends | LinkedIn</t>
  </si>
  <si>
    <t>https://www.kaweb.co.uk/blog/best-ppc-agencies-uk</t>
  </si>
  <si>
    <t>Scholz &amp; Friends, Huge, Jung von Matt, Serviceplan Group</t>
  </si>
  <si>
    <t>13 Best PPC Agencies in the UK | Kaweb 2025 Guide | Kaweb</t>
  </si>
  <si>
    <t>The Social Shepherd, PPC Geeks, Impression, inBeat, NP Digital, Koozai, Ninja Promo, Bind Media, Found, Push, Push Group, NoGood, Momentum</t>
  </si>
  <si>
    <t>https://de.linkedin.com/company/serviceplan-group</t>
  </si>
  <si>
    <t>https://lengreo.com/erotic-lead-generation-agencies/</t>
  </si>
  <si>
    <t>Serviceplan Group | LinkedIn</t>
  </si>
  <si>
    <t>Top 13 Erotic Lead Generation Companies (2026)</t>
  </si>
  <si>
    <t>Serviceplan Group, Haus, Mediaplus Group, Jung von Matt, Scholz &amp; Friends</t>
  </si>
  <si>
    <t>https://www.leverdigital.co.uk/post/best-ppc-agencies-uk</t>
  </si>
  <si>
    <t>Best PPC Agencies UK 2026 | Lever Digital</t>
  </si>
  <si>
    <t>https://de.linkedin.com/in/jorngrunert</t>
  </si>
  <si>
    <t>Impression, PPC Geeks, Brainlabs, Measured</t>
  </si>
  <si>
    <t>https://www.linkedin.com/company/crealytics-gmbh</t>
  </si>
  <si>
    <t>Crealytics | LinkedIn</t>
  </si>
  <si>
    <t>Measured, Dentsu, Jellyfish, WPP</t>
  </si>
  <si>
    <t>Siege Media, NoGood</t>
  </si>
  <si>
    <t>https://www.linkedin.com/company/thjnk</t>
  </si>
  <si>
    <t>thjnk | LinkedIn</t>
  </si>
  <si>
    <t>OMD, Ogilvy, Scholz &amp; Friends, Jung von Matt, Serviceplan Group</t>
  </si>
  <si>
    <t>https://madebyshape.co.uk/web-design-blog/the-best-branding-agencies-to-work-for-in-the-uk/</t>
  </si>
  <si>
    <t>The Best Branding Agencies to Work For in the UK | MadeByShape</t>
  </si>
  <si>
    <t>https://www.linkedin.com/posts/incrmntal_incrementality-martech-measurement-activity-7458138781590683648-ubwV</t>
  </si>
  <si>
    <t>Push, Gripped, Found</t>
  </si>
  <si>
    <t>INCRMNTAL acquired by Smartly, closes marketing loop | INCRMNTAL posted on the topic | LinkedIn</t>
  </si>
  <si>
    <t>Push, Measured, Impression, Single Grain, Momentum, inBeat</t>
  </si>
  <si>
    <t>INCRMNTAL, Huge, Momentum</t>
  </si>
  <si>
    <t>https://www.linkedin.com/posts/karthik-banda-b8bb53246_digitalmarketing-marketingagencies-advertising-activity-7404477675702083584-oyVa</t>
  </si>
  <si>
    <t>Push, Impression</t>
  </si>
  <si>
    <t>https://www.marketingagencyindex.com/uk</t>
  </si>
  <si>
    <t>The Big 4 Agencies in Digital Marketing | Karthik Banda</t>
  </si>
  <si>
    <t>Agency Index | Find the Best Digital Marketing Agencies in the UK</t>
  </si>
  <si>
    <t>WPP, Publicis Groupe, Omnicom, Brandtech, Croud, Overdrive Digital</t>
  </si>
  <si>
    <t>WPP, Omnicom, Publicis Groupe</t>
  </si>
  <si>
    <t>https://www.linkedin.com/posts/s360digital_s360-is-the-first-partner-in-northern-europe-activity-7447540211539931137-Y8GK</t>
  </si>
  <si>
    <t>https://www.marketingagencyindex.com/uk/ownership-model/network</t>
  </si>
  <si>
    <t>Best Network Agencies in the UK | Agency Index</t>
  </si>
  <si>
    <t>WPP, Omnicom, Dentsu, Croud, Ogilvy, AKQA, GroupM, Publicis Groupe, Saatchi &amp; Saatchi, BBH London, Epsilon, Merkle, VCCP, Found, Push</t>
  </si>
  <si>
    <t>s360 is the first partner in Northern Europe to achieve Google’s Test &amp;amp; Experiments Certification 🙌 What does that actually mean for our clients? It means better answers to one of the biggest… | s360</t>
  </si>
  <si>
    <t>https://marketingsignals.com/best-ppc-agency-2026-the-top-uk-pay-per-click-agencies-ranked/</t>
  </si>
  <si>
    <t>Best PPC Agency 2026: The Top UK Pay-Per-Click Agencies Ranked - Marketing Signals</t>
  </si>
  <si>
    <t>Brainlabs, Hallam, PPC Geeks, The Social Shepherd, Transmission</t>
  </si>
  <si>
    <t>s360, Adswerve, Huge</t>
  </si>
  <si>
    <t>https://www.linkedin.com/posts/trkkn_were-proud-to-announce-that-trkkn-has-activity-7396834763552018432-MyUH</t>
  </si>
  <si>
    <t>Found, Push, Measured, Dentsu</t>
  </si>
  <si>
    <t>We’re proud to announce 🔊 that TRKKN has become Google’s first certified Test &amp;amp; Experiment (T&amp;amp;E) Partner in the DACH region ⭐, as part of Google’s new pilot certification program for media… | TRKKN</t>
  </si>
  <si>
    <t>https://www.measured.com/faq/top-11-best-media-mix-modeling-companies-software-for-2026/#:~:text=Rating%3A%20(4.1%2F5%20G2%2C%204.0%2F5%20Capterra)%20Best%20For%3A,Sources%20*%20ScanmarQED.%20*%20G2%20ScanmarQED%20Reviews.</t>
  </si>
  <si>
    <t>Pilot, Measured</t>
  </si>
  <si>
    <t>Measured, Nielsen, Analytic Partners, Kantar, Neustar, Gain Theory, WPP, Recast, Haus, Rockerbox</t>
  </si>
  <si>
    <t>https://mediascape.ltd.uk/av-insights/top-digital-screen-companies-in-the-uk/</t>
  </si>
  <si>
    <t>Top 10 Digital Screen Companies in the UK</t>
  </si>
  <si>
    <t>Huge, 9AM</t>
  </si>
  <si>
    <t>https://www.linkedin.com/pulse/google-ads-marketing-companies-farhan-ali-tbtwf</t>
  </si>
  <si>
    <t>Top 10 Google Ads Marketing Companies in the World in 2025</t>
  </si>
  <si>
    <t>https://www.mediaworxfilms.com/post/best-10-creative-agencies-in-london-2025</t>
  </si>
  <si>
    <t>SmartSites, Disruptive Advertising, WebFX</t>
  </si>
  <si>
    <t>Best 10 Creative Agencies in London 2025</t>
  </si>
  <si>
    <t>Mother London, Saatchi &amp; Saatchi, VCCP, Ogilvy, WPP, Publicis Groupe, AKQA</t>
  </si>
  <si>
    <t>https://www.linkedin.com/pulse/top-15-performance-marketing-companies-clutch-global-spring-kbaae</t>
  </si>
  <si>
    <t>https://www.mitochonpixel.co.uk/blogs/top-10-analytics-and-reporting-companies-in-uk</t>
  </si>
  <si>
    <t>Top 10 Analytics and Reporting Agencies in UK | Mitochon Pixel</t>
  </si>
  <si>
    <t>Deloitte Digital, PwC</t>
  </si>
  <si>
    <t>Top 15 Performance Marketing Companies: Clutch Global Spring 2026</t>
  </si>
  <si>
    <t>REPLUG</t>
  </si>
  <si>
    <t>https://www.mobileappdaily.com/directory/digital-marketing-companies/uk</t>
  </si>
  <si>
    <t>https://www.linkedin.com/pulse/what-sales-branding-value-adding-awareness-phase-your-daniel-opler</t>
  </si>
  <si>
    <t>Top Digital Marketing Agencies in the UK - 2026 Reviews | MobileAppDaily</t>
  </si>
  <si>
    <t>Favoured, WebFX, PwC, Bird Marketing, The SEO Works, Blue Array, ClickSlice, Impression, ROAST</t>
  </si>
  <si>
    <t>What is the sales and branding value of adding an awareness phase (branding phase) to your existing consideration and purchase phase?</t>
  </si>
  <si>
    <t>https://www.munro.agency/best-growth-marketing-agencies/</t>
  </si>
  <si>
    <t>14 Best Growth Marketing Agencies</t>
  </si>
  <si>
    <t>Momentum, NoGood, Brainlabs, Tinuiti, Wpromote, Impression, Single Grain, NP Digital, Favoured</t>
  </si>
  <si>
    <t>https://www.linkedin.com/top-content/marketing/digital-advertising-metrics/incrementality-testing-in-ads/</t>
  </si>
  <si>
    <t>Incrementality Testing in Ads</t>
  </si>
  <si>
    <t>https://www.munro.agency/creative-advertising-agencies/</t>
  </si>
  <si>
    <t>Top 15 creative advertising agencies</t>
  </si>
  <si>
    <t>Triple Whale, Northbeam, Analytic Partners</t>
  </si>
  <si>
    <t>BBH London, WPP, Mother London, Adam&amp;eveDDB, AMV BBDO</t>
  </si>
  <si>
    <t>https://www.munro.agency/google-ads-agencies/</t>
  </si>
  <si>
    <t>Top 15 Google Ads Agencies</t>
  </si>
  <si>
    <t>Impression, Gripped, Soap Media, PPC Geeks, Brainlabs, Croud, Push, Push Group, Bind Media</t>
  </si>
  <si>
    <t>Siege Media, Omniscient Digital, Exposure Ninja, Varn, Bird Marketing</t>
  </si>
  <si>
    <t>https://nalaber.com/insights/best-ai-seo-agencies-uk</t>
  </si>
  <si>
    <t>Best AI SEO Agencies in the UK (2026) | Nalaber</t>
  </si>
  <si>
    <t>Found, Impression, Rise at Seven, Measured</t>
  </si>
  <si>
    <t>QuantumBlack, Found, Measured</t>
  </si>
  <si>
    <t>https://neuraladx.com/best-perplexity-optimisation-agency-uk/</t>
  </si>
  <si>
    <t>Best Perplexity Optimisation Agency UK | NeuralAdX Ltd</t>
  </si>
  <si>
    <t>Found, Measured, Screaming Frog, Impression, Hallam, Brainlabs</t>
  </si>
  <si>
    <t>https://neuraladx.com/comparison-of-the-top-10-generative-engine-optimisation-geo-service-agencies-2026/</t>
  </si>
  <si>
    <t>Comparison of the Top 10 Generative Engine Optimisation (GEO) Service Agencies (2026) - NeuralAdX Ltd</t>
  </si>
  <si>
    <t>Varn, Impression, Exposure Ninja, Click Intelligence, Measured</t>
  </si>
  <si>
    <t>https://www.nikaconsulting.co.nz/advertising-agencies-auckland/</t>
  </si>
  <si>
    <t>7 Best Advertising Agencies Auckland Offers in 2025 » Award-Winning Creative Digital Marketing Agency NZ</t>
  </si>
  <si>
    <t>https://www.niracore.com/top-ai-consulting-companies-in-the-uk/</t>
  </si>
  <si>
    <t>AI Consulting Companies in the UK | Top Firms</t>
  </si>
  <si>
    <t>https://noirandblanco.com/best-digital-marketing-agencies-in-the-uk/</t>
  </si>
  <si>
    <t>11 Best Digital Marketing Agencies in the UK for D2C &amp;amp; Small Businesses (2026)</t>
  </si>
  <si>
    <t>The Social Shepherd, Gripped, Found, The Good Marketer</t>
  </si>
  <si>
    <t>NoGood, Impression</t>
  </si>
  <si>
    <t>https://www.ofspace.co/blog/digital-product-design-agency-london</t>
  </si>
  <si>
    <t>Top 9 Best Digital Product Design Agencies in London (2026 Rankings &amp;amp; Reviews)</t>
  </si>
  <si>
    <t>Momentum, Push, Found</t>
  </si>
  <si>
    <t>https://www.onely.com/blog/best-digital-marketing-agencies/</t>
  </si>
  <si>
    <t>Directive Consulting, Siege Media, Power Digital, Disruptive Advertising, Single Grain, NP Digital, WebFX, Ignite Visibility, Ninja Promo, Found</t>
  </si>
  <si>
    <t>https://onlineoptimism.com/learn/top-b2b-social-media-agencies-in-the-world/</t>
  </si>
  <si>
    <t>Top B2B Social Media Agencies in the World | Online Optimism</t>
  </si>
  <si>
    <t>https://oski.site/blog/sales-and-marketing-analytics-companies-europe/#:~:text=Brainlabs%20focuses%20on%20scientific%20marketing,rely%20on%20modeling%20and%20testing.</t>
  </si>
  <si>
    <t>Top Sales and Marketing Analytics Companies in Europe</t>
  </si>
  <si>
    <t>Oski Solutions, Push, Dept, Brainlabs, Croud, Impression, Artefact</t>
  </si>
  <si>
    <t>NoGood, Single Grain, Ninja Promo, NP Digital, Hawke Media, Huge, Found</t>
  </si>
  <si>
    <t>https://www.panovistamarketing.com/blog/best-seo-company-uk</t>
  </si>
  <si>
    <t>Best Local SEO Company UK | Panovista</t>
  </si>
  <si>
    <t>Panovista Marketing, Whitehat, Measured, Huge, Found</t>
  </si>
  <si>
    <t>https://pearllemon.com/top-performance-marketing-agencies-uk-2/</t>
  </si>
  <si>
    <t>Best 13 Performance Marketing Agencies In The UK</t>
  </si>
  <si>
    <t>The Social Shepherd, Favoured, ROAST, Gravity Global, The SEO Works</t>
  </si>
  <si>
    <t>https://www.phable.io/top-creative-agencies/in-east-london-masters-of-branding-content-creation-and-digital-innovation</t>
  </si>
  <si>
    <t>Top Creative Agencies in East London | Leaders in Branding, Content Creation, and Digital Innovation — Branding And Content Marketing For Technology</t>
  </si>
  <si>
    <t>Impression, Mother London, Push, Jellyfish</t>
  </si>
  <si>
    <t>https://pipeline.zoominfo.com/sales/intent-data-platform</t>
  </si>
  <si>
    <t>Best Intent Data Platforms in 2026: Identify In-Market B2B Accounts Fast</t>
  </si>
  <si>
    <t>Directive Consulting</t>
  </si>
  <si>
    <t>Huge, Ignite Visibility</t>
  </si>
  <si>
    <t>https://prescientai.com/blog/best-mmm-tools-for-e-commerce-brands</t>
  </si>
  <si>
    <t>Best MMM Tools for E-Commerce Brands [2026 Guide]</t>
  </si>
  <si>
    <t>Recast, Northbeam, Measured, Sellforte, Found</t>
  </si>
  <si>
    <t>Found, Directive Consulting, Siege Media, Impression, The SEO Works, Measured</t>
  </si>
  <si>
    <t>https://raddinteractive.com/the-best-social-media-sites-for-marketing-and-most-popular/</t>
  </si>
  <si>
    <t>The Best Social Media Sites for Marketing (and Most Popular)</t>
  </si>
  <si>
    <t>Impression, Huge</t>
  </si>
  <si>
    <t>https://www.radyant.io/comparison/6-best-organic-growth-agencies-in-europe</t>
  </si>
  <si>
    <t>6 best organic growth agencies in Europe · Radyant</t>
  </si>
  <si>
    <t>Found, Measured</t>
  </si>
  <si>
    <t>https://www.rebootonline.com/data-marketing/best-data-marketing-agencies/#:~:text=PMG%20Advertising%20Agency%20is%20a,%2C%20affiliate%20marketing%2C%20and%20SEO.</t>
  </si>
  <si>
    <t>Brainlabs, Bind Media, Gravity Global, PMG, Journey Further, YouGov, Directive Consulting, Found</t>
  </si>
  <si>
    <t>https://respona.com/blog/ai-seo-agency/</t>
  </si>
  <si>
    <t>My Top 21 AI SEO Agency List for 2026</t>
  </si>
  <si>
    <t>The SEO Works, Click Intelligence, Power Digital, Whitehat</t>
  </si>
  <si>
    <t>https://reverbico.com/blog/top-digital-agencies-for-early-stage-brand-launches/</t>
  </si>
  <si>
    <t>Top Digital Agencies For Early-Stage Brand Launches | REVERB</t>
  </si>
  <si>
    <t>Momentum, NoGood, Ogilvy, Directive Consulting</t>
  </si>
  <si>
    <t>https://scalixai.com/blog/best-performance-marketing-agencies</t>
  </si>
  <si>
    <t>NoGood, Single Grain, Wpromote, Omniscient Digital, Darkroom, Common Thread Collective, Found</t>
  </si>
  <si>
    <t>The SEO Works, Tinuiti, Omniscient Digital, Single Grain, Siege Media</t>
  </si>
  <si>
    <t>https://www.securitysenses.com/posts/best-saas-ai-seo-companies-united-kingdom-technical-seo-scale#:~:text=B2B%20SaaS%20technical%20SEO%2C%20AI%20search%2C%20LLMO%2C,the%20UK%20market%20for%20enterprise%2Dscale%20SaaS%20organisations.</t>
  </si>
  <si>
    <t>Best SaaS AI SEO Companies in the United Kingdom for Technical SEO at Scale | SecuritySenses</t>
  </si>
  <si>
    <t>Brainlabs, Impression, Hallam</t>
  </si>
  <si>
    <t>https://www.semfirms.com/uk/london/display-advertising-firms</t>
  </si>
  <si>
    <t>Top Display Advertising Firms in London, United Kingdom | SEM Firms</t>
  </si>
  <si>
    <t>https://seo-ranks.co.uk/best-seo-agencies-uk-aeo-geo-2026/</t>
  </si>
  <si>
    <t>Best SEO Agencies UK for AEO and GEO 2026 | SEO Ranks</t>
  </si>
  <si>
    <t>Found, Click Intelligence, The SEO Works, Genie Crawl, Measured</t>
  </si>
  <si>
    <t>https://www.sevenatoms.com/blog/facebook-advertising-companies</t>
  </si>
  <si>
    <t>Top 7 Facebook Advertising Companies</t>
  </si>
  <si>
    <t>Deloitte Digital, PPC Geeks, Huge</t>
  </si>
  <si>
    <t>https://socialchameleon.com/top-30-marketing-agencies-in-london/</t>
  </si>
  <si>
    <t>Top 30 Marketing Agencies in London - Social Chameleon</t>
  </si>
  <si>
    <t>Ogilvy, AMV BBDO, Hallam, Saatchi &amp; Saatchi, Impression, Found, Push, Push Group, Propeller, Jellyfish, Builtvisible, Merkle, The SEO Works</t>
  </si>
  <si>
    <t>https://sociallypowerful.com/post/top-20-advertising-agencies-uk</t>
  </si>
  <si>
    <t>Top 20 Advertising Agencies in the UK in 2024 | Socially Powerful</t>
  </si>
  <si>
    <t>Push, M3.agency, ROAST, Favoured, Impression, Measured</t>
  </si>
  <si>
    <t>https://sociallypowerful.com/post/top-social-media-marketing-agencies-uk</t>
  </si>
  <si>
    <t>Top 30 Social Media Marketing Agencies in the UK (2025)</t>
  </si>
  <si>
    <t>We Are Social, Social Chain, Born Social, Soap Media, Disrupt Marketing, The Social Shepherd, Croud, Gripped, inBeat, The Good Marketer, WPP, Monks</t>
  </si>
  <si>
    <t>https://www.softwareadvice.co.uk/directory/4315/marketing-attribution/software</t>
  </si>
  <si>
    <t>Best Marketing Attribution Software - 2026 Reviews, Pricing &amp; Demos</t>
  </si>
  <si>
    <t>https://www.sogolytics.com/blog/top-full-service-market-research-firms/</t>
  </si>
  <si>
    <t>25 Best Full Service Market Research Firms - Sogolytics</t>
  </si>
  <si>
    <t>Nielsen, Kantar, YouGov, WPP, Push</t>
  </si>
  <si>
    <t>https://www.sortlist.co.uk/advertising/england-england-gb</t>
  </si>
  <si>
    <t>The 10 Best Advertising Agencies in England - 2026 Reviews</t>
  </si>
  <si>
    <t>Momentum, M3.agency, McKinsey &amp; Company, Ninja Promo</t>
  </si>
  <si>
    <t>https://www.sortlist.co.uk/s/attribution-marketing/greater-london-england-gb</t>
  </si>
  <si>
    <t>The 10 Best Attribution Marketing Agencies in Greater London - 2026 Reviews</t>
  </si>
  <si>
    <t>https://www.sortlist.co.uk/s/creative/united-kingdom-gb?custom=creative</t>
  </si>
  <si>
    <t>https://www.sortlist.co.uk/s/display-advertising/birmingham-england-gb</t>
  </si>
  <si>
    <t>The 10 Best Display Advertising Agencies in Birmingham - 2026 Reviews</t>
  </si>
  <si>
    <t>Push, Triple Whale, Northbeam, Momentum, M3.agency, Ninja Promo</t>
  </si>
  <si>
    <t>https://www.sortlist.co.uk/s/display-advertising/greater-london-england-gb</t>
  </si>
  <si>
    <t>The 10 Best Display Advertising Agencies in Greater London - 2026 Reviews</t>
  </si>
  <si>
    <t>Push, Triple Whale, Northbeam, Ninja Promo, Momentum, M3.agency</t>
  </si>
  <si>
    <t>https://www.sortlist.co.uk/s/display-advertising/luton-england-gb</t>
  </si>
  <si>
    <t>The 10 Best Display Advertising Agencies in Luton - 2026 Reviews</t>
  </si>
  <si>
    <t>Push, Triple Whale, Northbeam, Found, Ninja Promo</t>
  </si>
  <si>
    <t>https://www.sortlist.co.uk/s/display-advertising/manchester-england-gb</t>
  </si>
  <si>
    <t>The 10 Best Display Advertising Agencies in Manchester - 2026 Reviews</t>
  </si>
  <si>
    <t>Push, Triple Whale, Northbeam, Ninja Promo</t>
  </si>
  <si>
    <t>https://www.sortlist.co.uk/s/google-ads/united-kingdom-gb</t>
  </si>
  <si>
    <t>The 10 Best Google Ads Agencies in The United Kingdom - 2026 Reviews</t>
  </si>
  <si>
    <t>https://www.sortlist.co.uk/s/international-branding/united-kingdom-gb</t>
  </si>
  <si>
    <t>The 10 Best International Branding Agencies in The United Kingdom - 2026 Reviews</t>
  </si>
  <si>
    <t>Momentum, M3.agency</t>
  </si>
  <si>
    <t>https://www.sortlist.co.uk/s/performance-marketing/greater-london-england-gb</t>
  </si>
  <si>
    <t>The 10 Best Performance Marketing Agencies in Greater London - 2026 Reviews</t>
  </si>
  <si>
    <t>Push, Triple Whale, Northbeam, McKinsey &amp; Company, Momentum, M3.agency, Whitehat</t>
  </si>
  <si>
    <t>https://www.sortlist.co.uk/s/programmatic-advertising/london-england-gb</t>
  </si>
  <si>
    <t>The 10 Best Programmatic Advertising Companies in London - 2026 Reviews</t>
  </si>
  <si>
    <t>https://www.sortlist.co.uk/s/storytelling/london-england-gb</t>
  </si>
  <si>
    <t>The 10 Best Storytelling Agencies in London - 2026 Reviews</t>
  </si>
  <si>
    <t>Push, Ninja Promo, McKinsey &amp; Company</t>
  </si>
  <si>
    <t>https://www.sortlist.co.uk/s/testing-services/united-kingdom-gb</t>
  </si>
  <si>
    <t>The 10 Best Testing Services Companies in The United Kingdom - 2026 Reviews</t>
  </si>
  <si>
    <t>Momentum, M3.agency, Whitehat</t>
  </si>
  <si>
    <t>https://www.sortlist.co.uk/web-analytics/london-england-gb</t>
  </si>
  <si>
    <t>The 10 Best Web Analytics Agencies in London - 2026 Reviews</t>
  </si>
  <si>
    <t>Whitehat, Found</t>
  </si>
  <si>
    <t>Push, Triple Whale, Northbeam, Measured, Found</t>
  </si>
  <si>
    <t>https://www.sortlist.com/social-media-optimization</t>
  </si>
  <si>
    <t>The 100 Best Social Media Optimization Agencies - 2026 Reviews</t>
  </si>
  <si>
    <t>https://www.superhub.biz/top-digital-marketing-companies-for-small-business-uk</t>
  </si>
  <si>
    <t>Best Digital Marketing Companies for Small Business UK 2026</t>
  </si>
  <si>
    <t>https://susodigital.com/thoughts/12-best-generative-seo-service-agencies/</t>
  </si>
  <si>
    <t>Top 12 GEO Agencies in 2026 - SUSO</t>
  </si>
  <si>
    <t>Blue Array, Ignite Visibility, WebFX, Found</t>
  </si>
  <si>
    <t>Ruler Analytics, SegmentStream, Impression, Push, Found, Cometly, Triple Whale</t>
  </si>
  <si>
    <t>https://techbehemoths.com/companies/advertising/united-kingdom</t>
  </si>
  <si>
    <t>Top 20+ Advertising Agencies in United Kingdom (2026) - TechBehemoths</t>
  </si>
  <si>
    <t>Found, The SEO Works</t>
  </si>
  <si>
    <t>https://thebusinessjournal.co.uk/b2b-supplier/best-ai-seo-agencies/</t>
  </si>
  <si>
    <t>Best AI SEO Agencies in 2026 - The Business Journal</t>
  </si>
  <si>
    <t>Impression, Passion Digital, Hallam, The SEO Works, Builtvisible, Measured</t>
  </si>
  <si>
    <t>Triple Whale, Found, Ruler Analytics, Neustar, Push, Huge</t>
  </si>
  <si>
    <t>https://www.thedca.co/services/production</t>
  </si>
  <si>
    <t>The best Production Agencies | DCA</t>
  </si>
  <si>
    <t>ROAST</t>
  </si>
  <si>
    <t>Directive Consulting, Siege Media</t>
  </si>
  <si>
    <t>https://www.thedrum.com/news/end-era-creatives-reflect-adameveddb-s-best-john-lewis-ads</t>
  </si>
  <si>
    <t>End of an era: creatives reflect on Adam&amp;EveDDB’s best John Lewis ads \| The Drum</t>
  </si>
  <si>
    <t>Adam&amp;eveDDB, Ogilvy, AMV BBDO, We Are Social, Kantar</t>
  </si>
  <si>
    <t>https://www.thedrum.com/news/serviceplan-reclaims-emea-agency-top-spot-in-2026-world-creative-rankings</t>
  </si>
  <si>
    <t>Serviceplan reclaims EMEA agency top spot in 2026 World Creative Rankings | The Drum</t>
  </si>
  <si>
    <t>Omnicom, AMV BBDO, WPP</t>
  </si>
  <si>
    <t>https://www.thegrowthsyndicate.com/agencies/chatgpt-ads-agencies-uk</t>
  </si>
  <si>
    <t>Top 11 ChatGPT Ads Agencies in the UK (2026)</t>
  </si>
  <si>
    <t>Blue Array, The SEO Works, Found, Passion Digital, Push, Push Group, Screaming Frog, Measured</t>
  </si>
  <si>
    <t>https://www.thekeenfolks.com/blog-article/best-performance-marketing-agencies</t>
  </si>
  <si>
    <t>Tinuiti, Dept, Croud, Ignite Visibility, Disruptive Advertising, WebFX</t>
  </si>
  <si>
    <t>https://www.thelogocreative.co.uk/7-top-branding-agencies-in-the-uk/</t>
  </si>
  <si>
    <t>7 Top Branding Agencies in the UK</t>
  </si>
  <si>
    <t>https://themanifest.com/programmatic/agencies/uk?page=1</t>
  </si>
  <si>
    <t>https://www.thetimes.co.uk/article/wpp-publicis-or-omnicom-ipg-which-is-the-best-buy-in-adland-3hfhgjl6m</t>
  </si>
  <si>
    <t>WPP, Publicis or Omnicom-IPG: which is the best buy in adland?</t>
  </si>
  <si>
    <t>WPP, Omnicom</t>
  </si>
  <si>
    <t>https://thriveagency.com/london-digital-marketing-agency/</t>
  </si>
  <si>
    <t>London Digital Marketing Agency | Best Online Marketing Services</t>
  </si>
  <si>
    <t>https://www.topseobrands.com/uk/best-display-advertising-firms-in-uk/page/7</t>
  </si>
  <si>
    <t>https://toptenaiagents.co.uk/lists/top-10-uk-ai-agencies-midsize.html#:~:text=Mesh%2DAI-,Decentralising%20Data%20for%20Enterprise%20Agility,of%20AI%20failure%3A%20data%20inaccessibility.</t>
  </si>
  <si>
    <t>Top 10 UK AI Agencies for Mid-Size Businesses (2026) | Expert Reviews - TopTenAIAgents.co.uk</t>
  </si>
  <si>
    <t>https://toptenaiagents.co.uk/lists/top-10-uk-ai-agencies-sme.html</t>
  </si>
  <si>
    <t>Top 10 AI Agencies for UK SMEs (2026) | Expert Reviews - TopTenAIAgents.co.uk</t>
  </si>
  <si>
    <t>https://www.trendygrandad.com/blog/best-youtube-video-production-companies-in-london</t>
  </si>
  <si>
    <t>Best Youtube video production companies in London | By a UK London Video Production Company</t>
  </si>
  <si>
    <t>https://www.trendygrandad.com/blog/top-5-performance-creative-agencies-sept-2024</t>
  </si>
  <si>
    <t>Top 5 Performance Creative Agencies | Sept 2024 | By a UK London Video Production Company</t>
  </si>
  <si>
    <t>WebFX, NoGood, Omniscient Digital, Siege Media, Whitehat, Measured</t>
  </si>
  <si>
    <t>https://www.triplewhale.com/blog/marketing-attribution</t>
  </si>
  <si>
    <t>Marketing Attribution: Models, Benefits, and Best Practices | Triple Whale</t>
  </si>
  <si>
    <t>Triple Whale, Ruler Analytics</t>
  </si>
  <si>
    <t>https://ukagencies.co.uk/services/ppc/</t>
  </si>
  <si>
    <t>Best PPC Agencies in the UK (2026) - Google Ads Experts | UKAgencies.co.uk</t>
  </si>
  <si>
    <t>https://www.updigital.co.uk/the-top-5-bristol-ppc-agencies-in-2026/</t>
  </si>
  <si>
    <t>The Top 5 Bristol PPC Agencies in 2026 | Up Digital</t>
  </si>
  <si>
    <t>Impression, Found, Momentum</t>
  </si>
  <si>
    <t>https://virayo.com/blog/b2b-seo-agencies</t>
  </si>
  <si>
    <t>10 Best B2B SEO Agencies for 2026 [By Category]</t>
  </si>
  <si>
    <t>Siege Media, Directive Consulting, WebFX</t>
  </si>
  <si>
    <t>https://visionone.co.uk/news/top-market-research-companies-in-the-uk-2026/</t>
  </si>
  <si>
    <t>Top Market Research Companies In The UK For 2026 VIsion One</t>
  </si>
  <si>
    <t>Kantar, YouGov, Momentum, WPP, Accenture Song, Omnicom, Merkle, Dentsu, Transmission</t>
  </si>
  <si>
    <t>https://www.visuosofts.com/blog/top-digital-marketing-agencies-in-the-uk-2026-the-complete-comparison-guide</t>
  </si>
  <si>
    <t>Top Digital Marketing Agencies in the UK 2026: The Complete Comparison Guide | Visuosofts Blog</t>
  </si>
  <si>
    <t>WebFX, Social Chain, Born Social, Passion Digital, Push, ClickSlice, Found</t>
  </si>
  <si>
    <t>Superside, Dept</t>
  </si>
  <si>
    <t>Wpromote, Polaris, Power Digital, WebFX, Single Grain, Omnicom, Disrupt Marketing, Tinuiti</t>
  </si>
  <si>
    <t>https://www.wearetenet.com/uk/growth/ai-seo-services</t>
  </si>
  <si>
    <t>AI SEO Services London, UK | Best AI SEO Agency</t>
  </si>
  <si>
    <t>Ogilvy, Screaming Frog</t>
  </si>
  <si>
    <t>http://www.web-in-a-click.com/index-296.html</t>
  </si>
  <si>
    <t>https://webdesignreviews.co.uk/news/best-web-design-agencies-london/</t>
  </si>
  <si>
    <t>15 Best Web Design Agencies in London (2026) — Web Design Reviews</t>
  </si>
  <si>
    <t>AKQA, WPP, Bird Marketing, Ninja Promo</t>
  </si>
  <si>
    <t>Tinuiti, Wpromote, WPP, Hawke Media, AKQA, Accenture Song, Superside, Impression</t>
  </si>
  <si>
    <t>https://whito.co.uk/build/best-uk-resources-ai-search-visibility-aeo/</t>
  </si>
  <si>
    <t>Best UK Resources for AI Search Visibility (AEO/GEO) 2026</t>
  </si>
  <si>
    <t>Found, Tilio, Whitehat, Measured</t>
  </si>
  <si>
    <t>PwC, Momentum</t>
  </si>
  <si>
    <t>PwC, EY, Momentum</t>
  </si>
  <si>
    <t>Merkle, Dentsu, Publicis Groupe, WPP, EY, Kantar</t>
  </si>
  <si>
    <t>WPP, Ogilvy, AKQA</t>
  </si>
  <si>
    <t>https://xchange.avixa.org/posts/top-hire-ecommerce-developers-in-uk-2026</t>
  </si>
  <si>
    <t>Top Hire Ecommerce Developers in UK (2026) | AVIXA Xchange</t>
  </si>
  <si>
    <t>Found, Measured, Siege Media, Omniscient Digital</t>
  </si>
  <si>
    <t>https://zipdo.co/service/creative-advertising/</t>
  </si>
  <si>
    <t>Top 10 Best Creative Advertising Services | Tested in 2026</t>
  </si>
  <si>
    <t>WPP, Ogilvy, Publicis Groupe, GA Agency, AKQA</t>
  </si>
  <si>
    <t>https://zipdo.co/service/customer-data-platform/</t>
  </si>
  <si>
    <t>Best Customer Data Platform Services (2026)</t>
  </si>
  <si>
    <t>PwC, WPP, Publicis Groupe</t>
  </si>
  <si>
    <t>Merkle, Dentsu, Publicis Groupe, PwC, EY</t>
  </si>
  <si>
    <t>https://zyppy.com/companies/c/generative-ai-seo/united-kingdom/london/</t>
  </si>
  <si>
    <t>Top Generative AI Search Companies in London - July 2026</t>
  </si>
  <si>
    <t>Blue Array</t>
  </si>
  <si>
    <t>https://digitalagencynetwork.com/agencies/dubai/</t>
  </si>
  <si>
    <t>Best Digital Marketing Agencies in Dubai, UAE (2026)</t>
  </si>
  <si>
    <t>Adapts Media, PwC, NEXA, Bird Marketing, AlCaz Media, Tenet, Digital Gravity, Glomm Digital, United SEO, ASTUDIO, Huge, Croud</t>
  </si>
  <si>
    <t>https://agencies.semrush.com/list/dubai/</t>
  </si>
  <si>
    <t>Best Digital Marketing Agencies in Dubai 2026 | Semrush</t>
  </si>
  <si>
    <t>Bird Marketing, Leads Dubai, Kleosa, Dot IT, Acquisit, Chain Reaction, SEO Sherpa, Measured, Web Tonic</t>
  </si>
  <si>
    <t>https://www.sortlist.com/s/paid-media/united-arab-emirates-ae</t>
  </si>
  <si>
    <t>The 10 Best Paid Media Agencies in the United Arab Emirates - 2026 Reviews</t>
  </si>
  <si>
    <t>LUMINA, Praxis Advertising, AlCaz Media, intouch, Momentum, M3.agency</t>
  </si>
  <si>
    <t>https://digitalagencynetwork.com/agencies/dubai/ai-marketing/</t>
  </si>
  <si>
    <t>Top AI Marketing Agencies in Dubai (2026)</t>
  </si>
  <si>
    <t>Bird Marketing, Glomm Digital</t>
  </si>
  <si>
    <t>https://www.sortlist.com/s/paid-media/dubai-ae</t>
  </si>
  <si>
    <t>The 10 Best Paid Media Agencies in Dubai - 2026 Reviews</t>
  </si>
  <si>
    <t>https://www.sortlist.com/s/display-advertising/dubai-ae</t>
  </si>
  <si>
    <t>The 10 Best Display Advertising Agencies in Dubai - 2026 Reviews</t>
  </si>
  <si>
    <t>AlCaz Media, Praxis Advertising, Momentum, M3.agency, Ninja Promo, intouch</t>
  </si>
  <si>
    <t>https://www.sortlist.com/s/marketing-analytics/united-arab-emirates-ae</t>
  </si>
  <si>
    <t>The 10 Best Marketing Analytics Companies in the United Arab Emirates - 2026 Reviews</t>
  </si>
  <si>
    <t>AlCaz Media, Momentum, M3.agency, Praxis Advertising, intouch, Ninja Promo, Bird Marketing, Pixoo Media</t>
  </si>
  <si>
    <t>https://clutch.co/de/agencies/digital-marketing</t>
  </si>
  <si>
    <t>Top Digital Marketing Agencies in Germany - Jul 2026 Rankings | Clutch.co</t>
  </si>
  <si>
    <t>MONSOON, Mediacharge, REPLUG, Claneo, Huge, Phiture, PANORAMA3000, Seeders, Admiral Media, HECHT INS GEFECHT</t>
  </si>
  <si>
    <t>https://www.bakedwith.com/en/blog/the-best-geo-agencies-in-germany-an-overview</t>
  </si>
  <si>
    <t>The best GEO agencies in Germany: an overview</t>
  </si>
  <si>
    <t>Radyant, Claneo, HECHT INS GEFECHT, Suchhelden, Aufgesang, DREIKON, Löwenstark, TRYSEO</t>
  </si>
  <si>
    <t>https://vitasoft.co/best/geo-agency-germany/</t>
  </si>
  <si>
    <t>Best GEO &amp;amp; AEO Agencies in Germany (2026) — Ranked</t>
  </si>
  <si>
    <t>Peak Ace, Digital Delight, Claneo</t>
  </si>
  <si>
    <t>https://agencies.semrush.com/list/germany/</t>
  </si>
  <si>
    <t>Best Digital Marketing Agencies in Germany 2026 | Semrush</t>
  </si>
  <si>
    <t>HECHT INS GEFECHT, Baseplus DIGITAL MEDIA GmbH, morefire, Mediaplus Performance, MONSOON, Mediacharge, KlickPiloten</t>
  </si>
  <si>
    <t>https://clutch.co/de/agencies</t>
  </si>
  <si>
    <t>Top Advertising Agencies in Germany - Jul 2026 Rankings \| Clutch.co</t>
  </si>
  <si>
    <t>MONSOON, Phiture, PANORAMA3000, Seeders, Mediacharge, Digitalyze, morefire, Scholz &amp; Friends, Haus</t>
  </si>
  <si>
    <t>https://www.influencer-hero.com/blogs/top-digital-advertising-agencies-in-germany</t>
  </si>
  <si>
    <t>Top 10 Digital Advertising Agencies in Germany</t>
  </si>
  <si>
    <t>Serviceplan Group, Medialabel, Scholz &amp; Friends, Globalist, Jung von Matt, Mawave, Momentum</t>
  </si>
  <si>
    <t>https://www.sortlist.com/s/marketing/germany-de</t>
  </si>
  <si>
    <t>The 10 Best Marketing Agencies in Germany - 2026 Reviews</t>
  </si>
  <si>
    <t>MONSOON, lehof</t>
  </si>
  <si>
    <t>https://www.designrush.com/agency/digital-marketing/de</t>
  </si>
  <si>
    <t>Top Digital Marketing Agencies in Germany | 2026</t>
  </si>
  <si>
    <t>MONSOON, REPLUG, Admiral Media, Phiture</t>
  </si>
  <si>
    <t>https://www.influencer-hero.com/blogs/top-digital-marketing-agencies-in-germany</t>
  </si>
  <si>
    <t>Top 10 Digital Marketing Agencies in Germany</t>
  </si>
  <si>
    <t>Serviceplan Group, Mawave, Globalist, Brandtech, McKinsey &amp; Company, Medialabel</t>
  </si>
  <si>
    <t>https://www.sortlist.com/s/performance-marketing/germany-de</t>
  </si>
  <si>
    <t>The 10 Best Performance Marketing Agencies in Germany - 2026 Reviews</t>
  </si>
  <si>
    <t>MONSOON, lehof, Triple Whale, Northbeam, Dreamdata, Mediacharge</t>
  </si>
  <si>
    <t>https://www.influencer-hero.com/blogs/top-10-creative-agencies-in-germany</t>
  </si>
  <si>
    <t>Top 10 Creative Agencies in Germany</t>
  </si>
  <si>
    <t>Jung von Matt, DDB Germany, Admiral Media, Mawave, Momentum, WPP</t>
  </si>
  <si>
    <t>https://www.sortlist.com/s/artificial-intelligence/germany-de#:~:text=Adastra%20achieved%20Elite%20Partner%20Status,Worked%20in%20Retail%20(%2B10)</t>
  </si>
  <si>
    <t>The 10 Best Artificial Intelligence Agencies in Germany - 2026 Reviews</t>
  </si>
  <si>
    <t>https://agencies.semrush.com/list/ai-optimization/germany/</t>
  </si>
  <si>
    <t>Best AI Search Optimization Agencies in Germany 2026 | Semrush</t>
  </si>
  <si>
    <t>HECHT INS GEFECHT, morefire, Mediaplus Performance</t>
  </si>
  <si>
    <t>https://www.sortlist.com/s/display-advertising/germany-de</t>
  </si>
  <si>
    <t>The 10 Best Display Advertising Agencies in Germany - 2026 Reviews</t>
  </si>
  <si>
    <t>MONSOON, Triple Whale, Northbeam, Dreamdata, Mediacharge, PANORAMA3000</t>
  </si>
  <si>
    <t>https://www.influencer-hero.com/blogs/top-advertising-agencies-in-germany</t>
  </si>
  <si>
    <t>Top 10 Advertising Agencies in Germany</t>
  </si>
  <si>
    <t>Pilot, Mawave, MONSOON, Globalist, Social Media Pirates, Medialabel</t>
  </si>
  <si>
    <t>https://www.goodfirms.co/directory/country/top-digital-marketing-companies/de</t>
  </si>
  <si>
    <t>Top 10+ Digital Marketing Agencies in Germany - 2026 Reviews | Goodfirms</t>
  </si>
  <si>
    <t>WebFX, Mediacharge, HECHT INS GEFECHT, Momentum</t>
  </si>
  <si>
    <t>https://techbehemoths.com/companies/marketing-analytics/germany</t>
  </si>
  <si>
    <t>Top 20+ Marketing analytics Companies in Germany (2026) - TechBehemoths</t>
  </si>
  <si>
    <t>KlickPiloten, Huge</t>
  </si>
  <si>
    <t>https://creatif.agency/the-best-branding-agencies-in-germany/#:~:text=Another%20standout%20agency%20based%20in,Deutsche%20Post%20reinvent%20their%20identities.</t>
  </si>
  <si>
    <t>The best branding agencies in Germany ranked</t>
  </si>
  <si>
    <t>MetaDesign</t>
  </si>
  <si>
    <t>https://www.sortlist.com/i/digital-marketing/germany-de</t>
  </si>
  <si>
    <t>The 10 Best Digital Marketing Agencies in Germany - 2026 Reviews</t>
  </si>
  <si>
    <t>PANORAMA3000, MONSOON</t>
  </si>
  <si>
    <t>https://www.sortlist.com/s/marketing-analytics/germany-de</t>
  </si>
  <si>
    <t>The 10 Best Marketing Analytics Companies in Germany - 2026 Reviews</t>
  </si>
  <si>
    <t>lehof, MONSOON, Measured</t>
  </si>
  <si>
    <t>https://www.influencer-hero.com/blogs/top-social-media-agencies-in-germany</t>
  </si>
  <si>
    <t>Top 10 Social Media Agencies in Germany</t>
  </si>
  <si>
    <t>Medialabel, Social Media One, Mawave, PANORAMA3000, Social Media Pirates, WPP</t>
  </si>
  <si>
    <t>https://clutch.co/de/agencies/social-media-marketing</t>
  </si>
  <si>
    <t>Top Social Media Marketing Companies in Germany - Jul 2026 Rankings \| Clutch.co</t>
  </si>
  <si>
    <t>MONSOON, Mediacharge, PwC, PANORAMA3000, HY.AM STUDIOS, Digitalyze, KlickPiloten, Pulse Advertising, DREIKON</t>
  </si>
  <si>
    <t>https://www.radigitalworld.com/2026/03/best-performance-marketing-companies-in.html</t>
  </si>
  <si>
    <t>Best Performance Marketing Companies in Germany</t>
  </si>
  <si>
    <t>MONSOON, eMinded GmbH, morefire, Think11, Serviceplan Group, Claneo</t>
  </si>
  <si>
    <t>https://www.sortlist.com/i/social-media/germany-de</t>
  </si>
  <si>
    <t>The 10 Best Social Media Agencies in Germany - 2026 Reviews</t>
  </si>
  <si>
    <t>lehof, Momentum, PANORAMA3000</t>
  </si>
  <si>
    <t>https://www.sortlist.com/s/paid-media/germany-de</t>
  </si>
  <si>
    <t>The 10 Best Paid Media Agencies in Germany - 2026 Reviews</t>
  </si>
  <si>
    <t>Triple Whale, Northbeam, Dreamdata, MONSOON, lehof, Mediacharge, PANORAMA3000</t>
  </si>
  <si>
    <t>https://clutch.co/de/agencies/creative</t>
  </si>
  <si>
    <t>Top Creative Agencies in Germany - Jul 2026 Rankings \| Clutch.co</t>
  </si>
  <si>
    <t>PANORAMA3000, Digitalyze, morefire, Haus</t>
  </si>
  <si>
    <t>https://www.sortlist.com/i/s/creative/germany-de</t>
  </si>
  <si>
    <t>The 10 Best Creative Agencies in Germany - 2026 Reviews</t>
  </si>
  <si>
    <t>PANORAMA3000, Measured</t>
  </si>
  <si>
    <t>https://www.sortlist.com/s/ai-marketing/germany-de</t>
  </si>
  <si>
    <t>The 10 Best AI Marketing Companies in Germany - 2026 Reviews</t>
  </si>
  <si>
    <t>https://clutch.co/de/consulting/ai</t>
  </si>
  <si>
    <t>Top AI Consultants in Germany - Jul 2026 Rankings \| Clutch.co</t>
  </si>
  <si>
    <t>https://www.influencer-hero.com/blogs/top-pay-per-click-agencies-in-germany</t>
  </si>
  <si>
    <t>Top 10 Pay-Per-Click Agencies in Germany</t>
  </si>
  <si>
    <t>Globalist, Social Media One, MONSOON, Mediacharge, Smarketer, KlickPiloten, Loyamo</t>
  </si>
  <si>
    <t>https://agencies.semrush.com/list/smm/germany/</t>
  </si>
  <si>
    <t>Best Social Media Marketing Agencies in Germany 2026 | Semrush</t>
  </si>
  <si>
    <t>Baseplus DIGITAL MEDIA GmbH, morefire, Mediaplus Performance, MONSOON, KlickPiloten</t>
  </si>
  <si>
    <t>https://www.designrush.com/agency/creative-agencies/de</t>
  </si>
  <si>
    <t>Top Creative Agencies in Germany | 2026</t>
  </si>
  <si>
    <t>REPLUG, EY</t>
  </si>
  <si>
    <t>https://sourceforge.net/software/incrementality-testing/germany/</t>
  </si>
  <si>
    <t>Best Incrementality Testing Tools in Germany of 2026 - Reviews &amp;amp; Comparison</t>
  </si>
  <si>
    <t>https://agencies.semrush.com/list/advertising/germany/</t>
  </si>
  <si>
    <t>Best Advertising Agencies in Germany 2026 | Semrush</t>
  </si>
  <si>
    <t>Baseplus DIGITAL MEDIA GmbH, morefire, Mediaplus Performance, MONSOON, Mediacharge, KlickPiloten, Huge</t>
  </si>
  <si>
    <t>https://www.magiclibrary.co/blog/best-b2b-saas-marketing-agencies-in-germany</t>
  </si>
  <si>
    <t>12 best B2B SaaS marketing agencies in Germany for 2026</t>
  </si>
  <si>
    <t>Radyant, Omnius</t>
  </si>
  <si>
    <t>iPullRank, Siege Media, Omniscient Digital, NoGood, Directive Consulting, Single Grain, Darkroom, Wpromote, Omnius, Seeders, Claneo, Radyant</t>
  </si>
  <si>
    <t>https://clutch.co/de/agencies/market-research</t>
  </si>
  <si>
    <t>Top Market Research Companies in Germany - Jul 2026 Rankings | Clutch.co</t>
  </si>
  <si>
    <t>LNQP GmbH, Merkle</t>
  </si>
  <si>
    <t>https://www.goodfirms.co/advertising-companies/creative/germany</t>
  </si>
  <si>
    <t>Top Creative Agencies in Germany - 2026 Reviews | Goodfirms</t>
  </si>
  <si>
    <t>Mediacharge, Scholz &amp; Friends, Publicis Groupe</t>
  </si>
  <si>
    <t>https://sourceforge.net/software/marketing-attribution/germany/</t>
  </si>
  <si>
    <t>Best Marketing Attribution Software in Germany of 2026 - Reviews &amp;amp; Comparison</t>
  </si>
  <si>
    <t>Triple Whale, Measured</t>
  </si>
  <si>
    <t>https://digitalagencynetwork.com/agencies/berlin/</t>
  </si>
  <si>
    <t>Top Digital Marketing Agencies in Berlin, Germany (2026)</t>
  </si>
  <si>
    <t>MONSOON, PANORAMA3000, HY.AM STUDIOS</t>
  </si>
  <si>
    <t>https://feedbax.ai/performance-marketing/germany</t>
  </si>
  <si>
    <t>Top 20 Performance Marketing Agencies in Germany - 2026 Reviews</t>
  </si>
  <si>
    <t>PANORAMA3000, KlickPiloten, Mediacharge, Smarketer, DREIKON, Suchhelden</t>
  </si>
  <si>
    <t>https://techbehemoths.com/companies/google-marketing-platform/germany</t>
  </si>
  <si>
    <t>Top 20+ Google Marketing Platform Companies in Germany (2026) - TechBehemoths</t>
  </si>
  <si>
    <t>Peak Ace, Huge</t>
  </si>
  <si>
    <t>https://www.zendikt.com/top-10-marketing-analytics-software/germany</t>
  </si>
  <si>
    <t>Top 10 Marketing Analytics Software in Germany for 2026</t>
  </si>
  <si>
    <t>Ruler Analytics, Measured, Dreamdata</t>
  </si>
  <si>
    <t>https://techbehemoths.com/companies/media-planning-buying/germany</t>
  </si>
  <si>
    <t>Top 20+ Media Planning &amp;amp; Buying Agencies in Germany (2026) - TechBehemoths</t>
  </si>
  <si>
    <t>Admiral Media, Pilot, Huge</t>
  </si>
  <si>
    <t>https://agencies.semrush.com/list/display-advertising/germany/small-business/</t>
  </si>
  <si>
    <t>Best Display Ads Agencies for Small Business in Germany 2026 | Semrush</t>
  </si>
  <si>
    <t>Baseplus DIGITAL MEDIA GmbH, Mediaplus Performance, MONSOON, KlickPiloten</t>
  </si>
  <si>
    <t>https://lengreo.com/best-llm-seo-agencies-in-germany/</t>
  </si>
  <si>
    <t>Top 9 German Companies for LLM SEO (2026)</t>
  </si>
  <si>
    <t>TRYSEO, Omnius, Löwenstark</t>
  </si>
  <si>
    <t>https://northquery.com/best-aeo-agency/europe</t>
  </si>
  <si>
    <t>Best AEO Agency in Europe 2026: I Ranked 8 That Actually Deliver | Northquery</t>
  </si>
  <si>
    <t>Peak Ace, iProspect, Dentsu, Siege Media</t>
  </si>
  <si>
    <t>https://agencies.semrush.com/list/market-analysis/germany/</t>
  </si>
  <si>
    <t>Best Market Research Companies in Germany 2026 | Semrush</t>
  </si>
  <si>
    <t>Baseplus DIGITAL MEDIA GmbH, Mediaplus Performance, KlickPiloten</t>
  </si>
  <si>
    <t>https://www.agenturtipp.de/performance-marketing-agenturen/</t>
  </si>
  <si>
    <t>Top Performance-Marketing-Agenturen (2026) im Vergleich ↗️</t>
  </si>
  <si>
    <t>ZweiDigital GmbH, Smarketer, Mediacharge, Jellyfish</t>
  </si>
  <si>
    <t>https://digitalagencynetwork.com/agencies/berlin/ai-marketing/</t>
  </si>
  <si>
    <t>Top AI Marketing Agencies in Berlin (2026)</t>
  </si>
  <si>
    <t>https://greenbook.org/market-research-companies/germany</t>
  </si>
  <si>
    <t>Top Marketing Research Firms in Germany — Greenbook</t>
  </si>
  <si>
    <t>Mindshare, Accenture Song, Kantar</t>
  </si>
  <si>
    <t>https://clutch.co/de/agencies/business-services-industry</t>
  </si>
  <si>
    <t>Top Advertising Agencies for B2B in Germany - Jul 2026 Rankings | Clutch.co</t>
  </si>
  <si>
    <t>MONSOON, Mediacharge, Digitalyze, morefire, WeLikeWeb GmbH</t>
  </si>
  <si>
    <t>https://clutch.co/de/agencies/ppc/advertising-industry</t>
  </si>
  <si>
    <t>Top PPC Agencies for Ad Agencies in Germany - Jul 2026 Rankings \| Clutch.co</t>
  </si>
  <si>
    <t>Mediacharge, Seeders, Medialabel</t>
  </si>
  <si>
    <t>https://nevolearn.com/blog/social-media-marketing-agencies-germany</t>
  </si>
  <si>
    <t>Top 5 Social Media Marketing Agencies in Germany | Guide 2025 | NevoLearn</t>
  </si>
  <si>
    <t>Artefact, morefire, Haus, Scholz &amp; Friends</t>
  </si>
  <si>
    <t>https://oski.site/blog/sales-and-marketing-analytics-companies-germany/</t>
  </si>
  <si>
    <t>Best 14 Sales and Marketing Analytics Companies in Germany</t>
  </si>
  <si>
    <t>b.telligent, Kantar, Nielsen, MONSOON, Artefact</t>
  </si>
  <si>
    <t>https://clutch.co/de/agencies/media-buying</t>
  </si>
  <si>
    <t>Top Media Buying Agencies in Germany - Jul 2026 Rankings \| Clutch.co</t>
  </si>
  <si>
    <t>REPLUG, Phiture, Measured, Haus, GroupM, Publicis Media, Mediaplus Group</t>
  </si>
  <si>
    <t>https://lengreo.com/germany-berlin-aeo-geo-llmo-companies/</t>
  </si>
  <si>
    <t>Top 10 Berlin’s Companies in AEO, GEO, and LLMO (2026)</t>
  </si>
  <si>
    <t>Claneo, KlickPiloten</t>
  </si>
  <si>
    <t>https://techbehemoths.com/companies/digital-marketing/germany</t>
  </si>
  <si>
    <t>Top 20+ Digital Marketing Agencies in Germany (2026) - TechBehemoths</t>
  </si>
  <si>
    <t>https://aeo-copilot.com/partners/agencies/germany/munich</t>
  </si>
  <si>
    <t>Best AEO Agencies in Munich, Germany — AI Visibility Experts | AEO Copilot</t>
  </si>
  <si>
    <t>https://awisee.com/blog/digital-marketing-agencies-germany/</t>
  </si>
  <si>
    <t>Top 4 Digital Marketing Agencies Germany In 2025 (Reviews)</t>
  </si>
  <si>
    <t>https://clutch.co/de/agencies/ppc/display</t>
  </si>
  <si>
    <t>Top Display Advertising Services in Germany - Jul 2026 Rankings \| Clutch.co</t>
  </si>
  <si>
    <t>Seeders, GroupM, Aufgesang</t>
  </si>
  <si>
    <t>https://zyppy.com/companies/c/generative-ai-seo/germany/</t>
  </si>
  <si>
    <t>Top Generative AI Search Companies in Germany - July 2026</t>
  </si>
  <si>
    <t>HECHT INS GEFECHT</t>
  </si>
  <si>
    <t>https://agencies.semrush.com/list/analytics-data-science/germany/</t>
  </si>
  <si>
    <t>Best Data Analytics Services in Germany 2026 | Semrush</t>
  </si>
  <si>
    <t>HECHT INS GEFECHT, Baseplus DIGITAL MEDIA GmbH, morefire, Mediaplus Performance, KlickPiloten</t>
  </si>
  <si>
    <t>https://clutch.co/de/consulting/ai/strategy</t>
  </si>
  <si>
    <t>Top AI Strategy Companies in Germany - Jul 2026 Rankings \| Clutch.co</t>
  </si>
  <si>
    <t>https://omr.com/de/reviews/service-category/performance-marketing-agenturen</t>
  </si>
  <si>
    <t>Top Performance Marketing Agenturen in Deutschland, Österreich und Schweiz</t>
  </si>
  <si>
    <t>KlickPiloten, Löwenstark, Smarketer, Jung von Matt</t>
  </si>
  <si>
    <t>https://performance-marketing-agency-berlin.com/marketing-analytics/berlin</t>
  </si>
  <si>
    <t>The best Marketing Analytics Companies in Berlin</t>
  </si>
  <si>
    <t>MONSOON, KlickPiloten, lehof, Digital Masters GmbH</t>
  </si>
  <si>
    <t>https://www.sortlist.com/s/digital-advertising/germany-de</t>
  </si>
  <si>
    <t>The 10 Best Digital Advertising Agencies in Germany - 2026 Reviews</t>
  </si>
  <si>
    <t>MONSOON, Triple Whale, Northbeam, Dreamdata, Momentum, Mediacharge</t>
  </si>
  <si>
    <t>https://www.sortlist.com/s/media-planning/germany-de</t>
  </si>
  <si>
    <t>The 10 Best Media Agencies in Germany - 2026 Reviews</t>
  </si>
  <si>
    <t>lehof, Momentum, Triple Whale, Northbeam, Dreamdata, Kantar</t>
  </si>
  <si>
    <t>https://themanifest.com/de/social-media/agencies</t>
  </si>
  <si>
    <t>The Best Social Media Marketing Companies in Germany - Jun 2026 \| The Manifest</t>
  </si>
  <si>
    <t>MONSOON, Mediacharge, HY.AM STUDIOS, PANORAMA3000, DREIKON</t>
  </si>
  <si>
    <t>https://clutch.co/de/agencies/digital</t>
  </si>
  <si>
    <t>Top Full-Service Digital Agencies in Germany - Jul 2026 Rankings \| Clutch.co</t>
  </si>
  <si>
    <t>HY.AM STUDIOS, Huge, Digitalyze, DREIKON, morefire, Löwenstark</t>
  </si>
  <si>
    <t>https://ensun.io/search/multi-touch-attribution/germany</t>
  </si>
  <si>
    <t>Top 100 Multi-Touch Attribution Companies in Germany (2026) \| ensun</t>
  </si>
  <si>
    <t>https://feedbax.ai/digital-marketing/germany#:~:text=from%20on...-,Read%20More,100%25%20relevance%20%E2%9C%93%20Inform%20now</t>
  </si>
  <si>
    <t>Top 20 Digital Marketing Agencies in Germany - 2026 Reviews</t>
  </si>
  <si>
    <t>https://slashdot.org/software/incrementality-testing/in-germany/</t>
  </si>
  <si>
    <t>Top Incrementality Testing Tools in Germany in 2026</t>
  </si>
  <si>
    <t>https://www.btelligent.com/en/news-posts/btelligent-brandeins-2026-best-consultancies-germany</t>
  </si>
  <si>
    <t>b.telligent among Germany’s top Data &amp;amp; AI consultancies 2026</t>
  </si>
  <si>
    <t>b.telligent, Pilot, EY</t>
  </si>
  <si>
    <t>https://feedbax.ai/advertising/germany</t>
  </si>
  <si>
    <t>Top 20 Advertising Agencies in Germany - 2026 Reviews</t>
  </si>
  <si>
    <t>Smarketer, DREIKON</t>
  </si>
  <si>
    <t>https://feedbax.ai/geo-agencies/germany</t>
  </si>
  <si>
    <t>Top 20 GEO Agencies in Germany - 2026 Reviews</t>
  </si>
  <si>
    <t>DREIKON, HECHT INS GEFECHT</t>
  </si>
  <si>
    <t>https://lengreo.com/germany-aeo-geo-llmo-companies/</t>
  </si>
  <si>
    <t>Top 13 Germany AEO GEO LLMO Companies (2026)</t>
  </si>
  <si>
    <t>https://lengreo.com/top-google-ads-agencies-in-germany/</t>
  </si>
  <si>
    <t>10 Best Google Ads Experts Helping Businesses Thrive in Germany (2026)</t>
  </si>
  <si>
    <t>SmartSites, Smarketer, morefire</t>
  </si>
  <si>
    <t>iPullRank, NoGood, Omniscient Digital, Siege Media, Omnius, Measured</t>
  </si>
  <si>
    <t>Ruler Analytics, Dreamdata, Triple Whale, Rockerbox</t>
  </si>
  <si>
    <t>https://agencies.semrush.com/list/display-advertising/germany/</t>
  </si>
  <si>
    <t>Best Display Ads Agencies in Germany 2026 | Semrush</t>
  </si>
  <si>
    <t>https://aisuperior.com/ai-consulting-companies-in-germany/</t>
  </si>
  <si>
    <t>15 Best AI Consulting Companies in Germany (2026)</t>
  </si>
  <si>
    <t>https://oski.site/blog/ai-consulting-companies-germany/</t>
  </si>
  <si>
    <t>Top AI Consulting Companies in Germany 2026</t>
  </si>
  <si>
    <t>Opinosis Analytics, MaibornWolff, statworx, Capgemini, PwC, Momentum</t>
  </si>
  <si>
    <t>https://www.silicon.de/41722409/geo-agentur-vergleich-empfehlungen-beste-15-geo-agenturen-2026</t>
  </si>
  <si>
    <t>GEO Agentur Vergleich: TOP 15 GEO-Agenturen 2026 - silicon.de</t>
  </si>
  <si>
    <t>Aufgesang, Claneo, Suchhelden, iPullRank, WebFX, Omnius, DREIKON</t>
  </si>
  <si>
    <t>https://slashdot.org/software/marketing-attribution/in-germany/</t>
  </si>
  <si>
    <t>Top Marketing Attribution Software in Germany in 2026</t>
  </si>
  <si>
    <t>Triple Whale, Cometly, Measured</t>
  </si>
  <si>
    <t>https://superbcompanies.com/categories/creative-agencies-in-germany/</t>
  </si>
  <si>
    <t>Top 50 Creative Agencies in Germany - Jul 2026 | Ranking | SuperbCompanies</t>
  </si>
  <si>
    <t>DEPT, KlickPiloten</t>
  </si>
  <si>
    <t>https://themanifest.com/de/creative/agencies</t>
  </si>
  <si>
    <t>The Best Creative Companies in Germany - Jul 2026 | The Manifest</t>
  </si>
  <si>
    <t>PANORAMA3000, Digitalyze, morefire</t>
  </si>
  <si>
    <t>https://agencies.semrush.com/list/display-advertising/ecommerce/germany/small-business/</t>
  </si>
  <si>
    <t>Best Ecommerce Display Ads Agencies for Small Business in Germany 2026 | Semrush</t>
  </si>
  <si>
    <t>Baseplus DIGITAL MEDIA GmbH, Mediaplus Performance, MONSOON</t>
  </si>
  <si>
    <t>https://clutch.co/de/agencies/branding</t>
  </si>
  <si>
    <t>Top Branding Agencies in Germany - Jul 2026 Rankings \| Clutch.co</t>
  </si>
  <si>
    <t>PANORAMA3000, HY.AM STUDIOS</t>
  </si>
  <si>
    <t>https://clutch.co/de/agencies/ppc</t>
  </si>
  <si>
    <t>Top PPC Agencies in Germany - Jul 2026 Rankings \| Clutch.co</t>
  </si>
  <si>
    <t>Mediacharge, MONSOON, REPLUG, Seeders, KlickPiloten, Smarketer, eMinded GmbH, Peak Ace, Think11</t>
  </si>
  <si>
    <t>https://digiscorp.com/top-ai-consulting-companies-in-berlin/</t>
  </si>
  <si>
    <t>Top AI Consulting Companies in Berlin</t>
  </si>
  <si>
    <t>appliedAI, Measured, Pilot</t>
  </si>
  <si>
    <t>https://ensun.io/search/ai-marketing/germany</t>
  </si>
  <si>
    <t>Top 100 AI Marketing Companies in Germany (2026) \| ensun</t>
  </si>
  <si>
    <t>https://indeedseo.com/directories/ai-marketing-agencies-germany/</t>
  </si>
  <si>
    <t>Top 10 AI Marketing Agencies in Germany for 2026</t>
  </si>
  <si>
    <t>https://www.openpr.com/news/4378626/these-are-the-top-10-seo-geo-agencies-in-germany</t>
  </si>
  <si>
    <t>These are the top 10 SEO + GEO agencies in Germany</t>
  </si>
  <si>
    <t>https://www.sortlist.com/s/attribution-marketing/berlin-de</t>
  </si>
  <si>
    <t>The 10 Best Attribution Marketing Agencies in Berlin - 2026 Reviews</t>
  </si>
  <si>
    <t>Triple Whale, Northbeam, Dreamdata, Customlytics</t>
  </si>
  <si>
    <t>https://www.sortlist.com/s/attribution-marketing/germany-de</t>
  </si>
  <si>
    <t>The 10 Best Attribution Marketing Agencies in Germany - 2026 Reviews</t>
  </si>
  <si>
    <t>https://tech-now.io/en/blogs/top-10-best-e-commerce-seo-agencies-in-germany/</t>
  </si>
  <si>
    <t>Top 10 Best E-Commerce SEO Agencies in Germany (2026) - TechNow</t>
  </si>
  <si>
    <t>HECHT INS GEFECHT, morefire</t>
  </si>
  <si>
    <t>https://themanifest.com/de/digital-marketing/agencies</t>
  </si>
  <si>
    <t>The Best Digital Marketing Companies in Germany - Jul 2026 | The Manifest</t>
  </si>
  <si>
    <t>MONSOON, Admiral Media, Phiture, REPLUG, Mediacharge, HECHT INS GEFECHT, Claneo, HY.AM STUDIOS, Seeders</t>
  </si>
  <si>
    <t>https://agencies.semrush.com/list/machine-learning-and-ai/germany/</t>
  </si>
  <si>
    <t>Best Machine Learning and AI Services in Germany 2026 | Semrush</t>
  </si>
  <si>
    <t>HECHT INS GEFECHT, Baseplus DIGITAL MEDIA GmbH, morefire, Mediaplus Performance</t>
  </si>
  <si>
    <t>https://awisee.com/blog/social-media-agencies-germany/</t>
  </si>
  <si>
    <t>The 4 Best Social Media Agencies in Germany</t>
  </si>
  <si>
    <t>https://clutch.co/de/agencies/conversion-optimization</t>
  </si>
  <si>
    <t>Top Conversion Rate Optimization Services in Germany - Jul 2026 Rankings \| Clutch.co</t>
  </si>
  <si>
    <t>REPLUG, morefire, The Boutique Agency, Peak Ace</t>
  </si>
  <si>
    <t>https://clutch.co/de/consulting/ai/deployment</t>
  </si>
  <si>
    <t>Top Artificial Intelligence as a Service Companies in Germany - Jul 2026 Rankings \| Clutch.co</t>
  </si>
  <si>
    <t>https://www.digipims.com/social-media-marketing-agencies-in-germany/</t>
  </si>
  <si>
    <t>Top 10 Social Media Marketing Agencies in Germany (Updated 2026)</t>
  </si>
  <si>
    <t>HikeMyTraffic, Nielsen</t>
  </si>
  <si>
    <t>https://digital-marketing-agencies.de/</t>
  </si>
  <si>
    <t>Top 10 Digital Marketing Agencies in DACH (2026) — Germany, Austria &amp;amp; Switzerland</t>
  </si>
  <si>
    <t>https://feedbax.ai/advertising</t>
  </si>
  <si>
    <t>Top 20 Advertising Agencies - 2026 Reviews</t>
  </si>
  <si>
    <t>https://icoda.io/ai/best-ai-seo-agency-germany/</t>
  </si>
  <si>
    <t>Best AI SEO Agency in Germany: Top 10 Providers for 2026</t>
  </si>
  <si>
    <t>Omnius, TRYSEO, Aufgesang, Claneo, Single Grain</t>
  </si>
  <si>
    <t>https://www.influencer-hero.com/blogs/top-facebook-advertising-agencies-in-germany</t>
  </si>
  <si>
    <t>Top 10 Facebook Advertising Agencies in Germany</t>
  </si>
  <si>
    <t>MONSOON, DREIKON, Social Media One, Globalist, Mawave</t>
  </si>
  <si>
    <t>https://www.radigitalworld.com/2025/06/top-10-digital-marketing-agencies-in.html</t>
  </si>
  <si>
    <t>Top 10 Digital Marketing Agencies in Germany to Watch</t>
  </si>
  <si>
    <t>Jung von Matt, DEPT, Think11</t>
  </si>
  <si>
    <t>https://www.sortlist.com/s/performance-marketing/berlin-de</t>
  </si>
  <si>
    <t>The 10 Best Performance Marketing Agencies in Berlin - 2026 Reviews</t>
  </si>
  <si>
    <t>lehof, MONSOON, Triple Whale, Northbeam, Dreamdata, KlickPiloten, PANORAMA3000, Pilot</t>
  </si>
  <si>
    <t>https://agencies.semrush.com/list/display-advertising/berlin/small-business/</t>
  </si>
  <si>
    <t>Best Display Ads Agencies for Small Business in Berlin 2026 | Semrush</t>
  </si>
  <si>
    <t>MONSOON, KlickPiloten, Baseplus DIGITAL MEDIA GmbH, Mediaplus Performance</t>
  </si>
  <si>
    <t>https://ensun.io/search/marketing-analytics/germany</t>
  </si>
  <si>
    <t>Top 100 Marketing Analytics Companies in Germany (2026) \| ensun</t>
  </si>
  <si>
    <t>Kantar, Customlytics</t>
  </si>
  <si>
    <t>Ruler Analytics, Dreamdata, Triple Whale, Rockerbox, Northbeam</t>
  </si>
  <si>
    <t>https://mobian.studio/ai-consulting-companies-germany/</t>
  </si>
  <si>
    <t>Top AI Consulting Firms in Germany 2025 Guide</t>
  </si>
  <si>
    <t>Artefact, b.telligent</t>
  </si>
  <si>
    <t>https://www.sortlist.com/i/advertising/germany-de</t>
  </si>
  <si>
    <t>The 10 Best Advertising Agencies in Germany - 2026 Reviews</t>
  </si>
  <si>
    <t>https://agencies.semrush.com/list/ai-optimization/germany/mid-business/</t>
  </si>
  <si>
    <t>Best AI Search Optimization Agencies for Mid Business in Germany 2026 | Semrush</t>
  </si>
  <si>
    <t>https://clutch.co/de/consulting/ai?page=1</t>
  </si>
  <si>
    <t>Page 2 - Top AI Consultants in Germany - Jul 2026 Rankings \| Clutch.co</t>
  </si>
  <si>
    <t>https://founderpal.ai/best-marketing-agencies/germany</t>
  </si>
  <si>
    <t>10 Best Marketing Agencies in Germany \[2026 Updated\]</t>
  </si>
  <si>
    <t>Jung von Matt, Serviceplan Group, Scholz &amp; Friends, Pilot, DEPT</t>
  </si>
  <si>
    <t>https://www.influencer-hero.com/fr/blogs/top-10-creative-agencies-in-germany</t>
  </si>
  <si>
    <t>Top 10 agences créatives en Allemagne</t>
  </si>
  <si>
    <t>https://www.influencer-hero.com/it/blogs/top-10-creative-agencies-in-germany</t>
  </si>
  <si>
    <t>Top 10 Agenzie Creative in Germania</t>
  </si>
  <si>
    <t>https://www.influencer-hero.com/it/blogs/top-facebook-advertising-agencies-in-germany</t>
  </si>
  <si>
    <t>I top 10 agenzie pubblicitarie Facebook in Germania</t>
  </si>
  <si>
    <t>https://lengreo.com/germany-dusseldorf-aeo-geo-llmo-companies/</t>
  </si>
  <si>
    <t>Top AEO, GEO &amp;amp; LLMO Companies in Düsseldorf, Germany</t>
  </si>
  <si>
    <t>Seeders, Baseplus DIGITAL MEDIA GmbH, Measured, Suchhelden</t>
  </si>
  <si>
    <t>https://www.marketing-companies-in-germany.com/google-ads</t>
  </si>
  <si>
    <t>The best Google Ads Agencies</t>
  </si>
  <si>
    <t>MONSOON, Mediacharge, Measured, eMinded GmbH</t>
  </si>
  <si>
    <t>Dreamdata</t>
  </si>
  <si>
    <t>iPullRank, Omnius, WebFX</t>
  </si>
  <si>
    <t>lehof, MONSOON</t>
  </si>
  <si>
    <t>https://www.sortlist.com/paid-media</t>
  </si>
  <si>
    <t>lehof, Measured, MONSOON, Triple Whale, Northbeam, Dreamdata</t>
  </si>
  <si>
    <t>https://sourceforge.net/software/marketing-attribution/germany/?page=4</t>
  </si>
  <si>
    <t>Page 4 | Best Marketing Attribution Software in Germany of 2026 - Reviews &amp;amp; Comparison</t>
  </si>
  <si>
    <t>Rockerbox, Nielsen, Recast, Tinuiti</t>
  </si>
  <si>
    <t>Siege Media, iPullRank</t>
  </si>
  <si>
    <t>https://aeo-copilot.com/partners/agencies/germany</t>
  </si>
  <si>
    <t>Best AEO Agencies in Germany — AI Visibility Experts | AEO Copilot</t>
  </si>
  <si>
    <t>https://agencies.semrush.com/list/ai-optimization/germany/small-business/</t>
  </si>
  <si>
    <t>Best AI Search Optimization Agencies for Small Business in Germany 2026 | Semrush</t>
  </si>
  <si>
    <t>HECHT INS GEFECHT, Mediaplus Performance</t>
  </si>
  <si>
    <t>https://aijourn.com/top-ai-driven-amazon-marketing-agencies-in-germany-2026/</t>
  </si>
  <si>
    <t>Top AI-Driven Amazon Marketing Agencies in Germany (2026) | The AI Journal</t>
  </si>
  <si>
    <t>https://www.brandcrock.com/ai-services/</t>
  </si>
  <si>
    <t>Best AI &amp; Automation Agency in Germany</t>
  </si>
  <si>
    <t>https://www.ekipa.ai/ekipa-labs/end-to-end-ai-consulting-companies</t>
  </si>
  <si>
    <t>Top End-to-End AI Consulting Companies in Germany</t>
  </si>
  <si>
    <t>https://www.influencer-hero.com/de/blogs/top-10-creative-agencies-in-germany</t>
  </si>
  <si>
    <t>Top 10 Creative Agenturen in Deutschland</t>
  </si>
  <si>
    <t>https://www.influencer-hero.com/fr/blogs/top-facebook-advertising-agencies-in-germany</t>
  </si>
  <si>
    <t>Top 10 agences de publicité Facebook en Allemagne</t>
  </si>
  <si>
    <t>https://intentcliq.com/google-ads-agencies-in-germany/</t>
  </si>
  <si>
    <t>Top 20 Professional Google Ads Agencies in Germany 2024</t>
  </si>
  <si>
    <t>Mediacharge, Smarketer</t>
  </si>
  <si>
    <t>https://invademarketing.com/best-data-driven-marketing-agencies-in-europe/</t>
  </si>
  <si>
    <t>Best Data-Driven Marketing Agencies in Europe 2026</t>
  </si>
  <si>
    <t>https://omr.com/de/reviews/service-category/geo-agenturen</t>
  </si>
  <si>
    <t>Top GEO Agenturen in Deutschland, Österreich &amp;amp; der Schweiz</t>
  </si>
  <si>
    <t>Claneo, HECHT INS GEFECHT, TRYSEO, Suchhelden, Kosch Klink Performance, Löwenstark</t>
  </si>
  <si>
    <t>https://www.semrush.com/agencies/list/display-advertising/ecommerce/germany/</t>
  </si>
  <si>
    <t>Best Ecommerce Display Ads Agencies in Germany 2026 \| Semrush</t>
  </si>
  <si>
    <t>Baseplus DIGITAL MEDIA GmbH, morefire, Mediaplus Performance, MONSOON</t>
  </si>
  <si>
    <t>https://www.silicon.de/41722409/geo-agentur-vergleich-empfehlungen-beste-15-geo-agenturen-2026/amp</t>
  </si>
  <si>
    <t>https://www.sortlist.com/s/marketing-automation/germany-de</t>
  </si>
  <si>
    <t>The 10 Best Marketing Automation Agencies in Germany - 2026 Reviews</t>
  </si>
  <si>
    <t>MONSOON, Measured</t>
  </si>
  <si>
    <t>https://sourceforge.net/software/marketing-attribution/germany/?page=2</t>
  </si>
  <si>
    <t>Page 2 | Best Marketing Attribution Software in Germany of 2026 - Reviews &amp;amp; Comparison</t>
  </si>
  <si>
    <t>LifeSight, GroupM, Dentsu</t>
  </si>
  <si>
    <t>https://thatware.co/top-10-aeo-companies-in-germany/</t>
  </si>
  <si>
    <t>Top 10 AEO Companies in Germany | 10 Best Germany AEO Firms</t>
  </si>
  <si>
    <t>Claneo, Peak Ace</t>
  </si>
  <si>
    <t>Omnius, Directive Consulting, Siege Media, iPullRank</t>
  </si>
  <si>
    <t>https://ultragrowthmedia.com/best-b2b-marketing-agencies-germany/</t>
  </si>
  <si>
    <t>10 Best B2B Marketing Agencies in Germany (Top-Rated)</t>
  </si>
  <si>
    <t>Serviceplan Group, Jung von Matt, Mediacharge</t>
  </si>
  <si>
    <t>https://clutch.co/de/agencies/ppc/advertising-industry?page=2</t>
  </si>
  <si>
    <t>Page 2 - Top PPC Agencies for Ad Agencies in Germany - Jul 2026 Rankings \| Clutch.co</t>
  </si>
  <si>
    <t>Mediacharge, Medialabel</t>
  </si>
  <si>
    <t>https://www.dejaoffice.com/blog/2026/06/15/9-best-aeo-agencies-helping-brands-win-in-the-age-of-ai/</t>
  </si>
  <si>
    <t>9 Best AEO Agencies Helping Brands Win in the Age of AI - DejaOffice Blog</t>
  </si>
  <si>
    <t>NoGood, Omniscient Digital, Huge, Single Grain, Siege Media, iPullRank</t>
  </si>
  <si>
    <t>https://www.designrush.com/agency/social-media-marketing/de</t>
  </si>
  <si>
    <t>Top Social Media Marketing Agencies in Germany | 2026</t>
  </si>
  <si>
    <t>MONSOON, REPLUG, Pulse Advertising, PANORAMA3000</t>
  </si>
  <si>
    <t>https://feedbax.ai/creative-agencies/germany</t>
  </si>
  <si>
    <t>Top 20 Creative Agencies in Germany - 2026 Reviews</t>
  </si>
  <si>
    <t>PANORAMA3000, Mediacharge, Smarketer, KlickPiloten, DREIKON</t>
  </si>
  <si>
    <t>https://www.sortlist.com/i/web-analytics/germany-de</t>
  </si>
  <si>
    <t>The 10 Best Web Analytics Agencies in Germany - 2026 Reviews</t>
  </si>
  <si>
    <t>KlickPiloten, Baseplus DIGITAL MEDIA GmbH</t>
  </si>
  <si>
    <t>https://www.sortlist.com/s/international-marketing/germany-de</t>
  </si>
  <si>
    <t>The 10 Best International Marketing Agencies in Germany - 2026 Reviews</t>
  </si>
  <si>
    <t>https://www.sortlist.com/s/marketing-analytics/frankfurt-he-de</t>
  </si>
  <si>
    <t>Digital Masters GmbH, lehof, MONSOON, Measured</t>
  </si>
  <si>
    <t>https://www.sortlist.com/s/sm-analytics/germany-de</t>
  </si>
  <si>
    <t>The 10 Best SM Analytics Consultants in Germany - 2026 Reviews</t>
  </si>
  <si>
    <t>PANORAMA3000, Momentum, ZweiDigital GmbH</t>
  </si>
  <si>
    <t>Omnicom, WPP</t>
  </si>
  <si>
    <t>Omniscient Digital, Single Grain, NoGood, Siege Media, Measured</t>
  </si>
  <si>
    <t>https://websenor.com/top-10-ai-agencies-in-germany/</t>
  </si>
  <si>
    <t>Top 10 AI Agencies in Germany - WebSenor</t>
  </si>
  <si>
    <t>https://aeo-copilot.com/partners/agencies/germany/berlin</t>
  </si>
  <si>
    <t>Best AEO Agencies in Berlin, Germany — AI Visibility Experts | AEO Copilot</t>
  </si>
  <si>
    <t>https://aeo-copilot.com/partners/agencies/germany/frankfurt</t>
  </si>
  <si>
    <t>Best AEO Agencies in Frankfurt, Germany — AI Visibility Experts | AEO Copilot</t>
  </si>
  <si>
    <t>https://agencies.semrush.com/list/display-advertising/germany/mid-business/</t>
  </si>
  <si>
    <t>Best Display Ads Agencies for Mid Business in Germany 2026 | Semrush</t>
  </si>
  <si>
    <t>https://agencies.semrush.com/list/seo/germany/</t>
  </si>
  <si>
    <t>Best SEO Companies in Germany 2026 | Semrush</t>
  </si>
  <si>
    <t>Pilot, Artefact, Ogilvy, McKinsey &amp; Company</t>
  </si>
  <si>
    <t>https://awisee.com/pt/blog/digital-marketing-agencies-germany/</t>
  </si>
  <si>
    <t>https://clutch.co/de/consulting/ai/strategy?page=1</t>
  </si>
  <si>
    <t>Page 2 - Top AI Strategy Companies in Germany - Jul 2026 Rankings \| Clutch.co</t>
  </si>
  <si>
    <t>https://ensun.io/search/display-advertising/germany</t>
  </si>
  <si>
    <t>Top 100 Display Advertising Companies in Germany (2026) \| ensun</t>
  </si>
  <si>
    <t>https://feedbax.ai/geo-agencies/dach</t>
  </si>
  <si>
    <t>Top 20 GEO Agencies in DACH - 2026 Reviews</t>
  </si>
  <si>
    <t>https://feedbax.ai/google-ads/western-europe</t>
  </si>
  <si>
    <t>Top 20 Google Ads Agencies in Western Europe - 2026 Reviews</t>
  </si>
  <si>
    <t>Mediacharge, Smarketer, DREIKON, Suchhelden</t>
  </si>
  <si>
    <t>https://www.goodfirms.co/directory/country/top-digital-marketing-companies/advertising-ppc/germany</t>
  </si>
  <si>
    <t>Top PPC Agencies in Germany - 2026 Reviews | Goodfirms</t>
  </si>
  <si>
    <t>WebFX, Mediacharge, Smarketer, Aufgesang</t>
  </si>
  <si>
    <t>Siege Media, Omniscient Digital, Momentum</t>
  </si>
  <si>
    <t>Omnius, Siege Media, NoGood</t>
  </si>
  <si>
    <t>https://www.topdevelopers.co/directory/digital-marketing-agencies-in-germany</t>
  </si>
  <si>
    <t>Top 10+ Digital Marketing Agencies in Germany - July 2026 Reviews | Topdevelopers.co</t>
  </si>
  <si>
    <t>https://ziuma.com/Thread-Best-AI-Digital-Marketing-Agency-in-Germany-and-Beyond</t>
  </si>
  <si>
    <t>Best AI Digital Marketing Agency in Germany and Beyond</t>
  </si>
  <si>
    <t>https://agencies.semrush.com/list/ai-optimization/germany/enterprise-business/</t>
  </si>
  <si>
    <t>Best AI Search Optimization Agencies for Enterprise Business in Germany 2026 | Semrush</t>
  </si>
  <si>
    <t>https://aio.com.ai/blog/13498-best-seo-company-in-germany-ai-optimized-aio-guide</t>
  </si>
  <si>
    <t>Best SEO Company In Germany: A Visionary AI-Driven Guide To Unified AIO Optimization \| Semalt AI Blog</t>
  </si>
  <si>
    <t>Measured, Pilot</t>
  </si>
  <si>
    <t>DEPT, iPullRank, Omniscient Digital, Directive Consulting, Siege Media</t>
  </si>
  <si>
    <t>https://clutch.co/de/agencies?page=6</t>
  </si>
  <si>
    <t>Page 6 - Top Advertising Agencies in Germany - Jul 2026 Rankings \| Clutch.co</t>
  </si>
  <si>
    <t>MONSOON, Phiture, PANORAMA3000, Seeders, Mediacharge, Digitalyze, morefire, Scholz &amp; Friends</t>
  </si>
  <si>
    <t>https://ensun.io/search/market-intelligence/germany#:~:text=Market%20Logic's%20Insights%20Engagement%20platform,Core%20business</t>
  </si>
  <si>
    <t>Top 100 Market Intelligence Companies in Germany (2026) \| ensun</t>
  </si>
  <si>
    <t>Kantar</t>
  </si>
  <si>
    <t>https://feedbax.ai/creative-agencies</t>
  </si>
  <si>
    <t>Top 20 Creative Agencies - 2026 Reviews</t>
  </si>
  <si>
    <t>PANORAMA3000, DREIKON, Mediacharge, Smarketer, KlickPiloten, ZweiDigital GmbH, Measured</t>
  </si>
  <si>
    <t>https://flypix.ai/geospatial-companies-in-germany/</t>
  </si>
  <si>
    <t>8 Best Geospatial Companies in Germany (2026)</t>
  </si>
  <si>
    <t>Seeders, Omnius, Huge, Measured</t>
  </si>
  <si>
    <t>https://themanifest.com/de/advertising/agencies#:~:text=They%20offer%20Advertising%2C%20Branding%2C%20Event,is%20based%20in%20K%C3%B6ln%2C%20Germany.</t>
  </si>
  <si>
    <t>The Best Advertising Companies in Germany - Jul 2026 | The Manifest</t>
  </si>
  <si>
    <t>MONSOON, Phiture, PANORAMA3000, morefire, Digitalyze, Scholz &amp; Friends</t>
  </si>
  <si>
    <t>https://agencies.semrush.com/list/information-technology/germany/</t>
  </si>
  <si>
    <t>Best IT Digital Marketing Agencies in Germany 2026 | Semrush</t>
  </si>
  <si>
    <t>https://agencies.semrush.com/list/programmatic-advertising/germany/</t>
  </si>
  <si>
    <t>Best Programmatic Advertising Agencies in Germany 2026 | Semrush</t>
  </si>
  <si>
    <t>morefire, Mediaplus Performance, KlickPiloten</t>
  </si>
  <si>
    <t>https://blog.applabx.com/top-10-best-digital-marketing-agencies-in-germany-in-2026/</t>
  </si>
  <si>
    <t>Top 10 Best Digital Marketing Agencies in Germany in 2026</t>
  </si>
  <si>
    <t>Serviceplan Group, MONSOON, Mediacharge, Claneo, HECHT INS GEFECHT, Digital Masters GmbH, Measured</t>
  </si>
  <si>
    <t>https://clutch.co/de/agencies/programmatic</t>
  </si>
  <si>
    <t>Top Programmatic Advertising Companies in Germany - Jul 2026 Rankings | Clutch.co</t>
  </si>
  <si>
    <t>Phiture, PANORAMA3000, morefire, WeLikeWeb GmbH</t>
  </si>
  <si>
    <t>https://clutch.co/de/consulting/ai/maturation</t>
  </si>
  <si>
    <t>Top AI Maturation Services in Germany - Jul 2026 Rankings | Clutch.co</t>
  </si>
  <si>
    <t>https://clutch.co/de/developers/artificial-intelligence</t>
  </si>
  <si>
    <t>Top Artificial Intelligence Companies in Germany - Jul 2026 Rankings | Clutch.co</t>
  </si>
  <si>
    <t>https://clutch.co/de/developers/artificial-intelligence/generative</t>
  </si>
  <si>
    <t>Top Generative AI Companies in Germany - Jul 2026 Rankings \| Clutch.co</t>
  </si>
  <si>
    <t>Admiral Media, Aufgesang</t>
  </si>
  <si>
    <t>https://www.designrush.com/agency/ai-companies/de</t>
  </si>
  <si>
    <t>Top AI Companies in Germany | 2026</t>
  </si>
  <si>
    <t>iPullRank, Omniscient Digital</t>
  </si>
  <si>
    <t>https://gemprogrammers.com/best-digital-marketing-agency-germany/</t>
  </si>
  <si>
    <t>Best Digital Marketing Agency Germany 2026: Right Fit Guide</t>
  </si>
  <si>
    <t>WPP, Omnicom, Dentsu</t>
  </si>
  <si>
    <t>https://www.phable.io/top-creative-agencies/ty64guv22ftctcjddgh9avb7ywb85q</t>
  </si>
  <si>
    <t>Top Creative Agencies in Europe | Leaders in Branding, Content Creation &amp;amp; Digital Innovation — Branding And Content Marketing For Technology</t>
  </si>
  <si>
    <t>AKQA, Serviceplan Group, R/GA</t>
  </si>
  <si>
    <t>https://www.sortlist.com/s/artificial-intelligence/munich-by-de</t>
  </si>
  <si>
    <t>The 10 Best Artificial Intelligence Agencies in Munich - 2026 Reviews</t>
  </si>
  <si>
    <t>Momentum, Pilot</t>
  </si>
  <si>
    <t>https://sourceforge.net/software/ai-marketing/germany/</t>
  </si>
  <si>
    <t>Best AI Marketing Tools in Germany of 2026 - Reviews &amp;amp; Comparison</t>
  </si>
  <si>
    <t>https://thebestagency.de/news/serviceplan-stuermt-an-die-spitze-des-rankings-von-the-best-agency/?media_link=1</t>
  </si>
  <si>
    <t>THE BEST AGENCY Ranking: Serviceplan stürmt an die Spitze</t>
  </si>
  <si>
    <t>Publicis Groupe, Ogilvy, Accenture Song, Scholz &amp; Friends, Jung von Matt</t>
  </si>
  <si>
    <t>https://thebestagency.de/the-best-agency-ranking/</t>
  </si>
  <si>
    <t>THE BEST AGENCY Ranking - ein Überblick</t>
  </si>
  <si>
    <t>Publicis Groupe, Publicis Media, Ogilvy, Accenture Song, Scholz &amp; Friends, Omnicom, Omnicom Media Group, Jung von Matt, Havas Media, Mawave, Aufgesang, Mindshare, Serviceplan Group</t>
  </si>
  <si>
    <t>https://agencies.semrush.com/list/analytics-data-science/business-professional-services/germany/</t>
  </si>
  <si>
    <t>Best B2B Services Data Analytics Services in Germany 2026 | Semrush</t>
  </si>
  <si>
    <t>https://agencies.semrush.com/list/analytics-data-science/germany/small-business/</t>
  </si>
  <si>
    <t>Best Data Analytics Services for Small Business in Germany 2026 | Semrush</t>
  </si>
  <si>
    <t>HECHT INS GEFECHT, Baseplus DIGITAL MEDIA GmbH, Mediaplus Performance, KlickPiloten</t>
  </si>
  <si>
    <t>https://agencies.semrush.com/list/ppc/germany/</t>
  </si>
  <si>
    <t>Best PPC Agencies in Germany 2026 | Semrush</t>
  </si>
  <si>
    <t>morefire, Mediaplus Performance, MONSOON, Mediacharge, KlickPiloten</t>
  </si>
  <si>
    <t>Omnius, Seeders, Measured</t>
  </si>
  <si>
    <t>https://clutch.co/de/agencies/social-media-marketing/influencer</t>
  </si>
  <si>
    <t>Top Influencer Advertising Agencies in Germany - Jul 2026 Rankings \| Clutch.co</t>
  </si>
  <si>
    <t>MONSOON, PANORAMA3000, HY.AM STUDIOS, KlickPiloten, Medialabel, GroupM</t>
  </si>
  <si>
    <t>https://clutch.co/de/seo-firms</t>
  </si>
  <si>
    <t>Top SEO Companies in Germany - Jul 2026 Rankings \| Clutch.co</t>
  </si>
  <si>
    <t>MONSOON, Mediacharge, Claneo, Seeders, HECHT INS GEFECHT, KlickPiloten</t>
  </si>
  <si>
    <t>https://www.contextstudios.ai/blog/best-ai-agencies-berlin-2026-the-ultimate-comparison</t>
  </si>
  <si>
    <t>Best AI Agencies Berlin 2026: The Ultimate Comparison | Context Studios Blog</t>
  </si>
  <si>
    <t>Momentum, Suchhelden, b.telligent, Peak Ace, Xmethod</t>
  </si>
  <si>
    <t>https://csw.agency/en/the-best-geo-agencies-duesseldorf/</t>
  </si>
  <si>
    <t>The ten best GEO agencies in Düsseldorf » CSW.AGENCY</t>
  </si>
  <si>
    <t>Seeders, Baseplus DIGITAL MEDIA GmbH</t>
  </si>
  <si>
    <t>https://de.statista.com/statistik/daten/studie/168621/umfrage/top-30-kommunikationsagenturen-in-deutschland/</t>
  </si>
  <si>
    <t>Top-30-Kommunikationsagenturen in Deutschland 2025\| Statista</t>
  </si>
  <si>
    <t>Ogilvy, OMD, Havas Media, MetaDesign, Publicis Media, Scholz &amp; Friends, Publicis Groupe</t>
  </si>
  <si>
    <t>Single Grain, Jellyfish, SmartSites, Huge, Disruptive Advertising, PwC, WebFX, Capgemini</t>
  </si>
  <si>
    <t>https://feedbax.ai/geo-agencies</t>
  </si>
  <si>
    <t>Top 20 GEO Agencies - 2026 Reviews</t>
  </si>
  <si>
    <t>https://feedbax.ai/performance-marketing/berlin</t>
  </si>
  <si>
    <t>Top 20 Performance Marketing Agencies in Berlin - 2026 Reviews</t>
  </si>
  <si>
    <t>PANORAMA3000, KlickPiloten, Mediacharge, Smarketer</t>
  </si>
  <si>
    <t>https://icoda.io/de/ai/best-ai-seo-agency-germany/</t>
  </si>
  <si>
    <t>Beste AI SEO Agentur in Deutschland: Top 10 Anbieter für 2026</t>
  </si>
  <si>
    <t>Omnius, TRYSEO, Aufgesang, Claneo</t>
  </si>
  <si>
    <t>https://www.influencer-hero.com/fr/blogs/top-pay-per-click-agencies-in-germany</t>
  </si>
  <si>
    <t>Top 10 Agences Pay-Per-Click en Allemagne</t>
  </si>
  <si>
    <t>https://www.jadasquad.com/blog/top-ai-agent-development-companies-in-munich</t>
  </si>
  <si>
    <t>Top AI Agent Development Companies in Munich Germany (2026) | The JADA Squad</t>
  </si>
  <si>
    <t>MaibornWolff, Momentum, appliedAI</t>
  </si>
  <si>
    <t>https://lengreo.com/best-meta-ads-agencies-in-germany/</t>
  </si>
  <si>
    <t>Top 15 Meta Ads Companies to Partner with in Germany (2026)</t>
  </si>
  <si>
    <t>MONSOON, PANORAMA3000, Pilot, Medialabel, Mawave, Social Media Pirates, Claneo, Loyamo</t>
  </si>
  <si>
    <t>https://performance-marketing-agency-berlin.com/attribution-marketing/berlin</t>
  </si>
  <si>
    <t>The best Attribution Marketing Agencies in Berlin</t>
  </si>
  <si>
    <t>Customlytics</t>
  </si>
  <si>
    <t>https://seranking.com/agencies/location/germany/</t>
  </si>
  <si>
    <t>40+ Best SEO Agencies in Germany: Screened and Scored</t>
  </si>
  <si>
    <t>DEPT, Haus</t>
  </si>
  <si>
    <t>https://www.sortlist.com/s/b2b-marketing/germany-de</t>
  </si>
  <si>
    <t>The 10 Best B2B Marketing Agencies in Germany - 2026 Reviews</t>
  </si>
  <si>
    <t>https://www.sortlist.com/s/google-ads/germany-de</t>
  </si>
  <si>
    <t>The 10 Best Google Ads Agencies in Germany - 2026 Reviews</t>
  </si>
  <si>
    <t>MONSOON, Triple Whale, Northbeam, Dreamdata</t>
  </si>
  <si>
    <t>https://www.sortlist.com/s/marketing-analytics/berlin-de</t>
  </si>
  <si>
    <t>The 10 Best Marketing Analytics Companies in Berlin - 2026 Reviews</t>
  </si>
  <si>
    <t>MONSOON, Triple Whale, Northbeam, Dreamdata, KlickPiloten, lehof</t>
  </si>
  <si>
    <t>https://thatware.co/top-10-geo-companies-in-germany/</t>
  </si>
  <si>
    <t>Top GEO Listing Companies in Germany (AI Era)</t>
  </si>
  <si>
    <t>https://threebestrated.de/advertising-agencies-in-munich</t>
  </si>
  <si>
    <t>3 Best Advertising Agencies in Munich - Expert Recommendations</t>
  </si>
  <si>
    <t>eMinded GmbH</t>
  </si>
  <si>
    <t>https://www.werbeagentur.de/de/scoring/performance-marketing</t>
  </si>
  <si>
    <t>261 Top Agenturen für Performance Marketing. Hier vergleichen</t>
  </si>
  <si>
    <t>Artefact, Digital Masters GmbH, Customlytics, Löwenstark, Aufgesang, Mawave, Loyamo, Social Media Pirates, Smarketer, eMinded GmbH, ZweiDigital GmbH</t>
  </si>
  <si>
    <t>https://www.werbeagentur.de/en/scoring/ab-testing</t>
  </si>
  <si>
    <t>29 Top Agenturen für AB Testing. Hier vergleichen</t>
  </si>
  <si>
    <t>morefire, Digital Masters GmbH</t>
  </si>
  <si>
    <t>https://www.werbeagentur.de/en/scoring/performance-marketing</t>
  </si>
  <si>
    <t>260 Top Agenturen für Performance Marketing. Hier vergleichen</t>
  </si>
  <si>
    <t>https://www.zendikt.com/top-10-marketing-attribution-software/germany</t>
  </si>
  <si>
    <t>Top 10 Marketing Attribution Software in Germany for 2026</t>
  </si>
  <si>
    <t>https://aeoagencyservices.com/aeo-agency-europe</t>
  </si>
  <si>
    <t>Best AEO Agency Europe | Leading Answer Engine Optimization Services</t>
  </si>
  <si>
    <t>https://agencies.semrush.com/list/ai-optimization/hamburg/</t>
  </si>
  <si>
    <t>Best AI Search Optimization Agencies in Hamburg 2026 | Semrush</t>
  </si>
  <si>
    <t>https://agencies.semrush.com/list/content-marketing/business-professional-services/germany/</t>
  </si>
  <si>
    <t>Best B2B Services Content Marketing Agencies in Germany 2026 | Semrush</t>
  </si>
  <si>
    <t>HECHT INS GEFECHT, Baseplus DIGITAL MEDIA GmbH, Mediaplus Performance</t>
  </si>
  <si>
    <t>https://agencies.semrush.com/list/display-advertising/arts-entertainment/germany/</t>
  </si>
  <si>
    <t>Best Media &amp;amp; Entertainment Display Ads Agencies in Germany 2026 | Semrush</t>
  </si>
  <si>
    <t>https://agencies.semrush.com/list/display-advertising/ecommerce/germany/mid-business/</t>
  </si>
  <si>
    <t>Best Ecommerce Display Ads Agencies for Mid Business in Germany 2026 | Semrush</t>
  </si>
  <si>
    <t>https://agencies.semrush.com/list/display-advertising/germany/enterprise-business/</t>
  </si>
  <si>
    <t>Best Display Ads Agencies for Enterprise Business in Germany 2026 | Semrush</t>
  </si>
  <si>
    <t>https://agencies.semrush.com/list/llm-optimization/germany/</t>
  </si>
  <si>
    <t>Best LLM optimization Agencies in Germany 2026 | Semrush</t>
  </si>
  <si>
    <t>https://awisee.com/blog/social-media-marketing-agencies-germany/</t>
  </si>
  <si>
    <t>Best 4 Social Media Marketing Agencies Germany (Reviews)</t>
  </si>
  <si>
    <t>https://awisee.com/us/blog/digital-marketing-agencies-germany/</t>
  </si>
  <si>
    <t>https://www.beyond-media.de/agentur/google-premier-partner/</t>
  </si>
  <si>
    <t>Google Premier Partner Agentur ★ Top 3% weltweit | Beyond Media</t>
  </si>
  <si>
    <t>https://clutch.co/de/agencies/demand-generation-marketing</t>
  </si>
  <si>
    <t>Top Demand Generation Agencies in Germany - Jul 2026 Rankings \| Clutch.co</t>
  </si>
  <si>
    <t>https://clutch.co/de/seo-firms/international</t>
  </si>
  <si>
    <t>Top International SEO Agencies in Germany - Jul 2026 Rankings | Clutch.co</t>
  </si>
  <si>
    <t>MONSOON, Claneo, morefire, WeLikeWeb GmbH, Peak Ace, eMinded GmbH</t>
  </si>
  <si>
    <t>Omniscient Digital, Single Grain</t>
  </si>
  <si>
    <t>https://www.crystalinfoway.com/blogs/view/top-10-digital-marketing-companies-in-germany#:~:text=MONSOON%20is%20a%20performance%2Ddriven,KPIs%20and%20transparent%20reporting%20systems.</t>
  </si>
  <si>
    <t>Top 10 Digital Marketing Companies in Germany</t>
  </si>
  <si>
    <t>MONSOON, Mediacharge, Löwenstark</t>
  </si>
  <si>
    <t>https://dtile-marketing.de/performance-marketing/</t>
  </si>
  <si>
    <t>Performance Marketing 2026: Erklärt + Top-10 DE &amp;amp; Top-20 DACH</t>
  </si>
  <si>
    <t>Pilot, Smarketer, DEPT</t>
  </si>
  <si>
    <t>https://www.housesofgrowth.com/post/aeo-agencies-in-europe</t>
  </si>
  <si>
    <t>10 Best Answer Engine Optimization (AEO) Agencies in Europe [2026]</t>
  </si>
  <si>
    <t>Peak Ace, Omnius</t>
  </si>
  <si>
    <t>https://www.magiclibrary.co/blog/best-linkedin-ads-agency-in-germany</t>
  </si>
  <si>
    <t>The Best LinkedIn Ads Agency in Germany: 11 Picks for B2B (2026)</t>
  </si>
  <si>
    <t>Loyamo, morefire, MONSOON</t>
  </si>
  <si>
    <t>https://mammoth.io/blog/marketing-attribution-software/</t>
  </si>
  <si>
    <t>15 Best Marketing Attribution Software Tools [Curated List] | Mammoth Analytics</t>
  </si>
  <si>
    <t>Triple Whale, Northbeam, Ruler Analytics</t>
  </si>
  <si>
    <t>https://marketinglens.com/top-10/top-10-ppc-agencies-in-europe/</t>
  </si>
  <si>
    <t>Top 10 PPC Agencies in Europe</t>
  </si>
  <si>
    <t>Peak Ace, Brainlabs, s360, DEPT, Jellyfish</t>
  </si>
  <si>
    <t>https://meedia.de/news/beitrag/20776-serviceplan-dominiert-das-ranking-der-top-50-kreativagenturen-in-deutschland.html</t>
  </si>
  <si>
    <t>Serviceplan dominiert das Ranking der Top 50 Kreativagenturen in Deutschland</t>
  </si>
  <si>
    <t>Serviceplan Group, Jung von Matt, Scholz &amp; Friends, Haus</t>
  </si>
  <si>
    <t>https://procloser.ai/blog/best-aeo-agencies-2026/</t>
  </si>
  <si>
    <t>Best Answer Engine Optimization (AEO) Agencies 2026 | ProCloser.ai</t>
  </si>
  <si>
    <t>Siege Media, Omniscient Digital, Single Grain, WebFX, Omnius, SmartSites, KlientBoost, Directive Consulting, Momentum</t>
  </si>
  <si>
    <t>https://www.semrush.com/agencies/list/display-advertising/germany/</t>
  </si>
  <si>
    <t>Best Display Ads Agencies in Germany 2026 \| Semrush</t>
  </si>
  <si>
    <t>Measured, HikeMyTraffic, Jellyfish, Siege Media, Brainlabs, WebFX, SmartSites</t>
  </si>
  <si>
    <t>https://www.sortlist.com/i/s/creative/berlin-de</t>
  </si>
  <si>
    <t>The 10 Best Creative Agencies in Berlin - 2026 Reviews</t>
  </si>
  <si>
    <t>PANORAMA3000, Momentum</t>
  </si>
  <si>
    <t>https://www.sortlist.com/s/data-driven-marketing/germany-de</t>
  </si>
  <si>
    <t>The 10 Best Data Driven Marketing Agencies in Germany - 2026 Reviews</t>
  </si>
  <si>
    <t>https://www.sortlist.com/s/display-advertising/munich-by-de</t>
  </si>
  <si>
    <t>The 10 Best Display Advertising Agencies in Munich - 2026 Reviews</t>
  </si>
  <si>
    <t>Mediacharge, Triple Whale, Northbeam, Dreamdata, MONSOON, Loyamo</t>
  </si>
  <si>
    <t>https://www.sortlist.com/s/programmatic-advertising/germany-de</t>
  </si>
  <si>
    <t>The 10 Best Programmatic Advertising Companies in Germany - 2026 Reviews</t>
  </si>
  <si>
    <t>lehof, MONSOON, Triple Whale, Northbeam, Dreamdata, KlickPiloten</t>
  </si>
  <si>
    <t>https://sourceforge.net/software/answer-engine-optimization-aeo/germany/</t>
  </si>
  <si>
    <t>Best Answer Engine Optimization (AEO) Software in Germany of 2026 - Reviews &amp;amp; Comparison</t>
  </si>
  <si>
    <t>https://thatware.co/top-10-llm-seo-companies-in-germany/</t>
  </si>
  <si>
    <t>Top LLM SEO Companies in Germany for AI Optimization</t>
  </si>
  <si>
    <t>https://themanifest.com/de/digital/agencies</t>
  </si>
  <si>
    <t>Top-Rated Full Service Digital &amp;amp; 360° Online Agencies for eCommerce, Healthcare, FinTech in Germany, Berlin, Munich | Vetted &amp;amp; Reviewed July 2026 | The Manifest</t>
  </si>
  <si>
    <t>HY.AM STUDIOS, DREIKON, Digitalyze, morefire</t>
  </si>
  <si>
    <t>https://themanifest.com/de/programmatic/agencies</t>
  </si>
  <si>
    <t>The Best Programmatic Advertising Companies in Germany - Jul 2026 | The Manifest</t>
  </si>
  <si>
    <t>https://toolbox.humandeluxe.com/best-design-studios/#:~:text=2020,local%20supermarket%20chain%20%C2%ABteGut%C2%BB.</t>
  </si>
  <si>
    <t>Best Brand Agencies and Studios in Berlin</t>
  </si>
  <si>
    <t>https://www.topseobrands.com/de/best-display-advertising-firms-in-germany</t>
  </si>
  <si>
    <t>Best Display Advertising Firms in Germany | Top SEO Brands</t>
  </si>
  <si>
    <t>https://visionone.co.uk/news/the-best-international-research-agencies/</t>
  </si>
  <si>
    <t>Best International Research Agencies By Vision One</t>
  </si>
  <si>
    <t>https://www.10seos.com/de/display-advertising-companies-in-germany?page=3</t>
  </si>
  <si>
    <t>Top 10 Display Advertising Companies For Best Services-Germany | July 2026</t>
  </si>
  <si>
    <t>Omnicom, Publicis Groupe, WPP, Ogilvy, Accenture Song, Dentsu, Epsilon, Merkle, PwC, iProspect, OMD, R/GA, Serviceplan Group, Havas Media, Measured</t>
  </si>
  <si>
    <t>https://agencies.semrush.com/list/analytics-data-science/germany/enterprise-business/</t>
  </si>
  <si>
    <t>Best Data Analytics Services for Enterprise Business in Germany 2026 | Semrush</t>
  </si>
  <si>
    <t>https://agencies.semrush.com/list/analytics-data-science/germany/mid-business/</t>
  </si>
  <si>
    <t>Best Data Analytics Services for Mid Business in Germany 2026 | Semrush</t>
  </si>
  <si>
    <t>https://agencies.semrush.com/list/data-visualization/germany/#:~:text=morefire,Healthcare%20%26%20Hospital%2C%20Ecommerce%20%2B3</t>
  </si>
  <si>
    <t>Best Data Visualization Services in Germany 2026 | Semrush</t>
  </si>
  <si>
    <t>https://agencies.semrush.com/list/display-advertising/dusseldorf/</t>
  </si>
  <si>
    <t>Best Display Ads Agencies in Dusseldorf 2026 | Semrush</t>
  </si>
  <si>
    <t>https://agencies.semrush.com/list/marketing-strategy/germany/#:~:text=Mediaplus%20Performance%20GmbH%20%26%20Co%20KG,%2C%20programmatic%2C%20and%20conversion%20optimization.</t>
  </si>
  <si>
    <t>Best Marketing Advice Companies in Germany 2026 | Semrush</t>
  </si>
  <si>
    <t>HECHT INS GEFECHT, Baseplus DIGITAL MEDIA GmbH, morefire, Mediaplus Performance, Mediacharge, KlickPiloten</t>
  </si>
  <si>
    <t>https://agenturjobs.de/beste-marketing-agenturen-deutschland-2026/</t>
  </si>
  <si>
    <t>Beste Marketing Agenturen Deutschland: Top Rankings</t>
  </si>
  <si>
    <t>Claneo, eMinded GmbH, Serviceplan Group, Jung von Matt, Publicis Groupe, Scholz &amp; Friends</t>
  </si>
  <si>
    <t>NoGood, Omnius, Radyant, Single Grain, Measured</t>
  </si>
  <si>
    <t>https://www.ayautomate.com/blog/best-ai-automation-agencies</t>
  </si>
  <si>
    <t>7 Best AI Automation Agencies (2026 Ranked)</t>
  </si>
  <si>
    <t>Pilot, Mindshare</t>
  </si>
  <si>
    <t>https://betteranswer.ai/blogs/best-aeo-agencies</t>
  </si>
  <si>
    <t>Best AEO Agencies</t>
  </si>
  <si>
    <t>https://www.bonanza-studios.com/blog/10-best-branding-agencies-in-berlin-to-look-for-in-2025</t>
  </si>
  <si>
    <t>10 Best Branding Agencies in Berlin to Look for in 2025</t>
  </si>
  <si>
    <t>MetaDesign, Measured, HY.AM STUDIOS, lehof</t>
  </si>
  <si>
    <t>McKinsey &amp; Company, BCG, PwC, EY</t>
  </si>
  <si>
    <t>https://www.capterra.com.de/directory/31081/marketing-attribution/software</t>
  </si>
  <si>
    <t>Marketing Attribution Software Preisvergleich &amp; Top Anbieter - Capterra Deutschland 2026</t>
  </si>
  <si>
    <t>https://clutch.co/de/agencies/digital-marketing/ecommerce-industry/berlin</t>
  </si>
  <si>
    <t>Top Digital Marketing Agencies for E-Commerce Businesses in Berlin - Jul 2026 Rankings | Clutch.co</t>
  </si>
  <si>
    <t>MONSOON, Mediacharge, REPLUG, Claneo, Admiral Media, HY.AM STUDIOS, Peak Ace, Medialabel</t>
  </si>
  <si>
    <t>https://clutch.co/de/agencies/digital-marketing/munich</t>
  </si>
  <si>
    <t>Top Digital Marketing Agencies in Munich - Jul 2026 Rankings \| Clutch.co</t>
  </si>
  <si>
    <t>MONSOON, Mediacharge, eMinded GmbH, GroupM, WeLikeWeb GmbH</t>
  </si>
  <si>
    <t>https://clutch.co/de/agencies/social-media-marketing/tik-tok</t>
  </si>
  <si>
    <t>Top TikTok Advertising Agencies in Germany - Jul 2026 Rankings | Clutch.co</t>
  </si>
  <si>
    <t>MONSOON, HY.AM STUDIOS, Pulse Advertising, Medialabel</t>
  </si>
  <si>
    <t>https://clutch.co/de/it-services/analytics</t>
  </si>
  <si>
    <t>Top Big Data Analytics Companies in Germany - Jul 2026 Rankings \| Clutch.co</t>
  </si>
  <si>
    <t>https://digitalagencynetwork.com/agencies/berlin/creative/</t>
  </si>
  <si>
    <t>Top Creative Agencies in Berlin (2026)</t>
  </si>
  <si>
    <t>https://digitalagencynetwork.com/agencies/berlin/geo/</t>
  </si>
  <si>
    <t>Top GEO Agencies in Berlin for Generative Engine Optimization (2026)</t>
  </si>
  <si>
    <t>NoGood, SmartSites, Boston Consulting Group</t>
  </si>
  <si>
    <t>https://www.eology.de/presse/google-premier-partner-2025</t>
  </si>
  <si>
    <t>eology erneut unter den Top 3 % - Google Premier Partner 2025</t>
  </si>
  <si>
    <t>https://www.europeanbusinessreview.com/top-10-b2b-aeo-geo-companies-that-help-generate-leads-from-ai-search/</t>
  </si>
  <si>
    <t>Top B2B AEO/GEO Companies for AI Search Leads - The European Business Review</t>
  </si>
  <si>
    <t>Omniscient Digital, Siege Media, Directive Consulting, Momentum</t>
  </si>
  <si>
    <t>https://www.f6s.com/companies/advertising/germany/co</t>
  </si>
  <si>
    <t>66 Top Advertising Companies in Germany · March 2026 | F6S</t>
  </si>
  <si>
    <t>https://feedbax.ai/google-ads/berlin</t>
  </si>
  <si>
    <t>Top 20 Google Ads Agencies in Berlin - 2026 Reviews</t>
  </si>
  <si>
    <t>Mediacharge, Smarketer, Peak Ace</t>
  </si>
  <si>
    <t>https://feedbax.ai/performance-marketing</t>
  </si>
  <si>
    <t>Top 20 Performance Marketing Agencies - 2026 Reviews</t>
  </si>
  <si>
    <t>PANORAMA3000, KlickPiloten, HECHT INS GEFECHT, DREIKON, morefire, Loyamo, Mediacharge, Smarketer, Suchhelden</t>
  </si>
  <si>
    <t>https://gaim-solutions.com/en/blog-system/top-ai-agencies-munich-2026-faq-guide</t>
  </si>
  <si>
    <t>Top AI Agencies Munich 2026: FAQ Guide</t>
  </si>
  <si>
    <t>https://www.growthmarketingpro.com/best-aeo-marketing-agencies/</t>
  </si>
  <si>
    <t>13 Best AEO marketing agencies | GMP</t>
  </si>
  <si>
    <t>Single Grain, NoGood, WebFX, Siege Media, iPullRank</t>
  </si>
  <si>
    <t>https://www.influencer-hero.com/blogs/top-social-media-agencies-in-munich</t>
  </si>
  <si>
    <t>Top 10 Social Media Agencies in Munich</t>
  </si>
  <si>
    <t>Social Media One, Social Media Pirates, Mawave, Jung von Matt</t>
  </si>
  <si>
    <t>SmartSites, McKinsey &amp; Company, Momentum, Mindshare, Wpromote, Dentsu</t>
  </si>
  <si>
    <t>https://madebyevoke.com/blog/top-branding-agencies-berlin#:~:text=Specialisation%3A%20Integrated%20brand%20strategy%2C%20creative,communications%20for%20German%20market%20leaders.</t>
  </si>
  <si>
    <t>Top 10 Branding Agencies in Berlin, Germany (2026) — Ranked | Evoke Studio</t>
  </si>
  <si>
    <t>Jung von Matt, Scholz &amp; Friends, Serviceplan Group, BBDO Germany, Ogilvy</t>
  </si>
  <si>
    <t>https://www.magier.com/blog/top-aeo-agencies</t>
  </si>
  <si>
    <t>Top 12 AEO Agencies in 2026: How to Find the Right Fit for Your Brand</t>
  </si>
  <si>
    <t>Radyant, iPullRank, Siege Media, Omnius, Omniscient Digital, SmartSites, Single Grain, NoGood</t>
  </si>
  <si>
    <t>https://marketingexpertshub.com/de/seo/best-aeo-agencies/</t>
  </si>
  <si>
    <t>12 Best Answer Engine Optimization (AEO) Agencies in 2026 - Marketing Experts Hub</t>
  </si>
  <si>
    <t>NoGood, iPullRank</t>
  </si>
  <si>
    <t>https://www.mir.de/en/top10</t>
  </si>
  <si>
    <t>TOP 10 most creative digital agencies in Germany - Internetagentur Köln, Digitalagentur, Python/Django/CMS - MIR MEDIA</t>
  </si>
  <si>
    <t>https://mystrika.com/directory/agencies/best/paid-advertising-ppc-in-country-germany</t>
  </si>
  <si>
    <t>Best Paid Advertising Ppc Agencies in Germany - Directory - Mystrika | Stop Cold Emailing. Start Conversations</t>
  </si>
  <si>
    <t>Baseplus DIGITAL MEDIA GmbH, HECHT INS GEFECHT, KlickPiloten, Mediacharge, Mediaplus Performance, Mediaplus Group, morefire</t>
  </si>
  <si>
    <t>NoGood, iPullRank, Omniscient Digital</t>
  </si>
  <si>
    <t>https://www.oneclub.org/press/-adc100-rankings</t>
  </si>
  <si>
    <t>DDB Group Germany is World’s Top-Ranked Agency In ADC 100th Annual Awards Global Creative Rankings | The One Club</t>
  </si>
  <si>
    <t>Media.Monks, Ogilvy, Dentsu</t>
  </si>
  <si>
    <t>WebFX, SmartSites, Disruptive Advertising, DEPT, MONSOON</t>
  </si>
  <si>
    <t>https://www.outsourceaccelerator.com/guide/top-advertising-agencies-in-europe/</t>
  </si>
  <si>
    <t>Top 15 advertising agencies in Europe | Outsource Accelerator</t>
  </si>
  <si>
    <t>Mindshare, Serviceplan Group, GroupM</t>
  </si>
  <si>
    <t>Pilot, Superside</t>
  </si>
  <si>
    <t>HikeMyTraffic, Monks, NoGood, Superside, Wpromote, Jellyfish</t>
  </si>
  <si>
    <t>https://scalixai.com/blog/best-performance-marketing-agencies#:~:text=revenue%20growth%22%20claims.-,The%2015%20Best%20Performance%20Marketing%20Agencies%20for%202026,performance%20marketing%20for%20a%20reason.</t>
  </si>
  <si>
    <t>Refine Labs, NoGood, Single Grain, Wpromote, Omniscient Digital, Darkroom, Common Thread Collective</t>
  </si>
  <si>
    <t>Omnius, WebFX</t>
  </si>
  <si>
    <t>https://social-media-agency-germany.com/social-media-growth-agencies</t>
  </si>
  <si>
    <t>The best Social Media Growth Agencies</t>
  </si>
  <si>
    <t>PANORAMA3000, lehof, MONSOON, Digital Masters GmbH</t>
  </si>
  <si>
    <t>https://www.sortlist.com/i/s/growth-marketing/germany-de</t>
  </si>
  <si>
    <t>The 10 Best Growth Marketing Agencies in Germany - 2026 Reviews</t>
  </si>
  <si>
    <t>Triple Whale, Northbeam, Dreamdata, MONSOON, Measured</t>
  </si>
  <si>
    <t>MONSOON, Triple Whale, Northbeam, Dreamdata, Measured</t>
  </si>
  <si>
    <t>https://www.sortlist.com/s/b2b-digital-marketing/germany-de</t>
  </si>
  <si>
    <t>The 10 Best B2B Digital Marketing Agencies in Germany - 2026 Reviews</t>
  </si>
  <si>
    <t>https://www.sortlist.com/s/brand-creation/germany-de</t>
  </si>
  <si>
    <t>The 10 Best Brand Creation Agencies in Germany - 2026 Reviews</t>
  </si>
  <si>
    <t>https://www.sortlist.com/s/creative-design/germany-de</t>
  </si>
  <si>
    <t>The 10 Best Creative Design Agencies in Germany - 2026 Reviews</t>
  </si>
  <si>
    <t>Measured, Momentum</t>
  </si>
  <si>
    <t>https://www.sortlist.com/s/online-marketing/germany-de</t>
  </si>
  <si>
    <t>The 10 Best Online Marketing Agencies in Germany - 2026 Reviews</t>
  </si>
  <si>
    <t>MONSOON, PANORAMA3000</t>
  </si>
  <si>
    <t>https://www.sortlist.com/s/tiktok-advertising/germany-de</t>
  </si>
  <si>
    <t>The 10 Best TikTok Advertising Agencies in Germany - 2026 Reviews</t>
  </si>
  <si>
    <t>Triple Whale, Northbeam, Dreamdata, PANORAMA3000, MONSOON, Measured, lehof, Loyamo</t>
  </si>
  <si>
    <t>https://sourceforge.net/software/marketing-analytics/germany/</t>
  </si>
  <si>
    <t>Best Marketing Analytics Software in Germany of 2026 - Reviews &amp;amp; Comparison</t>
  </si>
  <si>
    <t>https://www.suchhelden.de/beste-google-ads-agenturen-deutschlands.php</t>
  </si>
  <si>
    <t>Beste Google-Ads-Agenturen Deutschland 2026 – TOP 15</t>
  </si>
  <si>
    <t>Suchhelden, Smarketer, Peak Ace, morefire, Jung von Matt, The Boutique Agency, Labelium</t>
  </si>
  <si>
    <t>https://www.thegrowthsyndicate.com/agencies/best-digital-marketing-agencies-europe</t>
  </si>
  <si>
    <t>The 11 Best B2B Digital Marketing Agencies in Europe</t>
  </si>
  <si>
    <t>DEPT, Artefact, Jellyfish, Measured, Brandtech, WPP, Mindshare, Phiture, Publicis Groupe, Omnicom, Dentsu</t>
  </si>
  <si>
    <t>https://themanifest.com/de/media-buying/agencies</t>
  </si>
  <si>
    <t>The Best Media Planning and Buying Companies in Germany - Jun 2026 \| The Manifest</t>
  </si>
  <si>
    <t>Phiture, REPLUG, GroupM</t>
  </si>
  <si>
    <t>Omniscient Digital, Single Grain, NoGood, Siege Media</t>
  </si>
  <si>
    <t>https://wamdigital.com/blog/top-5-creative-and-web-development-agencies-for-scalable-production-in-2026#:~:text=Superside%20is%20known%20for%20its,wide%20range%20of%20creative%20assets.</t>
  </si>
  <si>
    <t>Tinuiti, Wpromote, WPP, Hawke Media, AKQA, R/GA, Accenture Song, Superside</t>
  </si>
  <si>
    <t>https://www.werbeagentur.de/en/scoring/programmatic-advertising</t>
  </si>
  <si>
    <t>28 Top Agenturen für Programmatic Advertising. Hier vergleichen</t>
  </si>
  <si>
    <t>Artefact, Digital Masters GmbH, Löwenstark</t>
  </si>
  <si>
    <t>https://wpseoai.com/blog/best-geo-llm-agency-in-hamburg-with-geo-llm-optimization-technology/</t>
  </si>
  <si>
    <t>Best GEO/LLM agency in Hamburg with GEO/LLM optimization technology</t>
  </si>
  <si>
    <t>Kantar, Nielsen, PwC, Capgemini, Merkle, WPP, Publicis Media, Publicis Groupe</t>
  </si>
  <si>
    <t>https://zupo.co/best-aeo-agencies/</t>
  </si>
  <si>
    <t>Best Answer Engine Optimization (AEO) Agencies in 2026</t>
  </si>
  <si>
    <t>Mindshare, iPullRank</t>
  </si>
  <si>
    <t>https://www.adoptify.ai/blogs/top-enterprise-ai-adoption-consulting-firms-2026-comparison/</t>
  </si>
  <si>
    <t>Top Enterprise AI Adoption Consulting Firms: 2026 Comparison - Adoptify AI | Adoptify AI</t>
  </si>
  <si>
    <t>Pilot, Measured, BCG, PwC, EY, Momentum</t>
  </si>
  <si>
    <t>https://aeo-copilot.com/partners/agencies/germany/hamburg</t>
  </si>
  <si>
    <t>Best AEO Agencies in Hamburg, Germany — AI Visibility Experts | AEO Copilot</t>
  </si>
  <si>
    <t>https://agencies.semrush.com/list/ai-optimization/wuppertal/</t>
  </si>
  <si>
    <t>Best AI Search Optimization Agencies in Wuppertal 2026 | Semrush</t>
  </si>
  <si>
    <t>https://agencies.semrush.com/list/analytics-data-science/business-professional-services/germany/enterprise-business/</t>
  </si>
  <si>
    <t>Best B2B Services Data Analytics Services for Enterprise Business in Germany 2026 | Semrush</t>
  </si>
  <si>
    <t>https://agencies.semrush.com/list/analytics-data-science/ecommerce/germany/</t>
  </si>
  <si>
    <t>Best Ecommerce Data Analytics Services in Germany 2026 | Semrush</t>
  </si>
  <si>
    <t>https://agencies.semrush.com/list/business-professional-services/germany/</t>
  </si>
  <si>
    <t>Best B2B Services Digital Marketing Agencies in Germany 2026 | Semrush</t>
  </si>
  <si>
    <t>HECHT INS GEFECHT, Baseplus DIGITAL MEDIA GmbH, morefire, Mediaplus Performance, Mediacharge</t>
  </si>
  <si>
    <t>https://agencies.semrush.com/list/display-advertising/north-rhine-westphalia/</t>
  </si>
  <si>
    <t>Best Display Ads Agencies in North Rhine-Westphalia 2026 | Semrush</t>
  </si>
  <si>
    <t>https://agencies.semrush.com/list/facebook-advertising/germany/</t>
  </si>
  <si>
    <t>Best Facebook Advertising Agencies in Germany 2026 | Semrush</t>
  </si>
  <si>
    <t>https://agencies.semrush.com/list/llm-optimization/germany/mid-business/</t>
  </si>
  <si>
    <t>Best LLM optimization Agencies for Mid Business in Germany 2026 | Semrush</t>
  </si>
  <si>
    <t>https://agencies.semrush.com/list/machine-learning-and-ai/germany/enterprise-business/</t>
  </si>
  <si>
    <t>Best Machine Learning and AI Services for Enterprise Business in Germany 2026 | Semrush</t>
  </si>
  <si>
    <t>https://agencies.semrush.com/list/machine-learning-and-ai/germany/mid-business/</t>
  </si>
  <si>
    <t>Best Machine Learning and AI Services for Mid Business in Germany 2026 | Semrush</t>
  </si>
  <si>
    <t>https://agencies.semrush.com/list/machine-learning-and-ai/germany/small-business/</t>
  </si>
  <si>
    <t>Best Machine Learning and AI Services for Small Business in Germany 2026 | Semrush</t>
  </si>
  <si>
    <t>https://agencies.semrush.com/list/ppc/munich/</t>
  </si>
  <si>
    <t>Best PPC Agencies in Munich 2026 | Semrush</t>
  </si>
  <si>
    <t>Mediaplus Performance, Mediacharge, morefire, MONSOON, KlickPiloten</t>
  </si>
  <si>
    <t>https://agencies.semrush.com/list/programmatic-advertising/germany/mid-business/</t>
  </si>
  <si>
    <t>Best Programmatic Advertising Agencies for Mid Business in Germany 2026 | Semrush</t>
  </si>
  <si>
    <t>https://www.agenciesformarketing.com/post/navigating-the-landscape-your-guide-to-top-marketing-agencies-in-germany-for-2025</t>
  </si>
  <si>
    <t>Navigating the Landscape: Your Guide to Top Marketing Agencies in Germany for 2025</t>
  </si>
  <si>
    <t>Pilot, Mawave, Medialabel, Globalist, Social Media Pirates, MONSOON</t>
  </si>
  <si>
    <t>https://agencylist.com/services/analytics-reporting/de/</t>
  </si>
  <si>
    <t>Top DATA Agencies in Germany</t>
  </si>
  <si>
    <t>KlickPiloten, MetaDesign, HY.AM STUDIOS</t>
  </si>
  <si>
    <t>https://www.agenturtipp.de/werbeagenturen/</t>
  </si>
  <si>
    <t>Top Werbeagenturen (2026) im Vergleich ↗️</t>
  </si>
  <si>
    <t>Suchhelden, Aufgesang, DREIKON, Haus, morefire</t>
  </si>
  <si>
    <t>https://aimers.io/blog/top-10-llm-optimization-agencies</t>
  </si>
  <si>
    <t>Top 10 LLM Optimization Agencies in 2026 - Aimers Blog</t>
  </si>
  <si>
    <t>https://aimers.io/blog/top-11-saas-content-marketing-agencies</t>
  </si>
  <si>
    <t>Top 11 SaaS Content Marketing Agencies in 2026 - Aimers Blog</t>
  </si>
  <si>
    <t>https://aimonk.com/top-genai-development-services/</t>
  </si>
  <si>
    <t>Top 7 GenAI Development Services in 2025 | AI Monk</t>
  </si>
  <si>
    <t>https://awisee.com/blog/marketing-agencies-europe/</t>
  </si>
  <si>
    <t>The Best 5 Marketing Agencies Europe Guide (2025 Reviews)</t>
  </si>
  <si>
    <t>https://awisee.com/hu/blog/digital-marketing-agencies-germany/</t>
  </si>
  <si>
    <t>Omniscient Digital, Single Grain, Disruptive Advertising, NoGood, Directive Consulting, Superside, Pilot, Momentum</t>
  </si>
  <si>
    <t>https://www.blueconic.com/resources/best-cdps</t>
  </si>
  <si>
    <t>The 5 Best CDPs of 2026</t>
  </si>
  <si>
    <t>https://www.brandigochina.com/the-best-marketing-agencies-in-china--2026</t>
  </si>
  <si>
    <t>Best Marketing Agencies in China 2026</t>
  </si>
  <si>
    <t>https://brentonway.com/blog/ai-marketing-agencies</t>
  </si>
  <si>
    <t>Top AI Marketing Agencies: An AI Market Company Comparison | Brenton Way</t>
  </si>
  <si>
    <t>Huge, Single Grain, NoGood, SmartSites</t>
  </si>
  <si>
    <t>https://www.clarista.io/blog/top-ai-solution-providers-2026</t>
  </si>
  <si>
    <t>Top AI Solution Providers in 2026: 12 Companies Reviewed | Clarista</t>
  </si>
  <si>
    <t>https://clicksgeek.com/best-digital-marketing-agency-for-roi/</t>
  </si>
  <si>
    <t>Best Digital Marketing Agency For ROI: 7 Strategies</t>
  </si>
  <si>
    <t>Power Digital, SmartSites, WebFX, KlientBoost, Mediacharge, MONSOON</t>
  </si>
  <si>
    <t>https://clutch.co/agencies/experiential?page=9</t>
  </si>
  <si>
    <t>Page 9 - Top Experiential Marketing Agencies - Jul 2026 Rankings \| Clutch.co</t>
  </si>
  <si>
    <t>Momentum, REPLUG</t>
  </si>
  <si>
    <t>Disruptive Advertising, Momentum, REPLUG</t>
  </si>
  <si>
    <t>Disruptive Advertising, KlientBoost, Single Grain, SmartSites, Mediacharge</t>
  </si>
  <si>
    <t>https://clutch.co/de/agencies/app-marketing</t>
  </si>
  <si>
    <t>Top Mobile Marketing Agencies in Germany - Jul 2026 Rankings | Clutch.co</t>
  </si>
  <si>
    <t>REPLUG, MONSOON, Phiture, Admiral Media, Customlytics, GroupM</t>
  </si>
  <si>
    <t>https://clutch.co/de/agencies/digital-marketing?page=3</t>
  </si>
  <si>
    <t>Page 3 - Top Digital Marketing Agencies in Germany - Jul 2026 Rankings \| Clutch.co</t>
  </si>
  <si>
    <t>MONSOON, Mediacharge, REPLUG, Claneo, Peak Ace, morefire, Think11, eMinded GmbH, GroupM, Löwenstark, Medialabel, DEPT, Admiral Media, Phiture, HECHT INS GEFECHT, HY.AM STUDIOS</t>
  </si>
  <si>
    <t>https://clutch.co/de/agencies/market-research/berlin</t>
  </si>
  <si>
    <t>Top Market Research Companies in Berlin - Jul 2026 Rankings | Clutch.co</t>
  </si>
  <si>
    <t>LNQP GmbH</t>
  </si>
  <si>
    <t>https://clutch.co/de/agencies/ppc/berlin</t>
  </si>
  <si>
    <t>Top PPC Agencies in Berlin - Jul 2026 Rankings | Clutch.co</t>
  </si>
  <si>
    <t>Mediacharge, MONSOON, REPLUG, Smarketer, Peak Ace, Medialabel</t>
  </si>
  <si>
    <t>https://clutch.co/de/agencies/ppc/google-adwords</t>
  </si>
  <si>
    <t>Top Adwords PPC Agencies in Germany - Jul 2026 Rankings \| Clutch.co</t>
  </si>
  <si>
    <t>Mediacharge, MONSOON, Seeders, KlickPiloten, Smarketer, eMinded GmbH, Peak Ace</t>
  </si>
  <si>
    <t>https://clutch.co/de/agencies/social-media-marketing/berlin</t>
  </si>
  <si>
    <t>Top Social Media Marketing Agencies in Berlin - Jul 2026 Rankings \| Clutch.co</t>
  </si>
  <si>
    <t>MONSOON, Mediacharge, PANORAMA3000, PwC, HY.AM STUDIOS, Huge, Pulse Advertising, Medialabel</t>
  </si>
  <si>
    <t>https://clutch.co/de/agencies/social-media-marketing/influencer/tiktok</t>
  </si>
  <si>
    <t>Top TikTok Influencer Marketing Agencies in Germany - Jul 2026 Rankings \| Clutch.co</t>
  </si>
  <si>
    <t>PANORAMA3000, Pulse Advertising, Medialabel, Haus, Mediaplus Group</t>
  </si>
  <si>
    <t>https://clutch.co/de/agencies/social-media-marketing?page=3</t>
  </si>
  <si>
    <t>Page 3 - Top Social Media Marketing Companies in Germany - Jul 2026 Rankings \| Clutch.co</t>
  </si>
  <si>
    <t>MONSOON, Mediacharge, Haus, HY.AM STUDIOS, PANORAMA3000, Digitalyze, KlickPiloten</t>
  </si>
  <si>
    <t>https://clutch.co/de/it-services/master-data-management-consulting</t>
  </si>
  <si>
    <t>Top MDM Consultants in Germany - Jul 2026 Rankings \| Clutch.co</t>
  </si>
  <si>
    <t>https://coefficient.io/marketing-analytics-tools</t>
  </si>
  <si>
    <t>Top 10 Marketing Analytics Tools and Software for 2026</t>
  </si>
  <si>
    <t>Merkle, Croud, Labelium, Making Science, iProspect, Smarketer, Jellyfish, appliedAI, Artefact</t>
  </si>
  <si>
    <t>https://creatif.agency/the-best-web-design-agencies-in-berlin-in-2026/</t>
  </si>
  <si>
    <t>The best web design agencies in Berlin in 2026</t>
  </si>
  <si>
    <t>MetaDesign, DEPT</t>
  </si>
  <si>
    <t>inBeat, Darkroom, KlientBoost, Disruptive Advertising, WebFX, Pilot</t>
  </si>
  <si>
    <t>https://dejanmarketing.com/best-ai-seo-agencies/</t>
  </si>
  <si>
    <t>Kosch Klink Performance, iPullRank, Huge, Aufgesang, appliedAI</t>
  </si>
  <si>
    <t>SmartSites, Huge, KlientBoost, Monks, Ruler Analytics</t>
  </si>
  <si>
    <t>Wpromote, NoGood, Power Digital, Huge, SmartSites, Disruptive Advertising, PwC, REPLUG, KlientBoost, DEPT</t>
  </si>
  <si>
    <t>https://digitalagencynetwork.com/agencies/berlin/social-media-marketing/</t>
  </si>
  <si>
    <t>Best Social Media Marketing Agencies in Berlin | Digital Agency Network</t>
  </si>
  <si>
    <t>MONSOON, Momentum, Measured, PANORAMA3000, HY.AM STUDIOS</t>
  </si>
  <si>
    <t>https://digitalagencynetwork.com/agencies/europe/ai-marketing/</t>
  </si>
  <si>
    <t>Top AI Marketing Agencies in Europe (2026)</t>
  </si>
  <si>
    <t>AKQA, Haus, DEPT</t>
  </si>
  <si>
    <t>https://digitalagencynetwork.com/agencies/europe/geo/</t>
  </si>
  <si>
    <t>Top GEO Agencies in Europe for Generative Engine Optimization (2026)</t>
  </si>
  <si>
    <t>AKQA, Capgemini</t>
  </si>
  <si>
    <t>SmartSites, Superside, Single Grain, DEPT, Pilot, NoGood</t>
  </si>
  <si>
    <t>https://directiveconsulting.com/blog/creative-strategy-agency/</t>
  </si>
  <si>
    <t>17 Best Creative Strategy Agencies For B2B - Directive</t>
  </si>
  <si>
    <t>Directive Consulting, Merkle, Dentsu, Momentum, Measured</t>
  </si>
  <si>
    <t>https://dwao.in/blog/best-gcp-partner</t>
  </si>
  <si>
    <t>Best GCP Partner – Top Picks &amp;amp; Selection Guide | DWAO</t>
  </si>
  <si>
    <t>https://ecommercefastlane.com/best-geo-agencies-dach-region-expert-guide/</t>
  </si>
  <si>
    <t>Best GEO Agencies In The DACH Region 2026: Expert Guide | Ecommerce Fastlane</t>
  </si>
  <si>
    <t>Claneo, Aufgesang</t>
  </si>
  <si>
    <t>https://ecommercegermany.com/blog/top-29-german-saas-companies-in-2021/</t>
  </si>
  <si>
    <t>Top 29 German SaaS Companies in 2023 - E-commerce Germany News</t>
  </si>
  <si>
    <t>https://ecommercegermany.com/blog/top-ecommerce-startups-in-dach/</t>
  </si>
  <si>
    <t>Top 30 E-Commerce Startups in the DACH Region - E-commerce Germany News</t>
  </si>
  <si>
    <t>https://elementor.com/blog/best-seo-geo-agencies/#:~:text=Agencies%20like%20Majdra%2C%20which%20provide,for%20all%20future%20search%20success.</t>
  </si>
  <si>
    <t>Wpromote, Tinuiti, Hawke Media, Huge, Common Thread Collective, Momentum</t>
  </si>
  <si>
    <t>https://ensun.io/search/ab-testing/germany</t>
  </si>
  <si>
    <t>Top 100 A/B Testing Companies in Germany (2026) \| ensun</t>
  </si>
  <si>
    <t>https://ensun.io/search/data-analytics/germany</t>
  </si>
  <si>
    <t>Top 100 Data Analytics Companies in Germany (2026) \| ensun</t>
  </si>
  <si>
    <t>https://ensun.io/search/web-analytics/germany</t>
  </si>
  <si>
    <t>Top 100 Web Analytics Companies in Germany (2026) \| ensun</t>
  </si>
  <si>
    <t>https://www.entrans.ai/blog/top-ai-development-companies</t>
  </si>
  <si>
    <t>11 Top AI Development Companies in 2026</t>
  </si>
  <si>
    <t>PwC, Huge</t>
  </si>
  <si>
    <t>https://www.esparkinfo.com/cloud/top-companies</t>
  </si>
  <si>
    <t>Top 50 Cloud Consulting Companies - 2026 Rankings</t>
  </si>
  <si>
    <t>Capgemini, PwC, McKinsey &amp; Company, EY, Pilot</t>
  </si>
  <si>
    <t>https://www.ewrdigital.com/blog/best-ai-seo-aeo-agencies-2026</t>
  </si>
  <si>
    <t>The Best AI SEO &amp;amp; AEO Agencies in 2026 | EWR Digital</t>
  </si>
  <si>
    <t>iPullRank, Single Grain, Siege Media, WebFX</t>
  </si>
  <si>
    <t>https://feedbax.ai/ai/germany</t>
  </si>
  <si>
    <t>Top 20 AI Development Companies in Germany - 2026 Reviews</t>
  </si>
  <si>
    <t>https://feedbax.ai/conversion-optimization</t>
  </si>
  <si>
    <t>Top 20 Conversion Rate Optimization Agencies - 2026 Reviews</t>
  </si>
  <si>
    <t>KlickPiloten, Mediacharge, DREIKON, Suchhelden, ZweiDigital GmbH, morefire</t>
  </si>
  <si>
    <t>https://feedbax.ai/google-ads</t>
  </si>
  <si>
    <t>Top 20 Google Ads Agencies - 2026 Reviews</t>
  </si>
  <si>
    <t>Loyamo, Smarketer, Mediacharge, DREIKON, Suchhelden</t>
  </si>
  <si>
    <t>https://feedbax.ai/google-ads/dach</t>
  </si>
  <si>
    <t>Top 20 Google Ads Agencies in DACH - 2026 Reviews</t>
  </si>
  <si>
    <t>https://feedbax.ai/performance-marketing/dach</t>
  </si>
  <si>
    <t>Top 20 Performance Marketing Agencies in DACH - 2026 Reviews</t>
  </si>
  <si>
    <t>https://feedbax.ai/performance-marketing/frankfurt</t>
  </si>
  <si>
    <t>Top 20 Performance Marketing Agencies in Frankfurt - 2026 Reviews</t>
  </si>
  <si>
    <t>PANORAMA3000, KlickPiloten, Mediacharge, ZweiDigital GmbH</t>
  </si>
  <si>
    <t>Dreamdata, Ruler Analytics, SegmentStream, Cometly</t>
  </si>
  <si>
    <t>inBeat, Dentsu, R/GA, Omnicom, Nielsen</t>
  </si>
  <si>
    <t>SmartSites, NoGood, Single Grain, inBeat, Media.Monks, Monks</t>
  </si>
  <si>
    <t>https://www.frac.tl/digital-pr-agencies/</t>
  </si>
  <si>
    <t>9 Top Digital PR Agencies for Earned Media &amp;amp; Links | Fractl</t>
  </si>
  <si>
    <t>Dreamdata, Triple Whale, Northbeam, Ruler Analytics, SegmentStream</t>
  </si>
  <si>
    <t>iPullRank, Siege Media, WebFX, Omniscient Digital, Measured</t>
  </si>
  <si>
    <t>iPullRank, Siege Media, Omniscient Digital, Single Grain, Pilot</t>
  </si>
  <si>
    <t>https://www.glassix.com/article/best-seo-geo-aeo-agencies-saas</t>
  </si>
  <si>
    <t>18 Best SEO, GEO &amp;amp; AEO Agencies for SaaS Companies in 2026</t>
  </si>
  <si>
    <t>Siege Media, Single Grain, Directive Consulting, Omniscient Digital</t>
  </si>
  <si>
    <t>https://www.goodfirms.co/directory/city/top-digital-marketing-companies/hamburg</t>
  </si>
  <si>
    <t>Top Digital Marketing Agencies in Hamburg - 2026 Reviews | Goodfirms</t>
  </si>
  <si>
    <t>Scholz &amp; Friends, Merkle, Dentsu</t>
  </si>
  <si>
    <t>https://growffic.com/blog/generative-engine-optimization-agencies/#:~:text=Siege%20Media%20is%20a%20well,likely%20to%20trust%20and%20reference.</t>
  </si>
  <si>
    <t>10 Best Generative Engine Optimization (GEO) Agencies (2026)</t>
  </si>
  <si>
    <t>Siege Media, Omniscient Digital</t>
  </si>
  <si>
    <t>https://growthcurve.co/agency/digital-marketing-agency/best-new-york-digital-agency</t>
  </si>
  <si>
    <t>Best New York Digital Agency | Growthcurve</t>
  </si>
  <si>
    <t>https://growthmanager.ai/best-aeo-agency/in/munich</t>
  </si>
  <si>
    <t>Best AEO agencies in Munich (2026, reviewed)</t>
  </si>
  <si>
    <t>https://growthmanager.ai/best-ai-seo-agency/in/berlin</t>
  </si>
  <si>
    <t>Best AI SEO agencies in Berlin (2026, reviewed)</t>
  </si>
  <si>
    <t>Claneo, Peak Ace, McKinsey &amp; Company, Publicis Groupe</t>
  </si>
  <si>
    <t>GrowthSpree, Measured</t>
  </si>
  <si>
    <t>https://haus.io/blog/choosing-the-best-incrementality-testing-tool</t>
  </si>
  <si>
    <t>Haus</t>
  </si>
  <si>
    <t>Tinuiti, Merkle, Wpromote</t>
  </si>
  <si>
    <t>https://www.heeet.io/blog/15-best-multi-touch-marketing-attribution-platforms-in-2026-compared-in-depth</t>
  </si>
  <si>
    <t>15 Best Marketing Attribution Software in 2026 - Reviewed &amp;amp; Ranked</t>
  </si>
  <si>
    <t>Dreamdata, Ruler Analytics, Triple Whale, Cometly, Northbeam</t>
  </si>
  <si>
    <t>https://www.herohunt.ai/recruitment-agency-countries/germany/</t>
  </si>
  <si>
    <t>The best recruitment agencies in Germany</t>
  </si>
  <si>
    <t>https://www.heydigital.co/blog/best-saas-performance-marketing-agencies</t>
  </si>
  <si>
    <t>13 Best SaaS Performance Marketing Agencies | Hey Digital</t>
  </si>
  <si>
    <t>Refine Labs, NoGood, Single Grain, KlientBoost, Measured</t>
  </si>
  <si>
    <t>Directive Consulting, NoGood, Single Grain, Omniscient Digital, Siege Media, Refine Labs</t>
  </si>
  <si>
    <t>https://higoodie.com/blog/ai-search-visibility-services/</t>
  </si>
  <si>
    <t>AI Search Visibility Services &amp;amp; Top Providers | Goodie</t>
  </si>
  <si>
    <t>Measured, NoGood</t>
  </si>
  <si>
    <t>https://www.hirefrontenddeveloperindia.com/best-ai-powered-frontend-development-companies-italy</t>
  </si>
  <si>
    <t>Best AI-Powered FrontEnd Development Companies in Italy</t>
  </si>
  <si>
    <t>https://hourlydeveloper.io/blog/best-ai-powered-machine-learning-development-firms-in-germany</t>
  </si>
  <si>
    <t>Best AI-Powered Machine Learning Development Firms in Germany</t>
  </si>
  <si>
    <t>appliedAI, Pilot</t>
  </si>
  <si>
    <t>NoGood, Single Grain, Power Digital, Wpromote, Omniscient Digital, Superside</t>
  </si>
  <si>
    <t>https://www.hustlermarketing.com/best-email-marketing-agencies-2026-comparison-guide/</t>
  </si>
  <si>
    <t>Best Email Marketing Agencies in 2026 (Reviewed &amp;amp; Ranked)</t>
  </si>
  <si>
    <t>https://icoda.io/de/ai/best-ai-digital-marketing-agencies/</t>
  </si>
  <si>
    <t>Top 10 KI-Agenturen für digitales Marketing [2026]</t>
  </si>
  <si>
    <t>Wpromote, Brainlabs, Tinuiti, Directive Consulting, Jellyfish, Single Grain</t>
  </si>
  <si>
    <t>inBeat, Momentum, Tinuiti, Bark London, Single Grain, Mediacharge</t>
  </si>
  <si>
    <t>https://www.incrmntal.com/resources/incrementality-software</t>
  </si>
  <si>
    <t>Best Software for Measuring Incrementality Impact</t>
  </si>
  <si>
    <t>https://www.influencer-hero.com/de/blogs/top-digital-marketing-agencies-in-germany</t>
  </si>
  <si>
    <t>Top 10 Digital-Marketing-Agenturen in Deutschland</t>
  </si>
  <si>
    <t>Serviceplan Group, Mawave, Globalist, Haus, Brandtech, McKinsey &amp; Company, Medialabel</t>
  </si>
  <si>
    <t>https://www.influencer-hero.com/fr/blogs/top-advertising-agencies-in-germany</t>
  </si>
  <si>
    <t>Top 10 Agences Publicitaires en Allemagne</t>
  </si>
  <si>
    <t>https://influencermarketinghub.com/de/social-media-marketing-agenturen/</t>
  </si>
  <si>
    <t>Top 48 Social Media Marketing Agenturen (Aktualisiert)</t>
  </si>
  <si>
    <t>KlientBoost, WebFX, Tinuiti, Convertiv</t>
  </si>
  <si>
    <t>https://invademarketing.com/best-rated-media-planning-agencies-in-performance-marketing/</t>
  </si>
  <si>
    <t>Best Rated Media Planning Agencies in Performance Marketing</t>
  </si>
  <si>
    <t>https://www.kingfluencers.com/en/blog/top-50-social-media-agenturen-in-europa-in-2025</t>
  </si>
  <si>
    <t>The Top 50+ Social Media Agencies in Europe in 2025 | Kingfluencers</t>
  </si>
  <si>
    <t>MONSOON, Admiral Media, KlickPiloten, Digitalyze</t>
  </si>
  <si>
    <t>https://kunalkankaria.com/best-ai-consultant-germany/</t>
  </si>
  <si>
    <t>Best AI Consultant In Germany Kunal Kankaria</t>
  </si>
  <si>
    <t>https://www.leewayhertz.com/top-enterprise-ai-development-companies/</t>
  </si>
  <si>
    <t>Top Enterprise AI Development Companies 2026</t>
  </si>
  <si>
    <t>https://lengreo.com/germany-leipzig-aeo-geo-llmo-companies/</t>
  </si>
  <si>
    <t>Top AEO, GEO &amp;amp; LLMO Firms in Leipzig, Germany</t>
  </si>
  <si>
    <t>Löwenstark, Suchhelden</t>
  </si>
  <si>
    <t>https://www.leonar.app/blog/gem-alternatives/</t>
  </si>
  <si>
    <t>5 of the Top GEM alternatives for recruiters | Leonar</t>
  </si>
  <si>
    <t>Tinuiti, Power Digital, Wpromote, Disruptive Advertising, Brainlabs, WPP, Omnicom, Publicis Groupe</t>
  </si>
  <si>
    <t>https://madebyevoke.com/blog/top-web-design-agencies-berlin#:~:text=Jung%20von%20Matt%20is%20one,for%20major%20German%20consumer%20brands.</t>
  </si>
  <si>
    <t>Top 10 Web Design Agencies in Berlin, Germany (2027) — Ranked | Evoke Studio</t>
  </si>
  <si>
    <t>Jung von Matt, Scholz &amp; Friends</t>
  </si>
  <si>
    <t>https://madgicx.com/blog/ai-powered-marketing-tools-performance-ads</t>
  </si>
  <si>
    <t>Top AI-Powered Marketing Platforms for Performance Ads</t>
  </si>
  <si>
    <t>https://www.magier.com/blog/best-creative-agency#:~:text=The%2015%20best%20creative%20agencies%20(2026),for%20a%20fixed%20monthly%20fee.</t>
  </si>
  <si>
    <t>R/GA, AKQA, Ogilvy, WPP, Omnicom, Accenture Song, Momentum, Huge, Superside</t>
  </si>
  <si>
    <t>https://marketerhire.com/blog/ai-content-marketing-tools</t>
  </si>
  <si>
    <t>Top AI Content Marketing Tools in 2025</t>
  </si>
  <si>
    <t>Triple Whale, Northbeam, Dreamdata, Rockerbox, Cometly, Huge</t>
  </si>
  <si>
    <t>https://www.markt-kom.com/en/dexat/adc-kreativranking-das-sind-deutschlands-top-agenturen/</t>
  </si>
  <si>
    <t>ADC Kreativranking: Das sind Deutschlands Top-Agenturen - m&amp;amp;k</t>
  </si>
  <si>
    <t>Jung von Matt, Accenture Song, Ogilvy, Scholz &amp; Friends, Publicis Media, Publicis Groupe</t>
  </si>
  <si>
    <t>https://metehan.ai/articles/best-aeo-geo-agencies/</t>
  </si>
  <si>
    <t>Best AEO &amp;amp; GEO Agencies in 2026: 30 Agencies Compared | metehan.ai</t>
  </si>
  <si>
    <t>iPullRank, Radyant, DEPT, Monks, Peak Ace</t>
  </si>
  <si>
    <t>https://mingma.io/compare/ai-automation-agencies/</t>
  </si>
  <si>
    <t>Best AI Automation Agencies for Mid-Market Companies [2026 Comparison] | Mingma</t>
  </si>
  <si>
    <t>https://mingma.io/journal/best-ai-automation-agencies-mid-market/</t>
  </si>
  <si>
    <t>Best AI Automation Agencies for Mid-Market Companies 2026 | Honest Comparison</t>
  </si>
  <si>
    <t>NoGood, WebFX, Siege Media, Omniscient Digital, Single Grain, Huge, Pilot, Measured</t>
  </si>
  <si>
    <t>https://www.mintzoro.com/ai-marketing-agency-in-germany/</t>
  </si>
  <si>
    <t>Best AI Marketing, Agents &amp;amp; Automation Agency in Germany | Mintzoro</t>
  </si>
  <si>
    <t>https://minuttia.com/best-aeo-agencies/</t>
  </si>
  <si>
    <t>Single Grain, Siege Media, iPullRank, NoGood</t>
  </si>
  <si>
    <t>https://modall.ca/blog/top-ai-software-development-integration-agencies</t>
  </si>
  <si>
    <t>Top AI Software Development &amp;amp; Integration Agencies in 2026 - Modall</t>
  </si>
  <si>
    <t>Measured, Artefact, BCG, Boston Consulting Group, PwC, Capgemini, Merkle, Analytic Partners</t>
  </si>
  <si>
    <t>https://nativz.io/best-ai-seo-tools-2025-top-10-platforms-for-aeo-chatgpt-llm-visibility/</t>
  </si>
  <si>
    <t>Best AI SEO Tools 2025 – Top 10 Platforms for AEO, ChatGPT &amp;amp; LLM</t>
  </si>
  <si>
    <t>Pilot, Measured, appliedAI</t>
  </si>
  <si>
    <t>https://nealschaffer.com/digital-marketing-agencies/</t>
  </si>
  <si>
    <t>15 Best Digital Marketing Agencies That Deliver Results in 2026</t>
  </si>
  <si>
    <t>WebFX, SmartSites, Power Digital</t>
  </si>
  <si>
    <t>NoGood, inBeat, Disruptive Advertising, Wpromote, Power Digital, Monks, Media.Monks, Measured, Directive Consulting, Huge</t>
  </si>
  <si>
    <t>https://www.novusvistatech.com/blog/digital-transformation-companies.html</t>
  </si>
  <si>
    <t>Top 10 Digital Transformation Companies in the World in 2026</t>
  </si>
  <si>
    <t>WebFX, Siege Media</t>
  </si>
  <si>
    <t>iPullRank, NoGood, Omnius</t>
  </si>
  <si>
    <t>https://omr.com/de/reviews/service-category/google-ads-agencies</t>
  </si>
  <si>
    <t>Top Google Ads Agenturen in Deutschland, Österreich und Schweiz</t>
  </si>
  <si>
    <t>Jung von Matt, Smarketer, Löwenstark, WeLikeWeb GmbH, DREIKON, morefire</t>
  </si>
  <si>
    <t>https://omr.com/de/reviews/service-category/performance-marketing-agenturen/berlin</t>
  </si>
  <si>
    <t>KlickPiloten, Löwenstark, Smarketer</t>
  </si>
  <si>
    <t>https://www.onely.com/blog/best-b2b-seo-agencies/</t>
  </si>
  <si>
    <t>Top 10 Best B2B SEO Agencies in 2026 - Onely</t>
  </si>
  <si>
    <t>Directive Consulting, Siege Media, Omniscient Digital</t>
  </si>
  <si>
    <t>Directive Consulting, Siege Media, Power Digital, Disruptive Advertising, Single Grain, WebFX, SmartSites, KlientBoost</t>
  </si>
  <si>
    <t>https://www.openassistantgpt.io/blogs/aeo-geo-llm-ranking-tool-enterprise</t>
  </si>
  <si>
    <t>Top 10 AEO, GEO and LLM Ranking tool for your enterprise</t>
  </si>
  <si>
    <t>https://origami.chat/blog/best-ai-marketing-analytics-tools</t>
  </si>
  <si>
    <t>Best AI Marketing Analytics Tools in 2026: 12 Platforms Reviewed</t>
  </si>
  <si>
    <t>https://oski.site/blog/analytics-strategy-consulting-companies-germany/#:~:text=Get%20Expert%20Consultation,more%20structured%20data%2Ddriven%20operations.</t>
  </si>
  <si>
    <t>Best 14 Analytics Strategy Consulting Firms in Germany</t>
  </si>
  <si>
    <t>NoGood, Single Grain, Hawke Media, Huge</t>
  </si>
  <si>
    <t>Disruptive Advertising, KlientBoost, SmartSites, Power Digital, Wpromote, Directive Consulting, Jellyfish, Merkle, Huge, Pilot</t>
  </si>
  <si>
    <t>https://p3adaptive.com/the-10-best-ai-consulting-companies-for-enterprise-in-2026/</t>
  </si>
  <si>
    <t>10 Best AI Consulting Companies for Enterprise in 2026'</t>
  </si>
  <si>
    <t>McKinsey &amp; Company, EY, BCG</t>
  </si>
  <si>
    <t>iPullRank, Single Grain, NoGood, Omniscient Digital, Siege Media, WebFX, Directive Consulting, Measured, Pilot</t>
  </si>
  <si>
    <t>https://www.pixelmojo.io/best-ai-visibility-agencies#:~:text=Why%20Pixelmojo%20is%20different,systems%20(Vector%2C%20Hive).</t>
  </si>
  <si>
    <t>WebFX, iPullRank, NoGood, Siege Media, Directive Consulting, Measured</t>
  </si>
  <si>
    <t>https://platypusseo.com/blog/best-european-seo-agencies/</t>
  </si>
  <si>
    <t>10 Best European SEO Agencies in 2026</t>
  </si>
  <si>
    <t>Directive Consulting, Siege Media, Measured</t>
  </si>
  <si>
    <t>https://qoulomb.com/best-answer-engine-optimization-agencies/</t>
  </si>
  <si>
    <t>Best Answer Engine Optimization \[AEO\] Agencies</t>
  </si>
  <si>
    <t>https://www.quoleady.com/growth-marketing-agencies/</t>
  </si>
  <si>
    <t>Top 12 Growth Marketing Agencies in 2026 - Quoleady</t>
  </si>
  <si>
    <t>Darkroom, NoGood, Disruptive Advertising, SmartSites, Momentum</t>
  </si>
  <si>
    <t>https://revenuezen.com/top-answer-engine-optimization-aeo-agencies/</t>
  </si>
  <si>
    <t>Top Answer Engine Optimization Agencies in 2026 | RevenueZen</t>
  </si>
  <si>
    <t>Omniscient Digital, iPullRank, WebFX, Huge</t>
  </si>
  <si>
    <t>https://s-pro.io/generative-ai-development-companies</t>
  </si>
  <si>
    <t>Top Generative AI Development Companies | 21 Best Generative AI Integration Companies</t>
  </si>
  <si>
    <t>PwC, Croud, Momentum</t>
  </si>
  <si>
    <t>https://www.sanmiguel.io/en/the-best-b2b-brand-agencies-for-smes/</t>
  </si>
  <si>
    <t>The best B2B brand agencies in Germany &amp;amp; the DACH region</t>
  </si>
  <si>
    <t>MetaDesign, Publicis Groupe, Jung von Matt, Omnicom</t>
  </si>
  <si>
    <t>https://www.scaled2c.com/services/germany/geo-services-germany</t>
  </si>
  <si>
    <t>Best Generative Engine Optimisation (GEO) Agency in Germany | Top German Generative Engine Optimisation (GEO) Agency — SCALE D2C</t>
  </si>
  <si>
    <t>https://scandiweb.com/blog/top-ai-agencies/</t>
  </si>
  <si>
    <t>Top AI Agencies in 2026 for GenAI Optimization - scandiweb</t>
  </si>
  <si>
    <t>appliedAI</t>
  </si>
  <si>
    <t>https://www.schalk-and-friends.de/en/magazine/modern-marketing-winners/</t>
  </si>
  <si>
    <t>Top 70 German digital agencies | schalk&amp;amp;friends</t>
  </si>
  <si>
    <t>Tinuiti, Omniscient Digital, iPullRank, Single Grain, Siege Media</t>
  </si>
  <si>
    <t>https://www.secureleap.tech/blog/best-penetration-testing-companies-europe-startups</t>
  </si>
  <si>
    <t>Best Penetration Testing Companies in Europe for Startups (2026)</t>
  </si>
  <si>
    <t>https://semnexus.com/the-top-10-aeo-agencies-in-2026-dominating-ai-search</t>
  </si>
  <si>
    <t>The Top 10 AEO Agencies in 2026: Dominating AI Search | SEM Nexus</t>
  </si>
  <si>
    <t>WebFX, Directive Consulting, Brainlabs, Siege Media</t>
  </si>
  <si>
    <t>Omniscient Digital, Pilot</t>
  </si>
  <si>
    <t>https://www.sixpathsconsulting.com/top-ai-consulting-companies/</t>
  </si>
  <si>
    <t>Top 7 AI Consulting Companies to Watch in 2026 - Six Paths Consulting</t>
  </si>
  <si>
    <t>https://socialsamurai.de/blog/top-marketing-branding-agenturen-deutschlands/</t>
  </si>
  <si>
    <t>Top Marketing &amp;amp; Branding Agenturen Deutschlands | socialsamurai</t>
  </si>
  <si>
    <t>Serviceplan Group, Jung von Matt, Scholz &amp; Friends, Ogilvy, DDB Germany, Accenture Song, DEPT</t>
  </si>
  <si>
    <t>https://www.soenkesproll.de/blog/die-besten-social-media-agenturen</t>
  </si>
  <si>
    <t>Top 5 Social Media Agenturen in Deutschland 2026 | Sönke Sproll</t>
  </si>
  <si>
    <t>https://www.softwareadvice.com/marketing-attribution/</t>
  </si>
  <si>
    <t>Best Marketing Attribution Software - 2026 Reviews &amp;amp; Pricing</t>
  </si>
  <si>
    <t>Dreamdata, Measured</t>
  </si>
  <si>
    <t>https://www.sortlist.com/i/branding/germany-de</t>
  </si>
  <si>
    <t>The 10 Best Branding Agencies in Germany - 2026 Reviews</t>
  </si>
  <si>
    <t>lehof, Measured</t>
  </si>
  <si>
    <t>https://www.sortlist.com/i/s/big-data-analytics/germany-de</t>
  </si>
  <si>
    <t>The 10 Best Big Data Analytics Companies in Germany - 2026 Reviews</t>
  </si>
  <si>
    <t>https://www.sortlist.com/i/s/linkedin-advertising/germany-de</t>
  </si>
  <si>
    <t>The 10 Best LinkedIn Ads Agencies in Germany - 2026 Reviews</t>
  </si>
  <si>
    <t>MONSOON, Triple Whale, Northbeam, Dreamdata, lehof</t>
  </si>
  <si>
    <t>https://www.sortlist.com/i/s/ppc-marketing/germany-de</t>
  </si>
  <si>
    <t>The 10 Best Pay-Per-Click Agencies in Germany - 2026 Reviews</t>
  </si>
  <si>
    <t>MONSOON, Mediacharge</t>
  </si>
  <si>
    <t>https://www.sortlist.com/media-planning</t>
  </si>
  <si>
    <t>The 100 Best Media Agencies - 2026 Reviews</t>
  </si>
  <si>
    <t>lehof</t>
  </si>
  <si>
    <t>https://www.sortlist.com/s/ai-agents/germany-de</t>
  </si>
  <si>
    <t>The 10 Best AI Agents Companies in Germany - 2026 Reviews</t>
  </si>
  <si>
    <t>https://www.sortlist.com/s/artificial-intelligence/hamburg-de</t>
  </si>
  <si>
    <t>The 10 Best Artificial Intelligence Agencies in Hamburg - 2026 Reviews</t>
  </si>
  <si>
    <t>https://www.sortlist.com/s/brand-experience/germany-de</t>
  </si>
  <si>
    <t>The 10 Best Brand Experience Agencies in Germany - 2026 Reviews</t>
  </si>
  <si>
    <t>lehof, PANORAMA3000, Measured</t>
  </si>
  <si>
    <t>https://www.sortlist.com/s/data-driven-marketing/berlin-de</t>
  </si>
  <si>
    <t>The 10 Best Data Driven Marketing Agencies in Berlin - 2026 Reviews</t>
  </si>
  <si>
    <t>MONSOON, lehof, Triple Whale, Northbeam, Dreamdata, KlickPiloten</t>
  </si>
  <si>
    <t>https://www.sortlist.com/s/international-marketing/hamburg-de</t>
  </si>
  <si>
    <t>The 10 Best International Marketing Agencies in Hamburg - 2026 Reviews</t>
  </si>
  <si>
    <t>MONSOON, Measured, KlickPiloten</t>
  </si>
  <si>
    <t>https://www.sortlist.com/s/paid-media/munich-by-de</t>
  </si>
  <si>
    <t>The 10 Best Paid Media Agencies in Munich - 2026 Reviews</t>
  </si>
  <si>
    <t>Measured, lehof, Triple Whale, Northbeam, Dreamdata, Mediacharge, MONSOON, Loyamo</t>
  </si>
  <si>
    <t>https://www.sortlist.com/s/performance-marketing/frankfurt-he-de</t>
  </si>
  <si>
    <t>The 10 Best Performance Marketing Agencies in Frankfurt - 2026 Reviews</t>
  </si>
  <si>
    <t>lehof, Mediacharge, MONSOON, ZweiDigital GmbH, Measured, Triple Whale, Northbeam, Dreamdata</t>
  </si>
  <si>
    <t>https://www.sortlist.com/s/performance-marketing/munich-by-de</t>
  </si>
  <si>
    <t>The 10 Best Performance Marketing Agencies in Munich - 2026 Reviews</t>
  </si>
  <si>
    <t>lehof, Mediacharge, MONSOON, Triple Whale, Northbeam, Dreamdata, Loyamo</t>
  </si>
  <si>
    <t>https://www.sortlist.com/s/programmatic-advertising/berlin-de#:~:text=%F0%9F%87%AC%F0%9F%87%A7%20below%20%F0%9F%87%AC%F0%9F%87%A7%20Say%20hi%20to%20Digital,we%20support%20you%20in%20digitizing%20your%20business.</t>
  </si>
  <si>
    <t>The 10 Best Programmatic Advertising Companies in Berlin - 2026 Reviews</t>
  </si>
  <si>
    <t>MONSOON, Triple Whale, Northbeam, Dreamdata, KlickPiloten, Medialabel, lehof</t>
  </si>
  <si>
    <t>https://www.sortlist.com/s/roi-optimization/germany-de</t>
  </si>
  <si>
    <t>The 10 Best ROI Optimization Companies in Germany - 2026 Reviews</t>
  </si>
  <si>
    <t>MONSOON, Measured, Triple Whale, Northbeam, Dreamdata, PANORAMA3000, ZweiDigital GmbH</t>
  </si>
  <si>
    <t>https://sourceforge.net/software/incrementality-testing/europe/</t>
  </si>
  <si>
    <t>Best Incrementality Testing Tools in Europe of 2026 - Reviews &amp;amp; Comparison</t>
  </si>
  <si>
    <t>https://strativera.com/insights/best-seo-aeo-geo-marketing-agencies/</t>
  </si>
  <si>
    <t>Best SEO AEO GEO Marketing Agencies: Top Firms (2026)</t>
  </si>
  <si>
    <t>https://superbcompanies.com/categories/advertising-agencies-in-germany/</t>
  </si>
  <si>
    <t>Top 20 Advertising Agencies in Germany - Jul 2026 | Ranking | SuperbCompanies</t>
  </si>
  <si>
    <t>KlickPiloten, Mediacharge</t>
  </si>
  <si>
    <t>https://superbcompanies.com/categories/digital-marketing-companies-in-germany/</t>
  </si>
  <si>
    <t>Top 50 Digital Marketing Companies in Germany - Jul 2026 | Ranking | SuperbCompanies</t>
  </si>
  <si>
    <t>HECHT INS GEFECHT, KlickPiloten, The Boutique Agency, Mediacharge</t>
  </si>
  <si>
    <t>https://syncgtm.com/blog/best-gtm-agencies-in-germany</t>
  </si>
  <si>
    <t>6 Best GTM Agencies in Germany for Enterprise B2B (2026) | SyncGTM | SyncGTM</t>
  </si>
  <si>
    <t>https://tech-now.io/en/blogs/top-10-app-development-companies-in-germany/</t>
  </si>
  <si>
    <t>Top 10 App Development Companies in Germany - TechNow</t>
  </si>
  <si>
    <t>https://tech-now.io/en/blogs/top-10-best-it-companies-in-dusseldorf/</t>
  </si>
  <si>
    <t>Top 10 Best IT Companies in Düsseldorf (2026) - TechNow</t>
  </si>
  <si>
    <t>Capgemini</t>
  </si>
  <si>
    <t>https://tech.us/blog/top-ai-agent-development-companies-usa</t>
  </si>
  <si>
    <t>Top 10 Trusted AI Agent Development Companies in USA 2026</t>
  </si>
  <si>
    <t>https://www.techaheadcorp.com/services/ai-development/</t>
  </si>
  <si>
    <t>Top AI Development Company in USA</t>
  </si>
  <si>
    <t>https://techbehemoths.com/companies/outdoor-advertising/germany</t>
  </si>
  <si>
    <t>Top 20+ Outdoor Advertising Agencies in Germany (2026) - TechBehemoths</t>
  </si>
  <si>
    <t>https://terratern.com/blog/civil-engineering-companies-in-germany/</t>
  </si>
  <si>
    <t>Top Civil Engineering Companies in Germany: Latest List 2025</t>
  </si>
  <si>
    <t>https://www.theadfirm.net/ai-seo/</t>
  </si>
  <si>
    <t>AI SEO Agency: Top-Rated AI SEO Services \| The Ad Firm</t>
  </si>
  <si>
    <t>https://www.thebusinessrover.com/blog/media-buying-agencies</t>
  </si>
  <si>
    <t>13 Best Media Buying Agencies in 2026 | The Business Rover</t>
  </si>
  <si>
    <t>Measured, Tinuiti, Darkroom, Common Thread Collective, Disruptive Advertising, Power Digital, Hawke Media, New Engen, PMG, Wpromote, Brainlabs, Directive Consulting</t>
  </si>
  <si>
    <t>https://www.thebusinessrover.com/de/blog/growth-marketing-agencies</t>
  </si>
  <si>
    <t>15 Best Growth Marketing Agencies in | Der Business Rover</t>
  </si>
  <si>
    <t>NoGood, Wpromote, Omniscient Digital, Single Grain, Refine Labs</t>
  </si>
  <si>
    <t>https://thecxlead.com/services/best-customer-data-platform-consulting/</t>
  </si>
  <si>
    <t>10 Best Customer Data Platform Consultants in 2026</t>
  </si>
  <si>
    <t>Brandtech, Pilot, PwC</t>
  </si>
  <si>
    <t>https://www.thedrum.com/news/world-creative-rankings-2023-adland-s-top-independent-agencies-revealed</t>
  </si>
  <si>
    <t>World Creative Rankings 2023: adland’s top independent agencies revealed | The Drum</t>
  </si>
  <si>
    <t>Tinuiti, DEPT, Croud, Disruptive Advertising, WebFX</t>
  </si>
  <si>
    <t>https://themanifest.com/de/artificial-intelligence/companies</t>
  </si>
  <si>
    <t>Top-Rated Artificial Intelligence &amp;amp; AI Companies for Healthcare, FinTech, eCommerce in Germany, Berlin, Munich | Vetted &amp;amp; Reviewed July 2026 | The Manifest</t>
  </si>
  <si>
    <t>Admiral Media</t>
  </si>
  <si>
    <t>https://themanifest.com/de/social-media/linkedin/agencies</t>
  </si>
  <si>
    <t>The Best LinkedIn Advertising Companies in Germany - Jul 2026 | The Manifest</t>
  </si>
  <si>
    <t>MONSOON, HY.AM STUDIOS, PANORAMA3000, KlickPiloten, Pulse Advertising</t>
  </si>
  <si>
    <t>https://themanifest.com/de/social-media/tiktok/agencies</t>
  </si>
  <si>
    <t>The Best TikTok Advertising Companies in Germany - Jul 2026 | The Manifest</t>
  </si>
  <si>
    <t>https://www.therankmasters.com/insights/vendors/best-aeo-agencies</t>
  </si>
  <si>
    <t>Best AEO Agencies for AI Search in 2026</t>
  </si>
  <si>
    <t>inBeat, Dentsu</t>
  </si>
  <si>
    <t>https://thetechfounders.co.uk/guides/10-best-ai-readiness-assessment-platforms-available-in-2026/</t>
  </si>
  <si>
    <t>https://threebestrated.de/advertising-agencies-in-frankfurt#:~:text=1,and%20Creatives%20%E2%9C%93%20Tracking%20Integration</t>
  </si>
  <si>
    <t>3 Best Advertising Agencies in Frankfurt - Expert Recommendations</t>
  </si>
  <si>
    <t>https://www.todaymade.com/blog/top-creative-agencies</t>
  </si>
  <si>
    <t>Ogilvy, WPP, Omnicom, Huge, Superside, R/GA, AKQA, Accenture Song, Publicis Groupe, Dentsu, Jung von Matt, Scholz &amp; Friends, Media.Monks, Monks, Momentum</t>
  </si>
  <si>
    <t>https://toolradar.com/best/attribution</t>
  </si>
  <si>
    <t>Best Attribution Tools in 2026 | Toolradar</t>
  </si>
  <si>
    <t>Triple Whale, Northbeam, Rockerbox, Dreamdata, Cometly</t>
  </si>
  <si>
    <t>https://www.topinteractiveagencies.com/digital/agency/profile/europe/germany-deutschland/munich/serviceplan-group/</t>
  </si>
  <si>
    <t>Serviceplan Group | Top Interactive Agencies</t>
  </si>
  <si>
    <t>Serviceplan Group, Huge, Monks</t>
  </si>
  <si>
    <t>https://touchstoneresearch.com/top-10-global-market-research-companies/</t>
  </si>
  <si>
    <t>Top 10 Global Market Research Companies in 2026</t>
  </si>
  <si>
    <t>https://www.traqer.ai/blog/ai-visibility-tool</t>
  </si>
  <si>
    <t>How to choose the best AI visibility tool for your business</t>
  </si>
  <si>
    <t>https://www.tripledart.com/ai-seo/best-aeo-agencies</t>
  </si>
  <si>
    <t>14 Best AEO Agencies in 2026 (Vetted &amp;amp; Ranked)</t>
  </si>
  <si>
    <t>Omnius, iPullRank, WebFX, NoGood, Siege Media</t>
  </si>
  <si>
    <t>https://www.tripledart.com/blog/best-aeo-agencies</t>
  </si>
  <si>
    <t>https://www.unfoldmart.com/blogs/top-branding-agencies-germany-2026</t>
  </si>
  <si>
    <t>Top Branding Agencies in Germany 2026: Complete Guide</t>
  </si>
  <si>
    <t>Scholz &amp; Friends, MetaDesign</t>
  </si>
  <si>
    <t>https://www.uptech.team/blog/ai-development-companies</t>
  </si>
  <si>
    <t>13 Best AI Development Companies in 2026 | Uptech</t>
  </si>
  <si>
    <t>https://www.upwork.com/resources/generative-ai-applications</t>
  </si>
  <si>
    <t>The Top 18 Generative AI Applications for Businesses - Upwork</t>
  </si>
  <si>
    <t>https://varify.io/en/blog/cro-agencies/</t>
  </si>
  <si>
    <t>Top CRO agencies 2026: Conversion optimization in Germany</t>
  </si>
  <si>
    <t>https://venngage.com/blog/ai-marketing-tools/</t>
  </si>
  <si>
    <t>Top 30+ AI Marketing Tools for Growth in 2026</t>
  </si>
  <si>
    <t>https://vertriebspilot.ai/en/blog/best-german-ai-automation-agencies-2026.html#:~:text=CET%20overlaps%20with%20both%20US,callbacks%20%2B%20WhatsApp%20qualification%20%2B%20calendar%20booking</t>
  </si>
  <si>
    <t>The Best German AI Automation Agencies in 2026 — An Honest Comparison | Vertriebspilot.ai</t>
  </si>
  <si>
    <t>b.telligent</t>
  </si>
  <si>
    <t>https://viston.tech/top-10-ai-integration-consulting-firms-in-germany-for-2026/</t>
  </si>
  <si>
    <t>Top 10 AI Integration Consulting Firms in Germany for 2026</t>
  </si>
  <si>
    <t>PwC, Capgemini</t>
  </si>
  <si>
    <t>https://vitasoft.co/best/geo-agentur-deutschland</t>
  </si>
  <si>
    <t>Vitasoft Index — the best software &amp;amp; AI vendors, scored for AI search</t>
  </si>
  <si>
    <t>WebFX, Disruptive Advertising, Power Digital, Digital Delight, Peak Ace</t>
  </si>
  <si>
    <t>https://vitasoft.co/de/best/geo-agentur-deutschland/</t>
  </si>
  <si>
    <t>Power Digital, WebFX, Peak Ace</t>
  </si>
  <si>
    <t>Wpromote, Power Digital, WebFX, Single Grain, Omnicom, Tinuiti</t>
  </si>
  <si>
    <t>Measured, Tinuiti, Power Digital, NoGood, Hawke Media</t>
  </si>
  <si>
    <t>https://webguruz.in/blog/best-google-ads-agencies-india</t>
  </si>
  <si>
    <t>Top 5 Google Ads Agencies in India for Lead Generation</t>
  </si>
  <si>
    <t>Publicis Groupe, Measured</t>
  </si>
  <si>
    <t>Wpromote, Tinuiti, Brainlabs, Jellyfish, Croud, KlientBoost, Disruptive Advertising, NoGood, Power Digital, Directive Consulting, Hawke Media, Single Grain</t>
  </si>
  <si>
    <t>https://weframetech.com/blog/top-ai-seo-agencies-in-berlin-7-firms-leading-in-2026</t>
  </si>
  <si>
    <t>Top 7 AI SEO Agencies in Berlin 2026 Proof? I got you, bruh</t>
  </si>
  <si>
    <t>iPullRank, Omnius, WebFX, NoGood, Measured</t>
  </si>
  <si>
    <t>https://www.werbeagentur.de/de/scoring/ab-testing</t>
  </si>
  <si>
    <t>https://www.werbeagentur.de/de/scoring/digital-online-agentur</t>
  </si>
  <si>
    <t>1068 Top Digital / Online Agenturen. Hier vergleichen</t>
  </si>
  <si>
    <t>Artefact, Smarketer, Seiten-Werk, ZweiDigital GmbH, Digital Masters GmbH, Löwenstark, Baseplus DIGITAL MEDIA GmbH, eMinded GmbH, morefire, Loyamo, Aufgesang, PANORAMA3000</t>
  </si>
  <si>
    <t>https://westoperators.com/blog/top-7-aeo-agencies</t>
  </si>
  <si>
    <t>Top AI search optimization agencies (AEO) in 2025-2026 | West Operators</t>
  </si>
  <si>
    <t>Omniscient Digital, iPullRank, Siege Media, Single Grain</t>
  </si>
  <si>
    <t>PwC, Capgemini, Pilot, appliedAI, Momentum</t>
  </si>
  <si>
    <t>PwC, EY, Capgemini, appliedAI, Pilot, Momentum</t>
  </si>
  <si>
    <t>Merkle, Dentsu, Publicis Groupe, WPP, EY, Kantar, iProspect</t>
  </si>
  <si>
    <t>https://www1.varify.io/en/blog/cro-agencies/</t>
  </si>
  <si>
    <t>BCG, Pilot, Opinosis Analytics, PwC, EY</t>
  </si>
  <si>
    <t>Measured, iPullRank, Siege Media, Omniscient Digital</t>
  </si>
  <si>
    <t>https://www.yotpo.com/blog/aeo-vs-seo-strategy/</t>
  </si>
  <si>
    <t>AEO Vs. SEO: Best Strategies For 2026</t>
  </si>
  <si>
    <t>Omnius, Siege Media, iPullRank, Omniscient Digital, WebFX</t>
  </si>
  <si>
    <t>https://www.zemith.com/blogs/best-ai-assistant-app</t>
  </si>
  <si>
    <t>The 12 Best AI Assistant App Choices for 2026 \| Zemith.com</t>
  </si>
  <si>
    <t>Huge, Capgemini</t>
  </si>
  <si>
    <t>https://www.zendikt.com/top-10-ab-testing-software/germany/</t>
  </si>
  <si>
    <t>Top 10 A/B Testing and Experimentation Software in Germany for 2026</t>
  </si>
  <si>
    <t>Deloitte Digital, PwC, Mindshare</t>
  </si>
  <si>
    <t>PwC, Capgemini, WPP, Publicis Groupe</t>
  </si>
  <si>
    <t>Merkle, Dentsu, Publicis Groupe, PwC, EY, Capgemini, Publicis Media, Pilot</t>
  </si>
  <si>
    <t>Merkle, Dentsu, Publicis Groupe, PwC</t>
  </si>
  <si>
    <t>Rank</t>
  </si>
  <si>
    <t>Visibility</t>
  </si>
  <si>
    <t>SOV</t>
  </si>
  <si>
    <t>Sentiment</t>
  </si>
  <si>
    <t>Avg. Position</t>
  </si>
  <si>
    <t>#3.7</t>
  </si>
  <si>
    <t>#4.2</t>
  </si>
  <si>
    <t>#3.8</t>
  </si>
  <si>
    <t>#4.3</t>
  </si>
  <si>
    <t>#3.5</t>
  </si>
  <si>
    <t>#4.9</t>
  </si>
  <si>
    <t>#3.9</t>
  </si>
  <si>
    <t>#3.4</t>
  </si>
  <si>
    <t>#4</t>
  </si>
  <si>
    <t>#4.5</t>
  </si>
  <si>
    <t>#2.9</t>
  </si>
  <si>
    <t>#2.7</t>
  </si>
  <si>
    <t>#3.6</t>
  </si>
  <si>
    <t>#4.4</t>
  </si>
  <si>
    <t>#3.3</t>
  </si>
  <si>
    <t>#5</t>
  </si>
  <si>
    <t>#6.5</t>
  </si>
  <si>
    <t>#5.2</t>
  </si>
  <si>
    <t>#5.5</t>
  </si>
  <si>
    <t>#4.7</t>
  </si>
  <si>
    <t>#6.8</t>
  </si>
  <si>
    <t>Mother London</t>
  </si>
  <si>
    <t>#2.1</t>
  </si>
  <si>
    <t>Favoured</t>
  </si>
  <si>
    <t>#7.3</t>
  </si>
  <si>
    <t>Adam&amp;eveDDB</t>
  </si>
  <si>
    <t>BBH London</t>
  </si>
  <si>
    <t>Saatchi &amp; Saatchi</t>
  </si>
  <si>
    <t>#5.7</t>
  </si>
  <si>
    <t>#6.2</t>
  </si>
  <si>
    <t>Digital Landscope</t>
  </si>
  <si>
    <t>Lucky Generals</t>
  </si>
  <si>
    <t>#4.6</t>
  </si>
  <si>
    <t>M3.agency</t>
  </si>
  <si>
    <t>#6.4</t>
  </si>
  <si>
    <t>#9.1</t>
  </si>
  <si>
    <t>Screaming Frog</t>
  </si>
  <si>
    <t>iCrossing</t>
  </si>
  <si>
    <t>WPP</t>
  </si>
  <si>
    <t>#7.2</t>
  </si>
  <si>
    <t>#5.6</t>
  </si>
  <si>
    <t>LOCALiQ</t>
  </si>
  <si>
    <t>#7</t>
  </si>
  <si>
    <t>Uncommon Creative Studio</t>
  </si>
  <si>
    <t>Anicca Digital</t>
  </si>
  <si>
    <t>PinPoint Media</t>
  </si>
  <si>
    <t>Sellforte</t>
  </si>
  <si>
    <t>Launch Online</t>
  </si>
  <si>
    <t>#8.9</t>
  </si>
  <si>
    <t>Builtvisible</t>
  </si>
  <si>
    <t>#6.1</t>
  </si>
  <si>
    <t>Propeller</t>
  </si>
  <si>
    <t>#5.1</t>
  </si>
  <si>
    <t>Gravity Global</t>
  </si>
  <si>
    <t>Pureal Analytics</t>
  </si>
  <si>
    <t>AMV BBDO</t>
  </si>
  <si>
    <t>#3.1</t>
  </si>
  <si>
    <t>Genie Crawl</t>
  </si>
  <si>
    <t>#4.1</t>
  </si>
  <si>
    <t>Make Agency</t>
  </si>
  <si>
    <t>Rise at Seven</t>
  </si>
  <si>
    <t>Analytic Partners</t>
  </si>
  <si>
    <t>Pablo</t>
  </si>
  <si>
    <t>#7.1</t>
  </si>
  <si>
    <t>#5.9</t>
  </si>
  <si>
    <t>Oski Solutions</t>
  </si>
  <si>
    <t>Buried Agency</t>
  </si>
  <si>
    <t>Born Social</t>
  </si>
  <si>
    <t>Exposure Ninja</t>
  </si>
  <si>
    <t>#8</t>
  </si>
  <si>
    <t>VCCP</t>
  </si>
  <si>
    <t>#5.3</t>
  </si>
  <si>
    <t>AAR Group</t>
  </si>
  <si>
    <t>#1.2</t>
  </si>
  <si>
    <t>Measurelab</t>
  </si>
  <si>
    <t>Transmission</t>
  </si>
  <si>
    <t>#5.8</t>
  </si>
  <si>
    <t>PPC Geeks</t>
  </si>
  <si>
    <t>Varn</t>
  </si>
  <si>
    <t>Charle Agency</t>
  </si>
  <si>
    <t>Convosphere</t>
  </si>
  <si>
    <t>#9.8</t>
  </si>
  <si>
    <t>Soap Media</t>
  </si>
  <si>
    <t>The Brains</t>
  </si>
  <si>
    <t>Manifest Group</t>
  </si>
  <si>
    <t>Social Chain</t>
  </si>
  <si>
    <t>Vivify Agency</t>
  </si>
  <si>
    <t>#6.7</t>
  </si>
  <si>
    <t>Panovista Marketing</t>
  </si>
  <si>
    <t>Propellernet</t>
  </si>
  <si>
    <t>Clarity Performance</t>
  </si>
  <si>
    <t>Koozai</t>
  </si>
  <si>
    <t>Ruler Analytics</t>
  </si>
  <si>
    <t>#3</t>
  </si>
  <si>
    <t>Click Intelligence</t>
  </si>
  <si>
    <t>Nielsen</t>
  </si>
  <si>
    <t>#7.9</t>
  </si>
  <si>
    <t>GroupM</t>
  </si>
  <si>
    <t>#7.6</t>
  </si>
  <si>
    <t>#6</t>
  </si>
  <si>
    <t>Gain Theory</t>
  </si>
  <si>
    <t>AKQA</t>
  </si>
  <si>
    <t>#7.7</t>
  </si>
  <si>
    <t>#4.8</t>
  </si>
  <si>
    <t>Northbeam</t>
  </si>
  <si>
    <t>McKinsey &amp; Company</t>
  </si>
  <si>
    <t>#7.8</t>
  </si>
  <si>
    <t>Neustar</t>
  </si>
  <si>
    <t>Overdrive Digital</t>
  </si>
  <si>
    <t>#8.7</t>
  </si>
  <si>
    <t>#2.6</t>
  </si>
  <si>
    <t>SegmentStream</t>
  </si>
  <si>
    <t>#8.8</t>
  </si>
  <si>
    <t>#1.5</t>
  </si>
  <si>
    <t>GrowthSpree</t>
  </si>
  <si>
    <t>#2</t>
  </si>
  <si>
    <t>#9</t>
  </si>
  <si>
    <t>Daydream</t>
  </si>
  <si>
    <t>#12</t>
  </si>
  <si>
    <t>Darkroom</t>
  </si>
  <si>
    <t>#1</t>
  </si>
  <si>
    <t>#2.5</t>
  </si>
  <si>
    <t>#11</t>
  </si>
  <si>
    <t>#6.3</t>
  </si>
  <si>
    <t>Wieden+Kennedy</t>
  </si>
  <si>
    <t>Droga5</t>
  </si>
  <si>
    <t>BBDO</t>
  </si>
  <si>
    <t>Digitas</t>
  </si>
  <si>
    <t>#5.4</t>
  </si>
  <si>
    <t>HawkSEM</t>
  </si>
  <si>
    <t>Go Fish Digital</t>
  </si>
  <si>
    <t>#6.9</t>
  </si>
  <si>
    <t>R/GA</t>
  </si>
  <si>
    <t>#8.1</t>
  </si>
  <si>
    <t>MuteSix</t>
  </si>
  <si>
    <t>Searchbloom</t>
  </si>
  <si>
    <t>72andSunny</t>
  </si>
  <si>
    <t>Pentagram</t>
  </si>
  <si>
    <t>VaynerMedia</t>
  </si>
  <si>
    <t>LYFE Marketing</t>
  </si>
  <si>
    <t>BCG</t>
  </si>
  <si>
    <t>TransUnion</t>
  </si>
  <si>
    <t>#10.3</t>
  </si>
  <si>
    <t>#6.6</t>
  </si>
  <si>
    <t>Percepture</t>
  </si>
  <si>
    <t>#10</t>
  </si>
  <si>
    <t>Brighter Click</t>
  </si>
  <si>
    <t>Publicis Sapient</t>
  </si>
  <si>
    <t>#3.2</t>
  </si>
  <si>
    <t>RevenueZen</t>
  </si>
  <si>
    <t>Victorious</t>
  </si>
  <si>
    <t>#8.4</t>
  </si>
  <si>
    <t>Discovered Labs</t>
  </si>
  <si>
    <t>Viral Nation</t>
  </si>
  <si>
    <t>Evolytics</t>
  </si>
  <si>
    <t>Avenue Z</t>
  </si>
  <si>
    <t>iProspect</t>
  </si>
  <si>
    <t>Noble Studios</t>
  </si>
  <si>
    <t>#9.9</t>
  </si>
  <si>
    <t>Cardinal Path</t>
  </si>
  <si>
    <t>Elit-Web</t>
  </si>
  <si>
    <t>Metric Theory</t>
  </si>
  <si>
    <t>Keenfolks</t>
  </si>
  <si>
    <t>TBWA\Chiat\Day</t>
  </si>
  <si>
    <t>Web Tonic</t>
  </si>
  <si>
    <t>Animalz</t>
  </si>
  <si>
    <t>Giant Spoon</t>
  </si>
  <si>
    <t>#7.5</t>
  </si>
  <si>
    <t>HockeyStack</t>
  </si>
  <si>
    <t>Accelerated Digital Media</t>
  </si>
  <si>
    <t>#10.6</t>
  </si>
  <si>
    <t>Forthea</t>
  </si>
  <si>
    <t>Kepler Group</t>
  </si>
  <si>
    <t>#9.6</t>
  </si>
  <si>
    <t>Stratabeat</t>
  </si>
  <si>
    <t>#2.4</t>
  </si>
  <si>
    <t>Horizon Media</t>
  </si>
  <si>
    <t>Wolff Olins</t>
  </si>
  <si>
    <t>#14.1</t>
  </si>
  <si>
    <t>Digital Authority Partners</t>
  </si>
  <si>
    <t>LatentView Analytics</t>
  </si>
  <si>
    <t>RevPartners</t>
  </si>
  <si>
    <t>Amsive</t>
  </si>
  <si>
    <t>Bain &amp; Company</t>
  </si>
  <si>
    <t>#10.4</t>
  </si>
  <si>
    <t>Thrive Internet Marketing Agency</t>
  </si>
  <si>
    <t>Refine Labs</t>
  </si>
  <si>
    <t>Kobe Digital</t>
  </si>
  <si>
    <t>Traktor</t>
  </si>
  <si>
    <t>Major Tom</t>
  </si>
  <si>
    <t>Graphite</t>
  </si>
  <si>
    <t>#9.5</t>
  </si>
  <si>
    <t>Hey Digital</t>
  </si>
  <si>
    <t>#2.8</t>
  </si>
  <si>
    <t>Acxiom</t>
  </si>
  <si>
    <t>#10.1</t>
  </si>
  <si>
    <t>Adcore Elite</t>
  </si>
  <si>
    <t>NP Digital Australia</t>
  </si>
  <si>
    <t>Ogilvy Australia</t>
  </si>
  <si>
    <t>Undivided</t>
  </si>
  <si>
    <t>Alley Group</t>
  </si>
  <si>
    <t>Earned Media</t>
  </si>
  <si>
    <t>Reload Media</t>
  </si>
  <si>
    <t>Click Click Media</t>
  </si>
  <si>
    <t>Intelligent Resourcing</t>
  </si>
  <si>
    <t>#2.3</t>
  </si>
  <si>
    <t>Mindshare</t>
  </si>
  <si>
    <t>#10.2</t>
  </si>
  <si>
    <t>Jaywing</t>
  </si>
  <si>
    <t>Insil</t>
  </si>
  <si>
    <t>OMD</t>
  </si>
  <si>
    <t>Defiant Digital Marketing Agency</t>
  </si>
  <si>
    <t>eMarket Experts</t>
  </si>
  <si>
    <t>Get AI Ready</t>
  </si>
  <si>
    <t>Mutinex</t>
  </si>
  <si>
    <t>KPMG</t>
  </si>
  <si>
    <t>Thinkerbell</t>
  </si>
  <si>
    <t>Megantic</t>
  </si>
  <si>
    <t>Absolutely AI</t>
  </si>
  <si>
    <t>Uprise Digital</t>
  </si>
  <si>
    <t>#8.2</t>
  </si>
  <si>
    <t>The Monkeys</t>
  </si>
  <si>
    <t>EssenceMediacom</t>
  </si>
  <si>
    <t>Marketix Digital</t>
  </si>
  <si>
    <t>Reef Digital Agency</t>
  </si>
  <si>
    <t>Human Digital</t>
  </si>
  <si>
    <t>RAW Studio</t>
  </si>
  <si>
    <t>Wavemaker</t>
  </si>
  <si>
    <t>Covert</t>
  </si>
  <si>
    <t>Ziff Digital</t>
  </si>
  <si>
    <t>UR Digital</t>
  </si>
  <si>
    <t>Clemenger BBDO</t>
  </si>
  <si>
    <t>Digital Movement</t>
  </si>
  <si>
    <t>#12.7</t>
  </si>
  <si>
    <t>Edison AI</t>
  </si>
  <si>
    <t>23 Digital</t>
  </si>
  <si>
    <t>Reform Digital</t>
  </si>
  <si>
    <t>Predicta Digital</t>
  </si>
  <si>
    <t>#12.6</t>
  </si>
  <si>
    <t>MyWork</t>
  </si>
  <si>
    <t>#11.3</t>
  </si>
  <si>
    <t>Howatson+Company</t>
  </si>
  <si>
    <t>#1.6</t>
  </si>
  <si>
    <t>SmartOSC</t>
  </si>
  <si>
    <t>TRKKN</t>
  </si>
  <si>
    <t>AdVisible</t>
  </si>
  <si>
    <t>Growth Digital</t>
  </si>
  <si>
    <t>Loud Days</t>
  </si>
  <si>
    <t>The Red Republic</t>
  </si>
  <si>
    <t>Eight Clients</t>
  </si>
  <si>
    <t>Edge Marketing</t>
  </si>
  <si>
    <t>BMF</t>
  </si>
  <si>
    <t>Omni Eclipse</t>
  </si>
  <si>
    <t>MK Media</t>
  </si>
  <si>
    <t>Zib Digital</t>
  </si>
  <si>
    <t>DDB Australia</t>
  </si>
  <si>
    <t>CUT THRU</t>
  </si>
  <si>
    <t>Paradox Marketing</t>
  </si>
  <si>
    <t>#8.6</t>
  </si>
  <si>
    <t>AIR Consulting</t>
  </si>
  <si>
    <t>#1.1</t>
  </si>
  <si>
    <t>Bear Meets Eagle On Fire</t>
  </si>
  <si>
    <t>Workmagic</t>
  </si>
  <si>
    <t>Hulsbosch</t>
  </si>
  <si>
    <t>Blue Sense Digital</t>
  </si>
  <si>
    <t>Publicis Media</t>
  </si>
  <si>
    <t>80/20 Digital</t>
  </si>
  <si>
    <t>#11.1</t>
  </si>
  <si>
    <t>PK SEO</t>
  </si>
  <si>
    <t>Version2</t>
  </si>
  <si>
    <t>Leo Australia</t>
  </si>
  <si>
    <t>EvenDigit</t>
  </si>
  <si>
    <t>#1.9</t>
  </si>
  <si>
    <t>Red Berries</t>
  </si>
  <si>
    <t>Acquisit</t>
  </si>
  <si>
    <t>Assembly MENA</t>
  </si>
  <si>
    <t>Blue Beetle</t>
  </si>
  <si>
    <t>WonderEight</t>
  </si>
  <si>
    <t>Zenerom</t>
  </si>
  <si>
    <t>C2C Media</t>
  </si>
  <si>
    <t>Digital Arabia</t>
  </si>
  <si>
    <t>LUMINA</t>
  </si>
  <si>
    <t>House of Growth</t>
  </si>
  <si>
    <t>Adapts Media</t>
  </si>
  <si>
    <t>AlCaz Media</t>
  </si>
  <si>
    <t>ASTUDIO</t>
  </si>
  <si>
    <t>ENH Marketing</t>
  </si>
  <si>
    <t>Phable</t>
  </si>
  <si>
    <t>INSIDEA</t>
  </si>
  <si>
    <t>Leo Burnett MENA</t>
  </si>
  <si>
    <t>Dot IT</t>
  </si>
  <si>
    <t>ThatWare</t>
  </si>
  <si>
    <t>Solved6</t>
  </si>
  <si>
    <t>#8.5</t>
  </si>
  <si>
    <t>Sapience</t>
  </si>
  <si>
    <t>SOL Analytics</t>
  </si>
  <si>
    <t>aieo.ai</t>
  </si>
  <si>
    <t>Serviceplan Middle East</t>
  </si>
  <si>
    <t>Meta Social FZ LLC</t>
  </si>
  <si>
    <t>TIDAL Digital</t>
  </si>
  <si>
    <t>Edison Moment</t>
  </si>
  <si>
    <t>TheBuzihub</t>
  </si>
  <si>
    <t>Admoon</t>
  </si>
  <si>
    <t>Push MENA</t>
  </si>
  <si>
    <t>Praxis Advertising</t>
  </si>
  <si>
    <t>Leadmetrics</t>
  </si>
  <si>
    <t>GLMA Agency</t>
  </si>
  <si>
    <t>Glomm Digital</t>
  </si>
  <si>
    <t>4Sight Research &amp; Analytics</t>
  </si>
  <si>
    <t>Seven Media</t>
  </si>
  <si>
    <t>Upscale Digital</t>
  </si>
  <si>
    <t>Riman Agency</t>
  </si>
  <si>
    <t>Kleosa</t>
  </si>
  <si>
    <t>Digital SWOT MENA</t>
  </si>
  <si>
    <t>Above Digital</t>
  </si>
  <si>
    <t>Digital Qube</t>
  </si>
  <si>
    <t>YouYaa</t>
  </si>
  <si>
    <t>Créo Global</t>
  </si>
  <si>
    <t>Pixoo Media</t>
  </si>
  <si>
    <t>GPS Marketing Agency</t>
  </si>
  <si>
    <t>BIG LAB</t>
  </si>
  <si>
    <t>Bruce Clay MENA</t>
  </si>
  <si>
    <t>Amplify Marketing Agency Dubai</t>
  </si>
  <si>
    <t>Almost Impossible</t>
  </si>
  <si>
    <t>Growth Hackers</t>
  </si>
  <si>
    <t>Zainlee Technologies</t>
  </si>
  <si>
    <t>Integrate Solutions</t>
  </si>
  <si>
    <t>#9.3</t>
  </si>
  <si>
    <t>#9.2</t>
  </si>
  <si>
    <t>Boston Consulting Group</t>
  </si>
  <si>
    <t>DDB Germany</t>
  </si>
  <si>
    <t>PANORAMA3000</t>
  </si>
  <si>
    <t>Digital Masters GmbH</t>
  </si>
  <si>
    <t>#8.3</t>
  </si>
  <si>
    <t>Digitalyze</t>
  </si>
  <si>
    <t>TRYSEO</t>
  </si>
  <si>
    <t>42DIGITAL</t>
  </si>
  <si>
    <t>Havas Media</t>
  </si>
  <si>
    <t>#7.4</t>
  </si>
  <si>
    <t>Bloofusion Germany GmbH</t>
  </si>
  <si>
    <t>BBDO Germany</t>
  </si>
  <si>
    <t>Phiture</t>
  </si>
  <si>
    <t>Engine Native</t>
  </si>
  <si>
    <t>Convertiv</t>
  </si>
  <si>
    <t>#1.8</t>
  </si>
  <si>
    <t>s360</t>
  </si>
  <si>
    <t>Medialabel</t>
  </si>
  <si>
    <t>Löwenstark</t>
  </si>
  <si>
    <t>Mediaplus Group</t>
  </si>
  <si>
    <t>Loyamo</t>
  </si>
  <si>
    <t>Social Media One</t>
  </si>
  <si>
    <t>WeLikeWeb GmbH</t>
  </si>
  <si>
    <t>Baseplus DIGITAL MEDIA GmbH</t>
  </si>
  <si>
    <t>e-dialog</t>
  </si>
  <si>
    <t>Social Media Pirates</t>
  </si>
  <si>
    <t>#9.4</t>
  </si>
  <si>
    <t>AIO Deutschland</t>
  </si>
  <si>
    <t>Seiten-Werk</t>
  </si>
  <si>
    <t>Kosch Klink Performance</t>
  </si>
  <si>
    <t>Pulse Advertising</t>
  </si>
  <si>
    <t>Digital Delight</t>
  </si>
  <si>
    <t>Media.Monks</t>
  </si>
  <si>
    <t>#18</t>
  </si>
  <si>
    <t>Index to top sources
Regions</t>
  </si>
  <si>
    <t>Spreadsheet links</t>
  </si>
  <si>
    <t>(US) Source URLs &amp; Domains - PEEC Incubeta</t>
  </si>
  <si>
    <t>(UK) Source URLs &amp; Domains - PEEC Incubeta</t>
  </si>
  <si>
    <t>(AU) Source URLs &amp; Domains - PEEC Incubeta</t>
  </si>
  <si>
    <t>(DE) Source URLs &amp; Domains - PEEC Incubeta</t>
  </si>
  <si>
    <t>(UAE) Source URLs &amp; Domains - PEEC Incubeta</t>
  </si>
  <si>
    <t>UGC</t>
  </si>
  <si>
    <t>COMPETITOR</t>
  </si>
  <si>
    <t>CORPORATE</t>
  </si>
  <si>
    <t>REFERENCE</t>
  </si>
  <si>
    <t>prompt</t>
  </si>
  <si>
    <t>location</t>
  </si>
  <si>
    <t>visibility %</t>
  </si>
  <si>
    <t>sentiment</t>
  </si>
  <si>
    <t>position</t>
  </si>
  <si>
    <t>share_of_voice %</t>
  </si>
  <si>
    <t>volume</t>
  </si>
  <si>
    <t>intent</t>
  </si>
  <si>
    <t>web_search</t>
  </si>
  <si>
    <t>best Google Marketing Platform partner agencies in the United States</t>
  </si>
  <si>
    <t>Jellyfish, WebFX, Merkle, Monks, Brainlabs, Disruptive Advertising, SmartSites, Adswerve, Bounteous, InfoTrust, KlientBoost, Cardinal Path, Wpromote, DEPT, Intero Digital, HawkSEM, Kepler Group, Tinuiti, PMG, Thrive Internet Marketing Agency, Accenture Song, Dentsu, Incubeta, Making Science, Deloitte Digital, Publicis Groupe, Clutch, WPP, GroupM, Single Grain, AdVenture Media, Digitas, NP Digital, Seer Interactive, Silverback Strategies, Directive, Elit-Web, Epsilon, iProspect, LYFE Marketing, Measured, New Engen, Publicis Sapient, Searchbloom, Sociallyin</t>
  </si>
  <si>
    <t>commercial</t>
  </si>
  <si>
    <t>best paid media agencies in the United States</t>
  </si>
  <si>
    <t>Tinuiti, Wpromote, Directive, KlientBoost, Power Digital, Disruptive Advertising, Brighter Click, NP Digital, Clutch, Horizon Media, HawkSEM, LYFE Marketing, Merkle, Brainlabs, Dentsu, WebFX, Marcel Digital, MuteSix, The Social Shepherd, VaynerMedia, iProspect, PMG, SmartSites, Ignite Visibility, Monks, Hawke Media, inBeat, NoGood, Darkroom, Jellyfish, Sociallyin, AdVenture Media, GroupM, Common Thread Collective, DEPT, Omnicom Media Group, Single Grain, WPP, Huge, Publicis Groupe, Silverback Strategies, Accelerated Digital Media, Hey Digital, Metric Theory, NinjaPromo, TransUnion, VML, Web Tonic</t>
  </si>
  <si>
    <t>best GEO agencies in the United States</t>
  </si>
  <si>
    <t>Siege Media, First Page Sage, iPullRank, Go Fish Digital, WebFX, Omniscient Digital, Intero Digital, Stratabeat, Victorious, Funnel Boost Media, Seer Interactive, Clutch, Directive, Animalz, Discovered Labs, Graphite, HawkSEM, NoGood, Optimist, Silverback Strategies, Brainlabs, Elit-Web, Hawke Media, Ignite Visibility, KlientBoost, RevenueZen, Searchbloom, Single Grain, Avenue Z, SmartSites</t>
  </si>
  <si>
    <t>best marketing incrementality testing agencies in the United States</t>
  </si>
  <si>
    <t>Measured, Haus, Recast, Analytic Partners, Rockerbox, INCRMNTAL, Neustar, Sellforte, TransUnion, Northbeam, SegmentStream, Triple Whale, LifeSight, Right Side Up, LiftLab, Nielsen, Cometly, Gain Theory, Circana, Tinuiti, Brainlabs, Accenture Song, Deloitte Digital, Common Thread Collective, Huge, Wpromote, Evolytics, Kantar, NoGood, NP Digital, Omnicom Media Group, Power Digital, Publicis Groupe, Silverback Strategies, WPP</t>
  </si>
  <si>
    <t>best display advertising agencies in the United States</t>
  </si>
  <si>
    <t>Tinuiti, AdVenture Media, Disruptive Advertising, Storm Brain, WebFX, SmartSites, Clutch, Elit-Web, Ignite Visibility, Power Digital, Publicis Groupe, Wpromote, Ogilvy, Brainlabs, Digitas, WPP, Jellyfish, PMG, GroupM, Merkle, KlientBoost, Dentsu, Directive, Hawke Media, HawkSEM, NinjaPromo, Monks, NoGood, Omnicom Media Group, Wieden+Kennedy, BBDO, Go Fish Digital, iProspect, NP Digital, Searchbloom, Web Tonic, Accenture Song, Droga5, Funnel Boost Media, Horizon Media, Kepler Group, LYFE Marketing, Single Grain, VaynerMedia, Accelerated Digital Media, DEPT, Marcel Digital, Measured, R/GA, Silverback Strategies, Superside</t>
  </si>
  <si>
    <t>best digital marketing agencies for global brands in the United States</t>
  </si>
  <si>
    <t>Ignite Visibility, Ogilvy, Accenture Song, Publicis Groupe, WebFX, VML, Tinuiti, SmartSites, Digitas, Disruptive Advertising, WPP, Dentsu, VaynerMedia, Wpromote, Clutch, DEPT, NP Digital, Power Digital, NoGood, BBDO, KlientBoost, Merkle, Epsilon, Monks, Accelerated Digital Media, Funnel Boost Media, IBM, Publicis Sapient, Viral Nation, Intero Digital, R/GA, AKQA, Directive, Web Tonic, Deloitte Digital, First Page Sage, Huge, Wieden+Kennedy, Droga5, iProspect, GroupM, Metric Theory, Omnicom Media Group, Silverback Strategies, Sociallyin, TBWA\Chiat\Day, Thrive Internet Marketing Agency</t>
  </si>
  <si>
    <t>best marketing measurement and attribution agencies in the United States</t>
  </si>
  <si>
    <t>Rockerbox, Artefact, Northbeam, Deloitte Digital, Triple Whale, Accenture Song, Measured, Analytic Partners, Directive, HockeyStack, inBeat, Nielsen, Publicis Groupe, Tinuiti, Gain Theory, Dentsu, Epsilon, Ruler Analytics, Merkle, Power Digital, Ogilvy, PwC, VML, Digitas, Kantar, Neustar, Hawke Media, TransUnion, Brainlabs, Circana, Disruptive Advertising, Metric Theory, WPP, Wpromote, Haus, SegmentStream, WebFX, GrowthSpree, LifeSight, Recast, RevPartners, Forthea, GroupM, KlientBoost, LatentView Analytics, McKinsey, NoGood, NP Digital, Omnicom Media Group, Refine Labs, Bain &amp; Company, BCG, IBM, Kepler Group, Monks, New Engen, Publicis Sapient, Cometly, Evolytics, Fractal Analytics, Horizon Media, iProspect, Momentum, Omniscient Digital, Sellforte, Silverback Strategies, Slalom</t>
  </si>
  <si>
    <t>best AI search agencies in the United States</t>
  </si>
  <si>
    <t>iPullRank, Omniscient Digital, First Page Sage, Siege Media, Percepture, Searchbloom, Seer Interactive, Silverback Strategies, Optimist, Tinuiti, WebFX, Single Grain, Digital Authority Partners, NoGood, The SEO Works, Avenue Z, Clutch, Directive, RevenueZen, Animalz, Intero Digital, Go Fish Digital, Slalom, Victorious, McKinsey, Stratabeat, Bain &amp; Company, BCG, Discovered Labs, Elit-Web, Funnel Boost Media, Graphite, Huge, IBM, Ignite Visibility, iProspect, Measured, SmartSites, Thrive Internet Marketing Agency</t>
  </si>
  <si>
    <t>best creative agencies for big brands in the United States</t>
  </si>
  <si>
    <t>Wieden+Kennedy, Droga5, Ogilvy, BBDO, R/GA, 72andSunny, Pentagram, IBM, AKQA, Accenture Song, Huge, Giant Spoon, Anomaly, Clay, TBWA\Chiat\Day, Wolff Olins, VML, Dentsu, WPP, Clutch, Publicis Groupe, LYFE Marketing, Momentum, Major Tom, DEPT, Digitas, Disruptive Advertising, Publicis Sapient, Superside</t>
  </si>
  <si>
    <t>best AI readiness consulting firm for marketing teams in the United States</t>
  </si>
  <si>
    <t>McKinsey, BCG, Artefact, Slalom, Deloitte Digital, IBM, QuantumBlack, Accenture Song, Publicis Sapient, Bain &amp; Company, Clutch, Ogilvy, PwC, Single Grain, Keenfolks, Superside, NoGood, Merkle, Seer Interactive, Dentsu, DEPT, Fractal Analytics, Monks, NinjaPromo, Publicis Groupe</t>
  </si>
  <si>
    <t>best marketing analytics agencies in the United States</t>
  </si>
  <si>
    <t>Artefact, Seer Interactive, inBeat, NP Digital, Evolytics, Ignite Visibility, Noble Studios, Directive, Merkle, Forthea, Fractal Analytics, Intero Digital, SmartSites, Accenture Song, LatentView Analytics, Deloitte Digital, WebFX, Analytic Partners, Disruptive Advertising, Gain Theory, KlientBoost, RevPartners, Amsive, Power Digital, Clutch, Bounteous, McKinsey, Omniscient Digital, Tinuiti, Bain &amp; Company, Brainlabs, Epsilon, Nielsen, Publicis Sapient, Cardinal Path, Publicis Groupe, Anomaly, BCG, DEPT, Haus, Hawke Media, Kantar, Kepler Group, Measured, Neustar, New Engen, NoGood, Ogilvy, PMG, PwC, QuantumBlack, Recast, Refine Labs, Slalom, Wpromote</t>
  </si>
  <si>
    <t>best AEO agencies in the United States</t>
  </si>
  <si>
    <t>First Page Sage, iPullRank, NoGood, WebFX, Siege Media, Optimist, Single Grain, Omniscient Digital, RevenueZen, Avenue Z, Discovered Labs, Go Fish Digital, Marcel Digital, Animalz, Searchbloom, Amsive, Graphite, Directive, BBDO, Digital Authority Partners, Droga5, Huge, NP Digital, Ogilvy, Publicis Groupe, Publicis Sapient, PwC, R/GA, Tinuiti, Victorious, Wieden+Kennedy</t>
  </si>
  <si>
    <t>best AI marketing agencies in the United States</t>
  </si>
  <si>
    <t>Single Grain, NoGood, Daydream, VML, Omniscient Digital, Directive, GrowthSpree, Monks, NP Digital, Digitas, Merkle, Keenfolks, SmartSites, Superside, Deloitte Digital, HawkSEM, Jellyfish, Disruptive Advertising, NinjaPromo, Dentsu, Major Tom, Accenture Song, Ignite Visibility, Victorious, Publicis Groupe, Viral Nation, WebFX, Epsilon, Ogilvy, Power Digital, Brainlabs, Clay, DEPT, Publicis Sapient, Tinuiti, Clutch, Wpromote, Amsive, Hawke Media, Huge, Optimist, R/GA, Thrive Internet Marketing Agency, WPP</t>
  </si>
  <si>
    <t>best paid social advertising agencies in the United States</t>
  </si>
  <si>
    <t>Tinuiti, Sociallyin, Disruptive Advertising, MuteSix, The Social Shepherd, Wpromote, LYFE Marketing, Clutch, KlientBoost, Silverback Strategies, Power Digital, Directive, SmartSites, Ignite Visibility, inBeat, Viral Nation, Metric Theory, Brighter Click, Darkroom, HawkSEM, WebFX, Jellyfish, NP Digital, VaynerMedia, Web Tonic, NoGood, Hawke Media, Triple Whale, Common Thread Collective, DEPT, Northbeam, Dentsu, GroupM, Hey Digital, Omnicom Media Group, WPP, Accelerated Digital Media, Huge, Marcel Digital, NinjaPromo, PMG, Single Grain</t>
  </si>
  <si>
    <t>best performance marketing agencies in the United States</t>
  </si>
  <si>
    <t>Wpromote, Disruptive Advertising, Tinuiti, Power Digital, NoGood, Directive, Hawke Media, WebFX, Ignite Visibility, KlientBoost, Common Thread Collective, Clutch, Right Side Up, NP Digital, inBeat, Kobe Digital, Traktor, SmartSites, Darkroom, Merkle, HawkSEM, MuteSix, Brainlabs, Refine Labs, Accelerated Digital Media, iProspect, DEPT, Single Grain, TransUnion, Hey Digital, Metric Theory, PMG, Acadia, Adswerve, AdVenture Media, Amsive, Major Tom, Omniscient Digital, Sociallyin</t>
  </si>
  <si>
    <t>--</t>
  </si>
  <si>
    <t>best Google Marketing Platform partner agencies in the United Kingdom</t>
  </si>
  <si>
    <t>GB</t>
  </si>
  <si>
    <t>Open Partners, Brainlabs, Croud, Impression, Incubeta, Merkle, Havas Market UK, Jellyfish, Push, Launch Online, Anicca Digital, Found, Hallam, Dentsu, Push Group, Artefact, WPP, Making Science, Bind Media, Dept, Monks, Labelium, PMG, Accenture Song, Gripped, GroupM, Huge, The Social Shepherd, Builtvisible, Journey Further, Measurelab, Omnicom, PPC Geeks, Publicis Groupe</t>
  </si>
  <si>
    <t>best digital marketing agencies for global brands in the United Kingdom</t>
  </si>
  <si>
    <t>Found, M3.agency, Hallam, We Are Social, Brainlabs, Saatchi &amp; Saatchi, Croud, Favoured, Ninja Promo, ROAST, Impression, Jellyfish, Propeller, BBH London, GA Agency, iCrossing, WPP, Dentsu, Gravity Global, Merkle, Transmission, Ogilvy, Passion Digital, Accenture Song, Publicis Groupe, Rise at Seven, AKQA, Huge, Ignite Visibility, Incubeta, The Good Marketer, Bird Marketing, ClickSlice, Gripped, Journey Further, Make Agency, Omnicom, The Social Shepherd, Monks, NP Digital, The SEO Works, Anicca Digital, Bind Media, Dept, Disrupt Marketing, GroupM, Soap Media, WebFX</t>
  </si>
  <si>
    <t>best marketing analytics agencies in the United Kingdom</t>
  </si>
  <si>
    <t>Found, Hallam, Jellyfish, Kantar, Measurelab, YouGov, Croud, Brainlabs, Convosphere, QueryClick, iCrossing, Impression, Oski Solutions, Bind Media, Artefact, NoGood, PwC, Havas Market UK, Incubeta, McKinsey &amp; Company, Merkle, PMG, EY, M3.agency, weDiscover, Accenture Song, Ekimetrics, Nielsen, Ninja Promo, Publicis Groupe, The Good Marketer, WPP, Bird Marketing, Blue Array, Brandtech, Deloitte Digital, Dentsu, Epsilon, GroupM, Huge, IDHL, Measured, NP Digital</t>
  </si>
  <si>
    <t>best display advertising agencies in the United Kingdom</t>
  </si>
  <si>
    <t>LOCALiQ, ROAST, Ninja Promo, Soap Media, The Good Marketer, Chello, M3.agency, The SEO Works, BBH London, Bird Marketing, Brainlabs, Found, Impression, Croud, Favoured, Jellyfish, Bind Media, Omnicom, GA Agency, The Social Shepherd, WPP, Dentsu, Incubeta, Journey Further, Propeller, Publicis Groupe, Anicca Digital, Gripped, GroupM, Hallam, Make Agency, Ogilvy, PinPoint Media, Push, Push Group, The Brains, Vivify Agency, weDiscover, Adam&amp;eveDDB, AMV BBDO, Dept, Huge, Measured, Mother London, Passion Digital, PMG, PPC Geeks, VCCP</t>
  </si>
  <si>
    <t>best paid media agencies in the United Kingdom</t>
  </si>
  <si>
    <t>Brainlabs, Impression, Croud, Bind Media, The Social Shepherd, Hallam, Disrupt Marketing, weDiscover, Jellyfish, Journey Further, Found, Clarity Performance, PinPoint Media, Manifest Group, Launch Online, PPC Geeks, Propeller, Vivify Agency, Dentsu, Merkle, Push, Push Group, ROAST, Passion Digital, VXTX, Make Agency, Anicca Digital, inBeat, Gripped, iCrossing, Incubeta, Koozai, M3.agency, Transmission, We Are Social, Bark London, Favoured, GA Agency, Huge, Momentum, Ninja Promo, Rise at Seven, The Good Marketer, The SEO Works</t>
  </si>
  <si>
    <t>best performance marketing agencies in the United Kingdom</t>
  </si>
  <si>
    <t>Croud, VXTX, Impression, weDiscover, The Social Shepherd, Bind Media, Bark London, Brainlabs, Hallam, ClickSlice, The Brains, Jellyfish, NP Digital, Gravity Global, Gripped, Journey Further, 9AM, Make Agency, inBeat, PPC Geeks, Push, Push Group, Overdrive Digital, Propellernet, Directive Consulting, Found, Passion Digital, Transmission, Launch Online, Rise at Seven, ROAST, The Good Marketer, Incubeta, PinPoint Media, WPP, Dentsu, GroupM, Huge, M3.agency, Ogilvy, Open Partners, PMG, Publicis Groupe</t>
  </si>
  <si>
    <t>best marketing incrementality testing agencies in the United Kingdom</t>
  </si>
  <si>
    <t>Measured, Sellforte, Dentsu, Haus, weDiscover, Recast, Pureal Analytics, Analytic Partners, Impression, Rockerbox, Journey Further, Croud, Neustar, SegmentStream, Ekimetrics, Havas Market UK, Northbeam, Bark London, Bind Media, Brainlabs, Found, Cometly, Ebiquity, Gain Theory, Jellyfish, Nielsen, Open Partners, VXTX, Accenture Song, EY, Gravity Global, iCrossing, inBeat, Incubeta, Push, QueryClick, ROAST, Triple Whale</t>
  </si>
  <si>
    <t>best marketing measurement and attribution agencies in the United Kingdom</t>
  </si>
  <si>
    <t>Croud, weDiscover, Impression, Brainlabs, Ruler Analytics, Dentsu, Hallam, VXTX, Pureal Analytics, Kantar, Oski Solutions, Jellyfish, QueryClick, Whitehat, Analytic Partners, Artefact, NP Digital, Ekimetrics, Gain Theory, Nielsen, Rockerbox, Accenture Song, Merkle, Convosphere, Deloitte Digital, iCrossing, Found, Gravity Global, IDHL, PwC, EY, GroupM, Publicis Groupe, Triple Whale, WPP, Ebiquity, Epsilon, Open Partners, Propellernet, Bark London, Bind Media, Cometly, Directive Consulting, Huge, Incubeta, Journey Further, Making Science, Measured, Northbeam, Omnicom, Sellforte, The Social Shepherd</t>
  </si>
  <si>
    <t>best creative agencies for big brands in the United Kingdom</t>
  </si>
  <si>
    <t>Mother London, Adam&amp;eveDDB, Lucky Generals, Uncommon Creative Studio, Saatchi &amp; Saatchi, BBH London, AMV BBDO, Pablo, VCCP, Ogilvy, We Are Social, Chello, Favoured, Dentsu, Huge, Omnicom, WPP, AKQA, inBeat, Publicis Groupe, Accenture Song, Brainlabs, Disrupt Marketing, Push, ROAST</t>
  </si>
  <si>
    <t>best AI search agencies in the United Kingdom</t>
  </si>
  <si>
    <t>Found, Rank4AI, Blue Array, Passion Digital, Tilio, Screaming Frog, Panovista Marketing, ClickSlice, Varn, FirstMotion, Polaris, Buried Agency, Hallam, Push, The SEO Works, Charle Agency, Impression, Brainlabs, Exposure Ninja, AKQA, Click Intelligence, Dentsu, Dept, GA Agency, Genie Crawl, LOCALiQ, Measured, Propellernet, Push Group, Rise at Seven, Whitehat, WPP</t>
  </si>
  <si>
    <t>best AI readiness consulting firm for marketing teams in the United Kingdom</t>
  </si>
  <si>
    <t>AAR Group, Whitehat, Open Partners, QuantumBlack, Artefact, Brainlabs, Push, PwC, Impression, EY, Push Group, Deloitte Digital, McKinsey &amp; Company, Accenture Song, Publicis Groupe, Disrupt Marketing, Superside</t>
  </si>
  <si>
    <t>best AEO agencies in the United Kingdom</t>
  </si>
  <si>
    <t>Polaris, Push, Push Group, The SEO Works, ClickSlice, Tilio, Found, Builtvisible, Digital Landscope, Click Intelligence, Exposure Ninja, Rise at Seven, Anicca Digital, Genie Crawl, Impression, FirstMotion, EY, Jellyfish, PwC, Rank4AI, ROAST</t>
  </si>
  <si>
    <t>best GEO agencies in the United Kingdom</t>
  </si>
  <si>
    <t>Found, ClickSlice, The SEO Works, Blue Array, Rank4AI, Passion Digital, Polaris, Digital Landscope, Tilio, Buried Agency, Charle Agency, Push, Screaming Frog, FirstMotion, Genie Crawl, Exposure Ninja, Propellernet, Push Group, Varn, Impression, Rise at Seven, Builtvisible, Propeller, Bird Marketing, GA Agency, Jellyfish, Hallam</t>
  </si>
  <si>
    <t>best paid social advertising agencies in the United Kingdom</t>
  </si>
  <si>
    <t>The Social Shepherd, We Are Social, Croud, Push, Push Group, Born Social, Disrupt Marketing, Impression, Brainlabs, Social Chain, The Good Marketer, Bind Media, PinPoint Media, Found, Manifest Group, Vivify Agency, Anicca Digital, 9AM, Jellyfish, weDiscover, Clarity Performance, Favoured, Hallam, Make Agency, Bird Marketing, Ogilvy, Passion Digital, PPC Geeks, Bark London, Dentsu, Dept, GroupM, Journey Further, Launch Online, Merkle, Momentum, Ninja Promo, Northbeam, ROAST, Saatchi &amp; Saatchi, Transmission, Triple Whale</t>
  </si>
  <si>
    <t>best AI marketing agencies in the United Kingdom</t>
  </si>
  <si>
    <t>Push, Brainlabs, Hallam, Impression, Open Partners, Journey Further, Found, Push Group, Koozai, Favoured, Croud, FirstMotion, Jellyfish, Genie Crawl, VCCP, Dept, ClickSlice, Monks, Rank4AI, Anicca Digital, Launch Online, NoGood, ROAST, Buried Agency, Make Agency, Propellernet, The SEO Works</t>
  </si>
  <si>
    <t>best Google Marketing Platform partner agencies in Australia</t>
  </si>
  <si>
    <t>Resolution Digital, In Marketing We Trust, XPON, Emote Digital, Omnicom Media Group, Online Marketing Gurus, Incubeta, Gorilla 360, RankingCo, TRKKN, Accenture Song, Dentsu, Publicis Groupe, Rocket Agency, SearchMax, Alley Group, Bonfire, Digital Movement, WPP, Click Click Media, GroupM, Deloitte, Deloitte Digital, First Page, Publicis Media, EssenceMediacom, Impressive, Mindshare, OMD, Wavemaker, Digital Nomads HQ, Digitxl, eMarket Experts, First Page Australia, Sparro, Brainlabs, Clearwater Agency, Megaphone, Webprofits</t>
  </si>
  <si>
    <t>best marketing measurement and attribution agencies in Australia</t>
  </si>
  <si>
    <t>Resolution Digital, Mutinex, Accenture Song, Sparro, Undivided, Amplifir, Deloitte, Deloitte Digital, MK Media, Analytic Partners, Omnicom Media Group, KPMG, Soup Agency, Brainlabs, GroupM, Metric Labs, Alpha Digital, Rocket Agency, WPP, Dentsu, Megaphone, Online Marketing Gurus, Publicis Groupe, Adcore Elite, Clearwater Agency, Impressive, Measured, Mindshare, Alley Group, EssenceMediacom, First Page, First Page Australia, Growth Digital, Huge, Incubeta, Jaywing, King Kong, Lifesight, Loves Data, OMD, PHD, Publicis Media, ROI Growth Agency, SearchMax, StudioHawk, Webprofits</t>
  </si>
  <si>
    <t>best digital marketing agencies for global brands in Australia</t>
  </si>
  <si>
    <t>Sparro, Impressive, Digital Nomads HQ, Brainlabs, Megaphone, Luminary, Clearwater Agency, Saatchi &amp; Saatchi, Soup Agency, WPP, Publicis Groupe, Farsiight, Dentsu, Accenture Song, Alpha Digital, Intero Digital, Rocket Agency, 23 Digital, SIXGUN, Adcore Elite, Omnicom Media Group, Online Marketing Gurus, First Page, First Page Australia, GroupM, VML, 80/20 Digital, MyWork, Intesols, AdVisible, Insil, Mindshare, Digital Movement, King Kong, OMD, Deloitte, Jaywing, EssenceMediacom, Ninja Promo, Ogilvy Australia, PHD, Wavemaker, Earned Media, Reform Digital, Webprofits, Alley Group, Deloitte Digital, Reef Digital Agency, StudioHawk, Supple Digital, Bonfire, Emote Digital, Growth Digital, Human Digital, In Marketing We Trust, RAW Studio, The Monkeys, Thinkerbell, XPON</t>
  </si>
  <si>
    <t>best paid media agencies in Australia</t>
  </si>
  <si>
    <t>Soup Agency, Sparro, Impressive, Megaphone, Rocket Agency, Farsiight, Brainlabs, Clearwater Agency, OMD, Digital Nomads HQ, Mindshare, Version2, Dentsu, EssenceMediacom, Bench Media, DNM Digital, GroupM, Omnicom Media Group, PHD, Wavemaker, Ninja Promo, Online Marketing Gurus, Defiant Digital Marketing Agency, Insil, SIXGUN, WPP, HERO, King Kong, Emote Digital, Human Digital, AdVisible, MyWork, Publicis Groupe, Salt &amp; Fuessel, Webprofits, Adcore Elite, Digital Movement, First Page, First Page Australia, Intesols, Publicis Media, Reef Digital Agency, Resolution Digital, Reform Digital, Alpha Digital, Bonfire, Bushnote, CUT THRU, Earned Media, Elephant In The Boardroom, Huge, Ogilvy Australia, Reload Media, Thinkerbell</t>
  </si>
  <si>
    <t>best display advertising agencies in Australia</t>
  </si>
  <si>
    <t>Soup Agency, Click Click Media, Bench Media, Rocket Agency, Reload Media, HERO, Bonfire, Omnicom Media Group, Paradox Marketing, Sparro, Emote Digital, Online Marketing Gurus, WebSavvy, Brainlabs, EvenDigit, Clearwater Agency, DNM Digital, Defiant Digital Marketing Agency, Resolution Digital, Alpha Digital, First Page, Dentsu, Impressive, Insil, GroupM, Human Digital, Megaphone, Mindshare, WPP, AdVisible, Chello, EssenceMediacom, First Page Australia, Loud Days, OMD, PHD, Publicis Media, Reef Digital Agency, Adcore Elite, Edge Marketing, RAW Studio, Supple Digital, Wavemaker, Farsiight, Huge, Intesols, Publicis Groupe, SearchMax</t>
  </si>
  <si>
    <t>best AEO agencies in Australia</t>
  </si>
  <si>
    <t>In Marketing We Trust, Luminary, Talons Marketing, Digital Nomads HQ, Prosperity Media, Webprofits, Rocket Agency, Bushnote, Online Marketing Gurus, Intelligent Resourcing, ROI Growth Agency, StudioHawk, Covert, UR Digital, Ziff Digital, Omni Eclipse, Omnicom Media Group, Uprise Digital, Intesols, LeadsNow.ai, Reload Media, Deloitte, eMarket Experts, Growth Digital, Salt &amp; Fuessel, Impressive, Jaywing, KPMG, Safari Digital, Supple Digital, Deloitte Digital, Dentsu, Earned Media, NP Digital Australia, Wavemaker</t>
  </si>
  <si>
    <t>best AI readiness consulting firm for marketing teams in Australia</t>
  </si>
  <si>
    <t>Get AI Ready, Deloitte, Edison AI, Team 400, AIR Consulting, KPMG, Infraworx, Mantel Group, Deloitte Digital, In Marketing We Trust, SmartOSC, XPON, Zib Digital, Momentum, LeadsNow.ai, King Kong, Luminary, NP Digital Australia, ROI Growth Agency</t>
  </si>
  <si>
    <t>best creative agencies for big brands in Australia</t>
  </si>
  <si>
    <t>HERO, Ogilvy Australia, Chello, The Monkeys, Thinkerbell, Accenture Song, RAW Studio, Clemenger BBDO, Measured, Howatson+Company, The Red Republic, BMF, Bear Meets Eagle On Fire, CUT THRU, DDB Australia, Hulsbosch, Leo Australia, Luminary, Saatchi &amp; Saatchi, VML, WPP, Earned Media, Publicis Groupe, Jaywing, Dentsu, Digital Nomads HQ, Human Digital, Huge, Impressive, Momentum</t>
  </si>
  <si>
    <t>best performance marketing agencies in Australia</t>
  </si>
  <si>
    <t>Impressive, Sparro, Megaphone, Farsiight, Clearwater Agency, Digital Nomads HQ, Rocket Agency, Soup Agency, Resolution Digital, Brainlabs, Online Marketing Gurus, Defiant Digital Marketing Agency, Reform Digital, First Page, First Page Australia, Loud Days, Omnicom Media Group, King Kong, Reload Media, SearchMax, SIXGUN, Elephant In The Boardroom, Webprofits, Edge Marketing, Reef Digital Agency, Adcore Elite, Alpha Digital, Luminary, 23 Digital, 80/20 Digital, Earned Media, Intesols, Bonfire, Dentsu, MyWork, Deloitte, Digital Movement, EssenceMediacom, HERO, LeadsNow.ai, Marketix Digital, Mindshare, Ninja Promo, Publicis Groupe, Wavemaker, WPP, Zib Digital</t>
  </si>
  <si>
    <t>best marketing analytics agencies in Australia</t>
  </si>
  <si>
    <t>Sparro, Adcore Elite, Bonfire, Metric Labs, Clearwater Agency, Digital Nomads HQ, First Page, First Page Australia, Resolution Digital, Impressive, Loves Data, Emote Digital, Digitxl, Soup Agency, Alpha Digital, Deloitte, Deloitte Digital, Growth Digital, Megaphone, Accenture Song, Reef Digital Agency, Rocket Agency, Brainlabs, Omnicom Media Group, Online Marketing Gurus, Marketix Digital, In Marketing We Trust, ROI Growth Agency, 80/20 Digital, Bench Media, Earned Media, Farsiight, Gorilla 360, 23 Digital, SIXGUN, Undivided, Alley Group, Analytic Partners, DNM Digital, Insil, King Kong, KPMG, Luminary, Mutinex, Publicis Groupe, XPON</t>
  </si>
  <si>
    <t>best AI marketing agencies in Australia</t>
  </si>
  <si>
    <t>Rocket Agency, Absolutely AI, Alley Group, King Kong, LeadsNow.ai, Online Marketing Gurus, Eight Clients, Megaphone, ROI Growth Agency, SIXGUN, NP Digital Australia, Digital Nomads HQ, In Marketing We Trust, Talons Marketing, Marketix Digital, Sparro, First Page, Prosperity Media, XPON, Brainlabs, Omnicom Media Group, SmartOSC, eMarket Experts, HERO, Jaywing, Salt &amp; Fuessel, Supple Digital, Clearwater Agency, Intesols, Soup Agency, StudioHawk, Zib Digital, Dentsu, First Page Australia, Ogilvy Australia, Alpha Digital, Deloitte, Deloitte Digital, Emote Digital, Impressive, Publicis Groupe, Accenture Song, Bushnote, Digital Movement, Elephant In The Boardroom, Luminary, Measured</t>
  </si>
  <si>
    <t>best paid social advertising agencies in Australia</t>
  </si>
  <si>
    <t>Soup Agency, Farsiight, Megaphone, Impressive, Rocket Agency, Digital Nomads HQ, Sparro, We Are Social, SIXGUN, Emote Digital, Brainlabs, Human Digital, Clearwater Agency, Uprise Digital, Online Marketing Gurus, Omnicom Media Group, Insil, Salt &amp; Fuessel, Earned Media, HERO, Intesols, MyWork, Alley Group, Defiant Digital Marketing Agency, Dentsu, DNM Digital, Publicis Groupe, WPP, Click Click Media, Mindshare, AdVisible, EvenDigit, GroupM, In Marketing We Trust, Reload Media, Wavemaker</t>
  </si>
  <si>
    <t>best AI search agencies in Australia</t>
  </si>
  <si>
    <t>Prosperity Media, Bushnote, NP Digital Australia, Online Marketing Gurus, Salt &amp; Fuessel, Impressive, StudioHawk, Clearwater Agency, Rocket Agency, Intesols, Safari Digital, Digital Nomads HQ, eMarket Experts, First Page, SIXGUN, Supple Digital, Talons Marketing, Earned Media, Predicta Digital, Jaywing, Luminary, Megantic, Omnicom Media Group, Marketix Digital, DNM Digital, Edge Marketing, Reload Media, Deloitte, Bonfire, KPMG, Zib Digital, Click Click Media, Deloitte Digital, First Page Australia, In Marketing We Trust, Insil, LeadsNow.ai, PK SEO, Sparro, Uprise Digital</t>
  </si>
  <si>
    <t>best marketing incrementality testing agencies in Australia</t>
  </si>
  <si>
    <t>Measured, Haus, Resolution Digital, Undivided, Lifesight, LiftLab, Workmagic, Blue Sense Digital, Analytic Partners, Metric Labs, Mutinex, Omnicom Media Group, GroupM, Sparro, Brainlabs, EssenceMediacom, Accenture Song, Digitxl, OMD, Deloitte, Deloitte Digital, Dentsu, Gorilla 360, Growth Digital, Marketix Digital, Publicis Groupe, WPP</t>
  </si>
  <si>
    <t>best GEO agencies in Australia</t>
  </si>
  <si>
    <t>Prosperity Media, Luminary, In Marketing We Trust, Rocket Agency, Talons Marketing, Digital Nomads HQ, Megantic, Intelligent Resourcing, ROI Growth Agency, Bushnote, Salt &amp; Fuessel, StudioHawk, Webprofits, NP Digital Australia, Covert, PK SEO, UR Digital, Ziff Digital, Online Marketing Gurus, Impressive, Omnicom Media Group, Brainlabs, Elephant In The Boardroom, First Page, First Page Australia, Intesols, Jaywing, Predicta Digital, Earned Media, Marketix Digital, Zib Digital, Clearwater Agency, Gorilla 360, Safari Digital, SIXGUN, Soup Agency</t>
  </si>
  <si>
    <t>best Google Marketing Platform partner agencies in Germany</t>
  </si>
  <si>
    <t>Artefact, 42DIGITAL, DEPT, Smarketer, Incubeta, Mediacharge, morefire, Omnicom, DREIKON, e-dialog, KlickPiloten, MONSOON, Omnicom Media Group, Monks, The Boutique Agency, Jellyfish, Merkle, Accenture Song, Media.Monks, Peak Ace, Think11, Making Science, Pilot, Serviceplan Group, Labelium, Baseplus DIGITAL MEDIA GmbH, Deloitte Digital, Dentsu, eMinded GmbH, Jung von Matt, OMD, Claneo, Globalist, GroupM, Huge, Mediaplus Performance, Suchhelden</t>
  </si>
  <si>
    <t>best marketing measurement and attribution agencies in Germany</t>
  </si>
  <si>
    <t>FELD M, Customlytics, Convertiv, Mediacharge, Artefact, Accenture Song, EY, Incubeta, PwC, Deloitte Digital, Dreamdata, Radyant, Measured, Omnicom, Pilot, Sellforte, MONSOON, Serviceplan Group, Triple Whale, Cometly, Hopmann Marketing Analytics GmbH, Kantar, LifeSight, Nielsen, Peak Ace, The Boutique Agency, Analytic Partners, Dentsu, e-dialog, GroupM, iProspect, KlickPiloten, Mediaplus Performance, Merkle, Omnicom Media Group, Publicis Groupe, BCG, Boston Consulting Group, Brainlabs, Capgemini, Claneo, DEPT, Ebiquity, Epsilon, Havas Media, Jellyfish, McKinsey &amp; Company, Mediaplus Group, Neustar, Northbeam, Publicis Media, REPLUG, s360, WPP</t>
  </si>
  <si>
    <t>best marketing incrementality testing agencies in Germany</t>
  </si>
  <si>
    <t>Measured, Sellforte, Haus, FELD M, s360, Recast, Artefact, LifeSight, SegmentStream, INCRMNTAL, Incubeta, Accenture Song, Admiral Media, Brainlabs, Mediacharge, Rockerbox, REPLUG, Analytic Partners, GroupM, Cometly, Pilot, Brandtech, Deloitte Digital, e-dialog, Ebiquity, Epsilon, iProspect, Nielsen, Omnicom, Publicis Groupe, Publicis Media, BCG, Dentsu, DEPT, Digital Masters GmbH, Jellyfish, Kantar, KlickPiloten, Mindshare, MONSOON, OMD, PwC</t>
  </si>
  <si>
    <t>best AEO agencies in Germany</t>
  </si>
  <si>
    <t>Claneo, Peak Ace, performanceLiebe, Radyant, Aufgesang, Suchhelden, Omnius, Digital Delight, HECHT INS GEFECHT, DREIKON, iPullRank, DEPT, Löwenstark, NoGood, Digitalyze, TRYSEO, Mediacharge, Omniscient Digital, morefire, PwC, Seeders, Siege Media, Engine Native, EY, Kosch Klink Performance, MONSOON, Pilot, Smarketer</t>
  </si>
  <si>
    <t>best marketing analytics agencies in Germany</t>
  </si>
  <si>
    <t>KlickPiloten, MONSOON, LNQP GmbH, Kantar, Hopmann Marketing Analytics GmbH, Mediacharge, Customlytics, Mediaplus Performance, Bloofusion Germany GmbH, Medialabel, Serviceplan Group, The Boutique Agency, Accenture Song, lehof, Nielsen, Peak Ace, Digitalyze, Pilot, Artefact, Deloitte Digital, Dentsu, Merkle, Phiture, PwC, REPLUG, WeLikeWeb GmbH, DEPT, Digital Masters GmbH, Publicis Groupe, b.telligent, BBDO Germany, Capgemini, Claneo, EY, GroupM, Havas Media, Jung von Matt, Mediaplus Group, morefire, Neustar, Ogilvy, OMD, Omnicom, Publicis Media, Radyant, WPP</t>
  </si>
  <si>
    <t>best digital marketing agencies for global brands in Germany</t>
  </si>
  <si>
    <t>MONSOON, Serviceplan Group, Mediacharge, Claneo, KlickPiloten, Jung von Matt, Mawave, Accenture Song, DEPT, The Boutique Agency, lehof, Publicis Groupe, REPLUG, Dentsu, morefire, Pilot, Bloofusion Germany GmbH, WPP, Globalist, Scholz &amp; Friends, Mediaplus Group, ZweiDigital GmbH, Havas Media, Medialabel, Mediaplus Performance, Ogilvy, Omnicom, Peak Ace, Admiral Media, AKQA, DDB Germany, DREIKON, Phiture, Digitalyze, iProspect, Mindshare, Momentum, Monks, Seeders</t>
  </si>
  <si>
    <t>best AI search agencies in Germany</t>
  </si>
  <si>
    <t>Claneo, Radyant, DREIKON, Peak Ace, Aufgesang, TRYSEO, Omnius, HECHT INS GEFECHT, Suchhelden, Xmethod, Seeders, Engine Native, HikeMyTraffic, morefire, Löwenstark, Mediacharge, AIO Deutschland, Mediaplus Performance, Pilot, Seiten-Werk, appliedAI, Brainlabs, Capgemini, Deloitte Digital, Measured, MONSOON, performanceLiebe</t>
  </si>
  <si>
    <t>best AI marketing agencies in Germany</t>
  </si>
  <si>
    <t>HikeMyTraffic, Xmethod, Artefact, AIO Deutschland, Admiral Media, Digitalyze, MONSOON, Seiten-Werk, Pilot, Dentsu, HECHT INS GEFECHT, KlickPiloten, WeLikeWeb GmbH, Mediacharge, Accenture Song, b.telligent, Momentum, Publicis Groupe, ZweiDigital GmbH, AKQA, Aufgesang, DEPT, Digital Masters GmbH, Measured, Merkle, Monks, morefire, Omnius, Peak Ace, Serviceplan Group, statworx, Suchhelden, WPP</t>
  </si>
  <si>
    <t>best paid media agencies in Germany</t>
  </si>
  <si>
    <t>MONSOON, Mediacharge, GroupM, Dentsu, Omnicom, Mindshare, OMD, Peak Ace, Pilot, Mawave, Omnicom Media Group, Globalist, Mediaplus Performance, Phiture, Publicis Media, Smarketer, Havas Media, morefire, The Boutique Agency, ZweiDigital GmbH, DREIKON, iProspect, WPP, Digital Masters GmbH, KlickPiloten, Mediaplus Group, lehof, Bloofusion Germany GmbH, Loyamo, REPLUG, Serviceplan Group, DEPT, Jung von Matt, Medialabel, Ogilvy, Publicis Groupe, Pulse Advertising, Scholz &amp; Friends, Triple Whale, BBDO Germany, DDB Germany, eMinded GmbH, Huge, Northbeam, PANORAMA3000, Social Media One, Social Media Pirates, WeLikeWeb GmbH</t>
  </si>
  <si>
    <t>best performance marketing agencies in Germany</t>
  </si>
  <si>
    <t>Mediacharge, MONSOON, Smarketer, morefire, eMinded GmbH, KlickPiloten, Think11, Peak Ace, Serviceplan Group, ZweiDigital GmbH, The Boutique Agency, Claneo, REPLUG, Mediaplus Performance, Pilot, iProspect, Löwenstark, WeLikeWeb GmbH, DEPT, Mediaplus Group, Admiral Media, Brainlabs, Dentsu, HECHT INS GEFECHT, Merkle, Mindshare, PANORAMA3000, Phiture, Seeders</t>
  </si>
  <si>
    <t>best display advertising agencies in Germany</t>
  </si>
  <si>
    <t>MONSOON, Mediacharge, morefire, Serviceplan Group, Digital Masters GmbH, Baseplus DIGITAL MEDIA GmbH, PANORAMA3000, Pilot, KlickPiloten, Havas Media, Mawave, Dentsu, Peak Ace, Mediaplus Performance, Jung von Matt, Phiture, Publicis Media, Smarketer, iProspect, Mediaplus Group, ZweiDigital GmbH, Omnicom, BBDO Germany, eMinded GmbH, GroupM, Ogilvy, Omnicom Media Group, Seeders, DDB Germany, Medialabel, OMD, Publicis Groupe, Scholz &amp; Friends, Artefact, Digitalyze, WeLikeWeb GmbH, AKQA, Bloofusion Germany GmbH, Globalist, Huge, Social Media Pirates, WPP, Wpromote</t>
  </si>
  <si>
    <t>best AI readiness consulting firm for marketing teams in Germany</t>
  </si>
  <si>
    <t>MaibornWolff, statworx, Pilot, appliedAI, Opinosis Analytics, b.telligent, Artefact, BCG, PwC, Boston Consulting Group, McKinsey &amp; Company, DEPT, KlickPiloten, Seiten-Werk, Xmethod, Deloitte Digital, EY, Accenture Song</t>
  </si>
  <si>
    <t>best paid social advertising agencies in Germany</t>
  </si>
  <si>
    <t>Mawave, MONSOON, DREIKON, Mediacharge, Social Media One, Social Media Pirates, Globalist, Mediaplus Performance, Loyamo, Pulse Advertising, PANORAMA3000, Peak Ace, HY.AM STUDIOS, The Boutique Agency, morefire, Admiral Media, Serviceplan Group, Artefact, Pilot, Digital Masters GmbH, Scholz &amp; Friends, ZweiDigital GmbH, Publicis Groupe, WeLikeWeb GmbH, Dentsu, DEPT, Medialabel, Omnicom, Smarketer, WPP, eMinded GmbH, Huge, Jung von Matt, Northbeam, Ogilvy, Triple Whale</t>
  </si>
  <si>
    <t>best GEO agencies in Germany</t>
  </si>
  <si>
    <t>Claneo, Radyant, DREIKON, Suchhelden, Kosch Klink Performance, Engine Native, Aufgesang, HECHT INS GEFECHT, Seeders, Peak Ace, Löwenstark, MONSOON, Omnius, performanceLiebe, morefire, Huge, AIO Deutschland, Brainlabs, Digitalyze, Mediacharge, TRYSEO</t>
  </si>
  <si>
    <t>best creative agencies for big brands in Germany</t>
  </si>
  <si>
    <t>Jung von Matt, Scholz &amp; Friends, DDB Germany, Serviceplan Group, MetaDesign, BBDO Germany, Ogilvy, PANORAMA3000, Accenture Song, WPP, Publicis Groupe, Omnicom, Mawave, HY.AM STUDIOS, Dentsu, Huge, Pilot, AKQA, Media.Monks, Momentum, Monks</t>
  </si>
  <si>
    <t>best Google Marketing Platform partner agencies in the UAE</t>
  </si>
  <si>
    <t>AE</t>
  </si>
  <si>
    <t>NEXA, Leads Dubai, Chain Reaction, Prism Digital, Admoon, Incubeta, Jellyfish, LUMINA, Omnicom Media Group, Publicis Groupe, Dentsu, Artefact, GroupM, Publicis Media, Red Berries, SEO Sherpa, PHD, WPP, Merkle, Monks, GPS Marketing Agency, Accenture Song, OMD, Assembly MENA, Blue Beetle, Deloitte Digital, Labelium, Tenet, Bird Marketing, Digital Gravity, DigitalFarm, EDS FZCO, Epsilon, Global Media Insight, M3.agency, Mindshare</t>
  </si>
  <si>
    <t>best marketing incrementality testing agencies in the UAE</t>
  </si>
  <si>
    <t>Measured, Acquisit, Chain Reaction, TheBuzihub, Edison Moment, Sellforte, Rockerbox, SegmentStream, Haus, Ebiquity, Assembly MENA, M&amp;C Saatchi Performance, TIDAL Digital, Incubeta, Prism Digital, Omnicom Media Group, Publicis Groupe, BIG LAB, C2C Media, Home of Performance, NEXA, OMD, Northbeam, Sapience, Blue Beetle, Dentsu, Digital Gravity, Epsilon, GroupM, Kantar, Mindshare, Momentum, Publicis Media, SEO Sherpa, WAIM, Web Tonic</t>
  </si>
  <si>
    <t>best digital marketing agencies for global brands in the UAE</t>
  </si>
  <si>
    <t>NEXA, Prism Digital, Global Media Insight, Bird Marketing, DigitalFarm, Publicis Groupe, Chain Reaction, Blue Beetle, ASTUDIO, Dentsu, Digital Gravity, Dot IT, WPP, M3.agency, Accenture Song, Assembly MENA, Above Digital, Digital Arabia, Solved6, VML, GLMA Agency, Impact BBDO, SEO Sherpa, Web Tonic, Bruce Clay MENA, GCC Marketing, Adapts Media, Ninja Promo, OMD, United SEO, Omnicom Media Group, PHD, Upscale Digital, Hovi Digital Lab, Incubeta, Mindshare, Monks, Push</t>
  </si>
  <si>
    <t>best performance marketing agencies in the UAE</t>
  </si>
  <si>
    <t>NEXA, Chain Reaction, Home of Performance, Digital Gravity, Red Berries, Prism Digital, C2C Media, M&amp;C Saatchi Performance, Glomm Digital, Blue Beetle, LUMINA, TIDAL Digital, Growth Hackers, Meta Social FZ LLC, United SEO, Assembly MENA, Digital Arabia, ENH Marketing, Amplify Marketing Agency Dubai, GPS Marketing Agency, Ninja Promo, Solved6, Publicis Groupe, SEO Sherpa, Web Tonic, DigitalFarm, Mindshare, OMD, Digital Media Sapiens, EDS FZCO, Acquisit, GroupM, Hovi Digital Lab, Incubeta, intouch, Leads Dubai, Northbeam, Publicis Media, Push, Push MENA, Zenerom</t>
  </si>
  <si>
    <t>best AEO agencies in the UAE</t>
  </si>
  <si>
    <t>WAIM, Digital Media Sapiens, Digital Gravity, NorthQuery, NEXA, Tenet, Chain Reaction, United SEO, House of Growth, PwC, ThatWare, aieo.ai, Prism Digital, EY, KPMG, Bruce Clay MENA, SEO Sherpa, Adapts Media, Bird Marketing, EDS FZCO, Global Media Insight, NoGood, Zenerom, iPullRank, Omniscient Digital, Siege Media, Measured, Push, WebFX</t>
  </si>
  <si>
    <t>best AI marketing agencies in the UAE</t>
  </si>
  <si>
    <t>Digital Gravity, NEXA, Chain Reaction, Hovi Digital Lab, WAIM, Leadmetrics, House of Growth, Digital SWOT MENA, DigitalFarm, Tenet, Kleosa, Bird Marketing, Above Digital, aieo.ai, Digital Arabia, Digital Media Sapiens, Amplify Marketing Agency Dubai, Dentsu, ENH Marketing, GCC Marketing, Upscale Digital, Créo Global, OMD, Prism Digital, Blue Beetle, Digital Qube, Global Media Insight, GroupM, Measured, Memac Ogilvy, Merkle, Monks, Publicis Groupe, Push, Red Berries, TBWA\RAAD, VML</t>
  </si>
  <si>
    <t>best AI search agencies in the UAE</t>
  </si>
  <si>
    <t>Chain Reaction, SEO Sherpa, Global Media Insight, Push, Kleosa, Zenerom, Upscale Digital, Tenet, United SEO, aieo.ai, Digital Gravity, NEXA, House of Growth, Royex Technologies, ThatWare, WAIM, BIG LAB, KPMG, Dentsu, Digital Media Sapiens, EY, Push MENA, PwC, Bird Marketing, Brainlabs, Bruce Clay MENA, Digital Arabia, GCC Marketing, iPullRank, Leadmetrics, NoGood, Omniscient Digital, Publicis Groupe, Publicis Media, Red Berries, Siege Media, VML, WebFX</t>
  </si>
  <si>
    <t>best AI readiness consulting firm for marketing teams in the UAE</t>
  </si>
  <si>
    <t>PwC, Opinosis Analytics, GCC Marketing, Digital Qube, Bird Marketing, BIG LAB, Hovi Digital Lab, Accenture Song, Digital SWOT MENA, EY, Artefact, Deloitte Digital, TheBuzihub, McKinsey &amp; Company, Boston Consulting Group, Chain Reaction, Créo Global, House of Growth, KPMG, Digital Media Sapiens, Leadmetrics, Measured, Publicis Groupe, WAIM</t>
  </si>
  <si>
    <t>best GEO agencies in the UAE</t>
  </si>
  <si>
    <t>Digital Gravity, NEXA, Chain Reaction, Global Media Insight, Push, Tenet, Zenerom, EDS FZCO, WAIM, Royex Technologies, Zainlee Technologies, United SEO, Integrate Solutions, Push MENA, ThatWare, Bruce Clay MENA, SEO Sherpa, Bird Marketing, GCC Marketing, Red Berries, House of Growth, iPullRank, Prism Digital, Siege Media, Brainlabs, Directive, Kleosa, Publicis Groupe</t>
  </si>
  <si>
    <t>best creative agencies for big brands in the UAE</t>
  </si>
  <si>
    <t>Impact BBDO, FP7 McCann, Memac Ogilvy, TBWA\RAAD, VML, WonderEight, Phable, Leo Burnett MENA, M&amp;C Saatchi Performance, Serviceplan Middle East, Almost Impossible, ASTUDIO, GLMA Agency, NEXA, Publicis Groupe, WPP, NoGood, Chain Reaction, DigitalFarm, inBeat, Bird Marketing, Disruptive Advertising, Huge, Measured, Prism Digital, Push, Red Berries, YouYaa</t>
  </si>
  <si>
    <t>best display advertising agencies in the UAE</t>
  </si>
  <si>
    <t>Adapts Media, Praxis Advertising, YouYaa, EDS FZCO, INSIDEA, Chain Reaction, M3.agency, intouch, Almost Impossible, DigitalFarm, NEXA, Ninja Promo, Pixoo Media, Prism Digital, AlCaz Media, Momentum, Dentsu, Impact BBDO, Admoon, Dot IT, FP7 McCann, Global Media Insight, Home of Performance, Hovi Digital Lab, Leads Dubai, Publicis Groupe, Tenet, Digital Arabia, ENH Marketing, GroupM, Memac Ogilvy, OMD, PHD, WPP, GLMA Agency, Mindshare, Omnicom Media Group, Publicis Media, TBWA\RAAD, ASTUDIO, Bird Marketing, Blue Beetle, Digital Gravity, Phable, VML</t>
  </si>
  <si>
    <t>best paid media agencies in the UAE</t>
  </si>
  <si>
    <t>Prism Digital, NEXA, Home of Performance, Chain Reaction, DigitalFarm, OMD, Digital Gravity, ENH Marketing, intouch, M&amp;C Saatchi Performance, Meta Social FZ LLC, Assembly MENA, Dentsu, EDS FZCO, Mindshare, Publicis Groupe, Seven Media, GroupM, Pixoo Media, INSIDEA, PHD, Publicis Media, Solved6, Amplify Marketing Agency Dubai, Omnicom Media Group, Acquisit, Bird Marketing, WPP, AlCaz Media, GPS Marketing Agency, Impact BBDO, M3.agency, Hovi Digital Lab, Momentum, United SEO, ASTUDIO, Dot IT, NP Digital, Push, Push MENA, Zenerom, Admoon, C2C Media, Digital Arabia, FP7 McCann, inBeat, LUMINA, NoGood, TBWA\RAAD, VML, YouYaa</t>
  </si>
  <si>
    <t>best paid social advertising agencies in the UAE</t>
  </si>
  <si>
    <t>Prism Digital, NEXA, Chain Reaction, DigitalFarm, Web Tonic, Bird Marketing, Push, Seven Media, GLMA Agency, M&amp;C Saatchi Performance, ASTUDIO, inBeat, M3.agency, Push MENA, Blue Beetle, Digital Gravity, ENH Marketing, Hovi Digital Lab, INSIDEA, Dot IT, intouch, Leads Dubai, C2C Media, Home of Performance, Meta Social FZ LLC, Solved6, Upscale Digital, Assembly MENA, EDS FZCO, FP7 McCann, Glomm Digital, Impact BBDO, Red Berries, Acquisit, Adapts Media, BIG LAB, Global Media Insight, GPS Marketing Agency, LUMINA, Ninja Promo, Publicis Groupe, SEO Sherpa</t>
  </si>
  <si>
    <t>best marketing analytics agencies in the UAE</t>
  </si>
  <si>
    <t>Chain Reaction, 4Sight Research &amp; Analytics, Sapience, AlCaz Media, SOL Analytics, Créo Global, Digital Arabia, Publicis Groupe, Global Media Insight, PwC, Prism Digital, Riman Agency, Assembly MENA, Dot IT, EY, KPMG, NEXA, Acquisit, GPS Marketing Agency, Web Tonic, Above Digital, Pixoo Media, Solved6, Digital Media Sapiens, DigitalFarm, ENH Marketing, Kantar, M3.agency, Merkle, Accenture Song, Adapts Media, Analytic Partners, Deloitte Digital, Dentsu, Home of Performance, intouch, Momentum, Nielsen, OMD, Praxis Advertising, Publicis Media, United SEO, VML</t>
  </si>
  <si>
    <t>best marketing measurement and attribution agencies in the UAE</t>
  </si>
  <si>
    <t>Chain Reaction, Home of Performance, Global Media Insight, Publicis Groupe, Riman Agency, Edison Moment, PwC, KPMG, EY, NEXA, Acquisit, C2C Media, Dentsu, Accenture Song, Deloitte Digital, M&amp;C Saatchi Performance, Above Digital, AlCaz Media, Digital Arabia, SOL Analytics, FP7 McCann, Nielsen, Omnicom Media Group, Prism Digital, Push, Web Tonic, Analytic Partners, Assembly MENA, Bird Marketing, Blue Beetle, GroupM, IDHL, INSIDEA, Kantar, Mindshare, OMD, Sellforte, BIG LAB, Digital Gravity, DigitalFarm, GPS Marketing Agency, Growth Hackers, House of Growth, Huge, intouch, Leads Dubai, LUMINA, M3.agency, Momentum, Northbeam, PHD, Publicis Media, Push MENA, Solved6, TIDAL Digital, WPP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</si>
</sst>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
  </numFmts>
  <fonts count="60">
    <font>
      <sz val="12.0"/>
      <color rgb="FF000000"/>
      <name val="Calibri"/>
      <scheme val="minor"/>
    </font>
    <font>
      <b/>
      <sz val="12.0"/>
      <color theme="1"/>
      <name val="Montserrat"/>
    </font>
    <font>
      <b/>
      <sz val="11.0"/>
      <color rgb="FFFFFFFF"/>
      <name val="Montserrat"/>
    </font>
    <font>
      <b/>
      <sz val="15.0"/>
      <color rgb="FFFFFFFF"/>
      <name val="Montserrat"/>
    </font>
    <font>
      <sz val="12.0"/>
      <color theme="1"/>
      <name val="Calibri"/>
    </font>
    <font>
      <sz val="15.0"/>
      <color rgb="FFFFFFFF"/>
      <name val="Montserrat"/>
    </font>
    <font>
      <sz val="12.0"/>
      <color theme="1"/>
      <name val="Montserrat"/>
    </font>
    <font>
      <sz val="12.0"/>
      <color rgb="FFFFFFFF"/>
      <name val="Montserrat"/>
    </font>
    <font>
      <sz val="10.0"/>
      <color theme="1"/>
      <name val="Calibri"/>
      <scheme val="minor"/>
    </font>
    <font>
      <sz val="10.0"/>
      <color rgb="FFFFFFFF"/>
      <name val="Montserrat"/>
    </font>
    <font>
      <color theme="1"/>
      <name val="Calibri"/>
      <scheme val="minor"/>
    </font>
    <font>
      <sz val="11.0"/>
      <color theme="1"/>
      <name val="Montserrat"/>
    </font>
    <font>
      <b/>
      <sz val="11.0"/>
      <color theme="1"/>
      <name val="Montserrat"/>
    </font>
    <font>
      <u/>
      <sz val="11.0"/>
      <color rgb="FF0000FF"/>
      <name val="Montserrat"/>
    </font>
    <font>
      <sz val="10.0"/>
      <color theme="1"/>
      <name val="Montserrat"/>
    </font>
    <font>
      <u/>
      <sz val="11.0"/>
      <color rgb="FF0000FF"/>
      <name val="Montserrat"/>
    </font>
    <font>
      <sz val="11.0"/>
      <color theme="1"/>
      <name val="Calibri"/>
    </font>
    <font>
      <sz val="11.0"/>
      <color theme="1"/>
      <name val="Calibri"/>
      <scheme val="minor"/>
    </font>
    <font>
      <sz val="10.0"/>
      <color rgb="FF000000"/>
      <name val="Montserrat"/>
    </font>
    <font>
      <sz val="10.0"/>
      <color rgb="FF0000FF"/>
      <name val="Montserrat"/>
    </font>
    <font>
      <u/>
      <sz val="11.0"/>
      <color rgb="FF0000FF"/>
      <name val="Montserrat"/>
    </font>
    <font>
      <u/>
      <sz val="10.0"/>
      <color rgb="FF0000FF"/>
      <name val="Montserrat"/>
    </font>
    <font>
      <u/>
      <sz val="11.0"/>
      <color rgb="FF0000FF"/>
      <name val="Montserrat"/>
    </font>
    <font>
      <b/>
      <color rgb="FF000000"/>
      <name val="Montserrat"/>
    </font>
    <font>
      <u/>
      <sz val="11.0"/>
      <color rgb="FF0000FF"/>
      <name val="Montserrat"/>
    </font>
    <font>
      <u/>
      <sz val="11.0"/>
      <color rgb="FF0000FF"/>
      <name val="Montserrat"/>
    </font>
    <font>
      <u/>
      <sz val="11.0"/>
      <color rgb="FF0000FF"/>
      <name val="Montserrat"/>
    </font>
    <font>
      <b/>
      <sz val="10.0"/>
      <color theme="1"/>
      <name val="Montserrat"/>
    </font>
    <font>
      <b/>
      <sz val="10.0"/>
      <color rgb="FF000000"/>
      <name val="Montserrat"/>
    </font>
    <font>
      <b/>
      <color theme="1"/>
      <name val="Calibri"/>
      <scheme val="minor"/>
    </font>
    <font>
      <u/>
      <sz val="10.0"/>
      <color rgb="FF0000FF"/>
      <name val="Montserrat"/>
    </font>
    <font>
      <u/>
      <sz val="10.0"/>
      <color rgb="FF0000FF"/>
      <name val="Montserrat"/>
    </font>
    <font>
      <u/>
      <sz val="11.0"/>
      <color rgb="FF0000FF"/>
      <name val="Montserrat"/>
    </font>
    <font>
      <u/>
      <sz val="11.0"/>
      <color rgb="FF0000FF"/>
      <name val="Montserrat"/>
    </font>
    <font>
      <u/>
      <sz val="11.0"/>
      <color rgb="FF0000FF"/>
      <name val="Montserrat"/>
    </font>
    <font>
      <u/>
      <sz val="11.0"/>
      <color rgb="FF0000FF"/>
      <name val="Montserrat"/>
    </font>
    <font>
      <u/>
      <sz val="11.0"/>
      <color rgb="FF0000FF"/>
      <name val="Montserrat"/>
    </font>
    <font>
      <b/>
      <sz val="12.0"/>
      <color rgb="FF000000"/>
      <name val="Montserrat"/>
    </font>
    <font>
      <sz val="11.0"/>
      <color rgb="FF000000"/>
      <name val="Montserrat"/>
    </font>
    <font>
      <u/>
      <sz val="11.0"/>
      <color rgb="FF1155CC"/>
      <name val="Montserrat"/>
    </font>
    <font>
      <u/>
      <sz val="11.0"/>
      <color rgb="FF1155CC"/>
      <name val="Montserrat"/>
    </font>
    <font>
      <u/>
      <sz val="11.0"/>
      <color rgb="FF1155CC"/>
      <name val="Montserrat"/>
    </font>
    <font>
      <u/>
      <sz val="11.0"/>
      <color rgb="FF1155CC"/>
      <name val="Montserrat"/>
    </font>
    <font>
      <b/>
      <sz val="11.0"/>
      <color rgb="FF000000"/>
      <name val="Montserrat"/>
    </font>
    <font>
      <b/>
      <i/>
      <sz val="11.0"/>
      <color rgb="FF000000"/>
      <name val="Montserrat"/>
    </font>
    <font>
      <u/>
      <sz val="11.0"/>
      <color rgb="FF0000FF"/>
      <name val="Montserrat"/>
    </font>
    <font>
      <u/>
      <sz val="11.0"/>
      <color rgb="FF1155CC"/>
      <name val="Montserrat"/>
    </font>
    <font>
      <u/>
      <sz val="11.0"/>
      <color rgb="FF1155CC"/>
      <name val="Montserrat"/>
    </font>
    <font>
      <b/>
      <sz val="9.0"/>
      <color rgb="FF000000"/>
      <name val="Montserrat"/>
    </font>
    <font>
      <u/>
      <sz val="11.0"/>
      <color rgb="FF1155CC"/>
      <name val="Montserrat"/>
    </font>
    <font>
      <u/>
      <sz val="11.0"/>
      <color rgb="FF1155CC"/>
      <name val="Montserrat"/>
    </font>
    <font>
      <u/>
      <sz val="10.0"/>
      <color rgb="FF0000FF"/>
      <name val="Montserrat"/>
    </font>
    <font>
      <u/>
      <sz val="10.0"/>
      <color rgb="FF0000FF"/>
      <name val="Montserrat"/>
    </font>
    <font>
      <color theme="1"/>
      <name val="Montserrat"/>
    </font>
    <font>
      <u/>
      <color rgb="FF0000FF"/>
      <name val="Montserrat"/>
    </font>
    <font>
      <u/>
      <color rgb="FF0000FF"/>
      <name val="Montserrat"/>
    </font>
    <font>
      <u/>
      <color theme="1"/>
      <name val="Montserrat"/>
    </font>
    <font>
      <u/>
      <color rgb="FF1155CC"/>
      <name val="Montserrat"/>
    </font>
    <font>
      <u/>
      <color rgb="FF1155CC"/>
      <name val="Montserrat"/>
    </font>
    <font>
      <u/>
      <color theme="1"/>
      <name val="Montserrat"/>
    </font>
  </fonts>
  <fills count="19">
    <fill>
      <patternFill patternType="none"/>
    </fill>
    <fill>
      <patternFill patternType="lightGray"/>
    </fill>
    <fill>
      <patternFill patternType="solid">
        <fgColor rgb="FFEFEFEF"/>
        <bgColor rgb="FFEFEFEF"/>
      </patternFill>
    </fill>
    <fill>
      <patternFill patternType="solid">
        <fgColor rgb="FFC2D7E9"/>
        <bgColor rgb="FFC2D7E9"/>
      </patternFill>
    </fill>
    <fill>
      <patternFill patternType="solid">
        <fgColor rgb="FF6AA84F"/>
        <bgColor rgb="FF6AA84F"/>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D9EAD3"/>
        <bgColor rgb="FFD9EAD3"/>
      </patternFill>
    </fill>
    <fill>
      <patternFill patternType="solid">
        <fgColor rgb="FFFFFFFF"/>
        <bgColor rgb="FFFFFFFF"/>
      </patternFill>
    </fill>
    <fill>
      <patternFill patternType="solid">
        <fgColor rgb="FFCFE2F3"/>
        <bgColor rgb="FFCFE2F3"/>
      </patternFill>
    </fill>
    <fill>
      <patternFill patternType="solid">
        <fgColor rgb="FFD0E0E3"/>
        <bgColor rgb="FFD0E0E3"/>
      </patternFill>
    </fill>
    <fill>
      <patternFill patternType="solid">
        <fgColor rgb="FFFCE5CD"/>
        <bgColor rgb="FFFCE5CD"/>
      </patternFill>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
      <patternFill patternType="solid">
        <fgColor rgb="FFB7CEE0"/>
        <bgColor rgb="FFB7CEE0"/>
      </patternFill>
    </fill>
    <fill>
      <patternFill patternType="solid">
        <fgColor rgb="FF000000"/>
        <bgColor rgb="FF000000"/>
      </patternFill>
    </fill>
    <fill>
      <patternFill patternType="solid">
        <fgColor rgb="FFB7B7B7"/>
        <bgColor rgb="FFB7B7B7"/>
      </patternFill>
    </fill>
  </fills>
  <borders count="12">
    <border/>
    <border>
      <left style="thin">
        <color rgb="FF434343"/>
      </left>
      <right style="thin">
        <color rgb="FF434343"/>
      </right>
      <top style="thin">
        <color rgb="FF434343"/>
      </top>
      <bottom style="thin">
        <color rgb="FF434343"/>
      </bottom>
    </border>
    <border>
      <left style="thin">
        <color rgb="FF000000"/>
      </left>
      <right style="thin">
        <color rgb="FF000000"/>
      </right>
      <top style="thin">
        <color rgb="FF000000"/>
      </top>
      <bottom style="thin">
        <color rgb="FF000000"/>
      </bottom>
    </border>
    <border>
      <left style="thin">
        <color rgb="FFEFEFEF"/>
      </left>
      <right style="thin">
        <color rgb="FFEFEFEF"/>
      </right>
      <top style="thin">
        <color rgb="FFEFEFEF"/>
      </top>
      <bottom style="thin">
        <color rgb="FFEFEFEF"/>
      </bottom>
    </border>
    <border>
      <left style="thin">
        <color rgb="FF434343"/>
      </left>
      <right style="thin">
        <color rgb="FF434343"/>
      </right>
      <top style="thin">
        <color rgb="FF434343"/>
      </top>
    </border>
    <border>
      <left style="thin">
        <color rgb="FFB7B7B7"/>
      </left>
      <right style="thin">
        <color rgb="FFB7B7B7"/>
      </right>
      <top style="thin">
        <color rgb="FFB7B7B7"/>
      </top>
      <bottom style="thin">
        <color rgb="FFB7B7B7"/>
      </bottom>
    </border>
    <border>
      <left style="thin">
        <color rgb="FFD8D8D8"/>
      </left>
      <right style="thin">
        <color rgb="FFD8D8D8"/>
      </right>
      <top style="thin">
        <color rgb="FFD8D8D8"/>
      </top>
      <bottom style="thin">
        <color rgb="FFD8D8D8"/>
      </bottom>
    </border>
    <border>
      <bottom style="thin">
        <color rgb="FF000000"/>
      </bottom>
    </border>
    <border>
      <top style="thin">
        <color rgb="FF000000"/>
      </top>
    </border>
    <border>
      <right style="thin">
        <color rgb="FF000000"/>
      </right>
    </border>
    <border>
      <left style="thin">
        <color rgb="FF000000"/>
      </left>
    </border>
    <border>
      <top style="medium">
        <color rgb="FF000000"/>
      </top>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1" fillId="3" fontId="1" numFmtId="0" xfId="0" applyAlignment="1" applyBorder="1" applyFill="1" applyFont="1">
      <alignment shrinkToFit="0" vertical="center" wrapText="1"/>
    </xf>
    <xf borderId="0" fillId="2" fontId="1" numFmtId="0" xfId="0" applyAlignment="1" applyFont="1">
      <alignment readingOrder="0" shrinkToFit="0" vertical="top" wrapText="1"/>
    </xf>
    <xf borderId="1" fillId="3" fontId="1" numFmtId="0" xfId="0" applyAlignment="1" applyBorder="1" applyFont="1">
      <alignment shrinkToFit="0" vertical="center" wrapText="1"/>
    </xf>
    <xf borderId="1" fillId="3" fontId="1" numFmtId="0" xfId="0" applyAlignment="1" applyBorder="1" applyFont="1">
      <alignment shrinkToFit="0" wrapText="1"/>
    </xf>
    <xf borderId="0" fillId="4" fontId="2" numFmtId="0" xfId="0" applyAlignment="1" applyFill="1" applyFont="1">
      <alignment horizontal="center" shrinkToFit="0" vertical="center" wrapText="1"/>
    </xf>
    <xf borderId="0" fillId="3" fontId="1" numFmtId="164" xfId="0" applyAlignment="1" applyFont="1" applyNumberFormat="1">
      <alignment shrinkToFit="0" vertical="bottom" wrapText="1"/>
    </xf>
    <xf borderId="0" fillId="4" fontId="3" numFmtId="0" xfId="0" applyAlignment="1" applyFont="1">
      <alignment horizontal="left" shrinkToFit="0" vertical="center" wrapText="1"/>
    </xf>
    <xf borderId="0" fillId="3" fontId="1" numFmtId="0" xfId="0" applyAlignment="1" applyFont="1">
      <alignment shrinkToFit="0" vertical="bottom" wrapText="1"/>
    </xf>
    <xf borderId="0" fillId="2" fontId="4" numFmtId="0" xfId="0" applyAlignment="1" applyFont="1">
      <alignment vertical="bottom"/>
    </xf>
    <xf borderId="0" fillId="4" fontId="5" numFmtId="0" xfId="0" applyAlignment="1" applyFont="1">
      <alignment horizontal="center" readingOrder="0" shrinkToFit="0" vertical="center" wrapText="1"/>
    </xf>
    <xf borderId="0" fillId="3" fontId="6" numFmtId="0" xfId="0" applyAlignment="1" applyFont="1">
      <alignment vertical="bottom"/>
    </xf>
    <xf borderId="0" fillId="3" fontId="4" numFmtId="0" xfId="0" applyAlignment="1" applyFont="1">
      <alignment vertical="bottom"/>
    </xf>
    <xf borderId="0" fillId="4" fontId="7" numFmtId="0" xfId="0" applyAlignment="1" applyFont="1">
      <alignment horizontal="center" shrinkToFit="0" vertical="center" wrapText="1"/>
    </xf>
    <xf borderId="0" fillId="3" fontId="4" numFmtId="0" xfId="0" applyAlignment="1" applyFont="1">
      <alignment vertical="bottom"/>
    </xf>
    <xf borderId="0" fillId="3" fontId="8" numFmtId="0" xfId="0" applyFont="1"/>
    <xf borderId="0" fillId="4" fontId="9" numFmtId="0" xfId="0" applyAlignment="1" applyFont="1">
      <alignment horizontal="center" shrinkToFit="0" vertical="center" wrapText="1"/>
    </xf>
    <xf borderId="0" fillId="4" fontId="10" numFmtId="0" xfId="0" applyFont="1"/>
    <xf borderId="2" fillId="0" fontId="11" numFmtId="0" xfId="0" applyAlignment="1" applyBorder="1" applyFont="1">
      <alignment readingOrder="0" shrinkToFit="0" vertical="center" wrapText="1"/>
    </xf>
    <xf borderId="1" fillId="5" fontId="12" numFmtId="0" xfId="0" applyAlignment="1" applyBorder="1" applyFill="1" applyFont="1">
      <alignment readingOrder="0" shrinkToFit="0" vertical="center" wrapText="1"/>
    </xf>
    <xf borderId="0" fillId="6" fontId="2" numFmtId="0" xfId="0" applyAlignment="1" applyFill="1" applyFont="1">
      <alignment horizontal="center" shrinkToFit="0" vertical="center" wrapText="1"/>
    </xf>
    <xf borderId="1" fillId="5" fontId="6" numFmtId="0" xfId="0" applyAlignment="1" applyBorder="1" applyFont="1">
      <alignment readingOrder="0" shrinkToFit="0" vertical="top" wrapText="1"/>
    </xf>
    <xf borderId="1" fillId="5" fontId="6" numFmtId="0" xfId="0" applyAlignment="1" applyBorder="1" applyFont="1">
      <alignment readingOrder="0" shrinkToFit="0" vertical="top" wrapText="1"/>
    </xf>
    <xf borderId="0" fillId="6" fontId="2" numFmtId="0" xfId="0" applyAlignment="1" applyFont="1">
      <alignment horizontal="center" shrinkToFit="0" vertical="center" wrapText="1"/>
    </xf>
    <xf borderId="0" fillId="6" fontId="10" numFmtId="0" xfId="0" applyFont="1"/>
    <xf borderId="1" fillId="7" fontId="1" numFmtId="0" xfId="0" applyAlignment="1" applyBorder="1" applyFill="1" applyFont="1">
      <alignment vertical="center"/>
    </xf>
    <xf borderId="2" fillId="0" fontId="13" numFmtId="0" xfId="0" applyAlignment="1" applyBorder="1" applyFont="1">
      <alignment readingOrder="0" shrinkToFit="0" vertical="center" wrapText="1"/>
    </xf>
    <xf borderId="0" fillId="5" fontId="6" numFmtId="0" xfId="0" applyAlignment="1" applyFont="1">
      <alignment vertical="center"/>
    </xf>
    <xf borderId="1" fillId="7" fontId="6" numFmtId="0" xfId="0" applyAlignment="1" applyBorder="1" applyFont="1">
      <alignment readingOrder="0" shrinkToFit="0" vertical="center" wrapText="1"/>
    </xf>
    <xf borderId="3" fillId="3" fontId="11" numFmtId="0" xfId="0" applyAlignment="1" applyBorder="1" applyFont="1">
      <alignment horizontal="center" shrinkToFit="0" vertical="center" wrapText="1"/>
    </xf>
    <xf borderId="1" fillId="7" fontId="6" numFmtId="0" xfId="0" applyBorder="1" applyFont="1"/>
    <xf borderId="3" fillId="3" fontId="12" numFmtId="0" xfId="0" applyAlignment="1" applyBorder="1" applyFont="1">
      <alignment horizontal="center" shrinkToFit="0" vertical="center" wrapText="1"/>
    </xf>
    <xf borderId="0" fillId="7" fontId="4" numFmtId="0" xfId="0" applyAlignment="1" applyFont="1">
      <alignment vertical="bottom"/>
    </xf>
    <xf borderId="3" fillId="3" fontId="14" numFmtId="0" xfId="0" applyAlignment="1" applyBorder="1" applyFont="1">
      <alignment horizontal="center" shrinkToFit="0" vertical="center" wrapText="1"/>
    </xf>
    <xf borderId="4" fillId="2" fontId="11" numFmtId="0" xfId="0" applyAlignment="1" applyBorder="1" applyFont="1">
      <alignment readingOrder="0" shrinkToFit="0" vertical="center" wrapText="1"/>
    </xf>
    <xf borderId="0" fillId="3" fontId="11" numFmtId="0" xfId="0" applyAlignment="1" applyFont="1">
      <alignment horizontal="center" shrinkToFit="0" vertical="center" wrapText="1"/>
    </xf>
    <xf borderId="0" fillId="3" fontId="10" numFmtId="0" xfId="0" applyFont="1"/>
    <xf borderId="1" fillId="8" fontId="1" numFmtId="0" xfId="0" applyAlignment="1" applyBorder="1" applyFill="1" applyFont="1">
      <alignment vertical="center"/>
    </xf>
    <xf borderId="3" fillId="9" fontId="11" numFmtId="0" xfId="0" applyAlignment="1" applyBorder="1" applyFill="1" applyFont="1">
      <alignment horizontal="center" shrinkToFit="0" vertical="center" wrapText="1"/>
    </xf>
    <xf borderId="0" fillId="0" fontId="11" numFmtId="0" xfId="0" applyAlignment="1" applyFont="1">
      <alignment readingOrder="0" shrinkToFit="0" vertical="center" wrapText="1"/>
    </xf>
    <xf borderId="1" fillId="2" fontId="15" numFmtId="0" xfId="0" applyAlignment="1" applyBorder="1" applyFont="1">
      <alignment readingOrder="0" shrinkToFit="0" vertical="center" wrapText="1"/>
    </xf>
    <xf borderId="3" fillId="0" fontId="11" numFmtId="0" xfId="0" applyAlignment="1" applyBorder="1" applyFont="1">
      <alignment horizontal="center" readingOrder="0" shrinkToFit="0" vertical="center" wrapText="1"/>
    </xf>
    <xf borderId="0" fillId="0" fontId="11" numFmtId="0" xfId="0" applyAlignment="1" applyFont="1">
      <alignment shrinkToFit="0" vertical="bottom" wrapText="1"/>
    </xf>
    <xf borderId="0" fillId="0" fontId="16" numFmtId="0" xfId="0" applyAlignment="1" applyFont="1">
      <alignment shrinkToFit="0" vertical="bottom" wrapText="1"/>
    </xf>
    <xf borderId="3" fillId="0" fontId="11" numFmtId="0" xfId="0" applyAlignment="1" applyBorder="1" applyFont="1">
      <alignment horizontal="center" shrinkToFit="0" vertical="center" wrapText="1"/>
    </xf>
    <xf borderId="1" fillId="8" fontId="6" numFmtId="0" xfId="0" applyAlignment="1" applyBorder="1" applyFont="1">
      <alignment readingOrder="0" shrinkToFit="0" vertical="center" wrapText="1"/>
    </xf>
    <xf borderId="0" fillId="0" fontId="17" numFmtId="0" xfId="0" applyAlignment="1" applyFont="1">
      <alignment shrinkToFit="0" wrapText="1"/>
    </xf>
    <xf borderId="1" fillId="2" fontId="11" numFmtId="0" xfId="0" applyAlignment="1" applyBorder="1" applyFont="1">
      <alignment readingOrder="0" shrinkToFit="0" vertical="center" wrapText="1"/>
    </xf>
    <xf borderId="3" fillId="0" fontId="14" numFmtId="0" xfId="0" applyAlignment="1" applyBorder="1" applyFont="1">
      <alignment horizontal="center" readingOrder="0" shrinkToFit="0" vertical="center" wrapText="1"/>
    </xf>
    <xf borderId="0" fillId="2" fontId="6" numFmtId="0" xfId="0" applyAlignment="1" applyFont="1">
      <alignment vertical="bottom"/>
    </xf>
    <xf borderId="0" fillId="0" fontId="10" numFmtId="0" xfId="0" applyAlignment="1" applyFont="1">
      <alignment shrinkToFit="0" wrapText="1"/>
    </xf>
    <xf borderId="3" fillId="9" fontId="11" numFmtId="0" xfId="0" applyAlignment="1" applyBorder="1" applyFont="1">
      <alignment horizontal="center" readingOrder="0" shrinkToFit="0" vertical="center" wrapText="1"/>
    </xf>
    <xf borderId="0" fillId="9" fontId="11" numFmtId="0" xfId="0" applyAlignment="1" applyFont="1">
      <alignment horizontal="center" readingOrder="0" shrinkToFit="0" vertical="center" wrapText="1"/>
    </xf>
    <xf borderId="1" fillId="8" fontId="6" numFmtId="0" xfId="0" applyAlignment="1" applyBorder="1" applyFont="1">
      <alignment readingOrder="0"/>
    </xf>
    <xf borderId="0" fillId="0" fontId="4" numFmtId="0" xfId="0" applyAlignment="1" applyFont="1">
      <alignment shrinkToFit="0" vertical="bottom" wrapText="1"/>
    </xf>
    <xf borderId="0" fillId="0" fontId="4" numFmtId="0" xfId="0" applyAlignment="1" applyFont="1">
      <alignment vertical="bottom"/>
    </xf>
    <xf borderId="0" fillId="9" fontId="11" numFmtId="0" xfId="0" applyAlignment="1" applyFont="1">
      <alignment horizontal="center" readingOrder="0" shrinkToFit="0" vertical="center" wrapText="1"/>
    </xf>
    <xf borderId="0" fillId="8" fontId="4" numFmtId="0" xfId="0" applyAlignment="1" applyFont="1">
      <alignment vertical="bottom"/>
    </xf>
    <xf borderId="0" fillId="0" fontId="8" numFmtId="0" xfId="0" applyFont="1"/>
    <xf borderId="3" fillId="0" fontId="18" numFmtId="0" xfId="0" applyAlignment="1" applyBorder="1" applyFont="1">
      <alignment horizontal="center" readingOrder="0" shrinkToFit="0" vertical="center" wrapText="1"/>
    </xf>
    <xf borderId="1" fillId="10" fontId="1" numFmtId="0" xfId="0" applyAlignment="1" applyBorder="1" applyFill="1" applyFont="1">
      <alignment vertical="center"/>
    </xf>
    <xf borderId="1" fillId="10" fontId="6" numFmtId="0" xfId="0" applyAlignment="1" applyBorder="1" applyFont="1">
      <alignment readingOrder="0" shrinkToFit="0" vertical="center" wrapText="1"/>
    </xf>
    <xf borderId="1" fillId="10" fontId="6" numFmtId="0" xfId="0" applyAlignment="1" applyBorder="1" applyFont="1">
      <alignment readingOrder="0"/>
    </xf>
    <xf borderId="0" fillId="10" fontId="4" numFmtId="0" xfId="0" applyAlignment="1" applyFont="1">
      <alignment vertical="bottom"/>
    </xf>
    <xf borderId="1" fillId="5" fontId="1" numFmtId="0" xfId="0" applyAlignment="1" applyBorder="1" applyFont="1">
      <alignment vertical="center"/>
    </xf>
    <xf borderId="1" fillId="5" fontId="6" numFmtId="0" xfId="0" applyAlignment="1" applyBorder="1" applyFont="1">
      <alignment readingOrder="0" shrinkToFit="0" vertical="center" wrapText="1"/>
    </xf>
    <xf borderId="1" fillId="5" fontId="6" numFmtId="0" xfId="0" applyAlignment="1" applyBorder="1" applyFont="1">
      <alignment readingOrder="0"/>
    </xf>
    <xf borderId="0" fillId="5" fontId="4" numFmtId="0" xfId="0" applyAlignment="1" applyFont="1">
      <alignment vertical="bottom"/>
    </xf>
    <xf borderId="3" fillId="0" fontId="19" numFmtId="0" xfId="0" applyAlignment="1" applyBorder="1" applyFont="1">
      <alignment horizontal="center" readingOrder="0" shrinkToFit="0" vertical="center" wrapText="1"/>
    </xf>
    <xf borderId="0" fillId="0" fontId="4" numFmtId="0" xfId="0" applyAlignment="1" applyFont="1">
      <alignment readingOrder="0" shrinkToFit="0" vertical="bottom" wrapText="1"/>
    </xf>
    <xf borderId="1" fillId="11" fontId="1" numFmtId="0" xfId="0" applyAlignment="1" applyBorder="1" applyFill="1" applyFont="1">
      <alignment vertical="center"/>
    </xf>
    <xf borderId="3" fillId="0" fontId="20" numFmtId="0" xfId="0" applyAlignment="1" applyBorder="1" applyFont="1">
      <alignment horizontal="center" shrinkToFit="0" vertical="center" wrapText="1"/>
    </xf>
    <xf borderId="1" fillId="11" fontId="6" numFmtId="0" xfId="0" applyAlignment="1" applyBorder="1" applyFont="1">
      <alignment readingOrder="0" shrinkToFit="0" vertical="center" wrapText="1"/>
    </xf>
    <xf borderId="1" fillId="11" fontId="6" numFmtId="0" xfId="0" applyAlignment="1" applyBorder="1" applyFont="1">
      <alignment readingOrder="0"/>
    </xf>
    <xf borderId="0" fillId="11" fontId="4" numFmtId="0" xfId="0" applyAlignment="1" applyFont="1">
      <alignment vertical="bottom"/>
    </xf>
    <xf borderId="3" fillId="0" fontId="21" numFmtId="0" xfId="0" applyAlignment="1" applyBorder="1" applyFont="1">
      <alignment horizontal="center" readingOrder="0" shrinkToFit="0" vertical="center" wrapText="1"/>
    </xf>
    <xf borderId="1" fillId="2" fontId="22" numFmtId="0" xfId="0" applyAlignment="1" applyBorder="1" applyFont="1">
      <alignment readingOrder="0" shrinkToFit="0" vertical="center" wrapText="1"/>
    </xf>
    <xf borderId="1" fillId="12" fontId="1" numFmtId="0" xfId="0" applyAlignment="1" applyBorder="1" applyFill="1" applyFont="1">
      <alignment vertical="center"/>
    </xf>
    <xf borderId="1" fillId="12" fontId="6" numFmtId="0" xfId="0" applyAlignment="1" applyBorder="1" applyFont="1">
      <alignment readingOrder="0" shrinkToFit="0" vertical="center" wrapText="1"/>
    </xf>
    <xf borderId="1" fillId="12" fontId="6" numFmtId="0" xfId="0" applyAlignment="1" applyBorder="1" applyFont="1">
      <alignment readingOrder="0"/>
    </xf>
    <xf borderId="0" fillId="12" fontId="4" numFmtId="0" xfId="0" applyAlignment="1" applyFont="1">
      <alignment vertical="bottom"/>
    </xf>
    <xf borderId="1" fillId="13" fontId="1" numFmtId="0" xfId="0" applyAlignment="1" applyBorder="1" applyFill="1" applyFont="1">
      <alignment vertical="center"/>
    </xf>
    <xf borderId="1" fillId="13" fontId="6" numFmtId="0" xfId="0" applyAlignment="1" applyBorder="1" applyFont="1">
      <alignment readingOrder="0" shrinkToFit="0" vertical="center" wrapText="1"/>
    </xf>
    <xf borderId="1" fillId="13" fontId="6" numFmtId="0" xfId="0" applyAlignment="1" applyBorder="1" applyFont="1">
      <alignment readingOrder="0"/>
    </xf>
    <xf borderId="0" fillId="13" fontId="4" numFmtId="0" xfId="0" applyAlignment="1" applyFont="1">
      <alignment vertical="bottom"/>
    </xf>
    <xf borderId="1" fillId="14" fontId="1" numFmtId="0" xfId="0" applyAlignment="1" applyBorder="1" applyFill="1" applyFont="1">
      <alignment vertical="center"/>
    </xf>
    <xf borderId="1" fillId="14" fontId="6" numFmtId="0" xfId="0" applyAlignment="1" applyBorder="1" applyFont="1">
      <alignment readingOrder="0" shrinkToFit="0" vertical="center" wrapText="1"/>
    </xf>
    <xf borderId="1" fillId="14" fontId="6" numFmtId="0" xfId="0" applyAlignment="1" applyBorder="1" applyFont="1">
      <alignment readingOrder="0"/>
    </xf>
    <xf borderId="3" fillId="0" fontId="14" numFmtId="0" xfId="0" applyAlignment="1" applyBorder="1" applyFont="1">
      <alignment horizontal="center" readingOrder="0" shrinkToFit="0" vertical="center" wrapText="1"/>
    </xf>
    <xf borderId="0" fillId="14" fontId="4" numFmtId="0" xfId="0" applyAlignment="1" applyFont="1">
      <alignment vertical="bottom"/>
    </xf>
    <xf borderId="3" fillId="0" fontId="18" numFmtId="0" xfId="0" applyAlignment="1" applyBorder="1" applyFont="1">
      <alignment horizontal="center" readingOrder="0" shrinkToFit="0" vertical="center" wrapText="1"/>
    </xf>
    <xf borderId="0" fillId="0" fontId="4" numFmtId="0" xfId="0" applyFont="1"/>
    <xf borderId="0" fillId="0" fontId="4" numFmtId="0" xfId="0" applyFont="1"/>
    <xf borderId="4" fillId="15" fontId="11" numFmtId="0" xfId="0" applyAlignment="1" applyBorder="1" applyFill="1" applyFont="1">
      <alignment readingOrder="0" shrinkToFit="0" vertical="center" wrapText="1"/>
    </xf>
    <xf borderId="5" fillId="16" fontId="23" numFmtId="0" xfId="0" applyAlignment="1" applyBorder="1" applyFill="1" applyFont="1">
      <alignment readingOrder="0" vertical="top"/>
    </xf>
    <xf borderId="0" fillId="3" fontId="1" numFmtId="0" xfId="0" applyAlignment="1" applyFont="1">
      <alignment vertical="bottom"/>
    </xf>
    <xf borderId="4" fillId="2" fontId="24" numFmtId="0" xfId="0" applyAlignment="1" applyBorder="1" applyFont="1">
      <alignment readingOrder="0" shrinkToFit="0" vertical="center" wrapText="1"/>
    </xf>
    <xf borderId="0" fillId="3" fontId="1" numFmtId="0" xfId="0" applyAlignment="1" applyFont="1">
      <alignment readingOrder="0" vertical="bottom"/>
    </xf>
    <xf borderId="1" fillId="0" fontId="11" numFmtId="0" xfId="0" applyAlignment="1" applyBorder="1" applyFont="1">
      <alignment horizontal="left" readingOrder="0" shrinkToFit="0" vertical="bottom" wrapText="1"/>
    </xf>
    <xf borderId="0" fillId="0" fontId="4" numFmtId="0" xfId="0" applyAlignment="1" applyFont="1">
      <alignment vertical="bottom"/>
    </xf>
    <xf borderId="1" fillId="0" fontId="11" numFmtId="0" xfId="0" applyAlignment="1" applyBorder="1" applyFont="1">
      <alignment horizontal="left" readingOrder="0" shrinkToFit="0" vertical="bottom" wrapText="1"/>
    </xf>
    <xf borderId="1" fillId="0" fontId="11" numFmtId="3" xfId="0" applyAlignment="1" applyBorder="1" applyFont="1" applyNumberFormat="1">
      <alignment horizontal="left" readingOrder="0" shrinkToFit="0" vertical="bottom" wrapText="1"/>
    </xf>
    <xf borderId="1" fillId="0" fontId="25" numFmtId="0" xfId="0" applyAlignment="1" applyBorder="1" applyFont="1">
      <alignment horizontal="left" readingOrder="0" shrinkToFit="0" vertical="bottom" wrapText="1"/>
    </xf>
    <xf borderId="1" fillId="0" fontId="26" numFmtId="0" xfId="0" applyAlignment="1" applyBorder="1" applyFont="1">
      <alignment horizontal="left" readingOrder="0" shrinkToFit="0" vertical="bottom" wrapText="1"/>
    </xf>
    <xf quotePrefix="1" borderId="1" fillId="0" fontId="11" numFmtId="0" xfId="0" applyAlignment="1" applyBorder="1" applyFont="1">
      <alignment horizontal="left" readingOrder="0" shrinkToFit="0" vertical="bottom" wrapText="1"/>
    </xf>
    <xf quotePrefix="1" borderId="1" fillId="0" fontId="11" numFmtId="0" xfId="0" applyAlignment="1" applyBorder="1" applyFont="1">
      <alignment horizontal="left" readingOrder="0" shrinkToFit="0" vertical="bottom" wrapText="1"/>
    </xf>
    <xf borderId="1" fillId="0" fontId="11" numFmtId="0" xfId="0" applyAlignment="1" applyBorder="1" applyFont="1">
      <alignment readingOrder="0" shrinkToFit="0" vertical="bottom" wrapText="1"/>
    </xf>
    <xf borderId="1" fillId="0" fontId="11" numFmtId="0" xfId="0" applyAlignment="1" applyBorder="1" applyFont="1">
      <alignment horizontal="left" readingOrder="0" vertical="bottom"/>
    </xf>
    <xf borderId="1" fillId="0" fontId="11" numFmtId="0" xfId="0" applyAlignment="1" applyBorder="1" applyFont="1">
      <alignment readingOrder="0" vertical="bottom"/>
    </xf>
    <xf borderId="1" fillId="0" fontId="11" numFmtId="0" xfId="0" applyAlignment="1" applyBorder="1" applyFont="1">
      <alignment readingOrder="0" vertical="bottom"/>
    </xf>
    <xf borderId="0" fillId="0" fontId="11" numFmtId="0" xfId="0" applyAlignment="1" applyFont="1">
      <alignment readingOrder="0" vertical="bottom"/>
    </xf>
    <xf borderId="0" fillId="0" fontId="11"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6" fillId="0" fontId="27" numFmtId="0" xfId="0" applyAlignment="1" applyBorder="1" applyFont="1">
      <alignment horizontal="left" readingOrder="0" shrinkToFit="0" vertical="center" wrapText="1"/>
    </xf>
    <xf borderId="6" fillId="0" fontId="27" numFmtId="0" xfId="0" applyAlignment="1" applyBorder="1" applyFont="1">
      <alignment horizontal="left" shrinkToFit="0" vertical="center" wrapText="1"/>
    </xf>
    <xf borderId="0" fillId="0" fontId="6" numFmtId="0" xfId="0" applyAlignment="1" applyFont="1">
      <alignment vertical="bottom"/>
    </xf>
    <xf borderId="6" fillId="0" fontId="18" numFmtId="0" xfId="0" applyAlignment="1" applyBorder="1" applyFont="1">
      <alignment readingOrder="0" shrinkToFit="0" vertical="top" wrapText="1"/>
    </xf>
    <xf borderId="6" fillId="0" fontId="14" numFmtId="0" xfId="0" applyAlignment="1" applyBorder="1" applyFont="1">
      <alignment readingOrder="0" shrinkToFit="0" vertical="top" wrapText="1"/>
    </xf>
    <xf borderId="6" fillId="0" fontId="14" numFmtId="0" xfId="0" applyAlignment="1" applyBorder="1" applyFont="1">
      <alignment shrinkToFit="0" vertical="top" wrapText="1"/>
    </xf>
    <xf borderId="6" fillId="0" fontId="14" numFmtId="2" xfId="0" applyAlignment="1" applyBorder="1" applyFont="1" applyNumberFormat="1">
      <alignment shrinkToFit="0" vertical="top" wrapText="1"/>
    </xf>
    <xf borderId="6" fillId="0" fontId="18" numFmtId="0" xfId="0" applyAlignment="1" applyBorder="1" applyFont="1">
      <alignment readingOrder="0" shrinkToFit="0" vertical="top" wrapText="1"/>
    </xf>
    <xf borderId="6" fillId="0" fontId="28" numFmtId="0" xfId="0" applyAlignment="1" applyBorder="1" applyFont="1">
      <alignment readingOrder="0" shrinkToFit="0" vertical="top" wrapText="1"/>
    </xf>
    <xf borderId="6" fillId="0" fontId="27" numFmtId="0" xfId="0" applyAlignment="1" applyBorder="1" applyFont="1">
      <alignment readingOrder="0" shrinkToFit="0" vertical="top" wrapText="1"/>
    </xf>
    <xf borderId="6" fillId="0" fontId="27" numFmtId="0" xfId="0" applyAlignment="1" applyBorder="1" applyFont="1">
      <alignment shrinkToFit="0" vertical="top" wrapText="1"/>
    </xf>
    <xf borderId="6" fillId="0" fontId="27" numFmtId="2" xfId="0" applyAlignment="1" applyBorder="1" applyFont="1" applyNumberFormat="1">
      <alignment shrinkToFit="0" vertical="top" wrapText="1"/>
    </xf>
    <xf borderId="0" fillId="0" fontId="1" numFmtId="0" xfId="0" applyAlignment="1" applyFont="1">
      <alignment vertical="bottom"/>
    </xf>
    <xf borderId="0" fillId="0" fontId="29" numFmtId="0" xfId="0" applyFont="1"/>
    <xf borderId="6" fillId="0" fontId="14" numFmtId="0" xfId="0" applyAlignment="1" applyBorder="1" applyFont="1">
      <alignment readingOrder="0" shrinkToFit="0" vertical="top" wrapText="1"/>
    </xf>
    <xf borderId="6" fillId="0" fontId="14" numFmtId="0" xfId="0" applyAlignment="1" applyBorder="1" applyFont="1">
      <alignment shrinkToFit="0" vertical="top" wrapText="1"/>
    </xf>
    <xf borderId="0" fillId="0" fontId="6" numFmtId="0" xfId="0" applyAlignment="1" applyFont="1">
      <alignment vertical="bottom"/>
    </xf>
    <xf borderId="6" fillId="0" fontId="30" numFmtId="0" xfId="0" applyAlignment="1" applyBorder="1" applyFont="1">
      <alignment readingOrder="0" shrinkToFit="0" vertical="top" wrapText="1"/>
    </xf>
    <xf borderId="6" fillId="0" fontId="14" numFmtId="0" xfId="0" applyAlignment="1" applyBorder="1" applyFont="1">
      <alignment readingOrder="0" shrinkToFit="0" vertical="top" wrapText="1"/>
    </xf>
    <xf borderId="6" fillId="0" fontId="18" numFmtId="0" xfId="0" applyAlignment="1" applyBorder="1" applyFont="1">
      <alignment readingOrder="0" shrinkToFit="0" vertical="top" wrapText="1"/>
    </xf>
    <xf borderId="6" fillId="0" fontId="14" numFmtId="0" xfId="0" applyAlignment="1" applyBorder="1" applyFont="1">
      <alignment readingOrder="0" shrinkToFit="0" vertical="top" wrapText="1"/>
    </xf>
    <xf borderId="6" fillId="0" fontId="18" numFmtId="0" xfId="0" applyAlignment="1" applyBorder="1" applyFont="1">
      <alignment readingOrder="0" shrinkToFit="0" vertical="top" wrapText="1"/>
    </xf>
    <xf borderId="0" fillId="0" fontId="11" numFmtId="0" xfId="0" applyAlignment="1" applyFont="1">
      <alignment shrinkToFit="0" vertical="bottom" wrapText="1"/>
    </xf>
    <xf borderId="6" fillId="0" fontId="18" numFmtId="0" xfId="0" applyAlignment="1" applyBorder="1" applyFont="1">
      <alignment shrinkToFit="0" vertical="top" wrapText="1"/>
    </xf>
    <xf borderId="6" fillId="0" fontId="18" numFmtId="0" xfId="0" applyAlignment="1" applyBorder="1" applyFont="1">
      <alignment shrinkToFit="0" vertical="top" wrapText="1"/>
    </xf>
    <xf borderId="6" fillId="0" fontId="14" numFmtId="0" xfId="0" applyAlignment="1" applyBorder="1" applyFont="1">
      <alignment shrinkToFit="0" vertical="top" wrapText="1"/>
    </xf>
    <xf borderId="6" fillId="0" fontId="31" numFmtId="0" xfId="0" applyAlignment="1" applyBorder="1" applyFont="1">
      <alignment readingOrder="0" shrinkToFit="0" vertical="top" wrapText="1"/>
    </xf>
    <xf borderId="0" fillId="0" fontId="6" numFmtId="0" xfId="0" applyAlignment="1" applyFont="1">
      <alignment shrinkToFit="0" vertical="bottom" wrapText="1"/>
    </xf>
    <xf borderId="0" fillId="0" fontId="1" numFmtId="0" xfId="0" applyAlignment="1" applyFont="1">
      <alignment horizontal="left" readingOrder="0" vertical="bottom"/>
    </xf>
    <xf borderId="0" fillId="0" fontId="1" numFmtId="0" xfId="0" applyAlignment="1" applyFont="1">
      <alignment horizontal="left" vertical="bottom"/>
    </xf>
    <xf borderId="0" fillId="0" fontId="1" numFmtId="0" xfId="0" applyAlignment="1" applyFont="1">
      <alignment horizontal="left" readingOrder="0" vertical="bottom"/>
    </xf>
    <xf borderId="0" fillId="0" fontId="6" numFmtId="0" xfId="0" applyAlignment="1" applyFont="1">
      <alignment horizontal="left" vertical="bottom"/>
    </xf>
    <xf borderId="7" fillId="0" fontId="6" numFmtId="0" xfId="0" applyAlignment="1" applyBorder="1" applyFont="1">
      <alignment horizontal="left" vertical="bottom"/>
    </xf>
    <xf borderId="0" fillId="0" fontId="11" numFmtId="0" xfId="0" applyAlignment="1" applyFont="1">
      <alignment horizontal="left" readingOrder="0" vertical="bottom"/>
    </xf>
    <xf borderId="0" fillId="0" fontId="32" numFmtId="0" xfId="0" applyAlignment="1" applyFont="1">
      <alignment horizontal="left" readingOrder="0" vertical="bottom"/>
    </xf>
    <xf borderId="0" fillId="0" fontId="11" numFmtId="49" xfId="0" applyAlignment="1" applyFont="1" applyNumberFormat="1">
      <alignment horizontal="left" readingOrder="0" vertical="bottom"/>
    </xf>
    <xf borderId="0" fillId="0" fontId="11" numFmtId="1" xfId="0" applyAlignment="1" applyFont="1" applyNumberFormat="1">
      <alignment horizontal="left" readingOrder="0" vertical="bottom"/>
    </xf>
    <xf borderId="0" fillId="0" fontId="11" numFmtId="0" xfId="0" applyAlignment="1" applyFont="1">
      <alignment horizontal="left" vertical="bottom"/>
    </xf>
    <xf borderId="0" fillId="0" fontId="33" numFmtId="0" xfId="0" applyAlignment="1" applyFont="1">
      <alignment horizontal="left" readingOrder="0" vertical="bottom"/>
    </xf>
    <xf borderId="8" fillId="0" fontId="11" numFmtId="0" xfId="0" applyAlignment="1" applyBorder="1" applyFont="1">
      <alignment horizontal="left" readingOrder="0" vertical="bottom"/>
    </xf>
    <xf borderId="8" fillId="0" fontId="34" numFmtId="0" xfId="0" applyAlignment="1" applyBorder="1" applyFont="1">
      <alignment horizontal="left" readingOrder="0" vertical="bottom"/>
    </xf>
    <xf borderId="8" fillId="0" fontId="11" numFmtId="49" xfId="0" applyAlignment="1" applyBorder="1" applyFont="1" applyNumberFormat="1">
      <alignment horizontal="left" readingOrder="0" vertical="bottom"/>
    </xf>
    <xf borderId="8" fillId="0" fontId="11" numFmtId="1" xfId="0" applyAlignment="1" applyBorder="1" applyFont="1" applyNumberFormat="1">
      <alignment horizontal="left" readingOrder="0" vertical="bottom"/>
    </xf>
    <xf borderId="8" fillId="0" fontId="11" numFmtId="0" xfId="0" applyAlignment="1" applyBorder="1" applyFont="1">
      <alignment horizontal="left" vertical="bottom"/>
    </xf>
    <xf borderId="9" fillId="0" fontId="11" numFmtId="1" xfId="0" applyAlignment="1" applyBorder="1" applyFont="1" applyNumberFormat="1">
      <alignment horizontal="left" readingOrder="0" vertical="bottom"/>
    </xf>
    <xf borderId="10" fillId="0" fontId="11" numFmtId="0" xfId="0" applyAlignment="1" applyBorder="1" applyFont="1">
      <alignment horizontal="left" readingOrder="0" vertical="bottom"/>
    </xf>
    <xf borderId="11" fillId="0" fontId="11" numFmtId="0" xfId="0" applyAlignment="1" applyBorder="1" applyFont="1">
      <alignment horizontal="left" readingOrder="0" vertical="bottom"/>
    </xf>
    <xf borderId="11" fillId="0" fontId="11" numFmtId="49" xfId="0" applyAlignment="1" applyBorder="1" applyFont="1" applyNumberFormat="1">
      <alignment horizontal="left" vertical="bottom"/>
    </xf>
    <xf borderId="11" fillId="0" fontId="11" numFmtId="0" xfId="0" applyAlignment="1" applyBorder="1" applyFont="1">
      <alignment horizontal="left" vertical="bottom"/>
    </xf>
    <xf borderId="7" fillId="0" fontId="11" numFmtId="0" xfId="0" applyAlignment="1" applyBorder="1" applyFont="1">
      <alignment horizontal="left" readingOrder="0" vertical="bottom"/>
    </xf>
    <xf borderId="7" fillId="0" fontId="35" numFmtId="0" xfId="0" applyAlignment="1" applyBorder="1" applyFont="1">
      <alignment horizontal="left" readingOrder="0" vertical="bottom"/>
    </xf>
    <xf borderId="7" fillId="0" fontId="11" numFmtId="49" xfId="0" applyAlignment="1" applyBorder="1" applyFont="1" applyNumberFormat="1">
      <alignment horizontal="left" readingOrder="0" vertical="bottom"/>
    </xf>
    <xf borderId="7" fillId="0" fontId="11" numFmtId="1" xfId="0" applyAlignment="1" applyBorder="1" applyFont="1" applyNumberFormat="1">
      <alignment horizontal="left" readingOrder="0" vertical="bottom"/>
    </xf>
    <xf borderId="7" fillId="0" fontId="11" numFmtId="0" xfId="0" applyAlignment="1" applyBorder="1" applyFont="1">
      <alignment horizontal="left" vertical="bottom"/>
    </xf>
    <xf borderId="0" fillId="0" fontId="11" numFmtId="49" xfId="0" applyAlignment="1" applyFont="1" applyNumberFormat="1">
      <alignment horizontal="left" vertical="bottom"/>
    </xf>
    <xf borderId="11" fillId="0" fontId="36" numFmtId="0" xfId="0" applyAlignment="1" applyBorder="1" applyFont="1">
      <alignment horizontal="left" readingOrder="0" vertical="bottom"/>
    </xf>
    <xf borderId="11" fillId="0" fontId="11" numFmtId="49" xfId="0" applyAlignment="1" applyBorder="1" applyFont="1" applyNumberFormat="1">
      <alignment horizontal="left" readingOrder="0" vertical="bottom"/>
    </xf>
    <xf borderId="11" fillId="0" fontId="11" numFmtId="1" xfId="0" applyAlignment="1" applyBorder="1" applyFont="1" applyNumberFormat="1">
      <alignment horizontal="left" readingOrder="0" vertical="bottom"/>
    </xf>
    <xf borderId="6" fillId="3" fontId="37" numFmtId="0" xfId="0" applyAlignment="1" applyBorder="1" applyFont="1">
      <alignment horizontal="left" readingOrder="0" shrinkToFit="0" vertical="center" wrapText="1"/>
    </xf>
    <xf borderId="6" fillId="9" fontId="38" numFmtId="0" xfId="0" applyAlignment="1" applyBorder="1" applyFont="1">
      <alignment readingOrder="0" shrinkToFit="0" vertical="center" wrapText="1"/>
    </xf>
    <xf borderId="6" fillId="9" fontId="39" numFmtId="0" xfId="0" applyAlignment="1" applyBorder="1" applyFont="1">
      <alignment readingOrder="0" shrinkToFit="0" vertical="center" wrapText="1"/>
    </xf>
    <xf borderId="6" fillId="9" fontId="38" numFmtId="1" xfId="0" applyAlignment="1" applyBorder="1" applyFont="1" applyNumberFormat="1">
      <alignment readingOrder="0" shrinkToFit="0" vertical="center" wrapText="1"/>
    </xf>
    <xf borderId="6" fillId="9" fontId="38" numFmtId="2" xfId="0" applyAlignment="1" applyBorder="1" applyFont="1" applyNumberFormat="1">
      <alignment readingOrder="0" shrinkToFit="0" vertical="center" wrapText="1"/>
    </xf>
    <xf borderId="6" fillId="9" fontId="40" numFmtId="2" xfId="0" applyAlignment="1" applyBorder="1" applyFont="1" applyNumberFormat="1">
      <alignment readingOrder="0" shrinkToFit="0" vertical="center" wrapText="1"/>
    </xf>
    <xf borderId="6" fillId="9" fontId="38" numFmtId="0" xfId="0" applyAlignment="1" applyBorder="1" applyFont="1">
      <alignment readingOrder="0" shrinkToFit="0" vertical="center" wrapText="1"/>
    </xf>
    <xf borderId="6" fillId="9" fontId="38" numFmtId="0" xfId="0" applyAlignment="1" applyBorder="1" applyFont="1">
      <alignment readingOrder="0" shrinkToFit="0" vertical="center" wrapText="1"/>
    </xf>
    <xf borderId="0" fillId="0" fontId="8" numFmtId="0" xfId="0" applyAlignment="1" applyFont="1">
      <alignment shrinkToFit="0" wrapText="1"/>
    </xf>
    <xf borderId="6" fillId="3" fontId="37" numFmtId="0" xfId="0" applyAlignment="1" applyBorder="1" applyFont="1">
      <alignment horizontal="left" readingOrder="0" shrinkToFit="0" vertical="center" wrapText="1"/>
    </xf>
    <xf borderId="0" fillId="3" fontId="37" numFmtId="0" xfId="0" applyAlignment="1" applyFont="1">
      <alignment horizontal="left" readingOrder="0" shrinkToFit="0" vertical="center" wrapText="1"/>
    </xf>
    <xf borderId="6" fillId="9" fontId="38" numFmtId="0" xfId="0" applyAlignment="1" applyBorder="1" applyFont="1">
      <alignment readingOrder="0" shrinkToFit="0" vertical="center" wrapText="1"/>
    </xf>
    <xf borderId="6" fillId="9" fontId="38" numFmtId="0" xfId="0" applyAlignment="1" applyBorder="1" applyFont="1">
      <alignment shrinkToFit="0" vertical="center" wrapText="1"/>
    </xf>
    <xf borderId="6" fillId="9" fontId="41" numFmtId="0" xfId="0" applyAlignment="1" applyBorder="1" applyFont="1">
      <alignment shrinkToFit="0" vertical="center" wrapText="1"/>
    </xf>
    <xf borderId="6" fillId="9" fontId="38" numFmtId="1" xfId="0" applyAlignment="1" applyBorder="1" applyFont="1" applyNumberFormat="1">
      <alignment shrinkToFit="0" vertical="center" wrapText="1"/>
    </xf>
    <xf borderId="6" fillId="9" fontId="38" numFmtId="2" xfId="0" applyAlignment="1" applyBorder="1" applyFont="1" applyNumberFormat="1">
      <alignment shrinkToFit="0" vertical="center" wrapText="1"/>
    </xf>
    <xf borderId="0" fillId="9" fontId="38" numFmtId="2" xfId="0" applyAlignment="1" applyFont="1" applyNumberFormat="1">
      <alignment readingOrder="0" shrinkToFit="0" vertical="center" wrapText="1"/>
    </xf>
    <xf borderId="6" fillId="9" fontId="42" numFmtId="2" xfId="0" applyAlignment="1" applyBorder="1" applyFont="1" applyNumberFormat="1">
      <alignment shrinkToFit="0" vertical="center" wrapText="1"/>
    </xf>
    <xf borderId="6" fillId="9" fontId="38" numFmtId="0" xfId="0" applyAlignment="1" applyBorder="1" applyFont="1">
      <alignment shrinkToFit="0" vertical="center" wrapText="1"/>
    </xf>
    <xf borderId="0" fillId="3" fontId="28" numFmtId="0" xfId="0" applyAlignment="1" applyFont="1">
      <alignment readingOrder="0" shrinkToFit="0" vertical="center" wrapText="1"/>
    </xf>
    <xf borderId="6" fillId="3" fontId="37" numFmtId="0" xfId="0" applyAlignment="1" applyBorder="1" applyFont="1">
      <alignment horizontal="left" readingOrder="0" shrinkToFit="0" vertical="center" wrapText="1"/>
    </xf>
    <xf borderId="6" fillId="3" fontId="43" numFmtId="0" xfId="0" applyAlignment="1" applyBorder="1" applyFont="1">
      <alignment readingOrder="0" shrinkToFit="0" vertical="center" wrapText="1"/>
    </xf>
    <xf borderId="0" fillId="3" fontId="43" numFmtId="0" xfId="0" applyAlignment="1" applyFont="1">
      <alignment readingOrder="0" shrinkToFit="0" vertical="center" wrapText="1"/>
    </xf>
    <xf borderId="6" fillId="3" fontId="43" numFmtId="0" xfId="0" applyAlignment="1" applyBorder="1" applyFont="1">
      <alignment readingOrder="0" shrinkToFit="0" vertical="center" wrapText="1"/>
    </xf>
    <xf borderId="6" fillId="3" fontId="43" numFmtId="0" xfId="0" applyAlignment="1" applyBorder="1" applyFont="1">
      <alignment shrinkToFit="0" vertical="center" wrapText="1"/>
    </xf>
    <xf borderId="0" fillId="3" fontId="43" numFmtId="0" xfId="0" applyAlignment="1" applyFont="1">
      <alignment readingOrder="0" shrinkToFit="0" vertical="center" wrapText="1"/>
    </xf>
    <xf borderId="6" fillId="3" fontId="43" numFmtId="0" xfId="0" applyAlignment="1" applyBorder="1" applyFont="1">
      <alignment readingOrder="0" shrinkToFit="0" vertical="center" wrapText="1"/>
    </xf>
    <xf borderId="0" fillId="9" fontId="44" numFmtId="0" xfId="0" applyAlignment="1" applyFont="1">
      <alignment readingOrder="0" shrinkToFit="0" vertical="center" wrapText="1"/>
    </xf>
    <xf borderId="6" fillId="9" fontId="45" numFmtId="0" xfId="0" applyAlignment="1" applyBorder="1" applyFont="1">
      <alignment readingOrder="0" shrinkToFit="0" vertical="center" wrapText="1"/>
    </xf>
    <xf borderId="6" fillId="9" fontId="38" numFmtId="0" xfId="0" applyAlignment="1" applyBorder="1" applyFont="1">
      <alignment readingOrder="0" shrinkToFit="0" vertical="center" wrapText="1"/>
    </xf>
    <xf borderId="6" fillId="9" fontId="38" numFmtId="0" xfId="0" applyAlignment="1" applyBorder="1" applyFont="1">
      <alignment shrinkToFit="0" vertical="center" wrapText="1"/>
    </xf>
    <xf borderId="6" fillId="9" fontId="38" numFmtId="1" xfId="0" applyAlignment="1" applyBorder="1" applyFont="1" applyNumberFormat="1">
      <alignment shrinkToFit="0" vertical="center" wrapText="1"/>
    </xf>
    <xf borderId="6" fillId="9" fontId="38" numFmtId="2" xfId="0" applyAlignment="1" applyBorder="1" applyFont="1" applyNumberFormat="1">
      <alignment shrinkToFit="0" vertical="center" wrapText="1"/>
    </xf>
    <xf borderId="6" fillId="9" fontId="46" numFmtId="0" xfId="0" applyAlignment="1" applyBorder="1" applyFont="1">
      <alignment readingOrder="0" shrinkToFit="0" vertical="center" wrapText="1"/>
    </xf>
    <xf borderId="0" fillId="0" fontId="11" numFmtId="0" xfId="0" applyAlignment="1" applyFont="1">
      <alignment horizontal="left" vertical="bottom"/>
    </xf>
    <xf borderId="0" fillId="9" fontId="38" numFmtId="2" xfId="0" applyAlignment="1" applyFont="1" applyNumberFormat="1">
      <alignment shrinkToFit="0" vertical="center" wrapText="1"/>
    </xf>
    <xf borderId="6" fillId="9" fontId="47" numFmtId="0" xfId="0" applyAlignment="1" applyBorder="1" applyFont="1">
      <alignment shrinkToFit="0" vertical="center" wrapText="1"/>
    </xf>
    <xf borderId="6" fillId="9" fontId="38" numFmtId="0" xfId="0" applyAlignment="1" applyBorder="1" applyFont="1">
      <alignment shrinkToFit="0" vertical="center" wrapText="1"/>
    </xf>
    <xf borderId="0" fillId="0" fontId="11" numFmtId="0" xfId="0" applyAlignment="1" applyFont="1">
      <alignment horizontal="left"/>
    </xf>
    <xf borderId="0" fillId="0" fontId="11" numFmtId="0" xfId="0" applyFont="1"/>
    <xf borderId="0" fillId="3" fontId="28" numFmtId="0" xfId="0" applyAlignment="1" applyFont="1">
      <alignment horizontal="left" readingOrder="0" shrinkToFit="0" vertical="center" wrapText="1"/>
    </xf>
    <xf borderId="6" fillId="3" fontId="37" numFmtId="0" xfId="0" applyAlignment="1" applyBorder="1" applyFont="1">
      <alignment horizontal="left" readingOrder="0" shrinkToFit="0" vertical="center" wrapText="1"/>
    </xf>
    <xf borderId="0" fillId="3" fontId="43" numFmtId="0" xfId="0" applyAlignment="1" applyFont="1">
      <alignment readingOrder="0" shrinkToFit="0" vertical="center" wrapText="1"/>
    </xf>
    <xf borderId="6" fillId="3" fontId="43" numFmtId="0" xfId="0" applyAlignment="1" applyBorder="1" applyFont="1">
      <alignment readingOrder="0" shrinkToFit="0" vertical="center" wrapText="1"/>
    </xf>
    <xf borderId="6" fillId="3" fontId="43" numFmtId="0" xfId="0" applyAlignment="1" applyBorder="1" applyFont="1">
      <alignment shrinkToFit="0" vertical="center" wrapText="1"/>
    </xf>
    <xf borderId="6" fillId="3" fontId="48" numFmtId="0" xfId="0" applyAlignment="1" applyBorder="1" applyFont="1">
      <alignment shrinkToFit="0" vertical="center" wrapText="1"/>
    </xf>
    <xf borderId="0" fillId="3" fontId="43" numFmtId="0" xfId="0" applyAlignment="1" applyFont="1">
      <alignment readingOrder="0" shrinkToFit="0" vertical="center" wrapText="1"/>
    </xf>
    <xf borderId="6" fillId="3" fontId="43" numFmtId="0" xfId="0" applyAlignment="1" applyBorder="1" applyFont="1">
      <alignment readingOrder="0" shrinkToFit="0" vertical="center" wrapText="1"/>
    </xf>
    <xf borderId="6" fillId="3" fontId="43" numFmtId="0" xfId="0" applyAlignment="1" applyBorder="1" applyFont="1">
      <alignment readingOrder="0" shrinkToFit="0" vertical="center" wrapText="1"/>
    </xf>
    <xf borderId="6" fillId="3" fontId="48" numFmtId="0" xfId="0" applyAlignment="1" applyBorder="1" applyFont="1">
      <alignment readingOrder="0" shrinkToFit="0" vertical="center" wrapText="1"/>
    </xf>
    <xf borderId="6" fillId="9" fontId="49" numFmtId="0" xfId="0" applyAlignment="1" applyBorder="1" applyFont="1">
      <alignment readingOrder="0" shrinkToFit="0" vertical="center" wrapText="1"/>
    </xf>
    <xf borderId="0" fillId="9" fontId="50" numFmtId="0" xfId="0" applyAlignment="1" applyFont="1">
      <alignment shrinkToFit="0" vertical="center" wrapText="1"/>
    </xf>
    <xf borderId="0" fillId="3" fontId="43" numFmtId="0" xfId="0" applyAlignment="1" applyFont="1">
      <alignment readingOrder="0" shrinkToFit="0" vertical="center" wrapText="1"/>
    </xf>
    <xf borderId="6" fillId="3" fontId="43" numFmtId="0" xfId="0" applyAlignment="1" applyBorder="1" applyFont="1">
      <alignment readingOrder="0" shrinkToFit="0" vertical="center" wrapText="1"/>
    </xf>
    <xf borderId="6" fillId="3" fontId="43" numFmtId="1" xfId="0" applyAlignment="1" applyBorder="1" applyFont="1" applyNumberFormat="1">
      <alignment readingOrder="0" shrinkToFit="0" vertical="center" wrapText="1"/>
    </xf>
    <xf borderId="6" fillId="3" fontId="48" numFmtId="2" xfId="0" applyAlignment="1" applyBorder="1" applyFont="1" applyNumberFormat="1">
      <alignment readingOrder="0" shrinkToFit="0" vertical="center" wrapText="1"/>
    </xf>
    <xf borderId="6" fillId="3" fontId="43" numFmtId="2" xfId="0" applyAlignment="1" applyBorder="1" applyFont="1" applyNumberFormat="1">
      <alignment readingOrder="0" shrinkToFit="0" vertical="center" wrapText="1"/>
    </xf>
    <xf borderId="6" fillId="9" fontId="38" numFmtId="0" xfId="0" applyAlignment="1" applyBorder="1" applyFont="1">
      <alignment readingOrder="0" shrinkToFit="0" vertical="center" wrapText="1"/>
    </xf>
    <xf borderId="6" fillId="9" fontId="38" numFmtId="1" xfId="0" applyAlignment="1" applyBorder="1" applyFont="1" applyNumberFormat="1">
      <alignment readingOrder="0" shrinkToFit="0" vertical="center" wrapText="1"/>
    </xf>
    <xf borderId="6" fillId="9" fontId="38" numFmtId="2" xfId="0" applyAlignment="1" applyBorder="1" applyFont="1" applyNumberFormat="1">
      <alignment readingOrder="0" shrinkToFit="0" vertical="center" wrapText="1"/>
    </xf>
    <xf borderId="5" fillId="3" fontId="27" numFmtId="0" xfId="0" applyAlignment="1" applyBorder="1" applyFont="1">
      <alignment shrinkToFit="0" vertical="top" wrapText="1"/>
    </xf>
    <xf borderId="5" fillId="0" fontId="14" numFmtId="0" xfId="0" applyAlignment="1" applyBorder="1" applyFont="1">
      <alignment shrinkToFit="0" vertical="top" wrapText="1"/>
    </xf>
    <xf borderId="5" fillId="0" fontId="51" numFmtId="0" xfId="0" applyAlignment="1" applyBorder="1" applyFont="1">
      <alignment readingOrder="0" shrinkToFit="0" vertical="top" wrapText="1"/>
    </xf>
    <xf borderId="5" fillId="0" fontId="14" numFmtId="0" xfId="0" applyAlignment="1" applyBorder="1" applyFont="1">
      <alignment readingOrder="0" shrinkToFit="0" vertical="top" wrapText="1"/>
    </xf>
    <xf borderId="5" fillId="0" fontId="52" numFmtId="0" xfId="0" applyAlignment="1" applyBorder="1" applyFont="1">
      <alignment readingOrder="0" shrinkToFit="0" vertical="top" wrapText="1"/>
    </xf>
    <xf borderId="5" fillId="0" fontId="14" numFmtId="0" xfId="0" applyAlignment="1" applyBorder="1" applyFont="1">
      <alignment readingOrder="0" shrinkToFit="0" vertical="top" wrapText="1"/>
    </xf>
    <xf borderId="2" fillId="3" fontId="1" numFmtId="0" xfId="0" applyAlignment="1" applyBorder="1" applyFont="1">
      <alignment readingOrder="0"/>
    </xf>
    <xf borderId="0" fillId="0" fontId="53" numFmtId="0" xfId="0" applyAlignment="1" applyFont="1">
      <alignment horizontal="left" readingOrder="0"/>
    </xf>
    <xf borderId="0" fillId="0" fontId="53" numFmtId="9" xfId="0" applyAlignment="1" applyFont="1" applyNumberFormat="1">
      <alignment horizontal="left" readingOrder="0"/>
    </xf>
    <xf borderId="0" fillId="15" fontId="53" numFmtId="0" xfId="0" applyAlignment="1" applyFont="1">
      <alignment horizontal="left" readingOrder="0"/>
    </xf>
    <xf borderId="0" fillId="0" fontId="54" numFmtId="0" xfId="0" applyAlignment="1" applyFont="1">
      <alignment horizontal="left" readingOrder="0"/>
    </xf>
    <xf borderId="2" fillId="3" fontId="1" numFmtId="0" xfId="0" applyAlignment="1" applyBorder="1" applyFont="1">
      <alignment horizontal="left" readingOrder="0" vertical="bottom"/>
    </xf>
    <xf borderId="0" fillId="17" fontId="6" numFmtId="0" xfId="0" applyAlignment="1" applyFill="1" applyFont="1">
      <alignment vertical="bottom"/>
    </xf>
    <xf borderId="0" fillId="0" fontId="55" numFmtId="0" xfId="0" applyAlignment="1" applyFont="1">
      <alignment readingOrder="0" vertical="bottom"/>
    </xf>
    <xf borderId="0" fillId="0" fontId="56" numFmtId="0" xfId="0" applyAlignment="1" applyFont="1">
      <alignment readingOrder="0" vertical="bottom"/>
    </xf>
    <xf borderId="0" fillId="0" fontId="57" numFmtId="0" xfId="0" applyAlignment="1" applyFont="1">
      <alignment vertical="bottom"/>
    </xf>
    <xf borderId="0" fillId="0" fontId="53" numFmtId="0" xfId="0" applyAlignment="1" applyFont="1">
      <alignment vertical="bottom"/>
    </xf>
    <xf borderId="0" fillId="0" fontId="53" numFmtId="0" xfId="0" applyAlignment="1" applyFont="1">
      <alignment horizontal="center" vertical="bottom"/>
    </xf>
    <xf borderId="0" fillId="0" fontId="53" numFmtId="0" xfId="0" applyAlignment="1" applyFont="1">
      <alignment vertical="bottom"/>
    </xf>
    <xf borderId="0" fillId="0" fontId="53" numFmtId="0" xfId="0" applyAlignment="1" applyFont="1">
      <alignment horizontal="right" vertical="bottom"/>
    </xf>
    <xf borderId="0" fillId="0" fontId="58" numFmtId="0" xfId="0" applyAlignment="1" applyFont="1">
      <alignment readingOrder="0" vertical="bottom"/>
    </xf>
    <xf borderId="0" fillId="0" fontId="59" numFmtId="0" xfId="0" applyAlignment="1" applyFont="1">
      <alignment readingOrder="0" vertical="bottom"/>
    </xf>
    <xf borderId="0" fillId="0" fontId="53" numFmtId="0" xfId="0" applyAlignment="1" applyFont="1">
      <alignment horizontal="right" vertical="bottom"/>
    </xf>
    <xf borderId="4" fillId="3" fontId="12" numFmtId="0" xfId="0" applyAlignment="1" applyBorder="1" applyFont="1">
      <alignment readingOrder="0" shrinkToFit="0" vertical="top" wrapText="1"/>
    </xf>
    <xf borderId="2" fillId="0" fontId="11" numFmtId="0" xfId="0" applyAlignment="1" applyBorder="1" applyFont="1">
      <alignment horizontal="left" readingOrder="0" vertical="bottom"/>
    </xf>
    <xf borderId="2" fillId="0" fontId="11" numFmtId="0" xfId="0" applyAlignment="1" applyBorder="1" applyFont="1">
      <alignment horizontal="left" vertical="bottom"/>
    </xf>
    <xf borderId="2" fillId="18" fontId="11" numFmtId="0" xfId="0" applyAlignment="1" applyBorder="1" applyFill="1" applyFont="1">
      <alignment readingOrder="0" vertical="bottom"/>
    </xf>
    <xf borderId="0" fillId="18" fontId="4" numFmtId="0" xfId="0" applyAlignment="1" applyFont="1">
      <alignment vertical="bottom"/>
    </xf>
    <xf borderId="2" fillId="18" fontId="6" numFmtId="0" xfId="0" applyAlignment="1" applyBorder="1" applyFont="1">
      <alignment readingOrder="0" vertical="bottom"/>
    </xf>
    <xf borderId="0" fillId="18" fontId="4" numFmtId="0" xfId="0" applyAlignment="1" applyFont="1">
      <alignment vertical="bottom"/>
    </xf>
    <xf borderId="0" fillId="18" fontId="10" numFmtId="0" xfId="0" applyFont="1"/>
    <xf borderId="2" fillId="0" fontId="11" numFmtId="0" xfId="0" applyAlignment="1" applyBorder="1" applyFont="1">
      <alignment horizontal="left" vertical="bottom"/>
    </xf>
    <xf borderId="0" fillId="0" fontId="4" numFmtId="165" xfId="0" applyAlignment="1" applyFont="1" applyNumberFormat="1">
      <alignment vertical="bottom"/>
    </xf>
  </cellXfs>
  <cellStyles count="1">
    <cellStyle xfId="0" name="Normal" builtinId="0"/>
  </cellStyles>
  <dxfs count="9">
    <dxf>
      <font/>
      <fill>
        <patternFill patternType="none"/>
      </fill>
      <border/>
    </dxf>
    <dxf>
      <font/>
      <fill>
        <patternFill patternType="solid">
          <fgColor rgb="FF434343"/>
          <bgColor rgb="FF434343"/>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8F9FA"/>
          <bgColor rgb="FFF8F9FA"/>
        </patternFill>
      </fill>
      <border/>
    </dxf>
    <dxf>
      <font/>
      <fill>
        <patternFill patternType="solid">
          <fgColor rgb="FF00FFFF"/>
          <bgColor rgb="FF00FFFF"/>
        </patternFill>
      </fill>
      <border/>
    </dxf>
    <dxf>
      <font/>
      <fill>
        <patternFill patternType="solid">
          <fgColor rgb="FFFFF2CC"/>
          <bgColor rgb="FFFFF2CC"/>
        </patternFill>
      </fill>
      <border/>
    </dxf>
    <dxf>
      <font>
        <b/>
      </font>
      <fill>
        <patternFill patternType="solid">
          <fgColor rgb="FFC2D7E9"/>
          <bgColor rgb="FFC2D7E9"/>
        </patternFill>
      </fill>
      <border/>
    </dxf>
    <dxf>
      <font>
        <b/>
      </font>
      <fill>
        <patternFill patternType="solid">
          <fgColor rgb="FFB7CEE0"/>
          <bgColor rgb="FFB7CEE0"/>
        </patternFill>
      </fill>
      <border/>
    </dxf>
  </dxfs>
  <tableStyles count="2">
    <tableStyle count="3" pivot="0" name="Audit Overview-style">
      <tableStyleElement dxfId="1" type="headerRow"/>
      <tableStyleElement dxfId="2" type="firstRowStripe"/>
      <tableStyleElement dxfId="3" type="secondRowStripe"/>
    </tableStyle>
    <tableStyle count="2" pivot="0" name="Client onboarding answers-style">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V2" displayName="Table_2" name="Table_2"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Client onboarding answers-style" showColumnStripes="0" showFirstColumn="1" showLastColumn="1" showRowStripes="1"/>
</table>
</file>

<file path=xl/tables/table2.xml><?xml version="1.0" encoding="utf-8"?>
<table xmlns="http://schemas.openxmlformats.org/spreadsheetml/2006/main" headerRowCount="0" ref="A2:G3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Audit Overview-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A8C3E1"/>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ncubeta.c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atastudio.google.com/s/jLBQILw1PCg" TargetMode="External"/><Relationship Id="rId2" Type="http://schemas.openxmlformats.org/officeDocument/2006/relationships/hyperlink" Target="https://scrunchai.com/" TargetMode="External"/><Relationship Id="rId3" Type="http://schemas.openxmlformats.org/officeDocument/2006/relationships/hyperlink" Target="http://peec.ai/" TargetMode="External"/><Relationship Id="rId4" Type="http://schemas.openxmlformats.org/officeDocument/2006/relationships/hyperlink" Target="https://incubeta.com/llms.txt" TargetMode="External"/><Relationship Id="rId10" Type="http://schemas.openxmlformats.org/officeDocument/2006/relationships/drawing" Target="../drawings/drawing2.xml"/><Relationship Id="rId12" Type="http://schemas.openxmlformats.org/officeDocument/2006/relationships/table" Target="../tables/table2.xml"/><Relationship Id="rId9" Type="http://schemas.openxmlformats.org/officeDocument/2006/relationships/hyperlink" Target="https://www.growth-memo.com/p/what-content-works-well-in-llms" TargetMode="External"/><Relationship Id="rId5" Type="http://schemas.openxmlformats.org/officeDocument/2006/relationships/hyperlink" Target="https://incubeta.com/robots.txt" TargetMode="External"/><Relationship Id="rId6" Type="http://schemas.openxmlformats.org/officeDocument/2006/relationships/hyperlink" Target="https://pagespeed.web.dev/" TargetMode="External"/><Relationship Id="rId7" Type="http://schemas.openxmlformats.org/officeDocument/2006/relationships/hyperlink" Target="http://schema.org/" TargetMode="External"/><Relationship Id="rId8" Type="http://schemas.openxmlformats.org/officeDocument/2006/relationships/hyperlink" Target="https://hemingwayapp.com/articles/readability/flesch-kincaid-readability-tes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share.google/OroSDyZLMpQ8L9z0z" TargetMode="External"/><Relationship Id="rId10" Type="http://schemas.openxmlformats.org/officeDocument/2006/relationships/hyperlink" Target="https://share.google/pUvKPobjH4y7KTXKf" TargetMode="External"/><Relationship Id="rId13" Type="http://schemas.openxmlformats.org/officeDocument/2006/relationships/hyperlink" Target="https://www.instagram.com/incubetaglobal/" TargetMode="External"/><Relationship Id="rId12" Type="http://schemas.openxmlformats.org/officeDocument/2006/relationships/hyperlink" Target="https://share.google/SSojIowteqf3rXgQ8" TargetMode="External"/><Relationship Id="rId1" Type="http://schemas.openxmlformats.org/officeDocument/2006/relationships/hyperlink" Target="https://share.google/dal3YQhMlVWGFNpuU" TargetMode="External"/><Relationship Id="rId2" Type="http://schemas.openxmlformats.org/officeDocument/2006/relationships/hyperlink" Target="https://share.google/bLDkE797Uvs1niRQn" TargetMode="External"/><Relationship Id="rId3" Type="http://schemas.openxmlformats.org/officeDocument/2006/relationships/hyperlink" Target="https://share.google/olMYHLOHzc8O8VCXf" TargetMode="External"/><Relationship Id="rId4" Type="http://schemas.openxmlformats.org/officeDocument/2006/relationships/hyperlink" Target="https://share.google/w9IwWKlx15JeQvFOI" TargetMode="External"/><Relationship Id="rId9" Type="http://schemas.openxmlformats.org/officeDocument/2006/relationships/hyperlink" Target="https://share.google/UlH58x5vibZJWd6Px" TargetMode="External"/><Relationship Id="rId15" Type="http://schemas.openxmlformats.org/officeDocument/2006/relationships/hyperlink" Target="https://x.com/IncubetaGlobal" TargetMode="External"/><Relationship Id="rId14" Type="http://schemas.openxmlformats.org/officeDocument/2006/relationships/hyperlink" Target="https://www.youtube.com/channel/UCnozDypc7kxyDrAXkpeRGpw" TargetMode="External"/><Relationship Id="rId17" Type="http://schemas.openxmlformats.org/officeDocument/2006/relationships/hyperlink" Target="https://www.facebook.com/IncubetaGlobal/" TargetMode="External"/><Relationship Id="rId16" Type="http://schemas.openxmlformats.org/officeDocument/2006/relationships/hyperlink" Target="https://www.linkedin.com/company/incubeta" TargetMode="External"/><Relationship Id="rId5" Type="http://schemas.openxmlformats.org/officeDocument/2006/relationships/hyperlink" Target="https://share.google/W1AqgaMl6al5HVBC2" TargetMode="External"/><Relationship Id="rId19" Type="http://schemas.openxmlformats.org/officeDocument/2006/relationships/drawing" Target="../drawings/drawing4.xml"/><Relationship Id="rId6" Type="http://schemas.openxmlformats.org/officeDocument/2006/relationships/hyperlink" Target="https://share.google/bkT9XnYnSqAZiaCiI" TargetMode="External"/><Relationship Id="rId18" Type="http://schemas.openxmlformats.org/officeDocument/2006/relationships/hyperlink" Target="https://www.tiktok.com/@incubeta" TargetMode="External"/><Relationship Id="rId7" Type="http://schemas.openxmlformats.org/officeDocument/2006/relationships/hyperlink" Target="https://share.google/BaR6Hk4dfFDHyrAOz" TargetMode="External"/><Relationship Id="rId8" Type="http://schemas.openxmlformats.org/officeDocument/2006/relationships/hyperlink" Target="https://share.google/yhwRlYsCD8ZldLMYl" TargetMode="External"/></Relationships>
</file>

<file path=xl/worksheets/_rels/sheet5.xml.rels><?xml version="1.0" encoding="UTF-8" standalone="yes"?><Relationships xmlns="http://schemas.openxmlformats.org/package/2006/relationships"><Relationship Id="rId10" Type="http://schemas.openxmlformats.org/officeDocument/2006/relationships/drawing" Target="../drawings/drawing5.xml"/><Relationship Id="rId1" Type="http://schemas.openxmlformats.org/officeDocument/2006/relationships/hyperlink" Target="https://www.linkedin.com/company/incubeta" TargetMode="External"/><Relationship Id="rId2" Type="http://schemas.openxmlformats.org/officeDocument/2006/relationships/hyperlink" Target="https://www.facebook.com/IncubetaGlobal/" TargetMode="External"/><Relationship Id="rId3" Type="http://schemas.openxmlformats.org/officeDocument/2006/relationships/hyperlink" Target="https://za.indeed.com/cmp/Incubeta/reviews" TargetMode="External"/><Relationship Id="rId4" Type="http://schemas.openxmlformats.org/officeDocument/2006/relationships/hyperlink" Target="https://www.glassdoor.com/Reviews/Incubeta-Reviews-E965945.htm" TargetMode="External"/><Relationship Id="rId9" Type="http://schemas.openxmlformats.org/officeDocument/2006/relationships/hyperlink" Target="https://www.crunchbase.com/organization/incubeta" TargetMode="External"/><Relationship Id="rId5" Type="http://schemas.openxmlformats.org/officeDocument/2006/relationships/hyperlink" Target="https://www.glassdoor.com/Overview/Working-at-Incubeta-EI_IE965945.11,19.htm" TargetMode="External"/><Relationship Id="rId6" Type="http://schemas.openxmlformats.org/officeDocument/2006/relationships/hyperlink" Target="https://clutch.co/profile/incubeta" TargetMode="External"/><Relationship Id="rId7" Type="http://schemas.openxmlformats.org/officeDocument/2006/relationships/hyperlink" Target="https://theorg.com/org/incubeta" TargetMode="External"/><Relationship Id="rId8" Type="http://schemas.openxmlformats.org/officeDocument/2006/relationships/hyperlink" Target="https://www.sortlist.com/agency/incubeta"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thehovi.com" TargetMode="External"/><Relationship Id="rId42" Type="http://schemas.openxmlformats.org/officeDocument/2006/relationships/hyperlink" Target="http://phable.io" TargetMode="External"/><Relationship Id="rId41" Type="http://schemas.openxmlformats.org/officeDocument/2006/relationships/hyperlink" Target="https://www.phable.io/top-creative-agencies/top-10-creative-agencies-in-the-middle-east-2025" TargetMode="External"/><Relationship Id="rId44" Type="http://schemas.openxmlformats.org/officeDocument/2006/relationships/hyperlink" Target="http://housesofgrowth.com" TargetMode="External"/><Relationship Id="rId43" Type="http://schemas.openxmlformats.org/officeDocument/2006/relationships/hyperlink" Target="https://www.housesofgrowth.com/post/growth-marketing-agencies-in-the-uae" TargetMode="External"/><Relationship Id="rId46" Type="http://schemas.openxmlformats.org/officeDocument/2006/relationships/hyperlink" Target="http://spiderworks.ae" TargetMode="External"/><Relationship Id="rId45" Type="http://schemas.openxmlformats.org/officeDocument/2006/relationships/hyperlink" Target="https://www.spiderworks.ae/blog/digital-marketing-agencies-in-dubai-uae" TargetMode="External"/><Relationship Id="rId1" Type="http://schemas.openxmlformats.org/officeDocument/2006/relationships/hyperlink" Target="https://segmentstream.com/blog/articles/top-haus-io-alternatives-for-geo-lift-incrementality-testing" TargetMode="External"/><Relationship Id="rId2" Type="http://schemas.openxmlformats.org/officeDocument/2006/relationships/hyperlink" Target="https://www.topdevelopers.co/directory/digital-marketing-agencies-in-uae" TargetMode="External"/><Relationship Id="rId3" Type="http://schemas.openxmlformats.org/officeDocument/2006/relationships/hyperlink" Target="http://topdevelopers.co" TargetMode="External"/><Relationship Id="rId4" Type="http://schemas.openxmlformats.org/officeDocument/2006/relationships/hyperlink" Target="https://clutch.co/ae/agencies" TargetMode="External"/><Relationship Id="rId9" Type="http://schemas.openxmlformats.org/officeDocument/2006/relationships/hyperlink" Target="http://sortlist.com" TargetMode="External"/><Relationship Id="rId48" Type="http://schemas.openxmlformats.org/officeDocument/2006/relationships/hyperlink" Target="http://techbullion.com" TargetMode="External"/><Relationship Id="rId47" Type="http://schemas.openxmlformats.org/officeDocument/2006/relationships/hyperlink" Target="https://techbullion.com/best-aeo-agency-in-dubai-2026-how-to-choose-and-the-top-options-compared/" TargetMode="External"/><Relationship Id="rId49" Type="http://schemas.openxmlformats.org/officeDocument/2006/relationships/hyperlink" Target="https://www.bicommunications.ae/blog/best-social-media-marketing-agencies-uae/" TargetMode="External"/><Relationship Id="rId5" Type="http://schemas.openxmlformats.org/officeDocument/2006/relationships/hyperlink" Target="http://clutch.co" TargetMode="External"/><Relationship Id="rId6" Type="http://schemas.openxmlformats.org/officeDocument/2006/relationships/hyperlink" Target="https://clutch.co/ae/agencies/digital-marketing" TargetMode="External"/><Relationship Id="rId7" Type="http://schemas.openxmlformats.org/officeDocument/2006/relationships/hyperlink" Target="http://clutch.co" TargetMode="External"/><Relationship Id="rId8" Type="http://schemas.openxmlformats.org/officeDocument/2006/relationships/hyperlink" Target="https://www.sortlist.com/s/marketing-analytics/dubai-ae" TargetMode="External"/><Relationship Id="rId73" Type="http://schemas.openxmlformats.org/officeDocument/2006/relationships/hyperlink" Target="https://www.gcc-marketing.com/en/ai-consulting-dubai/" TargetMode="External"/><Relationship Id="rId72" Type="http://schemas.openxmlformats.org/officeDocument/2006/relationships/hyperlink" Target="http://digitalmediasapiens.com" TargetMode="External"/><Relationship Id="rId31" Type="http://schemas.openxmlformats.org/officeDocument/2006/relationships/hyperlink" Target="https://www.digitalgravity.ae/blog/best-ai-marketing-agencies/" TargetMode="External"/><Relationship Id="rId75" Type="http://schemas.openxmlformats.org/officeDocument/2006/relationships/hyperlink" Target="https://www.prism-me.com/paid-media-agency" TargetMode="External"/><Relationship Id="rId30" Type="http://schemas.openxmlformats.org/officeDocument/2006/relationships/hyperlink" Target="http://designrush.com" TargetMode="External"/><Relationship Id="rId74" Type="http://schemas.openxmlformats.org/officeDocument/2006/relationships/hyperlink" Target="http://gcc-marketing.com" TargetMode="External"/><Relationship Id="rId33" Type="http://schemas.openxmlformats.org/officeDocument/2006/relationships/hyperlink" Target="https://hypebox.me/blog/articles/top-10-uae-marketing-agencies" TargetMode="External"/><Relationship Id="rId77" Type="http://schemas.openxmlformats.org/officeDocument/2006/relationships/drawing" Target="../drawings/drawing6.xml"/><Relationship Id="rId32" Type="http://schemas.openxmlformats.org/officeDocument/2006/relationships/hyperlink" Target="http://digitalgravity.ae" TargetMode="External"/><Relationship Id="rId76" Type="http://schemas.openxmlformats.org/officeDocument/2006/relationships/hyperlink" Target="http://prism-me.com" TargetMode="External"/><Relationship Id="rId35" Type="http://schemas.openxmlformats.org/officeDocument/2006/relationships/hyperlink" Target="https://ititans.com/blog/leading-digital-marketing-agencies-in-uae/" TargetMode="External"/><Relationship Id="rId34" Type="http://schemas.openxmlformats.org/officeDocument/2006/relationships/hyperlink" Target="http://hypebox.me" TargetMode="External"/><Relationship Id="rId71" Type="http://schemas.openxmlformats.org/officeDocument/2006/relationships/hyperlink" Target="https://digitalmediasapiens.com/best-aeo-agency-dubai/" TargetMode="External"/><Relationship Id="rId70" Type="http://schemas.openxmlformats.org/officeDocument/2006/relationships/hyperlink" Target="http://mcsaatchiperformance.com" TargetMode="External"/><Relationship Id="rId37" Type="http://schemas.openxmlformats.org/officeDocument/2006/relationships/hyperlink" Target="https://www.globalmediainsight.com/blog/digital-marketing-companies-dubai/" TargetMode="External"/><Relationship Id="rId36" Type="http://schemas.openxmlformats.org/officeDocument/2006/relationships/hyperlink" Target="http://ititans.com" TargetMode="External"/><Relationship Id="rId39" Type="http://schemas.openxmlformats.org/officeDocument/2006/relationships/hyperlink" Target="https://thehovi.com/blog/agency-insights/top-10-digital-marketing-agencies-dubai-2026" TargetMode="External"/><Relationship Id="rId38" Type="http://schemas.openxmlformats.org/officeDocument/2006/relationships/hyperlink" Target="http://globalmediainsight.com" TargetMode="External"/><Relationship Id="rId62" Type="http://schemas.openxmlformats.org/officeDocument/2006/relationships/hyperlink" Target="http://c2cmedia.ae" TargetMode="External"/><Relationship Id="rId61" Type="http://schemas.openxmlformats.org/officeDocument/2006/relationships/hyperlink" Target="https://c2cmedia.ae/services/performance-marketing/" TargetMode="External"/><Relationship Id="rId20" Type="http://schemas.openxmlformats.org/officeDocument/2006/relationships/hyperlink" Target="https://www.housesofgrowth.com/post/ai-marketing-agencies-in-the-uae" TargetMode="External"/><Relationship Id="rId64" Type="http://schemas.openxmlformats.org/officeDocument/2006/relationships/hyperlink" Target="http://apptunix.ae" TargetMode="External"/><Relationship Id="rId63" Type="http://schemas.openxmlformats.org/officeDocument/2006/relationships/hyperlink" Target="https://www.apptunix.ae/digital-marketing-agency-dubai-uae/" TargetMode="External"/><Relationship Id="rId22" Type="http://schemas.openxmlformats.org/officeDocument/2006/relationships/hyperlink" Target="https://growthhackers.digital/best-performance-marketing-agencies-in-uae/" TargetMode="External"/><Relationship Id="rId66" Type="http://schemas.openxmlformats.org/officeDocument/2006/relationships/hyperlink" Target="http://hashtag-me.com" TargetMode="External"/><Relationship Id="rId21" Type="http://schemas.openxmlformats.org/officeDocument/2006/relationships/hyperlink" Target="http://housesofgrowth.com" TargetMode="External"/><Relationship Id="rId65" Type="http://schemas.openxmlformats.org/officeDocument/2006/relationships/hyperlink" Target="https://hashtag-me.com/services/social-media-agency-paid-social/" TargetMode="External"/><Relationship Id="rId24" Type="http://schemas.openxmlformats.org/officeDocument/2006/relationships/hyperlink" Target="http://bicommunications.ae" TargetMode="External"/><Relationship Id="rId68" Type="http://schemas.openxmlformats.org/officeDocument/2006/relationships/hyperlink" Target="http://kineticcs.com" TargetMode="External"/><Relationship Id="rId23" Type="http://schemas.openxmlformats.org/officeDocument/2006/relationships/hyperlink" Target="https://www.bicommunications.ae/blog/best-google-ads-agencies-uae/" TargetMode="External"/><Relationship Id="rId67" Type="http://schemas.openxmlformats.org/officeDocument/2006/relationships/hyperlink" Target="https://kineticcs.com/ai-consulting-services-in-dubai-kinetic-consultancy/" TargetMode="External"/><Relationship Id="rId60" Type="http://schemas.openxmlformats.org/officeDocument/2006/relationships/hyperlink" Target="http://bicommunications.ae" TargetMode="External"/><Relationship Id="rId26" Type="http://schemas.openxmlformats.org/officeDocument/2006/relationships/hyperlink" Target="http://bicommunications.ae" TargetMode="External"/><Relationship Id="rId25" Type="http://schemas.openxmlformats.org/officeDocument/2006/relationships/hyperlink" Target="https://www.bicommunications.ae/blog/best-ppc-agencies-uae/" TargetMode="External"/><Relationship Id="rId69" Type="http://schemas.openxmlformats.org/officeDocument/2006/relationships/hyperlink" Target="https://www.mcsaatchiperformance.com/dubai/" TargetMode="External"/><Relationship Id="rId28" Type="http://schemas.openxmlformats.org/officeDocument/2006/relationships/hyperlink" Target="http://c2cmedia.ae" TargetMode="External"/><Relationship Id="rId27" Type="http://schemas.openxmlformats.org/officeDocument/2006/relationships/hyperlink" Target="https://c2cmedia.ae/blog/best-social-media-agencies-in-dubai/" TargetMode="External"/><Relationship Id="rId29" Type="http://schemas.openxmlformats.org/officeDocument/2006/relationships/hyperlink" Target="https://www.designrush.com/agency/ad-agencies/ae" TargetMode="External"/><Relationship Id="rId51" Type="http://schemas.openxmlformats.org/officeDocument/2006/relationships/hyperlink" Target="https://theuaeblog.com/work/top-10-marketing-analytics-agencies-in-the-uae/" TargetMode="External"/><Relationship Id="rId50" Type="http://schemas.openxmlformats.org/officeDocument/2006/relationships/hyperlink" Target="http://bicommunications.ae" TargetMode="External"/><Relationship Id="rId53" Type="http://schemas.openxmlformats.org/officeDocument/2006/relationships/hyperlink" Target="https://byteeit.com/blog/best-google-partners-in-uae" TargetMode="External"/><Relationship Id="rId52" Type="http://schemas.openxmlformats.org/officeDocument/2006/relationships/hyperlink" Target="http://theuaeblog.com" TargetMode="External"/><Relationship Id="rId11" Type="http://schemas.openxmlformats.org/officeDocument/2006/relationships/hyperlink" Target="http://pushgroup.ae" TargetMode="External"/><Relationship Id="rId55" Type="http://schemas.openxmlformats.org/officeDocument/2006/relationships/hyperlink" Target="https://eseospace.com/blog/best-ai-seo-consultants-dubai-2026/" TargetMode="External"/><Relationship Id="rId10" Type="http://schemas.openxmlformats.org/officeDocument/2006/relationships/hyperlink" Target="https://www.pushgroup.ae/blog/top-9-geo-agencies-in-dubai" TargetMode="External"/><Relationship Id="rId54" Type="http://schemas.openxmlformats.org/officeDocument/2006/relationships/hyperlink" Target="http://byteeit.com" TargetMode="External"/><Relationship Id="rId13" Type="http://schemas.openxmlformats.org/officeDocument/2006/relationships/hyperlink" Target="http://wearetenet.com" TargetMode="External"/><Relationship Id="rId57" Type="http://schemas.openxmlformats.org/officeDocument/2006/relationships/hyperlink" Target="https://www.solved6.com/blogs/best-digital-marketing-agencies-dubai-2026-report" TargetMode="External"/><Relationship Id="rId12" Type="http://schemas.openxmlformats.org/officeDocument/2006/relationships/hyperlink" Target="https://www.wearetenet.com/blog/best-geo-services-in-dubai" TargetMode="External"/><Relationship Id="rId56" Type="http://schemas.openxmlformats.org/officeDocument/2006/relationships/hyperlink" Target="http://eseospace.com" TargetMode="External"/><Relationship Id="rId15" Type="http://schemas.openxmlformats.org/officeDocument/2006/relationships/hyperlink" Target="http://waimhub.com" TargetMode="External"/><Relationship Id="rId59" Type="http://schemas.openxmlformats.org/officeDocument/2006/relationships/hyperlink" Target="https://www.bicommunications.ae/blog/best-digital-marketing-agencies-uae/" TargetMode="External"/><Relationship Id="rId14" Type="http://schemas.openxmlformats.org/officeDocument/2006/relationships/hyperlink" Target="https://waimhub.com/best-aeo-geo-agencies-dubai/" TargetMode="External"/><Relationship Id="rId58" Type="http://schemas.openxmlformats.org/officeDocument/2006/relationships/hyperlink" Target="http://solved6.com" TargetMode="External"/><Relationship Id="rId17" Type="http://schemas.openxmlformats.org/officeDocument/2006/relationships/hyperlink" Target="http://digitalgravity.ae" TargetMode="External"/><Relationship Id="rId16" Type="http://schemas.openxmlformats.org/officeDocument/2006/relationships/hyperlink" Target="https://www.digitalgravity.ae/blog/top-answer-engine-optimization-aeo-agencies-in-dubai/" TargetMode="External"/><Relationship Id="rId19" Type="http://schemas.openxmlformats.org/officeDocument/2006/relationships/hyperlink" Target="http://phable.io" TargetMode="External"/><Relationship Id="rId18" Type="http://schemas.openxmlformats.org/officeDocument/2006/relationships/hyperlink" Target="https://www.phable.io/top-creative-agencies/top-10-creative-agencies-operating-in-the-uae"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further.co" TargetMode="External"/><Relationship Id="rId190" Type="http://schemas.openxmlformats.org/officeDocument/2006/relationships/hyperlink" Target="http://accenture.com" TargetMode="External"/><Relationship Id="rId42" Type="http://schemas.openxmlformats.org/officeDocument/2006/relationships/hyperlink" Target="http://acadia.io" TargetMode="External"/><Relationship Id="rId41" Type="http://schemas.openxmlformats.org/officeDocument/2006/relationships/hyperlink" Target="http://msqpartners.com" TargetMode="External"/><Relationship Id="rId44" Type="http://schemas.openxmlformats.org/officeDocument/2006/relationships/hyperlink" Target="http://disruptiveadvertising.com" TargetMode="External"/><Relationship Id="rId194" Type="http://schemas.openxmlformats.org/officeDocument/2006/relationships/hyperlink" Target="http://incubeta.com" TargetMode="External"/><Relationship Id="rId43" Type="http://schemas.openxmlformats.org/officeDocument/2006/relationships/hyperlink" Target="http://tinuiti.com" TargetMode="External"/><Relationship Id="rId193" Type="http://schemas.openxmlformats.org/officeDocument/2006/relationships/hyperlink" Target="http://aufgesang.de" TargetMode="External"/><Relationship Id="rId46" Type="http://schemas.openxmlformats.org/officeDocument/2006/relationships/hyperlink" Target="http://wpromote.com" TargetMode="External"/><Relationship Id="rId192" Type="http://schemas.openxmlformats.org/officeDocument/2006/relationships/hyperlink" Target="http://feld-m.de" TargetMode="External"/><Relationship Id="rId45" Type="http://schemas.openxmlformats.org/officeDocument/2006/relationships/hyperlink" Target="http://webfx.com" TargetMode="External"/><Relationship Id="rId191" Type="http://schemas.openxmlformats.org/officeDocument/2006/relationships/hyperlink" Target="http://deptagency.com" TargetMode="External"/><Relationship Id="rId48" Type="http://schemas.openxmlformats.org/officeDocument/2006/relationships/hyperlink" Target="http://directiveconsulting.com" TargetMode="External"/><Relationship Id="rId187" Type="http://schemas.openxmlformats.org/officeDocument/2006/relationships/hyperlink" Target="http://measured.com" TargetMode="External"/><Relationship Id="rId47" Type="http://schemas.openxmlformats.org/officeDocument/2006/relationships/hyperlink" Target="http://nogood.io" TargetMode="External"/><Relationship Id="rId186" Type="http://schemas.openxmlformats.org/officeDocument/2006/relationships/hyperlink" Target="http://mediaplus.com" TargetMode="External"/><Relationship Id="rId185" Type="http://schemas.openxmlformats.org/officeDocument/2006/relationships/hyperlink" Target="http://the-boutique-agency.de" TargetMode="External"/><Relationship Id="rId49" Type="http://schemas.openxmlformats.org/officeDocument/2006/relationships/hyperlink" Target="http://powerdigitalmarketing.com" TargetMode="External"/><Relationship Id="rId184" Type="http://schemas.openxmlformats.org/officeDocument/2006/relationships/hyperlink" Target="http://dentsu.com" TargetMode="External"/><Relationship Id="rId189" Type="http://schemas.openxmlformats.org/officeDocument/2006/relationships/hyperlink" Target="http://suchhelden.de" TargetMode="External"/><Relationship Id="rId188" Type="http://schemas.openxmlformats.org/officeDocument/2006/relationships/hyperlink" Target="http://omnicomgroup.com" TargetMode="External"/><Relationship Id="rId31" Type="http://schemas.openxmlformats.org/officeDocument/2006/relationships/hyperlink" Target="http://makingscience.com" TargetMode="External"/><Relationship Id="rId30" Type="http://schemas.openxmlformats.org/officeDocument/2006/relationships/hyperlink" Target="http://pmg.com" TargetMode="External"/><Relationship Id="rId33" Type="http://schemas.openxmlformats.org/officeDocument/2006/relationships/hyperlink" Target="http://tinuiti.com" TargetMode="External"/><Relationship Id="rId183" Type="http://schemas.openxmlformats.org/officeDocument/2006/relationships/hyperlink" Target="http://smarketer.de" TargetMode="External"/><Relationship Id="rId32" Type="http://schemas.openxmlformats.org/officeDocument/2006/relationships/hyperlink" Target="http://idhl.co.uk" TargetMode="External"/><Relationship Id="rId182" Type="http://schemas.openxmlformats.org/officeDocument/2006/relationships/hyperlink" Target="http://artefact-made.com" TargetMode="External"/><Relationship Id="rId35" Type="http://schemas.openxmlformats.org/officeDocument/2006/relationships/hyperlink" Target="http://powerdigitalmarketing.com" TargetMode="External"/><Relationship Id="rId181" Type="http://schemas.openxmlformats.org/officeDocument/2006/relationships/hyperlink" Target="http://mawave.com" TargetMode="External"/><Relationship Id="rId34" Type="http://schemas.openxmlformats.org/officeDocument/2006/relationships/hyperlink" Target="http://cosmo5.com" TargetMode="External"/><Relationship Id="rId180" Type="http://schemas.openxmlformats.org/officeDocument/2006/relationships/hyperlink" Target="http://jvm.com" TargetMode="External"/><Relationship Id="rId37" Type="http://schemas.openxmlformats.org/officeDocument/2006/relationships/hyperlink" Target="http://thebrandtechgroup.com" TargetMode="External"/><Relationship Id="rId176" Type="http://schemas.openxmlformats.org/officeDocument/2006/relationships/hyperlink" Target="http://dreikon.de" TargetMode="External"/><Relationship Id="rId36" Type="http://schemas.openxmlformats.org/officeDocument/2006/relationships/hyperlink" Target="http://www.momentumww.com/" TargetMode="External"/><Relationship Id="rId175" Type="http://schemas.openxmlformats.org/officeDocument/2006/relationships/hyperlink" Target="http://klickpiloten.de" TargetMode="External"/><Relationship Id="rId39" Type="http://schemas.openxmlformats.org/officeDocument/2006/relationships/hyperlink" Target="http://adswerve.com" TargetMode="External"/><Relationship Id="rId174" Type="http://schemas.openxmlformats.org/officeDocument/2006/relationships/hyperlink" Target="http://house-of-communication.com" TargetMode="External"/><Relationship Id="rId38" Type="http://schemas.openxmlformats.org/officeDocument/2006/relationships/hyperlink" Target="http://newengen.com" TargetMode="External"/><Relationship Id="rId173" Type="http://schemas.openxmlformats.org/officeDocument/2006/relationships/hyperlink" Target="http://claneo.com" TargetMode="External"/><Relationship Id="rId179" Type="http://schemas.openxmlformats.org/officeDocument/2006/relationships/hyperlink" Target="http://more-fire.com" TargetMode="External"/><Relationship Id="rId178" Type="http://schemas.openxmlformats.org/officeDocument/2006/relationships/hyperlink" Target="http://pilot.de" TargetMode="External"/><Relationship Id="rId177" Type="http://schemas.openxmlformats.org/officeDocument/2006/relationships/hyperlink" Target="http://radyant.io" TargetMode="External"/><Relationship Id="rId20" Type="http://schemas.openxmlformats.org/officeDocument/2006/relationships/hyperlink" Target="http://vxtx.co.uk" TargetMode="External"/><Relationship Id="rId22" Type="http://schemas.openxmlformats.org/officeDocument/2006/relationships/hyperlink" Target="http://wearesocial.com" TargetMode="External"/><Relationship Id="rId21" Type="http://schemas.openxmlformats.org/officeDocument/2006/relationships/hyperlink" Target="http://deptagency.com" TargetMode="External"/><Relationship Id="rId24" Type="http://schemas.openxmlformats.org/officeDocument/2006/relationships/hyperlink" Target="http://measured.com" TargetMode="External"/><Relationship Id="rId23" Type="http://schemas.openxmlformats.org/officeDocument/2006/relationships/hyperlink" Target="http://journeyfurther.com" TargetMode="External"/><Relationship Id="rId26" Type="http://schemas.openxmlformats.org/officeDocument/2006/relationships/hyperlink" Target="http://incubeta.com" TargetMode="External"/><Relationship Id="rId25" Type="http://schemas.openxmlformats.org/officeDocument/2006/relationships/hyperlink" Target="http://merkle.com" TargetMode="External"/><Relationship Id="rId28" Type="http://schemas.openxmlformats.org/officeDocument/2006/relationships/hyperlink" Target="http://hugeinc.com" TargetMode="External"/><Relationship Id="rId27" Type="http://schemas.openxmlformats.org/officeDocument/2006/relationships/hyperlink" Target="http://accenture.com" TargetMode="External"/><Relationship Id="rId29" Type="http://schemas.openxmlformats.org/officeDocument/2006/relationships/hyperlink" Target="http://deloittedigital.com" TargetMode="External"/><Relationship Id="rId11" Type="http://schemas.openxmlformats.org/officeDocument/2006/relationships/hyperlink" Target="http://we-discover.com" TargetMode="External"/><Relationship Id="rId10" Type="http://schemas.openxmlformats.org/officeDocument/2006/relationships/hyperlink" Target="http://clickslice.co.uk" TargetMode="External"/><Relationship Id="rId13" Type="http://schemas.openxmlformats.org/officeDocument/2006/relationships/hyperlink" Target="http://seoworks.co.uk" TargetMode="External"/><Relationship Id="rId12" Type="http://schemas.openxmlformats.org/officeDocument/2006/relationships/hyperlink" Target="http://bind.media/" TargetMode="External"/><Relationship Id="rId15" Type="http://schemas.openxmlformats.org/officeDocument/2006/relationships/hyperlink" Target="http://tilio.co.uk" TargetMode="External"/><Relationship Id="rId198" Type="http://schemas.openxmlformats.org/officeDocument/2006/relationships/hyperlink" Target="http://tinuiti.com" TargetMode="External"/><Relationship Id="rId14" Type="http://schemas.openxmlformats.org/officeDocument/2006/relationships/hyperlink" Target="http://open.partners/" TargetMode="External"/><Relationship Id="rId197" Type="http://schemas.openxmlformats.org/officeDocument/2006/relationships/hyperlink" Target="http://hugeinc.com" TargetMode="External"/><Relationship Id="rId17" Type="http://schemas.openxmlformats.org/officeDocument/2006/relationships/hyperlink" Target="http://dentsu.com" TargetMode="External"/><Relationship Id="rId196" Type="http://schemas.openxmlformats.org/officeDocument/2006/relationships/hyperlink" Target="http://brainlabsdigital.com" TargetMode="External"/><Relationship Id="rId16" Type="http://schemas.openxmlformats.org/officeDocument/2006/relationships/hyperlink" Target="http://rank4ai.co.uk" TargetMode="External"/><Relationship Id="rId195" Type="http://schemas.openxmlformats.org/officeDocument/2006/relationships/hyperlink" Target="http://deloittedigital.com" TargetMode="External"/><Relationship Id="rId19" Type="http://schemas.openxmlformats.org/officeDocument/2006/relationships/hyperlink" Target="http://passion.digital/" TargetMode="External"/><Relationship Id="rId18" Type="http://schemas.openxmlformats.org/officeDocument/2006/relationships/hyperlink" Target="http://polarisagency.com" TargetMode="External"/><Relationship Id="rId199" Type="http://schemas.openxmlformats.org/officeDocument/2006/relationships/hyperlink" Target="http://makingscience.com" TargetMode="External"/><Relationship Id="rId84" Type="http://schemas.openxmlformats.org/officeDocument/2006/relationships/hyperlink" Target="http://rocketagency.com.au" TargetMode="External"/><Relationship Id="rId83" Type="http://schemas.openxmlformats.org/officeDocument/2006/relationships/hyperlink" Target="http://cosmo5.com" TargetMode="External"/><Relationship Id="rId86" Type="http://schemas.openxmlformats.org/officeDocument/2006/relationships/hyperlink" Target="http://digitalnomadshq.com.au" TargetMode="External"/><Relationship Id="rId85" Type="http://schemas.openxmlformats.org/officeDocument/2006/relationships/hyperlink" Target="http://sparro.com.au" TargetMode="External"/><Relationship Id="rId88" Type="http://schemas.openxmlformats.org/officeDocument/2006/relationships/hyperlink" Target="http://soupagency.com.au" TargetMode="External"/><Relationship Id="rId150" Type="http://schemas.openxmlformats.org/officeDocument/2006/relationships/hyperlink" Target="http://hovi.ai" TargetMode="External"/><Relationship Id="rId87" Type="http://schemas.openxmlformats.org/officeDocument/2006/relationships/hyperlink" Target="http://impressive.com.au" TargetMode="External"/><Relationship Id="rId89" Type="http://schemas.openxmlformats.org/officeDocument/2006/relationships/hyperlink" Target="http://megaphone.com.au" TargetMode="External"/><Relationship Id="rId80" Type="http://schemas.openxmlformats.org/officeDocument/2006/relationships/hyperlink" Target="http://we-discover.com" TargetMode="External"/><Relationship Id="rId82" Type="http://schemas.openxmlformats.org/officeDocument/2006/relationships/hyperlink" Target="http://acadia.io" TargetMode="External"/><Relationship Id="rId81" Type="http://schemas.openxmlformats.org/officeDocument/2006/relationships/hyperlink" Target="http://www.msqpartners.com" TargetMode="External"/><Relationship Id="rId1" Type="http://schemas.openxmlformats.org/officeDocument/2006/relationships/hyperlink" Target="http://brainlabsdigital.com" TargetMode="External"/><Relationship Id="rId2" Type="http://schemas.openxmlformats.org/officeDocument/2006/relationships/hyperlink" Target="http://impressiondigital.com" TargetMode="External"/><Relationship Id="rId3" Type="http://schemas.openxmlformats.org/officeDocument/2006/relationships/hyperlink" Target="http://joinfound.com" TargetMode="External"/><Relationship Id="rId149" Type="http://schemas.openxmlformats.org/officeDocument/2006/relationships/hyperlink" Target="http://leadsdubai.com" TargetMode="External"/><Relationship Id="rId4" Type="http://schemas.openxmlformats.org/officeDocument/2006/relationships/hyperlink" Target="http://croud.com" TargetMode="External"/><Relationship Id="rId148" Type="http://schemas.openxmlformats.org/officeDocument/2006/relationships/hyperlink" Target="http://eds.ae" TargetMode="External"/><Relationship Id="rId9" Type="http://schemas.openxmlformats.org/officeDocument/2006/relationships/hyperlink" Target="http://pushgroup.co.uk" TargetMode="External"/><Relationship Id="rId143" Type="http://schemas.openxmlformats.org/officeDocument/2006/relationships/hyperlink" Target="http://unitedseo.ae" TargetMode="External"/><Relationship Id="rId142" Type="http://schemas.openxmlformats.org/officeDocument/2006/relationships/hyperlink" Target="http://ogilvy.com" TargetMode="External"/><Relationship Id="rId141" Type="http://schemas.openxmlformats.org/officeDocument/2006/relationships/hyperlink" Target="http://pwc.com" TargetMode="External"/><Relationship Id="rId140" Type="http://schemas.openxmlformats.org/officeDocument/2006/relationships/hyperlink" Target="http://pushgroup.ae" TargetMode="External"/><Relationship Id="rId5" Type="http://schemas.openxmlformats.org/officeDocument/2006/relationships/hyperlink" Target="http://pushdigitalagency.co.uk" TargetMode="External"/><Relationship Id="rId147" Type="http://schemas.openxmlformats.org/officeDocument/2006/relationships/hyperlink" Target="http://seosherpa.com" TargetMode="External"/><Relationship Id="rId6" Type="http://schemas.openxmlformats.org/officeDocument/2006/relationships/hyperlink" Target="http://hallam.agency/" TargetMode="External"/><Relationship Id="rId146" Type="http://schemas.openxmlformats.org/officeDocument/2006/relationships/hyperlink" Target="http://dentsu.com" TargetMode="External"/><Relationship Id="rId7" Type="http://schemas.openxmlformats.org/officeDocument/2006/relationships/hyperlink" Target="http://thesocialshepherd.com" TargetMode="External"/><Relationship Id="rId145" Type="http://schemas.openxmlformats.org/officeDocument/2006/relationships/hyperlink" Target="http://vml.com" TargetMode="External"/><Relationship Id="rId8" Type="http://schemas.openxmlformats.org/officeDocument/2006/relationships/hyperlink" Target="http://jellyfish.com" TargetMode="External"/><Relationship Id="rId144" Type="http://schemas.openxmlformats.org/officeDocument/2006/relationships/hyperlink" Target="http://tbwaraad.com" TargetMode="External"/><Relationship Id="rId73" Type="http://schemas.openxmlformats.org/officeDocument/2006/relationships/hyperlink" Target="http://makingscience.com" TargetMode="External"/><Relationship Id="rId72" Type="http://schemas.openxmlformats.org/officeDocument/2006/relationships/hyperlink" Target="http://incubeta.com" TargetMode="External"/><Relationship Id="rId75" Type="http://schemas.openxmlformats.org/officeDocument/2006/relationships/hyperlink" Target="http://momentumww.com" TargetMode="External"/><Relationship Id="rId74" Type="http://schemas.openxmlformats.org/officeDocument/2006/relationships/hyperlink" Target="http://newengen.com" TargetMode="External"/><Relationship Id="rId77" Type="http://schemas.openxmlformats.org/officeDocument/2006/relationships/hyperlink" Target="http://thebrandtechgroup.com" TargetMode="External"/><Relationship Id="rId76" Type="http://schemas.openxmlformats.org/officeDocument/2006/relationships/hyperlink" Target="http://further.co" TargetMode="External"/><Relationship Id="rId79" Type="http://schemas.openxmlformats.org/officeDocument/2006/relationships/hyperlink" Target="http://idhl.co.uk" TargetMode="External"/><Relationship Id="rId78" Type="http://schemas.openxmlformats.org/officeDocument/2006/relationships/hyperlink" Target="http://croud.com" TargetMode="External"/><Relationship Id="rId71" Type="http://schemas.openxmlformats.org/officeDocument/2006/relationships/hyperlink" Target="http://adswerve.com" TargetMode="External"/><Relationship Id="rId70" Type="http://schemas.openxmlformats.org/officeDocument/2006/relationships/hyperlink" Target="http://hugeinc.com" TargetMode="External"/><Relationship Id="rId139" Type="http://schemas.openxmlformats.org/officeDocument/2006/relationships/hyperlink" Target="http://waim.my" TargetMode="External"/><Relationship Id="rId138" Type="http://schemas.openxmlformats.org/officeDocument/2006/relationships/hyperlink" Target="http://mccann.com" TargetMode="External"/><Relationship Id="rId137" Type="http://schemas.openxmlformats.org/officeDocument/2006/relationships/hyperlink" Target="http://tenet.ae" TargetMode="External"/><Relationship Id="rId132" Type="http://schemas.openxmlformats.org/officeDocument/2006/relationships/hyperlink" Target="http://globalmediainsight.com" TargetMode="External"/><Relationship Id="rId131" Type="http://schemas.openxmlformats.org/officeDocument/2006/relationships/hyperlink" Target="http://digitalgravity.ae" TargetMode="External"/><Relationship Id="rId130" Type="http://schemas.openxmlformats.org/officeDocument/2006/relationships/hyperlink" Target="http://prism-digital.com" TargetMode="External"/><Relationship Id="rId136" Type="http://schemas.openxmlformats.org/officeDocument/2006/relationships/hyperlink" Target="http://mcsaatchiperformance.com" TargetMode="External"/><Relationship Id="rId135" Type="http://schemas.openxmlformats.org/officeDocument/2006/relationships/hyperlink" Target="http://impactbbdo.com" TargetMode="External"/><Relationship Id="rId134" Type="http://schemas.openxmlformats.org/officeDocument/2006/relationships/hyperlink" Target="http://digitalfarm.ae" TargetMode="External"/><Relationship Id="rId133" Type="http://schemas.openxmlformats.org/officeDocument/2006/relationships/hyperlink" Target="http://publicisgroupe.com" TargetMode="External"/><Relationship Id="rId62" Type="http://schemas.openxmlformats.org/officeDocument/2006/relationships/hyperlink" Target="http://npdigital.com" TargetMode="External"/><Relationship Id="rId61" Type="http://schemas.openxmlformats.org/officeDocument/2006/relationships/hyperlink" Target="http://singlegrain.com" TargetMode="External"/><Relationship Id="rId64" Type="http://schemas.openxmlformats.org/officeDocument/2006/relationships/hyperlink" Target="http://artefact.com" TargetMode="External"/><Relationship Id="rId63" Type="http://schemas.openxmlformats.org/officeDocument/2006/relationships/hyperlink" Target="http://measured.com" TargetMode="External"/><Relationship Id="rId66" Type="http://schemas.openxmlformats.org/officeDocument/2006/relationships/hyperlink" Target="http://brainlabsdigital.com" TargetMode="External"/><Relationship Id="rId172" Type="http://schemas.openxmlformats.org/officeDocument/2006/relationships/hyperlink" Target="http://mediacharge.com" TargetMode="External"/><Relationship Id="rId65" Type="http://schemas.openxmlformats.org/officeDocument/2006/relationships/hyperlink" Target="http://dentsu.com" TargetMode="External"/><Relationship Id="rId171" Type="http://schemas.openxmlformats.org/officeDocument/2006/relationships/hyperlink" Target="http://monsoonlondon.com" TargetMode="External"/><Relationship Id="rId68" Type="http://schemas.openxmlformats.org/officeDocument/2006/relationships/hyperlink" Target="http://deloittedigital.com" TargetMode="External"/><Relationship Id="rId170" Type="http://schemas.openxmlformats.org/officeDocument/2006/relationships/hyperlink" Target="http://makingscience.com" TargetMode="External"/><Relationship Id="rId67" Type="http://schemas.openxmlformats.org/officeDocument/2006/relationships/hyperlink" Target="http://vml.com" TargetMode="External"/><Relationship Id="rId60" Type="http://schemas.openxmlformats.org/officeDocument/2006/relationships/hyperlink" Target="http://merkle.com" TargetMode="External"/><Relationship Id="rId165" Type="http://schemas.openxmlformats.org/officeDocument/2006/relationships/hyperlink" Target="http://croud.com" TargetMode="External"/><Relationship Id="rId69" Type="http://schemas.openxmlformats.org/officeDocument/2006/relationships/hyperlink" Target="http://pmg.com" TargetMode="External"/><Relationship Id="rId164" Type="http://schemas.openxmlformats.org/officeDocument/2006/relationships/hyperlink" Target="http://msqpartners.com" TargetMode="External"/><Relationship Id="rId163" Type="http://schemas.openxmlformats.org/officeDocument/2006/relationships/hyperlink" Target="http://acadia.io" TargetMode="External"/><Relationship Id="rId162" Type="http://schemas.openxmlformats.org/officeDocument/2006/relationships/hyperlink" Target="http://adswerve.com" TargetMode="External"/><Relationship Id="rId169" Type="http://schemas.openxmlformats.org/officeDocument/2006/relationships/hyperlink" Target="http://we-discover.com" TargetMode="External"/><Relationship Id="rId168" Type="http://schemas.openxmlformats.org/officeDocument/2006/relationships/hyperlink" Target="http://thebrandtechgroup.com" TargetMode="External"/><Relationship Id="rId167" Type="http://schemas.openxmlformats.org/officeDocument/2006/relationships/hyperlink" Target="http://further.co" TargetMode="External"/><Relationship Id="rId166" Type="http://schemas.openxmlformats.org/officeDocument/2006/relationships/hyperlink" Target="http://pmg.com" TargetMode="External"/><Relationship Id="rId51" Type="http://schemas.openxmlformats.org/officeDocument/2006/relationships/hyperlink" Target="http://clutch.co" TargetMode="External"/><Relationship Id="rId50" Type="http://schemas.openxmlformats.org/officeDocument/2006/relationships/hyperlink" Target="http://ipullrank.com" TargetMode="External"/><Relationship Id="rId53" Type="http://schemas.openxmlformats.org/officeDocument/2006/relationships/hyperlink" Target="http://firstpagesage.com" TargetMode="External"/><Relationship Id="rId52" Type="http://schemas.openxmlformats.org/officeDocument/2006/relationships/hyperlink" Target="http://klientboost.com" TargetMode="External"/><Relationship Id="rId55" Type="http://schemas.openxmlformats.org/officeDocument/2006/relationships/hyperlink" Target="http://ogilvy.com" TargetMode="External"/><Relationship Id="rId161" Type="http://schemas.openxmlformats.org/officeDocument/2006/relationships/hyperlink" Target="http://hugeinc.com" TargetMode="External"/><Relationship Id="rId54" Type="http://schemas.openxmlformats.org/officeDocument/2006/relationships/hyperlink" Target="http://ignitevisibility.com" TargetMode="External"/><Relationship Id="rId160" Type="http://schemas.openxmlformats.org/officeDocument/2006/relationships/hyperlink" Target="http://newengen.com" TargetMode="External"/><Relationship Id="rId57" Type="http://schemas.openxmlformats.org/officeDocument/2006/relationships/hyperlink" Target="http://beomniscient.com" TargetMode="External"/><Relationship Id="rId56" Type="http://schemas.openxmlformats.org/officeDocument/2006/relationships/hyperlink" Target="http://smartsites.com" TargetMode="External"/><Relationship Id="rId159" Type="http://schemas.openxmlformats.org/officeDocument/2006/relationships/hyperlink" Target="http://brainlabsdigital.com" TargetMode="External"/><Relationship Id="rId59" Type="http://schemas.openxmlformats.org/officeDocument/2006/relationships/hyperlink" Target="http://accenture.com" TargetMode="External"/><Relationship Id="rId154" Type="http://schemas.openxmlformats.org/officeDocument/2006/relationships/hyperlink" Target="http://momentumww.com" TargetMode="External"/><Relationship Id="rId58" Type="http://schemas.openxmlformats.org/officeDocument/2006/relationships/hyperlink" Target="http://siegemedia.com" TargetMode="External"/><Relationship Id="rId153" Type="http://schemas.openxmlformats.org/officeDocument/2006/relationships/hyperlink" Target="http://deloittedigital.com" TargetMode="External"/><Relationship Id="rId152" Type="http://schemas.openxmlformats.org/officeDocument/2006/relationships/hyperlink" Target="http://incubeta.com" TargetMode="External"/><Relationship Id="rId151" Type="http://schemas.openxmlformats.org/officeDocument/2006/relationships/hyperlink" Target="http://accenture.com" TargetMode="External"/><Relationship Id="rId158" Type="http://schemas.openxmlformats.org/officeDocument/2006/relationships/hyperlink" Target="http://idhl.co.uk" TargetMode="External"/><Relationship Id="rId157" Type="http://schemas.openxmlformats.org/officeDocument/2006/relationships/hyperlink" Target="http://cosmo5.com" TargetMode="External"/><Relationship Id="rId156" Type="http://schemas.openxmlformats.org/officeDocument/2006/relationships/hyperlink" Target="http://powerdigitalmarketing.com" TargetMode="External"/><Relationship Id="rId155" Type="http://schemas.openxmlformats.org/officeDocument/2006/relationships/hyperlink" Target="http://tinuiti.com" TargetMode="External"/><Relationship Id="rId107" Type="http://schemas.openxmlformats.org/officeDocument/2006/relationships/hyperlink" Target="http://bushnote.com" TargetMode="External"/><Relationship Id="rId106" Type="http://schemas.openxmlformats.org/officeDocument/2006/relationships/hyperlink" Target="http://deloitte.com" TargetMode="External"/><Relationship Id="rId105" Type="http://schemas.openxmlformats.org/officeDocument/2006/relationships/hyperlink" Target="http://measured.com" TargetMode="External"/><Relationship Id="rId104" Type="http://schemas.openxmlformats.org/officeDocument/2006/relationships/hyperlink" Target="http://emotenow.com" TargetMode="External"/><Relationship Id="rId109" Type="http://schemas.openxmlformats.org/officeDocument/2006/relationships/hyperlink" Target="http://dentsu.com" TargetMode="External"/><Relationship Id="rId108" Type="http://schemas.openxmlformats.org/officeDocument/2006/relationships/hyperlink" Target="http://firstpage.com.au" TargetMode="External"/><Relationship Id="rId103" Type="http://schemas.openxmlformats.org/officeDocument/2006/relationships/hyperlink" Target="http://sixgun.com.au" TargetMode="External"/><Relationship Id="rId102" Type="http://schemas.openxmlformats.org/officeDocument/2006/relationships/hyperlink" Target="http://accenture.com" TargetMode="External"/><Relationship Id="rId101" Type="http://schemas.openxmlformats.org/officeDocument/2006/relationships/hyperlink" Target="http://herohq.com.au" TargetMode="External"/><Relationship Id="rId100" Type="http://schemas.openxmlformats.org/officeDocument/2006/relationships/hyperlink" Target="http://firstpagesage.com" TargetMode="External"/><Relationship Id="rId213" Type="http://schemas.openxmlformats.org/officeDocument/2006/relationships/drawing" Target="../drawings/drawing7.xml"/><Relationship Id="rId212" Type="http://schemas.openxmlformats.org/officeDocument/2006/relationships/hyperlink" Target="http://we-discover.com" TargetMode="External"/><Relationship Id="rId211" Type="http://schemas.openxmlformats.org/officeDocument/2006/relationships/hyperlink" Target="http://adswerve.com" TargetMode="External"/><Relationship Id="rId210" Type="http://schemas.openxmlformats.org/officeDocument/2006/relationships/hyperlink" Target="http://acadia.io" TargetMode="External"/><Relationship Id="rId129" Type="http://schemas.openxmlformats.org/officeDocument/2006/relationships/hyperlink" Target="http://chainreaction.ae" TargetMode="External"/><Relationship Id="rId128" Type="http://schemas.openxmlformats.org/officeDocument/2006/relationships/hyperlink" Target="http://digitalnexa.com" TargetMode="External"/><Relationship Id="rId127" Type="http://schemas.openxmlformats.org/officeDocument/2006/relationships/hyperlink" Target="http://newengen.com" TargetMode="External"/><Relationship Id="rId126" Type="http://schemas.openxmlformats.org/officeDocument/2006/relationships/hyperlink" Target="http://msqpartners.com" TargetMode="External"/><Relationship Id="rId121" Type="http://schemas.openxmlformats.org/officeDocument/2006/relationships/hyperlink" Target="http://we-discover.com" TargetMode="External"/><Relationship Id="rId120" Type="http://schemas.openxmlformats.org/officeDocument/2006/relationships/hyperlink" Target="http://tinuiti.com" TargetMode="External"/><Relationship Id="rId125" Type="http://schemas.openxmlformats.org/officeDocument/2006/relationships/hyperlink" Target="http://thebrandtechgroup.com" TargetMode="External"/><Relationship Id="rId124" Type="http://schemas.openxmlformats.org/officeDocument/2006/relationships/hyperlink" Target="http://pmg.com" TargetMode="External"/><Relationship Id="rId123" Type="http://schemas.openxmlformats.org/officeDocument/2006/relationships/hyperlink" Target="http://cosmo5.com" TargetMode="External"/><Relationship Id="rId122" Type="http://schemas.openxmlformats.org/officeDocument/2006/relationships/hyperlink" Target="http://croud.com" TargetMode="External"/><Relationship Id="rId95" Type="http://schemas.openxmlformats.org/officeDocument/2006/relationships/hyperlink" Target="http://prosperitymedia.com.au" TargetMode="External"/><Relationship Id="rId94" Type="http://schemas.openxmlformats.org/officeDocument/2006/relationships/hyperlink" Target="http://inmarketingwetrust.com.au" TargetMode="External"/><Relationship Id="rId97" Type="http://schemas.openxmlformats.org/officeDocument/2006/relationships/hyperlink" Target="http://withluminary.com" TargetMode="External"/><Relationship Id="rId96" Type="http://schemas.openxmlformats.org/officeDocument/2006/relationships/hyperlink" Target="http://brainlabsdigital.com" TargetMode="External"/><Relationship Id="rId99" Type="http://schemas.openxmlformats.org/officeDocument/2006/relationships/hyperlink" Target="http://talonsmarketing.com.au" TargetMode="External"/><Relationship Id="rId98" Type="http://schemas.openxmlformats.org/officeDocument/2006/relationships/hyperlink" Target="http://farsiight.com" TargetMode="External"/><Relationship Id="rId91" Type="http://schemas.openxmlformats.org/officeDocument/2006/relationships/hyperlink" Target="http://resolutiondigital.com.au" TargetMode="External"/><Relationship Id="rId90" Type="http://schemas.openxmlformats.org/officeDocument/2006/relationships/hyperlink" Target="http://onlinemarketinggurus.com.au" TargetMode="External"/><Relationship Id="rId93" Type="http://schemas.openxmlformats.org/officeDocument/2006/relationships/hyperlink" Target="http://omnicommediagroup.com" TargetMode="External"/><Relationship Id="rId92" Type="http://schemas.openxmlformats.org/officeDocument/2006/relationships/hyperlink" Target="http://clearwateragency.com.au" TargetMode="External"/><Relationship Id="rId118" Type="http://schemas.openxmlformats.org/officeDocument/2006/relationships/hyperlink" Target="http://further.co" TargetMode="External"/><Relationship Id="rId117" Type="http://schemas.openxmlformats.org/officeDocument/2006/relationships/hyperlink" Target="http://powerdigitalmarketing.com" TargetMode="External"/><Relationship Id="rId116" Type="http://schemas.openxmlformats.org/officeDocument/2006/relationships/hyperlink" Target="http://adswerve.com" TargetMode="External"/><Relationship Id="rId115" Type="http://schemas.openxmlformats.org/officeDocument/2006/relationships/hyperlink" Target="http://acadia.io" TargetMode="External"/><Relationship Id="rId119" Type="http://schemas.openxmlformats.org/officeDocument/2006/relationships/hyperlink" Target="http://idhl.co.uk" TargetMode="External"/><Relationship Id="rId110" Type="http://schemas.openxmlformats.org/officeDocument/2006/relationships/hyperlink" Target="http://deloittedigital.com" TargetMode="External"/><Relationship Id="rId114" Type="http://schemas.openxmlformats.org/officeDocument/2006/relationships/hyperlink" Target="http://makingscience.com" TargetMode="External"/><Relationship Id="rId113" Type="http://schemas.openxmlformats.org/officeDocument/2006/relationships/hyperlink" Target="http://momentumww.com" TargetMode="External"/><Relationship Id="rId112" Type="http://schemas.openxmlformats.org/officeDocument/2006/relationships/hyperlink" Target="http://hugeinc.com" TargetMode="External"/><Relationship Id="rId111" Type="http://schemas.openxmlformats.org/officeDocument/2006/relationships/hyperlink" Target="http://incubeta.com" TargetMode="External"/><Relationship Id="rId206" Type="http://schemas.openxmlformats.org/officeDocument/2006/relationships/hyperlink" Target="http://idhl.co.uk" TargetMode="External"/><Relationship Id="rId205" Type="http://schemas.openxmlformats.org/officeDocument/2006/relationships/hyperlink" Target="http://croud.com" TargetMode="External"/><Relationship Id="rId204" Type="http://schemas.openxmlformats.org/officeDocument/2006/relationships/hyperlink" Target="http://powerdigitalmarketing.com" TargetMode="External"/><Relationship Id="rId203" Type="http://schemas.openxmlformats.org/officeDocument/2006/relationships/hyperlink" Target="http://thebrandtechgroup.com" TargetMode="External"/><Relationship Id="rId209" Type="http://schemas.openxmlformats.org/officeDocument/2006/relationships/hyperlink" Target="http://msqpartners.com" TargetMode="External"/><Relationship Id="rId208" Type="http://schemas.openxmlformats.org/officeDocument/2006/relationships/hyperlink" Target="http://newengen.com" TargetMode="External"/><Relationship Id="rId207" Type="http://schemas.openxmlformats.org/officeDocument/2006/relationships/hyperlink" Target="http://further.co" TargetMode="External"/><Relationship Id="rId202" Type="http://schemas.openxmlformats.org/officeDocument/2006/relationships/hyperlink" Target="http://pmg.com" TargetMode="External"/><Relationship Id="rId201" Type="http://schemas.openxmlformats.org/officeDocument/2006/relationships/hyperlink" Target="http://momentumww.com" TargetMode="External"/><Relationship Id="rId200" Type="http://schemas.openxmlformats.org/officeDocument/2006/relationships/hyperlink" Target="http://cosmo5.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92" Type="http://schemas.openxmlformats.org/officeDocument/2006/relationships/hyperlink" Target="http://google.com" TargetMode="External"/><Relationship Id="rId391" Type="http://schemas.openxmlformats.org/officeDocument/2006/relationships/hyperlink" Target="https://support.google.com/tagmanager/answer/7237700?hl=EN" TargetMode="External"/><Relationship Id="rId390" Type="http://schemas.openxmlformats.org/officeDocument/2006/relationships/hyperlink" Target="http://google.com" TargetMode="External"/><Relationship Id="rId1" Type="http://schemas.openxmlformats.org/officeDocument/2006/relationships/hyperlink" Target="https://clutch.co/us/agencies" TargetMode="External"/><Relationship Id="rId2" Type="http://schemas.openxmlformats.org/officeDocument/2006/relationships/hyperlink" Target="http://clutch.co" TargetMode="External"/><Relationship Id="rId3" Type="http://schemas.openxmlformats.org/officeDocument/2006/relationships/hyperlink" Target="http://google.com" TargetMode="External"/><Relationship Id="rId4" Type="http://schemas.openxmlformats.org/officeDocument/2006/relationships/hyperlink" Target="https://clutch.co/us/agencies/digital-marketing" TargetMode="External"/><Relationship Id="rId2180" Type="http://schemas.openxmlformats.org/officeDocument/2006/relationships/hyperlink" Target="https://digitalagencynetwork.com/agencies/usa/ai-marketing/" TargetMode="External"/><Relationship Id="rId2181" Type="http://schemas.openxmlformats.org/officeDocument/2006/relationships/hyperlink" Target="http://digitalagencynetwork.com" TargetMode="External"/><Relationship Id="rId2182" Type="http://schemas.openxmlformats.org/officeDocument/2006/relationships/hyperlink" Target="https://feedbax.ai/google-ads/berlin" TargetMode="External"/><Relationship Id="rId2183" Type="http://schemas.openxmlformats.org/officeDocument/2006/relationships/hyperlink" Target="http://feedbax.ai" TargetMode="External"/><Relationship Id="rId9" Type="http://schemas.openxmlformats.org/officeDocument/2006/relationships/hyperlink" Target="https://digitalagencynetwork.com/agencies/usa/ai-marketing/" TargetMode="External"/><Relationship Id="rId385" Type="http://schemas.openxmlformats.org/officeDocument/2006/relationships/hyperlink" Target="https://www.sortlist.com/s/creative/united-states-us" TargetMode="External"/><Relationship Id="rId2184" Type="http://schemas.openxmlformats.org/officeDocument/2006/relationships/hyperlink" Target="https://feedbax.ai/performance-marketing" TargetMode="External"/><Relationship Id="rId384" Type="http://schemas.openxmlformats.org/officeDocument/2006/relationships/hyperlink" Target="http://semrush.com" TargetMode="External"/><Relationship Id="rId2185" Type="http://schemas.openxmlformats.org/officeDocument/2006/relationships/hyperlink" Target="http://feedbax.ai" TargetMode="External"/><Relationship Id="rId383" Type="http://schemas.openxmlformats.org/officeDocument/2006/relationships/hyperlink" Target="https://www.semrush.com/agencies/list/display-advertising/united-states/" TargetMode="External"/><Relationship Id="rId2186" Type="http://schemas.openxmlformats.org/officeDocument/2006/relationships/hyperlink" Target="https://www.ibusiness.de/performance-ranking/performance_2024.html?sub=4" TargetMode="External"/><Relationship Id="rId382" Type="http://schemas.openxmlformats.org/officeDocument/2006/relationships/hyperlink" Target="http://withgoogle.com" TargetMode="External"/><Relationship Id="rId2187" Type="http://schemas.openxmlformats.org/officeDocument/2006/relationships/hyperlink" Target="http://ibusiness.de" TargetMode="External"/><Relationship Id="rId5" Type="http://schemas.openxmlformats.org/officeDocument/2006/relationships/hyperlink" Target="http://clutch.co" TargetMode="External"/><Relationship Id="rId389" Type="http://schemas.openxmlformats.org/officeDocument/2006/relationships/hyperlink" Target="https://support.google.com/google-ads/answer/11410677?hl=en" TargetMode="External"/><Relationship Id="rId2188" Type="http://schemas.openxmlformats.org/officeDocument/2006/relationships/hyperlink" Target="https://www.ibusiness.de/performance-ranking/performance_2025.html?sub=1" TargetMode="External"/><Relationship Id="rId6" Type="http://schemas.openxmlformats.org/officeDocument/2006/relationships/hyperlink" Target="http://withgoogle.com" TargetMode="External"/><Relationship Id="rId388" Type="http://schemas.openxmlformats.org/officeDocument/2006/relationships/hyperlink" Target="http://google.com" TargetMode="External"/><Relationship Id="rId2189" Type="http://schemas.openxmlformats.org/officeDocument/2006/relationships/hyperlink" Target="http://ibusiness.de" TargetMode="External"/><Relationship Id="rId7" Type="http://schemas.openxmlformats.org/officeDocument/2006/relationships/hyperlink" Target="https://www.webtonic.io/blog/best-paid-media-agencies-us" TargetMode="External"/><Relationship Id="rId387" Type="http://schemas.openxmlformats.org/officeDocument/2006/relationships/hyperlink" Target="https://support.google.com/analytics/answer/7237700?hl=en-AU" TargetMode="External"/><Relationship Id="rId8" Type="http://schemas.openxmlformats.org/officeDocument/2006/relationships/hyperlink" Target="http://webtonic.io" TargetMode="External"/><Relationship Id="rId386" Type="http://schemas.openxmlformats.org/officeDocument/2006/relationships/hyperlink" Target="http://sortlist.com" TargetMode="External"/><Relationship Id="rId381" Type="http://schemas.openxmlformats.org/officeDocument/2006/relationships/hyperlink" Target="https://partnersdirectory.withgoogle.com/?company_name=axis+local&amp;premier=true" TargetMode="External"/><Relationship Id="rId380" Type="http://schemas.openxmlformats.org/officeDocument/2006/relationships/hyperlink" Target="http://oneclub.org" TargetMode="External"/><Relationship Id="rId379" Type="http://schemas.openxmlformats.org/officeDocument/2006/relationships/hyperlink" Target="https://www.oneclub.org/awards/adcawards/-archive/agency/2025/61/all/1/840" TargetMode="External"/><Relationship Id="rId2170" Type="http://schemas.openxmlformats.org/officeDocument/2006/relationships/hyperlink" Target="https://clutch.co/de/it-services/analytics" TargetMode="External"/><Relationship Id="rId2171" Type="http://schemas.openxmlformats.org/officeDocument/2006/relationships/hyperlink" Target="http://clutch.co" TargetMode="External"/><Relationship Id="rId2172" Type="http://schemas.openxmlformats.org/officeDocument/2006/relationships/hyperlink" Target="https://www.cometly.com/post/marketing-attribution-tools-for-agencies" TargetMode="External"/><Relationship Id="rId374" Type="http://schemas.openxmlformats.org/officeDocument/2006/relationships/hyperlink" Target="http://goodfirms.co" TargetMode="External"/><Relationship Id="rId2173" Type="http://schemas.openxmlformats.org/officeDocument/2006/relationships/hyperlink" Target="http://cometly.com" TargetMode="External"/><Relationship Id="rId373" Type="http://schemas.openxmlformats.org/officeDocument/2006/relationships/hyperlink" Target="https://www.goodfirms.co/advertising-companies/programmatic?locations=us&amp;sort_by=rating" TargetMode="External"/><Relationship Id="rId2174" Type="http://schemas.openxmlformats.org/officeDocument/2006/relationships/hyperlink" Target="https://www.comparisonshoppingpartners.withgoogle.com/find_a_partner/" TargetMode="External"/><Relationship Id="rId372" Type="http://schemas.openxmlformats.org/officeDocument/2006/relationships/hyperlink" Target="https://enterprisemarketingportal.google/find-a-partner/adswerve-us?certificationsFilters=Tag%20Manager" TargetMode="External"/><Relationship Id="rId2175" Type="http://schemas.openxmlformats.org/officeDocument/2006/relationships/hyperlink" Target="http://withgoogle.com" TargetMode="External"/><Relationship Id="rId371" Type="http://schemas.openxmlformats.org/officeDocument/2006/relationships/hyperlink" Target="http://digitalagencynetwork.com" TargetMode="External"/><Relationship Id="rId2176" Type="http://schemas.openxmlformats.org/officeDocument/2006/relationships/hyperlink" Target="https://digitalagencynetwork.com/agencies/berlin/creative/" TargetMode="External"/><Relationship Id="rId378" Type="http://schemas.openxmlformats.org/officeDocument/2006/relationships/hyperlink" Target="http://google.com" TargetMode="External"/><Relationship Id="rId2177" Type="http://schemas.openxmlformats.org/officeDocument/2006/relationships/hyperlink" Target="http://digitalagencynetwork.com" TargetMode="External"/><Relationship Id="rId377" Type="http://schemas.openxmlformats.org/officeDocument/2006/relationships/hyperlink" Target="https://marketingplatform.google.com/about/partners/?hl=uk" TargetMode="External"/><Relationship Id="rId2178" Type="http://schemas.openxmlformats.org/officeDocument/2006/relationships/hyperlink" Target="https://digitalagencynetwork.com/agencies/berlin/geo/" TargetMode="External"/><Relationship Id="rId376" Type="http://schemas.openxmlformats.org/officeDocument/2006/relationships/hyperlink" Target="http://goodfirms.co" TargetMode="External"/><Relationship Id="rId2179" Type="http://schemas.openxmlformats.org/officeDocument/2006/relationships/hyperlink" Target="http://digitalagencynetwork.com" TargetMode="External"/><Relationship Id="rId375" Type="http://schemas.openxmlformats.org/officeDocument/2006/relationships/hyperlink" Target="https://www.goodfirms.co/directory/country/top-digital-marketing-companies/us?reviews=1" TargetMode="External"/><Relationship Id="rId2190" Type="http://schemas.openxmlformats.org/officeDocument/2006/relationships/hyperlink" Target="https://influencermarketinghub.com/ai-marketing-agencies/" TargetMode="External"/><Relationship Id="rId2191" Type="http://schemas.openxmlformats.org/officeDocument/2006/relationships/hyperlink" Target="http://influencermarketinghub.com" TargetMode="External"/><Relationship Id="rId2192" Type="http://schemas.openxmlformats.org/officeDocument/2006/relationships/hyperlink" Target="https://marketingplatform.google.com/about/partners/find-a-partner" TargetMode="External"/><Relationship Id="rId2193" Type="http://schemas.openxmlformats.org/officeDocument/2006/relationships/hyperlink" Target="http://google.com" TargetMode="External"/><Relationship Id="rId2194" Type="http://schemas.openxmlformats.org/officeDocument/2006/relationships/hyperlink" Target="https://www.neuhandeln.de/performance-ranking/performance_2025" TargetMode="External"/><Relationship Id="rId396" Type="http://schemas.openxmlformats.org/officeDocument/2006/relationships/hyperlink" Target="http://webtonic.io" TargetMode="External"/><Relationship Id="rId2195" Type="http://schemas.openxmlformats.org/officeDocument/2006/relationships/hyperlink" Target="http://neuhandeln.de" TargetMode="External"/><Relationship Id="rId395" Type="http://schemas.openxmlformats.org/officeDocument/2006/relationships/hyperlink" Target="https://www.webtonic.io/blog/top-ai-marketing-agencies" TargetMode="External"/><Relationship Id="rId2196" Type="http://schemas.openxmlformats.org/officeDocument/2006/relationships/hyperlink" Target="https://www.oneclub.org/press/-adc100-rankings" TargetMode="External"/><Relationship Id="rId394" Type="http://schemas.openxmlformats.org/officeDocument/2006/relationships/hyperlink" Target="http://webtonic.io" TargetMode="External"/><Relationship Id="rId2197" Type="http://schemas.openxmlformats.org/officeDocument/2006/relationships/hyperlink" Target="http://oneclub.org" TargetMode="External"/><Relationship Id="rId393" Type="http://schemas.openxmlformats.org/officeDocument/2006/relationships/hyperlink" Target="https://www.webtonic.io/blog/best-performance-marketing-agencies" TargetMode="External"/><Relationship Id="rId2198" Type="http://schemas.openxmlformats.org/officeDocument/2006/relationships/hyperlink" Target="https://www.onetoone.de/performance-ranking/" TargetMode="External"/><Relationship Id="rId2199" Type="http://schemas.openxmlformats.org/officeDocument/2006/relationships/hyperlink" Target="http://onetoone.de" TargetMode="External"/><Relationship Id="rId399" Type="http://schemas.openxmlformats.org/officeDocument/2006/relationships/hyperlink" Target="https://www.webtonic.io/blog/top-web-analytics-agencies" TargetMode="External"/><Relationship Id="rId398" Type="http://schemas.openxmlformats.org/officeDocument/2006/relationships/hyperlink" Target="http://webtonic.io" TargetMode="External"/><Relationship Id="rId397" Type="http://schemas.openxmlformats.org/officeDocument/2006/relationships/hyperlink" Target="https://www.webtonic.io/blog/top-programmatic-advertising-agencies" TargetMode="External"/><Relationship Id="rId1730" Type="http://schemas.openxmlformats.org/officeDocument/2006/relationships/hyperlink" Target="https://www.sortlist.co.uk/web-analytics/london-england-gb" TargetMode="External"/><Relationship Id="rId1731" Type="http://schemas.openxmlformats.org/officeDocument/2006/relationships/hyperlink" Target="http://sortlist.co.uk" TargetMode="External"/><Relationship Id="rId1732" Type="http://schemas.openxmlformats.org/officeDocument/2006/relationships/hyperlink" Target="https://www.sortlist.com/l/dubai-ae" TargetMode="External"/><Relationship Id="rId1733" Type="http://schemas.openxmlformats.org/officeDocument/2006/relationships/hyperlink" Target="http://sortlist.com" TargetMode="External"/><Relationship Id="rId1734" Type="http://schemas.openxmlformats.org/officeDocument/2006/relationships/hyperlink" Target="https://www.sortlist.com/marketing-communication" TargetMode="External"/><Relationship Id="rId1735" Type="http://schemas.openxmlformats.org/officeDocument/2006/relationships/hyperlink" Target="http://sortlist.com" TargetMode="External"/><Relationship Id="rId1736" Type="http://schemas.openxmlformats.org/officeDocument/2006/relationships/hyperlink" Target="https://www.sortlist.com/performance-marketing" TargetMode="External"/><Relationship Id="rId1737" Type="http://schemas.openxmlformats.org/officeDocument/2006/relationships/hyperlink" Target="http://sortlist.com" TargetMode="External"/><Relationship Id="rId1738" Type="http://schemas.openxmlformats.org/officeDocument/2006/relationships/hyperlink" Target="https://www.sortlist.com/social-media-optimization" TargetMode="External"/><Relationship Id="rId1739" Type="http://schemas.openxmlformats.org/officeDocument/2006/relationships/hyperlink" Target="http://sortlist.com" TargetMode="External"/><Relationship Id="rId1720" Type="http://schemas.openxmlformats.org/officeDocument/2006/relationships/hyperlink" Target="https://www.sortlist.co.uk/s/paid-media/united-kingdom-gb?page=4" TargetMode="External"/><Relationship Id="rId1721" Type="http://schemas.openxmlformats.org/officeDocument/2006/relationships/hyperlink" Target="http://sortlist.co.uk" TargetMode="External"/><Relationship Id="rId1722" Type="http://schemas.openxmlformats.org/officeDocument/2006/relationships/hyperlink" Target="https://www.sortlist.co.uk/s/performance-marketing/greater-london-england-gb" TargetMode="External"/><Relationship Id="rId1723" Type="http://schemas.openxmlformats.org/officeDocument/2006/relationships/hyperlink" Target="http://sortlist.co.uk" TargetMode="External"/><Relationship Id="rId1724" Type="http://schemas.openxmlformats.org/officeDocument/2006/relationships/hyperlink" Target="https://www.sortlist.co.uk/s/programmatic-advertising/london-england-gb" TargetMode="External"/><Relationship Id="rId1725" Type="http://schemas.openxmlformats.org/officeDocument/2006/relationships/hyperlink" Target="http://sortlist.co.uk" TargetMode="External"/><Relationship Id="rId1726" Type="http://schemas.openxmlformats.org/officeDocument/2006/relationships/hyperlink" Target="https://www.sortlist.co.uk/s/storytelling/london-england-gb" TargetMode="External"/><Relationship Id="rId1727" Type="http://schemas.openxmlformats.org/officeDocument/2006/relationships/hyperlink" Target="http://sortlist.co.uk" TargetMode="External"/><Relationship Id="rId1728" Type="http://schemas.openxmlformats.org/officeDocument/2006/relationships/hyperlink" Target="https://www.sortlist.co.uk/s/testing-services/united-kingdom-gb" TargetMode="External"/><Relationship Id="rId1729" Type="http://schemas.openxmlformats.org/officeDocument/2006/relationships/hyperlink" Target="http://sortlist.co.uk" TargetMode="External"/><Relationship Id="rId1752" Type="http://schemas.openxmlformats.org/officeDocument/2006/relationships/hyperlink" Target="https://www.theaustralian.com.au/business/growth-agenda/marketers-trapped-in-roi-death-spiral-need-to-think-like-investors/news-story/4103c5b9879892d34bcaee3dc85a71fa" TargetMode="External"/><Relationship Id="rId1753" Type="http://schemas.openxmlformats.org/officeDocument/2006/relationships/hyperlink" Target="http://theaustralian.com.au" TargetMode="External"/><Relationship Id="rId1754" Type="http://schemas.openxmlformats.org/officeDocument/2006/relationships/hyperlink" Target="https://www.theaustralian.com.au/business/growth-agenda/reinventing-media-how-accenture-song-plans-to-overhaul-media/news-story/69b59fae5073dde8984e001927f62bfd" TargetMode="External"/><Relationship Id="rId1755" Type="http://schemas.openxmlformats.org/officeDocument/2006/relationships/hyperlink" Target="http://theaustralian.com.au" TargetMode="External"/><Relationship Id="rId1756" Type="http://schemas.openxmlformats.org/officeDocument/2006/relationships/hyperlink" Target="https://www.thegrowthsyndicate.com/agencies/chatgpt-ads-agencies-uk" TargetMode="External"/><Relationship Id="rId1757" Type="http://schemas.openxmlformats.org/officeDocument/2006/relationships/hyperlink" Target="http://thegrowthsyndicate.com" TargetMode="External"/><Relationship Id="rId1758" Type="http://schemas.openxmlformats.org/officeDocument/2006/relationships/hyperlink" Target="https://themanifest.com/programmatic/agencies/uk?page=1" TargetMode="External"/><Relationship Id="rId1759" Type="http://schemas.openxmlformats.org/officeDocument/2006/relationships/hyperlink" Target="http://themanifest.com" TargetMode="External"/><Relationship Id="rId808" Type="http://schemas.openxmlformats.org/officeDocument/2006/relationships/hyperlink" Target="https://clutch.co/au/it-services/analytics" TargetMode="External"/><Relationship Id="rId807" Type="http://schemas.openxmlformats.org/officeDocument/2006/relationships/hyperlink" Target="http://clutch.co" TargetMode="External"/><Relationship Id="rId806" Type="http://schemas.openxmlformats.org/officeDocument/2006/relationships/hyperlink" Target="https://clutch.co/au/agencies/ppc/display?page=2" TargetMode="External"/><Relationship Id="rId805" Type="http://schemas.openxmlformats.org/officeDocument/2006/relationships/hyperlink" Target="http://clutch.co" TargetMode="External"/><Relationship Id="rId809" Type="http://schemas.openxmlformats.org/officeDocument/2006/relationships/hyperlink" Target="http://clutch.co" TargetMode="External"/><Relationship Id="rId800" Type="http://schemas.openxmlformats.org/officeDocument/2006/relationships/hyperlink" Target="https://agencies.semrush.com/list/display-advertising/western-australia/" TargetMode="External"/><Relationship Id="rId804" Type="http://schemas.openxmlformats.org/officeDocument/2006/relationships/hyperlink" Target="https://clutch.co/au/agencies/creative/sydney" TargetMode="External"/><Relationship Id="rId803" Type="http://schemas.openxmlformats.org/officeDocument/2006/relationships/hyperlink" Target="http://clutch.co" TargetMode="External"/><Relationship Id="rId802" Type="http://schemas.openxmlformats.org/officeDocument/2006/relationships/hyperlink" Target="https://clutch.co/au/agencies/conversion-optimization" TargetMode="External"/><Relationship Id="rId801" Type="http://schemas.openxmlformats.org/officeDocument/2006/relationships/hyperlink" Target="http://semrush.com" TargetMode="External"/><Relationship Id="rId1750" Type="http://schemas.openxmlformats.org/officeDocument/2006/relationships/hyperlink" Target="https://techbehemoths.com/companies/advertising/united-kingdom" TargetMode="External"/><Relationship Id="rId1751" Type="http://schemas.openxmlformats.org/officeDocument/2006/relationships/hyperlink" Target="http://techbehemoths.com" TargetMode="External"/><Relationship Id="rId1741" Type="http://schemas.openxmlformats.org/officeDocument/2006/relationships/hyperlink" Target="http://google.com" TargetMode="External"/><Relationship Id="rId1742" Type="http://schemas.openxmlformats.org/officeDocument/2006/relationships/hyperlink" Target="https://support.google.com/analytics/answer/7237700?hl=en-uk" TargetMode="External"/><Relationship Id="rId1743" Type="http://schemas.openxmlformats.org/officeDocument/2006/relationships/hyperlink" Target="http://google.com" TargetMode="External"/><Relationship Id="rId1744" Type="http://schemas.openxmlformats.org/officeDocument/2006/relationships/hyperlink" Target="https://support.google.com/displayvideo/answer/9030625?hl=en-GB" TargetMode="External"/><Relationship Id="rId1745" Type="http://schemas.openxmlformats.org/officeDocument/2006/relationships/hyperlink" Target="http://google.com" TargetMode="External"/><Relationship Id="rId1746" Type="http://schemas.openxmlformats.org/officeDocument/2006/relationships/hyperlink" Target="https://support.google.com/google-ads/answer/9702452?hl=en-GB" TargetMode="External"/><Relationship Id="rId1747" Type="http://schemas.openxmlformats.org/officeDocument/2006/relationships/hyperlink" Target="http://google.com" TargetMode="External"/><Relationship Id="rId1748" Type="http://schemas.openxmlformats.org/officeDocument/2006/relationships/hyperlink" Target="https://support.google.com/tagmanager/answer/7237700?hl=en-au" TargetMode="External"/><Relationship Id="rId1749" Type="http://schemas.openxmlformats.org/officeDocument/2006/relationships/hyperlink" Target="http://google.com" TargetMode="External"/><Relationship Id="rId1740" Type="http://schemas.openxmlformats.org/officeDocument/2006/relationships/hyperlink" Target="https://support.google.com/analytics/answer/7237700?hl=en-AU" TargetMode="External"/><Relationship Id="rId1710" Type="http://schemas.openxmlformats.org/officeDocument/2006/relationships/hyperlink" Target="https://www.sortlist.co.uk/s/display-advertising/greater-london-england-gb" TargetMode="External"/><Relationship Id="rId1711" Type="http://schemas.openxmlformats.org/officeDocument/2006/relationships/hyperlink" Target="http://sortlist.co.uk" TargetMode="External"/><Relationship Id="rId1712" Type="http://schemas.openxmlformats.org/officeDocument/2006/relationships/hyperlink" Target="https://www.sortlist.co.uk/s/display-advertising/luton-england-gb" TargetMode="External"/><Relationship Id="rId1713" Type="http://schemas.openxmlformats.org/officeDocument/2006/relationships/hyperlink" Target="http://sortlist.co.uk" TargetMode="External"/><Relationship Id="rId1714" Type="http://schemas.openxmlformats.org/officeDocument/2006/relationships/hyperlink" Target="https://www.sortlist.co.uk/s/display-advertising/manchester-england-gb" TargetMode="External"/><Relationship Id="rId1715" Type="http://schemas.openxmlformats.org/officeDocument/2006/relationships/hyperlink" Target="http://sortlist.co.uk" TargetMode="External"/><Relationship Id="rId1716" Type="http://schemas.openxmlformats.org/officeDocument/2006/relationships/hyperlink" Target="https://www.sortlist.co.uk/s/google-ads/united-kingdom-gb" TargetMode="External"/><Relationship Id="rId1717" Type="http://schemas.openxmlformats.org/officeDocument/2006/relationships/hyperlink" Target="http://sortlist.co.uk" TargetMode="External"/><Relationship Id="rId1718" Type="http://schemas.openxmlformats.org/officeDocument/2006/relationships/hyperlink" Target="https://www.sortlist.co.uk/s/international-branding/united-kingdom-gb" TargetMode="External"/><Relationship Id="rId1719" Type="http://schemas.openxmlformats.org/officeDocument/2006/relationships/hyperlink" Target="http://sortlist.co.uk" TargetMode="External"/><Relationship Id="rId1700" Type="http://schemas.openxmlformats.org/officeDocument/2006/relationships/hyperlink" Target="https://partnersdirectory.withgoogle.com/?authuser=0&amp;gad_source=1&amp;mcsubid=gb-en-max-mc-pr-c-max%21o3&amp;premier=true&amp;subid=uk-en-awhp-g-aw-m-par-w-hero-bgc%21o2" TargetMode="External"/><Relationship Id="rId1701" Type="http://schemas.openxmlformats.org/officeDocument/2006/relationships/hyperlink" Target="http://withgoogle.com" TargetMode="External"/><Relationship Id="rId1702" Type="http://schemas.openxmlformats.org/officeDocument/2006/relationships/hyperlink" Target="https://www.sortlist.co.uk/advertising/england-england-gb" TargetMode="External"/><Relationship Id="rId1703" Type="http://schemas.openxmlformats.org/officeDocument/2006/relationships/hyperlink" Target="http://sortlist.co.uk" TargetMode="External"/><Relationship Id="rId1704" Type="http://schemas.openxmlformats.org/officeDocument/2006/relationships/hyperlink" Target="https://www.sortlist.co.uk/s/attribution-marketing/greater-london-england-gb" TargetMode="External"/><Relationship Id="rId1705" Type="http://schemas.openxmlformats.org/officeDocument/2006/relationships/hyperlink" Target="http://sortlist.co.uk" TargetMode="External"/><Relationship Id="rId1706" Type="http://schemas.openxmlformats.org/officeDocument/2006/relationships/hyperlink" Target="https://www.sortlist.co.uk/s/creative/united-kingdom-gb?custom=creative" TargetMode="External"/><Relationship Id="rId1707" Type="http://schemas.openxmlformats.org/officeDocument/2006/relationships/hyperlink" Target="http://sortlist.co.uk" TargetMode="External"/><Relationship Id="rId1708" Type="http://schemas.openxmlformats.org/officeDocument/2006/relationships/hyperlink" Target="https://www.sortlist.co.uk/s/display-advertising/birmingham-england-gb" TargetMode="External"/><Relationship Id="rId1709" Type="http://schemas.openxmlformats.org/officeDocument/2006/relationships/hyperlink" Target="http://sortlist.co.uk" TargetMode="External"/><Relationship Id="rId40" Type="http://schemas.openxmlformats.org/officeDocument/2006/relationships/hyperlink" Target="http://clutch.co" TargetMode="External"/><Relationship Id="rId1334" Type="http://schemas.openxmlformats.org/officeDocument/2006/relationships/hyperlink" Target="http://digitalagencynetwork.com" TargetMode="External"/><Relationship Id="rId1335" Type="http://schemas.openxmlformats.org/officeDocument/2006/relationships/hyperlink" Target="https://www.google.com/intl/en_GB/ads/publisher/partners/find-a-partner/" TargetMode="External"/><Relationship Id="rId42" Type="http://schemas.openxmlformats.org/officeDocument/2006/relationships/hyperlink" Target="https://www.goodfirms.co/directory/country/top-digital-marketing-companies/us" TargetMode="External"/><Relationship Id="rId1336" Type="http://schemas.openxmlformats.org/officeDocument/2006/relationships/hyperlink" Target="http://google.com" TargetMode="External"/><Relationship Id="rId41" Type="http://schemas.openxmlformats.org/officeDocument/2006/relationships/hyperlink" Target="http://themanifest.com" TargetMode="External"/><Relationship Id="rId1337" Type="http://schemas.openxmlformats.org/officeDocument/2006/relationships/hyperlink" Target="https://agencies.semrush.com/list/ai-optimization/united-kingdom/enterprise-business/" TargetMode="External"/><Relationship Id="rId44" Type="http://schemas.openxmlformats.org/officeDocument/2006/relationships/hyperlink" Target="http://techbehemoths.com" TargetMode="External"/><Relationship Id="rId1338" Type="http://schemas.openxmlformats.org/officeDocument/2006/relationships/hyperlink" Target="http://semrush.com" TargetMode="External"/><Relationship Id="rId43" Type="http://schemas.openxmlformats.org/officeDocument/2006/relationships/hyperlink" Target="http://goodfirms.co" TargetMode="External"/><Relationship Id="rId1339" Type="http://schemas.openxmlformats.org/officeDocument/2006/relationships/hyperlink" Target="https://agencies.semrush.com/list/analytics-data-science/business-professional-services/united-kingdom/" TargetMode="External"/><Relationship Id="rId46" Type="http://schemas.openxmlformats.org/officeDocument/2006/relationships/hyperlink" Target="http://clutch.co" TargetMode="External"/><Relationship Id="rId45" Type="http://schemas.openxmlformats.org/officeDocument/2006/relationships/hyperlink" Target="https://clutch.co/us/agencies/social-media-marketing" TargetMode="External"/><Relationship Id="rId745" Type="http://schemas.openxmlformats.org/officeDocument/2006/relationships/hyperlink" Target="http://semrush.com" TargetMode="External"/><Relationship Id="rId744" Type="http://schemas.openxmlformats.org/officeDocument/2006/relationships/hyperlink" Target="https://agencies.semrush.com/list/display-advertising/perth/" TargetMode="External"/><Relationship Id="rId743" Type="http://schemas.openxmlformats.org/officeDocument/2006/relationships/hyperlink" Target="http://semrush.com" TargetMode="External"/><Relationship Id="rId742" Type="http://schemas.openxmlformats.org/officeDocument/2006/relationships/hyperlink" Target="https://agencies.semrush.com/list/display-advertising/australia/small-business/" TargetMode="External"/><Relationship Id="rId749" Type="http://schemas.openxmlformats.org/officeDocument/2006/relationships/hyperlink" Target="http://cometly.com" TargetMode="External"/><Relationship Id="rId748" Type="http://schemas.openxmlformats.org/officeDocument/2006/relationships/hyperlink" Target="https://www.cometly.com/post/marketing-attribution-tools-for-agencies" TargetMode="External"/><Relationship Id="rId747" Type="http://schemas.openxmlformats.org/officeDocument/2006/relationships/hyperlink" Target="http://clutch.co" TargetMode="External"/><Relationship Id="rId746" Type="http://schemas.openxmlformats.org/officeDocument/2006/relationships/hyperlink" Target="https://clutch.co/au/agencies/programmatic" TargetMode="External"/><Relationship Id="rId48" Type="http://schemas.openxmlformats.org/officeDocument/2006/relationships/hyperlink" Target="https://clutch.co/us/agencies/ppc/advertising-industry" TargetMode="External"/><Relationship Id="rId47" Type="http://schemas.openxmlformats.org/officeDocument/2006/relationships/hyperlink" Target="http://10seos.com" TargetMode="External"/><Relationship Id="rId49" Type="http://schemas.openxmlformats.org/officeDocument/2006/relationships/hyperlink" Target="http://clutch.co" TargetMode="External"/><Relationship Id="rId741" Type="http://schemas.openxmlformats.org/officeDocument/2006/relationships/hyperlink" Target="http://techbehemoths.com" TargetMode="External"/><Relationship Id="rId1330" Type="http://schemas.openxmlformats.org/officeDocument/2006/relationships/hyperlink" Target="http://techbehemoths.com" TargetMode="External"/><Relationship Id="rId740" Type="http://schemas.openxmlformats.org/officeDocument/2006/relationships/hyperlink" Target="https://techbehemoths.com/companies/google-marketing-platform/australia" TargetMode="External"/><Relationship Id="rId1331" Type="http://schemas.openxmlformats.org/officeDocument/2006/relationships/hyperlink" Target="https://agencies.semrush.com/list/search-engine-marketing/united-kingdom/" TargetMode="External"/><Relationship Id="rId1332" Type="http://schemas.openxmlformats.org/officeDocument/2006/relationships/hyperlink" Target="http://semrush.com" TargetMode="External"/><Relationship Id="rId1333" Type="http://schemas.openxmlformats.org/officeDocument/2006/relationships/hyperlink" Target="https://digitalagencynetwork.com/agencies/uk/branding/" TargetMode="External"/><Relationship Id="rId1323" Type="http://schemas.openxmlformats.org/officeDocument/2006/relationships/hyperlink" Target="https://www.sortlist.co.uk/s/artificial-intelligence/london-england-gb" TargetMode="External"/><Relationship Id="rId1324" Type="http://schemas.openxmlformats.org/officeDocument/2006/relationships/hyperlink" Target="http://sortlist.co.uk" TargetMode="External"/><Relationship Id="rId31" Type="http://schemas.openxmlformats.org/officeDocument/2006/relationships/hyperlink" Target="http://clutch.co" TargetMode="External"/><Relationship Id="rId1325" Type="http://schemas.openxmlformats.org/officeDocument/2006/relationships/hyperlink" Target="https://www.sortlist.com/attribution-marketing" TargetMode="External"/><Relationship Id="rId30" Type="http://schemas.openxmlformats.org/officeDocument/2006/relationships/hyperlink" Target="https://clutch.co/us/agencies/ppc/display" TargetMode="External"/><Relationship Id="rId1326" Type="http://schemas.openxmlformats.org/officeDocument/2006/relationships/hyperlink" Target="http://sortlist.com" TargetMode="External"/><Relationship Id="rId33" Type="http://schemas.openxmlformats.org/officeDocument/2006/relationships/hyperlink" Target="https://support.google.com/analytics/answer/7237700?hl=en" TargetMode="External"/><Relationship Id="rId1327" Type="http://schemas.openxmlformats.org/officeDocument/2006/relationships/hyperlink" Target="https://support.google.com/tagmanager/answer/7237700?hl=en-GB" TargetMode="External"/><Relationship Id="rId32" Type="http://schemas.openxmlformats.org/officeDocument/2006/relationships/hyperlink" Target="http://sortlist.de" TargetMode="External"/><Relationship Id="rId1328" Type="http://schemas.openxmlformats.org/officeDocument/2006/relationships/hyperlink" Target="http://google.com" TargetMode="External"/><Relationship Id="rId35" Type="http://schemas.openxmlformats.org/officeDocument/2006/relationships/hyperlink" Target="http://digitalagencynetwork.com" TargetMode="External"/><Relationship Id="rId1329" Type="http://schemas.openxmlformats.org/officeDocument/2006/relationships/hyperlink" Target="https://techbehemoths.com/companies/google-ads/united-kingdom" TargetMode="External"/><Relationship Id="rId34" Type="http://schemas.openxmlformats.org/officeDocument/2006/relationships/hyperlink" Target="http://google.com" TargetMode="External"/><Relationship Id="rId739" Type="http://schemas.openxmlformats.org/officeDocument/2006/relationships/hyperlink" Target="http://semrush.com" TargetMode="External"/><Relationship Id="rId734" Type="http://schemas.openxmlformats.org/officeDocument/2006/relationships/hyperlink" Target="https://clutch.co/au/agencies/digital" TargetMode="External"/><Relationship Id="rId733" Type="http://schemas.openxmlformats.org/officeDocument/2006/relationships/hyperlink" Target="http://themanifest.com" TargetMode="External"/><Relationship Id="rId732" Type="http://schemas.openxmlformats.org/officeDocument/2006/relationships/hyperlink" Target="https://themanifest.com/au/programmatic/agencies" TargetMode="External"/><Relationship Id="rId731" Type="http://schemas.openxmlformats.org/officeDocument/2006/relationships/hyperlink" Target="http://semrush.com" TargetMode="External"/><Relationship Id="rId738" Type="http://schemas.openxmlformats.org/officeDocument/2006/relationships/hyperlink" Target="https://www.semrush.com/agencies/list/display-advertising/australia/" TargetMode="External"/><Relationship Id="rId737" Type="http://schemas.openxmlformats.org/officeDocument/2006/relationships/hyperlink" Target="http://digitaldigest.au" TargetMode="External"/><Relationship Id="rId736" Type="http://schemas.openxmlformats.org/officeDocument/2006/relationships/hyperlink" Target="https://digitaldigest.au/google-ads-agencies/" TargetMode="External"/><Relationship Id="rId735" Type="http://schemas.openxmlformats.org/officeDocument/2006/relationships/hyperlink" Target="http://clutch.co" TargetMode="External"/><Relationship Id="rId37" Type="http://schemas.openxmlformats.org/officeDocument/2006/relationships/hyperlink" Target="http://thegrowthsyndicate.com" TargetMode="External"/><Relationship Id="rId36" Type="http://schemas.openxmlformats.org/officeDocument/2006/relationships/hyperlink" Target="https://www.thegrowthsyndicate.com/agencies/best-b2b-performance-marketing-agencies-us" TargetMode="External"/><Relationship Id="rId39" Type="http://schemas.openxmlformats.org/officeDocument/2006/relationships/hyperlink" Target="https://clutch.co/us/agencies/ppc" TargetMode="External"/><Relationship Id="rId38" Type="http://schemas.openxmlformats.org/officeDocument/2006/relationships/hyperlink" Target="http://designrush.com" TargetMode="External"/><Relationship Id="rId730" Type="http://schemas.openxmlformats.org/officeDocument/2006/relationships/hyperlink" Target="https://www.semrush.com/agencies/list/analytics-data-science/melbourne/" TargetMode="External"/><Relationship Id="rId1320" Type="http://schemas.openxmlformats.org/officeDocument/2006/relationships/hyperlink" Target="http://semrush.com" TargetMode="External"/><Relationship Id="rId1321" Type="http://schemas.openxmlformats.org/officeDocument/2006/relationships/hyperlink" Target="https://marketingplatform.google.com/about/partners/find-a-partner?category=206" TargetMode="External"/><Relationship Id="rId1322" Type="http://schemas.openxmlformats.org/officeDocument/2006/relationships/hyperlink" Target="http://google.com" TargetMode="External"/><Relationship Id="rId1356" Type="http://schemas.openxmlformats.org/officeDocument/2006/relationships/hyperlink" Target="http://designrush.com" TargetMode="External"/><Relationship Id="rId2203" Type="http://schemas.openxmlformats.org/officeDocument/2006/relationships/hyperlink" Target="http://sortlist.com" TargetMode="External"/><Relationship Id="rId1357" Type="http://schemas.openxmlformats.org/officeDocument/2006/relationships/hyperlink" Target="https://enterprisemarketingportal.google/work-with-partners" TargetMode="External"/><Relationship Id="rId2204" Type="http://schemas.openxmlformats.org/officeDocument/2006/relationships/hyperlink" Target="https://www.sortlist.com/performance-marketing" TargetMode="External"/><Relationship Id="rId20" Type="http://schemas.openxmlformats.org/officeDocument/2006/relationships/hyperlink" Target="http://semrush.com" TargetMode="External"/><Relationship Id="rId1358" Type="http://schemas.openxmlformats.org/officeDocument/2006/relationships/hyperlink" Target="https://www.goodfirms.co/advertising-companies/creative/uk" TargetMode="External"/><Relationship Id="rId2205" Type="http://schemas.openxmlformats.org/officeDocument/2006/relationships/hyperlink" Target="http://sortlist.com" TargetMode="External"/><Relationship Id="rId1359" Type="http://schemas.openxmlformats.org/officeDocument/2006/relationships/hyperlink" Target="http://goodfirms.co" TargetMode="External"/><Relationship Id="rId2206" Type="http://schemas.openxmlformats.org/officeDocument/2006/relationships/hyperlink" Target="https://www.sortlist.com/s/b2b-digital-marketing/germany-de" TargetMode="External"/><Relationship Id="rId22" Type="http://schemas.openxmlformats.org/officeDocument/2006/relationships/hyperlink" Target="http://designrush.com" TargetMode="External"/><Relationship Id="rId2207" Type="http://schemas.openxmlformats.org/officeDocument/2006/relationships/hyperlink" Target="http://sortlist.com" TargetMode="External"/><Relationship Id="rId21" Type="http://schemas.openxmlformats.org/officeDocument/2006/relationships/hyperlink" Target="https://www.designrush.com/agency/digital-marketing/analytics/us" TargetMode="External"/><Relationship Id="rId2208" Type="http://schemas.openxmlformats.org/officeDocument/2006/relationships/hyperlink" Target="https://www.sortlist.com/s/brand-creation/germany-de" TargetMode="External"/><Relationship Id="rId24" Type="http://schemas.openxmlformats.org/officeDocument/2006/relationships/hyperlink" Target="https://www.webtonic.io/blog/best-paid-social-agencies-us" TargetMode="External"/><Relationship Id="rId2209" Type="http://schemas.openxmlformats.org/officeDocument/2006/relationships/hyperlink" Target="http://sortlist.com" TargetMode="External"/><Relationship Id="rId23" Type="http://schemas.openxmlformats.org/officeDocument/2006/relationships/hyperlink" Target="http://clutch.co" TargetMode="External"/><Relationship Id="rId767" Type="http://schemas.openxmlformats.org/officeDocument/2006/relationships/hyperlink" Target="http://semrush.com" TargetMode="External"/><Relationship Id="rId766" Type="http://schemas.openxmlformats.org/officeDocument/2006/relationships/hyperlink" Target="https://agencies.semrush.com/list/analytics-data-science/australia/small-business/" TargetMode="External"/><Relationship Id="rId765" Type="http://schemas.openxmlformats.org/officeDocument/2006/relationships/hyperlink" Target="http://google.com" TargetMode="External"/><Relationship Id="rId764" Type="http://schemas.openxmlformats.org/officeDocument/2006/relationships/hyperlink" Target="https://support.google.com/analytics/answer/7237700?hl=en" TargetMode="External"/><Relationship Id="rId769" Type="http://schemas.openxmlformats.org/officeDocument/2006/relationships/hyperlink" Target="http://google.com" TargetMode="External"/><Relationship Id="rId768" Type="http://schemas.openxmlformats.org/officeDocument/2006/relationships/hyperlink" Target="https://www.google.com/ads/publisher/partners/find-a-partner/" TargetMode="External"/><Relationship Id="rId26" Type="http://schemas.openxmlformats.org/officeDocument/2006/relationships/hyperlink" Target="http://sortlist.com" TargetMode="External"/><Relationship Id="rId25" Type="http://schemas.openxmlformats.org/officeDocument/2006/relationships/hyperlink" Target="http://webtonic.io" TargetMode="External"/><Relationship Id="rId28" Type="http://schemas.openxmlformats.org/officeDocument/2006/relationships/hyperlink" Target="http://semrush.com" TargetMode="External"/><Relationship Id="rId1350" Type="http://schemas.openxmlformats.org/officeDocument/2006/relationships/hyperlink" Target="http://clutch.co" TargetMode="External"/><Relationship Id="rId27" Type="http://schemas.openxmlformats.org/officeDocument/2006/relationships/hyperlink" Target="https://agencies.semrush.com/list/united-states/" TargetMode="External"/><Relationship Id="rId1351" Type="http://schemas.openxmlformats.org/officeDocument/2006/relationships/hyperlink" Target="https://clutch.co/agencies/ppc/display/uk?page=1" TargetMode="External"/><Relationship Id="rId763" Type="http://schemas.openxmlformats.org/officeDocument/2006/relationships/hyperlink" Target="http://sortlist.com" TargetMode="External"/><Relationship Id="rId1352" Type="http://schemas.openxmlformats.org/officeDocument/2006/relationships/hyperlink" Target="http://clutch.co" TargetMode="External"/><Relationship Id="rId29" Type="http://schemas.openxmlformats.org/officeDocument/2006/relationships/hyperlink" Target="http://sortlist.co.uk" TargetMode="External"/><Relationship Id="rId762" Type="http://schemas.openxmlformats.org/officeDocument/2006/relationships/hyperlink" Target="https://www.sortlist.com/s/performance-marketing/sydney-au" TargetMode="External"/><Relationship Id="rId1353" Type="http://schemas.openxmlformats.org/officeDocument/2006/relationships/hyperlink" Target="https://www.cometly.com/post/incrementality-measurement-tool" TargetMode="External"/><Relationship Id="rId2200" Type="http://schemas.openxmlformats.org/officeDocument/2006/relationships/hyperlink" Target="https://partnermarketinghub.withgoogle.com/" TargetMode="External"/><Relationship Id="rId761" Type="http://schemas.openxmlformats.org/officeDocument/2006/relationships/hyperlink" Target="http://digitaldigest.au" TargetMode="External"/><Relationship Id="rId1354" Type="http://schemas.openxmlformats.org/officeDocument/2006/relationships/hyperlink" Target="http://cometly.com" TargetMode="External"/><Relationship Id="rId2201" Type="http://schemas.openxmlformats.org/officeDocument/2006/relationships/hyperlink" Target="http://withgoogle.com" TargetMode="External"/><Relationship Id="rId760" Type="http://schemas.openxmlformats.org/officeDocument/2006/relationships/hyperlink" Target="https://digitaldigest.au/best-social-media-agencies/" TargetMode="External"/><Relationship Id="rId1355" Type="http://schemas.openxmlformats.org/officeDocument/2006/relationships/hyperlink" Target="https://www.designrush.com/agency/social-media-marketing/uk" TargetMode="External"/><Relationship Id="rId2202" Type="http://schemas.openxmlformats.org/officeDocument/2006/relationships/hyperlink" Target="https://www.sortlist.com/i/s/growth-marketing/germany-de" TargetMode="External"/><Relationship Id="rId1345" Type="http://schemas.openxmlformats.org/officeDocument/2006/relationships/hyperlink" Target="https://www.sortlist.co.uk/s/paid-media/england-england-gb" TargetMode="External"/><Relationship Id="rId1346" Type="http://schemas.openxmlformats.org/officeDocument/2006/relationships/hyperlink" Target="http://sortlist.co.uk" TargetMode="External"/><Relationship Id="rId1347" Type="http://schemas.openxmlformats.org/officeDocument/2006/relationships/hyperlink" Target="https://www.sortlist.com/display-advertising" TargetMode="External"/><Relationship Id="rId1348" Type="http://schemas.openxmlformats.org/officeDocument/2006/relationships/hyperlink" Target="http://sortlist.com" TargetMode="External"/><Relationship Id="rId11" Type="http://schemas.openxmlformats.org/officeDocument/2006/relationships/hyperlink" Target="http://bvdw.org" TargetMode="External"/><Relationship Id="rId1349" Type="http://schemas.openxmlformats.org/officeDocument/2006/relationships/hyperlink" Target="https://clutch.co/agencies/performance-marketing" TargetMode="External"/><Relationship Id="rId10" Type="http://schemas.openxmlformats.org/officeDocument/2006/relationships/hyperlink" Target="http://digitalagencynetwork.com" TargetMode="External"/><Relationship Id="rId13" Type="http://schemas.openxmlformats.org/officeDocument/2006/relationships/hyperlink" Target="http://sortlist.com" TargetMode="External"/><Relationship Id="rId12" Type="http://schemas.openxmlformats.org/officeDocument/2006/relationships/hyperlink" Target="https://www.sortlist.com/s/paid-media/united-states-us" TargetMode="External"/><Relationship Id="rId756" Type="http://schemas.openxmlformats.org/officeDocument/2006/relationships/hyperlink" Target="https://www.designrush.com/agency/digital-marketing/au" TargetMode="External"/><Relationship Id="rId755" Type="http://schemas.openxmlformats.org/officeDocument/2006/relationships/hyperlink" Target="http://bandt.com.au" TargetMode="External"/><Relationship Id="rId754" Type="http://schemas.openxmlformats.org/officeDocument/2006/relationships/hyperlink" Target="https://www.bandt.com.au/agencies/agency-scorecards/" TargetMode="External"/><Relationship Id="rId753" Type="http://schemas.openxmlformats.org/officeDocument/2006/relationships/hyperlink" Target="http://semrush.com" TargetMode="External"/><Relationship Id="rId759" Type="http://schemas.openxmlformats.org/officeDocument/2006/relationships/hyperlink" Target="http://digitaldigest.au" TargetMode="External"/><Relationship Id="rId758" Type="http://schemas.openxmlformats.org/officeDocument/2006/relationships/hyperlink" Target="https://digitaldigest.au/ai-seo-agencies/" TargetMode="External"/><Relationship Id="rId757" Type="http://schemas.openxmlformats.org/officeDocument/2006/relationships/hyperlink" Target="http://designrush.com" TargetMode="External"/><Relationship Id="rId15" Type="http://schemas.openxmlformats.org/officeDocument/2006/relationships/hyperlink" Target="https://agencies.semrush.com/list/display-advertising/united-states/" TargetMode="External"/><Relationship Id="rId14" Type="http://schemas.openxmlformats.org/officeDocument/2006/relationships/hyperlink" Target="http://oneclub.org" TargetMode="External"/><Relationship Id="rId17" Type="http://schemas.openxmlformats.org/officeDocument/2006/relationships/hyperlink" Target="http://gartner.com" TargetMode="External"/><Relationship Id="rId16" Type="http://schemas.openxmlformats.org/officeDocument/2006/relationships/hyperlink" Target="http://semrush.com" TargetMode="External"/><Relationship Id="rId1340" Type="http://schemas.openxmlformats.org/officeDocument/2006/relationships/hyperlink" Target="http://semrush.com" TargetMode="External"/><Relationship Id="rId19" Type="http://schemas.openxmlformats.org/officeDocument/2006/relationships/hyperlink" Target="http://clutch.co" TargetMode="External"/><Relationship Id="rId752" Type="http://schemas.openxmlformats.org/officeDocument/2006/relationships/hyperlink" Target="https://agencies.semrush.com/list/ai-optimization/australia/mid-business/" TargetMode="External"/><Relationship Id="rId1341" Type="http://schemas.openxmlformats.org/officeDocument/2006/relationships/hyperlink" Target="https://clutch.co/agencies/ppc/display" TargetMode="External"/><Relationship Id="rId18" Type="http://schemas.openxmlformats.org/officeDocument/2006/relationships/hyperlink" Target="https://clutch.co/us/agencies/creative" TargetMode="External"/><Relationship Id="rId751" Type="http://schemas.openxmlformats.org/officeDocument/2006/relationships/hyperlink" Target="http://designrush.com" TargetMode="External"/><Relationship Id="rId1342" Type="http://schemas.openxmlformats.org/officeDocument/2006/relationships/hyperlink" Target="http://clutch.co" TargetMode="External"/><Relationship Id="rId750" Type="http://schemas.openxmlformats.org/officeDocument/2006/relationships/hyperlink" Target="https://www.designrush.com/agency/social-media-marketing/au" TargetMode="External"/><Relationship Id="rId1343" Type="http://schemas.openxmlformats.org/officeDocument/2006/relationships/hyperlink" Target="https://www.sortlist.co.uk/s/ai-marketing/greater-london-england-gb" TargetMode="External"/><Relationship Id="rId1344" Type="http://schemas.openxmlformats.org/officeDocument/2006/relationships/hyperlink" Target="http://sortlist.co.uk" TargetMode="External"/><Relationship Id="rId84" Type="http://schemas.openxmlformats.org/officeDocument/2006/relationships/hyperlink" Target="https://agencies.semrush.com/list/smm/united-states/" TargetMode="External"/><Relationship Id="rId1774" Type="http://schemas.openxmlformats.org/officeDocument/2006/relationships/hyperlink" Target="https://www.ibusiness.de/performance-ranking/" TargetMode="External"/><Relationship Id="rId83" Type="http://schemas.openxmlformats.org/officeDocument/2006/relationships/hyperlink" Target="http://silicon.de" TargetMode="External"/><Relationship Id="rId1775" Type="http://schemas.openxmlformats.org/officeDocument/2006/relationships/hyperlink" Target="http://ibusiness.de" TargetMode="External"/><Relationship Id="rId86" Type="http://schemas.openxmlformats.org/officeDocument/2006/relationships/hyperlink" Target="http://techbullion.com" TargetMode="External"/><Relationship Id="rId1776" Type="http://schemas.openxmlformats.org/officeDocument/2006/relationships/hyperlink" Target="https://www.sortlist.com/s/artificial-intelligence/germany-de" TargetMode="External"/><Relationship Id="rId85" Type="http://schemas.openxmlformats.org/officeDocument/2006/relationships/hyperlink" Target="http://semrush.com" TargetMode="External"/><Relationship Id="rId1777" Type="http://schemas.openxmlformats.org/officeDocument/2006/relationships/hyperlink" Target="http://sortlist.com" TargetMode="External"/><Relationship Id="rId88" Type="http://schemas.openxmlformats.org/officeDocument/2006/relationships/hyperlink" Target="http://semrush.com" TargetMode="External"/><Relationship Id="rId1778" Type="http://schemas.openxmlformats.org/officeDocument/2006/relationships/hyperlink" Target="https://agencies.semrush.com/list/ai-optimization/germany/" TargetMode="External"/><Relationship Id="rId87" Type="http://schemas.openxmlformats.org/officeDocument/2006/relationships/hyperlink" Target="https://agencies.semrush.com/list/ai-optimization/united-states/" TargetMode="External"/><Relationship Id="rId1779" Type="http://schemas.openxmlformats.org/officeDocument/2006/relationships/hyperlink" Target="http://semrush.com" TargetMode="External"/><Relationship Id="rId89" Type="http://schemas.openxmlformats.org/officeDocument/2006/relationships/hyperlink" Target="http://influencermarketinghub.com" TargetMode="External"/><Relationship Id="rId709" Type="http://schemas.openxmlformats.org/officeDocument/2006/relationships/hyperlink" Target="https://www.cometly.com/post/marketing-attribution-consultant-services" TargetMode="External"/><Relationship Id="rId708" Type="http://schemas.openxmlformats.org/officeDocument/2006/relationships/hyperlink" Target="http://clutch.co" TargetMode="External"/><Relationship Id="rId707" Type="http://schemas.openxmlformats.org/officeDocument/2006/relationships/hyperlink" Target="https://clutch.co/au/consulting/ai/strategy" TargetMode="External"/><Relationship Id="rId706" Type="http://schemas.openxmlformats.org/officeDocument/2006/relationships/hyperlink" Target="http://10seos.com" TargetMode="External"/><Relationship Id="rId80" Type="http://schemas.openxmlformats.org/officeDocument/2006/relationships/hyperlink" Target="http://onetoone.de" TargetMode="External"/><Relationship Id="rId82" Type="http://schemas.openxmlformats.org/officeDocument/2006/relationships/hyperlink" Target="http://clutch.co" TargetMode="External"/><Relationship Id="rId81" Type="http://schemas.openxmlformats.org/officeDocument/2006/relationships/hyperlink" Target="https://clutch.co/us/seo-firms/generative-engine-optimization" TargetMode="External"/><Relationship Id="rId701" Type="http://schemas.openxmlformats.org/officeDocument/2006/relationships/hyperlink" Target="https://partnersdirectory.withgoogle.com/" TargetMode="External"/><Relationship Id="rId700" Type="http://schemas.openxmlformats.org/officeDocument/2006/relationships/hyperlink" Target="http://clutch.co" TargetMode="External"/><Relationship Id="rId705" Type="http://schemas.openxmlformats.org/officeDocument/2006/relationships/hyperlink" Target="https://www.10seos.com/au/display-advertising-companies-in-australia?page=4" TargetMode="External"/><Relationship Id="rId704" Type="http://schemas.openxmlformats.org/officeDocument/2006/relationships/hyperlink" Target="http://themanifest.com" TargetMode="External"/><Relationship Id="rId703" Type="http://schemas.openxmlformats.org/officeDocument/2006/relationships/hyperlink" Target="https://themanifest.com/au/creative/agencies" TargetMode="External"/><Relationship Id="rId702" Type="http://schemas.openxmlformats.org/officeDocument/2006/relationships/hyperlink" Target="http://withgoogle.com" TargetMode="External"/><Relationship Id="rId1770" Type="http://schemas.openxmlformats.org/officeDocument/2006/relationships/hyperlink" Target="https://www.designrush.com/agency/digital-marketing/de" TargetMode="External"/><Relationship Id="rId1771" Type="http://schemas.openxmlformats.org/officeDocument/2006/relationships/hyperlink" Target="http://designrush.com" TargetMode="External"/><Relationship Id="rId1772" Type="http://schemas.openxmlformats.org/officeDocument/2006/relationships/hyperlink" Target="https://www.sortlist.com/s/performance-marketing/germany-de" TargetMode="External"/><Relationship Id="rId1773" Type="http://schemas.openxmlformats.org/officeDocument/2006/relationships/hyperlink" Target="http://sortlist.com" TargetMode="External"/><Relationship Id="rId73" Type="http://schemas.openxmlformats.org/officeDocument/2006/relationships/hyperlink" Target="http://clutch.co" TargetMode="External"/><Relationship Id="rId1763" Type="http://schemas.openxmlformats.org/officeDocument/2006/relationships/hyperlink" Target="http://clutch.co" TargetMode="External"/><Relationship Id="rId72" Type="http://schemas.openxmlformats.org/officeDocument/2006/relationships/hyperlink" Target="https://clutch.co/agencies/performance-marketing" TargetMode="External"/><Relationship Id="rId1764" Type="http://schemas.openxmlformats.org/officeDocument/2006/relationships/hyperlink" Target="https://agencies.semrush.com/list/germany/" TargetMode="External"/><Relationship Id="rId75" Type="http://schemas.openxmlformats.org/officeDocument/2006/relationships/hyperlink" Target="https://www.designrush.com/agency/digital-marketing/analytics" TargetMode="External"/><Relationship Id="rId1765" Type="http://schemas.openxmlformats.org/officeDocument/2006/relationships/hyperlink" Target="http://semrush.com" TargetMode="External"/><Relationship Id="rId74" Type="http://schemas.openxmlformats.org/officeDocument/2006/relationships/hyperlink" Target="http://ibusiness.de" TargetMode="External"/><Relationship Id="rId1766" Type="http://schemas.openxmlformats.org/officeDocument/2006/relationships/hyperlink" Target="https://clutch.co/de/agencies" TargetMode="External"/><Relationship Id="rId77" Type="http://schemas.openxmlformats.org/officeDocument/2006/relationships/hyperlink" Target="http://neuhandeln.de" TargetMode="External"/><Relationship Id="rId1767" Type="http://schemas.openxmlformats.org/officeDocument/2006/relationships/hyperlink" Target="http://clutch.co" TargetMode="External"/><Relationship Id="rId76" Type="http://schemas.openxmlformats.org/officeDocument/2006/relationships/hyperlink" Target="http://designrush.com" TargetMode="External"/><Relationship Id="rId1768" Type="http://schemas.openxmlformats.org/officeDocument/2006/relationships/hyperlink" Target="https://www.sortlist.com/s/marketing/germany-de" TargetMode="External"/><Relationship Id="rId79" Type="http://schemas.openxmlformats.org/officeDocument/2006/relationships/hyperlink" Target="http://sortlist.com" TargetMode="External"/><Relationship Id="rId1769" Type="http://schemas.openxmlformats.org/officeDocument/2006/relationships/hyperlink" Target="http://sortlist.com" TargetMode="External"/><Relationship Id="rId78" Type="http://schemas.openxmlformats.org/officeDocument/2006/relationships/hyperlink" Target="https://www.sortlist.com/s/performance-marketing/united-states-us" TargetMode="External"/><Relationship Id="rId71" Type="http://schemas.openxmlformats.org/officeDocument/2006/relationships/hyperlink" Target="http://formulate.com.au" TargetMode="External"/><Relationship Id="rId70" Type="http://schemas.openxmlformats.org/officeDocument/2006/relationships/hyperlink" Target="http://designrush.com" TargetMode="External"/><Relationship Id="rId1760" Type="http://schemas.openxmlformats.org/officeDocument/2006/relationships/hyperlink" Target="https://www.webtonic.io/blog/top-creative-performance-agencies" TargetMode="External"/><Relationship Id="rId1761" Type="http://schemas.openxmlformats.org/officeDocument/2006/relationships/hyperlink" Target="http://webtonic.io" TargetMode="External"/><Relationship Id="rId1762" Type="http://schemas.openxmlformats.org/officeDocument/2006/relationships/hyperlink" Target="https://clutch.co/de/agencies/digital-marketing" TargetMode="External"/><Relationship Id="rId62" Type="http://schemas.openxmlformats.org/officeDocument/2006/relationships/hyperlink" Target="http://bandt.com.au" TargetMode="External"/><Relationship Id="rId1312" Type="http://schemas.openxmlformats.org/officeDocument/2006/relationships/hyperlink" Target="http://seocompare.co.uk" TargetMode="External"/><Relationship Id="rId1796" Type="http://schemas.openxmlformats.org/officeDocument/2006/relationships/hyperlink" Target="https://clutch.co/de/agencies/creative" TargetMode="External"/><Relationship Id="rId61" Type="http://schemas.openxmlformats.org/officeDocument/2006/relationships/hyperlink" Target="http://digitalagencynetwork.com" TargetMode="External"/><Relationship Id="rId1313" Type="http://schemas.openxmlformats.org/officeDocument/2006/relationships/hyperlink" Target="https://www.sortlist.co.uk/s/performance-marketing/england-england-gb" TargetMode="External"/><Relationship Id="rId1797" Type="http://schemas.openxmlformats.org/officeDocument/2006/relationships/hyperlink" Target="http://clutch.co" TargetMode="External"/><Relationship Id="rId64" Type="http://schemas.openxmlformats.org/officeDocument/2006/relationships/hyperlink" Target="http://webtonic.io" TargetMode="External"/><Relationship Id="rId1314" Type="http://schemas.openxmlformats.org/officeDocument/2006/relationships/hyperlink" Target="http://sortlist.co.uk" TargetMode="External"/><Relationship Id="rId1798" Type="http://schemas.openxmlformats.org/officeDocument/2006/relationships/hyperlink" Target="https://www.sortlist.com/i/s/creative/germany-de" TargetMode="External"/><Relationship Id="rId63" Type="http://schemas.openxmlformats.org/officeDocument/2006/relationships/hyperlink" Target="https://www.webtonic.io/blog/top-performance-marketing-agencies-us" TargetMode="External"/><Relationship Id="rId1315" Type="http://schemas.openxmlformats.org/officeDocument/2006/relationships/hyperlink" Target="https://themanifest.com/creative/agencies/uk" TargetMode="External"/><Relationship Id="rId1799" Type="http://schemas.openxmlformats.org/officeDocument/2006/relationships/hyperlink" Target="http://sortlist.com" TargetMode="External"/><Relationship Id="rId66" Type="http://schemas.openxmlformats.org/officeDocument/2006/relationships/hyperlink" Target="https://clutch.co/agencies/ppc/display" TargetMode="External"/><Relationship Id="rId1316" Type="http://schemas.openxmlformats.org/officeDocument/2006/relationships/hyperlink" Target="http://themanifest.com" TargetMode="External"/><Relationship Id="rId65" Type="http://schemas.openxmlformats.org/officeDocument/2006/relationships/hyperlink" Target="http://theaustralian.com.au" TargetMode="External"/><Relationship Id="rId1317" Type="http://schemas.openxmlformats.org/officeDocument/2006/relationships/hyperlink" Target="https://agencies.semrush.com/list/advertising/united-kingdom/" TargetMode="External"/><Relationship Id="rId68" Type="http://schemas.openxmlformats.org/officeDocument/2006/relationships/hyperlink" Target="http://digitaldigest.au" TargetMode="External"/><Relationship Id="rId1318" Type="http://schemas.openxmlformats.org/officeDocument/2006/relationships/hyperlink" Target="http://semrush.com" TargetMode="External"/><Relationship Id="rId67" Type="http://schemas.openxmlformats.org/officeDocument/2006/relationships/hyperlink" Target="http://clutch.co" TargetMode="External"/><Relationship Id="rId1319" Type="http://schemas.openxmlformats.org/officeDocument/2006/relationships/hyperlink" Target="https://agencies.semrush.com/list/display-advertising/united-kingdom/mid-business/" TargetMode="External"/><Relationship Id="rId729" Type="http://schemas.openxmlformats.org/officeDocument/2006/relationships/hyperlink" Target="http://goodfirms.co" TargetMode="External"/><Relationship Id="rId728" Type="http://schemas.openxmlformats.org/officeDocument/2006/relationships/hyperlink" Target="https://www.goodfirms.co/directory/country/top-digital-marketing-companies/au/" TargetMode="External"/><Relationship Id="rId60" Type="http://schemas.openxmlformats.org/officeDocument/2006/relationships/hyperlink" Target="https://digitalagencynetwork.com/agencies/usa/creative/" TargetMode="External"/><Relationship Id="rId723" Type="http://schemas.openxmlformats.org/officeDocument/2006/relationships/hyperlink" Target="http://sortlist.com" TargetMode="External"/><Relationship Id="rId722" Type="http://schemas.openxmlformats.org/officeDocument/2006/relationships/hyperlink" Target="https://www.sortlist.com/s/paid-media/australian-capital-territory-act-au" TargetMode="External"/><Relationship Id="rId721" Type="http://schemas.openxmlformats.org/officeDocument/2006/relationships/hyperlink" Target="http://sortlist.com" TargetMode="External"/><Relationship Id="rId720" Type="http://schemas.openxmlformats.org/officeDocument/2006/relationships/hyperlink" Target="https://www.sortlist.com/media-planning/australia-au" TargetMode="External"/><Relationship Id="rId727" Type="http://schemas.openxmlformats.org/officeDocument/2006/relationships/hyperlink" Target="http://semrush.com" TargetMode="External"/><Relationship Id="rId726" Type="http://schemas.openxmlformats.org/officeDocument/2006/relationships/hyperlink" Target="https://agencies.semrush.com/list/programmatic-advertising/australia/" TargetMode="External"/><Relationship Id="rId725" Type="http://schemas.openxmlformats.org/officeDocument/2006/relationships/hyperlink" Target="http://semrush.com" TargetMode="External"/><Relationship Id="rId724" Type="http://schemas.openxmlformats.org/officeDocument/2006/relationships/hyperlink" Target="https://agencies.semrush.com/list/display-advertising/sydney/" TargetMode="External"/><Relationship Id="rId69" Type="http://schemas.openxmlformats.org/officeDocument/2006/relationships/hyperlink" Target="https://www.designrush.com/agency/digital-marketing/us" TargetMode="External"/><Relationship Id="rId1790" Type="http://schemas.openxmlformats.org/officeDocument/2006/relationships/hyperlink" Target="https://clutch.co/de/agencies/social-media-marketing" TargetMode="External"/><Relationship Id="rId1791" Type="http://schemas.openxmlformats.org/officeDocument/2006/relationships/hyperlink" Target="http://clutch.co" TargetMode="External"/><Relationship Id="rId1792" Type="http://schemas.openxmlformats.org/officeDocument/2006/relationships/hyperlink" Target="https://www.sortlist.com/i/social-media/germany-de" TargetMode="External"/><Relationship Id="rId1793" Type="http://schemas.openxmlformats.org/officeDocument/2006/relationships/hyperlink" Target="http://sortlist.com" TargetMode="External"/><Relationship Id="rId1310" Type="http://schemas.openxmlformats.org/officeDocument/2006/relationships/hyperlink" Target="http://clutch.co" TargetMode="External"/><Relationship Id="rId1794" Type="http://schemas.openxmlformats.org/officeDocument/2006/relationships/hyperlink" Target="https://www.sortlist.com/s/paid-media/germany-de" TargetMode="External"/><Relationship Id="rId1311" Type="http://schemas.openxmlformats.org/officeDocument/2006/relationships/hyperlink" Target="https://seocompare.co.uk/best-ai-seo-agencies/" TargetMode="External"/><Relationship Id="rId1795" Type="http://schemas.openxmlformats.org/officeDocument/2006/relationships/hyperlink" Target="http://sortlist.com" TargetMode="External"/><Relationship Id="rId51" Type="http://schemas.openxmlformats.org/officeDocument/2006/relationships/hyperlink" Target="https://www.cometly.com/post/marketing-incrementality-testing-tools" TargetMode="External"/><Relationship Id="rId1301" Type="http://schemas.openxmlformats.org/officeDocument/2006/relationships/hyperlink" Target="https://clutch.co/agencies/media-buying/uk" TargetMode="External"/><Relationship Id="rId1785" Type="http://schemas.openxmlformats.org/officeDocument/2006/relationships/hyperlink" Target="http://techbehemoths.com" TargetMode="External"/><Relationship Id="rId50" Type="http://schemas.openxmlformats.org/officeDocument/2006/relationships/hyperlink" Target="http://goodfirms.co" TargetMode="External"/><Relationship Id="rId1302" Type="http://schemas.openxmlformats.org/officeDocument/2006/relationships/hyperlink" Target="http://clutch.co" TargetMode="External"/><Relationship Id="rId1786" Type="http://schemas.openxmlformats.org/officeDocument/2006/relationships/hyperlink" Target="https://www.sortlist.com/i/digital-marketing/germany-de" TargetMode="External"/><Relationship Id="rId53" Type="http://schemas.openxmlformats.org/officeDocument/2006/relationships/hyperlink" Target="http://feedbax.ai" TargetMode="External"/><Relationship Id="rId1303" Type="http://schemas.openxmlformats.org/officeDocument/2006/relationships/hyperlink" Target="https://clutch.co/agencies/ppc/google-adwords/uk" TargetMode="External"/><Relationship Id="rId1787" Type="http://schemas.openxmlformats.org/officeDocument/2006/relationships/hyperlink" Target="http://sortlist.com" TargetMode="External"/><Relationship Id="rId52" Type="http://schemas.openxmlformats.org/officeDocument/2006/relationships/hyperlink" Target="http://cometly.com" TargetMode="External"/><Relationship Id="rId1304" Type="http://schemas.openxmlformats.org/officeDocument/2006/relationships/hyperlink" Target="http://clutch.co" TargetMode="External"/><Relationship Id="rId1788" Type="http://schemas.openxmlformats.org/officeDocument/2006/relationships/hyperlink" Target="https://www.sortlist.com/s/marketing-analytics/germany-de" TargetMode="External"/><Relationship Id="rId55" Type="http://schemas.openxmlformats.org/officeDocument/2006/relationships/hyperlink" Target="http://sortlist.com" TargetMode="External"/><Relationship Id="rId1305" Type="http://schemas.openxmlformats.org/officeDocument/2006/relationships/hyperlink" Target="https://agencies.semrush.com/list/analytics-data-science/united-kingdom/" TargetMode="External"/><Relationship Id="rId1789" Type="http://schemas.openxmlformats.org/officeDocument/2006/relationships/hyperlink" Target="http://sortlist.com" TargetMode="External"/><Relationship Id="rId54" Type="http://schemas.openxmlformats.org/officeDocument/2006/relationships/hyperlink" Target="https://www.sortlist.com/s/display-advertising/united-states-us" TargetMode="External"/><Relationship Id="rId1306" Type="http://schemas.openxmlformats.org/officeDocument/2006/relationships/hyperlink" Target="http://semrush.com" TargetMode="External"/><Relationship Id="rId57" Type="http://schemas.openxmlformats.org/officeDocument/2006/relationships/hyperlink" Target="https://clutch.co/agencies" TargetMode="External"/><Relationship Id="rId1307" Type="http://schemas.openxmlformats.org/officeDocument/2006/relationships/hyperlink" Target="https://clutch.co/agencies/programmatic/uk" TargetMode="External"/><Relationship Id="rId56" Type="http://schemas.openxmlformats.org/officeDocument/2006/relationships/hyperlink" Target="http://feedbax.de" TargetMode="External"/><Relationship Id="rId1308" Type="http://schemas.openxmlformats.org/officeDocument/2006/relationships/hyperlink" Target="http://clutch.co" TargetMode="External"/><Relationship Id="rId1309" Type="http://schemas.openxmlformats.org/officeDocument/2006/relationships/hyperlink" Target="https://clutch.co/agencies/sem/uk" TargetMode="External"/><Relationship Id="rId719" Type="http://schemas.openxmlformats.org/officeDocument/2006/relationships/hyperlink" Target="https://oski.site/blog/ai-consulting-companies-australia/" TargetMode="External"/><Relationship Id="rId718" Type="http://schemas.openxmlformats.org/officeDocument/2006/relationships/hyperlink" Target="http://digitaldigest.au" TargetMode="External"/><Relationship Id="rId717" Type="http://schemas.openxmlformats.org/officeDocument/2006/relationships/hyperlink" Target="https://digitaldigest.au/best-digital-marketing-agencies/" TargetMode="External"/><Relationship Id="rId712" Type="http://schemas.openxmlformats.org/officeDocument/2006/relationships/hyperlink" Target="http://cometly.com" TargetMode="External"/><Relationship Id="rId711" Type="http://schemas.openxmlformats.org/officeDocument/2006/relationships/hyperlink" Target="https://www.cometly.com/post/marketing-attribution-platform-for-agencies" TargetMode="External"/><Relationship Id="rId710" Type="http://schemas.openxmlformats.org/officeDocument/2006/relationships/hyperlink" Target="http://cometly.com" TargetMode="External"/><Relationship Id="rId716" Type="http://schemas.openxmlformats.org/officeDocument/2006/relationships/hyperlink" Target="http://digitalagencynetwork.com" TargetMode="External"/><Relationship Id="rId715" Type="http://schemas.openxmlformats.org/officeDocument/2006/relationships/hyperlink" Target="https://digitalagencynetwork.com/agencies/melbourne/ai-marketing/" TargetMode="External"/><Relationship Id="rId714" Type="http://schemas.openxmlformats.org/officeDocument/2006/relationships/hyperlink" Target="http://digitalagencynetwork.com" TargetMode="External"/><Relationship Id="rId713" Type="http://schemas.openxmlformats.org/officeDocument/2006/relationships/hyperlink" Target="https://digitalagencynetwork.com/agencies/australia/online-advertising/" TargetMode="External"/><Relationship Id="rId59" Type="http://schemas.openxmlformats.org/officeDocument/2006/relationships/hyperlink" Target="http://businessofapps.com" TargetMode="External"/><Relationship Id="rId58" Type="http://schemas.openxmlformats.org/officeDocument/2006/relationships/hyperlink" Target="http://clutch.co" TargetMode="External"/><Relationship Id="rId1780" Type="http://schemas.openxmlformats.org/officeDocument/2006/relationships/hyperlink" Target="https://www.sortlist.com/s/display-advertising/germany-de" TargetMode="External"/><Relationship Id="rId1781" Type="http://schemas.openxmlformats.org/officeDocument/2006/relationships/hyperlink" Target="http://sortlist.com" TargetMode="External"/><Relationship Id="rId1782" Type="http://schemas.openxmlformats.org/officeDocument/2006/relationships/hyperlink" Target="https://www.goodfirms.co/directory/country/top-digital-marketing-companies/de" TargetMode="External"/><Relationship Id="rId1783" Type="http://schemas.openxmlformats.org/officeDocument/2006/relationships/hyperlink" Target="http://goodfirms.co" TargetMode="External"/><Relationship Id="rId1300" Type="http://schemas.openxmlformats.org/officeDocument/2006/relationships/hyperlink" Target="http://clutch.co" TargetMode="External"/><Relationship Id="rId1784" Type="http://schemas.openxmlformats.org/officeDocument/2006/relationships/hyperlink" Target="https://techbehemoths.com/companies/marketing-analytics/germany" TargetMode="External"/><Relationship Id="rId2269" Type="http://schemas.openxmlformats.org/officeDocument/2006/relationships/hyperlink" Target="http://google.com" TargetMode="External"/><Relationship Id="rId349" Type="http://schemas.openxmlformats.org/officeDocument/2006/relationships/hyperlink" Target="http://clutch.co" TargetMode="External"/><Relationship Id="rId348" Type="http://schemas.openxmlformats.org/officeDocument/2006/relationships/hyperlink" Target="https://clutch.co/agencies/sem?geona_id=25338&amp;page=1" TargetMode="External"/><Relationship Id="rId347" Type="http://schemas.openxmlformats.org/officeDocument/2006/relationships/hyperlink" Target="http://clutch.co" TargetMode="External"/><Relationship Id="rId346" Type="http://schemas.openxmlformats.org/officeDocument/2006/relationships/hyperlink" Target="https://clutch.co/agencies/performance-marketing%3Fpage%3D0" TargetMode="External"/><Relationship Id="rId2260" Type="http://schemas.openxmlformats.org/officeDocument/2006/relationships/hyperlink" Target="https://agencies.semrush.com/list/machine-learning-and-ai/germany/small-business/" TargetMode="External"/><Relationship Id="rId341" Type="http://schemas.openxmlformats.org/officeDocument/2006/relationships/hyperlink" Target="http://semrush.com" TargetMode="External"/><Relationship Id="rId2261" Type="http://schemas.openxmlformats.org/officeDocument/2006/relationships/hyperlink" Target="http://semrush.com" TargetMode="External"/><Relationship Id="rId340" Type="http://schemas.openxmlformats.org/officeDocument/2006/relationships/hyperlink" Target="https://agencies.semrush.com/list/display-advertising/new-york/" TargetMode="External"/><Relationship Id="rId2262" Type="http://schemas.openxmlformats.org/officeDocument/2006/relationships/hyperlink" Target="https://agencies.semrush.com/list/ppc/munich/" TargetMode="External"/><Relationship Id="rId2263" Type="http://schemas.openxmlformats.org/officeDocument/2006/relationships/hyperlink" Target="http://semrush.com" TargetMode="External"/><Relationship Id="rId2264" Type="http://schemas.openxmlformats.org/officeDocument/2006/relationships/hyperlink" Target="https://agencies.semrush.com/list/programmatic-advertising/germany/mid-business/" TargetMode="External"/><Relationship Id="rId345" Type="http://schemas.openxmlformats.org/officeDocument/2006/relationships/hyperlink" Target="http://semrush.com" TargetMode="External"/><Relationship Id="rId2265" Type="http://schemas.openxmlformats.org/officeDocument/2006/relationships/hyperlink" Target="http://semrush.com" TargetMode="External"/><Relationship Id="rId344" Type="http://schemas.openxmlformats.org/officeDocument/2006/relationships/hyperlink" Target="https://agencies.semrush.com/list/programmatic-advertising/information-technology/united-states/" TargetMode="External"/><Relationship Id="rId2266" Type="http://schemas.openxmlformats.org/officeDocument/2006/relationships/hyperlink" Target="https://business.google.com/de/think/measurement/ai-driven-data-management/" TargetMode="External"/><Relationship Id="rId343" Type="http://schemas.openxmlformats.org/officeDocument/2006/relationships/hyperlink" Target="http://semrush.com" TargetMode="External"/><Relationship Id="rId2267" Type="http://schemas.openxmlformats.org/officeDocument/2006/relationships/hyperlink" Target="http://google.com" TargetMode="External"/><Relationship Id="rId342" Type="http://schemas.openxmlformats.org/officeDocument/2006/relationships/hyperlink" Target="https://agencies.semrush.com/list/display-advertising/united-states/small-business/" TargetMode="External"/><Relationship Id="rId2268" Type="http://schemas.openxmlformats.org/officeDocument/2006/relationships/hyperlink" Target="https://business.google.com/en-all/support/work-with-a-partner/" TargetMode="External"/><Relationship Id="rId2258" Type="http://schemas.openxmlformats.org/officeDocument/2006/relationships/hyperlink" Target="https://agencies.semrush.com/list/machine-learning-and-ai/germany/mid-business/" TargetMode="External"/><Relationship Id="rId2259" Type="http://schemas.openxmlformats.org/officeDocument/2006/relationships/hyperlink" Target="http://semrush.com" TargetMode="External"/><Relationship Id="rId338" Type="http://schemas.openxmlformats.org/officeDocument/2006/relationships/hyperlink" Target="https://www.webtonic.io/blog/top-advertising-agencies-us" TargetMode="External"/><Relationship Id="rId337" Type="http://schemas.openxmlformats.org/officeDocument/2006/relationships/hyperlink" Target="http://webtonic.io" TargetMode="External"/><Relationship Id="rId336" Type="http://schemas.openxmlformats.org/officeDocument/2006/relationships/hyperlink" Target="https://www.webtonic.io/blog/best-google-ads-agencies-us" TargetMode="External"/><Relationship Id="rId335" Type="http://schemas.openxmlformats.org/officeDocument/2006/relationships/hyperlink" Target="http://webtonic.io" TargetMode="External"/><Relationship Id="rId339" Type="http://schemas.openxmlformats.org/officeDocument/2006/relationships/hyperlink" Target="http://webtonic.io" TargetMode="External"/><Relationship Id="rId330" Type="http://schemas.openxmlformats.org/officeDocument/2006/relationships/hyperlink" Target="https://themanifest.com/us/media-buying/agencies?page=1" TargetMode="External"/><Relationship Id="rId2250" Type="http://schemas.openxmlformats.org/officeDocument/2006/relationships/hyperlink" Target="https://agencies.semrush.com/list/facebook-advertising/germany/" TargetMode="External"/><Relationship Id="rId2251" Type="http://schemas.openxmlformats.org/officeDocument/2006/relationships/hyperlink" Target="http://semrush.com" TargetMode="External"/><Relationship Id="rId2252" Type="http://schemas.openxmlformats.org/officeDocument/2006/relationships/hyperlink" Target="https://agencies.semrush.com/list/llm-optimization/germany/mid-business/" TargetMode="External"/><Relationship Id="rId2253" Type="http://schemas.openxmlformats.org/officeDocument/2006/relationships/hyperlink" Target="http://semrush.com" TargetMode="External"/><Relationship Id="rId334" Type="http://schemas.openxmlformats.org/officeDocument/2006/relationships/hyperlink" Target="https://www.webtonic.io/blog/best-data-driven-marketing-agencies" TargetMode="External"/><Relationship Id="rId2254" Type="http://schemas.openxmlformats.org/officeDocument/2006/relationships/hyperlink" Target="https://agencies.semrush.com/list/los-angeles/" TargetMode="External"/><Relationship Id="rId333" Type="http://schemas.openxmlformats.org/officeDocument/2006/relationships/hyperlink" Target="http://webtonic.io" TargetMode="External"/><Relationship Id="rId2255" Type="http://schemas.openxmlformats.org/officeDocument/2006/relationships/hyperlink" Target="http://semrush.com" TargetMode="External"/><Relationship Id="rId332" Type="http://schemas.openxmlformats.org/officeDocument/2006/relationships/hyperlink" Target="https://www.webtonic.io/blog/best-ai-marketing-agencies" TargetMode="External"/><Relationship Id="rId2256" Type="http://schemas.openxmlformats.org/officeDocument/2006/relationships/hyperlink" Target="https://agencies.semrush.com/list/machine-learning-and-ai/germany/enterprise-business/" TargetMode="External"/><Relationship Id="rId331" Type="http://schemas.openxmlformats.org/officeDocument/2006/relationships/hyperlink" Target="http://themanifest.com" TargetMode="External"/><Relationship Id="rId2257" Type="http://schemas.openxmlformats.org/officeDocument/2006/relationships/hyperlink" Target="http://semrush.com" TargetMode="External"/><Relationship Id="rId370" Type="http://schemas.openxmlformats.org/officeDocument/2006/relationships/hyperlink" Target="https://digitalagencynetwork.com/best-ai-agents-for-digital-marketing/" TargetMode="External"/><Relationship Id="rId369" Type="http://schemas.openxmlformats.org/officeDocument/2006/relationships/hyperlink" Target="http://digitalagencynetwork.com" TargetMode="External"/><Relationship Id="rId368" Type="http://schemas.openxmlformats.org/officeDocument/2006/relationships/hyperlink" Target="https://digitalagencynetwork.com/agencies/" TargetMode="External"/><Relationship Id="rId2280" Type="http://schemas.openxmlformats.org/officeDocument/2006/relationships/hyperlink" Target="https://www.bvdw.org/wp-content/uploads/2026/03/BVDW-Kreativranking-2025.pdf" TargetMode="External"/><Relationship Id="rId2281" Type="http://schemas.openxmlformats.org/officeDocument/2006/relationships/hyperlink" Target="http://bvdw.org" TargetMode="External"/><Relationship Id="rId2282" Type="http://schemas.openxmlformats.org/officeDocument/2006/relationships/hyperlink" Target="https://clutch.co/agencies" TargetMode="External"/><Relationship Id="rId363" Type="http://schemas.openxmlformats.org/officeDocument/2006/relationships/hyperlink" Target="http://cometly.com" TargetMode="External"/><Relationship Id="rId2283" Type="http://schemas.openxmlformats.org/officeDocument/2006/relationships/hyperlink" Target="http://clutch.co" TargetMode="External"/><Relationship Id="rId362" Type="http://schemas.openxmlformats.org/officeDocument/2006/relationships/hyperlink" Target="https://www.cometly.com/post/marketing-attribution-companies" TargetMode="External"/><Relationship Id="rId2284" Type="http://schemas.openxmlformats.org/officeDocument/2006/relationships/hyperlink" Target="https://clutch.co/agencies/experiential?page=9" TargetMode="External"/><Relationship Id="rId361" Type="http://schemas.openxmlformats.org/officeDocument/2006/relationships/hyperlink" Target="http://clutch.co" TargetMode="External"/><Relationship Id="rId2285" Type="http://schemas.openxmlformats.org/officeDocument/2006/relationships/hyperlink" Target="http://clutch.co" TargetMode="External"/><Relationship Id="rId360" Type="http://schemas.openxmlformats.org/officeDocument/2006/relationships/hyperlink" Target="https://clutch.co/us/agencies/ppc/display%3Fpage%3D5" TargetMode="External"/><Relationship Id="rId2286" Type="http://schemas.openxmlformats.org/officeDocument/2006/relationships/hyperlink" Target="https://clutch.co/agencies/media-buying" TargetMode="External"/><Relationship Id="rId367" Type="http://schemas.openxmlformats.org/officeDocument/2006/relationships/hyperlink" Target="http://designrush.com" TargetMode="External"/><Relationship Id="rId2287" Type="http://schemas.openxmlformats.org/officeDocument/2006/relationships/hyperlink" Target="http://clutch.co" TargetMode="External"/><Relationship Id="rId366" Type="http://schemas.openxmlformats.org/officeDocument/2006/relationships/hyperlink" Target="https://www.designrush.com/agency/digital-marketing/analytics?page=2" TargetMode="External"/><Relationship Id="rId2288" Type="http://schemas.openxmlformats.org/officeDocument/2006/relationships/hyperlink" Target="https://clutch.co/agencies/performance-marketing" TargetMode="External"/><Relationship Id="rId365" Type="http://schemas.openxmlformats.org/officeDocument/2006/relationships/hyperlink" Target="http://designrush.com" TargetMode="External"/><Relationship Id="rId2289" Type="http://schemas.openxmlformats.org/officeDocument/2006/relationships/hyperlink" Target="http://clutch.co" TargetMode="External"/><Relationship Id="rId364" Type="http://schemas.openxmlformats.org/officeDocument/2006/relationships/hyperlink" Target="https://www.designrush.com/agency/digital-marketing/analytics/us?page=2" TargetMode="External"/><Relationship Id="rId95" Type="http://schemas.openxmlformats.org/officeDocument/2006/relationships/hyperlink" Target="http://seocompare.co.uk" TargetMode="External"/><Relationship Id="rId94" Type="http://schemas.openxmlformats.org/officeDocument/2006/relationships/hyperlink" Target="http://gartner.com" TargetMode="External"/><Relationship Id="rId97" Type="http://schemas.openxmlformats.org/officeDocument/2006/relationships/hyperlink" Target="http://withgoogle.com" TargetMode="External"/><Relationship Id="rId96" Type="http://schemas.openxmlformats.org/officeDocument/2006/relationships/hyperlink" Target="https://partnersdirectory.withgoogle.com/" TargetMode="External"/><Relationship Id="rId99" Type="http://schemas.openxmlformats.org/officeDocument/2006/relationships/hyperlink" Target="https://clutch.co/us/consulting/ai/strategy" TargetMode="External"/><Relationship Id="rId98" Type="http://schemas.openxmlformats.org/officeDocument/2006/relationships/hyperlink" Target="http://webtonic.io" TargetMode="External"/><Relationship Id="rId91" Type="http://schemas.openxmlformats.org/officeDocument/2006/relationships/hyperlink" Target="http://designrush.com" TargetMode="External"/><Relationship Id="rId90" Type="http://schemas.openxmlformats.org/officeDocument/2006/relationships/hyperlink" Target="https://www.designrush.com/agency/digital-marketing/performance-marketing-agencies" TargetMode="External"/><Relationship Id="rId93" Type="http://schemas.openxmlformats.org/officeDocument/2006/relationships/hyperlink" Target="https://www.gartner.com/reviews/market/advanced-analytics-service-providers-for-marketing" TargetMode="External"/><Relationship Id="rId92" Type="http://schemas.openxmlformats.org/officeDocument/2006/relationships/hyperlink" Target="http://c2cmedia.ae" TargetMode="External"/><Relationship Id="rId359" Type="http://schemas.openxmlformats.org/officeDocument/2006/relationships/hyperlink" Target="http://clutch.co" TargetMode="External"/><Relationship Id="rId358" Type="http://schemas.openxmlformats.org/officeDocument/2006/relationships/hyperlink" Target="https://clutch.co/us/agencies/ppc%3Fpage%3D2" TargetMode="External"/><Relationship Id="rId357" Type="http://schemas.openxmlformats.org/officeDocument/2006/relationships/hyperlink" Target="http://clutch.co" TargetMode="External"/><Relationship Id="rId2270" Type="http://schemas.openxmlformats.org/officeDocument/2006/relationships/hyperlink" Target="https://www.businessofapps.com/marketplace/ai-marketing/" TargetMode="External"/><Relationship Id="rId2271" Type="http://schemas.openxmlformats.org/officeDocument/2006/relationships/hyperlink" Target="http://businessofapps.com" TargetMode="External"/><Relationship Id="rId352" Type="http://schemas.openxmlformats.org/officeDocument/2006/relationships/hyperlink" Target="https://clutch.co/us/agencies/digital" TargetMode="External"/><Relationship Id="rId2272" Type="http://schemas.openxmlformats.org/officeDocument/2006/relationships/hyperlink" Target="https://www.businessofapps.com/marketplace/performance-marketing/" TargetMode="External"/><Relationship Id="rId351" Type="http://schemas.openxmlformats.org/officeDocument/2006/relationships/hyperlink" Target="http://clutch.co" TargetMode="External"/><Relationship Id="rId2273" Type="http://schemas.openxmlformats.org/officeDocument/2006/relationships/hyperlink" Target="http://businessofapps.com" TargetMode="External"/><Relationship Id="rId350" Type="http://schemas.openxmlformats.org/officeDocument/2006/relationships/hyperlink" Target="https://clutch.co/press-releases/Best-of-Clutch-winners-2025" TargetMode="External"/><Relationship Id="rId2274" Type="http://schemas.openxmlformats.org/officeDocument/2006/relationships/hyperlink" Target="https://www.bvdw.org/news-und-publikationen/deep-dive-retail-mediaagenturen/" TargetMode="External"/><Relationship Id="rId2275" Type="http://schemas.openxmlformats.org/officeDocument/2006/relationships/hyperlink" Target="http://bvdw.org" TargetMode="External"/><Relationship Id="rId356" Type="http://schemas.openxmlformats.org/officeDocument/2006/relationships/hyperlink" Target="https://clutch.co/us/agencies/ecommerce-marketing" TargetMode="External"/><Relationship Id="rId2276" Type="http://schemas.openxmlformats.org/officeDocument/2006/relationships/hyperlink" Target="https://www.bvdw.org/news-und-publikationen/internetagentur-ranking-2026-plannet-verteidigt-spitzenposition/" TargetMode="External"/><Relationship Id="rId355" Type="http://schemas.openxmlformats.org/officeDocument/2006/relationships/hyperlink" Target="http://clutch.co" TargetMode="External"/><Relationship Id="rId2277" Type="http://schemas.openxmlformats.org/officeDocument/2006/relationships/hyperlink" Target="http://bvdw.org" TargetMode="External"/><Relationship Id="rId354" Type="http://schemas.openxmlformats.org/officeDocument/2006/relationships/hyperlink" Target="https://clutch.co/us/agencies/digital-marketing%3Fpage%3D2" TargetMode="External"/><Relationship Id="rId2278" Type="http://schemas.openxmlformats.org/officeDocument/2006/relationships/hyperlink" Target="https://www.bvdw.org/wp-content/uploads/2025/03/BVDW_Studie_Kreativranking_Auswertung_2024-1.pdf?highlight=12+agenturen" TargetMode="External"/><Relationship Id="rId353" Type="http://schemas.openxmlformats.org/officeDocument/2006/relationships/hyperlink" Target="http://clutch.co" TargetMode="External"/><Relationship Id="rId2279" Type="http://schemas.openxmlformats.org/officeDocument/2006/relationships/hyperlink" Target="http://bvdw.org" TargetMode="External"/><Relationship Id="rId1378" Type="http://schemas.openxmlformats.org/officeDocument/2006/relationships/hyperlink" Target="https://clutch.co/agencies/branding/uk" TargetMode="External"/><Relationship Id="rId2225" Type="http://schemas.openxmlformats.org/officeDocument/2006/relationships/hyperlink" Target="http://themanifest.com" TargetMode="External"/><Relationship Id="rId1379" Type="http://schemas.openxmlformats.org/officeDocument/2006/relationships/hyperlink" Target="http://clutch.co" TargetMode="External"/><Relationship Id="rId2226" Type="http://schemas.openxmlformats.org/officeDocument/2006/relationships/hyperlink" Target="https://themanifest.com/de/media-buying/agencies" TargetMode="External"/><Relationship Id="rId2227" Type="http://schemas.openxmlformats.org/officeDocument/2006/relationships/hyperlink" Target="http://themanifest.com" TargetMode="External"/><Relationship Id="rId2228" Type="http://schemas.openxmlformats.org/officeDocument/2006/relationships/hyperlink" Target="https://www.webtonic.io/blog/best-performance-marketing-agencies" TargetMode="External"/><Relationship Id="rId2229" Type="http://schemas.openxmlformats.org/officeDocument/2006/relationships/hyperlink" Target="http://webtonic.io" TargetMode="External"/><Relationship Id="rId305" Type="http://schemas.openxmlformats.org/officeDocument/2006/relationships/hyperlink" Target="https://clutch.co/agencies/ppc/display/indiana" TargetMode="External"/><Relationship Id="rId789" Type="http://schemas.openxmlformats.org/officeDocument/2006/relationships/hyperlink" Target="http://sortlist.com" TargetMode="External"/><Relationship Id="rId304" Type="http://schemas.openxmlformats.org/officeDocument/2006/relationships/hyperlink" Target="http://google.com" TargetMode="External"/><Relationship Id="rId788" Type="http://schemas.openxmlformats.org/officeDocument/2006/relationships/hyperlink" Target="https://www.sortlist.com/l/australia-au" TargetMode="External"/><Relationship Id="rId303" Type="http://schemas.openxmlformats.org/officeDocument/2006/relationships/hyperlink" Target="https://business.google.com/us/support/become-a-partner/" TargetMode="External"/><Relationship Id="rId787" Type="http://schemas.openxmlformats.org/officeDocument/2006/relationships/hyperlink" Target="http://sortlist.com" TargetMode="External"/><Relationship Id="rId302" Type="http://schemas.openxmlformats.org/officeDocument/2006/relationships/hyperlink" Target="http://semrush.com" TargetMode="External"/><Relationship Id="rId786" Type="http://schemas.openxmlformats.org/officeDocument/2006/relationships/hyperlink" Target="https://www.sortlist.com/digital-marketing/australia-au" TargetMode="External"/><Relationship Id="rId309" Type="http://schemas.openxmlformats.org/officeDocument/2006/relationships/hyperlink" Target="https://clutch.co/us/agencies/branding/corporate" TargetMode="External"/><Relationship Id="rId308" Type="http://schemas.openxmlformats.org/officeDocument/2006/relationships/hyperlink" Target="http://clutch.co" TargetMode="External"/><Relationship Id="rId307" Type="http://schemas.openxmlformats.org/officeDocument/2006/relationships/hyperlink" Target="https://clutch.co/agencies/ppc?geona_id=47171&amp;page=1" TargetMode="External"/><Relationship Id="rId306" Type="http://schemas.openxmlformats.org/officeDocument/2006/relationships/hyperlink" Target="http://clutch.co" TargetMode="External"/><Relationship Id="rId781" Type="http://schemas.openxmlformats.org/officeDocument/2006/relationships/hyperlink" Target="http://clutch.co" TargetMode="External"/><Relationship Id="rId1370" Type="http://schemas.openxmlformats.org/officeDocument/2006/relationships/hyperlink" Target="https://www.sortlist.co.uk/media-planning/united-kingdom-gb" TargetMode="External"/><Relationship Id="rId780" Type="http://schemas.openxmlformats.org/officeDocument/2006/relationships/hyperlink" Target="https://clutch.co/agencies/performance-marketing" TargetMode="External"/><Relationship Id="rId1371" Type="http://schemas.openxmlformats.org/officeDocument/2006/relationships/hyperlink" Target="http://sortlist.co.uk" TargetMode="External"/><Relationship Id="rId1372" Type="http://schemas.openxmlformats.org/officeDocument/2006/relationships/hyperlink" Target="https://www.sortlist.co.uk/s/attribution-marketing/united-kingdom-gb" TargetMode="External"/><Relationship Id="rId1373" Type="http://schemas.openxmlformats.org/officeDocument/2006/relationships/hyperlink" Target="http://sortlist.co.uk" TargetMode="External"/><Relationship Id="rId2220" Type="http://schemas.openxmlformats.org/officeDocument/2006/relationships/hyperlink" Target="https://www.sortlist.de/s/display-werbung/duesseldorf-de" TargetMode="External"/><Relationship Id="rId301" Type="http://schemas.openxmlformats.org/officeDocument/2006/relationships/hyperlink" Target="https://agencies.semrush.com/list/display-advertising/ecommerce/united-states/" TargetMode="External"/><Relationship Id="rId785" Type="http://schemas.openxmlformats.org/officeDocument/2006/relationships/hyperlink" Target="http://influencermarketinghub.com" TargetMode="External"/><Relationship Id="rId1374" Type="http://schemas.openxmlformats.org/officeDocument/2006/relationships/hyperlink" Target="https://www.sortlist.com/i/s/data-driven-marketing/united-kingdom-gb" TargetMode="External"/><Relationship Id="rId2221" Type="http://schemas.openxmlformats.org/officeDocument/2006/relationships/hyperlink" Target="http://sortlist.de" TargetMode="External"/><Relationship Id="rId300" Type="http://schemas.openxmlformats.org/officeDocument/2006/relationships/hyperlink" Target="http://semrush.com" TargetMode="External"/><Relationship Id="rId784" Type="http://schemas.openxmlformats.org/officeDocument/2006/relationships/hyperlink" Target="https://influencermarketinghub.com/social-media-marketing-agencies-australia/" TargetMode="External"/><Relationship Id="rId1375" Type="http://schemas.openxmlformats.org/officeDocument/2006/relationships/hyperlink" Target="http://sortlist.com" TargetMode="External"/><Relationship Id="rId2222" Type="http://schemas.openxmlformats.org/officeDocument/2006/relationships/hyperlink" Target="https://www.thegrowthsyndicate.com/agencies/best-digital-marketing-agencies-europe" TargetMode="External"/><Relationship Id="rId783" Type="http://schemas.openxmlformats.org/officeDocument/2006/relationships/hyperlink" Target="http://digitalagencynetwork.com" TargetMode="External"/><Relationship Id="rId1376" Type="http://schemas.openxmlformats.org/officeDocument/2006/relationships/hyperlink" Target="https://business.google.com/en-all/support/work-with-a-partner/?hl=uk" TargetMode="External"/><Relationship Id="rId2223" Type="http://schemas.openxmlformats.org/officeDocument/2006/relationships/hyperlink" Target="http://thegrowthsyndicate.com" TargetMode="External"/><Relationship Id="rId782" Type="http://schemas.openxmlformats.org/officeDocument/2006/relationships/hyperlink" Target="https://digitalagencynetwork.com/agencies/sydney/ai-marketing/" TargetMode="External"/><Relationship Id="rId1377" Type="http://schemas.openxmlformats.org/officeDocument/2006/relationships/hyperlink" Target="http://google.com" TargetMode="External"/><Relationship Id="rId2224" Type="http://schemas.openxmlformats.org/officeDocument/2006/relationships/hyperlink" Target="https://themanifest.com/de/big-data/companies" TargetMode="External"/><Relationship Id="rId1367" Type="http://schemas.openxmlformats.org/officeDocument/2006/relationships/hyperlink" Target="http://sortlist.co.uk" TargetMode="External"/><Relationship Id="rId2214" Type="http://schemas.openxmlformats.org/officeDocument/2006/relationships/hyperlink" Target="https://www.sortlist.com/s/tiktok-advertising/germany-de" TargetMode="External"/><Relationship Id="rId1368" Type="http://schemas.openxmlformats.org/officeDocument/2006/relationships/hyperlink" Target="https://www.sortlist.co.uk/digital-marketing/united-kingdom-gb" TargetMode="External"/><Relationship Id="rId2215" Type="http://schemas.openxmlformats.org/officeDocument/2006/relationships/hyperlink" Target="http://sortlist.com" TargetMode="External"/><Relationship Id="rId1369" Type="http://schemas.openxmlformats.org/officeDocument/2006/relationships/hyperlink" Target="http://sortlist.co.uk" TargetMode="External"/><Relationship Id="rId2216" Type="http://schemas.openxmlformats.org/officeDocument/2006/relationships/hyperlink" Target="https://www.sortlist.de/s/ai-marketing/bremen-hb-de" TargetMode="External"/><Relationship Id="rId2217" Type="http://schemas.openxmlformats.org/officeDocument/2006/relationships/hyperlink" Target="http://sortlist.de" TargetMode="External"/><Relationship Id="rId2218" Type="http://schemas.openxmlformats.org/officeDocument/2006/relationships/hyperlink" Target="https://www.sortlist.de/s/ai-marketing/hamburg-de" TargetMode="External"/><Relationship Id="rId2219" Type="http://schemas.openxmlformats.org/officeDocument/2006/relationships/hyperlink" Target="http://sortlist.de" TargetMode="External"/><Relationship Id="rId778" Type="http://schemas.openxmlformats.org/officeDocument/2006/relationships/hyperlink" Target="https://agencies.semrush.com/list/display-advertising/arts-entertainment/australia/" TargetMode="External"/><Relationship Id="rId777" Type="http://schemas.openxmlformats.org/officeDocument/2006/relationships/hyperlink" Target="http://semrush.com" TargetMode="External"/><Relationship Id="rId776" Type="http://schemas.openxmlformats.org/officeDocument/2006/relationships/hyperlink" Target="https://agencies.semrush.com/list/ai-optimization/australia/" TargetMode="External"/><Relationship Id="rId775" Type="http://schemas.openxmlformats.org/officeDocument/2006/relationships/hyperlink" Target="http://10seos.com" TargetMode="External"/><Relationship Id="rId779" Type="http://schemas.openxmlformats.org/officeDocument/2006/relationships/hyperlink" Target="http://semrush.com" TargetMode="External"/><Relationship Id="rId770" Type="http://schemas.openxmlformats.org/officeDocument/2006/relationships/hyperlink" Target="https://www.sortlist.com/s/programmatic-advertising/australia-au" TargetMode="External"/><Relationship Id="rId1360" Type="http://schemas.openxmlformats.org/officeDocument/2006/relationships/hyperlink" Target="https://www.goodfirms.co/directory/country/top-digital-marketing-companies/advertising-ppc/uk" TargetMode="External"/><Relationship Id="rId1361" Type="http://schemas.openxmlformats.org/officeDocument/2006/relationships/hyperlink" Target="http://goodfirms.co" TargetMode="External"/><Relationship Id="rId1362" Type="http://schemas.openxmlformats.org/officeDocument/2006/relationships/hyperlink" Target="https://www.google.com/partners" TargetMode="External"/><Relationship Id="rId774" Type="http://schemas.openxmlformats.org/officeDocument/2006/relationships/hyperlink" Target="https://www.10seos.com/au/display-advertising-companies-in-australia?page=2" TargetMode="External"/><Relationship Id="rId1363" Type="http://schemas.openxmlformats.org/officeDocument/2006/relationships/hyperlink" Target="http://google.com" TargetMode="External"/><Relationship Id="rId2210" Type="http://schemas.openxmlformats.org/officeDocument/2006/relationships/hyperlink" Target="https://www.sortlist.com/s/creative-design/germany-de" TargetMode="External"/><Relationship Id="rId773" Type="http://schemas.openxmlformats.org/officeDocument/2006/relationships/hyperlink" Target="http://sortlist.com" TargetMode="External"/><Relationship Id="rId1364" Type="http://schemas.openxmlformats.org/officeDocument/2006/relationships/hyperlink" Target="https://marketingplatform.google.com/intl/en_uk/about/" TargetMode="External"/><Relationship Id="rId2211" Type="http://schemas.openxmlformats.org/officeDocument/2006/relationships/hyperlink" Target="http://sortlist.com" TargetMode="External"/><Relationship Id="rId772" Type="http://schemas.openxmlformats.org/officeDocument/2006/relationships/hyperlink" Target="https://www.sortlist.com/social-media/australia-au" TargetMode="External"/><Relationship Id="rId1365" Type="http://schemas.openxmlformats.org/officeDocument/2006/relationships/hyperlink" Target="http://google.com" TargetMode="External"/><Relationship Id="rId2212" Type="http://schemas.openxmlformats.org/officeDocument/2006/relationships/hyperlink" Target="https://www.sortlist.com/s/online-marketing/germany-de" TargetMode="External"/><Relationship Id="rId771" Type="http://schemas.openxmlformats.org/officeDocument/2006/relationships/hyperlink" Target="http://sortlist.com" TargetMode="External"/><Relationship Id="rId1366" Type="http://schemas.openxmlformats.org/officeDocument/2006/relationships/hyperlink" Target="https://www.sortlist.co.uk/branding/united-kingdom-gb" TargetMode="External"/><Relationship Id="rId2213" Type="http://schemas.openxmlformats.org/officeDocument/2006/relationships/hyperlink" Target="http://sortlist.com" TargetMode="External"/><Relationship Id="rId2247" Type="http://schemas.openxmlformats.org/officeDocument/2006/relationships/hyperlink" Target="http://semrush.com" TargetMode="External"/><Relationship Id="rId2248" Type="http://schemas.openxmlformats.org/officeDocument/2006/relationships/hyperlink" Target="https://agencies.semrush.com/list/display-advertising/north-rhine-westphalia/" TargetMode="External"/><Relationship Id="rId2249" Type="http://schemas.openxmlformats.org/officeDocument/2006/relationships/hyperlink" Target="http://semrush.com" TargetMode="External"/><Relationship Id="rId327" Type="http://schemas.openxmlformats.org/officeDocument/2006/relationships/hyperlink" Target="http://sortlist.com" TargetMode="External"/><Relationship Id="rId326" Type="http://schemas.openxmlformats.org/officeDocument/2006/relationships/hyperlink" Target="https://www.sortlist.com/marketing-analytics" TargetMode="External"/><Relationship Id="rId325" Type="http://schemas.openxmlformats.org/officeDocument/2006/relationships/hyperlink" Target="http://sortlist.com" TargetMode="External"/><Relationship Id="rId324" Type="http://schemas.openxmlformats.org/officeDocument/2006/relationships/hyperlink" Target="https://www.sortlist.com/display-advertising" TargetMode="External"/><Relationship Id="rId329" Type="http://schemas.openxmlformats.org/officeDocument/2006/relationships/hyperlink" Target="http://sortlist.com" TargetMode="External"/><Relationship Id="rId1390" Type="http://schemas.openxmlformats.org/officeDocument/2006/relationships/hyperlink" Target="https://www.sortlist.co.uk/s/ai-marketing/england-england-gb" TargetMode="External"/><Relationship Id="rId328" Type="http://schemas.openxmlformats.org/officeDocument/2006/relationships/hyperlink" Target="https://www.sortlist.com/s/data-driven-marketing/united-states-us" TargetMode="External"/><Relationship Id="rId1391" Type="http://schemas.openxmlformats.org/officeDocument/2006/relationships/hyperlink" Target="http://sortlist.co.uk" TargetMode="External"/><Relationship Id="rId1392" Type="http://schemas.openxmlformats.org/officeDocument/2006/relationships/hyperlink" Target="https://www.sortlist.co.uk/s/attribution-marketing/england-england-gb" TargetMode="External"/><Relationship Id="rId1393" Type="http://schemas.openxmlformats.org/officeDocument/2006/relationships/hyperlink" Target="http://sortlist.co.uk" TargetMode="External"/><Relationship Id="rId2240" Type="http://schemas.openxmlformats.org/officeDocument/2006/relationships/hyperlink" Target="https://agencies.semrush.com/list/ai-optimization/wuppertal/" TargetMode="External"/><Relationship Id="rId1394" Type="http://schemas.openxmlformats.org/officeDocument/2006/relationships/hyperlink" Target="https://www.sortlist.co.uk/s/marketing-analytics/west-midlands-england-gb" TargetMode="External"/><Relationship Id="rId2241" Type="http://schemas.openxmlformats.org/officeDocument/2006/relationships/hyperlink" Target="http://semrush.com" TargetMode="External"/><Relationship Id="rId1395" Type="http://schemas.openxmlformats.org/officeDocument/2006/relationships/hyperlink" Target="http://sortlist.co.uk" TargetMode="External"/><Relationship Id="rId2242" Type="http://schemas.openxmlformats.org/officeDocument/2006/relationships/hyperlink" Target="https://agencies.semrush.com/list/analytics-data-science/business-professional-services/germany/enterprise-business/" TargetMode="External"/><Relationship Id="rId323" Type="http://schemas.openxmlformats.org/officeDocument/2006/relationships/hyperlink" Target="http://goodfirms.co" TargetMode="External"/><Relationship Id="rId1396" Type="http://schemas.openxmlformats.org/officeDocument/2006/relationships/hyperlink" Target="https://agencies.semrush.com/list/market-analysis/united-kingdom/" TargetMode="External"/><Relationship Id="rId2243" Type="http://schemas.openxmlformats.org/officeDocument/2006/relationships/hyperlink" Target="http://semrush.com" TargetMode="External"/><Relationship Id="rId322" Type="http://schemas.openxmlformats.org/officeDocument/2006/relationships/hyperlink" Target="https://www.goodfirms.co/directory/country/top-digital-marketing-companies/us?sid=3943" TargetMode="External"/><Relationship Id="rId1397" Type="http://schemas.openxmlformats.org/officeDocument/2006/relationships/hyperlink" Target="http://semrush.com" TargetMode="External"/><Relationship Id="rId2244" Type="http://schemas.openxmlformats.org/officeDocument/2006/relationships/hyperlink" Target="https://agencies.semrush.com/list/analytics-data-science/ecommerce/germany/" TargetMode="External"/><Relationship Id="rId321" Type="http://schemas.openxmlformats.org/officeDocument/2006/relationships/hyperlink" Target="http://goodfirms.co" TargetMode="External"/><Relationship Id="rId1398" Type="http://schemas.openxmlformats.org/officeDocument/2006/relationships/hyperlink" Target="https://business.google.com/en-all/support/become-a-partner/" TargetMode="External"/><Relationship Id="rId2245" Type="http://schemas.openxmlformats.org/officeDocument/2006/relationships/hyperlink" Target="http://semrush.com" TargetMode="External"/><Relationship Id="rId320" Type="http://schemas.openxmlformats.org/officeDocument/2006/relationships/hyperlink" Target="https://www.goodfirms.co/directory/country/top-digital-marketing-companies/us?sid=3931" TargetMode="External"/><Relationship Id="rId1399" Type="http://schemas.openxmlformats.org/officeDocument/2006/relationships/hyperlink" Target="http://google.com" TargetMode="External"/><Relationship Id="rId2246" Type="http://schemas.openxmlformats.org/officeDocument/2006/relationships/hyperlink" Target="https://agencies.semrush.com/list/business-professional-services/germany/" TargetMode="External"/><Relationship Id="rId1389" Type="http://schemas.openxmlformats.org/officeDocument/2006/relationships/hyperlink" Target="http://google.com" TargetMode="External"/><Relationship Id="rId2236" Type="http://schemas.openxmlformats.org/officeDocument/2006/relationships/hyperlink" Target="https://agencies.semrush.com/de/hecht-ins-gefecht/" TargetMode="External"/><Relationship Id="rId2237" Type="http://schemas.openxmlformats.org/officeDocument/2006/relationships/hyperlink" Target="http://semrush.com" TargetMode="External"/><Relationship Id="rId2238" Type="http://schemas.openxmlformats.org/officeDocument/2006/relationships/hyperlink" Target="https://agencies.semrush.com/de/list/ai-optimization/germany/" TargetMode="External"/><Relationship Id="rId2239" Type="http://schemas.openxmlformats.org/officeDocument/2006/relationships/hyperlink" Target="http://semrush.com" TargetMode="External"/><Relationship Id="rId316" Type="http://schemas.openxmlformats.org/officeDocument/2006/relationships/hyperlink" Target="http://cometly.com" TargetMode="External"/><Relationship Id="rId315" Type="http://schemas.openxmlformats.org/officeDocument/2006/relationships/hyperlink" Target="https://www.cometly.com/post/marketing-attribution-platform-for-agencies" TargetMode="External"/><Relationship Id="rId799" Type="http://schemas.openxmlformats.org/officeDocument/2006/relationships/hyperlink" Target="http://google.com" TargetMode="External"/><Relationship Id="rId314" Type="http://schemas.openxmlformats.org/officeDocument/2006/relationships/hyperlink" Target="http://cometly.com" TargetMode="External"/><Relationship Id="rId798" Type="http://schemas.openxmlformats.org/officeDocument/2006/relationships/hyperlink" Target="https://support.google.com/tagmanager/answer/7237700?hl=en" TargetMode="External"/><Relationship Id="rId313" Type="http://schemas.openxmlformats.org/officeDocument/2006/relationships/hyperlink" Target="https://www.cometly.com/post/attribution-tools-for-digital-marketing-agencies" TargetMode="External"/><Relationship Id="rId797" Type="http://schemas.openxmlformats.org/officeDocument/2006/relationships/hyperlink" Target="http://gartner.com" TargetMode="External"/><Relationship Id="rId319" Type="http://schemas.openxmlformats.org/officeDocument/2006/relationships/hyperlink" Target="https://enterprisemarketingportal.google/work-with-partners" TargetMode="External"/><Relationship Id="rId318" Type="http://schemas.openxmlformats.org/officeDocument/2006/relationships/hyperlink" Target="http://designrush.com" TargetMode="External"/><Relationship Id="rId317" Type="http://schemas.openxmlformats.org/officeDocument/2006/relationships/hyperlink" Target="https://www.designrush.com/agency/creative-agencies" TargetMode="External"/><Relationship Id="rId1380" Type="http://schemas.openxmlformats.org/officeDocument/2006/relationships/hyperlink" Target="https://clutch.co/agencies/ppc/advertising-industry/uk" TargetMode="External"/><Relationship Id="rId792" Type="http://schemas.openxmlformats.org/officeDocument/2006/relationships/hyperlink" Target="https://themanifest.com/au/media-buying/agencies" TargetMode="External"/><Relationship Id="rId1381" Type="http://schemas.openxmlformats.org/officeDocument/2006/relationships/hyperlink" Target="http://clutch.co" TargetMode="External"/><Relationship Id="rId791" Type="http://schemas.openxmlformats.org/officeDocument/2006/relationships/hyperlink" Target="http://theaustralian.com.au" TargetMode="External"/><Relationship Id="rId1382" Type="http://schemas.openxmlformats.org/officeDocument/2006/relationships/hyperlink" Target="https://clutch.co/agencies/ppc/display/uk/england/london" TargetMode="External"/><Relationship Id="rId790" Type="http://schemas.openxmlformats.org/officeDocument/2006/relationships/hyperlink" Target="https://www.theaustralian.com.au/sponsored-content/beyond-ai-pilots-the-organisations-turning-ai-ambition-into-action/news-story/415e261ad0bf616e51c3b7b79b17a86f" TargetMode="External"/><Relationship Id="rId1383" Type="http://schemas.openxmlformats.org/officeDocument/2006/relationships/hyperlink" Target="http://clutch.co" TargetMode="External"/><Relationship Id="rId2230" Type="http://schemas.openxmlformats.org/officeDocument/2006/relationships/hyperlink" Target="https://www.webtonic.io/blog/top-creative-performance-agencies" TargetMode="External"/><Relationship Id="rId1384" Type="http://schemas.openxmlformats.org/officeDocument/2006/relationships/hyperlink" Target="https://www.designrush.com/agency/ad-agencies/uk" TargetMode="External"/><Relationship Id="rId2231" Type="http://schemas.openxmlformats.org/officeDocument/2006/relationships/hyperlink" Target="http://webtonic.io" TargetMode="External"/><Relationship Id="rId312" Type="http://schemas.openxmlformats.org/officeDocument/2006/relationships/hyperlink" Target="http://clutch.co" TargetMode="External"/><Relationship Id="rId796" Type="http://schemas.openxmlformats.org/officeDocument/2006/relationships/hyperlink" Target="https://www.gartner.com/reviews/market/incrementality-measurement-platforms" TargetMode="External"/><Relationship Id="rId1385" Type="http://schemas.openxmlformats.org/officeDocument/2006/relationships/hyperlink" Target="http://designrush.com" TargetMode="External"/><Relationship Id="rId2232" Type="http://schemas.openxmlformats.org/officeDocument/2006/relationships/hyperlink" Target="https://ads.google.com/intl/us-EN/home/partners/work-with-a-partner/" TargetMode="External"/><Relationship Id="rId311" Type="http://schemas.openxmlformats.org/officeDocument/2006/relationships/hyperlink" Target="https://clutch.co/us/agencies/ppc/display?page=6" TargetMode="External"/><Relationship Id="rId795" Type="http://schemas.openxmlformats.org/officeDocument/2006/relationships/hyperlink" Target="http://clutch.co" TargetMode="External"/><Relationship Id="rId1386" Type="http://schemas.openxmlformats.org/officeDocument/2006/relationships/hyperlink" Target="https://marketingplatform.google.com/about/partners/?authuser=1" TargetMode="External"/><Relationship Id="rId2233" Type="http://schemas.openxmlformats.org/officeDocument/2006/relationships/hyperlink" Target="http://google.com" TargetMode="External"/><Relationship Id="rId310" Type="http://schemas.openxmlformats.org/officeDocument/2006/relationships/hyperlink" Target="http://clutch.co" TargetMode="External"/><Relationship Id="rId794" Type="http://schemas.openxmlformats.org/officeDocument/2006/relationships/hyperlink" Target="https://clutch.co/au/consulting/ai/sydney" TargetMode="External"/><Relationship Id="rId1387" Type="http://schemas.openxmlformats.org/officeDocument/2006/relationships/hyperlink" Target="http://google.com" TargetMode="External"/><Relationship Id="rId2234" Type="http://schemas.openxmlformats.org/officeDocument/2006/relationships/hyperlink" Target="https://agencies.semrush.com/baseplus-digital-media-gmbh/" TargetMode="External"/><Relationship Id="rId793" Type="http://schemas.openxmlformats.org/officeDocument/2006/relationships/hyperlink" Target="http://themanifest.com" TargetMode="External"/><Relationship Id="rId1388" Type="http://schemas.openxmlformats.org/officeDocument/2006/relationships/hyperlink" Target="https://marketingplatform.google.com/intl/en_uk/about/support/" TargetMode="External"/><Relationship Id="rId2235" Type="http://schemas.openxmlformats.org/officeDocument/2006/relationships/hyperlink" Target="http://semrush.com" TargetMode="External"/><Relationship Id="rId297" Type="http://schemas.openxmlformats.org/officeDocument/2006/relationships/hyperlink" Target="https://www.webtonic.io/blog/top-paid-media-agencies" TargetMode="External"/><Relationship Id="rId296" Type="http://schemas.openxmlformats.org/officeDocument/2006/relationships/hyperlink" Target="http://webtonic.io" TargetMode="External"/><Relationship Id="rId295" Type="http://schemas.openxmlformats.org/officeDocument/2006/relationships/hyperlink" Target="https://www.webtonic.io/blog/top-enterprise-digital-marketing-agencies" TargetMode="External"/><Relationship Id="rId294" Type="http://schemas.openxmlformats.org/officeDocument/2006/relationships/hyperlink" Target="http://themanifest.com" TargetMode="External"/><Relationship Id="rId299" Type="http://schemas.openxmlformats.org/officeDocument/2006/relationships/hyperlink" Target="https://agencies.semrush.com/list/analytics-data-science/business-professional-services/united-states/" TargetMode="External"/><Relationship Id="rId298" Type="http://schemas.openxmlformats.org/officeDocument/2006/relationships/hyperlink" Target="http://webtonic.io" TargetMode="External"/><Relationship Id="rId271" Type="http://schemas.openxmlformats.org/officeDocument/2006/relationships/hyperlink" Target="https://ads.google.com/intl/us/home/partners/work-with-a-partner/" TargetMode="External"/><Relationship Id="rId270" Type="http://schemas.openxmlformats.org/officeDocument/2006/relationships/hyperlink" Target="http://themanifest.com" TargetMode="External"/><Relationship Id="rId269" Type="http://schemas.openxmlformats.org/officeDocument/2006/relationships/hyperlink" Target="https://themanifest.com/us/social-media/agencies" TargetMode="External"/><Relationship Id="rId264" Type="http://schemas.openxmlformats.org/officeDocument/2006/relationships/hyperlink" Target="http://sortlist.com" TargetMode="External"/><Relationship Id="rId263" Type="http://schemas.openxmlformats.org/officeDocument/2006/relationships/hyperlink" Target="https://www.sortlist.com/digital-marketing/united-states-us" TargetMode="External"/><Relationship Id="rId262" Type="http://schemas.openxmlformats.org/officeDocument/2006/relationships/hyperlink" Target="http://withgoogle.com" TargetMode="External"/><Relationship Id="rId261" Type="http://schemas.openxmlformats.org/officeDocument/2006/relationships/hyperlink" Target="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 TargetMode="External"/><Relationship Id="rId268" Type="http://schemas.openxmlformats.org/officeDocument/2006/relationships/hyperlink" Target="http://themanifest.com" TargetMode="External"/><Relationship Id="rId267" Type="http://schemas.openxmlformats.org/officeDocument/2006/relationships/hyperlink" Target="https://themanifest.com/us/creative/agencies" TargetMode="External"/><Relationship Id="rId266" Type="http://schemas.openxmlformats.org/officeDocument/2006/relationships/hyperlink" Target="http://google.com" TargetMode="External"/><Relationship Id="rId265" Type="http://schemas.openxmlformats.org/officeDocument/2006/relationships/hyperlink" Target="https://support.google.com/tagmanager/answer/7237700?hl=en" TargetMode="External"/><Relationship Id="rId260" Type="http://schemas.openxmlformats.org/officeDocument/2006/relationships/hyperlink" Target="http://gartner.com" TargetMode="External"/><Relationship Id="rId259" Type="http://schemas.openxmlformats.org/officeDocument/2006/relationships/hyperlink" Target="https://www.gartner.com/reviews/product/measured-89579724" TargetMode="External"/><Relationship Id="rId258" Type="http://schemas.openxmlformats.org/officeDocument/2006/relationships/hyperlink" Target="http://gartner.com" TargetMode="External"/><Relationship Id="rId2290" Type="http://schemas.openxmlformats.org/officeDocument/2006/relationships/hyperlink" Target="https://clutch.co/agencies/performance-marketing%3Fpage%3D0" TargetMode="External"/><Relationship Id="rId2291" Type="http://schemas.openxmlformats.org/officeDocument/2006/relationships/hyperlink" Target="http://clutch.co" TargetMode="External"/><Relationship Id="rId2292" Type="http://schemas.openxmlformats.org/officeDocument/2006/relationships/hyperlink" Target="https://clutch.co/agencies/ppc" TargetMode="External"/><Relationship Id="rId2293" Type="http://schemas.openxmlformats.org/officeDocument/2006/relationships/hyperlink" Target="http://clutch.co" TargetMode="External"/><Relationship Id="rId253" Type="http://schemas.openxmlformats.org/officeDocument/2006/relationships/hyperlink" Target="https://clutch.co/us/consulting/ai/maturation" TargetMode="External"/><Relationship Id="rId2294" Type="http://schemas.openxmlformats.org/officeDocument/2006/relationships/hyperlink" Target="https://clutch.co/de/agencies/app-marketing" TargetMode="External"/><Relationship Id="rId252" Type="http://schemas.openxmlformats.org/officeDocument/2006/relationships/hyperlink" Target="http://clutch.co" TargetMode="External"/><Relationship Id="rId2295" Type="http://schemas.openxmlformats.org/officeDocument/2006/relationships/hyperlink" Target="http://clutch.co" TargetMode="External"/><Relationship Id="rId251" Type="http://schemas.openxmlformats.org/officeDocument/2006/relationships/hyperlink" Target="https://clutch.co/us/agencies?page=1" TargetMode="External"/><Relationship Id="rId2296" Type="http://schemas.openxmlformats.org/officeDocument/2006/relationships/hyperlink" Target="https://clutch.co/de/agencies/digital-marketing?page=3" TargetMode="External"/><Relationship Id="rId250" Type="http://schemas.openxmlformats.org/officeDocument/2006/relationships/hyperlink" Target="http://clutch.co" TargetMode="External"/><Relationship Id="rId2297" Type="http://schemas.openxmlformats.org/officeDocument/2006/relationships/hyperlink" Target="http://clutch.co" TargetMode="External"/><Relationship Id="rId257" Type="http://schemas.openxmlformats.org/officeDocument/2006/relationships/hyperlink" Target="https://www.gartner.com/reviews/market/marketing-mix-modeling-solutions" TargetMode="External"/><Relationship Id="rId2298" Type="http://schemas.openxmlformats.org/officeDocument/2006/relationships/hyperlink" Target="https://clutch.co/de/agencies/market-research/berlin" TargetMode="External"/><Relationship Id="rId256" Type="http://schemas.openxmlformats.org/officeDocument/2006/relationships/hyperlink" Target="http://clutch.co" TargetMode="External"/><Relationship Id="rId2299" Type="http://schemas.openxmlformats.org/officeDocument/2006/relationships/hyperlink" Target="http://clutch.co" TargetMode="External"/><Relationship Id="rId255" Type="http://schemas.openxmlformats.org/officeDocument/2006/relationships/hyperlink" Target="https://clutch.co/us/consulting/ai/maturation%3Fpage%3D2" TargetMode="External"/><Relationship Id="rId254" Type="http://schemas.openxmlformats.org/officeDocument/2006/relationships/hyperlink" Target="http://clutch.co" TargetMode="External"/><Relationship Id="rId293" Type="http://schemas.openxmlformats.org/officeDocument/2006/relationships/hyperlink" Target="https://themanifest.com/us/ppc/agencies" TargetMode="External"/><Relationship Id="rId292" Type="http://schemas.openxmlformats.org/officeDocument/2006/relationships/hyperlink" Target="http://thegrowthsyndicate.com" TargetMode="External"/><Relationship Id="rId291" Type="http://schemas.openxmlformats.org/officeDocument/2006/relationships/hyperlink" Target="https://www.thegrowthsyndicate.com/agencies/best-b2b-google-ads-agencies-us" TargetMode="External"/><Relationship Id="rId290" Type="http://schemas.openxmlformats.org/officeDocument/2006/relationships/hyperlink" Target="http://google.com" TargetMode="External"/><Relationship Id="rId286" Type="http://schemas.openxmlformats.org/officeDocument/2006/relationships/hyperlink" Target="http://google.com" TargetMode="External"/><Relationship Id="rId285" Type="http://schemas.openxmlformats.org/officeDocument/2006/relationships/hyperlink" Target="https://marketingplatform.google.com/about/partners/?authuser=1" TargetMode="External"/><Relationship Id="rId284" Type="http://schemas.openxmlformats.org/officeDocument/2006/relationships/hyperlink" Target="http://goodfirms.co" TargetMode="External"/><Relationship Id="rId283" Type="http://schemas.openxmlformats.org/officeDocument/2006/relationships/hyperlink" Target="https://www.goodfirms.co/artificial-intelligence/ai-consulting" TargetMode="External"/><Relationship Id="rId289" Type="http://schemas.openxmlformats.org/officeDocument/2006/relationships/hyperlink" Target="https://support.google.com/google-ads/answer/9029203?hl=en" TargetMode="External"/><Relationship Id="rId288" Type="http://schemas.openxmlformats.org/officeDocument/2006/relationships/hyperlink" Target="http://sortlist.com" TargetMode="External"/><Relationship Id="rId287" Type="http://schemas.openxmlformats.org/officeDocument/2006/relationships/hyperlink" Target="https://www.sortlist.com/advertising/united-states-us" TargetMode="External"/><Relationship Id="rId282" Type="http://schemas.openxmlformats.org/officeDocument/2006/relationships/hyperlink" Target="http://digitalagencynetwork.com" TargetMode="External"/><Relationship Id="rId281" Type="http://schemas.openxmlformats.org/officeDocument/2006/relationships/hyperlink" Target="https://digitalagencynetwork.com/agencies/usa/online-advertising/" TargetMode="External"/><Relationship Id="rId280" Type="http://schemas.openxmlformats.org/officeDocument/2006/relationships/hyperlink" Target="http://designrush.com" TargetMode="External"/><Relationship Id="rId275" Type="http://schemas.openxmlformats.org/officeDocument/2006/relationships/hyperlink" Target="https://clutch.co/us/consulting/ai/strategy%3Fpage%3D3" TargetMode="External"/><Relationship Id="rId274" Type="http://schemas.openxmlformats.org/officeDocument/2006/relationships/hyperlink" Target="http://clutch.co" TargetMode="External"/><Relationship Id="rId273" Type="http://schemas.openxmlformats.org/officeDocument/2006/relationships/hyperlink" Target="https://clutch.co/us/agencies/social-media-marketing/facebook" TargetMode="External"/><Relationship Id="rId272" Type="http://schemas.openxmlformats.org/officeDocument/2006/relationships/hyperlink" Target="http://google.com" TargetMode="External"/><Relationship Id="rId279" Type="http://schemas.openxmlformats.org/officeDocument/2006/relationships/hyperlink" Target="https://www.designrush.com/agency/paid-media-pay-per-click/google-adwords" TargetMode="External"/><Relationship Id="rId278" Type="http://schemas.openxmlformats.org/officeDocument/2006/relationships/hyperlink" Target="http://cometly.com" TargetMode="External"/><Relationship Id="rId277" Type="http://schemas.openxmlformats.org/officeDocument/2006/relationships/hyperlink" Target="https://www.cometly.com/post/marketing-attribution-consultant-services" TargetMode="External"/><Relationship Id="rId276" Type="http://schemas.openxmlformats.org/officeDocument/2006/relationships/hyperlink" Target="http://clutch.co" TargetMode="External"/><Relationship Id="rId1851" Type="http://schemas.openxmlformats.org/officeDocument/2006/relationships/hyperlink" Target="https://clutch.co/de/agencies/ppc/display" TargetMode="External"/><Relationship Id="rId1852" Type="http://schemas.openxmlformats.org/officeDocument/2006/relationships/hyperlink" Target="http://clutch.co" TargetMode="External"/><Relationship Id="rId1853" Type="http://schemas.openxmlformats.org/officeDocument/2006/relationships/hyperlink" Target="https://agencies.semrush.com/list/analytics-data-science/germany/" TargetMode="External"/><Relationship Id="rId1854" Type="http://schemas.openxmlformats.org/officeDocument/2006/relationships/hyperlink" Target="http://semrush.com" TargetMode="External"/><Relationship Id="rId1855" Type="http://schemas.openxmlformats.org/officeDocument/2006/relationships/hyperlink" Target="https://clutch.co/de/consulting/ai/strategy" TargetMode="External"/><Relationship Id="rId1856" Type="http://schemas.openxmlformats.org/officeDocument/2006/relationships/hyperlink" Target="http://clutch.co" TargetMode="External"/><Relationship Id="rId1857" Type="http://schemas.openxmlformats.org/officeDocument/2006/relationships/hyperlink" Target="https://www.sortlist.com/s/digital-advertising/germany-de" TargetMode="External"/><Relationship Id="rId1858" Type="http://schemas.openxmlformats.org/officeDocument/2006/relationships/hyperlink" Target="http://sortlist.com" TargetMode="External"/><Relationship Id="rId1859" Type="http://schemas.openxmlformats.org/officeDocument/2006/relationships/hyperlink" Target="https://www.sortlist.com/s/media-planning/germany-de" TargetMode="External"/><Relationship Id="rId1850" Type="http://schemas.openxmlformats.org/officeDocument/2006/relationships/hyperlink" Target="http://techbehemoths.com" TargetMode="External"/><Relationship Id="rId1840" Type="http://schemas.openxmlformats.org/officeDocument/2006/relationships/hyperlink" Target="https://clutch.co/de/agencies/ppc/advertising-industry" TargetMode="External"/><Relationship Id="rId1841" Type="http://schemas.openxmlformats.org/officeDocument/2006/relationships/hyperlink" Target="http://clutch.co" TargetMode="External"/><Relationship Id="rId1842" Type="http://schemas.openxmlformats.org/officeDocument/2006/relationships/hyperlink" Target="https://www.ibusiness.de/performance-ranking/performance_2025" TargetMode="External"/><Relationship Id="rId1843" Type="http://schemas.openxmlformats.org/officeDocument/2006/relationships/hyperlink" Target="http://ibusiness.de" TargetMode="External"/><Relationship Id="rId1844" Type="http://schemas.openxmlformats.org/officeDocument/2006/relationships/hyperlink" Target="https://oski.site/blog/sales-and-marketing-analytics-companies-germany/" TargetMode="External"/><Relationship Id="rId1845" Type="http://schemas.openxmlformats.org/officeDocument/2006/relationships/hyperlink" Target="https://partnersdirectory.withgoogle.com/" TargetMode="External"/><Relationship Id="rId1846" Type="http://schemas.openxmlformats.org/officeDocument/2006/relationships/hyperlink" Target="http://withgoogle.com" TargetMode="External"/><Relationship Id="rId1847" Type="http://schemas.openxmlformats.org/officeDocument/2006/relationships/hyperlink" Target="https://clutch.co/de/agencies/media-buying" TargetMode="External"/><Relationship Id="rId1848" Type="http://schemas.openxmlformats.org/officeDocument/2006/relationships/hyperlink" Target="http://clutch.co" TargetMode="External"/><Relationship Id="rId1849" Type="http://schemas.openxmlformats.org/officeDocument/2006/relationships/hyperlink" Target="https://techbehemoths.com/companies/digital-marketing/germany" TargetMode="External"/><Relationship Id="rId1873" Type="http://schemas.openxmlformats.org/officeDocument/2006/relationships/hyperlink" Target="http://feedbax.ai" TargetMode="External"/><Relationship Id="rId1874" Type="http://schemas.openxmlformats.org/officeDocument/2006/relationships/hyperlink" Target="https://feedbax.ai/geo-agencies/germany" TargetMode="External"/><Relationship Id="rId1875" Type="http://schemas.openxmlformats.org/officeDocument/2006/relationships/hyperlink" Target="http://feedbax.ai" TargetMode="External"/><Relationship Id="rId1876" Type="http://schemas.openxmlformats.org/officeDocument/2006/relationships/hyperlink" Target="https://www.gartner.com/reviews/market/incrementality-measurement-platforms" TargetMode="External"/><Relationship Id="rId1877" Type="http://schemas.openxmlformats.org/officeDocument/2006/relationships/hyperlink" Target="http://gartner.com" TargetMode="External"/><Relationship Id="rId1878" Type="http://schemas.openxmlformats.org/officeDocument/2006/relationships/hyperlink" Target="https://www.sortlist.de/s/ai-marketing/deutschland-de" TargetMode="External"/><Relationship Id="rId1879" Type="http://schemas.openxmlformats.org/officeDocument/2006/relationships/hyperlink" Target="http://sortlist.de" TargetMode="External"/><Relationship Id="rId1870" Type="http://schemas.openxmlformats.org/officeDocument/2006/relationships/hyperlink" Target="http://feedbax.ai" TargetMode="External"/><Relationship Id="rId1871" Type="http://schemas.openxmlformats.org/officeDocument/2006/relationships/hyperlink" Target="https://enterprisemarketingportal.google/work-with-partners" TargetMode="External"/><Relationship Id="rId1872" Type="http://schemas.openxmlformats.org/officeDocument/2006/relationships/hyperlink" Target="https://feedbax.ai/advertising/germany" TargetMode="External"/><Relationship Id="rId1862" Type="http://schemas.openxmlformats.org/officeDocument/2006/relationships/hyperlink" Target="http://sortlist.de" TargetMode="External"/><Relationship Id="rId1863" Type="http://schemas.openxmlformats.org/officeDocument/2006/relationships/hyperlink" Target="https://support.google.com/analytics/answer/7237700?hl=en" TargetMode="External"/><Relationship Id="rId1864" Type="http://schemas.openxmlformats.org/officeDocument/2006/relationships/hyperlink" Target="http://google.com" TargetMode="External"/><Relationship Id="rId1865" Type="http://schemas.openxmlformats.org/officeDocument/2006/relationships/hyperlink" Target="https://themanifest.com/de/social-media/agencies" TargetMode="External"/><Relationship Id="rId1866" Type="http://schemas.openxmlformats.org/officeDocument/2006/relationships/hyperlink" Target="http://themanifest.com" TargetMode="External"/><Relationship Id="rId1867" Type="http://schemas.openxmlformats.org/officeDocument/2006/relationships/hyperlink" Target="https://clutch.co/de/agencies/digital" TargetMode="External"/><Relationship Id="rId1868" Type="http://schemas.openxmlformats.org/officeDocument/2006/relationships/hyperlink" Target="http://clutch.co" TargetMode="External"/><Relationship Id="rId1869" Type="http://schemas.openxmlformats.org/officeDocument/2006/relationships/hyperlink" Target="https://feedbax.ai/digital-marketing/germany" TargetMode="External"/><Relationship Id="rId1860" Type="http://schemas.openxmlformats.org/officeDocument/2006/relationships/hyperlink" Target="http://sortlist.com" TargetMode="External"/><Relationship Id="rId1861" Type="http://schemas.openxmlformats.org/officeDocument/2006/relationships/hyperlink" Target="https://www.sortlist.de/s/marketing-analytik/deutschland-de" TargetMode="External"/><Relationship Id="rId1810" Type="http://schemas.openxmlformats.org/officeDocument/2006/relationships/hyperlink" Target="https://agencies.semrush.com/list/advertising/germany/" TargetMode="External"/><Relationship Id="rId1811" Type="http://schemas.openxmlformats.org/officeDocument/2006/relationships/hyperlink" Target="http://semrush.com" TargetMode="External"/><Relationship Id="rId1812" Type="http://schemas.openxmlformats.org/officeDocument/2006/relationships/hyperlink" Target="https://clutch.co/de/agencies/market-research" TargetMode="External"/><Relationship Id="rId1813" Type="http://schemas.openxmlformats.org/officeDocument/2006/relationships/hyperlink" Target="http://clutch.co" TargetMode="External"/><Relationship Id="rId1814" Type="http://schemas.openxmlformats.org/officeDocument/2006/relationships/hyperlink" Target="https://www.goodfirms.co/advertising-companies/creative/germany" TargetMode="External"/><Relationship Id="rId1815" Type="http://schemas.openxmlformats.org/officeDocument/2006/relationships/hyperlink" Target="http://goodfirms.co" TargetMode="External"/><Relationship Id="rId1816" Type="http://schemas.openxmlformats.org/officeDocument/2006/relationships/hyperlink" Target="https://digitalagencynetwork.com/agencies/berlin/" TargetMode="External"/><Relationship Id="rId1817" Type="http://schemas.openxmlformats.org/officeDocument/2006/relationships/hyperlink" Target="http://digitalagencynetwork.com" TargetMode="External"/><Relationship Id="rId1818" Type="http://schemas.openxmlformats.org/officeDocument/2006/relationships/hyperlink" Target="https://feedbax.ai/performance-marketing/germany" TargetMode="External"/><Relationship Id="rId1819" Type="http://schemas.openxmlformats.org/officeDocument/2006/relationships/hyperlink" Target="http://feedbax.ai" TargetMode="External"/><Relationship Id="rId1800" Type="http://schemas.openxmlformats.org/officeDocument/2006/relationships/hyperlink" Target="https://www.sortlist.com/s/ai-marketing/germany-de" TargetMode="External"/><Relationship Id="rId1801" Type="http://schemas.openxmlformats.org/officeDocument/2006/relationships/hyperlink" Target="http://sortlist.com" TargetMode="External"/><Relationship Id="rId1802" Type="http://schemas.openxmlformats.org/officeDocument/2006/relationships/hyperlink" Target="https://clutch.co/de/consulting/ai" TargetMode="External"/><Relationship Id="rId1803" Type="http://schemas.openxmlformats.org/officeDocument/2006/relationships/hyperlink" Target="http://clutch.co" TargetMode="External"/><Relationship Id="rId1804" Type="http://schemas.openxmlformats.org/officeDocument/2006/relationships/hyperlink" Target="https://agencies.semrush.com/list/smm/germany/" TargetMode="External"/><Relationship Id="rId1805" Type="http://schemas.openxmlformats.org/officeDocument/2006/relationships/hyperlink" Target="http://semrush.com" TargetMode="External"/><Relationship Id="rId1806" Type="http://schemas.openxmlformats.org/officeDocument/2006/relationships/hyperlink" Target="https://www.cometly.com/post/best-marketing-attribution-agencies-in-europe" TargetMode="External"/><Relationship Id="rId1807" Type="http://schemas.openxmlformats.org/officeDocument/2006/relationships/hyperlink" Target="http://cometly.com" TargetMode="External"/><Relationship Id="rId1808" Type="http://schemas.openxmlformats.org/officeDocument/2006/relationships/hyperlink" Target="https://www.designrush.com/agency/creative-agencies/de" TargetMode="External"/><Relationship Id="rId1809" Type="http://schemas.openxmlformats.org/officeDocument/2006/relationships/hyperlink" Target="http://designrush.com" TargetMode="External"/><Relationship Id="rId1830" Type="http://schemas.openxmlformats.org/officeDocument/2006/relationships/hyperlink" Target="https://agencies.semrush.com/list/market-analysis/germany/" TargetMode="External"/><Relationship Id="rId1831" Type="http://schemas.openxmlformats.org/officeDocument/2006/relationships/hyperlink" Target="http://semrush.com" TargetMode="External"/><Relationship Id="rId1832" Type="http://schemas.openxmlformats.org/officeDocument/2006/relationships/hyperlink" Target="https://digitalagencynetwork.com/agencies/berlin/ai-marketing/" TargetMode="External"/><Relationship Id="rId1833" Type="http://schemas.openxmlformats.org/officeDocument/2006/relationships/hyperlink" Target="http://digitalagencynetwork.com" TargetMode="External"/><Relationship Id="rId1834" Type="http://schemas.openxmlformats.org/officeDocument/2006/relationships/hyperlink" Target="https://www.neuhandeln.de/performance-ranking/performance_2024" TargetMode="External"/><Relationship Id="rId1835" Type="http://schemas.openxmlformats.org/officeDocument/2006/relationships/hyperlink" Target="http://neuhandeln.de" TargetMode="External"/><Relationship Id="rId1836" Type="http://schemas.openxmlformats.org/officeDocument/2006/relationships/hyperlink" Target="https://www.thegrowthsyndicate.com/agencies/best-b2b-performance-marketing-agencies-europe" TargetMode="External"/><Relationship Id="rId1837" Type="http://schemas.openxmlformats.org/officeDocument/2006/relationships/hyperlink" Target="http://thegrowthsyndicate.com" TargetMode="External"/><Relationship Id="rId1838" Type="http://schemas.openxmlformats.org/officeDocument/2006/relationships/hyperlink" Target="https://clutch.co/de/agencies/business-services-industry" TargetMode="External"/><Relationship Id="rId1839" Type="http://schemas.openxmlformats.org/officeDocument/2006/relationships/hyperlink" Target="http://clutch.co" TargetMode="External"/><Relationship Id="rId1820" Type="http://schemas.openxmlformats.org/officeDocument/2006/relationships/hyperlink" Target="https://www.sortlist.de/s/bezahlte-media/deutschland-de" TargetMode="External"/><Relationship Id="rId1821" Type="http://schemas.openxmlformats.org/officeDocument/2006/relationships/hyperlink" Target="http://sortlist.de" TargetMode="External"/><Relationship Id="rId1822" Type="http://schemas.openxmlformats.org/officeDocument/2006/relationships/hyperlink" Target="https://techbehemoths.com/companies/google-marketing-platform/germany" TargetMode="External"/><Relationship Id="rId1823" Type="http://schemas.openxmlformats.org/officeDocument/2006/relationships/hyperlink" Target="http://techbehemoths.com" TargetMode="External"/><Relationship Id="rId1824" Type="http://schemas.openxmlformats.org/officeDocument/2006/relationships/hyperlink" Target="https://techbehemoths.com/companies/media-planning-buying/germany" TargetMode="External"/><Relationship Id="rId1825" Type="http://schemas.openxmlformats.org/officeDocument/2006/relationships/hyperlink" Target="http://techbehemoths.com" TargetMode="External"/><Relationship Id="rId1826" Type="http://schemas.openxmlformats.org/officeDocument/2006/relationships/hyperlink" Target="https://agencies.semrush.com/list/display-advertising/germany/small-business/" TargetMode="External"/><Relationship Id="rId1827" Type="http://schemas.openxmlformats.org/officeDocument/2006/relationships/hyperlink" Target="http://semrush.com" TargetMode="External"/><Relationship Id="rId1828" Type="http://schemas.openxmlformats.org/officeDocument/2006/relationships/hyperlink" Target="https://www.cometly.com/post/marketing-incrementality-testing-tools" TargetMode="External"/><Relationship Id="rId1829" Type="http://schemas.openxmlformats.org/officeDocument/2006/relationships/hyperlink" Target="http://cometly.com" TargetMode="External"/><Relationship Id="rId1455" Type="http://schemas.openxmlformats.org/officeDocument/2006/relationships/hyperlink" Target="http://digitalagencynetwork.com" TargetMode="External"/><Relationship Id="rId2302" Type="http://schemas.openxmlformats.org/officeDocument/2006/relationships/hyperlink" Target="https://clutch.co/de/agencies/ppc/google-adwords" TargetMode="External"/><Relationship Id="rId1456" Type="http://schemas.openxmlformats.org/officeDocument/2006/relationships/hyperlink" Target="https://www.goodfirms.co/advertising-companies/creative/uk?page=2" TargetMode="External"/><Relationship Id="rId2303" Type="http://schemas.openxmlformats.org/officeDocument/2006/relationships/hyperlink" Target="http://clutch.co" TargetMode="External"/><Relationship Id="rId1457" Type="http://schemas.openxmlformats.org/officeDocument/2006/relationships/hyperlink" Target="http://goodfirms.co" TargetMode="External"/><Relationship Id="rId2304" Type="http://schemas.openxmlformats.org/officeDocument/2006/relationships/hyperlink" Target="https://clutch.co/de/agencies/social-media-marketing/berlin" TargetMode="External"/><Relationship Id="rId1458" Type="http://schemas.openxmlformats.org/officeDocument/2006/relationships/hyperlink" Target="https://www.goodfirms.co/directory/country/top-digital-marketing-companies/advertising-ppc/uk?sort_by=reviews" TargetMode="External"/><Relationship Id="rId2305" Type="http://schemas.openxmlformats.org/officeDocument/2006/relationships/hyperlink" Target="http://clutch.co" TargetMode="External"/><Relationship Id="rId1459" Type="http://schemas.openxmlformats.org/officeDocument/2006/relationships/hyperlink" Target="http://goodfirms.co" TargetMode="External"/><Relationship Id="rId2306" Type="http://schemas.openxmlformats.org/officeDocument/2006/relationships/hyperlink" Target="https://clutch.co/de/agencies/social-media-marketing/influencer/tiktok" TargetMode="External"/><Relationship Id="rId2307" Type="http://schemas.openxmlformats.org/officeDocument/2006/relationships/hyperlink" Target="http://clutch.co" TargetMode="External"/><Relationship Id="rId2308" Type="http://schemas.openxmlformats.org/officeDocument/2006/relationships/hyperlink" Target="https://clutch.co/de/agencies/social-media-marketing?page=3" TargetMode="External"/><Relationship Id="rId2309" Type="http://schemas.openxmlformats.org/officeDocument/2006/relationships/hyperlink" Target="http://clutch.co" TargetMode="External"/><Relationship Id="rId629" Type="http://schemas.openxmlformats.org/officeDocument/2006/relationships/hyperlink" Target="https://clutch.co/au/agencies" TargetMode="External"/><Relationship Id="rId624" Type="http://schemas.openxmlformats.org/officeDocument/2006/relationships/hyperlink" Target="http://webtonic.io" TargetMode="External"/><Relationship Id="rId623" Type="http://schemas.openxmlformats.org/officeDocument/2006/relationships/hyperlink" Target="https://www.webtonic.io/blog/top-performance-creative-agencies" TargetMode="External"/><Relationship Id="rId622" Type="http://schemas.openxmlformats.org/officeDocument/2006/relationships/hyperlink" Target="http://webtonic.io" TargetMode="External"/><Relationship Id="rId621" Type="http://schemas.openxmlformats.org/officeDocument/2006/relationships/hyperlink" Target="https://www.webtonic.io/blog/top-creative-performance-agencies" TargetMode="External"/><Relationship Id="rId628" Type="http://schemas.openxmlformats.org/officeDocument/2006/relationships/hyperlink" Target="http://clutch.co" TargetMode="External"/><Relationship Id="rId627" Type="http://schemas.openxmlformats.org/officeDocument/2006/relationships/hyperlink" Target="https://clutch.co/au/agencies/digital-marketing" TargetMode="External"/><Relationship Id="rId626" Type="http://schemas.openxmlformats.org/officeDocument/2006/relationships/hyperlink" Target="http://semrush.com" TargetMode="External"/><Relationship Id="rId625" Type="http://schemas.openxmlformats.org/officeDocument/2006/relationships/hyperlink" Target="https://agencies.semrush.com/list/australia/" TargetMode="External"/><Relationship Id="rId1450" Type="http://schemas.openxmlformats.org/officeDocument/2006/relationships/hyperlink" Target="https://www.designrush.com/agency/paid-media-pay-per-click/display-advertising-agency" TargetMode="External"/><Relationship Id="rId620" Type="http://schemas.openxmlformats.org/officeDocument/2006/relationships/hyperlink" Target="http://webtonic.io" TargetMode="External"/><Relationship Id="rId1451" Type="http://schemas.openxmlformats.org/officeDocument/2006/relationships/hyperlink" Target="http://designrush.com" TargetMode="External"/><Relationship Id="rId1452" Type="http://schemas.openxmlformats.org/officeDocument/2006/relationships/hyperlink" Target="https://digitalagencynetwork.com/agencies/uk/online-advertising/" TargetMode="External"/><Relationship Id="rId1453" Type="http://schemas.openxmlformats.org/officeDocument/2006/relationships/hyperlink" Target="http://digitalagencynetwork.com" TargetMode="External"/><Relationship Id="rId2300" Type="http://schemas.openxmlformats.org/officeDocument/2006/relationships/hyperlink" Target="https://clutch.co/de/agencies/ppc/berlin" TargetMode="External"/><Relationship Id="rId1454" Type="http://schemas.openxmlformats.org/officeDocument/2006/relationships/hyperlink" Target="https://digitalagencynetwork.com/agencies/usa/ai-marketing/" TargetMode="External"/><Relationship Id="rId2301" Type="http://schemas.openxmlformats.org/officeDocument/2006/relationships/hyperlink" Target="http://clutch.co" TargetMode="External"/><Relationship Id="rId1444" Type="http://schemas.openxmlformats.org/officeDocument/2006/relationships/hyperlink" Target="https://clutch.co/consulting/ai/uk?page=3" TargetMode="External"/><Relationship Id="rId1445" Type="http://schemas.openxmlformats.org/officeDocument/2006/relationships/hyperlink" Target="http://clutch.co" TargetMode="External"/><Relationship Id="rId1446" Type="http://schemas.openxmlformats.org/officeDocument/2006/relationships/hyperlink" Target="https://www.designrush.com/agency/digital-marketing/artificial-intelligence" TargetMode="External"/><Relationship Id="rId1447" Type="http://schemas.openxmlformats.org/officeDocument/2006/relationships/hyperlink" Target="http://designrush.com" TargetMode="External"/><Relationship Id="rId1448" Type="http://schemas.openxmlformats.org/officeDocument/2006/relationships/hyperlink" Target="https://www.designrush.com/agency/digital-marketing/performance-marketing-agencies" TargetMode="External"/><Relationship Id="rId1449" Type="http://schemas.openxmlformats.org/officeDocument/2006/relationships/hyperlink" Target="http://designrush.com" TargetMode="External"/><Relationship Id="rId619" Type="http://schemas.openxmlformats.org/officeDocument/2006/relationships/hyperlink" Target="https://www.webtonic.io/blog/best-ppc-agencies-us" TargetMode="External"/><Relationship Id="rId618" Type="http://schemas.openxmlformats.org/officeDocument/2006/relationships/hyperlink" Target="http://webtonic.io" TargetMode="External"/><Relationship Id="rId613" Type="http://schemas.openxmlformats.org/officeDocument/2006/relationships/hyperlink" Target="https://themanifest.com/us/social-media/instagram/agencies" TargetMode="External"/><Relationship Id="rId612" Type="http://schemas.openxmlformats.org/officeDocument/2006/relationships/hyperlink" Target="http://themanifest.com" TargetMode="External"/><Relationship Id="rId611" Type="http://schemas.openxmlformats.org/officeDocument/2006/relationships/hyperlink" Target="https://themanifest.com/us/social-media/agencies?page=1" TargetMode="External"/><Relationship Id="rId610" Type="http://schemas.openxmlformats.org/officeDocument/2006/relationships/hyperlink" Target="http://themanifest.com" TargetMode="External"/><Relationship Id="rId617" Type="http://schemas.openxmlformats.org/officeDocument/2006/relationships/hyperlink" Target="https://www.webtonic.io/blog/best-global-marketing-agencies" TargetMode="External"/><Relationship Id="rId616" Type="http://schemas.openxmlformats.org/officeDocument/2006/relationships/hyperlink" Target="http://webtonic.io" TargetMode="External"/><Relationship Id="rId615" Type="http://schemas.openxmlformats.org/officeDocument/2006/relationships/hyperlink" Target="https://www.webtonic.io/blog/best-ai-powered-agencies" TargetMode="External"/><Relationship Id="rId614" Type="http://schemas.openxmlformats.org/officeDocument/2006/relationships/hyperlink" Target="http://themanifest.com" TargetMode="External"/><Relationship Id="rId1440" Type="http://schemas.openxmlformats.org/officeDocument/2006/relationships/hyperlink" Target="https://clutch.co/agencies/ppc/display/uk/england" TargetMode="External"/><Relationship Id="rId1441" Type="http://schemas.openxmlformats.org/officeDocument/2006/relationships/hyperlink" Target="http://clutch.co" TargetMode="External"/><Relationship Id="rId1442" Type="http://schemas.openxmlformats.org/officeDocument/2006/relationships/hyperlink" Target="https://clutch.co/agencies/social-media-marketing/influencer/uk" TargetMode="External"/><Relationship Id="rId1443" Type="http://schemas.openxmlformats.org/officeDocument/2006/relationships/hyperlink" Target="http://clutch.co" TargetMode="External"/><Relationship Id="rId1477" Type="http://schemas.openxmlformats.org/officeDocument/2006/relationships/hyperlink" Target="http://sortlist.co.uk" TargetMode="External"/><Relationship Id="rId2324" Type="http://schemas.openxmlformats.org/officeDocument/2006/relationships/hyperlink" Target="https://www.cometly.com/post/marketing-attribution-companies" TargetMode="External"/><Relationship Id="rId1478" Type="http://schemas.openxmlformats.org/officeDocument/2006/relationships/hyperlink" Target="https://www.sortlist.co.uk/s/programmatic-advertising/united-kingdom-gb" TargetMode="External"/><Relationship Id="rId2325" Type="http://schemas.openxmlformats.org/officeDocument/2006/relationships/hyperlink" Target="http://cometly.com" TargetMode="External"/><Relationship Id="rId1479" Type="http://schemas.openxmlformats.org/officeDocument/2006/relationships/hyperlink" Target="http://sortlist.co.uk" TargetMode="External"/><Relationship Id="rId2326" Type="http://schemas.openxmlformats.org/officeDocument/2006/relationships/hyperlink" Target="https://www.cometly.com/post/marketing-attribution-platform-for-agencies" TargetMode="External"/><Relationship Id="rId2327" Type="http://schemas.openxmlformats.org/officeDocument/2006/relationships/hyperlink" Target="http://cometly.com" TargetMode="External"/><Relationship Id="rId2328" Type="http://schemas.openxmlformats.org/officeDocument/2006/relationships/hyperlink" Target="https://www.cometly.com/post/media-buying-optimization-tool" TargetMode="External"/><Relationship Id="rId2329" Type="http://schemas.openxmlformats.org/officeDocument/2006/relationships/hyperlink" Target="http://cometly.com" TargetMode="External"/><Relationship Id="rId646" Type="http://schemas.openxmlformats.org/officeDocument/2006/relationships/hyperlink" Target="http://digitalagencynetwork.com" TargetMode="External"/><Relationship Id="rId645" Type="http://schemas.openxmlformats.org/officeDocument/2006/relationships/hyperlink" Target="https://digitalagencynetwork.com/agencies/australia/" TargetMode="External"/><Relationship Id="rId644" Type="http://schemas.openxmlformats.org/officeDocument/2006/relationships/hyperlink" Target="http://clutch.co" TargetMode="External"/><Relationship Id="rId643" Type="http://schemas.openxmlformats.org/officeDocument/2006/relationships/hyperlink" Target="https://clutch.co/au/agencies/social-media-marketing" TargetMode="External"/><Relationship Id="rId649" Type="http://schemas.openxmlformats.org/officeDocument/2006/relationships/hyperlink" Target="https://agencies.semrush.com/list/ai-optimization/sydney/" TargetMode="External"/><Relationship Id="rId648" Type="http://schemas.openxmlformats.org/officeDocument/2006/relationships/hyperlink" Target="http://semrush.com" TargetMode="External"/><Relationship Id="rId647" Type="http://schemas.openxmlformats.org/officeDocument/2006/relationships/hyperlink" Target="https://agencies.semrush.com/list/smm/australia/" TargetMode="External"/><Relationship Id="rId1470" Type="http://schemas.openxmlformats.org/officeDocument/2006/relationships/hyperlink" Target="https://www.sortlist.co.uk/s/creative/england-england-gb" TargetMode="External"/><Relationship Id="rId1471" Type="http://schemas.openxmlformats.org/officeDocument/2006/relationships/hyperlink" Target="http://sortlist.co.uk" TargetMode="External"/><Relationship Id="rId1472" Type="http://schemas.openxmlformats.org/officeDocument/2006/relationships/hyperlink" Target="https://www.sortlist.co.uk/s/digital-advertising/united-kingdom-gb" TargetMode="External"/><Relationship Id="rId642" Type="http://schemas.openxmlformats.org/officeDocument/2006/relationships/hyperlink" Target="http://digitalagencynetwork.com" TargetMode="External"/><Relationship Id="rId1473" Type="http://schemas.openxmlformats.org/officeDocument/2006/relationships/hyperlink" Target="http://sortlist.co.uk" TargetMode="External"/><Relationship Id="rId2320" Type="http://schemas.openxmlformats.org/officeDocument/2006/relationships/hyperlink" Target="https://www.cometly.com/post/how-to-calculate-marketing-attribution" TargetMode="External"/><Relationship Id="rId641" Type="http://schemas.openxmlformats.org/officeDocument/2006/relationships/hyperlink" Target="https://digitalagencynetwork.com/agencies/australia/ai-marketing/" TargetMode="External"/><Relationship Id="rId1474" Type="http://schemas.openxmlformats.org/officeDocument/2006/relationships/hyperlink" Target="https://www.sortlist.co.uk/s/marketing-analytics/birmingham-england-gb" TargetMode="External"/><Relationship Id="rId2321" Type="http://schemas.openxmlformats.org/officeDocument/2006/relationships/hyperlink" Target="http://cometly.com" TargetMode="External"/><Relationship Id="rId640" Type="http://schemas.openxmlformats.org/officeDocument/2006/relationships/hyperlink" Target="http://clutch.co" TargetMode="External"/><Relationship Id="rId1475" Type="http://schemas.openxmlformats.org/officeDocument/2006/relationships/hyperlink" Target="http://sortlist.co.uk" TargetMode="External"/><Relationship Id="rId2322" Type="http://schemas.openxmlformats.org/officeDocument/2006/relationships/hyperlink" Target="https://www.cometly.com/post/incrementality-testing-for-paid-advertising" TargetMode="External"/><Relationship Id="rId1476" Type="http://schemas.openxmlformats.org/officeDocument/2006/relationships/hyperlink" Target="https://www.sortlist.co.uk/s/paid-media/greater-london-england-gb" TargetMode="External"/><Relationship Id="rId2323" Type="http://schemas.openxmlformats.org/officeDocument/2006/relationships/hyperlink" Target="http://cometly.com" TargetMode="External"/><Relationship Id="rId1466" Type="http://schemas.openxmlformats.org/officeDocument/2006/relationships/hyperlink" Target="https://www.sortlist.co.uk/s/ai-marketing/london-england-gb" TargetMode="External"/><Relationship Id="rId2313" Type="http://schemas.openxmlformats.org/officeDocument/2006/relationships/hyperlink" Target="http://cometly.com" TargetMode="External"/><Relationship Id="rId1467" Type="http://schemas.openxmlformats.org/officeDocument/2006/relationships/hyperlink" Target="http://sortlist.co.uk" TargetMode="External"/><Relationship Id="rId2314" Type="http://schemas.openxmlformats.org/officeDocument/2006/relationships/hyperlink" Target="https://www.cometly.com/post/agency-marketing-attribution-tools" TargetMode="External"/><Relationship Id="rId1468" Type="http://schemas.openxmlformats.org/officeDocument/2006/relationships/hyperlink" Target="https://www.sortlist.co.uk/s/attribution-marketing/essex-england-gb" TargetMode="External"/><Relationship Id="rId2315" Type="http://schemas.openxmlformats.org/officeDocument/2006/relationships/hyperlink" Target="http://cometly.com" TargetMode="External"/><Relationship Id="rId1469" Type="http://schemas.openxmlformats.org/officeDocument/2006/relationships/hyperlink" Target="http://sortlist.co.uk" TargetMode="External"/><Relationship Id="rId2316" Type="http://schemas.openxmlformats.org/officeDocument/2006/relationships/hyperlink" Target="https://www.cometly.com/post/ai-powered-ad-optimization-platform" TargetMode="External"/><Relationship Id="rId2317" Type="http://schemas.openxmlformats.org/officeDocument/2006/relationships/hyperlink" Target="http://cometly.com" TargetMode="External"/><Relationship Id="rId2318" Type="http://schemas.openxmlformats.org/officeDocument/2006/relationships/hyperlink" Target="https://www.cometly.com/post/ai-powered-marketing-analytics-tools" TargetMode="External"/><Relationship Id="rId2319" Type="http://schemas.openxmlformats.org/officeDocument/2006/relationships/hyperlink" Target="http://cometly.com" TargetMode="External"/><Relationship Id="rId635" Type="http://schemas.openxmlformats.org/officeDocument/2006/relationships/hyperlink" Target="https://www.formulate.com.au/articles/best-ai-seo-agencies-in-australia-2026/" TargetMode="External"/><Relationship Id="rId634" Type="http://schemas.openxmlformats.org/officeDocument/2006/relationships/hyperlink" Target="http://sortlist.com" TargetMode="External"/><Relationship Id="rId633" Type="http://schemas.openxmlformats.org/officeDocument/2006/relationships/hyperlink" Target="https://www.sortlist.com/s/paid-media/australia-au" TargetMode="External"/><Relationship Id="rId632" Type="http://schemas.openxmlformats.org/officeDocument/2006/relationships/hyperlink" Target="http://semrush.com" TargetMode="External"/><Relationship Id="rId639" Type="http://schemas.openxmlformats.org/officeDocument/2006/relationships/hyperlink" Target="https://clutch.co/au/agencies/ppc" TargetMode="External"/><Relationship Id="rId638" Type="http://schemas.openxmlformats.org/officeDocument/2006/relationships/hyperlink" Target="http://semrush.com" TargetMode="External"/><Relationship Id="rId637" Type="http://schemas.openxmlformats.org/officeDocument/2006/relationships/hyperlink" Target="https://agencies.semrush.com/list/display-advertising/australia/" TargetMode="External"/><Relationship Id="rId636" Type="http://schemas.openxmlformats.org/officeDocument/2006/relationships/hyperlink" Target="http://formulate.com.au" TargetMode="External"/><Relationship Id="rId1460" Type="http://schemas.openxmlformats.org/officeDocument/2006/relationships/hyperlink" Target="https://influencermarketinghub.com/ai-marketing-agencies/" TargetMode="External"/><Relationship Id="rId1461" Type="http://schemas.openxmlformats.org/officeDocument/2006/relationships/hyperlink" Target="http://influencermarketinghub.com" TargetMode="External"/><Relationship Id="rId631" Type="http://schemas.openxmlformats.org/officeDocument/2006/relationships/hyperlink" Target="https://agencies.semrush.com/list/advertising/australia/" TargetMode="External"/><Relationship Id="rId1462" Type="http://schemas.openxmlformats.org/officeDocument/2006/relationships/hyperlink" Target="https://marketingplatform.google.com/about/partners/find-a-partner" TargetMode="External"/><Relationship Id="rId630" Type="http://schemas.openxmlformats.org/officeDocument/2006/relationships/hyperlink" Target="http://clutch.co" TargetMode="External"/><Relationship Id="rId1463" Type="http://schemas.openxmlformats.org/officeDocument/2006/relationships/hyperlink" Target="http://google.com" TargetMode="External"/><Relationship Id="rId2310" Type="http://schemas.openxmlformats.org/officeDocument/2006/relationships/hyperlink" Target="https://clutch.co/de/it-services/master-data-management-consulting" TargetMode="External"/><Relationship Id="rId1464" Type="http://schemas.openxmlformats.org/officeDocument/2006/relationships/hyperlink" Target="https://marketingplatform.google.com/intl/en_uk/about/optimize/" TargetMode="External"/><Relationship Id="rId2311" Type="http://schemas.openxmlformats.org/officeDocument/2006/relationships/hyperlink" Target="http://clutch.co" TargetMode="External"/><Relationship Id="rId1465" Type="http://schemas.openxmlformats.org/officeDocument/2006/relationships/hyperlink" Target="http://google.com" TargetMode="External"/><Relationship Id="rId2312" Type="http://schemas.openxmlformats.org/officeDocument/2006/relationships/hyperlink" Target="https://www.cometly.com/post/ad-campaign-performance-analysis-methods" TargetMode="External"/><Relationship Id="rId1411" Type="http://schemas.openxmlformats.org/officeDocument/2006/relationships/hyperlink" Target="http://seocompare.co.uk" TargetMode="External"/><Relationship Id="rId1895" Type="http://schemas.openxmlformats.org/officeDocument/2006/relationships/hyperlink" Target="https://feedbax.de/performance-marketing-agentur/deutschland" TargetMode="External"/><Relationship Id="rId1412" Type="http://schemas.openxmlformats.org/officeDocument/2006/relationships/hyperlink" Target="https://www.sortlist.co.uk/s/data-driven-marketing/united-kingdom-gb" TargetMode="External"/><Relationship Id="rId1896" Type="http://schemas.openxmlformats.org/officeDocument/2006/relationships/hyperlink" Target="http://feedbax.de" TargetMode="External"/><Relationship Id="rId1413" Type="http://schemas.openxmlformats.org/officeDocument/2006/relationships/hyperlink" Target="http://sortlist.co.uk" TargetMode="External"/><Relationship Id="rId1897" Type="http://schemas.openxmlformats.org/officeDocument/2006/relationships/hyperlink" Target="https://www.sortlist.com/s/attribution-marketing/berlin-de" TargetMode="External"/><Relationship Id="rId1414" Type="http://schemas.openxmlformats.org/officeDocument/2006/relationships/hyperlink" Target="https://support.google.com/tagmanager/answer/7237700?hl=en" TargetMode="External"/><Relationship Id="rId1898" Type="http://schemas.openxmlformats.org/officeDocument/2006/relationships/hyperlink" Target="http://sortlist.com" TargetMode="External"/><Relationship Id="rId1415" Type="http://schemas.openxmlformats.org/officeDocument/2006/relationships/hyperlink" Target="http://google.com" TargetMode="External"/><Relationship Id="rId1899" Type="http://schemas.openxmlformats.org/officeDocument/2006/relationships/hyperlink" Target="https://www.sortlist.com/s/attribution-marketing/germany-de" TargetMode="External"/><Relationship Id="rId1416" Type="http://schemas.openxmlformats.org/officeDocument/2006/relationships/hyperlink" Target="https://www.thegrowthsyndicate.com/agencies/best-b2b-performance-marketing-agencies-europe" TargetMode="External"/><Relationship Id="rId1417" Type="http://schemas.openxmlformats.org/officeDocument/2006/relationships/hyperlink" Target="http://thegrowthsyndicate.com" TargetMode="External"/><Relationship Id="rId1418" Type="http://schemas.openxmlformats.org/officeDocument/2006/relationships/hyperlink" Target="https://themanifest.com/advertising/agencies/uk" TargetMode="External"/><Relationship Id="rId1419" Type="http://schemas.openxmlformats.org/officeDocument/2006/relationships/hyperlink" Target="http://themanifest.com" TargetMode="External"/><Relationship Id="rId1890" Type="http://schemas.openxmlformats.org/officeDocument/2006/relationships/hyperlink" Target="http://semrush.com" TargetMode="External"/><Relationship Id="rId1891" Type="http://schemas.openxmlformats.org/officeDocument/2006/relationships/hyperlink" Target="https://clutch.co/de/agencies/branding" TargetMode="External"/><Relationship Id="rId1892" Type="http://schemas.openxmlformats.org/officeDocument/2006/relationships/hyperlink" Target="http://clutch.co" TargetMode="External"/><Relationship Id="rId1893" Type="http://schemas.openxmlformats.org/officeDocument/2006/relationships/hyperlink" Target="https://clutch.co/de/agencies/ppc" TargetMode="External"/><Relationship Id="rId1410" Type="http://schemas.openxmlformats.org/officeDocument/2006/relationships/hyperlink" Target="https://seocompare.co.uk/ai-search-agencies-uk/" TargetMode="External"/><Relationship Id="rId1894" Type="http://schemas.openxmlformats.org/officeDocument/2006/relationships/hyperlink" Target="http://clutch.co" TargetMode="External"/><Relationship Id="rId1400" Type="http://schemas.openxmlformats.org/officeDocument/2006/relationships/hyperlink" Target="https://clutch.co/agencies/ppc/display/uk?page=2" TargetMode="External"/><Relationship Id="rId1884" Type="http://schemas.openxmlformats.org/officeDocument/2006/relationships/hyperlink" Target="http://silicon.de" TargetMode="External"/><Relationship Id="rId1401" Type="http://schemas.openxmlformats.org/officeDocument/2006/relationships/hyperlink" Target="http://clutch.co" TargetMode="External"/><Relationship Id="rId1885" Type="http://schemas.openxmlformats.org/officeDocument/2006/relationships/hyperlink" Target="https://www.sortlist.de/s/display-werbung/deutschland-de" TargetMode="External"/><Relationship Id="rId1402" Type="http://schemas.openxmlformats.org/officeDocument/2006/relationships/hyperlink" Target="https://www.goodfirms.co/advertising-companies/creative/uk?sort_by=rating" TargetMode="External"/><Relationship Id="rId1886" Type="http://schemas.openxmlformats.org/officeDocument/2006/relationships/hyperlink" Target="http://sortlist.de" TargetMode="External"/><Relationship Id="rId1403" Type="http://schemas.openxmlformats.org/officeDocument/2006/relationships/hyperlink" Target="http://goodfirms.co" TargetMode="External"/><Relationship Id="rId1887" Type="http://schemas.openxmlformats.org/officeDocument/2006/relationships/hyperlink" Target="https://themanifest.com/de/creative/agencies" TargetMode="External"/><Relationship Id="rId1404" Type="http://schemas.openxmlformats.org/officeDocument/2006/relationships/hyperlink" Target="https://www.goodfirms.co/directory/country/top-digital-marketing-companies/gb?sort_by=rating" TargetMode="External"/><Relationship Id="rId1888" Type="http://schemas.openxmlformats.org/officeDocument/2006/relationships/hyperlink" Target="http://themanifest.com" TargetMode="External"/><Relationship Id="rId1405" Type="http://schemas.openxmlformats.org/officeDocument/2006/relationships/hyperlink" Target="http://goodfirms.co" TargetMode="External"/><Relationship Id="rId1889" Type="http://schemas.openxmlformats.org/officeDocument/2006/relationships/hyperlink" Target="https://agencies.semrush.com/list/display-advertising/ecommerce/germany/small-business/" TargetMode="External"/><Relationship Id="rId1406" Type="http://schemas.openxmlformats.org/officeDocument/2006/relationships/hyperlink" Target="https://www.google.com/ads/publisher/partners/find-a-partner/" TargetMode="External"/><Relationship Id="rId1407" Type="http://schemas.openxmlformats.org/officeDocument/2006/relationships/hyperlink" Target="http://google.com" TargetMode="External"/><Relationship Id="rId1408" Type="http://schemas.openxmlformats.org/officeDocument/2006/relationships/hyperlink" Target="https://marketingplatform.google.com/intl/en_uk/about/contact-us/" TargetMode="External"/><Relationship Id="rId1409" Type="http://schemas.openxmlformats.org/officeDocument/2006/relationships/hyperlink" Target="http://google.com" TargetMode="External"/><Relationship Id="rId1880" Type="http://schemas.openxmlformats.org/officeDocument/2006/relationships/hyperlink" Target="https://agencies.semrush.com/list/display-advertising/germany/" TargetMode="External"/><Relationship Id="rId1881" Type="http://schemas.openxmlformats.org/officeDocument/2006/relationships/hyperlink" Target="http://semrush.com" TargetMode="External"/><Relationship Id="rId1882" Type="http://schemas.openxmlformats.org/officeDocument/2006/relationships/hyperlink" Target="https://oski.site/blog/ai-consulting-companies-germany/" TargetMode="External"/><Relationship Id="rId1883" Type="http://schemas.openxmlformats.org/officeDocument/2006/relationships/hyperlink" Target="https://www.silicon.de/41722409/geo-agentur-vergleich-empfehlungen-beste-15-geo-agenturen-2026" TargetMode="External"/><Relationship Id="rId1433" Type="http://schemas.openxmlformats.org/officeDocument/2006/relationships/hyperlink" Target="http://google.com" TargetMode="External"/><Relationship Id="rId1434" Type="http://schemas.openxmlformats.org/officeDocument/2006/relationships/hyperlink" Target="https://business.google.com/uk/support/become-a-partner/" TargetMode="External"/><Relationship Id="rId1435" Type="http://schemas.openxmlformats.org/officeDocument/2006/relationships/hyperlink" Target="http://google.com" TargetMode="External"/><Relationship Id="rId1436" Type="http://schemas.openxmlformats.org/officeDocument/2006/relationships/hyperlink" Target="https://clutch.co/agencies" TargetMode="External"/><Relationship Id="rId1437" Type="http://schemas.openxmlformats.org/officeDocument/2006/relationships/hyperlink" Target="http://clutch.co" TargetMode="External"/><Relationship Id="rId1438" Type="http://schemas.openxmlformats.org/officeDocument/2006/relationships/hyperlink" Target="https://clutch.co/agencies/market-research/shopper-marketing/uk" TargetMode="External"/><Relationship Id="rId1439" Type="http://schemas.openxmlformats.org/officeDocument/2006/relationships/hyperlink" Target="http://clutch.co" TargetMode="External"/><Relationship Id="rId609" Type="http://schemas.openxmlformats.org/officeDocument/2006/relationships/hyperlink" Target="https://themanifest.com/us/digital/agencies" TargetMode="External"/><Relationship Id="rId608" Type="http://schemas.openxmlformats.org/officeDocument/2006/relationships/hyperlink" Target="http://themanifest.com" TargetMode="External"/><Relationship Id="rId607" Type="http://schemas.openxmlformats.org/officeDocument/2006/relationships/hyperlink" Target="https://themanifest.com/us/creative/agencies?page=1" TargetMode="External"/><Relationship Id="rId602" Type="http://schemas.openxmlformats.org/officeDocument/2006/relationships/hyperlink" Target="http://thegrowthsyndicate.com" TargetMode="External"/><Relationship Id="rId601" Type="http://schemas.openxmlformats.org/officeDocument/2006/relationships/hyperlink" Target="https://www.thegrowthsyndicate.com/agencies/best-b2b-marketing-agencies-us" TargetMode="External"/><Relationship Id="rId600" Type="http://schemas.openxmlformats.org/officeDocument/2006/relationships/hyperlink" Target="http://theaustralian.com.au" TargetMode="External"/><Relationship Id="rId606" Type="http://schemas.openxmlformats.org/officeDocument/2006/relationships/hyperlink" Target="http://themanifest.com" TargetMode="External"/><Relationship Id="rId605" Type="http://schemas.openxmlformats.org/officeDocument/2006/relationships/hyperlink" Target="https://themanifest.com/media-buying/agencies" TargetMode="External"/><Relationship Id="rId604" Type="http://schemas.openxmlformats.org/officeDocument/2006/relationships/hyperlink" Target="http://thegrowthsyndicate.com" TargetMode="External"/><Relationship Id="rId603" Type="http://schemas.openxmlformats.org/officeDocument/2006/relationships/hyperlink" Target="https://www.thegrowthsyndicate.com/agencies/best-linkedin-ads-agencies-us" TargetMode="External"/><Relationship Id="rId1430" Type="http://schemas.openxmlformats.org/officeDocument/2006/relationships/hyperlink" Target="https://agencies.semrush.com/list/programmatic-advertising/united-kingdom/" TargetMode="External"/><Relationship Id="rId1431" Type="http://schemas.openxmlformats.org/officeDocument/2006/relationships/hyperlink" Target="http://semrush.com" TargetMode="External"/><Relationship Id="rId1432" Type="http://schemas.openxmlformats.org/officeDocument/2006/relationships/hyperlink" Target="https://business.google.com/en-all/support/work-with-a-partner/" TargetMode="External"/><Relationship Id="rId1422" Type="http://schemas.openxmlformats.org/officeDocument/2006/relationships/hyperlink" Target="https://www.10seos.com/gb/display-advertising-companies-in-uk" TargetMode="External"/><Relationship Id="rId1423" Type="http://schemas.openxmlformats.org/officeDocument/2006/relationships/hyperlink" Target="http://10seos.com" TargetMode="External"/><Relationship Id="rId1424" Type="http://schemas.openxmlformats.org/officeDocument/2006/relationships/hyperlink" Target="https://agencies.semrush.com/list/ai-optimization/london-city/mid-business/" TargetMode="External"/><Relationship Id="rId1425" Type="http://schemas.openxmlformats.org/officeDocument/2006/relationships/hyperlink" Target="http://semrush.com" TargetMode="External"/><Relationship Id="rId1426" Type="http://schemas.openxmlformats.org/officeDocument/2006/relationships/hyperlink" Target="https://agencies.semrush.com/list/analytics-data-science/london-city/" TargetMode="External"/><Relationship Id="rId1427" Type="http://schemas.openxmlformats.org/officeDocument/2006/relationships/hyperlink" Target="http://semrush.com" TargetMode="External"/><Relationship Id="rId1428" Type="http://schemas.openxmlformats.org/officeDocument/2006/relationships/hyperlink" Target="https://agencies.semrush.com/list/ppc/london-city/" TargetMode="External"/><Relationship Id="rId1429" Type="http://schemas.openxmlformats.org/officeDocument/2006/relationships/hyperlink" Target="http://semrush.com" TargetMode="External"/><Relationship Id="rId1420" Type="http://schemas.openxmlformats.org/officeDocument/2006/relationships/hyperlink" Target="https://www.webtonic.io/blog/best-ppc-agencies-uk" TargetMode="External"/><Relationship Id="rId1421" Type="http://schemas.openxmlformats.org/officeDocument/2006/relationships/hyperlink" Target="http://webtonic.io" TargetMode="External"/><Relationship Id="rId1059" Type="http://schemas.openxmlformats.org/officeDocument/2006/relationships/hyperlink" Target="https://www.designrush.com/agency/search-engine-optimization/au" TargetMode="External"/><Relationship Id="rId228" Type="http://schemas.openxmlformats.org/officeDocument/2006/relationships/hyperlink" Target="http://sortlist.com" TargetMode="External"/><Relationship Id="rId227" Type="http://schemas.openxmlformats.org/officeDocument/2006/relationships/hyperlink" Target="https://www.sortlist.com/s/programmatic-advertising/united-states-us" TargetMode="External"/><Relationship Id="rId226" Type="http://schemas.openxmlformats.org/officeDocument/2006/relationships/hyperlink" Target="http://designrush.com" TargetMode="External"/><Relationship Id="rId225" Type="http://schemas.openxmlformats.org/officeDocument/2006/relationships/hyperlink" Target="https://www.designrush.com/agency/digital-marketing/trends/incrementality-testing" TargetMode="External"/><Relationship Id="rId2380" Type="http://schemas.openxmlformats.org/officeDocument/2006/relationships/hyperlink" Target="http://ibusiness.de" TargetMode="External"/><Relationship Id="rId229" Type="http://schemas.openxmlformats.org/officeDocument/2006/relationships/hyperlink" Target="https://themanifest.com/programmatic/agencies" TargetMode="External"/><Relationship Id="rId1050" Type="http://schemas.openxmlformats.org/officeDocument/2006/relationships/hyperlink" Target="http://cometly.com" TargetMode="External"/><Relationship Id="rId2381" Type="http://schemas.openxmlformats.org/officeDocument/2006/relationships/hyperlink" Target="https://www.ibusiness.de/performance-ranking/performance_2024" TargetMode="External"/><Relationship Id="rId220" Type="http://schemas.openxmlformats.org/officeDocument/2006/relationships/hyperlink" Target="http://sortlist.com" TargetMode="External"/><Relationship Id="rId1051" Type="http://schemas.openxmlformats.org/officeDocument/2006/relationships/hyperlink" Target="https://www.designrush.com/agency/conversion-optimization/au" TargetMode="External"/><Relationship Id="rId2382" Type="http://schemas.openxmlformats.org/officeDocument/2006/relationships/hyperlink" Target="http://ibusiness.de" TargetMode="External"/><Relationship Id="rId1052" Type="http://schemas.openxmlformats.org/officeDocument/2006/relationships/hyperlink" Target="http://designrush.com" TargetMode="External"/><Relationship Id="rId2383" Type="http://schemas.openxmlformats.org/officeDocument/2006/relationships/hyperlink" Target="https://www.ibusiness.de/performance-ranking/performance_2024.html?sub=5" TargetMode="External"/><Relationship Id="rId1053" Type="http://schemas.openxmlformats.org/officeDocument/2006/relationships/hyperlink" Target="https://www.designrush.com/agency/digital-marketing/trends/incrementality-testing" TargetMode="External"/><Relationship Id="rId2384" Type="http://schemas.openxmlformats.org/officeDocument/2006/relationships/hyperlink" Target="http://ibusiness.de" TargetMode="External"/><Relationship Id="rId1054" Type="http://schemas.openxmlformats.org/officeDocument/2006/relationships/hyperlink" Target="http://designrush.com" TargetMode="External"/><Relationship Id="rId2385" Type="http://schemas.openxmlformats.org/officeDocument/2006/relationships/hyperlink" Target="https://www.ibusiness.de/performance-ranking/performance_2025.html?sub=12" TargetMode="External"/><Relationship Id="rId224" Type="http://schemas.openxmlformats.org/officeDocument/2006/relationships/hyperlink" Target="http://clutch.co" TargetMode="External"/><Relationship Id="rId1055" Type="http://schemas.openxmlformats.org/officeDocument/2006/relationships/hyperlink" Target="https://www.designrush.com/agency/paid-media-pay-per-click/au" TargetMode="External"/><Relationship Id="rId2386" Type="http://schemas.openxmlformats.org/officeDocument/2006/relationships/hyperlink" Target="http://ibusiness.de" TargetMode="External"/><Relationship Id="rId223" Type="http://schemas.openxmlformats.org/officeDocument/2006/relationships/hyperlink" Target="https://clutch.co/us/seo-firms/generative-engine-optimization%3Fpage%3D4" TargetMode="External"/><Relationship Id="rId1056" Type="http://schemas.openxmlformats.org/officeDocument/2006/relationships/hyperlink" Target="http://designrush.com" TargetMode="External"/><Relationship Id="rId2387" Type="http://schemas.openxmlformats.org/officeDocument/2006/relationships/hyperlink" Target="https://www.ibusiness.de/performance-ranking/performance_2025.html?sub=13" TargetMode="External"/><Relationship Id="rId222" Type="http://schemas.openxmlformats.org/officeDocument/2006/relationships/hyperlink" Target="http://clutch.co" TargetMode="External"/><Relationship Id="rId1057" Type="http://schemas.openxmlformats.org/officeDocument/2006/relationships/hyperlink" Target="https://www.designrush.com/agency/paid-media-pay-per-click/google-adwords/au" TargetMode="External"/><Relationship Id="rId2388" Type="http://schemas.openxmlformats.org/officeDocument/2006/relationships/hyperlink" Target="http://ibusiness.de" TargetMode="External"/><Relationship Id="rId221" Type="http://schemas.openxmlformats.org/officeDocument/2006/relationships/hyperlink" Target="https://clutch.co/us/seo-firms/generative-engine-optimization%3Fpage%3D2" TargetMode="External"/><Relationship Id="rId1058" Type="http://schemas.openxmlformats.org/officeDocument/2006/relationships/hyperlink" Target="http://designrush.com" TargetMode="External"/><Relationship Id="rId2389" Type="http://schemas.openxmlformats.org/officeDocument/2006/relationships/hyperlink" Target="https://www.ibusiness.de/performance-ranking/performance_2025.html?sub=27" TargetMode="External"/><Relationship Id="rId1048" Type="http://schemas.openxmlformats.org/officeDocument/2006/relationships/hyperlink" Target="http://clutch.co" TargetMode="External"/><Relationship Id="rId2379" Type="http://schemas.openxmlformats.org/officeDocument/2006/relationships/hyperlink" Target="https://www.ibusiness.de/performance-ranking/performance_2020.html" TargetMode="External"/><Relationship Id="rId1049" Type="http://schemas.openxmlformats.org/officeDocument/2006/relationships/hyperlink" Target="https://www.cometly.com/post/multi-touch-attribution-platform" TargetMode="External"/><Relationship Id="rId217" Type="http://schemas.openxmlformats.org/officeDocument/2006/relationships/hyperlink" Target="https://www.goodfirms.co/directory/country/top-digital-marketing-companies/media-planning-buying/usa" TargetMode="External"/><Relationship Id="rId216" Type="http://schemas.openxmlformats.org/officeDocument/2006/relationships/hyperlink" Target="http://goodfirms.co" TargetMode="External"/><Relationship Id="rId215" Type="http://schemas.openxmlformats.org/officeDocument/2006/relationships/hyperlink" Target="https://www.goodfirms.co/directory/country/top-digital-marketing-companies/advertising-ppc/usa" TargetMode="External"/><Relationship Id="rId699" Type="http://schemas.openxmlformats.org/officeDocument/2006/relationships/hyperlink" Target="https://clutch.co/au/agencies/ppc/google-adwords" TargetMode="External"/><Relationship Id="rId214" Type="http://schemas.openxmlformats.org/officeDocument/2006/relationships/hyperlink" Target="http://goodfirms.co" TargetMode="External"/><Relationship Id="rId698" Type="http://schemas.openxmlformats.org/officeDocument/2006/relationships/hyperlink" Target="http://semrush.com" TargetMode="External"/><Relationship Id="rId219" Type="http://schemas.openxmlformats.org/officeDocument/2006/relationships/hyperlink" Target="https://www.sortlist.com/s/international-marketing/united-states-us" TargetMode="External"/><Relationship Id="rId218" Type="http://schemas.openxmlformats.org/officeDocument/2006/relationships/hyperlink" Target="http://goodfirms.co" TargetMode="External"/><Relationship Id="rId2370" Type="http://schemas.openxmlformats.org/officeDocument/2006/relationships/hyperlink" Target="http://google.com" TargetMode="External"/><Relationship Id="rId693" Type="http://schemas.openxmlformats.org/officeDocument/2006/relationships/hyperlink" Target="https://www.sortlist.com/s/marketing-analytics/australia-au" TargetMode="External"/><Relationship Id="rId1040" Type="http://schemas.openxmlformats.org/officeDocument/2006/relationships/hyperlink" Target="http://clutch.co" TargetMode="External"/><Relationship Id="rId2371" Type="http://schemas.openxmlformats.org/officeDocument/2006/relationships/hyperlink" Target="https://www.google.com/searchviewer/10?svid=CAwSHRIbCgNwdnESFENnMHZaeTh4TVdJMmFIWm9Nemw1GAo" TargetMode="External"/><Relationship Id="rId692" Type="http://schemas.openxmlformats.org/officeDocument/2006/relationships/hyperlink" Target="http://semrush.com" TargetMode="External"/><Relationship Id="rId1041" Type="http://schemas.openxmlformats.org/officeDocument/2006/relationships/hyperlink" Target="https://clutch.co/au/agencies/social-media-marketing/tik-tok/sydney" TargetMode="External"/><Relationship Id="rId2372" Type="http://schemas.openxmlformats.org/officeDocument/2006/relationships/hyperlink" Target="http://google.com" TargetMode="External"/><Relationship Id="rId691" Type="http://schemas.openxmlformats.org/officeDocument/2006/relationships/hyperlink" Target="https://agencies.semrush.com/list/ai-optimization/australia/small-business/" TargetMode="External"/><Relationship Id="rId1042" Type="http://schemas.openxmlformats.org/officeDocument/2006/relationships/hyperlink" Target="http://clutch.co" TargetMode="External"/><Relationship Id="rId2373" Type="http://schemas.openxmlformats.org/officeDocument/2006/relationships/hyperlink" Target="https://www.google.com/searchviewer/10?svid=CAwSHRIbCgNwdnESFENnMHZaeTh4TVdOc2N6WjRkSGhqGAo" TargetMode="External"/><Relationship Id="rId690" Type="http://schemas.openxmlformats.org/officeDocument/2006/relationships/hyperlink" Target="http://google.com" TargetMode="External"/><Relationship Id="rId1043" Type="http://schemas.openxmlformats.org/officeDocument/2006/relationships/hyperlink" Target="https://clutch.co/au/agencies/social-media-marketing/tik-tok?page=2" TargetMode="External"/><Relationship Id="rId2374" Type="http://schemas.openxmlformats.org/officeDocument/2006/relationships/hyperlink" Target="http://google.com" TargetMode="External"/><Relationship Id="rId213" Type="http://schemas.openxmlformats.org/officeDocument/2006/relationships/hyperlink" Target="https://www.goodfirms.co/advertising-companies/programmatic" TargetMode="External"/><Relationship Id="rId697" Type="http://schemas.openxmlformats.org/officeDocument/2006/relationships/hyperlink" Target="https://agencies.semrush.com/list/machine-learning-and-ai/australia/" TargetMode="External"/><Relationship Id="rId1044" Type="http://schemas.openxmlformats.org/officeDocument/2006/relationships/hyperlink" Target="http://clutch.co" TargetMode="External"/><Relationship Id="rId2375" Type="http://schemas.openxmlformats.org/officeDocument/2006/relationships/hyperlink" Target="https://www.ibusiness.de/aktuell/db/446658jg.html" TargetMode="External"/><Relationship Id="rId212" Type="http://schemas.openxmlformats.org/officeDocument/2006/relationships/hyperlink" Target="http://cometly.com" TargetMode="External"/><Relationship Id="rId696" Type="http://schemas.openxmlformats.org/officeDocument/2006/relationships/hyperlink" Target="http://designrush.com" TargetMode="External"/><Relationship Id="rId1045" Type="http://schemas.openxmlformats.org/officeDocument/2006/relationships/hyperlink" Target="https://clutch.co/au/agencies?page=7" TargetMode="External"/><Relationship Id="rId2376" Type="http://schemas.openxmlformats.org/officeDocument/2006/relationships/hyperlink" Target="http://ibusiness.de" TargetMode="External"/><Relationship Id="rId211" Type="http://schemas.openxmlformats.org/officeDocument/2006/relationships/hyperlink" Target="https://www.cometly.com/post/incrementality-testing-software" TargetMode="External"/><Relationship Id="rId695" Type="http://schemas.openxmlformats.org/officeDocument/2006/relationships/hyperlink" Target="https://www.designrush.com/agency/ad-agencies/au" TargetMode="External"/><Relationship Id="rId1046" Type="http://schemas.openxmlformats.org/officeDocument/2006/relationships/hyperlink" Target="http://clutch.co" TargetMode="External"/><Relationship Id="rId2377" Type="http://schemas.openxmlformats.org/officeDocument/2006/relationships/hyperlink" Target="https://www.ibusiness.de/branche/db/235291SUR.html" TargetMode="External"/><Relationship Id="rId210" Type="http://schemas.openxmlformats.org/officeDocument/2006/relationships/hyperlink" Target="http://clutch.co" TargetMode="External"/><Relationship Id="rId694" Type="http://schemas.openxmlformats.org/officeDocument/2006/relationships/hyperlink" Target="http://sortlist.com" TargetMode="External"/><Relationship Id="rId1047" Type="http://schemas.openxmlformats.org/officeDocument/2006/relationships/hyperlink" Target="https://clutch.co/profile/xpon-technologies" TargetMode="External"/><Relationship Id="rId2378" Type="http://schemas.openxmlformats.org/officeDocument/2006/relationships/hyperlink" Target="http://ibusiness.de" TargetMode="External"/><Relationship Id="rId249" Type="http://schemas.openxmlformats.org/officeDocument/2006/relationships/hyperlink" Target="https://clutch.co/us/agencies/ppc/display?page=5" TargetMode="External"/><Relationship Id="rId248" Type="http://schemas.openxmlformats.org/officeDocument/2006/relationships/hyperlink" Target="http://clutch.co" TargetMode="External"/><Relationship Id="rId247" Type="http://schemas.openxmlformats.org/officeDocument/2006/relationships/hyperlink" Target="https://clutch.co/us/agencies/market-research" TargetMode="External"/><Relationship Id="rId1070" Type="http://schemas.openxmlformats.org/officeDocument/2006/relationships/hyperlink" Target="http://formulate.com.au" TargetMode="External"/><Relationship Id="rId1071" Type="http://schemas.openxmlformats.org/officeDocument/2006/relationships/hyperlink" Target="https://www.goodfirms.co/advertising-companies/creative/melbourne" TargetMode="External"/><Relationship Id="rId1072" Type="http://schemas.openxmlformats.org/officeDocument/2006/relationships/hyperlink" Target="http://goodfirms.co" TargetMode="External"/><Relationship Id="rId242" Type="http://schemas.openxmlformats.org/officeDocument/2006/relationships/hyperlink" Target="http://webtonic.io" TargetMode="External"/><Relationship Id="rId1073" Type="http://schemas.openxmlformats.org/officeDocument/2006/relationships/hyperlink" Target="https://www.goodfirms.co/artificial-intelligence/ai-consulting" TargetMode="External"/><Relationship Id="rId241" Type="http://schemas.openxmlformats.org/officeDocument/2006/relationships/hyperlink" Target="https://www.webtonic.io/blog/best-digital-marketing-agencies-usa" TargetMode="External"/><Relationship Id="rId1074" Type="http://schemas.openxmlformats.org/officeDocument/2006/relationships/hyperlink" Target="http://goodfirms.co" TargetMode="External"/><Relationship Id="rId240" Type="http://schemas.openxmlformats.org/officeDocument/2006/relationships/hyperlink" Target="http://designrush.com" TargetMode="External"/><Relationship Id="rId1075" Type="http://schemas.openxmlformats.org/officeDocument/2006/relationships/hyperlink" Target="https://www.goodfirms.co/artificial-intelligence/sydney" TargetMode="External"/><Relationship Id="rId1076" Type="http://schemas.openxmlformats.org/officeDocument/2006/relationships/hyperlink" Target="http://goodfirms.co" TargetMode="External"/><Relationship Id="rId246" Type="http://schemas.openxmlformats.org/officeDocument/2006/relationships/hyperlink" Target="http://clutch.co" TargetMode="External"/><Relationship Id="rId1077" Type="http://schemas.openxmlformats.org/officeDocument/2006/relationships/hyperlink" Target="https://www.goodfirms.co/directory/city/top-digital-marketing-companies/advertising-ppc/brisbane" TargetMode="External"/><Relationship Id="rId245" Type="http://schemas.openxmlformats.org/officeDocument/2006/relationships/hyperlink" Target="https://clutch.co/it-services/analytics/marketing" TargetMode="External"/><Relationship Id="rId1078" Type="http://schemas.openxmlformats.org/officeDocument/2006/relationships/hyperlink" Target="http://goodfirms.co" TargetMode="External"/><Relationship Id="rId244" Type="http://schemas.openxmlformats.org/officeDocument/2006/relationships/hyperlink" Target="http://webtonic.io" TargetMode="External"/><Relationship Id="rId1079" Type="http://schemas.openxmlformats.org/officeDocument/2006/relationships/hyperlink" Target="https://www.goodfirms.co/directory/city/top-digital-marketing-companies/media-planning-buying/sydney" TargetMode="External"/><Relationship Id="rId243" Type="http://schemas.openxmlformats.org/officeDocument/2006/relationships/hyperlink" Target="https://www.webtonic.io/blog/top-creative-agencies" TargetMode="External"/><Relationship Id="rId239" Type="http://schemas.openxmlformats.org/officeDocument/2006/relationships/hyperlink" Target="https://www.designrush.com/agency/digital-marketing" TargetMode="External"/><Relationship Id="rId238" Type="http://schemas.openxmlformats.org/officeDocument/2006/relationships/hyperlink" Target="http://clutch.co" TargetMode="External"/><Relationship Id="rId237" Type="http://schemas.openxmlformats.org/officeDocument/2006/relationships/hyperlink" Target="https://clutch.co/us/agencies/ppc/display%3Fpage%3D2" TargetMode="External"/><Relationship Id="rId236" Type="http://schemas.openxmlformats.org/officeDocument/2006/relationships/hyperlink" Target="http://businessofapps.com" TargetMode="External"/><Relationship Id="rId2390" Type="http://schemas.openxmlformats.org/officeDocument/2006/relationships/hyperlink" Target="http://ibusiness.de" TargetMode="External"/><Relationship Id="rId1060" Type="http://schemas.openxmlformats.org/officeDocument/2006/relationships/hyperlink" Target="http://designrush.com" TargetMode="External"/><Relationship Id="rId2391" Type="http://schemas.openxmlformats.org/officeDocument/2006/relationships/hyperlink" Target="https://www.ibusiness.de/performance-ranking/performance_2025.html?sub=28" TargetMode="External"/><Relationship Id="rId1061" Type="http://schemas.openxmlformats.org/officeDocument/2006/relationships/hyperlink" Target="https://digitalagencynetwork.com/agencies/australia/creative/page/4/" TargetMode="External"/><Relationship Id="rId2392" Type="http://schemas.openxmlformats.org/officeDocument/2006/relationships/hyperlink" Target="http://ibusiness.de" TargetMode="External"/><Relationship Id="rId231" Type="http://schemas.openxmlformats.org/officeDocument/2006/relationships/hyperlink" Target="https://agencies.semrush.com/list/analytics-data-science/united-states/" TargetMode="External"/><Relationship Id="rId1062" Type="http://schemas.openxmlformats.org/officeDocument/2006/relationships/hyperlink" Target="http://digitalagencynetwork.com" TargetMode="External"/><Relationship Id="rId2393" Type="http://schemas.openxmlformats.org/officeDocument/2006/relationships/hyperlink" Target="https://influencermarketinghub.com/de/google-ads-agenturen/" TargetMode="External"/><Relationship Id="rId230" Type="http://schemas.openxmlformats.org/officeDocument/2006/relationships/hyperlink" Target="http://themanifest.com" TargetMode="External"/><Relationship Id="rId1063" Type="http://schemas.openxmlformats.org/officeDocument/2006/relationships/hyperlink" Target="https://digitalagencynetwork.com/agencies/sydney/" TargetMode="External"/><Relationship Id="rId2394" Type="http://schemas.openxmlformats.org/officeDocument/2006/relationships/hyperlink" Target="http://influencermarketinghub.com" TargetMode="External"/><Relationship Id="rId1064" Type="http://schemas.openxmlformats.org/officeDocument/2006/relationships/hyperlink" Target="http://digitalagencynetwork.com" TargetMode="External"/><Relationship Id="rId2395" Type="http://schemas.openxmlformats.org/officeDocument/2006/relationships/hyperlink" Target="https://influencermarketinghub.com/de/ki-marketing-agenturen/" TargetMode="External"/><Relationship Id="rId1065" Type="http://schemas.openxmlformats.org/officeDocument/2006/relationships/hyperlink" Target="https://digitalagencynetwork.com/agency/alpha-digital/" TargetMode="External"/><Relationship Id="rId2396" Type="http://schemas.openxmlformats.org/officeDocument/2006/relationships/hyperlink" Target="http://influencermarketinghub.com" TargetMode="External"/><Relationship Id="rId235" Type="http://schemas.openxmlformats.org/officeDocument/2006/relationships/hyperlink" Target="https://www.businessofapps.com/marketplace/performance-marketing/" TargetMode="External"/><Relationship Id="rId1066" Type="http://schemas.openxmlformats.org/officeDocument/2006/relationships/hyperlink" Target="http://digitalagencynetwork.com" TargetMode="External"/><Relationship Id="rId2397" Type="http://schemas.openxmlformats.org/officeDocument/2006/relationships/hyperlink" Target="https://influencermarketinghub.com/de/social-media-marketing-agenturen/" TargetMode="External"/><Relationship Id="rId234" Type="http://schemas.openxmlformats.org/officeDocument/2006/relationships/hyperlink" Target="http://semrush.com" TargetMode="External"/><Relationship Id="rId1067" Type="http://schemas.openxmlformats.org/officeDocument/2006/relationships/hyperlink" Target="https://digitaldigest.au/social-media-marketing-companies/" TargetMode="External"/><Relationship Id="rId2398" Type="http://schemas.openxmlformats.org/officeDocument/2006/relationships/hyperlink" Target="http://influencermarketinghub.com" TargetMode="External"/><Relationship Id="rId233" Type="http://schemas.openxmlformats.org/officeDocument/2006/relationships/hyperlink" Target="https://agencies.semrush.com/list/ppc/united-states/" TargetMode="External"/><Relationship Id="rId1068" Type="http://schemas.openxmlformats.org/officeDocument/2006/relationships/hyperlink" Target="http://digitaldigest.au" TargetMode="External"/><Relationship Id="rId2399" Type="http://schemas.openxmlformats.org/officeDocument/2006/relationships/hyperlink" Target="https://marketingplatform.google.com/intl/de/about/" TargetMode="External"/><Relationship Id="rId232" Type="http://schemas.openxmlformats.org/officeDocument/2006/relationships/hyperlink" Target="http://semrush.com" TargetMode="External"/><Relationship Id="rId1069" Type="http://schemas.openxmlformats.org/officeDocument/2006/relationships/hyperlink" Target="https://www.formulate.com.au/articles/top-seven-seo-agencies-in-melbourne/" TargetMode="External"/><Relationship Id="rId1015" Type="http://schemas.openxmlformats.org/officeDocument/2006/relationships/hyperlink" Target="https://clutch.co/agencies/ppc/display" TargetMode="External"/><Relationship Id="rId1499" Type="http://schemas.openxmlformats.org/officeDocument/2006/relationships/hyperlink" Target="http://semrush.com" TargetMode="External"/><Relationship Id="rId2346" Type="http://schemas.openxmlformats.org/officeDocument/2006/relationships/hyperlink" Target="http://feedbax.ai" TargetMode="External"/><Relationship Id="rId1016" Type="http://schemas.openxmlformats.org/officeDocument/2006/relationships/hyperlink" Target="http://clutch.co" TargetMode="External"/><Relationship Id="rId2347" Type="http://schemas.openxmlformats.org/officeDocument/2006/relationships/hyperlink" Target="https://feedbax.ai/conversion-optimization" TargetMode="External"/><Relationship Id="rId1017" Type="http://schemas.openxmlformats.org/officeDocument/2006/relationships/hyperlink" Target="https://clutch.co/au/agencies/branding" TargetMode="External"/><Relationship Id="rId2348" Type="http://schemas.openxmlformats.org/officeDocument/2006/relationships/hyperlink" Target="http://feedbax.ai" TargetMode="External"/><Relationship Id="rId1018" Type="http://schemas.openxmlformats.org/officeDocument/2006/relationships/hyperlink" Target="http://clutch.co" TargetMode="External"/><Relationship Id="rId2349" Type="http://schemas.openxmlformats.org/officeDocument/2006/relationships/hyperlink" Target="https://feedbax.ai/google-ads" TargetMode="External"/><Relationship Id="rId1019" Type="http://schemas.openxmlformats.org/officeDocument/2006/relationships/hyperlink" Target="https://clutch.co/au/agencies/media-buying/sydney" TargetMode="External"/><Relationship Id="rId668" Type="http://schemas.openxmlformats.org/officeDocument/2006/relationships/hyperlink" Target="http://designrush.com" TargetMode="External"/><Relationship Id="rId667" Type="http://schemas.openxmlformats.org/officeDocument/2006/relationships/hyperlink" Target="https://www.designrush.com/agency/creative-agencies/au" TargetMode="External"/><Relationship Id="rId666" Type="http://schemas.openxmlformats.org/officeDocument/2006/relationships/hyperlink" Target="http://goodfirms.co" TargetMode="External"/><Relationship Id="rId665" Type="http://schemas.openxmlformats.org/officeDocument/2006/relationships/hyperlink" Target="https://www.goodfirms.co/advertising-companies/creative/australia" TargetMode="External"/><Relationship Id="rId669" Type="http://schemas.openxmlformats.org/officeDocument/2006/relationships/hyperlink" Target="https://clutch.co/au/agencies/media-buying" TargetMode="External"/><Relationship Id="rId1490" Type="http://schemas.openxmlformats.org/officeDocument/2006/relationships/hyperlink" Target="https://www.webtonic.io/blog/top-conversion-rate-optimisation-agencies-london" TargetMode="External"/><Relationship Id="rId660" Type="http://schemas.openxmlformats.org/officeDocument/2006/relationships/hyperlink" Target="http://sortlist.com" TargetMode="External"/><Relationship Id="rId1491" Type="http://schemas.openxmlformats.org/officeDocument/2006/relationships/hyperlink" Target="http://webtonic.io" TargetMode="External"/><Relationship Id="rId1492" Type="http://schemas.openxmlformats.org/officeDocument/2006/relationships/hyperlink" Target="https://www.webtonic.io/blog/top-social-media-agencies-uk" TargetMode="External"/><Relationship Id="rId1493" Type="http://schemas.openxmlformats.org/officeDocument/2006/relationships/hyperlink" Target="http://webtonic.io" TargetMode="External"/><Relationship Id="rId2340" Type="http://schemas.openxmlformats.org/officeDocument/2006/relationships/hyperlink" Target="https://digitalagencynetwork.com/agencies/europe/geo/" TargetMode="External"/><Relationship Id="rId1010" Type="http://schemas.openxmlformats.org/officeDocument/2006/relationships/hyperlink" Target="http://bandt.com.au" TargetMode="External"/><Relationship Id="rId1494" Type="http://schemas.openxmlformats.org/officeDocument/2006/relationships/hyperlink" Target="https://ads.google.com/home/resources/advanced/agency-directory/" TargetMode="External"/><Relationship Id="rId2341" Type="http://schemas.openxmlformats.org/officeDocument/2006/relationships/hyperlink" Target="http://digitalagencynetwork.com" TargetMode="External"/><Relationship Id="rId664" Type="http://schemas.openxmlformats.org/officeDocument/2006/relationships/hyperlink" Target="http://digitalagencynetwork.com" TargetMode="External"/><Relationship Id="rId1011" Type="http://schemas.openxmlformats.org/officeDocument/2006/relationships/hyperlink" Target="https://www.bandt.com.au/wpp-media-pulls-away-from-omnicom-essencemediacom-gains-on-leader-omd/" TargetMode="External"/><Relationship Id="rId1495" Type="http://schemas.openxmlformats.org/officeDocument/2006/relationships/hyperlink" Target="http://google.com" TargetMode="External"/><Relationship Id="rId2342" Type="http://schemas.openxmlformats.org/officeDocument/2006/relationships/hyperlink" Target="https://enterprise.google.com/marketing-platform/partners/" TargetMode="External"/><Relationship Id="rId663" Type="http://schemas.openxmlformats.org/officeDocument/2006/relationships/hyperlink" Target="https://digitalagencynetwork.com/agencies/australia/creative/" TargetMode="External"/><Relationship Id="rId1012" Type="http://schemas.openxmlformats.org/officeDocument/2006/relationships/hyperlink" Target="http://bandt.com.au" TargetMode="External"/><Relationship Id="rId1496" Type="http://schemas.openxmlformats.org/officeDocument/2006/relationships/hyperlink" Target="https://agencies.semrush.com/list/advertising/united-kingdom/small-business/" TargetMode="External"/><Relationship Id="rId2343" Type="http://schemas.openxmlformats.org/officeDocument/2006/relationships/hyperlink" Target="http://google.com" TargetMode="External"/><Relationship Id="rId662" Type="http://schemas.openxmlformats.org/officeDocument/2006/relationships/hyperlink" Target="http://clutch.co" TargetMode="External"/><Relationship Id="rId1013" Type="http://schemas.openxmlformats.org/officeDocument/2006/relationships/hyperlink" Target="https://cloud.google.com/find-a-partner/partner/trakken-web-services" TargetMode="External"/><Relationship Id="rId1497" Type="http://schemas.openxmlformats.org/officeDocument/2006/relationships/hyperlink" Target="http://semrush.com" TargetMode="External"/><Relationship Id="rId2344" Type="http://schemas.openxmlformats.org/officeDocument/2006/relationships/hyperlink" Target="https://enterprisemarketingportal.google/find-a-partner/trkkngermany%2528trakken%2529-de?certificationsFilters=Tag%20Manager" TargetMode="External"/><Relationship Id="rId661" Type="http://schemas.openxmlformats.org/officeDocument/2006/relationships/hyperlink" Target="https://clutch.co/au/consulting/ai" TargetMode="External"/><Relationship Id="rId1014" Type="http://schemas.openxmlformats.org/officeDocument/2006/relationships/hyperlink" Target="http://google.com" TargetMode="External"/><Relationship Id="rId1498" Type="http://schemas.openxmlformats.org/officeDocument/2006/relationships/hyperlink" Target="https://agencies.semrush.com/list/ai-optimization/united-kingdom/mid-business/" TargetMode="External"/><Relationship Id="rId2345" Type="http://schemas.openxmlformats.org/officeDocument/2006/relationships/hyperlink" Target="https://feedbax.ai/ai/germany" TargetMode="External"/><Relationship Id="rId1004" Type="http://schemas.openxmlformats.org/officeDocument/2006/relationships/hyperlink" Target="http://bandt.com.au" TargetMode="External"/><Relationship Id="rId1488" Type="http://schemas.openxmlformats.org/officeDocument/2006/relationships/hyperlink" Target="https://themanifest.com/programmatic/agencies/uk" TargetMode="External"/><Relationship Id="rId2335" Type="http://schemas.openxmlformats.org/officeDocument/2006/relationships/hyperlink" Target="http://designrush.com" TargetMode="External"/><Relationship Id="rId1005" Type="http://schemas.openxmlformats.org/officeDocument/2006/relationships/hyperlink" Target="https://www.bandt.com.au/special-bts-agency-scorecard-2026/" TargetMode="External"/><Relationship Id="rId1489" Type="http://schemas.openxmlformats.org/officeDocument/2006/relationships/hyperlink" Target="http://themanifest.com" TargetMode="External"/><Relationship Id="rId2336" Type="http://schemas.openxmlformats.org/officeDocument/2006/relationships/hyperlink" Target="https://digitalagencynetwork.com/agencies/berlin/social-media-marketing/" TargetMode="External"/><Relationship Id="rId1006" Type="http://schemas.openxmlformats.org/officeDocument/2006/relationships/hyperlink" Target="http://bandt.com.au" TargetMode="External"/><Relationship Id="rId2337" Type="http://schemas.openxmlformats.org/officeDocument/2006/relationships/hyperlink" Target="http://digitalagencynetwork.com" TargetMode="External"/><Relationship Id="rId1007" Type="http://schemas.openxmlformats.org/officeDocument/2006/relationships/hyperlink" Target="https://www.bandt.com.au/the-monkeys-is-dead-long-live-droga5-anz/" TargetMode="External"/><Relationship Id="rId2338" Type="http://schemas.openxmlformats.org/officeDocument/2006/relationships/hyperlink" Target="https://digitalagencynetwork.com/agencies/europe/ai-marketing/" TargetMode="External"/><Relationship Id="rId1008" Type="http://schemas.openxmlformats.org/officeDocument/2006/relationships/hyperlink" Target="http://bandt.com.au" TargetMode="External"/><Relationship Id="rId2339" Type="http://schemas.openxmlformats.org/officeDocument/2006/relationships/hyperlink" Target="http://digitalagencynetwork.com" TargetMode="External"/><Relationship Id="rId1009" Type="http://schemas.openxmlformats.org/officeDocument/2006/relationships/hyperlink" Target="https://www.bandt.com.au/the-next-evolution-for-ground-control-data-marketing-evolution/" TargetMode="External"/><Relationship Id="rId657" Type="http://schemas.openxmlformats.org/officeDocument/2006/relationships/hyperlink" Target="https://digitalagencynetwork.com/agencies/australia/geo/" TargetMode="External"/><Relationship Id="rId656" Type="http://schemas.openxmlformats.org/officeDocument/2006/relationships/hyperlink" Target="http://semrush.com" TargetMode="External"/><Relationship Id="rId655" Type="http://schemas.openxmlformats.org/officeDocument/2006/relationships/hyperlink" Target="https://agencies.semrush.com/list/analytics-data-science/australia/" TargetMode="External"/><Relationship Id="rId654" Type="http://schemas.openxmlformats.org/officeDocument/2006/relationships/hyperlink" Target="http://clutch.co" TargetMode="External"/><Relationship Id="rId659" Type="http://schemas.openxmlformats.org/officeDocument/2006/relationships/hyperlink" Target="https://www.sortlist.com/s/display-advertising/australia-au" TargetMode="External"/><Relationship Id="rId658" Type="http://schemas.openxmlformats.org/officeDocument/2006/relationships/hyperlink" Target="http://digitalagencynetwork.com" TargetMode="External"/><Relationship Id="rId1480" Type="http://schemas.openxmlformats.org/officeDocument/2006/relationships/hyperlink" Target="https://www.sortlist.com/marketing-analytics" TargetMode="External"/><Relationship Id="rId1481" Type="http://schemas.openxmlformats.org/officeDocument/2006/relationships/hyperlink" Target="http://sortlist.com" TargetMode="External"/><Relationship Id="rId1482" Type="http://schemas.openxmlformats.org/officeDocument/2006/relationships/hyperlink" Target="https://support.google.com/google-ads/answer/11410677?hl=en" TargetMode="External"/><Relationship Id="rId1483" Type="http://schemas.openxmlformats.org/officeDocument/2006/relationships/hyperlink" Target="http://google.com" TargetMode="External"/><Relationship Id="rId2330" Type="http://schemas.openxmlformats.org/officeDocument/2006/relationships/hyperlink" Target="https://www.cometly.com/post/multi-touch-attribution-vs-marketing-mix-modeling" TargetMode="External"/><Relationship Id="rId653" Type="http://schemas.openxmlformats.org/officeDocument/2006/relationships/hyperlink" Target="https://clutch.co/au/agencies/ppc/display" TargetMode="External"/><Relationship Id="rId1000" Type="http://schemas.openxmlformats.org/officeDocument/2006/relationships/hyperlink" Target="http://bandt.com.au" TargetMode="External"/><Relationship Id="rId1484" Type="http://schemas.openxmlformats.org/officeDocument/2006/relationships/hyperlink" Target="https://techbehemoths.com/companies/google-marketing-platform/united-kingdom" TargetMode="External"/><Relationship Id="rId2331" Type="http://schemas.openxmlformats.org/officeDocument/2006/relationships/hyperlink" Target="http://cometly.com" TargetMode="External"/><Relationship Id="rId652" Type="http://schemas.openxmlformats.org/officeDocument/2006/relationships/hyperlink" Target="http://clutch.co" TargetMode="External"/><Relationship Id="rId1001" Type="http://schemas.openxmlformats.org/officeDocument/2006/relationships/hyperlink" Target="https://www.bandt.com.au/omnicom-resolution-digital-launch-resolution-kinetic-in-australia/" TargetMode="External"/><Relationship Id="rId1485" Type="http://schemas.openxmlformats.org/officeDocument/2006/relationships/hyperlink" Target="http://techbehemoths.com" TargetMode="External"/><Relationship Id="rId2332" Type="http://schemas.openxmlformats.org/officeDocument/2006/relationships/hyperlink" Target="https://www.designrush.com/agency/digital-marketing/analytics" TargetMode="External"/><Relationship Id="rId651" Type="http://schemas.openxmlformats.org/officeDocument/2006/relationships/hyperlink" Target="https://clutch.co/au/agencies/creative" TargetMode="External"/><Relationship Id="rId1002" Type="http://schemas.openxmlformats.org/officeDocument/2006/relationships/hyperlink" Target="http://bandt.com.au" TargetMode="External"/><Relationship Id="rId1486" Type="http://schemas.openxmlformats.org/officeDocument/2006/relationships/hyperlink" Target="https://www.thegrowthsyndicate.com/agencies/best-b2b-digital-marketing-agencies-uk" TargetMode="External"/><Relationship Id="rId2333" Type="http://schemas.openxmlformats.org/officeDocument/2006/relationships/hyperlink" Target="http://designrush.com" TargetMode="External"/><Relationship Id="rId650" Type="http://schemas.openxmlformats.org/officeDocument/2006/relationships/hyperlink" Target="http://semrush.com" TargetMode="External"/><Relationship Id="rId1003" Type="http://schemas.openxmlformats.org/officeDocument/2006/relationships/hyperlink" Target="https://www.bandt.com.au/publicis-wpp-media-dominate-new-business-indies-quietly-climb-rankings/" TargetMode="External"/><Relationship Id="rId1487" Type="http://schemas.openxmlformats.org/officeDocument/2006/relationships/hyperlink" Target="http://thegrowthsyndicate.com" TargetMode="External"/><Relationship Id="rId2334" Type="http://schemas.openxmlformats.org/officeDocument/2006/relationships/hyperlink" Target="https://www.designrush.com/agency/digital-marketing/performance-marketing-agencies" TargetMode="External"/><Relationship Id="rId1037" Type="http://schemas.openxmlformats.org/officeDocument/2006/relationships/hyperlink" Target="https://clutch.co/au/agencies/social-media-marketing/facebook?page=6" TargetMode="External"/><Relationship Id="rId2368" Type="http://schemas.openxmlformats.org/officeDocument/2006/relationships/hyperlink" Target="http://google.com" TargetMode="External"/><Relationship Id="rId1038" Type="http://schemas.openxmlformats.org/officeDocument/2006/relationships/hyperlink" Target="http://clutch.co" TargetMode="External"/><Relationship Id="rId2369" Type="http://schemas.openxmlformats.org/officeDocument/2006/relationships/hyperlink" Target="https://www.google.com/searchviewer/10?svid=CAwSHBIaCgNwdnESE0Nnd3ZaeTh4YUcwMWJYTjVjREkYCg" TargetMode="External"/><Relationship Id="rId1039" Type="http://schemas.openxmlformats.org/officeDocument/2006/relationships/hyperlink" Target="https://clutch.co/au/agencies/social-media-marketing/tik-tok/melbourne" TargetMode="External"/><Relationship Id="rId206" Type="http://schemas.openxmlformats.org/officeDocument/2006/relationships/hyperlink" Target="http://google.com" TargetMode="External"/><Relationship Id="rId205" Type="http://schemas.openxmlformats.org/officeDocument/2006/relationships/hyperlink" Target="https://ads.google.com/intl/us-EN/home/partners/work-with-a-partner/" TargetMode="External"/><Relationship Id="rId689" Type="http://schemas.openxmlformats.org/officeDocument/2006/relationships/hyperlink" Target="https://support.google.com/tagmanager/answer/7237700?hl=en-au" TargetMode="External"/><Relationship Id="rId204" Type="http://schemas.openxmlformats.org/officeDocument/2006/relationships/hyperlink" Target="http://sortlist.com" TargetMode="External"/><Relationship Id="rId688" Type="http://schemas.openxmlformats.org/officeDocument/2006/relationships/hyperlink" Target="http://sortlist.com" TargetMode="External"/><Relationship Id="rId203" Type="http://schemas.openxmlformats.org/officeDocument/2006/relationships/hyperlink" Target="https://www.sortlist.com/s/ai-marketing/united-states-us" TargetMode="External"/><Relationship Id="rId687" Type="http://schemas.openxmlformats.org/officeDocument/2006/relationships/hyperlink" Target="https://www.sortlist.com/s/performance-marketing/melbourne-au" TargetMode="External"/><Relationship Id="rId209" Type="http://schemas.openxmlformats.org/officeDocument/2006/relationships/hyperlink" Target="https://clutch.co/us/agencies/digital-marketing/enterprise" TargetMode="External"/><Relationship Id="rId208" Type="http://schemas.openxmlformats.org/officeDocument/2006/relationships/hyperlink" Target="http://clutch.co" TargetMode="External"/><Relationship Id="rId207" Type="http://schemas.openxmlformats.org/officeDocument/2006/relationships/hyperlink" Target="https://clutch.co/agencies/ppc/display%3Fpage%3D0" TargetMode="External"/><Relationship Id="rId682" Type="http://schemas.openxmlformats.org/officeDocument/2006/relationships/hyperlink" Target="http://clutch.co" TargetMode="External"/><Relationship Id="rId2360" Type="http://schemas.openxmlformats.org/officeDocument/2006/relationships/hyperlink" Target="http://goodfirms.co" TargetMode="External"/><Relationship Id="rId681" Type="http://schemas.openxmlformats.org/officeDocument/2006/relationships/hyperlink" Target="https://clutch.co/au/agencies/social-media-marketing/facebook" TargetMode="External"/><Relationship Id="rId1030" Type="http://schemas.openxmlformats.org/officeDocument/2006/relationships/hyperlink" Target="http://clutch.co" TargetMode="External"/><Relationship Id="rId2361" Type="http://schemas.openxmlformats.org/officeDocument/2006/relationships/hyperlink" Target="https://www.google.com/searchviewer/10?svid=CAwSGxIZCgNwdnESEkNnc3ZaeTh4ZEdONGFIUTBZdxgK" TargetMode="External"/><Relationship Id="rId680" Type="http://schemas.openxmlformats.org/officeDocument/2006/relationships/hyperlink" Target="http://sortlist.com" TargetMode="External"/><Relationship Id="rId1031" Type="http://schemas.openxmlformats.org/officeDocument/2006/relationships/hyperlink" Target="https://clutch.co/au/agencies/programmatic/sydney" TargetMode="External"/><Relationship Id="rId2362" Type="http://schemas.openxmlformats.org/officeDocument/2006/relationships/hyperlink" Target="http://google.com" TargetMode="External"/><Relationship Id="rId1032" Type="http://schemas.openxmlformats.org/officeDocument/2006/relationships/hyperlink" Target="http://clutch.co" TargetMode="External"/><Relationship Id="rId2363" Type="http://schemas.openxmlformats.org/officeDocument/2006/relationships/hyperlink" Target="https://www.google.com/searchviewer/10?svid=CAwSGxIZCgNwdnESEkNnc3ZaeTh4ZEhRNFlqaDVjZxgK" TargetMode="External"/><Relationship Id="rId202" Type="http://schemas.openxmlformats.org/officeDocument/2006/relationships/hyperlink" Target="http://withgoogle.com" TargetMode="External"/><Relationship Id="rId686" Type="http://schemas.openxmlformats.org/officeDocument/2006/relationships/hyperlink" Target="http://sortlist.com" TargetMode="External"/><Relationship Id="rId1033" Type="http://schemas.openxmlformats.org/officeDocument/2006/relationships/hyperlink" Target="https://clutch.co/au/agencies/seo/technical" TargetMode="External"/><Relationship Id="rId2364" Type="http://schemas.openxmlformats.org/officeDocument/2006/relationships/hyperlink" Target="http://google.com" TargetMode="External"/><Relationship Id="rId201" Type="http://schemas.openxmlformats.org/officeDocument/2006/relationships/hyperlink" Target="http://goodfirms.co" TargetMode="External"/><Relationship Id="rId685" Type="http://schemas.openxmlformats.org/officeDocument/2006/relationships/hyperlink" Target="https://www.sortlist.com/s/creative/australia-au" TargetMode="External"/><Relationship Id="rId1034" Type="http://schemas.openxmlformats.org/officeDocument/2006/relationships/hyperlink" Target="http://clutch.co" TargetMode="External"/><Relationship Id="rId2365" Type="http://schemas.openxmlformats.org/officeDocument/2006/relationships/hyperlink" Target="https://www.google.com/searchviewer/10?svid=CAwSGxIZCgNwdnESEkNnc3ZaeTh4ZGpac05tczFiURgK" TargetMode="External"/><Relationship Id="rId200" Type="http://schemas.openxmlformats.org/officeDocument/2006/relationships/hyperlink" Target="https://www.goodfirms.co/advertising-companies/creative/usa" TargetMode="External"/><Relationship Id="rId684" Type="http://schemas.openxmlformats.org/officeDocument/2006/relationships/hyperlink" Target="http://cometly.com" TargetMode="External"/><Relationship Id="rId1035" Type="http://schemas.openxmlformats.org/officeDocument/2006/relationships/hyperlink" Target="https://clutch.co/au/agencies/social-media-marketing/facebook/sydney" TargetMode="External"/><Relationship Id="rId2366" Type="http://schemas.openxmlformats.org/officeDocument/2006/relationships/hyperlink" Target="http://google.com" TargetMode="External"/><Relationship Id="rId683" Type="http://schemas.openxmlformats.org/officeDocument/2006/relationships/hyperlink" Target="https://www.cometly.com/post/marketing-incrementality-testing-tools" TargetMode="External"/><Relationship Id="rId1036" Type="http://schemas.openxmlformats.org/officeDocument/2006/relationships/hyperlink" Target="http://clutch.co" TargetMode="External"/><Relationship Id="rId2367" Type="http://schemas.openxmlformats.org/officeDocument/2006/relationships/hyperlink" Target="https://www.google.com/searchviewer/10?svid=CAwSHBIaCgNwdnESE0Nnd3ZaeTh4Y0hSNE9Xc3lOMkkYCg" TargetMode="External"/><Relationship Id="rId1026" Type="http://schemas.openxmlformats.org/officeDocument/2006/relationships/hyperlink" Target="http://clutch.co" TargetMode="External"/><Relationship Id="rId2357" Type="http://schemas.openxmlformats.org/officeDocument/2006/relationships/hyperlink" Target="https://www.gartner.com/reviews/market/b2b-multitouch-attribution-tools" TargetMode="External"/><Relationship Id="rId1027" Type="http://schemas.openxmlformats.org/officeDocument/2006/relationships/hyperlink" Target="https://clutch.co/au/agencies/ppc/melbourne" TargetMode="External"/><Relationship Id="rId2358" Type="http://schemas.openxmlformats.org/officeDocument/2006/relationships/hyperlink" Target="http://gartner.com" TargetMode="External"/><Relationship Id="rId1028" Type="http://schemas.openxmlformats.org/officeDocument/2006/relationships/hyperlink" Target="http://clutch.co" TargetMode="External"/><Relationship Id="rId2359" Type="http://schemas.openxmlformats.org/officeDocument/2006/relationships/hyperlink" Target="https://www.goodfirms.co/directory/city/top-digital-marketing-companies/hamburg" TargetMode="External"/><Relationship Id="rId1029" Type="http://schemas.openxmlformats.org/officeDocument/2006/relationships/hyperlink" Target="https://clutch.co/au/agencies/ppc?page=2" TargetMode="External"/><Relationship Id="rId679" Type="http://schemas.openxmlformats.org/officeDocument/2006/relationships/hyperlink" Target="https://www.sortlist.com/s/performance-marketing/australia-au" TargetMode="External"/><Relationship Id="rId678" Type="http://schemas.openxmlformats.org/officeDocument/2006/relationships/hyperlink" Target="http://sortlist.com" TargetMode="External"/><Relationship Id="rId677" Type="http://schemas.openxmlformats.org/officeDocument/2006/relationships/hyperlink" Target="https://www.sortlist.com/s/paid-media/sydney-au" TargetMode="External"/><Relationship Id="rId676" Type="http://schemas.openxmlformats.org/officeDocument/2006/relationships/hyperlink" Target="http://clutch.co" TargetMode="External"/><Relationship Id="rId671" Type="http://schemas.openxmlformats.org/officeDocument/2006/relationships/hyperlink" Target="https://digitalagencynetwork.com/agencies/australia/social-media-marketing/" TargetMode="External"/><Relationship Id="rId670" Type="http://schemas.openxmlformats.org/officeDocument/2006/relationships/hyperlink" Target="http://clutch.co" TargetMode="External"/><Relationship Id="rId2350" Type="http://schemas.openxmlformats.org/officeDocument/2006/relationships/hyperlink" Target="http://feedbax.ai" TargetMode="External"/><Relationship Id="rId1020" Type="http://schemas.openxmlformats.org/officeDocument/2006/relationships/hyperlink" Target="http://clutch.co" TargetMode="External"/><Relationship Id="rId2351" Type="http://schemas.openxmlformats.org/officeDocument/2006/relationships/hyperlink" Target="https://feedbax.ai/google-ads/dach" TargetMode="External"/><Relationship Id="rId1021" Type="http://schemas.openxmlformats.org/officeDocument/2006/relationships/hyperlink" Target="https://clutch.co/au/agencies/media-buying?page=2" TargetMode="External"/><Relationship Id="rId2352" Type="http://schemas.openxmlformats.org/officeDocument/2006/relationships/hyperlink" Target="http://feedbax.ai" TargetMode="External"/><Relationship Id="rId675" Type="http://schemas.openxmlformats.org/officeDocument/2006/relationships/hyperlink" Target="https://clutch.co/au/agencies/ppc/advertising-industry" TargetMode="External"/><Relationship Id="rId1022" Type="http://schemas.openxmlformats.org/officeDocument/2006/relationships/hyperlink" Target="http://clutch.co" TargetMode="External"/><Relationship Id="rId2353" Type="http://schemas.openxmlformats.org/officeDocument/2006/relationships/hyperlink" Target="https://feedbax.ai/performance-marketing/dach" TargetMode="External"/><Relationship Id="rId674" Type="http://schemas.openxmlformats.org/officeDocument/2006/relationships/hyperlink" Target="http://digitalagencynetwork.com" TargetMode="External"/><Relationship Id="rId1023" Type="http://schemas.openxmlformats.org/officeDocument/2006/relationships/hyperlink" Target="https://clutch.co/au/agencies/ppc/brisbane" TargetMode="External"/><Relationship Id="rId2354" Type="http://schemas.openxmlformats.org/officeDocument/2006/relationships/hyperlink" Target="http://feedbax.ai" TargetMode="External"/><Relationship Id="rId673" Type="http://schemas.openxmlformats.org/officeDocument/2006/relationships/hyperlink" Target="https://digitalagencynetwork.com/agencies/sydney/geo/" TargetMode="External"/><Relationship Id="rId1024" Type="http://schemas.openxmlformats.org/officeDocument/2006/relationships/hyperlink" Target="http://clutch.co" TargetMode="External"/><Relationship Id="rId2355" Type="http://schemas.openxmlformats.org/officeDocument/2006/relationships/hyperlink" Target="https://feedbax.ai/performance-marketing/frankfurt" TargetMode="External"/><Relationship Id="rId672" Type="http://schemas.openxmlformats.org/officeDocument/2006/relationships/hyperlink" Target="http://digitalagencynetwork.com" TargetMode="External"/><Relationship Id="rId1025" Type="http://schemas.openxmlformats.org/officeDocument/2006/relationships/hyperlink" Target="https://clutch.co/au/agencies/ppc/google-adwords/sydney" TargetMode="External"/><Relationship Id="rId2356" Type="http://schemas.openxmlformats.org/officeDocument/2006/relationships/hyperlink" Target="http://feedbax.ai" TargetMode="External"/><Relationship Id="rId190" Type="http://schemas.openxmlformats.org/officeDocument/2006/relationships/hyperlink" Target="https://www.sortlist.com/attribution-marketing" TargetMode="External"/><Relationship Id="rId194" Type="http://schemas.openxmlformats.org/officeDocument/2006/relationships/hyperlink" Target="https://clutch.co/seo-firms/generative-engine-optimization" TargetMode="External"/><Relationship Id="rId193" Type="http://schemas.openxmlformats.org/officeDocument/2006/relationships/hyperlink" Target="http://clutch.co" TargetMode="External"/><Relationship Id="rId192" Type="http://schemas.openxmlformats.org/officeDocument/2006/relationships/hyperlink" Target="https://clutch.co/consulting/ai/strategy" TargetMode="External"/><Relationship Id="rId191" Type="http://schemas.openxmlformats.org/officeDocument/2006/relationships/hyperlink" Target="http://sortlist.com" TargetMode="External"/><Relationship Id="rId187" Type="http://schemas.openxmlformats.org/officeDocument/2006/relationships/hyperlink" Target="http://influencermarketinghub.com" TargetMode="External"/><Relationship Id="rId186" Type="http://schemas.openxmlformats.org/officeDocument/2006/relationships/hyperlink" Target="https://influencermarketinghub.com/digital-marketing-agency-usa/" TargetMode="External"/><Relationship Id="rId185" Type="http://schemas.openxmlformats.org/officeDocument/2006/relationships/hyperlink" Target="http://google.com" TargetMode="External"/><Relationship Id="rId184" Type="http://schemas.openxmlformats.org/officeDocument/2006/relationships/hyperlink" Target="https://www.google.com/partners/" TargetMode="External"/><Relationship Id="rId189" Type="http://schemas.openxmlformats.org/officeDocument/2006/relationships/hyperlink" Target="http://semrush.com" TargetMode="External"/><Relationship Id="rId188" Type="http://schemas.openxmlformats.org/officeDocument/2006/relationships/hyperlink" Target="https://agencies.semrush.com/list/programmatic-advertising/united-states/" TargetMode="External"/><Relationship Id="rId183" Type="http://schemas.openxmlformats.org/officeDocument/2006/relationships/hyperlink" Target="http://gartner.com" TargetMode="External"/><Relationship Id="rId182" Type="http://schemas.openxmlformats.org/officeDocument/2006/relationships/hyperlink" Target="https://www.gartner.com/reviews/product/measured-89579724?marketSeoName=marketing-mix-modeling-solutions" TargetMode="External"/><Relationship Id="rId181" Type="http://schemas.openxmlformats.org/officeDocument/2006/relationships/hyperlink" Target="http://designrush.com" TargetMode="External"/><Relationship Id="rId180" Type="http://schemas.openxmlformats.org/officeDocument/2006/relationships/hyperlink" Target="https://www.designrush.com/agency/digital-marketing/analytics/us?page=24" TargetMode="External"/><Relationship Id="rId176" Type="http://schemas.openxmlformats.org/officeDocument/2006/relationships/hyperlink" Target="https://www.webtonic.io/blog/best-performance-marketing-agencies-2026" TargetMode="External"/><Relationship Id="rId175" Type="http://schemas.openxmlformats.org/officeDocument/2006/relationships/hyperlink" Target="http://themanifest.com" TargetMode="External"/><Relationship Id="rId174" Type="http://schemas.openxmlformats.org/officeDocument/2006/relationships/hyperlink" Target="https://themanifest.com/us/media-buying/agencies" TargetMode="External"/><Relationship Id="rId173" Type="http://schemas.openxmlformats.org/officeDocument/2006/relationships/hyperlink" Target="http://withgoogle.com" TargetMode="External"/><Relationship Id="rId179" Type="http://schemas.openxmlformats.org/officeDocument/2006/relationships/hyperlink" Target="http://designrush.com" TargetMode="External"/><Relationship Id="rId178" Type="http://schemas.openxmlformats.org/officeDocument/2006/relationships/hyperlink" Target="https://www.designrush.com/agency/digital-marketing/analytics/us?page=23" TargetMode="External"/><Relationship Id="rId177" Type="http://schemas.openxmlformats.org/officeDocument/2006/relationships/hyperlink" Target="http://webtonic.io" TargetMode="External"/><Relationship Id="rId1910" Type="http://schemas.openxmlformats.org/officeDocument/2006/relationships/hyperlink" Target="http://feedbax.ai" TargetMode="External"/><Relationship Id="rId1911" Type="http://schemas.openxmlformats.org/officeDocument/2006/relationships/hyperlink" Target="https://www.onetoone.de/performance-ranking/performance_2024" TargetMode="External"/><Relationship Id="rId1912" Type="http://schemas.openxmlformats.org/officeDocument/2006/relationships/hyperlink" Target="http://onetoone.de" TargetMode="External"/><Relationship Id="rId1913" Type="http://schemas.openxmlformats.org/officeDocument/2006/relationships/hyperlink" Target="https://www.sortlist.com/s/performance-marketing/berlin-de" TargetMode="External"/><Relationship Id="rId1914" Type="http://schemas.openxmlformats.org/officeDocument/2006/relationships/hyperlink" Target="http://sortlist.com" TargetMode="External"/><Relationship Id="rId1915" Type="http://schemas.openxmlformats.org/officeDocument/2006/relationships/hyperlink" Target="https://agencies.semrush.com/list/display-advertising/berlin/small-business/" TargetMode="External"/><Relationship Id="rId1916" Type="http://schemas.openxmlformats.org/officeDocument/2006/relationships/hyperlink" Target="http://semrush.com" TargetMode="External"/><Relationship Id="rId1917" Type="http://schemas.openxmlformats.org/officeDocument/2006/relationships/hyperlink" Target="https://www.bvdw.org/rankings/kreativranking-rankings/" TargetMode="External"/><Relationship Id="rId1918" Type="http://schemas.openxmlformats.org/officeDocument/2006/relationships/hyperlink" Target="http://bvdw.org" TargetMode="External"/><Relationship Id="rId1919" Type="http://schemas.openxmlformats.org/officeDocument/2006/relationships/hyperlink" Target="https://www.google.com/ads/publisher/partners/find-a-partner/" TargetMode="External"/><Relationship Id="rId1900" Type="http://schemas.openxmlformats.org/officeDocument/2006/relationships/hyperlink" Target="http://sortlist.com" TargetMode="External"/><Relationship Id="rId1901" Type="http://schemas.openxmlformats.org/officeDocument/2006/relationships/hyperlink" Target="https://themanifest.com/de/digital-marketing/agencies" TargetMode="External"/><Relationship Id="rId1902" Type="http://schemas.openxmlformats.org/officeDocument/2006/relationships/hyperlink" Target="http://themanifest.com" TargetMode="External"/><Relationship Id="rId1903" Type="http://schemas.openxmlformats.org/officeDocument/2006/relationships/hyperlink" Target="https://agencies.semrush.com/list/machine-learning-and-ai/germany/" TargetMode="External"/><Relationship Id="rId1904" Type="http://schemas.openxmlformats.org/officeDocument/2006/relationships/hyperlink" Target="http://semrush.com" TargetMode="External"/><Relationship Id="rId1905" Type="http://schemas.openxmlformats.org/officeDocument/2006/relationships/hyperlink" Target="https://clutch.co/de/agencies/conversion-optimization" TargetMode="External"/><Relationship Id="rId1906" Type="http://schemas.openxmlformats.org/officeDocument/2006/relationships/hyperlink" Target="http://clutch.co" TargetMode="External"/><Relationship Id="rId1907" Type="http://schemas.openxmlformats.org/officeDocument/2006/relationships/hyperlink" Target="https://clutch.co/de/consulting/ai/deployment" TargetMode="External"/><Relationship Id="rId1908" Type="http://schemas.openxmlformats.org/officeDocument/2006/relationships/hyperlink" Target="http://clutch.co" TargetMode="External"/><Relationship Id="rId1909" Type="http://schemas.openxmlformats.org/officeDocument/2006/relationships/hyperlink" Target="https://feedbax.ai/advertising" TargetMode="External"/><Relationship Id="rId198" Type="http://schemas.openxmlformats.org/officeDocument/2006/relationships/hyperlink" Target="https://www.gartner.com/reviews/market/b2b-multitouch-attribution-tools" TargetMode="External"/><Relationship Id="rId197" Type="http://schemas.openxmlformats.org/officeDocument/2006/relationships/hyperlink" Target="http://designrush.com" TargetMode="External"/><Relationship Id="rId196" Type="http://schemas.openxmlformats.org/officeDocument/2006/relationships/hyperlink" Target="https://www.designrush.com/agency/paid-media-pay-per-click/google-adwords/us" TargetMode="External"/><Relationship Id="rId195" Type="http://schemas.openxmlformats.org/officeDocument/2006/relationships/hyperlink" Target="http://clutch.co" TargetMode="External"/><Relationship Id="rId199" Type="http://schemas.openxmlformats.org/officeDocument/2006/relationships/hyperlink" Target="http://gartner.com" TargetMode="External"/><Relationship Id="rId150" Type="http://schemas.openxmlformats.org/officeDocument/2006/relationships/hyperlink" Target="https://clutch.co/us/agencies/ppc/display?page=8" TargetMode="External"/><Relationship Id="rId149" Type="http://schemas.openxmlformats.org/officeDocument/2006/relationships/hyperlink" Target="http://clutch.co" TargetMode="External"/><Relationship Id="rId148" Type="http://schemas.openxmlformats.org/officeDocument/2006/relationships/hyperlink" Target="https://clutch.co/us/agencies/ppc/display?page=2" TargetMode="External"/><Relationship Id="rId1090" Type="http://schemas.openxmlformats.org/officeDocument/2006/relationships/hyperlink" Target="http://google.com" TargetMode="External"/><Relationship Id="rId1091" Type="http://schemas.openxmlformats.org/officeDocument/2006/relationships/hyperlink" Target="https://www.google.com/searchviewer/10?svid=CAwSHRIbCgNwdnESFENnMHZaeTh4TVc0eE16UTRYM055GAo" TargetMode="External"/><Relationship Id="rId1092" Type="http://schemas.openxmlformats.org/officeDocument/2006/relationships/hyperlink" Target="http://google.com" TargetMode="External"/><Relationship Id="rId1093" Type="http://schemas.openxmlformats.org/officeDocument/2006/relationships/hyperlink" Target="https://www.google.com/searchviewer/10?svid=CAwSHRIbCgNwdnESFENnMHZaeTh4TVdNMmJEbHRaR2R6GAo" TargetMode="External"/><Relationship Id="rId1094" Type="http://schemas.openxmlformats.org/officeDocument/2006/relationships/hyperlink" Target="http://google.com" TargetMode="External"/><Relationship Id="rId143" Type="http://schemas.openxmlformats.org/officeDocument/2006/relationships/hyperlink" Target="http://semrush.com" TargetMode="External"/><Relationship Id="rId1095" Type="http://schemas.openxmlformats.org/officeDocument/2006/relationships/hyperlink" Target="https://www.google.com/searchviewer/10?svid=CAwSHRIbCgNwdnESFENnMHZaeTh4TVdSNk1ISnJkbkJ1GAo" TargetMode="External"/><Relationship Id="rId142" Type="http://schemas.openxmlformats.org/officeDocument/2006/relationships/hyperlink" Target="https://agencies.semrush.com/list/display-advertising/united-states/enterprise-business/" TargetMode="External"/><Relationship Id="rId1096" Type="http://schemas.openxmlformats.org/officeDocument/2006/relationships/hyperlink" Target="http://google.com" TargetMode="External"/><Relationship Id="rId141" Type="http://schemas.openxmlformats.org/officeDocument/2006/relationships/hyperlink" Target="https://enterprisemarketingportal.google/find-a-partner" TargetMode="External"/><Relationship Id="rId1097" Type="http://schemas.openxmlformats.org/officeDocument/2006/relationships/hyperlink" Target="https://www.google.com/searchviewer/10?svid=CAwSHRIbCgNwdnESFENnMHZaeTh4TVdjMmNHWnphRGgzGAo" TargetMode="External"/><Relationship Id="rId140" Type="http://schemas.openxmlformats.org/officeDocument/2006/relationships/hyperlink" Target="http://cometly.com" TargetMode="External"/><Relationship Id="rId1098" Type="http://schemas.openxmlformats.org/officeDocument/2006/relationships/hyperlink" Target="http://google.com" TargetMode="External"/><Relationship Id="rId147" Type="http://schemas.openxmlformats.org/officeDocument/2006/relationships/hyperlink" Target="http://clutch.co" TargetMode="External"/><Relationship Id="rId1099" Type="http://schemas.openxmlformats.org/officeDocument/2006/relationships/hyperlink" Target="https://www.google.com/searchviewer/10?svid=CAwSHRIbCgNwdnESFENnMHZaeTh4TVdkbmNtc3lZM05vGAo" TargetMode="External"/><Relationship Id="rId146" Type="http://schemas.openxmlformats.org/officeDocument/2006/relationships/hyperlink" Target="https://clutch.co/agencies/ppc/google-adwords" TargetMode="External"/><Relationship Id="rId145" Type="http://schemas.openxmlformats.org/officeDocument/2006/relationships/hyperlink" Target="http://google.com" TargetMode="External"/><Relationship Id="rId144" Type="http://schemas.openxmlformats.org/officeDocument/2006/relationships/hyperlink" Target="https://business.google.com/us/support/work-with-a-partner/" TargetMode="External"/><Relationship Id="rId139" Type="http://schemas.openxmlformats.org/officeDocument/2006/relationships/hyperlink" Target="https://www.cometly.com/post/marketing-attribution-tools-for-agencies" TargetMode="External"/><Relationship Id="rId138" Type="http://schemas.openxmlformats.org/officeDocument/2006/relationships/hyperlink" Target="http://clutch.co" TargetMode="External"/><Relationship Id="rId137" Type="http://schemas.openxmlformats.org/officeDocument/2006/relationships/hyperlink" Target="https://clutch.co/us/agencies/ppc/google-adwords" TargetMode="External"/><Relationship Id="rId1080" Type="http://schemas.openxmlformats.org/officeDocument/2006/relationships/hyperlink" Target="http://goodfirms.co" TargetMode="External"/><Relationship Id="rId1081" Type="http://schemas.openxmlformats.org/officeDocument/2006/relationships/hyperlink" Target="https://www.google.com/searchviewer/10?svid=CAwSGxIZCgNwdnESEkNnc3ZaeTh4ZEdZeWNEQTVNQRgK" TargetMode="External"/><Relationship Id="rId1082" Type="http://schemas.openxmlformats.org/officeDocument/2006/relationships/hyperlink" Target="http://google.com" TargetMode="External"/><Relationship Id="rId1083" Type="http://schemas.openxmlformats.org/officeDocument/2006/relationships/hyperlink" Target="https://www.google.com/searchviewer/10?svid=CAwSGxIZCgNwdnESEkNnc3ZaeTh4ZEdvek5XUm1iQRgK" TargetMode="External"/><Relationship Id="rId132" Type="http://schemas.openxmlformats.org/officeDocument/2006/relationships/hyperlink" Target="http://sortlist.com" TargetMode="External"/><Relationship Id="rId1084" Type="http://schemas.openxmlformats.org/officeDocument/2006/relationships/hyperlink" Target="http://google.com" TargetMode="External"/><Relationship Id="rId131" Type="http://schemas.openxmlformats.org/officeDocument/2006/relationships/hyperlink" Target="https://www.sortlist.com/s/marketing-analytics/united-states-us" TargetMode="External"/><Relationship Id="rId1085" Type="http://schemas.openxmlformats.org/officeDocument/2006/relationships/hyperlink" Target="https://www.google.com/searchviewer/10?svid=CAwSGxIZCgNwdnESEkNnc3ZaeTh4ZG10eU1IZzRhZxgK" TargetMode="External"/><Relationship Id="rId130" Type="http://schemas.openxmlformats.org/officeDocument/2006/relationships/hyperlink" Target="http://designrush.com" TargetMode="External"/><Relationship Id="rId1086" Type="http://schemas.openxmlformats.org/officeDocument/2006/relationships/hyperlink" Target="http://google.com" TargetMode="External"/><Relationship Id="rId1087" Type="http://schemas.openxmlformats.org/officeDocument/2006/relationships/hyperlink" Target="https://www.google.com/searchviewer/10?svid=CAwSGxIZCgNwdnESEkNnc3ZaeTh4ZGw5NU9XSXpOZxgK" TargetMode="External"/><Relationship Id="rId136" Type="http://schemas.openxmlformats.org/officeDocument/2006/relationships/hyperlink" Target="http://clutch.co" TargetMode="External"/><Relationship Id="rId1088" Type="http://schemas.openxmlformats.org/officeDocument/2006/relationships/hyperlink" Target="http://google.com" TargetMode="External"/><Relationship Id="rId135" Type="http://schemas.openxmlformats.org/officeDocument/2006/relationships/hyperlink" Target="https://clutch.co/agencies/digital-marketing" TargetMode="External"/><Relationship Id="rId1089" Type="http://schemas.openxmlformats.org/officeDocument/2006/relationships/hyperlink" Target="https://www.google.com/searchviewer/10?svid=CAwSHBIaCgNwdnESE0Nnd3ZaeTh4YUdZd2Rub3hPRGMYCg" TargetMode="External"/><Relationship Id="rId134" Type="http://schemas.openxmlformats.org/officeDocument/2006/relationships/hyperlink" Target="http://techbehemoths.com" TargetMode="External"/><Relationship Id="rId133" Type="http://schemas.openxmlformats.org/officeDocument/2006/relationships/hyperlink" Target="https://techbehemoths.com/companies/marketing-analytics/united-states" TargetMode="External"/><Relationship Id="rId172" Type="http://schemas.openxmlformats.org/officeDocument/2006/relationships/hyperlink" Target="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 TargetMode="External"/><Relationship Id="rId171" Type="http://schemas.openxmlformats.org/officeDocument/2006/relationships/hyperlink" Target="http://google.com" TargetMode="External"/><Relationship Id="rId170" Type="http://schemas.openxmlformats.org/officeDocument/2006/relationships/hyperlink" Target="https://www.google.com/ads/publisher/partners/find-a-partner/" TargetMode="External"/><Relationship Id="rId165" Type="http://schemas.openxmlformats.org/officeDocument/2006/relationships/hyperlink" Target="http://semrush.com" TargetMode="External"/><Relationship Id="rId164" Type="http://schemas.openxmlformats.org/officeDocument/2006/relationships/hyperlink" Target="https://agencies.semrush.com/list/display-advertising/united-states/mid-business/" TargetMode="External"/><Relationship Id="rId163" Type="http://schemas.openxmlformats.org/officeDocument/2006/relationships/hyperlink" Target="http://techbehemoths.com" TargetMode="External"/><Relationship Id="rId162" Type="http://schemas.openxmlformats.org/officeDocument/2006/relationships/hyperlink" Target="https://techbehemoths.com/companies/google-marketing-platform/united-states" TargetMode="External"/><Relationship Id="rId169" Type="http://schemas.openxmlformats.org/officeDocument/2006/relationships/hyperlink" Target="http://gartner.com" TargetMode="External"/><Relationship Id="rId168" Type="http://schemas.openxmlformats.org/officeDocument/2006/relationships/hyperlink" Target="https://www.gartner.com/reviews/market/incrementality-measurement-platforms" TargetMode="External"/><Relationship Id="rId167" Type="http://schemas.openxmlformats.org/officeDocument/2006/relationships/hyperlink" Target="http://clutch.co" TargetMode="External"/><Relationship Id="rId166" Type="http://schemas.openxmlformats.org/officeDocument/2006/relationships/hyperlink" Target="https://clutch.co/us/agencies/programmatic" TargetMode="External"/><Relationship Id="rId161" Type="http://schemas.openxmlformats.org/officeDocument/2006/relationships/hyperlink" Target="http://influencermarketinghub.com" TargetMode="External"/><Relationship Id="rId160" Type="http://schemas.openxmlformats.org/officeDocument/2006/relationships/hyperlink" Target="https://influencermarketinghub.com/marketing-analytics-agency/" TargetMode="External"/><Relationship Id="rId159" Type="http://schemas.openxmlformats.org/officeDocument/2006/relationships/hyperlink" Target="http://influencermarketinghub.com" TargetMode="External"/><Relationship Id="rId154" Type="http://schemas.openxmlformats.org/officeDocument/2006/relationships/hyperlink" Target="https://www.cometly.com/post/incrementality-measurement-tool" TargetMode="External"/><Relationship Id="rId153" Type="http://schemas.openxmlformats.org/officeDocument/2006/relationships/hyperlink" Target="http://cometly.com" TargetMode="External"/><Relationship Id="rId152" Type="http://schemas.openxmlformats.org/officeDocument/2006/relationships/hyperlink" Target="https://www.cometly.com/post/best-top-marketing-attribution-firms-in-usa" TargetMode="External"/><Relationship Id="rId151" Type="http://schemas.openxmlformats.org/officeDocument/2006/relationships/hyperlink" Target="http://clutch.co" TargetMode="External"/><Relationship Id="rId158" Type="http://schemas.openxmlformats.org/officeDocument/2006/relationships/hyperlink" Target="https://influencermarketinghub.com/google-ads-agencies/" TargetMode="External"/><Relationship Id="rId157" Type="http://schemas.openxmlformats.org/officeDocument/2006/relationships/hyperlink" Target="http://influencermarketinghub.com" TargetMode="External"/><Relationship Id="rId156" Type="http://schemas.openxmlformats.org/officeDocument/2006/relationships/hyperlink" Target="https://influencermarketinghub.com/ai-marketing-agencies/" TargetMode="External"/><Relationship Id="rId155" Type="http://schemas.openxmlformats.org/officeDocument/2006/relationships/hyperlink" Target="http://cometly.com" TargetMode="External"/><Relationship Id="rId1972" Type="http://schemas.openxmlformats.org/officeDocument/2006/relationships/hyperlink" Target="https://www.ibusiness.de/performance-ranking/performance_2023.html?sub=2" TargetMode="External"/><Relationship Id="rId1973" Type="http://schemas.openxmlformats.org/officeDocument/2006/relationships/hyperlink" Target="http://ibusiness.de" TargetMode="External"/><Relationship Id="rId1974" Type="http://schemas.openxmlformats.org/officeDocument/2006/relationships/hyperlink" Target="https://www.onetoone.de/performance-ranking/performance_2024.html?sub=2" TargetMode="External"/><Relationship Id="rId1975" Type="http://schemas.openxmlformats.org/officeDocument/2006/relationships/hyperlink" Target="http://onetoone.de" TargetMode="External"/><Relationship Id="rId1976" Type="http://schemas.openxmlformats.org/officeDocument/2006/relationships/hyperlink" Target="https://www.onetoone.de/performance-ranking/performance_2024.html?sub=5" TargetMode="External"/><Relationship Id="rId1977" Type="http://schemas.openxmlformats.org/officeDocument/2006/relationships/hyperlink" Target="http://onetoone.de" TargetMode="External"/><Relationship Id="rId1978" Type="http://schemas.openxmlformats.org/officeDocument/2006/relationships/hyperlink" Target="https://www.sortlist.com/i/web-analytics/germany-de" TargetMode="External"/><Relationship Id="rId1979" Type="http://schemas.openxmlformats.org/officeDocument/2006/relationships/hyperlink" Target="http://sortlist.com" TargetMode="External"/><Relationship Id="rId1970" Type="http://schemas.openxmlformats.org/officeDocument/2006/relationships/hyperlink" Target="https://feedbax.ai/creative-agencies/germany" TargetMode="External"/><Relationship Id="rId1971" Type="http://schemas.openxmlformats.org/officeDocument/2006/relationships/hyperlink" Target="http://feedbax.ai" TargetMode="External"/><Relationship Id="rId1961" Type="http://schemas.openxmlformats.org/officeDocument/2006/relationships/hyperlink" Target="http://silicon.de" TargetMode="External"/><Relationship Id="rId1962" Type="http://schemas.openxmlformats.org/officeDocument/2006/relationships/hyperlink" Target="https://www.sortlist.com/display-advertising" TargetMode="External"/><Relationship Id="rId1963" Type="http://schemas.openxmlformats.org/officeDocument/2006/relationships/hyperlink" Target="http://sortlist.com" TargetMode="External"/><Relationship Id="rId1964" Type="http://schemas.openxmlformats.org/officeDocument/2006/relationships/hyperlink" Target="https://www.sortlist.com/s/marketing-automation/germany-de" TargetMode="External"/><Relationship Id="rId1965" Type="http://schemas.openxmlformats.org/officeDocument/2006/relationships/hyperlink" Target="http://sortlist.com" TargetMode="External"/><Relationship Id="rId1966" Type="http://schemas.openxmlformats.org/officeDocument/2006/relationships/hyperlink" Target="https://clutch.co/de/agencies/ppc/advertising-industry?page=2" TargetMode="External"/><Relationship Id="rId1967" Type="http://schemas.openxmlformats.org/officeDocument/2006/relationships/hyperlink" Target="http://clutch.co" TargetMode="External"/><Relationship Id="rId1968" Type="http://schemas.openxmlformats.org/officeDocument/2006/relationships/hyperlink" Target="https://www.designrush.com/agency/social-media-marketing/de" TargetMode="External"/><Relationship Id="rId1969" Type="http://schemas.openxmlformats.org/officeDocument/2006/relationships/hyperlink" Target="http://designrush.com" TargetMode="External"/><Relationship Id="rId1960" Type="http://schemas.openxmlformats.org/officeDocument/2006/relationships/hyperlink" Target="https://www.silicon.de/41722409/geo-agentur-vergleich-empfehlungen-beste-15-geo-agenturen-2026/amp" TargetMode="External"/><Relationship Id="rId1510" Type="http://schemas.openxmlformats.org/officeDocument/2006/relationships/hyperlink" Target="https://bind.media/" TargetMode="External"/><Relationship Id="rId1994" Type="http://schemas.openxmlformats.org/officeDocument/2006/relationships/hyperlink" Target="https://feedbax.ai/geo-agencies/dach" TargetMode="External"/><Relationship Id="rId1511" Type="http://schemas.openxmlformats.org/officeDocument/2006/relationships/hyperlink" Target="https://bind.media/services/paid-media" TargetMode="External"/><Relationship Id="rId1995" Type="http://schemas.openxmlformats.org/officeDocument/2006/relationships/hyperlink" Target="http://feedbax.ai" TargetMode="External"/><Relationship Id="rId1512" Type="http://schemas.openxmlformats.org/officeDocument/2006/relationships/hyperlink" Target="https://business.google.com/us/think/measurement/incrementality-testing/" TargetMode="External"/><Relationship Id="rId1996" Type="http://schemas.openxmlformats.org/officeDocument/2006/relationships/hyperlink" Target="https://feedbax.ai/google-ads/western-europe" TargetMode="External"/><Relationship Id="rId1513" Type="http://schemas.openxmlformats.org/officeDocument/2006/relationships/hyperlink" Target="http://google.com" TargetMode="External"/><Relationship Id="rId1997" Type="http://schemas.openxmlformats.org/officeDocument/2006/relationships/hyperlink" Target="http://feedbax.ai" TargetMode="External"/><Relationship Id="rId1514" Type="http://schemas.openxmlformats.org/officeDocument/2006/relationships/hyperlink" Target="https://www.businessofapps.com/marketplace/performance-marketing/" TargetMode="External"/><Relationship Id="rId1998" Type="http://schemas.openxmlformats.org/officeDocument/2006/relationships/hyperlink" Target="https://www.goodfirms.co/directory/country/top-digital-marketing-companies/advertising-ppc/germany" TargetMode="External"/><Relationship Id="rId1515" Type="http://schemas.openxmlformats.org/officeDocument/2006/relationships/hyperlink" Target="http://businessofapps.com" TargetMode="External"/><Relationship Id="rId1999" Type="http://schemas.openxmlformats.org/officeDocument/2006/relationships/hyperlink" Target="http://goodfirms.co" TargetMode="External"/><Relationship Id="rId1516" Type="http://schemas.openxmlformats.org/officeDocument/2006/relationships/hyperlink" Target="https://clutch.co/agencies/account-based-marketing/uk" TargetMode="External"/><Relationship Id="rId1517" Type="http://schemas.openxmlformats.org/officeDocument/2006/relationships/hyperlink" Target="http://clutch.co" TargetMode="External"/><Relationship Id="rId1518" Type="http://schemas.openxmlformats.org/officeDocument/2006/relationships/hyperlink" Target="https://clutch.co/agencies/conversion-optimization/uk" TargetMode="External"/><Relationship Id="rId1519" Type="http://schemas.openxmlformats.org/officeDocument/2006/relationships/hyperlink" Target="http://clutch.co" TargetMode="External"/><Relationship Id="rId1990" Type="http://schemas.openxmlformats.org/officeDocument/2006/relationships/hyperlink" Target="https://agencies.semrush.com/list/seo/germany/" TargetMode="External"/><Relationship Id="rId1991" Type="http://schemas.openxmlformats.org/officeDocument/2006/relationships/hyperlink" Target="http://semrush.com" TargetMode="External"/><Relationship Id="rId1992" Type="http://schemas.openxmlformats.org/officeDocument/2006/relationships/hyperlink" Target="https://clutch.co/de/consulting/ai/strategy?page=1" TargetMode="External"/><Relationship Id="rId1993" Type="http://schemas.openxmlformats.org/officeDocument/2006/relationships/hyperlink" Target="http://clutch.co" TargetMode="External"/><Relationship Id="rId1983" Type="http://schemas.openxmlformats.org/officeDocument/2006/relationships/hyperlink" Target="http://sortlist.com" TargetMode="External"/><Relationship Id="rId1500" Type="http://schemas.openxmlformats.org/officeDocument/2006/relationships/hyperlink" Target="https://agencies.semrush.com/list/display-advertising/" TargetMode="External"/><Relationship Id="rId1984" Type="http://schemas.openxmlformats.org/officeDocument/2006/relationships/hyperlink" Target="https://www.sortlist.com/s/sm-analytics/germany-de" TargetMode="External"/><Relationship Id="rId1501" Type="http://schemas.openxmlformats.org/officeDocument/2006/relationships/hyperlink" Target="http://semrush.com" TargetMode="External"/><Relationship Id="rId1985" Type="http://schemas.openxmlformats.org/officeDocument/2006/relationships/hyperlink" Target="http://sortlist.com" TargetMode="External"/><Relationship Id="rId1502" Type="http://schemas.openxmlformats.org/officeDocument/2006/relationships/hyperlink" Target="https://agencies.semrush.com/list/los-angeles/" TargetMode="External"/><Relationship Id="rId1986" Type="http://schemas.openxmlformats.org/officeDocument/2006/relationships/hyperlink" Target="https://support.google.com/analytics/answer/7237700?hl=de" TargetMode="External"/><Relationship Id="rId1503" Type="http://schemas.openxmlformats.org/officeDocument/2006/relationships/hyperlink" Target="http://semrush.com" TargetMode="External"/><Relationship Id="rId1987" Type="http://schemas.openxmlformats.org/officeDocument/2006/relationships/hyperlink" Target="http://google.com" TargetMode="External"/><Relationship Id="rId1504" Type="http://schemas.openxmlformats.org/officeDocument/2006/relationships/hyperlink" Target="https://agencies.semrush.com/list/machine-learning-and-ai/london-city/" TargetMode="External"/><Relationship Id="rId1988" Type="http://schemas.openxmlformats.org/officeDocument/2006/relationships/hyperlink" Target="https://agencies.semrush.com/list/display-advertising/germany/mid-business/" TargetMode="External"/><Relationship Id="rId1505" Type="http://schemas.openxmlformats.org/officeDocument/2006/relationships/hyperlink" Target="http://semrush.com" TargetMode="External"/><Relationship Id="rId1989" Type="http://schemas.openxmlformats.org/officeDocument/2006/relationships/hyperlink" Target="http://semrush.com" TargetMode="External"/><Relationship Id="rId1506" Type="http://schemas.openxmlformats.org/officeDocument/2006/relationships/hyperlink" Target="https://agencies.semrush.com/list/ppc/united-kingdom/" TargetMode="External"/><Relationship Id="rId1507" Type="http://schemas.openxmlformats.org/officeDocument/2006/relationships/hyperlink" Target="http://semrush.com" TargetMode="External"/><Relationship Id="rId1508" Type="http://schemas.openxmlformats.org/officeDocument/2006/relationships/hyperlink" Target="https://agencies.semrush.com/list/ppc/united-states/" TargetMode="External"/><Relationship Id="rId1509" Type="http://schemas.openxmlformats.org/officeDocument/2006/relationships/hyperlink" Target="http://semrush.com" TargetMode="External"/><Relationship Id="rId1980" Type="http://schemas.openxmlformats.org/officeDocument/2006/relationships/hyperlink" Target="https://www.sortlist.com/s/international-marketing/germany-de" TargetMode="External"/><Relationship Id="rId1981" Type="http://schemas.openxmlformats.org/officeDocument/2006/relationships/hyperlink" Target="http://sortlist.com" TargetMode="External"/><Relationship Id="rId1982" Type="http://schemas.openxmlformats.org/officeDocument/2006/relationships/hyperlink" Target="https://www.sortlist.com/s/marketing-analytics/frankfurt-he-de" TargetMode="External"/><Relationship Id="rId1930" Type="http://schemas.openxmlformats.org/officeDocument/2006/relationships/hyperlink" Target="http://clutch.co" TargetMode="External"/><Relationship Id="rId1931" Type="http://schemas.openxmlformats.org/officeDocument/2006/relationships/hyperlink" Target="https://www.google.com/intl/en_GB/ads/publisher/partners/find-a-partner/" TargetMode="External"/><Relationship Id="rId1932" Type="http://schemas.openxmlformats.org/officeDocument/2006/relationships/hyperlink" Target="http://google.com" TargetMode="External"/><Relationship Id="rId1933" Type="http://schemas.openxmlformats.org/officeDocument/2006/relationships/hyperlink" Target="https://www.ibusiness.de/performance-ranking/performance_2022.html" TargetMode="External"/><Relationship Id="rId1934" Type="http://schemas.openxmlformats.org/officeDocument/2006/relationships/hyperlink" Target="http://ibusiness.de" TargetMode="External"/><Relationship Id="rId1935" Type="http://schemas.openxmlformats.org/officeDocument/2006/relationships/hyperlink" Target="https://www.ibusiness.de/performance-ranking/performance_2024.html?sub=2" TargetMode="External"/><Relationship Id="rId1936" Type="http://schemas.openxmlformats.org/officeDocument/2006/relationships/hyperlink" Target="http://ibusiness.de" TargetMode="External"/><Relationship Id="rId1937" Type="http://schemas.openxmlformats.org/officeDocument/2006/relationships/hyperlink" Target="https://www.ibusiness.de/performance-ranking/performance_2025.html?sub=11" TargetMode="External"/><Relationship Id="rId1938" Type="http://schemas.openxmlformats.org/officeDocument/2006/relationships/hyperlink" Target="http://ibusiness.de" TargetMode="External"/><Relationship Id="rId1939" Type="http://schemas.openxmlformats.org/officeDocument/2006/relationships/hyperlink" Target="https://www.oneclub.org/awards/adcawards/-archive/agency/2024/38/all/all/276" TargetMode="External"/><Relationship Id="rId1920" Type="http://schemas.openxmlformats.org/officeDocument/2006/relationships/hyperlink" Target="http://google.com" TargetMode="External"/><Relationship Id="rId1921" Type="http://schemas.openxmlformats.org/officeDocument/2006/relationships/hyperlink" Target="https://www.sortlist.com/i/advertising/germany-de" TargetMode="External"/><Relationship Id="rId1922" Type="http://schemas.openxmlformats.org/officeDocument/2006/relationships/hyperlink" Target="http://sortlist.com" TargetMode="External"/><Relationship Id="rId1923" Type="http://schemas.openxmlformats.org/officeDocument/2006/relationships/hyperlink" Target="https://www.sortlist.de/s/performance-marketing/deutschland-de" TargetMode="External"/><Relationship Id="rId1924" Type="http://schemas.openxmlformats.org/officeDocument/2006/relationships/hyperlink" Target="http://sortlist.de" TargetMode="External"/><Relationship Id="rId1925" Type="http://schemas.openxmlformats.org/officeDocument/2006/relationships/hyperlink" Target="https://agencies.semrush.com/de/list/display-advertising/germany/" TargetMode="External"/><Relationship Id="rId1926" Type="http://schemas.openxmlformats.org/officeDocument/2006/relationships/hyperlink" Target="http://semrush.com" TargetMode="External"/><Relationship Id="rId1927" Type="http://schemas.openxmlformats.org/officeDocument/2006/relationships/hyperlink" Target="https://agencies.semrush.com/list/ai-optimization/germany/mid-business/" TargetMode="External"/><Relationship Id="rId1928" Type="http://schemas.openxmlformats.org/officeDocument/2006/relationships/hyperlink" Target="http://semrush.com" TargetMode="External"/><Relationship Id="rId1929" Type="http://schemas.openxmlformats.org/officeDocument/2006/relationships/hyperlink" Target="https://clutch.co/de/consulting/ai?page=1" TargetMode="External"/><Relationship Id="rId1950" Type="http://schemas.openxmlformats.org/officeDocument/2006/relationships/hyperlink" Target="https://www.goodfirms.co/directory/country/top-digital-marketing-companies/market-research/germany" TargetMode="External"/><Relationship Id="rId1951" Type="http://schemas.openxmlformats.org/officeDocument/2006/relationships/hyperlink" Target="http://goodfirms.co" TargetMode="External"/><Relationship Id="rId1952" Type="http://schemas.openxmlformats.org/officeDocument/2006/relationships/hyperlink" Target="https://www.ibusiness.de/performance-ranking/performance_2022" TargetMode="External"/><Relationship Id="rId1953" Type="http://schemas.openxmlformats.org/officeDocument/2006/relationships/hyperlink" Target="http://ibusiness.de" TargetMode="External"/><Relationship Id="rId1954" Type="http://schemas.openxmlformats.org/officeDocument/2006/relationships/hyperlink" Target="https://www.ibusiness.de/performance-ranking/performance_2025.html?sub=30" TargetMode="External"/><Relationship Id="rId1955" Type="http://schemas.openxmlformats.org/officeDocument/2006/relationships/hyperlink" Target="http://ibusiness.de" TargetMode="External"/><Relationship Id="rId1956" Type="http://schemas.openxmlformats.org/officeDocument/2006/relationships/hyperlink" Target="https://www.onetoone.de/performance-ranking/performance_2025.html?sub=11" TargetMode="External"/><Relationship Id="rId1957" Type="http://schemas.openxmlformats.org/officeDocument/2006/relationships/hyperlink" Target="http://onetoone.de" TargetMode="External"/><Relationship Id="rId1958" Type="http://schemas.openxmlformats.org/officeDocument/2006/relationships/hyperlink" Target="https://www.semrush.com/agencies/list/display-advertising/ecommerce/germany/" TargetMode="External"/><Relationship Id="rId1959" Type="http://schemas.openxmlformats.org/officeDocument/2006/relationships/hyperlink" Target="http://semrush.com" TargetMode="External"/><Relationship Id="rId1940" Type="http://schemas.openxmlformats.org/officeDocument/2006/relationships/hyperlink" Target="http://oneclub.org" TargetMode="External"/><Relationship Id="rId1941" Type="http://schemas.openxmlformats.org/officeDocument/2006/relationships/hyperlink" Target="https://www.sortlist.com/marketing-analytics" TargetMode="External"/><Relationship Id="rId1942" Type="http://schemas.openxmlformats.org/officeDocument/2006/relationships/hyperlink" Target="http://sortlist.com" TargetMode="External"/><Relationship Id="rId1943" Type="http://schemas.openxmlformats.org/officeDocument/2006/relationships/hyperlink" Target="https://www.sortlist.com/paid-media" TargetMode="External"/><Relationship Id="rId1944" Type="http://schemas.openxmlformats.org/officeDocument/2006/relationships/hyperlink" Target="http://sortlist.com" TargetMode="External"/><Relationship Id="rId1945" Type="http://schemas.openxmlformats.org/officeDocument/2006/relationships/hyperlink" Target="https://agencies.semrush.com/list/ai-optimization/germany/small-business/" TargetMode="External"/><Relationship Id="rId1946" Type="http://schemas.openxmlformats.org/officeDocument/2006/relationships/hyperlink" Target="http://semrush.com" TargetMode="External"/><Relationship Id="rId1947" Type="http://schemas.openxmlformats.org/officeDocument/2006/relationships/hyperlink" Target="https://enterprisemarketingportal.google/find-a-partner" TargetMode="External"/><Relationship Id="rId1948" Type="http://schemas.openxmlformats.org/officeDocument/2006/relationships/hyperlink" Target="https://feedbax.de/ki/deutschland" TargetMode="External"/><Relationship Id="rId1949" Type="http://schemas.openxmlformats.org/officeDocument/2006/relationships/hyperlink" Target="http://feedbax.de" TargetMode="External"/><Relationship Id="rId1576" Type="http://schemas.openxmlformats.org/officeDocument/2006/relationships/hyperlink" Target="https://digitalagencynetwork.com/agencies/london/creative/" TargetMode="External"/><Relationship Id="rId2423" Type="http://schemas.openxmlformats.org/officeDocument/2006/relationships/hyperlink" Target="https://www.onetoone.de/performance-ranking/performance_2023" TargetMode="External"/><Relationship Id="rId1577" Type="http://schemas.openxmlformats.org/officeDocument/2006/relationships/hyperlink" Target="http://digitalagencynetwork.com" TargetMode="External"/><Relationship Id="rId2424" Type="http://schemas.openxmlformats.org/officeDocument/2006/relationships/hyperlink" Target="http://onetoone.de" TargetMode="External"/><Relationship Id="rId1578" Type="http://schemas.openxmlformats.org/officeDocument/2006/relationships/hyperlink" Target="https://digitalagencynetwork.com/agency/ga-agency/" TargetMode="External"/><Relationship Id="rId2425" Type="http://schemas.openxmlformats.org/officeDocument/2006/relationships/hyperlink" Target="https://oski.site/blog/analytics-strategy-consulting-companies-germany/" TargetMode="External"/><Relationship Id="rId1579" Type="http://schemas.openxmlformats.org/officeDocument/2006/relationships/hyperlink" Target="http://digitalagencynetwork.com" TargetMode="External"/><Relationship Id="rId2426"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2427" Type="http://schemas.openxmlformats.org/officeDocument/2006/relationships/hyperlink" Target="http://withgoogle.com" TargetMode="External"/><Relationship Id="rId242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429" Type="http://schemas.openxmlformats.org/officeDocument/2006/relationships/hyperlink" Target="http://withgoogle.com" TargetMode="External"/><Relationship Id="rId509" Type="http://schemas.openxmlformats.org/officeDocument/2006/relationships/hyperlink" Target="https://digitalagencynetwork.com/agencies/san-diego/" TargetMode="External"/><Relationship Id="rId508" Type="http://schemas.openxmlformats.org/officeDocument/2006/relationships/hyperlink" Target="http://designrush.com" TargetMode="External"/><Relationship Id="rId503" Type="http://schemas.openxmlformats.org/officeDocument/2006/relationships/hyperlink" Target="https://www.designrush.com/agency/digital-marketing/digital-advertising/us" TargetMode="External"/><Relationship Id="rId987" Type="http://schemas.openxmlformats.org/officeDocument/2006/relationships/hyperlink" Target="https://www.bandt.com.au/bt-awards-agency-of-the-year-winners-2024/" TargetMode="External"/><Relationship Id="rId502" Type="http://schemas.openxmlformats.org/officeDocument/2006/relationships/hyperlink" Target="http://designrush.com" TargetMode="External"/><Relationship Id="rId986" Type="http://schemas.openxmlformats.org/officeDocument/2006/relationships/hyperlink" Target="http://bandt.com.au" TargetMode="External"/><Relationship Id="rId501" Type="http://schemas.openxmlformats.org/officeDocument/2006/relationships/hyperlink" Target="https://www.designrush.com/agency/ad-agencies/missouri/kansas-city" TargetMode="External"/><Relationship Id="rId985" Type="http://schemas.openxmlformats.org/officeDocument/2006/relationships/hyperlink" Target="https://www.bandt.com.au/agency-scorecard-in-marketing-we-trust/" TargetMode="External"/><Relationship Id="rId500" Type="http://schemas.openxmlformats.org/officeDocument/2006/relationships/hyperlink" Target="http://cometly.com" TargetMode="External"/><Relationship Id="rId984" Type="http://schemas.openxmlformats.org/officeDocument/2006/relationships/hyperlink" Target="http://semrush.com" TargetMode="External"/><Relationship Id="rId507" Type="http://schemas.openxmlformats.org/officeDocument/2006/relationships/hyperlink" Target="https://www.designrush.com/agency/paid-media-pay-per-click/trends/display-ads" TargetMode="External"/><Relationship Id="rId506" Type="http://schemas.openxmlformats.org/officeDocument/2006/relationships/hyperlink" Target="http://designrush.com" TargetMode="External"/><Relationship Id="rId505" Type="http://schemas.openxmlformats.org/officeDocument/2006/relationships/hyperlink" Target="https://www.designrush.com/agency/media-buying-agencies/us" TargetMode="External"/><Relationship Id="rId989" Type="http://schemas.openxmlformats.org/officeDocument/2006/relationships/hyperlink" Target="https://www.bandt.com.au/bts-ones-to-watch-creative-agencies/" TargetMode="External"/><Relationship Id="rId504" Type="http://schemas.openxmlformats.org/officeDocument/2006/relationships/hyperlink" Target="http://designrush.com" TargetMode="External"/><Relationship Id="rId988" Type="http://schemas.openxmlformats.org/officeDocument/2006/relationships/hyperlink" Target="http://bandt.com.au" TargetMode="External"/><Relationship Id="rId1570" Type="http://schemas.openxmlformats.org/officeDocument/2006/relationships/hyperlink" Target="https://www.designrush.com/agency/digital-marketing/analytics" TargetMode="External"/><Relationship Id="rId1571" Type="http://schemas.openxmlformats.org/officeDocument/2006/relationships/hyperlink" Target="http://designrush.com" TargetMode="External"/><Relationship Id="rId983" Type="http://schemas.openxmlformats.org/officeDocument/2006/relationships/hyperlink" Target="https://agencies.semrush.com/list/smm/australia/small-business/" TargetMode="External"/><Relationship Id="rId1572" Type="http://schemas.openxmlformats.org/officeDocument/2006/relationships/hyperlink" Target="https://www.designrush.com/agency/digital-marketing/integrated-marketing" TargetMode="External"/><Relationship Id="rId982" Type="http://schemas.openxmlformats.org/officeDocument/2006/relationships/hyperlink" Target="http://semrush.com" TargetMode="External"/><Relationship Id="rId1573" Type="http://schemas.openxmlformats.org/officeDocument/2006/relationships/hyperlink" Target="http://designrush.com" TargetMode="External"/><Relationship Id="rId2420" Type="http://schemas.openxmlformats.org/officeDocument/2006/relationships/hyperlink" Target="http://oneclub.org" TargetMode="External"/><Relationship Id="rId981" Type="http://schemas.openxmlformats.org/officeDocument/2006/relationships/hyperlink" Target="https://agencies.semrush.com/list/search-engine-marketing/australia/" TargetMode="External"/><Relationship Id="rId1574" Type="http://schemas.openxmlformats.org/officeDocument/2006/relationships/hyperlink" Target="https://www.designrush.com/agency/profile/the-good-marketer" TargetMode="External"/><Relationship Id="rId2421" Type="http://schemas.openxmlformats.org/officeDocument/2006/relationships/hyperlink" Target="https://www.onetoone.de/artikel/db/235291SUR.html" TargetMode="External"/><Relationship Id="rId980" Type="http://schemas.openxmlformats.org/officeDocument/2006/relationships/hyperlink" Target="http://semrush.com" TargetMode="External"/><Relationship Id="rId1575" Type="http://schemas.openxmlformats.org/officeDocument/2006/relationships/hyperlink" Target="http://designrush.com" TargetMode="External"/><Relationship Id="rId2422" Type="http://schemas.openxmlformats.org/officeDocument/2006/relationships/hyperlink" Target="http://onetoone.de" TargetMode="External"/><Relationship Id="rId1565" Type="http://schemas.openxmlformats.org/officeDocument/2006/relationships/hyperlink" Target="http://cometly.com" TargetMode="External"/><Relationship Id="rId2412" Type="http://schemas.openxmlformats.org/officeDocument/2006/relationships/hyperlink" Target="http://oneclub.org" TargetMode="External"/><Relationship Id="rId1566" Type="http://schemas.openxmlformats.org/officeDocument/2006/relationships/hyperlink" Target="https://www.comparisonshoppingpartners.withgoogle.com/find_a_partner/" TargetMode="External"/><Relationship Id="rId2413" Type="http://schemas.openxmlformats.org/officeDocument/2006/relationships/hyperlink" Target="https://www.oneclub.org/awards/rankings/-archive/agency/2025/all/all/2/276" TargetMode="External"/><Relationship Id="rId1567" Type="http://schemas.openxmlformats.org/officeDocument/2006/relationships/hyperlink" Target="http://withgoogle.com" TargetMode="External"/><Relationship Id="rId2414" Type="http://schemas.openxmlformats.org/officeDocument/2006/relationships/hyperlink" Target="http://oneclub.org" TargetMode="External"/><Relationship Id="rId1568" Type="http://schemas.openxmlformats.org/officeDocument/2006/relationships/hyperlink" Target="https://cw.semrush.com/agencies/list/analytics-data-science/united-kingdom" TargetMode="External"/><Relationship Id="rId2415" Type="http://schemas.openxmlformats.org/officeDocument/2006/relationships/hyperlink" Target="https://www.oneclub.org/awards/rankings/-archive/independantagency/2024/all/2/276" TargetMode="External"/><Relationship Id="rId1569" Type="http://schemas.openxmlformats.org/officeDocument/2006/relationships/hyperlink" Target="http://semrush.com" TargetMode="External"/><Relationship Id="rId2416" Type="http://schemas.openxmlformats.org/officeDocument/2006/relationships/hyperlink" Target="http://oneclub.org" TargetMode="External"/><Relationship Id="rId2417" Type="http://schemas.openxmlformats.org/officeDocument/2006/relationships/hyperlink" Target="https://www.oneclub.org/press/-adce2024-rankings" TargetMode="External"/><Relationship Id="rId2418" Type="http://schemas.openxmlformats.org/officeDocument/2006/relationships/hyperlink" Target="http://oneclub.org" TargetMode="External"/><Relationship Id="rId2419" Type="http://schemas.openxmlformats.org/officeDocument/2006/relationships/hyperlink" Target="https://www.oneclub.org/press/-toc-2025-global-rankings" TargetMode="External"/><Relationship Id="rId976" Type="http://schemas.openxmlformats.org/officeDocument/2006/relationships/hyperlink" Target="http://semrush.com" TargetMode="External"/><Relationship Id="rId975" Type="http://schemas.openxmlformats.org/officeDocument/2006/relationships/hyperlink" Target="https://agencies.semrush.com/list/programmatic-advertising/australia/small-business/" TargetMode="External"/><Relationship Id="rId974" Type="http://schemas.openxmlformats.org/officeDocument/2006/relationships/hyperlink" Target="http://semrush.com" TargetMode="External"/><Relationship Id="rId973" Type="http://schemas.openxmlformats.org/officeDocument/2006/relationships/hyperlink" Target="https://agencies.semrush.com/list/programmatic-advertising/australia/mid-business/" TargetMode="External"/><Relationship Id="rId979" Type="http://schemas.openxmlformats.org/officeDocument/2006/relationships/hyperlink" Target="https://agencies.semrush.com/list/programmatic-advertising/sydney/" TargetMode="External"/><Relationship Id="rId978" Type="http://schemas.openxmlformats.org/officeDocument/2006/relationships/hyperlink" Target="http://semrush.com" TargetMode="External"/><Relationship Id="rId977" Type="http://schemas.openxmlformats.org/officeDocument/2006/relationships/hyperlink" Target="https://agencies.semrush.com/list/programmatic-advertising/ecommerce/australia/" TargetMode="External"/><Relationship Id="rId1560" Type="http://schemas.openxmlformats.org/officeDocument/2006/relationships/hyperlink" Target="https://www.cometly.com/post/marketing-measurement-and-attribution" TargetMode="External"/><Relationship Id="rId972" Type="http://schemas.openxmlformats.org/officeDocument/2006/relationships/hyperlink" Target="http://semrush.com" TargetMode="External"/><Relationship Id="rId1561" Type="http://schemas.openxmlformats.org/officeDocument/2006/relationships/hyperlink" Target="http://cometly.com" TargetMode="External"/><Relationship Id="rId971" Type="http://schemas.openxmlformats.org/officeDocument/2006/relationships/hyperlink" Target="https://agencies.semrush.com/list/ppc/melbourne/" TargetMode="External"/><Relationship Id="rId1562" Type="http://schemas.openxmlformats.org/officeDocument/2006/relationships/hyperlink" Target="https://www.cometly.com/post/media-buying-optimization-tool" TargetMode="External"/><Relationship Id="rId970" Type="http://schemas.openxmlformats.org/officeDocument/2006/relationships/hyperlink" Target="http://semrush.com" TargetMode="External"/><Relationship Id="rId1563" Type="http://schemas.openxmlformats.org/officeDocument/2006/relationships/hyperlink" Target="http://cometly.com" TargetMode="External"/><Relationship Id="rId2410" Type="http://schemas.openxmlformats.org/officeDocument/2006/relationships/hyperlink" Target="http://oneclub.org" TargetMode="External"/><Relationship Id="rId1564" Type="http://schemas.openxmlformats.org/officeDocument/2006/relationships/hyperlink" Target="https://www.cometly.com/post/tools-for-marketing-analytics" TargetMode="External"/><Relationship Id="rId2411" Type="http://schemas.openxmlformats.org/officeDocument/2006/relationships/hyperlink" Target="https://www.oneclub.org/awards/adceurope/-archive/agency/2024/251/all/all/276" TargetMode="External"/><Relationship Id="rId1114" Type="http://schemas.openxmlformats.org/officeDocument/2006/relationships/hyperlink" Target="http://google.com" TargetMode="External"/><Relationship Id="rId1598" Type="http://schemas.openxmlformats.org/officeDocument/2006/relationships/hyperlink" Target="http://goodfirms.co" TargetMode="External"/><Relationship Id="rId2445" Type="http://schemas.openxmlformats.org/officeDocument/2006/relationships/hyperlink" Target="http://sortlist.com" TargetMode="External"/><Relationship Id="rId1115" Type="http://schemas.openxmlformats.org/officeDocument/2006/relationships/hyperlink" Target="https://www.google.com/searchviewer/10?svid=CAwSHRIbCgNwdnESFENnMHZaeTh4TVhNM2VYZzJNV2hxGAo" TargetMode="External"/><Relationship Id="rId1599" Type="http://schemas.openxmlformats.org/officeDocument/2006/relationships/hyperlink" Target="https://www.goodfirms.co/directory/city/top-digital-marketing-companies/advertising-ppc/london?sort_by=reviews" TargetMode="External"/><Relationship Id="rId2446" Type="http://schemas.openxmlformats.org/officeDocument/2006/relationships/hyperlink" Target="https://www.sortlist.com/s/brand-experience/germany-de" TargetMode="External"/><Relationship Id="rId1116" Type="http://schemas.openxmlformats.org/officeDocument/2006/relationships/hyperlink" Target="http://google.com" TargetMode="External"/><Relationship Id="rId2447" Type="http://schemas.openxmlformats.org/officeDocument/2006/relationships/hyperlink" Target="http://sortlist.com" TargetMode="External"/><Relationship Id="rId1117" Type="http://schemas.openxmlformats.org/officeDocument/2006/relationships/hyperlink" Target="https://www.google.com/searchviewer/10?svid=CAwSHRIbCgNwdnESFENnMHZaeTh4TVhRMWJIbDZObUl4GAo" TargetMode="External"/><Relationship Id="rId2448" Type="http://schemas.openxmlformats.org/officeDocument/2006/relationships/hyperlink" Target="https://www.sortlist.com/s/data-driven-marketing/berlin-de" TargetMode="External"/><Relationship Id="rId1118" Type="http://schemas.openxmlformats.org/officeDocument/2006/relationships/hyperlink" Target="http://google.com" TargetMode="External"/><Relationship Id="rId2449" Type="http://schemas.openxmlformats.org/officeDocument/2006/relationships/hyperlink" Target="http://sortlist.com" TargetMode="External"/><Relationship Id="rId1119" Type="http://schemas.openxmlformats.org/officeDocument/2006/relationships/hyperlink" Target="https://www.google.com/searchviewer/10?svid=CAwSHRIbCgNwdnESFENnMHZaeTh4TVhReU9UbDBiR28wGAo" TargetMode="External"/><Relationship Id="rId525" Type="http://schemas.openxmlformats.org/officeDocument/2006/relationships/hyperlink" Target="http://goodfirms.co" TargetMode="External"/><Relationship Id="rId524" Type="http://schemas.openxmlformats.org/officeDocument/2006/relationships/hyperlink" Target="https://www.goodfirms.co/advertising-companies/creative/usa?page=6" TargetMode="External"/><Relationship Id="rId523" Type="http://schemas.openxmlformats.org/officeDocument/2006/relationships/hyperlink" Target="http://goodfirms.co" TargetMode="External"/><Relationship Id="rId522" Type="http://schemas.openxmlformats.org/officeDocument/2006/relationships/hyperlink" Target="https://www.goodfirms.co/advertising-companies/creative/usa?page=12" TargetMode="External"/><Relationship Id="rId529" Type="http://schemas.openxmlformats.org/officeDocument/2006/relationships/hyperlink" Target="http://goodfirms.co" TargetMode="External"/><Relationship Id="rId528" Type="http://schemas.openxmlformats.org/officeDocument/2006/relationships/hyperlink" Target="https://www.goodfirms.co/advertising-companies/usa" TargetMode="External"/><Relationship Id="rId527" Type="http://schemas.openxmlformats.org/officeDocument/2006/relationships/hyperlink" Target="http://goodfirms.co" TargetMode="External"/><Relationship Id="rId526" Type="http://schemas.openxmlformats.org/officeDocument/2006/relationships/hyperlink" Target="https://www.goodfirms.co/advertising-companies/creative?sort_by=rating" TargetMode="External"/><Relationship Id="rId1590" Type="http://schemas.openxmlformats.org/officeDocument/2006/relationships/hyperlink" Target="http://gartner.com" TargetMode="External"/><Relationship Id="rId1591" Type="http://schemas.openxmlformats.org/officeDocument/2006/relationships/hyperlink" Target="https://www.gartner.com/reviews/product/r-ga-global-digital-marketing-services/alternatives" TargetMode="External"/><Relationship Id="rId1592" Type="http://schemas.openxmlformats.org/officeDocument/2006/relationships/hyperlink" Target="http://gartner.com" TargetMode="External"/><Relationship Id="rId1593" Type="http://schemas.openxmlformats.org/officeDocument/2006/relationships/hyperlink" Target="https://www.goodfirms.co/advertising-companies/creative" TargetMode="External"/><Relationship Id="rId2440" Type="http://schemas.openxmlformats.org/officeDocument/2006/relationships/hyperlink" Target="https://www.sortlist.com/media-planning" TargetMode="External"/><Relationship Id="rId521" Type="http://schemas.openxmlformats.org/officeDocument/2006/relationships/hyperlink" Target="http://gartner.com" TargetMode="External"/><Relationship Id="rId1110" Type="http://schemas.openxmlformats.org/officeDocument/2006/relationships/hyperlink" Target="http://google.com" TargetMode="External"/><Relationship Id="rId1594" Type="http://schemas.openxmlformats.org/officeDocument/2006/relationships/hyperlink" Target="http://goodfirms.co" TargetMode="External"/><Relationship Id="rId2441" Type="http://schemas.openxmlformats.org/officeDocument/2006/relationships/hyperlink" Target="http://sortlist.com" TargetMode="External"/><Relationship Id="rId520" Type="http://schemas.openxmlformats.org/officeDocument/2006/relationships/hyperlink" Target="https://www.gartner.com/reviews/product/ogilvy-global-digital-marketing-agencies" TargetMode="External"/><Relationship Id="rId1111" Type="http://schemas.openxmlformats.org/officeDocument/2006/relationships/hyperlink" Target="https://www.google.com/searchviewer/10?svid=CAwSHRIbCgNwdnESFENnMHZaeTh4TVdwek1UUmpaR3A0GAo" TargetMode="External"/><Relationship Id="rId1595" Type="http://schemas.openxmlformats.org/officeDocument/2006/relationships/hyperlink" Target="https://www.goodfirms.co/advertising-companies/creative/uk?sort_by=reviews" TargetMode="External"/><Relationship Id="rId2442" Type="http://schemas.openxmlformats.org/officeDocument/2006/relationships/hyperlink" Target="https://www.sortlist.com/s/ai-agents/germany-de" TargetMode="External"/><Relationship Id="rId1112" Type="http://schemas.openxmlformats.org/officeDocument/2006/relationships/hyperlink" Target="http://google.com" TargetMode="External"/><Relationship Id="rId1596" Type="http://schemas.openxmlformats.org/officeDocument/2006/relationships/hyperlink" Target="http://goodfirms.co" TargetMode="External"/><Relationship Id="rId2443" Type="http://schemas.openxmlformats.org/officeDocument/2006/relationships/hyperlink" Target="http://sortlist.com" TargetMode="External"/><Relationship Id="rId1113" Type="http://schemas.openxmlformats.org/officeDocument/2006/relationships/hyperlink" Target="https://www.google.com/searchviewer/10?svid=CAwSHRIbCgNwdnESFENnMHZaeTh4TVhKbllucG9jVE56GAo" TargetMode="External"/><Relationship Id="rId1597" Type="http://schemas.openxmlformats.org/officeDocument/2006/relationships/hyperlink" Target="https://www.goodfirms.co/advertising-companies/programmatic" TargetMode="External"/><Relationship Id="rId2444" Type="http://schemas.openxmlformats.org/officeDocument/2006/relationships/hyperlink" Target="https://www.sortlist.com/s/artificial-intelligence/hamburg-de" TargetMode="External"/><Relationship Id="rId1103" Type="http://schemas.openxmlformats.org/officeDocument/2006/relationships/hyperlink" Target="https://www.google.com/searchviewer/10?svid=CAwSHRIbCgNwdnESFENnMHZaeTh4TVdnd1lqbGtPVGhrGAo" TargetMode="External"/><Relationship Id="rId1587" Type="http://schemas.openxmlformats.org/officeDocument/2006/relationships/hyperlink" Target="https://www.gartner.com/reviews/market/global-digital-marketing-agencies/vendor/r-ga/product/r-ga-global-digital-marketing-services/alternatives" TargetMode="External"/><Relationship Id="rId2434" Type="http://schemas.openxmlformats.org/officeDocument/2006/relationships/hyperlink" Target="https://www.sortlist.com/i/s/big-data-analytics/germany-de" TargetMode="External"/><Relationship Id="rId1104" Type="http://schemas.openxmlformats.org/officeDocument/2006/relationships/hyperlink" Target="http://google.com" TargetMode="External"/><Relationship Id="rId1588" Type="http://schemas.openxmlformats.org/officeDocument/2006/relationships/hyperlink" Target="http://gartner.com" TargetMode="External"/><Relationship Id="rId2435" Type="http://schemas.openxmlformats.org/officeDocument/2006/relationships/hyperlink" Target="http://sortlist.com" TargetMode="External"/><Relationship Id="rId1105" Type="http://schemas.openxmlformats.org/officeDocument/2006/relationships/hyperlink" Target="https://www.google.com/searchviewer/10?svid=CAwSHRIbCgNwdnESFENnMHZaeTh4TVdneWEyMXlaR2RyGAo" TargetMode="External"/><Relationship Id="rId1589" Type="http://schemas.openxmlformats.org/officeDocument/2006/relationships/hyperlink" Target="https://www.gartner.com/reviews/market/global-digital-marketing-agencies/vendor/r-ga/product/r-ga-global-digital-marketing-services?marketSeoName=global-digital-marketing-agencies&amp;productSeoName=r-ga-global-digital-marketing-services&amp;vendorSeoName=r-ga" TargetMode="External"/><Relationship Id="rId2436" Type="http://schemas.openxmlformats.org/officeDocument/2006/relationships/hyperlink" Target="https://www.sortlist.com/i/s/linkedin-advertising/germany-de" TargetMode="External"/><Relationship Id="rId1106" Type="http://schemas.openxmlformats.org/officeDocument/2006/relationships/hyperlink" Target="http://google.com" TargetMode="External"/><Relationship Id="rId2437" Type="http://schemas.openxmlformats.org/officeDocument/2006/relationships/hyperlink" Target="http://sortlist.com" TargetMode="External"/><Relationship Id="rId1107" Type="http://schemas.openxmlformats.org/officeDocument/2006/relationships/hyperlink" Target="https://www.google.com/searchviewer/10?svid=CAwSHRIbCgNwdnESFENnMHZaeTh4TVdneWNXMXpOblEyGAo" TargetMode="External"/><Relationship Id="rId2438" Type="http://schemas.openxmlformats.org/officeDocument/2006/relationships/hyperlink" Target="https://www.sortlist.com/i/s/ppc-marketing/germany-de" TargetMode="External"/><Relationship Id="rId1108" Type="http://schemas.openxmlformats.org/officeDocument/2006/relationships/hyperlink" Target="http://google.com" TargetMode="External"/><Relationship Id="rId2439" Type="http://schemas.openxmlformats.org/officeDocument/2006/relationships/hyperlink" Target="http://sortlist.com" TargetMode="External"/><Relationship Id="rId1109" Type="http://schemas.openxmlformats.org/officeDocument/2006/relationships/hyperlink" Target="https://www.google.com/searchviewer/10?svid=CAwSHRIbCgNwdnESFENnMHZaeTh4TVdoa2N6TnFkbDgwGAo" TargetMode="External"/><Relationship Id="rId519" Type="http://schemas.openxmlformats.org/officeDocument/2006/relationships/hyperlink" Target="https://enterprisemarketingportal.google/find-a-partner/adswerve-us" TargetMode="External"/><Relationship Id="rId514" Type="http://schemas.openxmlformats.org/officeDocument/2006/relationships/hyperlink" Target="http://digitalagencynetwork.com" TargetMode="External"/><Relationship Id="rId998" Type="http://schemas.openxmlformats.org/officeDocument/2006/relationships/hyperlink" Target="http://bandt.com.au" TargetMode="External"/><Relationship Id="rId513" Type="http://schemas.openxmlformats.org/officeDocument/2006/relationships/hyperlink" Target="https://digitalagencynetwork.com/agency/seer-interactive/" TargetMode="External"/><Relationship Id="rId997" Type="http://schemas.openxmlformats.org/officeDocument/2006/relationships/hyperlink" Target="https://www.bandt.com.au/match-wood-bts-agency-scorecard-2026/" TargetMode="External"/><Relationship Id="rId512" Type="http://schemas.openxmlformats.org/officeDocument/2006/relationships/hyperlink" Target="http://digitalagencynetwork.com" TargetMode="External"/><Relationship Id="rId996" Type="http://schemas.openxmlformats.org/officeDocument/2006/relationships/hyperlink" Target="http://bandt.com.au" TargetMode="External"/><Relationship Id="rId511" Type="http://schemas.openxmlformats.org/officeDocument/2006/relationships/hyperlink" Target="https://digitalagencynetwork.com/agencies/usa/industry/travel-tourism/" TargetMode="External"/><Relationship Id="rId995" Type="http://schemas.openxmlformats.org/officeDocument/2006/relationships/hyperlink" Target="https://www.bandt.com.au/impressive-elevates-sam-makwana-to-gm-amid-slew-of-promotions/" TargetMode="External"/><Relationship Id="rId518" Type="http://schemas.openxmlformats.org/officeDocument/2006/relationships/hyperlink" Target="http://digitalagencynetwork.com" TargetMode="External"/><Relationship Id="rId517" Type="http://schemas.openxmlformats.org/officeDocument/2006/relationships/hyperlink" Target="https://digitalagencynetwork.com/geo-agency/" TargetMode="External"/><Relationship Id="rId516" Type="http://schemas.openxmlformats.org/officeDocument/2006/relationships/hyperlink" Target="http://digitalagencynetwork.com" TargetMode="External"/><Relationship Id="rId515" Type="http://schemas.openxmlformats.org/officeDocument/2006/relationships/hyperlink" Target="https://digitalagencynetwork.com/agency/webfx/" TargetMode="External"/><Relationship Id="rId999" Type="http://schemas.openxmlformats.org/officeDocument/2006/relationships/hyperlink" Target="https://www.bandt.com.au/meet-gain-theory-wpps-marketing-effectiveness-arm-targeting-australia-for-growth/" TargetMode="External"/><Relationship Id="rId990" Type="http://schemas.openxmlformats.org/officeDocument/2006/relationships/hyperlink" Target="http://bandt.com.au" TargetMode="External"/><Relationship Id="rId1580" Type="http://schemas.openxmlformats.org/officeDocument/2006/relationships/hyperlink" Target="https://digitalagencynetwork.com/agency/jaywing/" TargetMode="External"/><Relationship Id="rId1581" Type="http://schemas.openxmlformats.org/officeDocument/2006/relationships/hyperlink" Target="http://digitalagencynetwork.com" TargetMode="External"/><Relationship Id="rId1582" Type="http://schemas.openxmlformats.org/officeDocument/2006/relationships/hyperlink" Target="https://digitalagencynetwork.com/geo-agency/" TargetMode="External"/><Relationship Id="rId510" Type="http://schemas.openxmlformats.org/officeDocument/2006/relationships/hyperlink" Target="http://digitalagencynetwork.com" TargetMode="External"/><Relationship Id="rId994" Type="http://schemas.openxmlformats.org/officeDocument/2006/relationships/hyperlink" Target="http://bandt.com.au" TargetMode="External"/><Relationship Id="rId1583" Type="http://schemas.openxmlformats.org/officeDocument/2006/relationships/hyperlink" Target="http://digitalagencynetwork.com" TargetMode="External"/><Relationship Id="rId2430" Type="http://schemas.openxmlformats.org/officeDocument/2006/relationships/hyperlink" Target="https://www.sortlist.com/de/ai-marketing" TargetMode="External"/><Relationship Id="rId993" Type="http://schemas.openxmlformats.org/officeDocument/2006/relationships/hyperlink" Target="https://www.bandt.com.au/iab-australia-releases-landscape-report-to-guide-marketers-through-mmm-implementation/" TargetMode="External"/><Relationship Id="rId1100" Type="http://schemas.openxmlformats.org/officeDocument/2006/relationships/hyperlink" Target="http://google.com" TargetMode="External"/><Relationship Id="rId1584" Type="http://schemas.openxmlformats.org/officeDocument/2006/relationships/hyperlink" Target="https://enterprisemarketingportal.google/find-a-partner" TargetMode="External"/><Relationship Id="rId2431" Type="http://schemas.openxmlformats.org/officeDocument/2006/relationships/hyperlink" Target="http://sortlist.com" TargetMode="External"/><Relationship Id="rId992" Type="http://schemas.openxmlformats.org/officeDocument/2006/relationships/hyperlink" Target="http://bandt.com.au" TargetMode="External"/><Relationship Id="rId1101" Type="http://schemas.openxmlformats.org/officeDocument/2006/relationships/hyperlink" Target="https://www.google.com/searchviewer/10?svid=CAwSHRIbCgNwdnESFENnMHZaeTh4TVdnME5uTXllalZ4GAo" TargetMode="External"/><Relationship Id="rId1585" Type="http://schemas.openxmlformats.org/officeDocument/2006/relationships/hyperlink" Target="https://www.gartner.com/reviews/market/global-digital-marketing-agencies" TargetMode="External"/><Relationship Id="rId2432" Type="http://schemas.openxmlformats.org/officeDocument/2006/relationships/hyperlink" Target="https://www.sortlist.com/i/branding/germany-de" TargetMode="External"/><Relationship Id="rId991" Type="http://schemas.openxmlformats.org/officeDocument/2006/relationships/hyperlink" Target="https://www.bandt.com.au/droga5-bts-agency-scorecard-2026/" TargetMode="External"/><Relationship Id="rId1102" Type="http://schemas.openxmlformats.org/officeDocument/2006/relationships/hyperlink" Target="http://google.com" TargetMode="External"/><Relationship Id="rId1586" Type="http://schemas.openxmlformats.org/officeDocument/2006/relationships/hyperlink" Target="http://gartner.com" TargetMode="External"/><Relationship Id="rId2433" Type="http://schemas.openxmlformats.org/officeDocument/2006/relationships/hyperlink" Target="http://sortlist.com" TargetMode="External"/><Relationship Id="rId1532" Type="http://schemas.openxmlformats.org/officeDocument/2006/relationships/hyperlink" Target="https://clutch.co/agencies/programmatic/uk/england/london" TargetMode="External"/><Relationship Id="rId1533" Type="http://schemas.openxmlformats.org/officeDocument/2006/relationships/hyperlink" Target="http://clutch.co" TargetMode="External"/><Relationship Id="rId1534" Type="http://schemas.openxmlformats.org/officeDocument/2006/relationships/hyperlink" Target="https://clutch.co/agencies/programmatic/uk/england/manchester" TargetMode="External"/><Relationship Id="rId1535" Type="http://schemas.openxmlformats.org/officeDocument/2006/relationships/hyperlink" Target="http://clutch.co" TargetMode="External"/><Relationship Id="rId1536" Type="http://schemas.openxmlformats.org/officeDocument/2006/relationships/hyperlink" Target="https://clutch.co/agencies/programmatic/uk?page=2" TargetMode="External"/><Relationship Id="rId1537" Type="http://schemas.openxmlformats.org/officeDocument/2006/relationships/hyperlink" Target="http://clutch.co" TargetMode="External"/><Relationship Id="rId1538" Type="http://schemas.openxmlformats.org/officeDocument/2006/relationships/hyperlink" Target="https://clutch.co/agencies/social-media-marketing/tik-tok/uk" TargetMode="External"/><Relationship Id="rId1539" Type="http://schemas.openxmlformats.org/officeDocument/2006/relationships/hyperlink" Target="http://clutch.co" TargetMode="External"/><Relationship Id="rId949" Type="http://schemas.openxmlformats.org/officeDocument/2006/relationships/hyperlink" Target="https://www.10seos.com/au/display-advertising-companies-in-melbourne-australia" TargetMode="External"/><Relationship Id="rId948" Type="http://schemas.openxmlformats.org/officeDocument/2006/relationships/hyperlink" Target="http://10seos.com" TargetMode="External"/><Relationship Id="rId943" Type="http://schemas.openxmlformats.org/officeDocument/2006/relationships/hyperlink" Target="https://www.theaustralian.com.au/business/leadership/abused-and-misunderstood-why-this-ceo-offers-her-staff-autism-and-adhd-tests/news-story/c3157f767ce6b443baee0e882fc89559" TargetMode="External"/><Relationship Id="rId942" Type="http://schemas.openxmlformats.org/officeDocument/2006/relationships/hyperlink" Target="http://theaustralian.com.au" TargetMode="External"/><Relationship Id="rId941" Type="http://schemas.openxmlformats.org/officeDocument/2006/relationships/hyperlink" Target="https://www.theaustralian.com.au/business/growth-agenda/us-tech-challenger-tackles-marketings-big-attribution-problem/news-story/fdf53a9daba98edcceb53edf3adc1ea5" TargetMode="External"/><Relationship Id="rId940" Type="http://schemas.openxmlformats.org/officeDocument/2006/relationships/hyperlink" Target="http://theaustralian.com.au" TargetMode="External"/><Relationship Id="rId947" Type="http://schemas.openxmlformats.org/officeDocument/2006/relationships/hyperlink" Target="https://www.10seos.com/au/display-advertising-companies-in-australia?page=16" TargetMode="External"/><Relationship Id="rId946" Type="http://schemas.openxmlformats.org/officeDocument/2006/relationships/hyperlink" Target="http://themanifest.com" TargetMode="External"/><Relationship Id="rId945" Type="http://schemas.openxmlformats.org/officeDocument/2006/relationships/hyperlink" Target="https://themanifest.com/au/social-media/tiktok/agencies" TargetMode="External"/><Relationship Id="rId944" Type="http://schemas.openxmlformats.org/officeDocument/2006/relationships/hyperlink" Target="http://theaustralian.com.au" TargetMode="External"/><Relationship Id="rId1530" Type="http://schemas.openxmlformats.org/officeDocument/2006/relationships/hyperlink" Target="https://clutch.co/agencies/ppc/uk/england/nottingham" TargetMode="External"/><Relationship Id="rId1531" Type="http://schemas.openxmlformats.org/officeDocument/2006/relationships/hyperlink" Target="http://clutch.co" TargetMode="External"/><Relationship Id="rId1521" Type="http://schemas.openxmlformats.org/officeDocument/2006/relationships/hyperlink" Target="http://clutch.co" TargetMode="External"/><Relationship Id="rId1522" Type="http://schemas.openxmlformats.org/officeDocument/2006/relationships/hyperlink" Target="https://clutch.co/agencies/digital-marketing/enterprise/uk/england/london" TargetMode="External"/><Relationship Id="rId1523" Type="http://schemas.openxmlformats.org/officeDocument/2006/relationships/hyperlink" Target="http://clutch.co" TargetMode="External"/><Relationship Id="rId1524" Type="http://schemas.openxmlformats.org/officeDocument/2006/relationships/hyperlink" Target="https://clutch.co/agencies/market-research/uk" TargetMode="External"/><Relationship Id="rId1525" Type="http://schemas.openxmlformats.org/officeDocument/2006/relationships/hyperlink" Target="http://clutch.co" TargetMode="External"/><Relationship Id="rId1526" Type="http://schemas.openxmlformats.org/officeDocument/2006/relationships/hyperlink" Target="https://clutch.co/agencies/performance-marketing%3Fpage%3D0" TargetMode="External"/><Relationship Id="rId1527" Type="http://schemas.openxmlformats.org/officeDocument/2006/relationships/hyperlink" Target="http://clutch.co" TargetMode="External"/><Relationship Id="rId1528" Type="http://schemas.openxmlformats.org/officeDocument/2006/relationships/hyperlink" Target="https://clutch.co/agencies/ppc/display%3Fpage%3D0" TargetMode="External"/><Relationship Id="rId1529" Type="http://schemas.openxmlformats.org/officeDocument/2006/relationships/hyperlink" Target="http://clutch.co" TargetMode="External"/><Relationship Id="rId939" Type="http://schemas.openxmlformats.org/officeDocument/2006/relationships/hyperlink" Target="https://www.theaustralian.com.au/business/growth-agenda/accenture-song-targets-media-agencies-in-move-to-full-service-agency/news-story/375b942d4fa210237d0f10a227265b8f" TargetMode="External"/><Relationship Id="rId938" Type="http://schemas.openxmlformats.org/officeDocument/2006/relationships/hyperlink" Target="http://theaustralian.com.au" TargetMode="External"/><Relationship Id="rId937" Type="http://schemas.openxmlformats.org/officeDocument/2006/relationships/hyperlink" Target="https://www.theaustralian.com.au/business/growth-agenda/a-special-decade-as-independent-creative-agency-celebrates-milestone/news-story/3ff6c415d05d580c07433ced667fdd66" TargetMode="External"/><Relationship Id="rId932" Type="http://schemas.openxmlformats.org/officeDocument/2006/relationships/hyperlink" Target="http://sortlist.com" TargetMode="External"/><Relationship Id="rId931" Type="http://schemas.openxmlformats.org/officeDocument/2006/relationships/hyperlink" Target="https://www.sortlist.com/s/sm-analytics/australia-au" TargetMode="External"/><Relationship Id="rId930" Type="http://schemas.openxmlformats.org/officeDocument/2006/relationships/hyperlink" Target="http://sortlist.com" TargetMode="External"/><Relationship Id="rId936" Type="http://schemas.openxmlformats.org/officeDocument/2006/relationships/hyperlink" Target="http://google.com" TargetMode="External"/><Relationship Id="rId935" Type="http://schemas.openxmlformats.org/officeDocument/2006/relationships/hyperlink" Target="https://support.google.com/tagmanager/answer/7237700?hl=en-AU" TargetMode="External"/><Relationship Id="rId934" Type="http://schemas.openxmlformats.org/officeDocument/2006/relationships/hyperlink" Target="http://sortlist.com" TargetMode="External"/><Relationship Id="rId933" Type="http://schemas.openxmlformats.org/officeDocument/2006/relationships/hyperlink" Target="https://www.sortlist.com/web-analytics/melbourne-au" TargetMode="External"/><Relationship Id="rId1520" Type="http://schemas.openxmlformats.org/officeDocument/2006/relationships/hyperlink" Target="https://clutch.co/agencies/digital-marketing" TargetMode="External"/><Relationship Id="rId1554" Type="http://schemas.openxmlformats.org/officeDocument/2006/relationships/hyperlink" Target="https://www.cometly.com/post/first-party-data-tracking-solutions" TargetMode="External"/><Relationship Id="rId2401" Type="http://schemas.openxmlformats.org/officeDocument/2006/relationships/hyperlink" Target="https://www.neuhandeln.de/internetagentur-ranking/ranking_2025.html" TargetMode="External"/><Relationship Id="rId1555" Type="http://schemas.openxmlformats.org/officeDocument/2006/relationships/hyperlink" Target="http://cometly.com" TargetMode="External"/><Relationship Id="rId2402" Type="http://schemas.openxmlformats.org/officeDocument/2006/relationships/hyperlink" Target="http://neuhandeln.de" TargetMode="External"/><Relationship Id="rId1556" Type="http://schemas.openxmlformats.org/officeDocument/2006/relationships/hyperlink" Target="https://www.cometly.com/post/incrementality-testing-software" TargetMode="External"/><Relationship Id="rId2403" Type="http://schemas.openxmlformats.org/officeDocument/2006/relationships/hyperlink" Target="https://www.neuhandeln.de/performance-ranking/performance_2021" TargetMode="External"/><Relationship Id="rId1557" Type="http://schemas.openxmlformats.org/officeDocument/2006/relationships/hyperlink" Target="http://cometly.com" TargetMode="External"/><Relationship Id="rId2404" Type="http://schemas.openxmlformats.org/officeDocument/2006/relationships/hyperlink" Target="http://neuhandeln.de" TargetMode="External"/><Relationship Id="rId1558" Type="http://schemas.openxmlformats.org/officeDocument/2006/relationships/hyperlink" Target="https://www.cometly.com/post/marketing-attribution-platforms-for-agencies" TargetMode="External"/><Relationship Id="rId2405" Type="http://schemas.openxmlformats.org/officeDocument/2006/relationships/hyperlink" Target="https://www.neuhandeln.de/performance-ranking/performance_2022.html" TargetMode="External"/><Relationship Id="rId1559" Type="http://schemas.openxmlformats.org/officeDocument/2006/relationships/hyperlink" Target="http://cometly.com" TargetMode="External"/><Relationship Id="rId2406" Type="http://schemas.openxmlformats.org/officeDocument/2006/relationships/hyperlink" Target="http://neuhandeln.de" TargetMode="External"/><Relationship Id="rId2407" Type="http://schemas.openxmlformats.org/officeDocument/2006/relationships/hyperlink" Target="https://www.neuhandeln.de/performance-ranking/performance_2024.html?sub=18" TargetMode="External"/><Relationship Id="rId2408" Type="http://schemas.openxmlformats.org/officeDocument/2006/relationships/hyperlink" Target="http://neuhandeln.de" TargetMode="External"/><Relationship Id="rId2409" Type="http://schemas.openxmlformats.org/officeDocument/2006/relationships/hyperlink" Target="https://www.oneclub.org/awards/adceurope/-archive/agency/2024/247/all/all/276" TargetMode="External"/><Relationship Id="rId965" Type="http://schemas.openxmlformats.org/officeDocument/2006/relationships/hyperlink" Target="https://agencies.semrush.com/list/enterprise-business/australia/" TargetMode="External"/><Relationship Id="rId964" Type="http://schemas.openxmlformats.org/officeDocument/2006/relationships/hyperlink" Target="http://semrush.com" TargetMode="External"/><Relationship Id="rId963" Type="http://schemas.openxmlformats.org/officeDocument/2006/relationships/hyperlink" Target="https://agencies.semrush.com/list/display-advertising/canberra/" TargetMode="External"/><Relationship Id="rId962" Type="http://schemas.openxmlformats.org/officeDocument/2006/relationships/hyperlink" Target="http://semrush.com" TargetMode="External"/><Relationship Id="rId969" Type="http://schemas.openxmlformats.org/officeDocument/2006/relationships/hyperlink" Target="https://agencies.semrush.com/list/ppc/brisbane/" TargetMode="External"/><Relationship Id="rId968" Type="http://schemas.openxmlformats.org/officeDocument/2006/relationships/hyperlink" Target="http://semrush.com" TargetMode="External"/><Relationship Id="rId967" Type="http://schemas.openxmlformats.org/officeDocument/2006/relationships/hyperlink" Target="https://agencies.semrush.com/list/market-analysis/australia/" TargetMode="External"/><Relationship Id="rId966" Type="http://schemas.openxmlformats.org/officeDocument/2006/relationships/hyperlink" Target="http://semrush.com" TargetMode="External"/><Relationship Id="rId961" Type="http://schemas.openxmlformats.org/officeDocument/2006/relationships/hyperlink" Target="https://agencies.semrush.com/list/display-advertising/business-professional-services/australia/" TargetMode="External"/><Relationship Id="rId1550" Type="http://schemas.openxmlformats.org/officeDocument/2006/relationships/hyperlink" Target="https://www.cometly.com/post/attribution-platforms-for-agencies" TargetMode="External"/><Relationship Id="rId960" Type="http://schemas.openxmlformats.org/officeDocument/2006/relationships/hyperlink" Target="http://semrush.com" TargetMode="External"/><Relationship Id="rId1551" Type="http://schemas.openxmlformats.org/officeDocument/2006/relationships/hyperlink" Target="http://cometly.com" TargetMode="External"/><Relationship Id="rId1552" Type="http://schemas.openxmlformats.org/officeDocument/2006/relationships/hyperlink" Target="https://www.cometly.com/post/attribution-tools-for-digital-marketing-agencies" TargetMode="External"/><Relationship Id="rId1553" Type="http://schemas.openxmlformats.org/officeDocument/2006/relationships/hyperlink" Target="http://cometly.com" TargetMode="External"/><Relationship Id="rId2400" Type="http://schemas.openxmlformats.org/officeDocument/2006/relationships/hyperlink" Target="http://google.com" TargetMode="External"/><Relationship Id="rId1543" Type="http://schemas.openxmlformats.org/officeDocument/2006/relationships/hyperlink" Target="http://clutch.co" TargetMode="External"/><Relationship Id="rId1544" Type="http://schemas.openxmlformats.org/officeDocument/2006/relationships/hyperlink" Target="https://clutch.co/seo-firms/link-building" TargetMode="External"/><Relationship Id="rId1545" Type="http://schemas.openxmlformats.org/officeDocument/2006/relationships/hyperlink" Target="http://clutch.co" TargetMode="External"/><Relationship Id="rId1546" Type="http://schemas.openxmlformats.org/officeDocument/2006/relationships/hyperlink" Target="https://www.cometly.com/post/agency-marketing-attribution-tools" TargetMode="External"/><Relationship Id="rId1547" Type="http://schemas.openxmlformats.org/officeDocument/2006/relationships/hyperlink" Target="http://cometly.com" TargetMode="External"/><Relationship Id="rId1548" Type="http://schemas.openxmlformats.org/officeDocument/2006/relationships/hyperlink" Target="https://www.cometly.com/post/ai-powered-ad-optimization-platform" TargetMode="External"/><Relationship Id="rId1549" Type="http://schemas.openxmlformats.org/officeDocument/2006/relationships/hyperlink" Target="http://cometly.com" TargetMode="External"/><Relationship Id="rId959" Type="http://schemas.openxmlformats.org/officeDocument/2006/relationships/hyperlink" Target="https://agencies.semrush.com/list/analytics-data-science/sydney/" TargetMode="External"/><Relationship Id="rId954" Type="http://schemas.openxmlformats.org/officeDocument/2006/relationships/hyperlink" Target="http://semrush.com" TargetMode="External"/><Relationship Id="rId953" Type="http://schemas.openxmlformats.org/officeDocument/2006/relationships/hyperlink" Target="https://agencies.semrush.com/list/ai-optimization/australia/enterprise-business/" TargetMode="External"/><Relationship Id="rId952" Type="http://schemas.openxmlformats.org/officeDocument/2006/relationships/hyperlink" Target="http://semrush.com" TargetMode="External"/><Relationship Id="rId951" Type="http://schemas.openxmlformats.org/officeDocument/2006/relationships/hyperlink" Target="https://agencies.semrush.com/list/advertising/australia/mid-business/" TargetMode="External"/><Relationship Id="rId958" Type="http://schemas.openxmlformats.org/officeDocument/2006/relationships/hyperlink" Target="http://semrush.com" TargetMode="External"/><Relationship Id="rId957" Type="http://schemas.openxmlformats.org/officeDocument/2006/relationships/hyperlink" Target="https://agencies.semrush.com/list/analytics-data-science/arts-entertainment/australia/" TargetMode="External"/><Relationship Id="rId956" Type="http://schemas.openxmlformats.org/officeDocument/2006/relationships/hyperlink" Target="http://semrush.com" TargetMode="External"/><Relationship Id="rId955" Type="http://schemas.openxmlformats.org/officeDocument/2006/relationships/hyperlink" Target="https://agencies.semrush.com/list/ai-optimization/melbourne/" TargetMode="External"/><Relationship Id="rId950" Type="http://schemas.openxmlformats.org/officeDocument/2006/relationships/hyperlink" Target="http://10seos.com" TargetMode="External"/><Relationship Id="rId1540" Type="http://schemas.openxmlformats.org/officeDocument/2006/relationships/hyperlink" Target="https://clutch.co/developers/ecommerce" TargetMode="External"/><Relationship Id="rId1541" Type="http://schemas.openxmlformats.org/officeDocument/2006/relationships/hyperlink" Target="http://clutch.co" TargetMode="External"/><Relationship Id="rId1542" Type="http://schemas.openxmlformats.org/officeDocument/2006/relationships/hyperlink" Target="https://clutch.co/seo-firms/amazon/uk" TargetMode="External"/><Relationship Id="rId2027" Type="http://schemas.openxmlformats.org/officeDocument/2006/relationships/hyperlink" Target="http://clutch.co" TargetMode="External"/><Relationship Id="rId2028" Type="http://schemas.openxmlformats.org/officeDocument/2006/relationships/hyperlink" Target="https://clutch.co/de/agencies/programmatic" TargetMode="External"/><Relationship Id="rId2029" Type="http://schemas.openxmlformats.org/officeDocument/2006/relationships/hyperlink" Target="http://clutch.co" TargetMode="External"/><Relationship Id="rId590" Type="http://schemas.openxmlformats.org/officeDocument/2006/relationships/hyperlink" Target="http://sortlist.com" TargetMode="External"/><Relationship Id="rId107" Type="http://schemas.openxmlformats.org/officeDocument/2006/relationships/hyperlink" Target="https://www.gartner.com/reviews/market/global-digital-marketing-agencies" TargetMode="External"/><Relationship Id="rId106" Type="http://schemas.openxmlformats.org/officeDocument/2006/relationships/hyperlink" Target="http://clutch.co" TargetMode="External"/><Relationship Id="rId105" Type="http://schemas.openxmlformats.org/officeDocument/2006/relationships/hyperlink" Target="https://clutch.co/agencies/social-media-marketing" TargetMode="External"/><Relationship Id="rId589" Type="http://schemas.openxmlformats.org/officeDocument/2006/relationships/hyperlink" Target="https://www.sortlist.com/s/artificial-intelligence/united-states-us" TargetMode="External"/><Relationship Id="rId104" Type="http://schemas.openxmlformats.org/officeDocument/2006/relationships/hyperlink" Target="http://thegrowthsyndicate.com" TargetMode="External"/><Relationship Id="rId588" Type="http://schemas.openxmlformats.org/officeDocument/2006/relationships/hyperlink" Target="http://sortlist.com" TargetMode="External"/><Relationship Id="rId109" Type="http://schemas.openxmlformats.org/officeDocument/2006/relationships/hyperlink" Target="https://www.goodfirms.co/big-data-analytics/marketing-analytics" TargetMode="External"/><Relationship Id="rId1170" Type="http://schemas.openxmlformats.org/officeDocument/2006/relationships/hyperlink" Target="http://webtonic.io" TargetMode="External"/><Relationship Id="rId108" Type="http://schemas.openxmlformats.org/officeDocument/2006/relationships/hyperlink" Target="http://gartner.com" TargetMode="External"/><Relationship Id="rId1171" Type="http://schemas.openxmlformats.org/officeDocument/2006/relationships/hyperlink" Target="https://www.webtonic.io/blog/top-paid-media-agencies" TargetMode="External"/><Relationship Id="rId583" Type="http://schemas.openxmlformats.org/officeDocument/2006/relationships/hyperlink" Target="https://www.sortlist.com/digital-marketing/doha-qa" TargetMode="External"/><Relationship Id="rId1172" Type="http://schemas.openxmlformats.org/officeDocument/2006/relationships/hyperlink" Target="http://webtonic.io" TargetMode="External"/><Relationship Id="rId582" Type="http://schemas.openxmlformats.org/officeDocument/2006/relationships/hyperlink" Target="http://semrush.com" TargetMode="External"/><Relationship Id="rId1173" Type="http://schemas.openxmlformats.org/officeDocument/2006/relationships/hyperlink" Target="https://agencies.semrush.com/list/united-kingdom/" TargetMode="External"/><Relationship Id="rId2020" Type="http://schemas.openxmlformats.org/officeDocument/2006/relationships/hyperlink" Target="https://agencies.semrush.com/list/information-technology/germany/" TargetMode="External"/><Relationship Id="rId581" Type="http://schemas.openxmlformats.org/officeDocument/2006/relationships/hyperlink" Target="https://www.semrush.com/agencies/list/display-advertising/information-technology/united-states/" TargetMode="External"/><Relationship Id="rId1174" Type="http://schemas.openxmlformats.org/officeDocument/2006/relationships/hyperlink" Target="http://semrush.com" TargetMode="External"/><Relationship Id="rId2021" Type="http://schemas.openxmlformats.org/officeDocument/2006/relationships/hyperlink" Target="http://semrush.com" TargetMode="External"/><Relationship Id="rId580" Type="http://schemas.openxmlformats.org/officeDocument/2006/relationships/hyperlink" Target="http://withgoogle.com" TargetMode="External"/><Relationship Id="rId1175" Type="http://schemas.openxmlformats.org/officeDocument/2006/relationships/hyperlink" Target="https://bind.media/insights/top-25-ppc-agencies-in-the-uk-2025" TargetMode="External"/><Relationship Id="rId2022" Type="http://schemas.openxmlformats.org/officeDocument/2006/relationships/hyperlink" Target="https://agencies.semrush.com/list/programmatic-advertising/germany/" TargetMode="External"/><Relationship Id="rId103" Type="http://schemas.openxmlformats.org/officeDocument/2006/relationships/hyperlink" Target="http://designrush.com" TargetMode="External"/><Relationship Id="rId587" Type="http://schemas.openxmlformats.org/officeDocument/2006/relationships/hyperlink" Target="https://www.sortlist.com/performance-marketing" TargetMode="External"/><Relationship Id="rId1176" Type="http://schemas.openxmlformats.org/officeDocument/2006/relationships/hyperlink" Target="https://clutch.co/agencies/uk" TargetMode="External"/><Relationship Id="rId2023" Type="http://schemas.openxmlformats.org/officeDocument/2006/relationships/hyperlink" Target="http://semrush.com" TargetMode="External"/><Relationship Id="rId102" Type="http://schemas.openxmlformats.org/officeDocument/2006/relationships/hyperlink" Target="https://www.designrush.com/agency/creative-agencies/us" TargetMode="External"/><Relationship Id="rId586" Type="http://schemas.openxmlformats.org/officeDocument/2006/relationships/hyperlink" Target="http://sortlist.com" TargetMode="External"/><Relationship Id="rId1177" Type="http://schemas.openxmlformats.org/officeDocument/2006/relationships/hyperlink" Target="http://clutch.co" TargetMode="External"/><Relationship Id="rId2024" Type="http://schemas.openxmlformats.org/officeDocument/2006/relationships/hyperlink" Target="https://www.bvdw.org/news-und-publikationen/bvdw-kreativranking-2025/" TargetMode="External"/><Relationship Id="rId101" Type="http://schemas.openxmlformats.org/officeDocument/2006/relationships/hyperlink" Target="http://cometly.com" TargetMode="External"/><Relationship Id="rId585" Type="http://schemas.openxmlformats.org/officeDocument/2006/relationships/hyperlink" Target="https://www.sortlist.com/paid-media" TargetMode="External"/><Relationship Id="rId1178" Type="http://schemas.openxmlformats.org/officeDocument/2006/relationships/hyperlink" Target="https://digitalagencynetwork.com/agencies/uk/ai-marketing/" TargetMode="External"/><Relationship Id="rId2025" Type="http://schemas.openxmlformats.org/officeDocument/2006/relationships/hyperlink" Target="http://bvdw.org" TargetMode="External"/><Relationship Id="rId100" Type="http://schemas.openxmlformats.org/officeDocument/2006/relationships/hyperlink" Target="http://clutch.co" TargetMode="External"/><Relationship Id="rId584" Type="http://schemas.openxmlformats.org/officeDocument/2006/relationships/hyperlink" Target="http://sortlist.com" TargetMode="External"/><Relationship Id="rId1179" Type="http://schemas.openxmlformats.org/officeDocument/2006/relationships/hyperlink" Target="http://digitalagencynetwork.com" TargetMode="External"/><Relationship Id="rId2026" Type="http://schemas.openxmlformats.org/officeDocument/2006/relationships/hyperlink" Target="https://clutch.co/agencies/ppc/display" TargetMode="External"/><Relationship Id="rId1169" Type="http://schemas.openxmlformats.org/officeDocument/2006/relationships/hyperlink" Target="https://www.webtonic.io/blog/best-performance-marketing-agencies-2026" TargetMode="External"/><Relationship Id="rId2016" Type="http://schemas.openxmlformats.org/officeDocument/2006/relationships/hyperlink" Target="https://support.google.com/tagmanager/answer/7237700?hl=de" TargetMode="External"/><Relationship Id="rId2017" Type="http://schemas.openxmlformats.org/officeDocument/2006/relationships/hyperlink" Target="http://google.com" TargetMode="External"/><Relationship Id="rId2018" Type="http://schemas.openxmlformats.org/officeDocument/2006/relationships/hyperlink" Target="https://themanifest.com/de/advertising/agencies" TargetMode="External"/><Relationship Id="rId2019" Type="http://schemas.openxmlformats.org/officeDocument/2006/relationships/hyperlink" Target="http://themanifest.com" TargetMode="External"/><Relationship Id="rId579"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578" Type="http://schemas.openxmlformats.org/officeDocument/2006/relationships/hyperlink" Target="http://withgoogle.com" TargetMode="External"/><Relationship Id="rId577" Type="http://schemas.openxmlformats.org/officeDocument/2006/relationships/hyperlink" Target="https://partnersdirectory.withgoogle.com/intl/en-GB/" TargetMode="External"/><Relationship Id="rId2490" Type="http://schemas.openxmlformats.org/officeDocument/2006/relationships/hyperlink" Target="https://support.google.com/google-ads/answer/9702452?hl=de" TargetMode="External"/><Relationship Id="rId1160" Type="http://schemas.openxmlformats.org/officeDocument/2006/relationships/hyperlink" Target="http://google.com" TargetMode="External"/><Relationship Id="rId2491" Type="http://schemas.openxmlformats.org/officeDocument/2006/relationships/hyperlink" Target="http://google.com" TargetMode="External"/><Relationship Id="rId572" Type="http://schemas.openxmlformats.org/officeDocument/2006/relationships/hyperlink" Target="https://www.oneclub.org/awards/adcawards/-archive/agency/2025/38/all/1/840" TargetMode="External"/><Relationship Id="rId1161" Type="http://schemas.openxmlformats.org/officeDocument/2006/relationships/hyperlink" Target="https://www.theaustralian.com.au/business/growth-agenda/wpps-media-ambitions-wont-impact-groupms-local-growth/news-story/7af81a0f6c387b9b8cecf519a403824d" TargetMode="External"/><Relationship Id="rId2492" Type="http://schemas.openxmlformats.org/officeDocument/2006/relationships/hyperlink" Target="https://support.google.com/tagmanager/answer/7237700?hl=en" TargetMode="External"/><Relationship Id="rId571" Type="http://schemas.openxmlformats.org/officeDocument/2006/relationships/hyperlink" Target="http://oneclub.org" TargetMode="External"/><Relationship Id="rId1162" Type="http://schemas.openxmlformats.org/officeDocument/2006/relationships/hyperlink" Target="http://theaustralian.com.au" TargetMode="External"/><Relationship Id="rId2493" Type="http://schemas.openxmlformats.org/officeDocument/2006/relationships/hyperlink" Target="http://google.com" TargetMode="External"/><Relationship Id="rId570" Type="http://schemas.openxmlformats.org/officeDocument/2006/relationships/hyperlink" Target="https://www.oneclub.org/AWARDS/THEONESHOW/-archive/holdingcompany/2025/all/1/840" TargetMode="External"/><Relationship Id="rId1163" Type="http://schemas.openxmlformats.org/officeDocument/2006/relationships/hyperlink" Target="https://themanifest.com/au/programmatic/agencies/sydney" TargetMode="External"/><Relationship Id="rId2010" Type="http://schemas.openxmlformats.org/officeDocument/2006/relationships/hyperlink" Target="https://feedbax.ai/creative-agencies" TargetMode="External"/><Relationship Id="rId2494" Type="http://schemas.openxmlformats.org/officeDocument/2006/relationships/hyperlink" Target="https://techbehemoths.com/companies/outdoor-advertising/germany" TargetMode="External"/><Relationship Id="rId1164" Type="http://schemas.openxmlformats.org/officeDocument/2006/relationships/hyperlink" Target="http://themanifest.com" TargetMode="External"/><Relationship Id="rId2011" Type="http://schemas.openxmlformats.org/officeDocument/2006/relationships/hyperlink" Target="http://feedbax.ai" TargetMode="External"/><Relationship Id="rId2495" Type="http://schemas.openxmlformats.org/officeDocument/2006/relationships/hyperlink" Target="http://techbehemoths.com" TargetMode="External"/><Relationship Id="rId576" Type="http://schemas.openxmlformats.org/officeDocument/2006/relationships/hyperlink" Target="https://oski.site/blog/sales-and-marketing-analytics-usa/" TargetMode="External"/><Relationship Id="rId1165" Type="http://schemas.openxmlformats.org/officeDocument/2006/relationships/hyperlink" Target="https://themanifest.com/au/social-media/linkedin/agencies" TargetMode="External"/><Relationship Id="rId2012" Type="http://schemas.openxmlformats.org/officeDocument/2006/relationships/hyperlink" Target="https://www.onetoone.de/performance-ranking/performance_2024.html" TargetMode="External"/><Relationship Id="rId2496" Type="http://schemas.openxmlformats.org/officeDocument/2006/relationships/hyperlink" Target="https://themanifest.com/de/artificial-intelligence/companies" TargetMode="External"/><Relationship Id="rId575" Type="http://schemas.openxmlformats.org/officeDocument/2006/relationships/hyperlink" Target="http://oneclub.org" TargetMode="External"/><Relationship Id="rId1166" Type="http://schemas.openxmlformats.org/officeDocument/2006/relationships/hyperlink" Target="http://themanifest.com" TargetMode="External"/><Relationship Id="rId2013" Type="http://schemas.openxmlformats.org/officeDocument/2006/relationships/hyperlink" Target="http://onetoone.de" TargetMode="External"/><Relationship Id="rId2497" Type="http://schemas.openxmlformats.org/officeDocument/2006/relationships/hyperlink" Target="http://themanifest.com" TargetMode="External"/><Relationship Id="rId574" Type="http://schemas.openxmlformats.org/officeDocument/2006/relationships/hyperlink" Target="https://www.oneclub.org/awards/adcawards/-archive/agency/2025/61/all/1/all" TargetMode="External"/><Relationship Id="rId1167" Type="http://schemas.openxmlformats.org/officeDocument/2006/relationships/hyperlink" Target="https://themanifest.com/au/social-media/tiktok/agencies/sydney" TargetMode="External"/><Relationship Id="rId2014" Type="http://schemas.openxmlformats.org/officeDocument/2006/relationships/hyperlink" Target="https://www.onetoone.de/performance-ranking/performance_2025.html" TargetMode="External"/><Relationship Id="rId2498" Type="http://schemas.openxmlformats.org/officeDocument/2006/relationships/hyperlink" Target="https://themanifest.com/de/market-research/agencies" TargetMode="External"/><Relationship Id="rId573" Type="http://schemas.openxmlformats.org/officeDocument/2006/relationships/hyperlink" Target="http://oneclub.org" TargetMode="External"/><Relationship Id="rId1168" Type="http://schemas.openxmlformats.org/officeDocument/2006/relationships/hyperlink" Target="http://themanifest.com" TargetMode="External"/><Relationship Id="rId2015" Type="http://schemas.openxmlformats.org/officeDocument/2006/relationships/hyperlink" Target="http://onetoone.de" TargetMode="External"/><Relationship Id="rId2499" Type="http://schemas.openxmlformats.org/officeDocument/2006/relationships/hyperlink" Target="http://themanifest.com" TargetMode="External"/><Relationship Id="rId2049" Type="http://schemas.openxmlformats.org/officeDocument/2006/relationships/hyperlink" Target="http://sortlist.de" TargetMode="External"/><Relationship Id="rId129" Type="http://schemas.openxmlformats.org/officeDocument/2006/relationships/hyperlink" Target="https://www.designrush.com/agency/paid-media-pay-per-click/display-advertising-agency" TargetMode="External"/><Relationship Id="rId128" Type="http://schemas.openxmlformats.org/officeDocument/2006/relationships/hyperlink" Target="http://clutch.co" TargetMode="External"/><Relationship Id="rId127" Type="http://schemas.openxmlformats.org/officeDocument/2006/relationships/hyperlink" Target="https://clutch.co/us/consulting/ai" TargetMode="External"/><Relationship Id="rId126" Type="http://schemas.openxmlformats.org/officeDocument/2006/relationships/hyperlink" Target="http://semrush.com" TargetMode="External"/><Relationship Id="rId1190" Type="http://schemas.openxmlformats.org/officeDocument/2006/relationships/hyperlink" Target="https://www.sortlist.co.uk/s/marketing-analytics/united-kingdom-gb" TargetMode="External"/><Relationship Id="rId1191" Type="http://schemas.openxmlformats.org/officeDocument/2006/relationships/hyperlink" Target="http://sortlist.co.uk" TargetMode="External"/><Relationship Id="rId1192" Type="http://schemas.openxmlformats.org/officeDocument/2006/relationships/hyperlink" Target="https://digitalagencynetwork.com/agencies/london/ai-marketing/" TargetMode="External"/><Relationship Id="rId1193" Type="http://schemas.openxmlformats.org/officeDocument/2006/relationships/hyperlink" Target="http://digitalagencynetwork.com" TargetMode="External"/><Relationship Id="rId2040" Type="http://schemas.openxmlformats.org/officeDocument/2006/relationships/hyperlink" Target="https://marketingplatform.google.com/about/partners/find-a-partner?category=206&amp;geo=Deutschland&amp;q=&amp;region=EU" TargetMode="External"/><Relationship Id="rId121" Type="http://schemas.openxmlformats.org/officeDocument/2006/relationships/hyperlink" Target="https://digitalagencynetwork.com/agencies/usa/" TargetMode="External"/><Relationship Id="rId1194" Type="http://schemas.openxmlformats.org/officeDocument/2006/relationships/hyperlink" Target="https://www.designrush.com/agency/creative-agencies/uk" TargetMode="External"/><Relationship Id="rId2041" Type="http://schemas.openxmlformats.org/officeDocument/2006/relationships/hyperlink" Target="http://google.com" TargetMode="External"/><Relationship Id="rId120" Type="http://schemas.openxmlformats.org/officeDocument/2006/relationships/hyperlink" Target="http://designrush.com" TargetMode="External"/><Relationship Id="rId1195" Type="http://schemas.openxmlformats.org/officeDocument/2006/relationships/hyperlink" Target="http://designrush.com" TargetMode="External"/><Relationship Id="rId2042" Type="http://schemas.openxmlformats.org/officeDocument/2006/relationships/hyperlink" Target="https://marketingplatform.google.com/about/partners/?hl=de" TargetMode="External"/><Relationship Id="rId1196" Type="http://schemas.openxmlformats.org/officeDocument/2006/relationships/hyperlink" Target="https://www.sortlist.co.uk/s/marketing-analytics/london-england-gb" TargetMode="External"/><Relationship Id="rId2043" Type="http://schemas.openxmlformats.org/officeDocument/2006/relationships/hyperlink" Target="http://google.com" TargetMode="External"/><Relationship Id="rId1197" Type="http://schemas.openxmlformats.org/officeDocument/2006/relationships/hyperlink" Target="http://sortlist.co.uk" TargetMode="External"/><Relationship Id="rId2044" Type="http://schemas.openxmlformats.org/officeDocument/2006/relationships/hyperlink" Target="https://partnersdirectory.withgoogle.com/intl/de/" TargetMode="External"/><Relationship Id="rId125" Type="http://schemas.openxmlformats.org/officeDocument/2006/relationships/hyperlink" Target="https://agencies.semrush.com/list/display-advertising/" TargetMode="External"/><Relationship Id="rId1198" Type="http://schemas.openxmlformats.org/officeDocument/2006/relationships/hyperlink" Target="https://bind.media/insights/top-9-paid-social-agencies-in-the-uk-2025" TargetMode="External"/><Relationship Id="rId2045" Type="http://schemas.openxmlformats.org/officeDocument/2006/relationships/hyperlink" Target="http://withgoogle.com" TargetMode="External"/><Relationship Id="rId124" Type="http://schemas.openxmlformats.org/officeDocument/2006/relationships/hyperlink" Target="http://digitalagencynetwork.com" TargetMode="External"/><Relationship Id="rId1199" Type="http://schemas.openxmlformats.org/officeDocument/2006/relationships/hyperlink" Target="https://digitalagencynetwork.com/agencies/london/" TargetMode="External"/><Relationship Id="rId2046" Type="http://schemas.openxmlformats.org/officeDocument/2006/relationships/hyperlink" Target="https://www.sortlist.com/s/artificial-intelligence/munich-by-de" TargetMode="External"/><Relationship Id="rId123" Type="http://schemas.openxmlformats.org/officeDocument/2006/relationships/hyperlink" Target="https://digitalagencynetwork.com/agencies/usa/geo/" TargetMode="External"/><Relationship Id="rId2047" Type="http://schemas.openxmlformats.org/officeDocument/2006/relationships/hyperlink" Target="http://sortlist.com" TargetMode="External"/><Relationship Id="rId122" Type="http://schemas.openxmlformats.org/officeDocument/2006/relationships/hyperlink" Target="http://digitalagencynetwork.com" TargetMode="External"/><Relationship Id="rId2048" Type="http://schemas.openxmlformats.org/officeDocument/2006/relationships/hyperlink" Target="https://www.sortlist.de/s/attributionsmarketing/deutschland-de" TargetMode="External"/><Relationship Id="rId2038" Type="http://schemas.openxmlformats.org/officeDocument/2006/relationships/hyperlink" Target="https://www.google.com/partners/" TargetMode="External"/><Relationship Id="rId2039" Type="http://schemas.openxmlformats.org/officeDocument/2006/relationships/hyperlink" Target="http://google.com" TargetMode="External"/><Relationship Id="rId118" Type="http://schemas.openxmlformats.org/officeDocument/2006/relationships/hyperlink" Target="http://clutch.co" TargetMode="External"/><Relationship Id="rId117" Type="http://schemas.openxmlformats.org/officeDocument/2006/relationships/hyperlink" Target="https://clutch.co/us/agencies/media-buying" TargetMode="External"/><Relationship Id="rId116" Type="http://schemas.openxmlformats.org/officeDocument/2006/relationships/hyperlink" Target="http://businessofapps.com" TargetMode="External"/><Relationship Id="rId115" Type="http://schemas.openxmlformats.org/officeDocument/2006/relationships/hyperlink" Target="https://www.businessofapps.com/marketplace/ai-marketing/" TargetMode="External"/><Relationship Id="rId599" Type="http://schemas.openxmlformats.org/officeDocument/2006/relationships/hyperlink" Target="https://www.theaustralian.com.au/sponsored-content/beyond-ai-pilots-the-organisations-turning-ai-ambition-into-action/news-story/415e261ad0bf616e51c3b7b79b17a86f" TargetMode="External"/><Relationship Id="rId1180" Type="http://schemas.openxmlformats.org/officeDocument/2006/relationships/hyperlink" Target="https://oski.site/blog/sales-and-marketing-analytics-companies-uk/" TargetMode="External"/><Relationship Id="rId1181" Type="http://schemas.openxmlformats.org/officeDocument/2006/relationships/hyperlink" Target="https://clutch.co/agencies/digital-marketing/uk" TargetMode="External"/><Relationship Id="rId119" Type="http://schemas.openxmlformats.org/officeDocument/2006/relationships/hyperlink" Target="https://www.designrush.com/agency/digital-marketing/artificial-intelligence" TargetMode="External"/><Relationship Id="rId1182" Type="http://schemas.openxmlformats.org/officeDocument/2006/relationships/hyperlink" Target="http://clutch.co" TargetMode="External"/><Relationship Id="rId110" Type="http://schemas.openxmlformats.org/officeDocument/2006/relationships/hyperlink" Target="http://goodfirms.co" TargetMode="External"/><Relationship Id="rId594" Type="http://schemas.openxmlformats.org/officeDocument/2006/relationships/hyperlink" Target="http://sortlist.com" TargetMode="External"/><Relationship Id="rId1183" Type="http://schemas.openxmlformats.org/officeDocument/2006/relationships/hyperlink" Target="https://www.sortlist.co.uk/s/ai-marketing/united-kingdom-gb" TargetMode="External"/><Relationship Id="rId2030" Type="http://schemas.openxmlformats.org/officeDocument/2006/relationships/hyperlink" Target="https://clutch.co/de/consulting/ai/maturation" TargetMode="External"/><Relationship Id="rId593" Type="http://schemas.openxmlformats.org/officeDocument/2006/relationships/hyperlink" Target="https://www.sortlist.com/s/display-advertising/nashville-tn-us" TargetMode="External"/><Relationship Id="rId1184" Type="http://schemas.openxmlformats.org/officeDocument/2006/relationships/hyperlink" Target="http://sortlist.co.uk" TargetMode="External"/><Relationship Id="rId2031" Type="http://schemas.openxmlformats.org/officeDocument/2006/relationships/hyperlink" Target="http://clutch.co" TargetMode="External"/><Relationship Id="rId592" Type="http://schemas.openxmlformats.org/officeDocument/2006/relationships/hyperlink" Target="http://sortlist.com" TargetMode="External"/><Relationship Id="rId1185" Type="http://schemas.openxmlformats.org/officeDocument/2006/relationships/hyperlink" Target="https://agencies.semrush.com/list/display-advertising/united-kingdom/" TargetMode="External"/><Relationship Id="rId2032" Type="http://schemas.openxmlformats.org/officeDocument/2006/relationships/hyperlink" Target="https://clutch.co/de/developers/artificial-intelligence" TargetMode="External"/><Relationship Id="rId591" Type="http://schemas.openxmlformats.org/officeDocument/2006/relationships/hyperlink" Target="https://www.sortlist.com/s/display-advertising/los-angeles-ca-us" TargetMode="External"/><Relationship Id="rId1186" Type="http://schemas.openxmlformats.org/officeDocument/2006/relationships/hyperlink" Target="http://semrush.com" TargetMode="External"/><Relationship Id="rId2033" Type="http://schemas.openxmlformats.org/officeDocument/2006/relationships/hyperlink" Target="http://clutch.co" TargetMode="External"/><Relationship Id="rId114" Type="http://schemas.openxmlformats.org/officeDocument/2006/relationships/hyperlink" Target="http://clutch.co" TargetMode="External"/><Relationship Id="rId598" Type="http://schemas.openxmlformats.org/officeDocument/2006/relationships/hyperlink" Target="http://google.com" TargetMode="External"/><Relationship Id="rId1187" Type="http://schemas.openxmlformats.org/officeDocument/2006/relationships/hyperlink" Target="https://bind.media/insights/top-11-google-analytics-agencies-in-the-uk-2025" TargetMode="External"/><Relationship Id="rId2034" Type="http://schemas.openxmlformats.org/officeDocument/2006/relationships/hyperlink" Target="https://clutch.co/de/developers/artificial-intelligence/generative" TargetMode="External"/><Relationship Id="rId113" Type="http://schemas.openxmlformats.org/officeDocument/2006/relationships/hyperlink" Target="https://clutch.co/agencies/creative" TargetMode="External"/><Relationship Id="rId597" Type="http://schemas.openxmlformats.org/officeDocument/2006/relationships/hyperlink" Target="https://support.google.com/tagmanager/answer/7237700?hl=en-AU" TargetMode="External"/><Relationship Id="rId1188" Type="http://schemas.openxmlformats.org/officeDocument/2006/relationships/hyperlink" Target="https://www.sortlist.co.uk/s/display-advertising/united-kingdom-gb" TargetMode="External"/><Relationship Id="rId2035" Type="http://schemas.openxmlformats.org/officeDocument/2006/relationships/hyperlink" Target="http://clutch.co" TargetMode="External"/><Relationship Id="rId112" Type="http://schemas.openxmlformats.org/officeDocument/2006/relationships/hyperlink" Target="http://webtonic.io" TargetMode="External"/><Relationship Id="rId596" Type="http://schemas.openxmlformats.org/officeDocument/2006/relationships/hyperlink" Target="http://sortlist.com" TargetMode="External"/><Relationship Id="rId1189" Type="http://schemas.openxmlformats.org/officeDocument/2006/relationships/hyperlink" Target="http://sortlist.co.uk" TargetMode="External"/><Relationship Id="rId2036" Type="http://schemas.openxmlformats.org/officeDocument/2006/relationships/hyperlink" Target="https://www.designrush.com/agency/ai-companies/de" TargetMode="External"/><Relationship Id="rId111" Type="http://schemas.openxmlformats.org/officeDocument/2006/relationships/hyperlink" Target="https://www.webtonic.io/blog/top-display-advertising-agencies" TargetMode="External"/><Relationship Id="rId595" Type="http://schemas.openxmlformats.org/officeDocument/2006/relationships/hyperlink" Target="https://www.sortlist.com/s/performance-marketing/atlanta-ga-us" TargetMode="External"/><Relationship Id="rId2037" Type="http://schemas.openxmlformats.org/officeDocument/2006/relationships/hyperlink" Target="http://designrush.com" TargetMode="External"/><Relationship Id="rId1136" Type="http://schemas.openxmlformats.org/officeDocument/2006/relationships/hyperlink" Target="http://sortlist.com" TargetMode="External"/><Relationship Id="rId2467" Type="http://schemas.openxmlformats.org/officeDocument/2006/relationships/hyperlink" Target="http://sortlist.de" TargetMode="External"/><Relationship Id="rId1137" Type="http://schemas.openxmlformats.org/officeDocument/2006/relationships/hyperlink" Target="https://www.sortlist.com/marketing-communication" TargetMode="External"/><Relationship Id="rId2468" Type="http://schemas.openxmlformats.org/officeDocument/2006/relationships/hyperlink" Target="https://www.sortlist.de/s/display-werbung/hamburg-hh-de" TargetMode="External"/><Relationship Id="rId1138" Type="http://schemas.openxmlformats.org/officeDocument/2006/relationships/hyperlink" Target="http://sortlist.com" TargetMode="External"/><Relationship Id="rId2469" Type="http://schemas.openxmlformats.org/officeDocument/2006/relationships/hyperlink" Target="http://sortlist.de" TargetMode="External"/><Relationship Id="rId1139" Type="http://schemas.openxmlformats.org/officeDocument/2006/relationships/hyperlink" Target="https://www.sortlist.com/s/display-advertising/new-south-wales-nsw-au" TargetMode="External"/><Relationship Id="rId547" Type="http://schemas.openxmlformats.org/officeDocument/2006/relationships/hyperlink" Target="http://google.com" TargetMode="External"/><Relationship Id="rId546" Type="http://schemas.openxmlformats.org/officeDocument/2006/relationships/hyperlink" Target="https://www.google.com/searchviewer/10?svid=CAwSGxIZCgNwdnESEkNnc3ZaeTh4ZEhaMFkyTXliZxgK" TargetMode="External"/><Relationship Id="rId545" Type="http://schemas.openxmlformats.org/officeDocument/2006/relationships/hyperlink" Target="http://google.com" TargetMode="External"/><Relationship Id="rId544" Type="http://schemas.openxmlformats.org/officeDocument/2006/relationships/hyperlink" Target="https://www.google.com/searchviewer/10?svid=CAwSGxIZCgNwdnESEkNnc3ZaeTh4ZEhKd2NuQjRhZxgK" TargetMode="External"/><Relationship Id="rId549" Type="http://schemas.openxmlformats.org/officeDocument/2006/relationships/hyperlink" Target="http://google.com" TargetMode="External"/><Relationship Id="rId548" Type="http://schemas.openxmlformats.org/officeDocument/2006/relationships/hyperlink" Target="https://www.google.com/searchviewer/10?svid=CAwSGxIZCgNwdnESEkNnc3ZaeTh4ZUc1ZmNEVjVhQRgK" TargetMode="External"/><Relationship Id="rId2460" Type="http://schemas.openxmlformats.org/officeDocument/2006/relationships/hyperlink" Target="https://www.sortlist.com/s/roi-optimization/germany-de" TargetMode="External"/><Relationship Id="rId1130" Type="http://schemas.openxmlformats.org/officeDocument/2006/relationships/hyperlink" Target="http://oneclub.org" TargetMode="External"/><Relationship Id="rId2461" Type="http://schemas.openxmlformats.org/officeDocument/2006/relationships/hyperlink" Target="http://sortlist.com" TargetMode="External"/><Relationship Id="rId1131" Type="http://schemas.openxmlformats.org/officeDocument/2006/relationships/hyperlink" Target="https://www.oneclub.org/awards/theoneshow/-agency/Droga5%2BANZ%2C%2Bpart%2Bof%2BAccenture%2BSong%2B%5Bs%5D%2BSydney/2026/all/4" TargetMode="External"/><Relationship Id="rId2462" Type="http://schemas.openxmlformats.org/officeDocument/2006/relationships/hyperlink" Target="https://www.sortlist.com/social-media-optimization" TargetMode="External"/><Relationship Id="rId543" Type="http://schemas.openxmlformats.org/officeDocument/2006/relationships/hyperlink" Target="http://google.com" TargetMode="External"/><Relationship Id="rId1132" Type="http://schemas.openxmlformats.org/officeDocument/2006/relationships/hyperlink" Target="http://oneclub.org" TargetMode="External"/><Relationship Id="rId2463" Type="http://schemas.openxmlformats.org/officeDocument/2006/relationships/hyperlink" Target="http://sortlist.com" TargetMode="External"/><Relationship Id="rId542" Type="http://schemas.openxmlformats.org/officeDocument/2006/relationships/hyperlink" Target="https://www.google.com/ads/publisher/partners/work-with-a-partner/" TargetMode="External"/><Relationship Id="rId1133" Type="http://schemas.openxmlformats.org/officeDocument/2006/relationships/hyperlink" Target="https://www.oneclub.org/awards/theoneshow/-agency/Droga5%2BANZ%2C%2Bpart%2Bof%2BAccenture%2BSong%2B%5Bs%5D%2BSydney/2026/all/all" TargetMode="External"/><Relationship Id="rId2464" Type="http://schemas.openxmlformats.org/officeDocument/2006/relationships/hyperlink" Target="https://www.sortlist.de/s/display-werbung/bayern-by-de" TargetMode="External"/><Relationship Id="rId541" Type="http://schemas.openxmlformats.org/officeDocument/2006/relationships/hyperlink" Target="http://goodfirms.co" TargetMode="External"/><Relationship Id="rId1134" Type="http://schemas.openxmlformats.org/officeDocument/2006/relationships/hyperlink" Target="http://oneclub.org" TargetMode="External"/><Relationship Id="rId2465" Type="http://schemas.openxmlformats.org/officeDocument/2006/relationships/hyperlink" Target="http://sortlist.de" TargetMode="External"/><Relationship Id="rId540" Type="http://schemas.openxmlformats.org/officeDocument/2006/relationships/hyperlink" Target="https://www.goodfirms.co/directory/marketing-services/top-digital-marketing-companies/generative-engine-optimization" TargetMode="External"/><Relationship Id="rId1135" Type="http://schemas.openxmlformats.org/officeDocument/2006/relationships/hyperlink" Target="https://www.sortlist.com/digital-marketing/australia-au?custom=advertising%2Caustralia-au" TargetMode="External"/><Relationship Id="rId2466" Type="http://schemas.openxmlformats.org/officeDocument/2006/relationships/hyperlink" Target="https://www.sortlist.de/s/display-werbung/hamburg-de" TargetMode="External"/><Relationship Id="rId1125" Type="http://schemas.openxmlformats.org/officeDocument/2006/relationships/hyperlink" Target="https://influencermarketinghub.com/digital-marketing-agency-australia/" TargetMode="External"/><Relationship Id="rId2456" Type="http://schemas.openxmlformats.org/officeDocument/2006/relationships/hyperlink" Target="https://www.sortlist.com/s/performance-marketing/munich-by-de" TargetMode="External"/><Relationship Id="rId1126" Type="http://schemas.openxmlformats.org/officeDocument/2006/relationships/hyperlink" Target="http://influencermarketinghub.com" TargetMode="External"/><Relationship Id="rId2457" Type="http://schemas.openxmlformats.org/officeDocument/2006/relationships/hyperlink" Target="http://sortlist.com" TargetMode="External"/><Relationship Id="rId1127" Type="http://schemas.openxmlformats.org/officeDocument/2006/relationships/hyperlink" Target="https://marketingplatform.google.com/about/partners/find-a-partner" TargetMode="External"/><Relationship Id="rId2458" Type="http://schemas.openxmlformats.org/officeDocument/2006/relationships/hyperlink" Target="https://www.sortlist.com/s/programmatic-advertising/berlin-de" TargetMode="External"/><Relationship Id="rId1128" Type="http://schemas.openxmlformats.org/officeDocument/2006/relationships/hyperlink" Target="http://google.com" TargetMode="External"/><Relationship Id="rId2459" Type="http://schemas.openxmlformats.org/officeDocument/2006/relationships/hyperlink" Target="http://sortlist.com" TargetMode="External"/><Relationship Id="rId1129" Type="http://schemas.openxmlformats.org/officeDocument/2006/relationships/hyperlink" Target="https://www.oneclub.org/awards/rankings/-archive/agency/2025/all/all/all/36" TargetMode="External"/><Relationship Id="rId536" Type="http://schemas.openxmlformats.org/officeDocument/2006/relationships/hyperlink" Target="https://www.goodfirms.co/directory/country/top-digital-marketing-companies/us?sid=3975" TargetMode="External"/><Relationship Id="rId535" Type="http://schemas.openxmlformats.org/officeDocument/2006/relationships/hyperlink" Target="http://goodfirms.co" TargetMode="External"/><Relationship Id="rId534" Type="http://schemas.openxmlformats.org/officeDocument/2006/relationships/hyperlink" Target="https://www.goodfirms.co/directory/country/top-digital-marketing-companies/us?sid=3953" TargetMode="External"/><Relationship Id="rId533" Type="http://schemas.openxmlformats.org/officeDocument/2006/relationships/hyperlink" Target="http://goodfirms.co" TargetMode="External"/><Relationship Id="rId539" Type="http://schemas.openxmlformats.org/officeDocument/2006/relationships/hyperlink" Target="http://goodfirms.co" TargetMode="External"/><Relationship Id="rId538" Type="http://schemas.openxmlformats.org/officeDocument/2006/relationships/hyperlink" Target="https://www.goodfirms.co/directory/marketing-services/top-digital-marketing-companies" TargetMode="External"/><Relationship Id="rId537" Type="http://schemas.openxmlformats.org/officeDocument/2006/relationships/hyperlink" Target="http://goodfirms.co" TargetMode="External"/><Relationship Id="rId2450" Type="http://schemas.openxmlformats.org/officeDocument/2006/relationships/hyperlink" Target="https://www.sortlist.com/s/international-marketing/hamburg-de" TargetMode="External"/><Relationship Id="rId1120" Type="http://schemas.openxmlformats.org/officeDocument/2006/relationships/hyperlink" Target="http://google.com" TargetMode="External"/><Relationship Id="rId2451" Type="http://schemas.openxmlformats.org/officeDocument/2006/relationships/hyperlink" Target="http://sortlist.com" TargetMode="External"/><Relationship Id="rId532" Type="http://schemas.openxmlformats.org/officeDocument/2006/relationships/hyperlink" Target="https://www.goodfirms.co/directory/country/top-digital-marketing-companies/us?sid=3951" TargetMode="External"/><Relationship Id="rId1121" Type="http://schemas.openxmlformats.org/officeDocument/2006/relationships/hyperlink" Target="https://www.google.com/searchviewer/10?svid=CAwSHRIbCgNwdnESFENnMHZaeTh4TVhad2VIQnVPVjgzGAo" TargetMode="External"/><Relationship Id="rId2452" Type="http://schemas.openxmlformats.org/officeDocument/2006/relationships/hyperlink" Target="https://www.sortlist.com/s/paid-media/munich-by-de" TargetMode="External"/><Relationship Id="rId531" Type="http://schemas.openxmlformats.org/officeDocument/2006/relationships/hyperlink" Target="http://goodfirms.co" TargetMode="External"/><Relationship Id="rId1122" Type="http://schemas.openxmlformats.org/officeDocument/2006/relationships/hyperlink" Target="http://google.com" TargetMode="External"/><Relationship Id="rId2453" Type="http://schemas.openxmlformats.org/officeDocument/2006/relationships/hyperlink" Target="http://sortlist.com" TargetMode="External"/><Relationship Id="rId530" Type="http://schemas.openxmlformats.org/officeDocument/2006/relationships/hyperlink" Target="https://www.goodfirms.co/directory/country/top-digital-marketing-companies/us?reviews=1&amp;sort_by=rating" TargetMode="External"/><Relationship Id="rId1123" Type="http://schemas.openxmlformats.org/officeDocument/2006/relationships/hyperlink" Target="https://www.google.com/searchviewer/10?svid=CAwSHRIbCgNwdnESFENnMHZaeTh4TVhrME5IUjBNbTAxGAo" TargetMode="External"/><Relationship Id="rId2454" Type="http://schemas.openxmlformats.org/officeDocument/2006/relationships/hyperlink" Target="https://www.sortlist.com/s/performance-marketing/frankfurt-he-de" TargetMode="External"/><Relationship Id="rId1124" Type="http://schemas.openxmlformats.org/officeDocument/2006/relationships/hyperlink" Target="http://google.com" TargetMode="External"/><Relationship Id="rId2455" Type="http://schemas.openxmlformats.org/officeDocument/2006/relationships/hyperlink" Target="http://sortlist.com" TargetMode="External"/><Relationship Id="rId1158" Type="http://schemas.openxmlformats.org/officeDocument/2006/relationships/hyperlink" Target="http://sortlist.com" TargetMode="External"/><Relationship Id="rId2005" Type="http://schemas.openxmlformats.org/officeDocument/2006/relationships/hyperlink" Target="http://sortlist.de" TargetMode="External"/><Relationship Id="rId2489" Type="http://schemas.openxmlformats.org/officeDocument/2006/relationships/hyperlink" Target="http://google.com" TargetMode="External"/><Relationship Id="rId1159" Type="http://schemas.openxmlformats.org/officeDocument/2006/relationships/hyperlink" Target="https://support.google.com/google-ads/answer/11410677?hl=en-AU" TargetMode="External"/><Relationship Id="rId2006" Type="http://schemas.openxmlformats.org/officeDocument/2006/relationships/hyperlink" Target="https://agencies.semrush.com/list/ai-optimization/germany/enterprise-business/" TargetMode="External"/><Relationship Id="rId2007" Type="http://schemas.openxmlformats.org/officeDocument/2006/relationships/hyperlink" Target="http://semrush.com" TargetMode="External"/><Relationship Id="rId2008" Type="http://schemas.openxmlformats.org/officeDocument/2006/relationships/hyperlink" Target="https://clutch.co/de/agencies?page=6" TargetMode="External"/><Relationship Id="rId2009" Type="http://schemas.openxmlformats.org/officeDocument/2006/relationships/hyperlink" Target="http://clutch.co" TargetMode="External"/><Relationship Id="rId569" Type="http://schemas.openxmlformats.org/officeDocument/2006/relationships/hyperlink" Target="http://google.com" TargetMode="External"/><Relationship Id="rId568" Type="http://schemas.openxmlformats.org/officeDocument/2006/relationships/hyperlink" Target="https://marketingplatform.google.com/about/partners/find-a-partner?category=206" TargetMode="External"/><Relationship Id="rId567" Type="http://schemas.openxmlformats.org/officeDocument/2006/relationships/hyperlink" Target="http://google.com" TargetMode="External"/><Relationship Id="rId566" Type="http://schemas.openxmlformats.org/officeDocument/2006/relationships/hyperlink" Target="https://marketingplatform.google.com/about/partners/find-a-partner" TargetMode="External"/><Relationship Id="rId2480" Type="http://schemas.openxmlformats.org/officeDocument/2006/relationships/hyperlink" Target="https://www.sortlist.de/s/tiktok/deutschland-de" TargetMode="External"/><Relationship Id="rId561" Type="http://schemas.openxmlformats.org/officeDocument/2006/relationships/hyperlink" Target="http://influencermarketinghub.com" TargetMode="External"/><Relationship Id="rId1150" Type="http://schemas.openxmlformats.org/officeDocument/2006/relationships/hyperlink" Target="http://sortlist.com" TargetMode="External"/><Relationship Id="rId2481" Type="http://schemas.openxmlformats.org/officeDocument/2006/relationships/hyperlink" Target="http://sortlist.de" TargetMode="External"/><Relationship Id="rId560" Type="http://schemas.openxmlformats.org/officeDocument/2006/relationships/hyperlink" Target="https://influencermarketinghub.com/creative-agency/" TargetMode="External"/><Relationship Id="rId1151" Type="http://schemas.openxmlformats.org/officeDocument/2006/relationships/hyperlink" Target="https://www.sortlist.com/s/performance-marketing/western-australia-wa-au" TargetMode="External"/><Relationship Id="rId2482" Type="http://schemas.openxmlformats.org/officeDocument/2006/relationships/hyperlink" Target="https://www.sortlist.de/s/tiktok/deutschland-de?page=2" TargetMode="External"/><Relationship Id="rId1152" Type="http://schemas.openxmlformats.org/officeDocument/2006/relationships/hyperlink" Target="http://sortlist.com" TargetMode="External"/><Relationship Id="rId2483" Type="http://schemas.openxmlformats.org/officeDocument/2006/relationships/hyperlink" Target="http://sortlist.de" TargetMode="External"/><Relationship Id="rId1153" Type="http://schemas.openxmlformats.org/officeDocument/2006/relationships/hyperlink" Target="https://www.sortlist.com/s/programmatic-advertising/sydney-au" TargetMode="External"/><Relationship Id="rId2000" Type="http://schemas.openxmlformats.org/officeDocument/2006/relationships/hyperlink" Target="https://www.ibusiness.de/performance-ranking/performance_2023.html?sub=5" TargetMode="External"/><Relationship Id="rId2484" Type="http://schemas.openxmlformats.org/officeDocument/2006/relationships/hyperlink" Target="https://www.sortlist.de/social-media/deutschland-de" TargetMode="External"/><Relationship Id="rId565" Type="http://schemas.openxmlformats.org/officeDocument/2006/relationships/hyperlink" Target="http://google.com" TargetMode="External"/><Relationship Id="rId1154" Type="http://schemas.openxmlformats.org/officeDocument/2006/relationships/hyperlink" Target="http://sortlist.com" TargetMode="External"/><Relationship Id="rId2001" Type="http://schemas.openxmlformats.org/officeDocument/2006/relationships/hyperlink" Target="http://ibusiness.de" TargetMode="External"/><Relationship Id="rId2485" Type="http://schemas.openxmlformats.org/officeDocument/2006/relationships/hyperlink" Target="http://sortlist.de" TargetMode="External"/><Relationship Id="rId564" Type="http://schemas.openxmlformats.org/officeDocument/2006/relationships/hyperlink" Target="https://marketingplatform.google.com/about/enterprise/" TargetMode="External"/><Relationship Id="rId1155" Type="http://schemas.openxmlformats.org/officeDocument/2006/relationships/hyperlink" Target="https://www.sortlist.com/s/tiktok-advertising/australia-au" TargetMode="External"/><Relationship Id="rId2002" Type="http://schemas.openxmlformats.org/officeDocument/2006/relationships/hyperlink" Target="https://partnersdirectory.withgoogle.com/intl/en-GB/" TargetMode="External"/><Relationship Id="rId2486" Type="http://schemas.openxmlformats.org/officeDocument/2006/relationships/hyperlink" Target="https://support.google.com/google-ads/answer/11410677?hl=en" TargetMode="External"/><Relationship Id="rId563" Type="http://schemas.openxmlformats.org/officeDocument/2006/relationships/hyperlink" Target="http://influencermarketinghub.com" TargetMode="External"/><Relationship Id="rId1156" Type="http://schemas.openxmlformats.org/officeDocument/2006/relationships/hyperlink" Target="http://sortlist.com" TargetMode="External"/><Relationship Id="rId2003" Type="http://schemas.openxmlformats.org/officeDocument/2006/relationships/hyperlink" Target="http://withgoogle.com" TargetMode="External"/><Relationship Id="rId2487" Type="http://schemas.openxmlformats.org/officeDocument/2006/relationships/hyperlink" Target="http://google.com" TargetMode="External"/><Relationship Id="rId562" Type="http://schemas.openxmlformats.org/officeDocument/2006/relationships/hyperlink" Target="https://influencermarketinghub.com/geo-agencies/" TargetMode="External"/><Relationship Id="rId1157" Type="http://schemas.openxmlformats.org/officeDocument/2006/relationships/hyperlink" Target="https://www.sortlist.com/web-analytics/australia-au" TargetMode="External"/><Relationship Id="rId2004" Type="http://schemas.openxmlformats.org/officeDocument/2006/relationships/hyperlink" Target="https://www.sortlist.de/s/bezahlte-media/deutschland-de?page=2" TargetMode="External"/><Relationship Id="rId2488" Type="http://schemas.openxmlformats.org/officeDocument/2006/relationships/hyperlink" Target="https://support.google.com/google-ads/answer/9029203?hl=en" TargetMode="External"/><Relationship Id="rId1147" Type="http://schemas.openxmlformats.org/officeDocument/2006/relationships/hyperlink" Target="https://www.sortlist.com/s/paid-media/victoria-vic-au" TargetMode="External"/><Relationship Id="rId2478" Type="http://schemas.openxmlformats.org/officeDocument/2006/relationships/hyperlink" Target="https://www.sortlist.de/s/programmatic-advertising/deutschland-de?page=2" TargetMode="External"/><Relationship Id="rId1148" Type="http://schemas.openxmlformats.org/officeDocument/2006/relationships/hyperlink" Target="http://sortlist.com" TargetMode="External"/><Relationship Id="rId2479" Type="http://schemas.openxmlformats.org/officeDocument/2006/relationships/hyperlink" Target="http://sortlist.de" TargetMode="External"/><Relationship Id="rId1149" Type="http://schemas.openxmlformats.org/officeDocument/2006/relationships/hyperlink" Target="https://www.sortlist.com/s/performance-marketing/victoria-vic-au" TargetMode="External"/><Relationship Id="rId558" Type="http://schemas.openxmlformats.org/officeDocument/2006/relationships/hyperlink" Target="https://www.google.com/searchviewer/10?svid=CAwSHRIbCgNwdnESFENnMHZaeTh4TVhZNWFqZHVOR3htGAo" TargetMode="External"/><Relationship Id="rId557" Type="http://schemas.openxmlformats.org/officeDocument/2006/relationships/hyperlink" Target="http://google.com" TargetMode="External"/><Relationship Id="rId556" Type="http://schemas.openxmlformats.org/officeDocument/2006/relationships/hyperlink" Target="https://www.google.com/searchviewer/10?svid=CAwSHRIbCgNwdnESFENnMHZaeTh4TVdnMWJXNHhhREJtGAo" TargetMode="External"/><Relationship Id="rId555" Type="http://schemas.openxmlformats.org/officeDocument/2006/relationships/hyperlink" Target="http://google.com" TargetMode="External"/><Relationship Id="rId559" Type="http://schemas.openxmlformats.org/officeDocument/2006/relationships/hyperlink" Target="http://google.com" TargetMode="External"/><Relationship Id="rId550" Type="http://schemas.openxmlformats.org/officeDocument/2006/relationships/hyperlink" Target="https://www.google.com/searchviewer/10?svid=CAwSHBIaCgNwdnESE0Nnd3ZaeTh4TW1oNGJESTFkSGsYCg" TargetMode="External"/><Relationship Id="rId2470" Type="http://schemas.openxmlformats.org/officeDocument/2006/relationships/hyperlink" Target="https://www.sortlist.de/s/facebook-advertising/deutschland-de" TargetMode="External"/><Relationship Id="rId1140" Type="http://schemas.openxmlformats.org/officeDocument/2006/relationships/hyperlink" Target="http://sortlist.com" TargetMode="External"/><Relationship Id="rId2471" Type="http://schemas.openxmlformats.org/officeDocument/2006/relationships/hyperlink" Target="http://sortlist.de" TargetMode="External"/><Relationship Id="rId1141" Type="http://schemas.openxmlformats.org/officeDocument/2006/relationships/hyperlink" Target="https://www.sortlist.com/s/display-advertising/sydney-au" TargetMode="External"/><Relationship Id="rId2472" Type="http://schemas.openxmlformats.org/officeDocument/2006/relationships/hyperlink" Target="https://www.sortlist.de/s/linkedin-ads/deutschland-de" TargetMode="External"/><Relationship Id="rId1142" Type="http://schemas.openxmlformats.org/officeDocument/2006/relationships/hyperlink" Target="http://sortlist.com" TargetMode="External"/><Relationship Id="rId2473" Type="http://schemas.openxmlformats.org/officeDocument/2006/relationships/hyperlink" Target="http://sortlist.de" TargetMode="External"/><Relationship Id="rId554" Type="http://schemas.openxmlformats.org/officeDocument/2006/relationships/hyperlink" Target="https://www.google.com/searchviewer/10?svid=CAwSHRIbCgNwdnESFENnMHZaeTh4TVdJMk9ESjBjWFpzGAo" TargetMode="External"/><Relationship Id="rId1143" Type="http://schemas.openxmlformats.org/officeDocument/2006/relationships/hyperlink" Target="https://www.sortlist.com/s/display-advertising/western-australia-wa-au" TargetMode="External"/><Relationship Id="rId2474" Type="http://schemas.openxmlformats.org/officeDocument/2006/relationships/hyperlink" Target="https://www.sortlist.de/s/marketing-analytik/hamburg-de" TargetMode="External"/><Relationship Id="rId553" Type="http://schemas.openxmlformats.org/officeDocument/2006/relationships/hyperlink" Target="http://google.com" TargetMode="External"/><Relationship Id="rId1144" Type="http://schemas.openxmlformats.org/officeDocument/2006/relationships/hyperlink" Target="http://sortlist.com" TargetMode="External"/><Relationship Id="rId2475" Type="http://schemas.openxmlformats.org/officeDocument/2006/relationships/hyperlink" Target="http://sortlist.de" TargetMode="External"/><Relationship Id="rId552" Type="http://schemas.openxmlformats.org/officeDocument/2006/relationships/hyperlink" Target="https://www.google.com/searchviewer/10?svid=CAwSHRIbCgNwdnESFENnMHZaeTh4TVcwMWFqbDNjbk4yGAo" TargetMode="External"/><Relationship Id="rId1145" Type="http://schemas.openxmlformats.org/officeDocument/2006/relationships/hyperlink" Target="https://www.sortlist.com/s/linkedin-advertising/australia-au" TargetMode="External"/><Relationship Id="rId2476" Type="http://schemas.openxmlformats.org/officeDocument/2006/relationships/hyperlink" Target="https://www.sortlist.de/s/pay-per-click/deutschland-de" TargetMode="External"/><Relationship Id="rId551" Type="http://schemas.openxmlformats.org/officeDocument/2006/relationships/hyperlink" Target="http://google.com" TargetMode="External"/><Relationship Id="rId1146" Type="http://schemas.openxmlformats.org/officeDocument/2006/relationships/hyperlink" Target="http://sortlist.com" TargetMode="External"/><Relationship Id="rId2477" Type="http://schemas.openxmlformats.org/officeDocument/2006/relationships/hyperlink" Target="http://sortlist.de" TargetMode="External"/><Relationship Id="rId2090" Type="http://schemas.openxmlformats.org/officeDocument/2006/relationships/hyperlink" Target="https://www.sortlist.de/s/google-analytics/deutschland-de" TargetMode="External"/><Relationship Id="rId2091" Type="http://schemas.openxmlformats.org/officeDocument/2006/relationships/hyperlink" Target="http://sortlist.de" TargetMode="External"/><Relationship Id="rId2092" Type="http://schemas.openxmlformats.org/officeDocument/2006/relationships/hyperlink" Target="https://www.sortlist.de/s/programmatic-advertising/deutschland-de" TargetMode="External"/><Relationship Id="rId2093" Type="http://schemas.openxmlformats.org/officeDocument/2006/relationships/hyperlink" Target="http://sortlist.de" TargetMode="External"/><Relationship Id="rId2094" Type="http://schemas.openxmlformats.org/officeDocument/2006/relationships/hyperlink" Target="https://support.google.com/tagmanager/answer/7237700?hl=en-GB" TargetMode="External"/><Relationship Id="rId2095" Type="http://schemas.openxmlformats.org/officeDocument/2006/relationships/hyperlink" Target="http://google.com" TargetMode="External"/><Relationship Id="rId2096" Type="http://schemas.openxmlformats.org/officeDocument/2006/relationships/hyperlink" Target="https://agencies.semrush.com/de/list/display-advertising/ecommerce/germany/" TargetMode="External"/><Relationship Id="rId2097" Type="http://schemas.openxmlformats.org/officeDocument/2006/relationships/hyperlink" Target="http://semrush.com" TargetMode="External"/><Relationship Id="rId2098" Type="http://schemas.openxmlformats.org/officeDocument/2006/relationships/hyperlink" Target="https://agencies.semrush.com/list/ai-optimization/hamburg/" TargetMode="External"/><Relationship Id="rId2099" Type="http://schemas.openxmlformats.org/officeDocument/2006/relationships/hyperlink" Target="http://semrush.com" TargetMode="External"/><Relationship Id="rId2060" Type="http://schemas.openxmlformats.org/officeDocument/2006/relationships/hyperlink" Target="https://business.google.com/de/support/become-a-partner/" TargetMode="External"/><Relationship Id="rId2061" Type="http://schemas.openxmlformats.org/officeDocument/2006/relationships/hyperlink" Target="http://google.com" TargetMode="External"/><Relationship Id="rId2062" Type="http://schemas.openxmlformats.org/officeDocument/2006/relationships/hyperlink" Target="https://business.google.com/en-all/support/become-a-partner/" TargetMode="External"/><Relationship Id="rId2063" Type="http://schemas.openxmlformats.org/officeDocument/2006/relationships/hyperlink" Target="http://google.com" TargetMode="External"/><Relationship Id="rId2064" Type="http://schemas.openxmlformats.org/officeDocument/2006/relationships/hyperlink" Target="https://business.google.com/in/think/marketing-strategies/incrementality-testing/" TargetMode="External"/><Relationship Id="rId2065" Type="http://schemas.openxmlformats.org/officeDocument/2006/relationships/hyperlink" Target="http://google.com" TargetMode="External"/><Relationship Id="rId2066" Type="http://schemas.openxmlformats.org/officeDocument/2006/relationships/hyperlink" Target="https://clutch.co/de/agencies/social-media-marketing/influencer" TargetMode="External"/><Relationship Id="rId2067" Type="http://schemas.openxmlformats.org/officeDocument/2006/relationships/hyperlink" Target="http://clutch.co" TargetMode="External"/><Relationship Id="rId2068" Type="http://schemas.openxmlformats.org/officeDocument/2006/relationships/hyperlink" Target="https://clutch.co/de/seo-firms" TargetMode="External"/><Relationship Id="rId2069" Type="http://schemas.openxmlformats.org/officeDocument/2006/relationships/hyperlink" Target="http://clutch.co" TargetMode="External"/><Relationship Id="rId2050" Type="http://schemas.openxmlformats.org/officeDocument/2006/relationships/hyperlink" Target="https://www.sortlist.de/s/kunstliche-intelligenz/deutschland-de" TargetMode="External"/><Relationship Id="rId2051" Type="http://schemas.openxmlformats.org/officeDocument/2006/relationships/hyperlink" Target="http://sortlist.de" TargetMode="External"/><Relationship Id="rId495" Type="http://schemas.openxmlformats.org/officeDocument/2006/relationships/hyperlink" Target="https://www.cometly.com/post/marketing-attribution-tools-comparison" TargetMode="External"/><Relationship Id="rId2052" Type="http://schemas.openxmlformats.org/officeDocument/2006/relationships/hyperlink" Target="https://www.sortlist.de/web-analytics/deutschland-de" TargetMode="External"/><Relationship Id="rId494" Type="http://schemas.openxmlformats.org/officeDocument/2006/relationships/hyperlink" Target="http://cometly.com" TargetMode="External"/><Relationship Id="rId2053" Type="http://schemas.openxmlformats.org/officeDocument/2006/relationships/hyperlink" Target="http://sortlist.de" TargetMode="External"/><Relationship Id="rId493" Type="http://schemas.openxmlformats.org/officeDocument/2006/relationships/hyperlink" Target="https://www.cometly.com/post/marketing-analytics-platforms-review" TargetMode="External"/><Relationship Id="rId2054" Type="http://schemas.openxmlformats.org/officeDocument/2006/relationships/hyperlink" Target="https://agencies.semrush.com/list/analytics-data-science/business-professional-services/germany/" TargetMode="External"/><Relationship Id="rId492" Type="http://schemas.openxmlformats.org/officeDocument/2006/relationships/hyperlink" Target="http://cometly.com" TargetMode="External"/><Relationship Id="rId2055" Type="http://schemas.openxmlformats.org/officeDocument/2006/relationships/hyperlink" Target="http://semrush.com" TargetMode="External"/><Relationship Id="rId499" Type="http://schemas.openxmlformats.org/officeDocument/2006/relationships/hyperlink" Target="https://www.cometly.com/post/paid-advertising-analytics-tools" TargetMode="External"/><Relationship Id="rId2056" Type="http://schemas.openxmlformats.org/officeDocument/2006/relationships/hyperlink" Target="https://agencies.semrush.com/list/analytics-data-science/germany/small-business/" TargetMode="External"/><Relationship Id="rId498" Type="http://schemas.openxmlformats.org/officeDocument/2006/relationships/hyperlink" Target="http://cometly.com" TargetMode="External"/><Relationship Id="rId2057" Type="http://schemas.openxmlformats.org/officeDocument/2006/relationships/hyperlink" Target="http://semrush.com" TargetMode="External"/><Relationship Id="rId497" Type="http://schemas.openxmlformats.org/officeDocument/2006/relationships/hyperlink" Target="https://www.cometly.com/post/marketing-performance-analytics-tools" TargetMode="External"/><Relationship Id="rId2058" Type="http://schemas.openxmlformats.org/officeDocument/2006/relationships/hyperlink" Target="https://agencies.semrush.com/list/ppc/germany/" TargetMode="External"/><Relationship Id="rId496" Type="http://schemas.openxmlformats.org/officeDocument/2006/relationships/hyperlink" Target="http://cometly.com" TargetMode="External"/><Relationship Id="rId2059" Type="http://schemas.openxmlformats.org/officeDocument/2006/relationships/hyperlink" Target="http://semrush.com" TargetMode="External"/><Relationship Id="rId2080" Type="http://schemas.openxmlformats.org/officeDocument/2006/relationships/hyperlink" Target="https://www.sortlist.com/s/b2b-marketing/germany-de" TargetMode="External"/><Relationship Id="rId2081" Type="http://schemas.openxmlformats.org/officeDocument/2006/relationships/hyperlink" Target="http://sortlist.com" TargetMode="External"/><Relationship Id="rId2082" Type="http://schemas.openxmlformats.org/officeDocument/2006/relationships/hyperlink" Target="https://www.sortlist.com/s/google-ads/germany-de" TargetMode="External"/><Relationship Id="rId2083" Type="http://schemas.openxmlformats.org/officeDocument/2006/relationships/hyperlink" Target="http://sortlist.com" TargetMode="External"/><Relationship Id="rId2084" Type="http://schemas.openxmlformats.org/officeDocument/2006/relationships/hyperlink" Target="https://www.sortlist.com/s/marketing-analytics/berlin-de" TargetMode="External"/><Relationship Id="rId2085" Type="http://schemas.openxmlformats.org/officeDocument/2006/relationships/hyperlink" Target="http://sortlist.com" TargetMode="External"/><Relationship Id="rId2086" Type="http://schemas.openxmlformats.org/officeDocument/2006/relationships/hyperlink" Target="https://www.sortlist.de/s/ai-marketing/baden-wuerttemberg-bw-de" TargetMode="External"/><Relationship Id="rId2087" Type="http://schemas.openxmlformats.org/officeDocument/2006/relationships/hyperlink" Target="http://sortlist.de" TargetMode="External"/><Relationship Id="rId2088" Type="http://schemas.openxmlformats.org/officeDocument/2006/relationships/hyperlink" Target="https://www.sortlist.de/s/ai-marketing/muenchen-by-de" TargetMode="External"/><Relationship Id="rId2089" Type="http://schemas.openxmlformats.org/officeDocument/2006/relationships/hyperlink" Target="http://sortlist.de" TargetMode="External"/><Relationship Id="rId2070" Type="http://schemas.openxmlformats.org/officeDocument/2006/relationships/hyperlink" Target="https://www.designrush.com/agency/digital-marketing/artificial-intelligence" TargetMode="External"/><Relationship Id="rId2071" Type="http://schemas.openxmlformats.org/officeDocument/2006/relationships/hyperlink" Target="http://designrush.com" TargetMode="External"/><Relationship Id="rId2072" Type="http://schemas.openxmlformats.org/officeDocument/2006/relationships/hyperlink" Target="https://feedbax.ai/geo-agencies" TargetMode="External"/><Relationship Id="rId2073" Type="http://schemas.openxmlformats.org/officeDocument/2006/relationships/hyperlink" Target="http://feedbax.ai" TargetMode="External"/><Relationship Id="rId2074" Type="http://schemas.openxmlformats.org/officeDocument/2006/relationships/hyperlink" Target="https://feedbax.ai/performance-marketing/berlin" TargetMode="External"/><Relationship Id="rId2075" Type="http://schemas.openxmlformats.org/officeDocument/2006/relationships/hyperlink" Target="http://feedbax.ai" TargetMode="External"/><Relationship Id="rId2076" Type="http://schemas.openxmlformats.org/officeDocument/2006/relationships/hyperlink" Target="https://www.ibusiness.de/performance-ranking/performance_2023" TargetMode="External"/><Relationship Id="rId2077" Type="http://schemas.openxmlformats.org/officeDocument/2006/relationships/hyperlink" Target="http://ibusiness.de" TargetMode="External"/><Relationship Id="rId2078" Type="http://schemas.openxmlformats.org/officeDocument/2006/relationships/hyperlink" Target="https://www.sortlist.com/de/performance-marketing" TargetMode="External"/><Relationship Id="rId2079" Type="http://schemas.openxmlformats.org/officeDocument/2006/relationships/hyperlink" Target="http://sortlist.com" TargetMode="External"/><Relationship Id="rId1610" Type="http://schemas.openxmlformats.org/officeDocument/2006/relationships/hyperlink" Target="http://google.com" TargetMode="External"/><Relationship Id="rId1611" Type="http://schemas.openxmlformats.org/officeDocument/2006/relationships/hyperlink" Target="https://www.google.com/searchviewer/10?svid=CAwSGxIZCgNwdnESEkNnc3ZaeTh4ZEdRMFpEQnpPQRgK" TargetMode="External"/><Relationship Id="rId1612" Type="http://schemas.openxmlformats.org/officeDocument/2006/relationships/hyperlink" Target="http://google.com" TargetMode="External"/><Relationship Id="rId1613" Type="http://schemas.openxmlformats.org/officeDocument/2006/relationships/hyperlink" Target="https://www.google.com/searchviewer/10?svid=CAwSGxIZCgNwdnESEkNnc3ZaeTh4ZEdSNVgyWjNOZxgK" TargetMode="External"/><Relationship Id="rId1614" Type="http://schemas.openxmlformats.org/officeDocument/2006/relationships/hyperlink" Target="http://google.com" TargetMode="External"/><Relationship Id="rId1615" Type="http://schemas.openxmlformats.org/officeDocument/2006/relationships/hyperlink" Target="https://www.google.com/searchviewer/10?svid=CAwSGxIZCgNwdnESEkNnc3ZaeTh4ZEdjMWVqTXpaQRgK" TargetMode="External"/><Relationship Id="rId1616" Type="http://schemas.openxmlformats.org/officeDocument/2006/relationships/hyperlink" Target="http://google.com" TargetMode="External"/><Relationship Id="rId907" Type="http://schemas.openxmlformats.org/officeDocument/2006/relationships/hyperlink" Target="http://designrush.com" TargetMode="External"/><Relationship Id="rId1617" Type="http://schemas.openxmlformats.org/officeDocument/2006/relationships/hyperlink" Target="https://www.google.com/searchviewer/10?svid=CAwSGxIZCgNwdnESEkNnc3ZaeTh4ZEdka2MyMXhiQRgK" TargetMode="External"/><Relationship Id="rId906" Type="http://schemas.openxmlformats.org/officeDocument/2006/relationships/hyperlink" Target="https://www.designrush.com/agency/ad-agencies/au/melbourne" TargetMode="External"/><Relationship Id="rId1618" Type="http://schemas.openxmlformats.org/officeDocument/2006/relationships/hyperlink" Target="http://google.com" TargetMode="External"/><Relationship Id="rId905" Type="http://schemas.openxmlformats.org/officeDocument/2006/relationships/hyperlink" Target="http://clutch.co" TargetMode="External"/><Relationship Id="rId1619" Type="http://schemas.openxmlformats.org/officeDocument/2006/relationships/hyperlink" Target="https://www.google.com/searchviewer/10?svid=CAwSGxIZCgNwdnESEkNnc3ZaeTh4ZEdvemEydHFhQRgK" TargetMode="External"/><Relationship Id="rId904" Type="http://schemas.openxmlformats.org/officeDocument/2006/relationships/hyperlink" Target="https://clutch.co/profile/megaphone-marketing" TargetMode="External"/><Relationship Id="rId909" Type="http://schemas.openxmlformats.org/officeDocument/2006/relationships/hyperlink" Target="http://designrush.com" TargetMode="External"/><Relationship Id="rId908" Type="http://schemas.openxmlformats.org/officeDocument/2006/relationships/hyperlink" Target="https://www.designrush.com/agency/digital-marketing/analytics" TargetMode="External"/><Relationship Id="rId903" Type="http://schemas.openxmlformats.org/officeDocument/2006/relationships/hyperlink" Target="http://clutch.co" TargetMode="External"/><Relationship Id="rId902" Type="http://schemas.openxmlformats.org/officeDocument/2006/relationships/hyperlink" Target="https://clutch.co/au/seo-firms" TargetMode="External"/><Relationship Id="rId901" Type="http://schemas.openxmlformats.org/officeDocument/2006/relationships/hyperlink" Target="http://clutch.co" TargetMode="External"/><Relationship Id="rId900" Type="http://schemas.openxmlformats.org/officeDocument/2006/relationships/hyperlink" Target="https://clutch.co/au/agencies/social-media-marketing/facebook?page=9" TargetMode="External"/><Relationship Id="rId1600" Type="http://schemas.openxmlformats.org/officeDocument/2006/relationships/hyperlink" Target="http://goodfirms.co" TargetMode="External"/><Relationship Id="rId1601" Type="http://schemas.openxmlformats.org/officeDocument/2006/relationships/hyperlink" Target="https://www.goodfirms.co/directory/country/top-digital-marketing-companies/advertising-ppc/uk?sort_by=matrix" TargetMode="External"/><Relationship Id="rId1602" Type="http://schemas.openxmlformats.org/officeDocument/2006/relationships/hyperlink" Target="http://goodfirms.co" TargetMode="External"/><Relationship Id="rId1603" Type="http://schemas.openxmlformats.org/officeDocument/2006/relationships/hyperlink" Target="https://www.goodfirms.co/directory/country/top-digital-marketing-companies/gb?hss_channel=fbp-687194624745812utm_content%3D126613956&amp;page=2" TargetMode="External"/><Relationship Id="rId1604" Type="http://schemas.openxmlformats.org/officeDocument/2006/relationships/hyperlink" Target="http://goodfirms.co" TargetMode="External"/><Relationship Id="rId1605" Type="http://schemas.openxmlformats.org/officeDocument/2006/relationships/hyperlink" Target="https://www.goodfirms.co/directory/country/top-digital-marketing-companies/media-planning-buying/uk" TargetMode="External"/><Relationship Id="rId1606" Type="http://schemas.openxmlformats.org/officeDocument/2006/relationships/hyperlink" Target="http://goodfirms.co" TargetMode="External"/><Relationship Id="rId1607" Type="http://schemas.openxmlformats.org/officeDocument/2006/relationships/hyperlink" Target="https://www.google.com/searchviewer/10?svid=CAwSGxIZCgNwdnESEkNnc3ZaeTh4ZEd4ZmJEWXhlURgK" TargetMode="External"/><Relationship Id="rId1608" Type="http://schemas.openxmlformats.org/officeDocument/2006/relationships/hyperlink" Target="http://google.com" TargetMode="External"/><Relationship Id="rId1609" Type="http://schemas.openxmlformats.org/officeDocument/2006/relationships/hyperlink" Target="https://www.google.com/searchviewer/10?svid=CAwSGxIZCgNwdnESEkNnc3ZaeTh4ZEdONGVqbG9OZxgK" TargetMode="External"/><Relationship Id="rId1631" Type="http://schemas.openxmlformats.org/officeDocument/2006/relationships/hyperlink" Target="https://www.google.com/searchviewer/10?svid=CAwSHBIaCgNwdnESE0Nnd3ZaeTh4Y0hSMmRtb3dZMkkYCg" TargetMode="External"/><Relationship Id="rId1632" Type="http://schemas.openxmlformats.org/officeDocument/2006/relationships/hyperlink" Target="http://google.com" TargetMode="External"/><Relationship Id="rId1633" Type="http://schemas.openxmlformats.org/officeDocument/2006/relationships/hyperlink" Target="https://www.google.com/searchviewer/10?svid=CAwSHBIaCgNwdnESE0Nnd3ZaeTh4Y1RacVkyMDFlVFUYCg" TargetMode="External"/><Relationship Id="rId1634" Type="http://schemas.openxmlformats.org/officeDocument/2006/relationships/hyperlink" Target="http://google.com" TargetMode="External"/><Relationship Id="rId1635" Type="http://schemas.openxmlformats.org/officeDocument/2006/relationships/hyperlink" Target="https://www.google.com/searchviewer/10?svid=CAwSHBIaCgNwdnESE0Nnd3ZaeTh4YW1kdE1XWjVjMjQYCg" TargetMode="External"/><Relationship Id="rId1636" Type="http://schemas.openxmlformats.org/officeDocument/2006/relationships/hyperlink" Target="http://google.com" TargetMode="External"/><Relationship Id="rId1637" Type="http://schemas.openxmlformats.org/officeDocument/2006/relationships/hyperlink" Target="https://www.google.com/searchviewer/10?svid=CAwSHRIbCgNwdnESFENnMHZaeTh4TVc1aWFtUjVORGR1GAo" TargetMode="External"/><Relationship Id="rId1638" Type="http://schemas.openxmlformats.org/officeDocument/2006/relationships/hyperlink" Target="http://google.com" TargetMode="External"/><Relationship Id="rId929" Type="http://schemas.openxmlformats.org/officeDocument/2006/relationships/hyperlink" Target="https://www.sortlist.com/s/performance-marketing/queensland-qld-au" TargetMode="External"/><Relationship Id="rId1639" Type="http://schemas.openxmlformats.org/officeDocument/2006/relationships/hyperlink" Target="https://www.google.com/searchviewer/10?svid=CAwSHRIbCgNwdnESFENnMHZaeTh4TVdJMlkzQjRNbUl6GAo" TargetMode="External"/><Relationship Id="rId928" Type="http://schemas.openxmlformats.org/officeDocument/2006/relationships/hyperlink" Target="http://sortlist.com" TargetMode="External"/><Relationship Id="rId927" Type="http://schemas.openxmlformats.org/officeDocument/2006/relationships/hyperlink" Target="https://www.sortlist.com/s/artificial-intelligence/sydney-au" TargetMode="External"/><Relationship Id="rId926" Type="http://schemas.openxmlformats.org/officeDocument/2006/relationships/hyperlink" Target="http://semrush.com" TargetMode="External"/><Relationship Id="rId921" Type="http://schemas.openxmlformats.org/officeDocument/2006/relationships/hyperlink" Target="https://www.google.com/searchviewer/10?svid=CAwSHRIbCgNwdnESFENnMHZaeTh4TVdZMGNXTXpYM3BrGAo" TargetMode="External"/><Relationship Id="rId920" Type="http://schemas.openxmlformats.org/officeDocument/2006/relationships/hyperlink" Target="http://google.com" TargetMode="External"/><Relationship Id="rId925" Type="http://schemas.openxmlformats.org/officeDocument/2006/relationships/hyperlink" Target="https://www.semrush.com/agencies/list/analytics-data-science/australia/" TargetMode="External"/><Relationship Id="rId924" Type="http://schemas.openxmlformats.org/officeDocument/2006/relationships/hyperlink" Target="http://google.com" TargetMode="External"/><Relationship Id="rId923" Type="http://schemas.openxmlformats.org/officeDocument/2006/relationships/hyperlink" Target="https://marketingplatform.google.com/about/partners/?authuser=1" TargetMode="External"/><Relationship Id="rId922" Type="http://schemas.openxmlformats.org/officeDocument/2006/relationships/hyperlink" Target="http://google.com" TargetMode="External"/><Relationship Id="rId1630" Type="http://schemas.openxmlformats.org/officeDocument/2006/relationships/hyperlink" Target="http://google.com" TargetMode="External"/><Relationship Id="rId1620" Type="http://schemas.openxmlformats.org/officeDocument/2006/relationships/hyperlink" Target="http://google.com" TargetMode="External"/><Relationship Id="rId1621" Type="http://schemas.openxmlformats.org/officeDocument/2006/relationships/hyperlink" Target="https://www.google.com/searchviewer/10?svid=CAwSGxIZCgNwdnESEkNnc3ZaeTh4ZGpnek1HeHFadxgK" TargetMode="External"/><Relationship Id="rId1622" Type="http://schemas.openxmlformats.org/officeDocument/2006/relationships/hyperlink" Target="http://google.com" TargetMode="External"/><Relationship Id="rId1623" Type="http://schemas.openxmlformats.org/officeDocument/2006/relationships/hyperlink" Target="https://www.google.com/searchviewer/10?svid=CAwSHBIaCgNwdnESE0Nnd3ZaeTh4TVRObWN6TTROWFEYCg" TargetMode="External"/><Relationship Id="rId1624" Type="http://schemas.openxmlformats.org/officeDocument/2006/relationships/hyperlink" Target="http://google.com" TargetMode="External"/><Relationship Id="rId1625" Type="http://schemas.openxmlformats.org/officeDocument/2006/relationships/hyperlink" Target="https://www.google.com/searchviewer/10?svid=CAwSHBIaCgNwdnESE0Nnd3ZaeTh4TW0wNU9ERnJOM2sYCg" TargetMode="External"/><Relationship Id="rId1626" Type="http://schemas.openxmlformats.org/officeDocument/2006/relationships/hyperlink" Target="http://google.com" TargetMode="External"/><Relationship Id="rId1627" Type="http://schemas.openxmlformats.org/officeDocument/2006/relationships/hyperlink" Target="https://www.google.com/searchviewer/10?svid=CAwSHBIaCgNwdnESE0Nnd3ZaeTh4TW0xc01ubDNkMkkYCg" TargetMode="External"/><Relationship Id="rId918" Type="http://schemas.openxmlformats.org/officeDocument/2006/relationships/hyperlink" Target="http://goodfirms.co" TargetMode="External"/><Relationship Id="rId1628" Type="http://schemas.openxmlformats.org/officeDocument/2006/relationships/hyperlink" Target="http://google.com" TargetMode="External"/><Relationship Id="rId917" Type="http://schemas.openxmlformats.org/officeDocument/2006/relationships/hyperlink" Target="https://www.goodfirms.co/directory/country/top-digital-marketing-companies/au?sort_by=rating" TargetMode="External"/><Relationship Id="rId1629" Type="http://schemas.openxmlformats.org/officeDocument/2006/relationships/hyperlink" Target="https://www.google.com/searchviewer/10?svid=CAwSHBIaCgNwdnESE0Nnd3ZaeTh4TW1Od01qTnNNV2cYCg" TargetMode="External"/><Relationship Id="rId916" Type="http://schemas.openxmlformats.org/officeDocument/2006/relationships/hyperlink" Target="http://goodfirms.co" TargetMode="External"/><Relationship Id="rId915" Type="http://schemas.openxmlformats.org/officeDocument/2006/relationships/hyperlink" Target="https://www.goodfirms.co/directory/country/top-digital-marketing-companies/advertising-ppc/australia" TargetMode="External"/><Relationship Id="rId919" Type="http://schemas.openxmlformats.org/officeDocument/2006/relationships/hyperlink" Target="https://www.google.com/partners/agency?id=3839074243" TargetMode="External"/><Relationship Id="rId910" Type="http://schemas.openxmlformats.org/officeDocument/2006/relationships/hyperlink" Target="https://www.designrush.com/agency/paid-media-pay-per-click/au/sydney" TargetMode="External"/><Relationship Id="rId914" Type="http://schemas.openxmlformats.org/officeDocument/2006/relationships/hyperlink" Target="https://enterprisemarketingportal.google/work-with-partners" TargetMode="External"/><Relationship Id="rId913" Type="http://schemas.openxmlformats.org/officeDocument/2006/relationships/hyperlink" Target="http://digitalagencynetwork.com" TargetMode="External"/><Relationship Id="rId912" Type="http://schemas.openxmlformats.org/officeDocument/2006/relationships/hyperlink" Target="https://digitalagencynetwork.com/agencies/melbourne/geo/" TargetMode="External"/><Relationship Id="rId911" Type="http://schemas.openxmlformats.org/officeDocument/2006/relationships/hyperlink" Target="http://designrush.com" TargetMode="External"/><Relationship Id="rId1213" Type="http://schemas.openxmlformats.org/officeDocument/2006/relationships/hyperlink" Target="https://agencies.semrush.com/list/display-advertising/london-city/" TargetMode="External"/><Relationship Id="rId1697" Type="http://schemas.openxmlformats.org/officeDocument/2006/relationships/hyperlink" Target="http://withgoogle.com" TargetMode="External"/><Relationship Id="rId1214" Type="http://schemas.openxmlformats.org/officeDocument/2006/relationships/hyperlink" Target="http://semrush.com" TargetMode="External"/><Relationship Id="rId1698"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1215" Type="http://schemas.openxmlformats.org/officeDocument/2006/relationships/hyperlink" Target="https://digitalagencynetwork.com/agencies/uk/creative/" TargetMode="External"/><Relationship Id="rId1699" Type="http://schemas.openxmlformats.org/officeDocument/2006/relationships/hyperlink" Target="http://withgoogle.com" TargetMode="External"/><Relationship Id="rId1216" Type="http://schemas.openxmlformats.org/officeDocument/2006/relationships/hyperlink" Target="http://digitalagencynetwork.com" TargetMode="External"/><Relationship Id="rId1217" Type="http://schemas.openxmlformats.org/officeDocument/2006/relationships/hyperlink" Target="https://agencies.semrush.com/list/display-advertising/united-kingdom/enterprise-business/" TargetMode="External"/><Relationship Id="rId1218" Type="http://schemas.openxmlformats.org/officeDocument/2006/relationships/hyperlink" Target="http://semrush.com" TargetMode="External"/><Relationship Id="rId1219" Type="http://schemas.openxmlformats.org/officeDocument/2006/relationships/hyperlink" Target="https://clutch.co/agencies/ppc/uk/england" TargetMode="External"/><Relationship Id="rId866" Type="http://schemas.openxmlformats.org/officeDocument/2006/relationships/hyperlink" Target="https://seocompare.co.uk/ai-search-agencies-australia/" TargetMode="External"/><Relationship Id="rId865" Type="http://schemas.openxmlformats.org/officeDocument/2006/relationships/hyperlink" Target="http://google.com" TargetMode="External"/><Relationship Id="rId864" Type="http://schemas.openxmlformats.org/officeDocument/2006/relationships/hyperlink" Target="https://www.google.com/partners" TargetMode="External"/><Relationship Id="rId863" Type="http://schemas.openxmlformats.org/officeDocument/2006/relationships/hyperlink" Target="http://goodfirms.co" TargetMode="External"/><Relationship Id="rId869" Type="http://schemas.openxmlformats.org/officeDocument/2006/relationships/hyperlink" Target="http://sortlist.com" TargetMode="External"/><Relationship Id="rId868" Type="http://schemas.openxmlformats.org/officeDocument/2006/relationships/hyperlink" Target="https://www.sortlist.com/s/data-driven-marketing/australia-au" TargetMode="External"/><Relationship Id="rId867" Type="http://schemas.openxmlformats.org/officeDocument/2006/relationships/hyperlink" Target="http://seocompare.co.uk" TargetMode="External"/><Relationship Id="rId1690" Type="http://schemas.openxmlformats.org/officeDocument/2006/relationships/hyperlink" Target="http://influencermarketinghub.com" TargetMode="External"/><Relationship Id="rId1691" Type="http://schemas.openxmlformats.org/officeDocument/2006/relationships/hyperlink" Target="https://marketingplatform.google.com/about/partners/find-a-partner?category=206&amp;geo=united+kingdom&amp;q=&amp;region=EU" TargetMode="External"/><Relationship Id="rId1692" Type="http://schemas.openxmlformats.org/officeDocument/2006/relationships/hyperlink" Target="http://google.com" TargetMode="External"/><Relationship Id="rId862" Type="http://schemas.openxmlformats.org/officeDocument/2006/relationships/hyperlink" Target="https://www.goodfirms.co/directory/country/top-digital-marketing-companies/au?sort_by=matrix" TargetMode="External"/><Relationship Id="rId1693" Type="http://schemas.openxmlformats.org/officeDocument/2006/relationships/hyperlink" Target="https://www.oneclub.org/awards/theoneshow/-agency/Droga5%20%5Bs%5D%20London/2025" TargetMode="External"/><Relationship Id="rId2540" Type="http://schemas.openxmlformats.org/officeDocument/2006/relationships/hyperlink" Target="http://digitalagencynetwork.com" TargetMode="External"/><Relationship Id="rId861" Type="http://schemas.openxmlformats.org/officeDocument/2006/relationships/hyperlink" Target="http://goodfirms.co" TargetMode="External"/><Relationship Id="rId1210" Type="http://schemas.openxmlformats.org/officeDocument/2006/relationships/hyperlink" Target="http://semrush.com" TargetMode="External"/><Relationship Id="rId1694" Type="http://schemas.openxmlformats.org/officeDocument/2006/relationships/hyperlink" Target="http://oneclub.org" TargetMode="External"/><Relationship Id="rId2541" Type="http://schemas.openxmlformats.org/officeDocument/2006/relationships/hyperlink" Target="https://www.sortlist.com/s/paid-media/dubai-ae" TargetMode="External"/><Relationship Id="rId860" Type="http://schemas.openxmlformats.org/officeDocument/2006/relationships/hyperlink" Target="https://www.goodfirms.co/company/get-ai-ready" TargetMode="External"/><Relationship Id="rId1211" Type="http://schemas.openxmlformats.org/officeDocument/2006/relationships/hyperlink" Target="https://agencies.semrush.com/list/ai-optimization/united-kingdom/" TargetMode="External"/><Relationship Id="rId1695" Type="http://schemas.openxmlformats.org/officeDocument/2006/relationships/hyperlink" Target="https://oski.site/blog/sales-and-marketing-analytics-companies-europe/" TargetMode="External"/><Relationship Id="rId2542" Type="http://schemas.openxmlformats.org/officeDocument/2006/relationships/hyperlink" Target="http://sortlist.com" TargetMode="External"/><Relationship Id="rId1212" Type="http://schemas.openxmlformats.org/officeDocument/2006/relationships/hyperlink" Target="http://semrush.com" TargetMode="External"/><Relationship Id="rId1696"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2543" Type="http://schemas.openxmlformats.org/officeDocument/2006/relationships/drawing" Target="../drawings/drawing9.xml"/><Relationship Id="rId1202" Type="http://schemas.openxmlformats.org/officeDocument/2006/relationships/hyperlink" Target="http://cometly.com" TargetMode="External"/><Relationship Id="rId1686" Type="http://schemas.openxmlformats.org/officeDocument/2006/relationships/hyperlink" Target="http://google.com" TargetMode="External"/><Relationship Id="rId2533" Type="http://schemas.openxmlformats.org/officeDocument/2006/relationships/hyperlink" Target="https://www.sortlist.com/s/paid-media/united-arab-emirates-ae" TargetMode="External"/><Relationship Id="rId1203" Type="http://schemas.openxmlformats.org/officeDocument/2006/relationships/hyperlink" Target="https://digitalagencynetwork.com/agencies/uk/" TargetMode="External"/><Relationship Id="rId1687" Type="http://schemas.openxmlformats.org/officeDocument/2006/relationships/hyperlink" Target="https://influencermarketinghub.com/geo-agencies/" TargetMode="External"/><Relationship Id="rId2534" Type="http://schemas.openxmlformats.org/officeDocument/2006/relationships/hyperlink" Target="http://sortlist.com" TargetMode="External"/><Relationship Id="rId1204" Type="http://schemas.openxmlformats.org/officeDocument/2006/relationships/hyperlink" Target="http://digitalagencynetwork.com" TargetMode="External"/><Relationship Id="rId1688" Type="http://schemas.openxmlformats.org/officeDocument/2006/relationships/hyperlink" Target="http://influencermarketinghub.com" TargetMode="External"/><Relationship Id="rId2535" Type="http://schemas.openxmlformats.org/officeDocument/2006/relationships/hyperlink" Target="https://c2cmedia.ae/services/performance-marketing/" TargetMode="External"/><Relationship Id="rId1205" Type="http://schemas.openxmlformats.org/officeDocument/2006/relationships/hyperlink" Target="https://www.sortlist.co.uk/s/paid-media/london-england-gb" TargetMode="External"/><Relationship Id="rId1689" Type="http://schemas.openxmlformats.org/officeDocument/2006/relationships/hyperlink" Target="https://influencermarketinghub.com/performance-marketing-agencies/" TargetMode="External"/><Relationship Id="rId2536" Type="http://schemas.openxmlformats.org/officeDocument/2006/relationships/hyperlink" Target="http://c2cmedia.ae" TargetMode="External"/><Relationship Id="rId1206" Type="http://schemas.openxmlformats.org/officeDocument/2006/relationships/hyperlink" Target="http://sortlist.co.uk" TargetMode="External"/><Relationship Id="rId2537" Type="http://schemas.openxmlformats.org/officeDocument/2006/relationships/hyperlink" Target="https://www.bicommunications.ae/blog/best-ppc-agencies-uae/" TargetMode="External"/><Relationship Id="rId1207" Type="http://schemas.openxmlformats.org/officeDocument/2006/relationships/hyperlink" Target="https://clutch.co/agencies/creative/uk" TargetMode="External"/><Relationship Id="rId2538" Type="http://schemas.openxmlformats.org/officeDocument/2006/relationships/hyperlink" Target="http://bicommunications.ae" TargetMode="External"/><Relationship Id="rId1208" Type="http://schemas.openxmlformats.org/officeDocument/2006/relationships/hyperlink" Target="http://clutch.co" TargetMode="External"/><Relationship Id="rId2539" Type="http://schemas.openxmlformats.org/officeDocument/2006/relationships/hyperlink" Target="https://digitalagencynetwork.com/agencies/dubai/ai-marketing/" TargetMode="External"/><Relationship Id="rId1209" Type="http://schemas.openxmlformats.org/officeDocument/2006/relationships/hyperlink" Target="https://agencies.semrush.com/list/ai-optimization/london-city/" TargetMode="External"/><Relationship Id="rId855" Type="http://schemas.openxmlformats.org/officeDocument/2006/relationships/hyperlink" Target="http://digitalagencynetwork.com" TargetMode="External"/><Relationship Id="rId854" Type="http://schemas.openxmlformats.org/officeDocument/2006/relationships/hyperlink" Target="https://digitalagencynetwork.com/agencies/australia/industry/it-technology/" TargetMode="External"/><Relationship Id="rId853" Type="http://schemas.openxmlformats.org/officeDocument/2006/relationships/hyperlink" Target="http://designrush.com" TargetMode="External"/><Relationship Id="rId852" Type="http://schemas.openxmlformats.org/officeDocument/2006/relationships/hyperlink" Target="https://www.designrush.com/agency/paid-media-pay-per-click/au/melbourne" TargetMode="External"/><Relationship Id="rId859" Type="http://schemas.openxmlformats.org/officeDocument/2006/relationships/hyperlink" Target="http://goodfirms.co" TargetMode="External"/><Relationship Id="rId858" Type="http://schemas.openxmlformats.org/officeDocument/2006/relationships/hyperlink" Target="https://www.goodfirms.co/advertising-companies/sydney" TargetMode="External"/><Relationship Id="rId857" Type="http://schemas.openxmlformats.org/officeDocument/2006/relationships/hyperlink" Target="http://digitalagencynetwork.com" TargetMode="External"/><Relationship Id="rId856" Type="http://schemas.openxmlformats.org/officeDocument/2006/relationships/hyperlink" Target="https://digitalagencynetwork.com/google-reveals-in-marketing-we-trust-in-top-1-of-google-agency-partners-in-australia/" TargetMode="External"/><Relationship Id="rId1680" Type="http://schemas.openxmlformats.org/officeDocument/2006/relationships/hyperlink" Target="http://google.com" TargetMode="External"/><Relationship Id="rId1681" Type="http://schemas.openxmlformats.org/officeDocument/2006/relationships/hyperlink" Target="https://www.google.com/searchviewer/10?svid=CAwSHRIbCgNwdnESFENnMHZaeTh4TVhaa05teDNjVGQzGAo" TargetMode="External"/><Relationship Id="rId851" Type="http://schemas.openxmlformats.org/officeDocument/2006/relationships/hyperlink" Target="http://designrush.com" TargetMode="External"/><Relationship Id="rId1682" Type="http://schemas.openxmlformats.org/officeDocument/2006/relationships/hyperlink" Target="http://google.com" TargetMode="External"/><Relationship Id="rId850" Type="http://schemas.openxmlformats.org/officeDocument/2006/relationships/hyperlink" Target="https://www.designrush.com/agency/digital-agencies/au" TargetMode="External"/><Relationship Id="rId1683" Type="http://schemas.openxmlformats.org/officeDocument/2006/relationships/hyperlink" Target="https://www.google.com/searchviewer/10?svid=CAwSHRIbCgNwdnESFENnMHZaeTh4TVhkM2VqSnpjMmh3GAo" TargetMode="External"/><Relationship Id="rId2530" Type="http://schemas.openxmlformats.org/officeDocument/2006/relationships/hyperlink" Target="http://sortlist.com" TargetMode="External"/><Relationship Id="rId1200" Type="http://schemas.openxmlformats.org/officeDocument/2006/relationships/hyperlink" Target="http://digitalagencynetwork.com" TargetMode="External"/><Relationship Id="rId1684" Type="http://schemas.openxmlformats.org/officeDocument/2006/relationships/hyperlink" Target="http://google.com" TargetMode="External"/><Relationship Id="rId2531" Type="http://schemas.openxmlformats.org/officeDocument/2006/relationships/hyperlink" Target="https://www.bicommunications.ae/blog/best-google-ads-agencies-uae/" TargetMode="External"/><Relationship Id="rId1201" Type="http://schemas.openxmlformats.org/officeDocument/2006/relationships/hyperlink" Target="https://www.cometly.com/post/marketing-incrementality-testing-tools" TargetMode="External"/><Relationship Id="rId1685" Type="http://schemas.openxmlformats.org/officeDocument/2006/relationships/hyperlink" Target="https://www.google.com/searchviewer/10?svid=CAwSHRIbCgNwdnESFENnMHZaeTh4TVhkcU5XUndiVEUxGAo" TargetMode="External"/><Relationship Id="rId2532" Type="http://schemas.openxmlformats.org/officeDocument/2006/relationships/hyperlink" Target="http://bicommunications.ae" TargetMode="External"/><Relationship Id="rId1235" Type="http://schemas.openxmlformats.org/officeDocument/2006/relationships/hyperlink" Target="https://www.sortlist.co.uk/s/display-advertising/england-england-gb" TargetMode="External"/><Relationship Id="rId1236" Type="http://schemas.openxmlformats.org/officeDocument/2006/relationships/hyperlink" Target="http://sortlist.co.uk" TargetMode="External"/><Relationship Id="rId1237" Type="http://schemas.openxmlformats.org/officeDocument/2006/relationships/hyperlink" Target="https://www.sortlist.co.uk/s/performance-marketing/london-england-gb" TargetMode="External"/><Relationship Id="rId1238" Type="http://schemas.openxmlformats.org/officeDocument/2006/relationships/hyperlink" Target="http://sortlist.co.uk" TargetMode="External"/><Relationship Id="rId1239" Type="http://schemas.openxmlformats.org/officeDocument/2006/relationships/hyperlink" Target="https://business.google.com/uk/think/measurement/incrementality-testing/" TargetMode="External"/><Relationship Id="rId409" Type="http://schemas.openxmlformats.org/officeDocument/2006/relationships/hyperlink" Target="https://agencies.semrush.com/list/los-angeles/" TargetMode="External"/><Relationship Id="rId404" Type="http://schemas.openxmlformats.org/officeDocument/2006/relationships/hyperlink" Target="http://semrush.com" TargetMode="External"/><Relationship Id="rId888" Type="http://schemas.openxmlformats.org/officeDocument/2006/relationships/hyperlink" Target="https://agencies.semrush.com/list/machine-learning-and-ai/sydney/" TargetMode="External"/><Relationship Id="rId403" Type="http://schemas.openxmlformats.org/officeDocument/2006/relationships/hyperlink" Target="https://agencies.semrush.com/list/" TargetMode="External"/><Relationship Id="rId887" Type="http://schemas.openxmlformats.org/officeDocument/2006/relationships/hyperlink" Target="http://semrush.com" TargetMode="External"/><Relationship Id="rId402" Type="http://schemas.openxmlformats.org/officeDocument/2006/relationships/hyperlink" Target="http://google.com" TargetMode="External"/><Relationship Id="rId886" Type="http://schemas.openxmlformats.org/officeDocument/2006/relationships/hyperlink" Target="https://agencies.semrush.com/list/facebook-advertising/australia/" TargetMode="External"/><Relationship Id="rId401" Type="http://schemas.openxmlformats.org/officeDocument/2006/relationships/hyperlink" Target="https://ads.google.com/intl/fy/home/partners/become-a-partner/" TargetMode="External"/><Relationship Id="rId885" Type="http://schemas.openxmlformats.org/officeDocument/2006/relationships/hyperlink" Target="http://semrush.com" TargetMode="External"/><Relationship Id="rId408" Type="http://schemas.openxmlformats.org/officeDocument/2006/relationships/hyperlink" Target="http://semrush.com" TargetMode="External"/><Relationship Id="rId407" Type="http://schemas.openxmlformats.org/officeDocument/2006/relationships/hyperlink" Target="https://agencies.semrush.com/list/ai-optimization/united-states/small-business/" TargetMode="External"/><Relationship Id="rId406" Type="http://schemas.openxmlformats.org/officeDocument/2006/relationships/hyperlink" Target="http://semrush.com" TargetMode="External"/><Relationship Id="rId405" Type="http://schemas.openxmlformats.org/officeDocument/2006/relationships/hyperlink" Target="https://agencies.semrush.com/list/advertising/united-states/" TargetMode="External"/><Relationship Id="rId889" Type="http://schemas.openxmlformats.org/officeDocument/2006/relationships/hyperlink" Target="http://semrush.com" TargetMode="External"/><Relationship Id="rId880" Type="http://schemas.openxmlformats.org/officeDocument/2006/relationships/hyperlink" Target="https://agencies.semrush.com/list/analytics-data-science/melbourne/" TargetMode="External"/><Relationship Id="rId1230" Type="http://schemas.openxmlformats.org/officeDocument/2006/relationships/hyperlink" Target="http://goodfirms.co" TargetMode="External"/><Relationship Id="rId400" Type="http://schemas.openxmlformats.org/officeDocument/2006/relationships/hyperlink" Target="http://webtonic.io" TargetMode="External"/><Relationship Id="rId884" Type="http://schemas.openxmlformats.org/officeDocument/2006/relationships/hyperlink" Target="https://agencies.semrush.com/list/display-advertising/melbourne/small-business/" TargetMode="External"/><Relationship Id="rId1231" Type="http://schemas.openxmlformats.org/officeDocument/2006/relationships/hyperlink" Target="https://support.google.com/analytics/answer/7237700?hl=en" TargetMode="External"/><Relationship Id="rId883" Type="http://schemas.openxmlformats.org/officeDocument/2006/relationships/hyperlink" Target="http://semrush.com" TargetMode="External"/><Relationship Id="rId1232" Type="http://schemas.openxmlformats.org/officeDocument/2006/relationships/hyperlink" Target="http://google.com" TargetMode="External"/><Relationship Id="rId882" Type="http://schemas.openxmlformats.org/officeDocument/2006/relationships/hyperlink" Target="https://agencies.semrush.com/list/analytics-data-science/melbourne/enterprise-business/" TargetMode="External"/><Relationship Id="rId1233" Type="http://schemas.openxmlformats.org/officeDocument/2006/relationships/hyperlink" Target="https://seocompare.co.uk/best-geo-agencies-uk/" TargetMode="External"/><Relationship Id="rId881" Type="http://schemas.openxmlformats.org/officeDocument/2006/relationships/hyperlink" Target="http://semrush.com" TargetMode="External"/><Relationship Id="rId1234" Type="http://schemas.openxmlformats.org/officeDocument/2006/relationships/hyperlink" Target="http://seocompare.co.uk" TargetMode="External"/><Relationship Id="rId1224" Type="http://schemas.openxmlformats.org/officeDocument/2006/relationships/hyperlink" Target="http://sortlist.co.uk" TargetMode="External"/><Relationship Id="rId1225" Type="http://schemas.openxmlformats.org/officeDocument/2006/relationships/hyperlink" Target="https://clutch.co/agencies/ppc/display/uk" TargetMode="External"/><Relationship Id="rId1226" Type="http://schemas.openxmlformats.org/officeDocument/2006/relationships/hyperlink" Target="http://clutch.co" TargetMode="External"/><Relationship Id="rId1227" Type="http://schemas.openxmlformats.org/officeDocument/2006/relationships/hyperlink" Target="https://clutch.co/agencies/social-media-marketing/uk" TargetMode="External"/><Relationship Id="rId1228" Type="http://schemas.openxmlformats.org/officeDocument/2006/relationships/hyperlink" Target="http://clutch.co" TargetMode="External"/><Relationship Id="rId1229" Type="http://schemas.openxmlformats.org/officeDocument/2006/relationships/hyperlink" Target="https://www.goodfirms.co/directory/country/top-digital-marketing-companies/gb" TargetMode="External"/><Relationship Id="rId877" Type="http://schemas.openxmlformats.org/officeDocument/2006/relationships/hyperlink" Target="http://themanifest.com" TargetMode="External"/><Relationship Id="rId876" Type="http://schemas.openxmlformats.org/officeDocument/2006/relationships/hyperlink" Target="https://themanifest.com/au/digital-marketing/agencies?page=1" TargetMode="External"/><Relationship Id="rId875" Type="http://schemas.openxmlformats.org/officeDocument/2006/relationships/hyperlink" Target="http://themanifest.com" TargetMode="External"/><Relationship Id="rId874" Type="http://schemas.openxmlformats.org/officeDocument/2006/relationships/hyperlink" Target="https://themanifest.com/au/digital-marketing/agencies" TargetMode="External"/><Relationship Id="rId879" Type="http://schemas.openxmlformats.org/officeDocument/2006/relationships/hyperlink" Target="http://semrush.com" TargetMode="External"/><Relationship Id="rId878" Type="http://schemas.openxmlformats.org/officeDocument/2006/relationships/hyperlink" Target="https://agencies.semrush.com/list/advertising/melbourne/" TargetMode="External"/><Relationship Id="rId873" Type="http://schemas.openxmlformats.org/officeDocument/2006/relationships/hyperlink" Target="http://techbullion.com" TargetMode="External"/><Relationship Id="rId1220" Type="http://schemas.openxmlformats.org/officeDocument/2006/relationships/hyperlink" Target="http://clutch.co" TargetMode="External"/><Relationship Id="rId872" Type="http://schemas.openxmlformats.org/officeDocument/2006/relationships/hyperlink" Target="https://techbullion.com/top-australian-geo-agencies-helping-brands-appear-in-ai-generated-answers/" TargetMode="External"/><Relationship Id="rId1221" Type="http://schemas.openxmlformats.org/officeDocument/2006/relationships/hyperlink" Target="https://digitalagencynetwork.com/agencies/uk/geo/" TargetMode="External"/><Relationship Id="rId871" Type="http://schemas.openxmlformats.org/officeDocument/2006/relationships/hyperlink" Target="http://sortlist.com" TargetMode="External"/><Relationship Id="rId1222" Type="http://schemas.openxmlformats.org/officeDocument/2006/relationships/hyperlink" Target="http://digitalagencynetwork.com" TargetMode="External"/><Relationship Id="rId870" Type="http://schemas.openxmlformats.org/officeDocument/2006/relationships/hyperlink" Target="https://www.sortlist.com/s/paid-media/new-south-wales-nsw-au" TargetMode="External"/><Relationship Id="rId1223" Type="http://schemas.openxmlformats.org/officeDocument/2006/relationships/hyperlink" Target="https://www.sortlist.co.uk/s/performance-marketing/united-kingdom-gb" TargetMode="External"/><Relationship Id="rId1653" Type="http://schemas.openxmlformats.org/officeDocument/2006/relationships/hyperlink" Target="https://www.google.com/searchviewer/10?svid=CAwSHRIbCgNwdnESFENnMHZaeTh4TVdZNGFITjZhM1J0GAo" TargetMode="External"/><Relationship Id="rId2500" Type="http://schemas.openxmlformats.org/officeDocument/2006/relationships/hyperlink" Target="https://themanifest.com/de/social-media/linkedin/agencies" TargetMode="External"/><Relationship Id="rId1654" Type="http://schemas.openxmlformats.org/officeDocument/2006/relationships/hyperlink" Target="http://google.com" TargetMode="External"/><Relationship Id="rId2501" Type="http://schemas.openxmlformats.org/officeDocument/2006/relationships/hyperlink" Target="http://themanifest.com" TargetMode="External"/><Relationship Id="rId1655" Type="http://schemas.openxmlformats.org/officeDocument/2006/relationships/hyperlink" Target="https://www.google.com/searchviewer/10?svid=CAwSHRIbCgNwdnESFENnMHZaeTh4TVdZd05ESnpjMTlrGAo" TargetMode="External"/><Relationship Id="rId2502" Type="http://schemas.openxmlformats.org/officeDocument/2006/relationships/hyperlink" Target="https://themanifest.com/de/social-media/tiktok/agencies" TargetMode="External"/><Relationship Id="rId1656" Type="http://schemas.openxmlformats.org/officeDocument/2006/relationships/hyperlink" Target="http://google.com" TargetMode="External"/><Relationship Id="rId2503" Type="http://schemas.openxmlformats.org/officeDocument/2006/relationships/hyperlink" Target="http://themanifest.com" TargetMode="External"/><Relationship Id="rId1657" Type="http://schemas.openxmlformats.org/officeDocument/2006/relationships/hyperlink" Target="https://www.google.com/searchviewer/10?svid=CAwSHRIbCgNwdnESFENnMHZaeTh4TVdkMFp6bHhhbmRuGAo" TargetMode="External"/><Relationship Id="rId2504" Type="http://schemas.openxmlformats.org/officeDocument/2006/relationships/hyperlink" Target="https://www.webtonic.io/blog/best-performance-marketing-agencies-2026" TargetMode="External"/><Relationship Id="rId1658" Type="http://schemas.openxmlformats.org/officeDocument/2006/relationships/hyperlink" Target="http://google.com" TargetMode="External"/><Relationship Id="rId2505" Type="http://schemas.openxmlformats.org/officeDocument/2006/relationships/hyperlink" Target="http://webtonic.io" TargetMode="External"/><Relationship Id="rId1659" Type="http://schemas.openxmlformats.org/officeDocument/2006/relationships/hyperlink" Target="https://www.google.com/searchviewer/10?svid=CAwSHRIbCgNwdnESFENnMHZaeTh4TVdneE9HZHRjak53GAo" TargetMode="External"/><Relationship Id="rId2506" Type="http://schemas.openxmlformats.org/officeDocument/2006/relationships/hyperlink" Target="https://www.topdevelopers.co/directory/digital-marketing-agencies-in-uae" TargetMode="External"/><Relationship Id="rId2507" Type="http://schemas.openxmlformats.org/officeDocument/2006/relationships/hyperlink" Target="http://topdevelopers.co" TargetMode="External"/><Relationship Id="rId2508" Type="http://schemas.openxmlformats.org/officeDocument/2006/relationships/hyperlink" Target="https://www.pushgroup.ae/blog/top-9-geo-agencies-in-dubai" TargetMode="External"/><Relationship Id="rId829" Type="http://schemas.openxmlformats.org/officeDocument/2006/relationships/hyperlink" Target="http://goodfirms.co" TargetMode="External"/><Relationship Id="rId2509" Type="http://schemas.openxmlformats.org/officeDocument/2006/relationships/hyperlink" Target="http://pushgroup.ae" TargetMode="External"/><Relationship Id="rId828" Type="http://schemas.openxmlformats.org/officeDocument/2006/relationships/hyperlink" Target="https://www.goodfirms.co/directory/city/top-digital-marketing-companies/media-planning-buying/melbourne" TargetMode="External"/><Relationship Id="rId827" Type="http://schemas.openxmlformats.org/officeDocument/2006/relationships/hyperlink" Target="http://clutch.co" TargetMode="External"/><Relationship Id="rId822" Type="http://schemas.openxmlformats.org/officeDocument/2006/relationships/hyperlink" Target="https://clutch.co/au/agencies/melbourne" TargetMode="External"/><Relationship Id="rId821" Type="http://schemas.openxmlformats.org/officeDocument/2006/relationships/hyperlink" Target="http://clutch.co" TargetMode="External"/><Relationship Id="rId820" Type="http://schemas.openxmlformats.org/officeDocument/2006/relationships/hyperlink" Target="https://clutch.co/au/agencies/business-services-industry" TargetMode="External"/><Relationship Id="rId826" Type="http://schemas.openxmlformats.org/officeDocument/2006/relationships/hyperlink" Target="https://clutch.co/au/agencies/ppc/sydney" TargetMode="External"/><Relationship Id="rId825" Type="http://schemas.openxmlformats.org/officeDocument/2006/relationships/hyperlink" Target="http://clutch.co" TargetMode="External"/><Relationship Id="rId824" Type="http://schemas.openxmlformats.org/officeDocument/2006/relationships/hyperlink" Target="https://clutch.co/au/agencies/ppc%3Fpage%3D2" TargetMode="External"/><Relationship Id="rId823" Type="http://schemas.openxmlformats.org/officeDocument/2006/relationships/hyperlink" Target="http://clutch.co" TargetMode="External"/><Relationship Id="rId1650" Type="http://schemas.openxmlformats.org/officeDocument/2006/relationships/hyperlink" Target="http://google.com" TargetMode="External"/><Relationship Id="rId1651" Type="http://schemas.openxmlformats.org/officeDocument/2006/relationships/hyperlink" Target="https://www.google.com/searchviewer/10?svid=CAwSHRIbCgNwdnESFENnMHZaeTh4TVdOek0zcHNjblp5GAo" TargetMode="External"/><Relationship Id="rId1652" Type="http://schemas.openxmlformats.org/officeDocument/2006/relationships/hyperlink" Target="http://google.com" TargetMode="External"/><Relationship Id="rId1642" Type="http://schemas.openxmlformats.org/officeDocument/2006/relationships/hyperlink" Target="http://google.com" TargetMode="External"/><Relationship Id="rId1643" Type="http://schemas.openxmlformats.org/officeDocument/2006/relationships/hyperlink" Target="https://www.google.com/searchviewer/10?svid=CAwSHRIbCgNwdnESFENnMHZaeTh4TVdKMGJUbHdYM1JzGAo" TargetMode="External"/><Relationship Id="rId1644" Type="http://schemas.openxmlformats.org/officeDocument/2006/relationships/hyperlink" Target="http://google.com" TargetMode="External"/><Relationship Id="rId1645" Type="http://schemas.openxmlformats.org/officeDocument/2006/relationships/hyperlink" Target="https://www.google.com/searchviewer/10?svid=CAwSHRIbCgNwdnESFENnMHZaeTh4TVdKaWRESnFkRFp6GAo" TargetMode="External"/><Relationship Id="rId1646" Type="http://schemas.openxmlformats.org/officeDocument/2006/relationships/hyperlink" Target="http://google.com" TargetMode="External"/><Relationship Id="rId1647" Type="http://schemas.openxmlformats.org/officeDocument/2006/relationships/hyperlink" Target="https://www.google.com/searchviewer/10?svid=CAwSHRIbCgNwdnESFENnMHZaeTh4TVdNMFltZDBNekZ1GAo" TargetMode="External"/><Relationship Id="rId1648" Type="http://schemas.openxmlformats.org/officeDocument/2006/relationships/hyperlink" Target="http://google.com" TargetMode="External"/><Relationship Id="rId1649" Type="http://schemas.openxmlformats.org/officeDocument/2006/relationships/hyperlink" Target="https://www.google.com/searchviewer/10?svid=CAwSHRIbCgNwdnESFENnMHZaeTh4TVdNMU5IWm1aMlF5GAo" TargetMode="External"/><Relationship Id="rId819" Type="http://schemas.openxmlformats.org/officeDocument/2006/relationships/hyperlink" Target="http://semrush.com" TargetMode="External"/><Relationship Id="rId818" Type="http://schemas.openxmlformats.org/officeDocument/2006/relationships/hyperlink" Target="https://agencies.semrush.com/list/ppc/australia/" TargetMode="External"/><Relationship Id="rId817" Type="http://schemas.openxmlformats.org/officeDocument/2006/relationships/hyperlink" Target="http://semrush.com" TargetMode="External"/><Relationship Id="rId816" Type="http://schemas.openxmlformats.org/officeDocument/2006/relationships/hyperlink" Target="https://agencies.semrush.com/list/display-advertising/ecommerce/australia/" TargetMode="External"/><Relationship Id="rId811" Type="http://schemas.openxmlformats.org/officeDocument/2006/relationships/hyperlink" Target="http://designrush.com" TargetMode="External"/><Relationship Id="rId810" Type="http://schemas.openxmlformats.org/officeDocument/2006/relationships/hyperlink" Target="https://www.designrush.com/agency/paid-media-pay-per-click/au?page=6" TargetMode="External"/><Relationship Id="rId815" Type="http://schemas.openxmlformats.org/officeDocument/2006/relationships/hyperlink" Target="http://sortlist.com" TargetMode="External"/><Relationship Id="rId814" Type="http://schemas.openxmlformats.org/officeDocument/2006/relationships/hyperlink" Target="https://www.sortlist.com/s/paid-media/melbourne-au" TargetMode="External"/><Relationship Id="rId813" Type="http://schemas.openxmlformats.org/officeDocument/2006/relationships/hyperlink" Target="http://google.com" TargetMode="External"/><Relationship Id="rId812" Type="http://schemas.openxmlformats.org/officeDocument/2006/relationships/hyperlink" Target="https://www.google.com/intl/en_GB/ads/publisher/partners/find-a-partner/" TargetMode="External"/><Relationship Id="rId1640" Type="http://schemas.openxmlformats.org/officeDocument/2006/relationships/hyperlink" Target="http://google.com" TargetMode="External"/><Relationship Id="rId1641" Type="http://schemas.openxmlformats.org/officeDocument/2006/relationships/hyperlink" Target="https://www.google.com/searchviewer/10?svid=CAwSHRIbCgNwdnESFENnMHZaeTh4TVdKM1p6bGZjbUkwGAo" TargetMode="External"/><Relationship Id="rId1675" Type="http://schemas.openxmlformats.org/officeDocument/2006/relationships/hyperlink" Target="https://www.google.com/searchviewer/10?svid=CAwSHRIbCgNwdnESFENnMHZaeTh4TVhNM1puYzNjRE56GAo" TargetMode="External"/><Relationship Id="rId2522" Type="http://schemas.openxmlformats.org/officeDocument/2006/relationships/hyperlink" Target="https://clutch.co/ae/agencies" TargetMode="External"/><Relationship Id="rId1676" Type="http://schemas.openxmlformats.org/officeDocument/2006/relationships/hyperlink" Target="http://google.com" TargetMode="External"/><Relationship Id="rId2523" Type="http://schemas.openxmlformats.org/officeDocument/2006/relationships/hyperlink" Target="http://clutch.co" TargetMode="External"/><Relationship Id="rId1677" Type="http://schemas.openxmlformats.org/officeDocument/2006/relationships/hyperlink" Target="https://www.google.com/searchviewer/10?svid=CAwSHRIbCgNwdnESFENnMHZaeTh4TVhONVl6RnFlR2RzGAo" TargetMode="External"/><Relationship Id="rId2524" Type="http://schemas.openxmlformats.org/officeDocument/2006/relationships/hyperlink" Target="https://clutch.co/ae/agencies/digital-marketing" TargetMode="External"/><Relationship Id="rId1678" Type="http://schemas.openxmlformats.org/officeDocument/2006/relationships/hyperlink" Target="http://google.com" TargetMode="External"/><Relationship Id="rId2525" Type="http://schemas.openxmlformats.org/officeDocument/2006/relationships/hyperlink" Target="http://clutch.co" TargetMode="External"/><Relationship Id="rId1679" Type="http://schemas.openxmlformats.org/officeDocument/2006/relationships/hyperlink" Target="https://www.google.com/searchviewer/10?svid=CAwSHRIbCgNwdnESFENnMHZaeTh4TVhScVp6aHRjM0o2GAo" TargetMode="External"/><Relationship Id="rId2526" Type="http://schemas.openxmlformats.org/officeDocument/2006/relationships/hyperlink" Target="https://growthhackers.digital/best-performance-marketing-agencies-in-uae/" TargetMode="External"/><Relationship Id="rId2527" Type="http://schemas.openxmlformats.org/officeDocument/2006/relationships/hyperlink" Target="https://agencies.semrush.com/list/dubai/" TargetMode="External"/><Relationship Id="rId2528" Type="http://schemas.openxmlformats.org/officeDocument/2006/relationships/hyperlink" Target="http://semrush.com" TargetMode="External"/><Relationship Id="rId2529" Type="http://schemas.openxmlformats.org/officeDocument/2006/relationships/hyperlink" Target="https://www.sortlist.com/s/marketing-analytics/dubai-ae" TargetMode="External"/><Relationship Id="rId849" Type="http://schemas.openxmlformats.org/officeDocument/2006/relationships/hyperlink" Target="http://clutch.co" TargetMode="External"/><Relationship Id="rId844" Type="http://schemas.openxmlformats.org/officeDocument/2006/relationships/hyperlink" Target="https://agencies.semrush.com/list/ppc/arts-entertainment/australia/" TargetMode="External"/><Relationship Id="rId843" Type="http://schemas.openxmlformats.org/officeDocument/2006/relationships/hyperlink" Target="http://semrush.com" TargetMode="External"/><Relationship Id="rId842" Type="http://schemas.openxmlformats.org/officeDocument/2006/relationships/hyperlink" Target="https://agencies.semrush.com/list/display-advertising/melbourne/" TargetMode="External"/><Relationship Id="rId841" Type="http://schemas.openxmlformats.org/officeDocument/2006/relationships/hyperlink" Target="http://semrush.com" TargetMode="External"/><Relationship Id="rId848" Type="http://schemas.openxmlformats.org/officeDocument/2006/relationships/hyperlink" Target="https://clutch.co/au/agencies/social-media-marketing/tik-tok" TargetMode="External"/><Relationship Id="rId847" Type="http://schemas.openxmlformats.org/officeDocument/2006/relationships/hyperlink" Target="http://bandt.com.au" TargetMode="External"/><Relationship Id="rId846" Type="http://schemas.openxmlformats.org/officeDocument/2006/relationships/hyperlink" Target="https://www.bandt.com.au/bts-ones-to-watch-creative-agencies-2/" TargetMode="External"/><Relationship Id="rId845" Type="http://schemas.openxmlformats.org/officeDocument/2006/relationships/hyperlink" Target="http://semrush.com" TargetMode="External"/><Relationship Id="rId1670" Type="http://schemas.openxmlformats.org/officeDocument/2006/relationships/hyperlink" Target="http://google.com" TargetMode="External"/><Relationship Id="rId840" Type="http://schemas.openxmlformats.org/officeDocument/2006/relationships/hyperlink" Target="https://agencies.semrush.com/list/display-advertising/australia/enterprise-business/" TargetMode="External"/><Relationship Id="rId1671" Type="http://schemas.openxmlformats.org/officeDocument/2006/relationships/hyperlink" Target="https://www.google.com/searchviewer/10?svid=CAwSHRIbCgNwdnESFENnMHZaeTh4TVhGaWRqVnRNSEZzGAo" TargetMode="External"/><Relationship Id="rId1672" Type="http://schemas.openxmlformats.org/officeDocument/2006/relationships/hyperlink" Target="http://google.com" TargetMode="External"/><Relationship Id="rId1673" Type="http://schemas.openxmlformats.org/officeDocument/2006/relationships/hyperlink" Target="https://www.google.com/searchviewer/10?svid=CAwSHRIbCgNwdnESFENnMHZaeTh4TVhGbk1EQnJNV0pqGAo" TargetMode="External"/><Relationship Id="rId2520" Type="http://schemas.openxmlformats.org/officeDocument/2006/relationships/hyperlink" Target="https://www.housesofgrowth.com/post/ai-marketing-agencies-in-the-uae" TargetMode="External"/><Relationship Id="rId1674" Type="http://schemas.openxmlformats.org/officeDocument/2006/relationships/hyperlink" Target="http://google.com" TargetMode="External"/><Relationship Id="rId2521" Type="http://schemas.openxmlformats.org/officeDocument/2006/relationships/hyperlink" Target="http://housesofgrowth.com" TargetMode="External"/><Relationship Id="rId1664" Type="http://schemas.openxmlformats.org/officeDocument/2006/relationships/hyperlink" Target="http://google.com" TargetMode="External"/><Relationship Id="rId2511" Type="http://schemas.openxmlformats.org/officeDocument/2006/relationships/hyperlink" Target="http://wearetenet.com" TargetMode="External"/><Relationship Id="rId1665" Type="http://schemas.openxmlformats.org/officeDocument/2006/relationships/hyperlink" Target="https://www.google.com/searchviewer/10?svid=CAwSHRIbCgNwdnESFENnMHZaeTh4TVdoa05uZDZkRFJuGAo" TargetMode="External"/><Relationship Id="rId2512" Type="http://schemas.openxmlformats.org/officeDocument/2006/relationships/hyperlink" Target="https://waimhub.com/best-aeo-geo-agencies-dubai/" TargetMode="External"/><Relationship Id="rId1666" Type="http://schemas.openxmlformats.org/officeDocument/2006/relationships/hyperlink" Target="http://google.com" TargetMode="External"/><Relationship Id="rId2513" Type="http://schemas.openxmlformats.org/officeDocument/2006/relationships/hyperlink" Target="http://waimhub.com" TargetMode="External"/><Relationship Id="rId1667" Type="http://schemas.openxmlformats.org/officeDocument/2006/relationships/hyperlink" Target="https://www.google.com/searchviewer/10?svid=CAwSHRIbCgNwdnESFENnMHZaeTh4TVdveWMyMXVPVEprGAo" TargetMode="External"/><Relationship Id="rId2514" Type="http://schemas.openxmlformats.org/officeDocument/2006/relationships/hyperlink" Target="https://digitalagencynetwork.com/agencies/dubai/" TargetMode="External"/><Relationship Id="rId1668" Type="http://schemas.openxmlformats.org/officeDocument/2006/relationships/hyperlink" Target="http://google.com" TargetMode="External"/><Relationship Id="rId2515" Type="http://schemas.openxmlformats.org/officeDocument/2006/relationships/hyperlink" Target="http://digitalagencynetwork.com" TargetMode="External"/><Relationship Id="rId1669" Type="http://schemas.openxmlformats.org/officeDocument/2006/relationships/hyperlink" Target="https://www.google.com/searchviewer/10?svid=CAwSHRIbCgNwdnESFENnMHZaeTh4TVdzd05qZG9lRGx1GAo" TargetMode="External"/><Relationship Id="rId2516" Type="http://schemas.openxmlformats.org/officeDocument/2006/relationships/hyperlink" Target="https://www.digitalgravity.ae/blog/top-answer-engine-optimization-aeo-agencies-in-dubai/" TargetMode="External"/><Relationship Id="rId2517" Type="http://schemas.openxmlformats.org/officeDocument/2006/relationships/hyperlink" Target="http://digitalgravity.ae" TargetMode="External"/><Relationship Id="rId2518" Type="http://schemas.openxmlformats.org/officeDocument/2006/relationships/hyperlink" Target="https://www.phable.io/top-creative-agencies/top-10-creative-agencies-operating-in-the-uae" TargetMode="External"/><Relationship Id="rId2519" Type="http://schemas.openxmlformats.org/officeDocument/2006/relationships/hyperlink" Target="http://phable.io" TargetMode="External"/><Relationship Id="rId839" Type="http://schemas.openxmlformats.org/officeDocument/2006/relationships/hyperlink" Target="http://semrush.com" TargetMode="External"/><Relationship Id="rId838" Type="http://schemas.openxmlformats.org/officeDocument/2006/relationships/hyperlink" Target="https://agencies.semrush.com/list/analytics-data-science/information-technology/australia/" TargetMode="External"/><Relationship Id="rId833" Type="http://schemas.openxmlformats.org/officeDocument/2006/relationships/hyperlink" Target="http://sortlist.com" TargetMode="External"/><Relationship Id="rId832" Type="http://schemas.openxmlformats.org/officeDocument/2006/relationships/hyperlink" Target="https://www.sortlist.com/s/display-advertising/brisbane-qld-au" TargetMode="External"/><Relationship Id="rId831" Type="http://schemas.openxmlformats.org/officeDocument/2006/relationships/hyperlink" Target="http://goodfirms.co" TargetMode="External"/><Relationship Id="rId830" Type="http://schemas.openxmlformats.org/officeDocument/2006/relationships/hyperlink" Target="https://www.goodfirms.co/directory/country/top-digital-marketing-companies/media-planning-buying/australia" TargetMode="External"/><Relationship Id="rId837" Type="http://schemas.openxmlformats.org/officeDocument/2006/relationships/hyperlink" Target="http://theaustralian.com.au" TargetMode="External"/><Relationship Id="rId836" Type="http://schemas.openxmlformats.org/officeDocument/2006/relationships/hyperlink" Target="https://www.theaustralian.com.au/business/media/the-little-agencies-attracting-big-dollars/news-story/2a4a9f535e088c25718a59cba4451cda" TargetMode="External"/><Relationship Id="rId835" Type="http://schemas.openxmlformats.org/officeDocument/2006/relationships/hyperlink" Target="http://google.com" TargetMode="External"/><Relationship Id="rId834" Type="http://schemas.openxmlformats.org/officeDocument/2006/relationships/hyperlink" Target="https://support.google.com/analytics/answer/7237700?hl=en-AU" TargetMode="External"/><Relationship Id="rId1660" Type="http://schemas.openxmlformats.org/officeDocument/2006/relationships/hyperlink" Target="http://google.com" TargetMode="External"/><Relationship Id="rId1661" Type="http://schemas.openxmlformats.org/officeDocument/2006/relationships/hyperlink" Target="https://www.google.com/searchviewer/10?svid=CAwSHRIbCgNwdnESFENnMHZaeTh4TVdnelluUjJkekJ0GAo" TargetMode="External"/><Relationship Id="rId1662" Type="http://schemas.openxmlformats.org/officeDocument/2006/relationships/hyperlink" Target="http://google.com" TargetMode="External"/><Relationship Id="rId1663" Type="http://schemas.openxmlformats.org/officeDocument/2006/relationships/hyperlink" Target="https://www.google.com/searchviewer/10?svid=CAwSHRIbCgNwdnESFENnMHZaeTh4TVdoMGVuTTBObmt3GAo" TargetMode="External"/><Relationship Id="rId2510" Type="http://schemas.openxmlformats.org/officeDocument/2006/relationships/hyperlink" Target="https://www.wearetenet.com/blog/best-geo-services-in-dubai" TargetMode="External"/><Relationship Id="rId2148" Type="http://schemas.openxmlformats.org/officeDocument/2006/relationships/hyperlink" Target="https://agencies.semrush.com/list/analytics-data-science/germany/enterprise-business/" TargetMode="External"/><Relationship Id="rId2149" Type="http://schemas.openxmlformats.org/officeDocument/2006/relationships/hyperlink" Target="http://semrush.com" TargetMode="External"/><Relationship Id="rId469" Type="http://schemas.openxmlformats.org/officeDocument/2006/relationships/hyperlink" Target="https://clutch.co/us/agencies/social-media-marketing/tik-tok" TargetMode="External"/><Relationship Id="rId468" Type="http://schemas.openxmlformats.org/officeDocument/2006/relationships/hyperlink" Target="http://clutch.co" TargetMode="External"/><Relationship Id="rId467" Type="http://schemas.openxmlformats.org/officeDocument/2006/relationships/hyperlink" Target="https://clutch.co/us/agencies/social-media-marketing/influencer/tiktok" TargetMode="External"/><Relationship Id="rId1290" Type="http://schemas.openxmlformats.org/officeDocument/2006/relationships/hyperlink" Target="http://clutch.co" TargetMode="External"/><Relationship Id="rId1291" Type="http://schemas.openxmlformats.org/officeDocument/2006/relationships/hyperlink" Target="https://www.cometly.com/post/marketing-attribution-platform-for-agencies" TargetMode="External"/><Relationship Id="rId1292" Type="http://schemas.openxmlformats.org/officeDocument/2006/relationships/hyperlink" Target="http://cometly.com" TargetMode="External"/><Relationship Id="rId462" Type="http://schemas.openxmlformats.org/officeDocument/2006/relationships/hyperlink" Target="http://clutch.co" TargetMode="External"/><Relationship Id="rId1293" Type="http://schemas.openxmlformats.org/officeDocument/2006/relationships/hyperlink" Target="https://digitalagencynetwork.com/agencies/london/geo/" TargetMode="External"/><Relationship Id="rId2140" Type="http://schemas.openxmlformats.org/officeDocument/2006/relationships/hyperlink" Target="https://www.sortlist.de/s/instagram-werbung/deutschland-de" TargetMode="External"/><Relationship Id="rId461" Type="http://schemas.openxmlformats.org/officeDocument/2006/relationships/hyperlink" Target="https://clutch.co/us/agencies/programmatic%3Fpage%3D2" TargetMode="External"/><Relationship Id="rId1294" Type="http://schemas.openxmlformats.org/officeDocument/2006/relationships/hyperlink" Target="http://digitalagencynetwork.com" TargetMode="External"/><Relationship Id="rId2141" Type="http://schemas.openxmlformats.org/officeDocument/2006/relationships/hyperlink" Target="http://sortlist.de" TargetMode="External"/><Relationship Id="rId460" Type="http://schemas.openxmlformats.org/officeDocument/2006/relationships/hyperlink" Target="http://clutch.co" TargetMode="External"/><Relationship Id="rId1295" Type="http://schemas.openxmlformats.org/officeDocument/2006/relationships/hyperlink" Target="https://www.gartner.com/reviews/market/incrementality-measurement-platforms" TargetMode="External"/><Relationship Id="rId2142" Type="http://schemas.openxmlformats.org/officeDocument/2006/relationships/hyperlink" Target="https://themanifest.com/de/digital/agencies" TargetMode="External"/><Relationship Id="rId1296" Type="http://schemas.openxmlformats.org/officeDocument/2006/relationships/hyperlink" Target="http://gartner.com" TargetMode="External"/><Relationship Id="rId2143" Type="http://schemas.openxmlformats.org/officeDocument/2006/relationships/hyperlink" Target="http://themanifest.com" TargetMode="External"/><Relationship Id="rId466" Type="http://schemas.openxmlformats.org/officeDocument/2006/relationships/hyperlink" Target="http://clutch.co" TargetMode="External"/><Relationship Id="rId1297" Type="http://schemas.openxmlformats.org/officeDocument/2006/relationships/hyperlink" Target="https://agencies.semrush.com/list/display-advertising/london-city/mid-business/" TargetMode="External"/><Relationship Id="rId2144" Type="http://schemas.openxmlformats.org/officeDocument/2006/relationships/hyperlink" Target="https://themanifest.com/de/programmatic/agencies" TargetMode="External"/><Relationship Id="rId465" Type="http://schemas.openxmlformats.org/officeDocument/2006/relationships/hyperlink" Target="https://clutch.co/us/agencies/programmatic%3Fpage%3D7" TargetMode="External"/><Relationship Id="rId1298" Type="http://schemas.openxmlformats.org/officeDocument/2006/relationships/hyperlink" Target="http://semrush.com" TargetMode="External"/><Relationship Id="rId2145" Type="http://schemas.openxmlformats.org/officeDocument/2006/relationships/hyperlink" Target="http://themanifest.com" TargetMode="External"/><Relationship Id="rId464" Type="http://schemas.openxmlformats.org/officeDocument/2006/relationships/hyperlink" Target="http://clutch.co" TargetMode="External"/><Relationship Id="rId1299" Type="http://schemas.openxmlformats.org/officeDocument/2006/relationships/hyperlink" Target="https://clutch.co/agencies/digital-marketing/uk/england/london" TargetMode="External"/><Relationship Id="rId2146" Type="http://schemas.openxmlformats.org/officeDocument/2006/relationships/hyperlink" Target="https://www.10seos.com/de/display-advertising-companies-in-germany?page=3" TargetMode="External"/><Relationship Id="rId463" Type="http://schemas.openxmlformats.org/officeDocument/2006/relationships/hyperlink" Target="https://clutch.co/us/agencies/programmatic%3Fpage%3D3" TargetMode="External"/><Relationship Id="rId2147" Type="http://schemas.openxmlformats.org/officeDocument/2006/relationships/hyperlink" Target="http://10seos.com" TargetMode="External"/><Relationship Id="rId2137" Type="http://schemas.openxmlformats.org/officeDocument/2006/relationships/hyperlink" Target="http://sortlist.de" TargetMode="External"/><Relationship Id="rId2138" Type="http://schemas.openxmlformats.org/officeDocument/2006/relationships/hyperlink" Target="https://www.sortlist.de/s/big-data-marketing/deutschland-de" TargetMode="External"/><Relationship Id="rId2139" Type="http://schemas.openxmlformats.org/officeDocument/2006/relationships/hyperlink" Target="http://sortlist.de" TargetMode="External"/><Relationship Id="rId459" Type="http://schemas.openxmlformats.org/officeDocument/2006/relationships/hyperlink" Target="https://clutch.co/us/agencies/ppc/google-adwords%3Fpage%3D16" TargetMode="External"/><Relationship Id="rId458" Type="http://schemas.openxmlformats.org/officeDocument/2006/relationships/hyperlink" Target="http://clutch.co" TargetMode="External"/><Relationship Id="rId457" Type="http://schemas.openxmlformats.org/officeDocument/2006/relationships/hyperlink" Target="https://clutch.co/us/agencies/ppc/ecommerce-industry" TargetMode="External"/><Relationship Id="rId456" Type="http://schemas.openxmlformats.org/officeDocument/2006/relationships/hyperlink" Target="http://clutch.co" TargetMode="External"/><Relationship Id="rId1280" Type="http://schemas.openxmlformats.org/officeDocument/2006/relationships/hyperlink" Target="http://cometly.com" TargetMode="External"/><Relationship Id="rId1281" Type="http://schemas.openxmlformats.org/officeDocument/2006/relationships/hyperlink" Target="https://www.partnersdirectory.withgoogle.com/" TargetMode="External"/><Relationship Id="rId451" Type="http://schemas.openxmlformats.org/officeDocument/2006/relationships/hyperlink" Target="https://clutch.co/us/agencies/ppc/display%3Fpage%3D8" TargetMode="External"/><Relationship Id="rId1282" Type="http://schemas.openxmlformats.org/officeDocument/2006/relationships/hyperlink" Target="http://withgoogle.com" TargetMode="External"/><Relationship Id="rId450" Type="http://schemas.openxmlformats.org/officeDocument/2006/relationships/hyperlink" Target="http://clutch.co" TargetMode="External"/><Relationship Id="rId1283" Type="http://schemas.openxmlformats.org/officeDocument/2006/relationships/hyperlink" Target="https://seocompare.co.uk/ai-seo-agency-uk/" TargetMode="External"/><Relationship Id="rId2130" Type="http://schemas.openxmlformats.org/officeDocument/2006/relationships/hyperlink" Target="https://www.sortlist.com/s/display-advertising/munich-by-de" TargetMode="External"/><Relationship Id="rId1284" Type="http://schemas.openxmlformats.org/officeDocument/2006/relationships/hyperlink" Target="http://seocompare.co.uk" TargetMode="External"/><Relationship Id="rId2131" Type="http://schemas.openxmlformats.org/officeDocument/2006/relationships/hyperlink" Target="http://sortlist.com" TargetMode="External"/><Relationship Id="rId1285" Type="http://schemas.openxmlformats.org/officeDocument/2006/relationships/hyperlink" Target="https://seocompare.co.uk/best-ai-search-agencies/" TargetMode="External"/><Relationship Id="rId2132" Type="http://schemas.openxmlformats.org/officeDocument/2006/relationships/hyperlink" Target="https://www.sortlist.com/s/programmatic-advertising/germany-de" TargetMode="External"/><Relationship Id="rId455" Type="http://schemas.openxmlformats.org/officeDocument/2006/relationships/hyperlink" Target="https://clutch.co/us/agencies/ppc/display?page=16" TargetMode="External"/><Relationship Id="rId1286" Type="http://schemas.openxmlformats.org/officeDocument/2006/relationships/hyperlink" Target="http://seocompare.co.uk" TargetMode="External"/><Relationship Id="rId2133" Type="http://schemas.openxmlformats.org/officeDocument/2006/relationships/hyperlink" Target="http://sortlist.com" TargetMode="External"/><Relationship Id="rId454" Type="http://schemas.openxmlformats.org/officeDocument/2006/relationships/hyperlink" Target="http://clutch.co" TargetMode="External"/><Relationship Id="rId1287" Type="http://schemas.openxmlformats.org/officeDocument/2006/relationships/hyperlink" Target="https://agencies.semrush.com/list/display-advertising/london-city/small-business/" TargetMode="External"/><Relationship Id="rId2134" Type="http://schemas.openxmlformats.org/officeDocument/2006/relationships/hyperlink" Target="https://www.sortlist.de/s/ai-marketing/berlin-de" TargetMode="External"/><Relationship Id="rId453" Type="http://schemas.openxmlformats.org/officeDocument/2006/relationships/hyperlink" Target="https://clutch.co/us/agencies/ppc/display?page=10" TargetMode="External"/><Relationship Id="rId1288" Type="http://schemas.openxmlformats.org/officeDocument/2006/relationships/hyperlink" Target="http://semrush.com" TargetMode="External"/><Relationship Id="rId2135" Type="http://schemas.openxmlformats.org/officeDocument/2006/relationships/hyperlink" Target="http://sortlist.de" TargetMode="External"/><Relationship Id="rId452" Type="http://schemas.openxmlformats.org/officeDocument/2006/relationships/hyperlink" Target="http://clutch.co" TargetMode="External"/><Relationship Id="rId1289" Type="http://schemas.openxmlformats.org/officeDocument/2006/relationships/hyperlink" Target="https://clutch.co/agencies/digital/uk" TargetMode="External"/><Relationship Id="rId2136" Type="http://schemas.openxmlformats.org/officeDocument/2006/relationships/hyperlink" Target="https://www.sortlist.de/s/big-data-analytics/deutschland-de" TargetMode="External"/><Relationship Id="rId491" Type="http://schemas.openxmlformats.org/officeDocument/2006/relationships/hyperlink" Target="https://www.cometly.com/post/cross-channel-campaign-measurement-solutions" TargetMode="External"/><Relationship Id="rId490" Type="http://schemas.openxmlformats.org/officeDocument/2006/relationships/hyperlink" Target="http://cometly.com" TargetMode="External"/><Relationship Id="rId489" Type="http://schemas.openxmlformats.org/officeDocument/2006/relationships/hyperlink" Target="https://www.cometly.com/post/best-enterprise-attribution-tools" TargetMode="External"/><Relationship Id="rId2160" Type="http://schemas.openxmlformats.org/officeDocument/2006/relationships/hyperlink" Target="https://business.google.com/us/think/measurement/incrementality-testing/" TargetMode="External"/><Relationship Id="rId2161" Type="http://schemas.openxmlformats.org/officeDocument/2006/relationships/hyperlink" Target="http://google.com" TargetMode="External"/><Relationship Id="rId484" Type="http://schemas.openxmlformats.org/officeDocument/2006/relationships/hyperlink" Target="http://cometly.com" TargetMode="External"/><Relationship Id="rId2162" Type="http://schemas.openxmlformats.org/officeDocument/2006/relationships/hyperlink" Target="https://www.bvdw.org/rankings/internetagentur-ranking-2025/" TargetMode="External"/><Relationship Id="rId483" Type="http://schemas.openxmlformats.org/officeDocument/2006/relationships/hyperlink" Target="https://www.cometly.com/post/agency-marketing-attribution-tools" TargetMode="External"/><Relationship Id="rId2163" Type="http://schemas.openxmlformats.org/officeDocument/2006/relationships/hyperlink" Target="http://bvdw.org" TargetMode="External"/><Relationship Id="rId482" Type="http://schemas.openxmlformats.org/officeDocument/2006/relationships/hyperlink" Target="http://clutch.co" TargetMode="External"/><Relationship Id="rId2164" Type="http://schemas.openxmlformats.org/officeDocument/2006/relationships/hyperlink" Target="https://clutch.co/de/agencies/digital-marketing/ecommerce-industry/berlin" TargetMode="External"/><Relationship Id="rId481" Type="http://schemas.openxmlformats.org/officeDocument/2006/relationships/hyperlink" Target="https://clutch.co/video-production/post-production" TargetMode="External"/><Relationship Id="rId2165" Type="http://schemas.openxmlformats.org/officeDocument/2006/relationships/hyperlink" Target="http://clutch.co" TargetMode="External"/><Relationship Id="rId488" Type="http://schemas.openxmlformats.org/officeDocument/2006/relationships/hyperlink" Target="http://cometly.com" TargetMode="External"/><Relationship Id="rId2166" Type="http://schemas.openxmlformats.org/officeDocument/2006/relationships/hyperlink" Target="https://clutch.co/de/agencies/digital-marketing/munich" TargetMode="External"/><Relationship Id="rId487" Type="http://schemas.openxmlformats.org/officeDocument/2006/relationships/hyperlink" Target="https://www.cometly.com/post/best-ai-powered-marketing-attribution-tools" TargetMode="External"/><Relationship Id="rId2167" Type="http://schemas.openxmlformats.org/officeDocument/2006/relationships/hyperlink" Target="http://clutch.co" TargetMode="External"/><Relationship Id="rId486" Type="http://schemas.openxmlformats.org/officeDocument/2006/relationships/hyperlink" Target="http://cometly.com" TargetMode="External"/><Relationship Id="rId2168" Type="http://schemas.openxmlformats.org/officeDocument/2006/relationships/hyperlink" Target="https://clutch.co/de/agencies/social-media-marketing/tik-tok" TargetMode="External"/><Relationship Id="rId485" Type="http://schemas.openxmlformats.org/officeDocument/2006/relationships/hyperlink" Target="https://www.cometly.com/post/attribution-data-platform" TargetMode="External"/><Relationship Id="rId2169" Type="http://schemas.openxmlformats.org/officeDocument/2006/relationships/hyperlink" Target="http://clutch.co" TargetMode="External"/><Relationship Id="rId2159" Type="http://schemas.openxmlformats.org/officeDocument/2006/relationships/hyperlink" Target="http://google.com" TargetMode="External"/><Relationship Id="rId480" Type="http://schemas.openxmlformats.org/officeDocument/2006/relationships/hyperlink" Target="http://clutch.co" TargetMode="External"/><Relationship Id="rId479" Type="http://schemas.openxmlformats.org/officeDocument/2006/relationships/hyperlink" Target="https://clutch.co/us/seo-firms/media-industry" TargetMode="External"/><Relationship Id="rId478" Type="http://schemas.openxmlformats.org/officeDocument/2006/relationships/hyperlink" Target="http://clutch.co" TargetMode="External"/><Relationship Id="rId2150" Type="http://schemas.openxmlformats.org/officeDocument/2006/relationships/hyperlink" Target="https://agencies.semrush.com/list/analytics-data-science/germany/mid-business/" TargetMode="External"/><Relationship Id="rId473" Type="http://schemas.openxmlformats.org/officeDocument/2006/relationships/hyperlink" Target="https://clutch.co/us/developers/artificial-intelligence" TargetMode="External"/><Relationship Id="rId2151" Type="http://schemas.openxmlformats.org/officeDocument/2006/relationships/hyperlink" Target="http://semrush.com" TargetMode="External"/><Relationship Id="rId472" Type="http://schemas.openxmlformats.org/officeDocument/2006/relationships/hyperlink" Target="http://clutch.co" TargetMode="External"/><Relationship Id="rId2152" Type="http://schemas.openxmlformats.org/officeDocument/2006/relationships/hyperlink" Target="https://agencies.semrush.com/list/data-visualization/germany/" TargetMode="External"/><Relationship Id="rId471" Type="http://schemas.openxmlformats.org/officeDocument/2006/relationships/hyperlink" Target="https://clutch.co/us/consulting/ai/maturation?page=6" TargetMode="External"/><Relationship Id="rId2153" Type="http://schemas.openxmlformats.org/officeDocument/2006/relationships/hyperlink" Target="http://semrush.com" TargetMode="External"/><Relationship Id="rId470" Type="http://schemas.openxmlformats.org/officeDocument/2006/relationships/hyperlink" Target="http://clutch.co" TargetMode="External"/><Relationship Id="rId2154" Type="http://schemas.openxmlformats.org/officeDocument/2006/relationships/hyperlink" Target="https://agencies.semrush.com/list/display-advertising/dusseldorf/" TargetMode="External"/><Relationship Id="rId477" Type="http://schemas.openxmlformats.org/officeDocument/2006/relationships/hyperlink" Target="https://clutch.co/us/seo-firms/international" TargetMode="External"/><Relationship Id="rId2155" Type="http://schemas.openxmlformats.org/officeDocument/2006/relationships/hyperlink" Target="http://semrush.com" TargetMode="External"/><Relationship Id="rId476" Type="http://schemas.openxmlformats.org/officeDocument/2006/relationships/hyperlink" Target="http://clutch.co" TargetMode="External"/><Relationship Id="rId2156" Type="http://schemas.openxmlformats.org/officeDocument/2006/relationships/hyperlink" Target="https://agencies.semrush.com/list/marketing-strategy/germany/" TargetMode="External"/><Relationship Id="rId475" Type="http://schemas.openxmlformats.org/officeDocument/2006/relationships/hyperlink" Target="https://clutch.co/us/seo-firms" TargetMode="External"/><Relationship Id="rId2157" Type="http://schemas.openxmlformats.org/officeDocument/2006/relationships/hyperlink" Target="http://semrush.com" TargetMode="External"/><Relationship Id="rId474" Type="http://schemas.openxmlformats.org/officeDocument/2006/relationships/hyperlink" Target="http://clutch.co" TargetMode="External"/><Relationship Id="rId2158" Type="http://schemas.openxmlformats.org/officeDocument/2006/relationships/hyperlink" Target="https://business.google.com/uk/think/measurement/incrementality-testing/" TargetMode="External"/><Relationship Id="rId1257" Type="http://schemas.openxmlformats.org/officeDocument/2006/relationships/hyperlink" Target="https://www.webtonic.io/blog/best-creative-agencies-london" TargetMode="External"/><Relationship Id="rId2104" Type="http://schemas.openxmlformats.org/officeDocument/2006/relationships/hyperlink" Target="https://agencies.semrush.com/list/display-advertising/ecommerce/germany/mid-business/" TargetMode="External"/><Relationship Id="rId1258" Type="http://schemas.openxmlformats.org/officeDocument/2006/relationships/hyperlink" Target="http://webtonic.io" TargetMode="External"/><Relationship Id="rId2105" Type="http://schemas.openxmlformats.org/officeDocument/2006/relationships/hyperlink" Target="http://semrush.com" TargetMode="External"/><Relationship Id="rId1259" Type="http://schemas.openxmlformats.org/officeDocument/2006/relationships/hyperlink" Target="https://www.cometly.com/post/marketing-attribution-tools-for-agencies" TargetMode="External"/><Relationship Id="rId2106" Type="http://schemas.openxmlformats.org/officeDocument/2006/relationships/hyperlink" Target="https://agencies.semrush.com/list/display-advertising/germany/enterprise-business/" TargetMode="External"/><Relationship Id="rId2107" Type="http://schemas.openxmlformats.org/officeDocument/2006/relationships/hyperlink" Target="http://semrush.com" TargetMode="External"/><Relationship Id="rId2108" Type="http://schemas.openxmlformats.org/officeDocument/2006/relationships/hyperlink" Target="https://agencies.semrush.com/list/llm-optimization/germany/" TargetMode="External"/><Relationship Id="rId2109" Type="http://schemas.openxmlformats.org/officeDocument/2006/relationships/hyperlink" Target="http://semrush.com" TargetMode="External"/><Relationship Id="rId426" Type="http://schemas.openxmlformats.org/officeDocument/2006/relationships/hyperlink" Target="http://google.com" TargetMode="External"/><Relationship Id="rId425" Type="http://schemas.openxmlformats.org/officeDocument/2006/relationships/hyperlink" Target="https://cloud.google.com/find-a-partner/?search=marketing+agency" TargetMode="External"/><Relationship Id="rId424" Type="http://schemas.openxmlformats.org/officeDocument/2006/relationships/hyperlink" Target="http://google.com" TargetMode="External"/><Relationship Id="rId423" Type="http://schemas.openxmlformats.org/officeDocument/2006/relationships/hyperlink" Target="https://cloud.google.com/customers/jellyfish2" TargetMode="External"/><Relationship Id="rId429" Type="http://schemas.openxmlformats.org/officeDocument/2006/relationships/hyperlink" Target="https://clutch.co/agencies/media-buying" TargetMode="External"/><Relationship Id="rId428" Type="http://schemas.openxmlformats.org/officeDocument/2006/relationships/hyperlink" Target="http://clutch.co" TargetMode="External"/><Relationship Id="rId427" Type="http://schemas.openxmlformats.org/officeDocument/2006/relationships/hyperlink" Target="https://clutch.co/agencies/conversion-optimization/research" TargetMode="External"/><Relationship Id="rId1250" Type="http://schemas.openxmlformats.org/officeDocument/2006/relationships/hyperlink" Target="http://clutch.co" TargetMode="External"/><Relationship Id="rId1251" Type="http://schemas.openxmlformats.org/officeDocument/2006/relationships/hyperlink" Target="https://marketingplatform.google.com/about/partners/?hl=uk" TargetMode="External"/><Relationship Id="rId1252" Type="http://schemas.openxmlformats.org/officeDocument/2006/relationships/hyperlink" Target="http://google.com" TargetMode="External"/><Relationship Id="rId422" Type="http://schemas.openxmlformats.org/officeDocument/2006/relationships/hyperlink" Target="http://businessofapps.com" TargetMode="External"/><Relationship Id="rId1253" Type="http://schemas.openxmlformats.org/officeDocument/2006/relationships/hyperlink" Target="https://www.sortlist.co.uk/s/creative/united-kingdom-gb" TargetMode="External"/><Relationship Id="rId2100" Type="http://schemas.openxmlformats.org/officeDocument/2006/relationships/hyperlink" Target="https://agencies.semrush.com/list/content-marketing/business-professional-services/germany/" TargetMode="External"/><Relationship Id="rId421" Type="http://schemas.openxmlformats.org/officeDocument/2006/relationships/hyperlink" Target="https://www.businessofapps.com/marketplace/vayner-media/" TargetMode="External"/><Relationship Id="rId1254" Type="http://schemas.openxmlformats.org/officeDocument/2006/relationships/hyperlink" Target="http://sortlist.co.uk" TargetMode="External"/><Relationship Id="rId2101" Type="http://schemas.openxmlformats.org/officeDocument/2006/relationships/hyperlink" Target="http://semrush.com" TargetMode="External"/><Relationship Id="rId420" Type="http://schemas.openxmlformats.org/officeDocument/2006/relationships/hyperlink" Target="http://google.com" TargetMode="External"/><Relationship Id="rId1255" Type="http://schemas.openxmlformats.org/officeDocument/2006/relationships/hyperlink" Target="https://www.sortlist.co.uk/s/paid-media/united-kingdom-gb" TargetMode="External"/><Relationship Id="rId2102" Type="http://schemas.openxmlformats.org/officeDocument/2006/relationships/hyperlink" Target="https://agencies.semrush.com/list/display-advertising/arts-entertainment/germany/" TargetMode="External"/><Relationship Id="rId1256" Type="http://schemas.openxmlformats.org/officeDocument/2006/relationships/hyperlink" Target="http://sortlist.co.uk" TargetMode="External"/><Relationship Id="rId2103" Type="http://schemas.openxmlformats.org/officeDocument/2006/relationships/hyperlink" Target="http://semrush.com" TargetMode="External"/><Relationship Id="rId1246" Type="http://schemas.openxmlformats.org/officeDocument/2006/relationships/hyperlink" Target="http://seocompare.co.uk" TargetMode="External"/><Relationship Id="rId1247" Type="http://schemas.openxmlformats.org/officeDocument/2006/relationships/hyperlink" Target="https://techbehemoths.com/companies/marketing-analytics/united-kingdom" TargetMode="External"/><Relationship Id="rId1248" Type="http://schemas.openxmlformats.org/officeDocument/2006/relationships/hyperlink" Target="http://techbehemoths.com" TargetMode="External"/><Relationship Id="rId1249" Type="http://schemas.openxmlformats.org/officeDocument/2006/relationships/hyperlink" Target="https://clutch.co/agencies/ppc/uk" TargetMode="External"/><Relationship Id="rId415" Type="http://schemas.openxmlformats.org/officeDocument/2006/relationships/hyperlink" Target="https://business.google.com/en-all/support/become-a-partner/" TargetMode="External"/><Relationship Id="rId899" Type="http://schemas.openxmlformats.org/officeDocument/2006/relationships/hyperlink" Target="http://clutch.co" TargetMode="External"/><Relationship Id="rId414" Type="http://schemas.openxmlformats.org/officeDocument/2006/relationships/hyperlink" Target="http://semrush.com" TargetMode="External"/><Relationship Id="rId898" Type="http://schemas.openxmlformats.org/officeDocument/2006/relationships/hyperlink" Target="https://clutch.co/au/agencies/market-research" TargetMode="External"/><Relationship Id="rId413" Type="http://schemas.openxmlformats.org/officeDocument/2006/relationships/hyperlink" Target="https://agencies.semrush.com/list/programmatic-advertising/arts-entertainment/united-states/" TargetMode="External"/><Relationship Id="rId897" Type="http://schemas.openxmlformats.org/officeDocument/2006/relationships/hyperlink" Target="http://clutch.co" TargetMode="External"/><Relationship Id="rId412" Type="http://schemas.openxmlformats.org/officeDocument/2006/relationships/hyperlink" Target="http://semrush.com" TargetMode="External"/><Relationship Id="rId896" Type="http://schemas.openxmlformats.org/officeDocument/2006/relationships/hyperlink" Target="https://clutch.co/au/agencies/creative/melbourne" TargetMode="External"/><Relationship Id="rId419" Type="http://schemas.openxmlformats.org/officeDocument/2006/relationships/hyperlink" Target="https://business.google.com/us/think/measurement/incrementality-testing/" TargetMode="External"/><Relationship Id="rId418" Type="http://schemas.openxmlformats.org/officeDocument/2006/relationships/hyperlink" Target="http://google.com" TargetMode="External"/><Relationship Id="rId417" Type="http://schemas.openxmlformats.org/officeDocument/2006/relationships/hyperlink" Target="https://business.google.com/en-all/support/work-with-a-partner/" TargetMode="External"/><Relationship Id="rId416" Type="http://schemas.openxmlformats.org/officeDocument/2006/relationships/hyperlink" Target="http://google.com" TargetMode="External"/><Relationship Id="rId891" Type="http://schemas.openxmlformats.org/officeDocument/2006/relationships/hyperlink" Target="http://semrush.com" TargetMode="External"/><Relationship Id="rId890" Type="http://schemas.openxmlformats.org/officeDocument/2006/relationships/hyperlink" Target="https://agencies.semrush.com/list/smm/sydney/" TargetMode="External"/><Relationship Id="rId1240" Type="http://schemas.openxmlformats.org/officeDocument/2006/relationships/hyperlink" Target="http://google.com" TargetMode="External"/><Relationship Id="rId1241" Type="http://schemas.openxmlformats.org/officeDocument/2006/relationships/hyperlink" Target="https://clutch.co/consulting/ai/uk" TargetMode="External"/><Relationship Id="rId411" Type="http://schemas.openxmlformats.org/officeDocument/2006/relationships/hyperlink" Target="https://agencies.semrush.com/list/machine-learning-and-ai/business-professional-services/united-states/" TargetMode="External"/><Relationship Id="rId895" Type="http://schemas.openxmlformats.org/officeDocument/2006/relationships/hyperlink" Target="http://google.com" TargetMode="External"/><Relationship Id="rId1242" Type="http://schemas.openxmlformats.org/officeDocument/2006/relationships/hyperlink" Target="http://clutch.co" TargetMode="External"/><Relationship Id="rId410" Type="http://schemas.openxmlformats.org/officeDocument/2006/relationships/hyperlink" Target="http://semrush.com" TargetMode="External"/><Relationship Id="rId894" Type="http://schemas.openxmlformats.org/officeDocument/2006/relationships/hyperlink" Target="https://business.google.com/us/accelerate/announcements/meridian-geox-googles-new-open-source-geo-incrementality-solution/" TargetMode="External"/><Relationship Id="rId1243" Type="http://schemas.openxmlformats.org/officeDocument/2006/relationships/hyperlink" Target="https://www.designrush.com/agency/digital-marketing/uk" TargetMode="External"/><Relationship Id="rId893" Type="http://schemas.openxmlformats.org/officeDocument/2006/relationships/hyperlink" Target="http://google.com" TargetMode="External"/><Relationship Id="rId1244" Type="http://schemas.openxmlformats.org/officeDocument/2006/relationships/hyperlink" Target="http://designrush.com" TargetMode="External"/><Relationship Id="rId892" Type="http://schemas.openxmlformats.org/officeDocument/2006/relationships/hyperlink" Target="https://business.google.com/en-all/support/work-with-a-partner/" TargetMode="External"/><Relationship Id="rId1245" Type="http://schemas.openxmlformats.org/officeDocument/2006/relationships/hyperlink" Target="https://seocompare.co.uk/" TargetMode="External"/><Relationship Id="rId1279" Type="http://schemas.openxmlformats.org/officeDocument/2006/relationships/hyperlink" Target="https://www.cometly.com/post/marketing-attribution-consultant-services" TargetMode="External"/><Relationship Id="rId2126" Type="http://schemas.openxmlformats.org/officeDocument/2006/relationships/hyperlink" Target="https://www.sortlist.com/i/s/creative/berlin-de" TargetMode="External"/><Relationship Id="rId2127" Type="http://schemas.openxmlformats.org/officeDocument/2006/relationships/hyperlink" Target="http://sortlist.com" TargetMode="External"/><Relationship Id="rId2128" Type="http://schemas.openxmlformats.org/officeDocument/2006/relationships/hyperlink" Target="https://www.sortlist.com/s/data-driven-marketing/germany-de" TargetMode="External"/><Relationship Id="rId2129" Type="http://schemas.openxmlformats.org/officeDocument/2006/relationships/hyperlink" Target="http://sortlist.com" TargetMode="External"/><Relationship Id="rId448" Type="http://schemas.openxmlformats.org/officeDocument/2006/relationships/hyperlink" Target="http://clutch.co" TargetMode="External"/><Relationship Id="rId447" Type="http://schemas.openxmlformats.org/officeDocument/2006/relationships/hyperlink" Target="https://clutch.co/us/agencies/market-research/shopper-marketing" TargetMode="External"/><Relationship Id="rId446" Type="http://schemas.openxmlformats.org/officeDocument/2006/relationships/hyperlink" Target="http://clutch.co" TargetMode="External"/><Relationship Id="rId445" Type="http://schemas.openxmlformats.org/officeDocument/2006/relationships/hyperlink" Target="https://clutch.co/us/agencies/digital-marketing/small-business" TargetMode="External"/><Relationship Id="rId449" Type="http://schemas.openxmlformats.org/officeDocument/2006/relationships/hyperlink" Target="https://clutch.co/us/agencies/ppc/display%3Fpage%3D6" TargetMode="External"/><Relationship Id="rId1270" Type="http://schemas.openxmlformats.org/officeDocument/2006/relationships/hyperlink" Target="http://sortlist.co.uk" TargetMode="External"/><Relationship Id="rId440" Type="http://schemas.openxmlformats.org/officeDocument/2006/relationships/hyperlink" Target="http://clutch.co" TargetMode="External"/><Relationship Id="rId1271" Type="http://schemas.openxmlformats.org/officeDocument/2006/relationships/hyperlink" Target="https://www.webtonic.io/blog/top-digital-marketing-agencies-uk" TargetMode="External"/><Relationship Id="rId1272" Type="http://schemas.openxmlformats.org/officeDocument/2006/relationships/hyperlink" Target="http://webtonic.io" TargetMode="External"/><Relationship Id="rId1273" Type="http://schemas.openxmlformats.org/officeDocument/2006/relationships/hyperlink" Target="https://agencies.semrush.com/list/display-advertising/united-kingdom/small-business/" TargetMode="External"/><Relationship Id="rId2120" Type="http://schemas.openxmlformats.org/officeDocument/2006/relationships/hyperlink" Target="https://marketingplatform.google.com/about/partners/?authuser=1" TargetMode="External"/><Relationship Id="rId1274" Type="http://schemas.openxmlformats.org/officeDocument/2006/relationships/hyperlink" Target="http://semrush.com" TargetMode="External"/><Relationship Id="rId2121" Type="http://schemas.openxmlformats.org/officeDocument/2006/relationships/hyperlink" Target="http://google.com" TargetMode="External"/><Relationship Id="rId444" Type="http://schemas.openxmlformats.org/officeDocument/2006/relationships/hyperlink" Target="http://clutch.co" TargetMode="External"/><Relationship Id="rId1275" Type="http://schemas.openxmlformats.org/officeDocument/2006/relationships/hyperlink" Target="https://clutch.co/consulting/ai/strategy/uk" TargetMode="External"/><Relationship Id="rId2122" Type="http://schemas.openxmlformats.org/officeDocument/2006/relationships/hyperlink" Target="https://www.oneclub.org/awards/adcawards/-archive/agency/2024/38/all/2/208" TargetMode="External"/><Relationship Id="rId443" Type="http://schemas.openxmlformats.org/officeDocument/2006/relationships/hyperlink" Target="https://clutch.co/us/agencies/business-services-industry?page=1" TargetMode="External"/><Relationship Id="rId1276" Type="http://schemas.openxmlformats.org/officeDocument/2006/relationships/hyperlink" Target="http://clutch.co" TargetMode="External"/><Relationship Id="rId2123" Type="http://schemas.openxmlformats.org/officeDocument/2006/relationships/hyperlink" Target="http://oneclub.org" TargetMode="External"/><Relationship Id="rId442" Type="http://schemas.openxmlformats.org/officeDocument/2006/relationships/hyperlink" Target="http://clutch.co" TargetMode="External"/><Relationship Id="rId1277" Type="http://schemas.openxmlformats.org/officeDocument/2006/relationships/hyperlink" Target="https://clutch.co/consulting/ai/uk/england/london" TargetMode="External"/><Relationship Id="rId2124" Type="http://schemas.openxmlformats.org/officeDocument/2006/relationships/hyperlink" Target="https://www.semrush.com/agencies/list/display-advertising/germany/" TargetMode="External"/><Relationship Id="rId441" Type="http://schemas.openxmlformats.org/officeDocument/2006/relationships/hyperlink" Target="https://clutch.co/us/agencies/branding" TargetMode="External"/><Relationship Id="rId1278" Type="http://schemas.openxmlformats.org/officeDocument/2006/relationships/hyperlink" Target="http://clutch.co" TargetMode="External"/><Relationship Id="rId2125" Type="http://schemas.openxmlformats.org/officeDocument/2006/relationships/hyperlink" Target="http://semrush.com" TargetMode="External"/><Relationship Id="rId1268" Type="http://schemas.openxmlformats.org/officeDocument/2006/relationships/hyperlink" Target="http://sortlist.co.uk" TargetMode="External"/><Relationship Id="rId2115" Type="http://schemas.openxmlformats.org/officeDocument/2006/relationships/hyperlink" Target="http://google.com" TargetMode="External"/><Relationship Id="rId1269" Type="http://schemas.openxmlformats.org/officeDocument/2006/relationships/hyperlink" Target="https://www.sortlist.co.uk/web-analytics/united-kingdom-gb" TargetMode="External"/><Relationship Id="rId2116" Type="http://schemas.openxmlformats.org/officeDocument/2006/relationships/hyperlink" Target="https://www.ibusiness.de/performance-ranking/performance_2023.html" TargetMode="External"/><Relationship Id="rId2117" Type="http://schemas.openxmlformats.org/officeDocument/2006/relationships/hyperlink" Target="http://ibusiness.de" TargetMode="External"/><Relationship Id="rId2118" Type="http://schemas.openxmlformats.org/officeDocument/2006/relationships/hyperlink" Target="https://www.ibusiness.de/performance-ranking/performance_2024.html" TargetMode="External"/><Relationship Id="rId2119" Type="http://schemas.openxmlformats.org/officeDocument/2006/relationships/hyperlink" Target="http://ibusiness.de" TargetMode="External"/><Relationship Id="rId437" Type="http://schemas.openxmlformats.org/officeDocument/2006/relationships/hyperlink" Target="https://clutch.co/agencies/programmatic" TargetMode="External"/><Relationship Id="rId436" Type="http://schemas.openxmlformats.org/officeDocument/2006/relationships/hyperlink" Target="http://clutch.co" TargetMode="External"/><Relationship Id="rId435" Type="http://schemas.openxmlformats.org/officeDocument/2006/relationships/hyperlink" Target="https://clutch.co/agencies/ppc/ecommerce-industry" TargetMode="External"/><Relationship Id="rId434" Type="http://schemas.openxmlformats.org/officeDocument/2006/relationships/hyperlink" Target="http://clutch.co" TargetMode="External"/><Relationship Id="rId439" Type="http://schemas.openxmlformats.org/officeDocument/2006/relationships/hyperlink" Target="https://clutch.co/profile/mutesix" TargetMode="External"/><Relationship Id="rId438" Type="http://schemas.openxmlformats.org/officeDocument/2006/relationships/hyperlink" Target="http://clutch.co" TargetMode="External"/><Relationship Id="rId1260" Type="http://schemas.openxmlformats.org/officeDocument/2006/relationships/hyperlink" Target="http://cometly.com" TargetMode="External"/><Relationship Id="rId1261" Type="http://schemas.openxmlformats.org/officeDocument/2006/relationships/hyperlink" Target="https://partnersdirectory.withgoogle.com/intl/en-GB/" TargetMode="External"/><Relationship Id="rId1262" Type="http://schemas.openxmlformats.org/officeDocument/2006/relationships/hyperlink" Target="http://withgoogle.com" TargetMode="External"/><Relationship Id="rId1263" Type="http://schemas.openxmlformats.org/officeDocument/2006/relationships/hyperlink" Target="https://www.sortlist.co.uk/s/attribution-marketing/london-england-gb" TargetMode="External"/><Relationship Id="rId2110" Type="http://schemas.openxmlformats.org/officeDocument/2006/relationships/hyperlink" Target="https://clutch.co/de/agencies/demand-generation-marketing" TargetMode="External"/><Relationship Id="rId433" Type="http://schemas.openxmlformats.org/officeDocument/2006/relationships/hyperlink" Target="https://clutch.co/agencies/ppc" TargetMode="External"/><Relationship Id="rId1264" Type="http://schemas.openxmlformats.org/officeDocument/2006/relationships/hyperlink" Target="http://sortlist.co.uk" TargetMode="External"/><Relationship Id="rId2111" Type="http://schemas.openxmlformats.org/officeDocument/2006/relationships/hyperlink" Target="http://clutch.co" TargetMode="External"/><Relationship Id="rId432" Type="http://schemas.openxmlformats.org/officeDocument/2006/relationships/hyperlink" Target="http://clutch.co" TargetMode="External"/><Relationship Id="rId1265" Type="http://schemas.openxmlformats.org/officeDocument/2006/relationships/hyperlink" Target="https://www.sortlist.co.uk/s/display-advertising/london-england-gb" TargetMode="External"/><Relationship Id="rId2112" Type="http://schemas.openxmlformats.org/officeDocument/2006/relationships/hyperlink" Target="https://clutch.co/de/seo-firms/international" TargetMode="External"/><Relationship Id="rId431" Type="http://schemas.openxmlformats.org/officeDocument/2006/relationships/hyperlink" Target="https://clutch.co/agencies/media-buying?page=0" TargetMode="External"/><Relationship Id="rId1266" Type="http://schemas.openxmlformats.org/officeDocument/2006/relationships/hyperlink" Target="http://sortlist.co.uk" TargetMode="External"/><Relationship Id="rId2113" Type="http://schemas.openxmlformats.org/officeDocument/2006/relationships/hyperlink" Target="http://clutch.co" TargetMode="External"/><Relationship Id="rId430" Type="http://schemas.openxmlformats.org/officeDocument/2006/relationships/hyperlink" Target="http://clutch.co" TargetMode="External"/><Relationship Id="rId1267" Type="http://schemas.openxmlformats.org/officeDocument/2006/relationships/hyperlink" Target="https://www.sortlist.co.uk/social-media/united-kingdom-gb" TargetMode="External"/><Relationship Id="rId2114" Type="http://schemas.openxmlformats.org/officeDocument/2006/relationships/hyperlink" Target="https://www.google.com/partners/?hl=d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lutch.co/us/agencies" TargetMode="External"/><Relationship Id="rId2" Type="http://schemas.openxmlformats.org/officeDocument/2006/relationships/hyperlink" Target="https://www.topdevelopers.co/directory/digital-marketing-agencies-in-uae" TargetMode="External"/><Relationship Id="rId3" Type="http://schemas.openxmlformats.org/officeDocument/2006/relationships/hyperlink" Target="https://www.pushgroup.ae/blog/top-9-geo-agencies-in-dubai" TargetMode="External"/><Relationship Id="rId4" Type="http://schemas.openxmlformats.org/officeDocument/2006/relationships/hyperlink" Target="https://www.wearetenet.com/blog/best-geo-services-in-dubai" TargetMode="External"/><Relationship Id="rId9" Type="http://schemas.openxmlformats.org/officeDocument/2006/relationships/hyperlink" Target="https://www.housesofgrowth.com/post/ai-marketing-agencies-in-the-uae" TargetMode="External"/><Relationship Id="rId5" Type="http://schemas.openxmlformats.org/officeDocument/2006/relationships/hyperlink" Target="https://waimhub.com/best-aeo-geo-agencies-dubai/" TargetMode="External"/><Relationship Id="rId6" Type="http://schemas.openxmlformats.org/officeDocument/2006/relationships/hyperlink" Target="https://digitalagencynetwork.com/agencies/dubai/" TargetMode="External"/><Relationship Id="rId7" Type="http://schemas.openxmlformats.org/officeDocument/2006/relationships/hyperlink" Target="https://www.digitalgravity.ae/blog/top-answer-engine-optimization-aeo-agencies-in-dubai/" TargetMode="External"/><Relationship Id="rId8" Type="http://schemas.openxmlformats.org/officeDocument/2006/relationships/hyperlink" Target="https://www.phable.io/top-creative-agencies/top-10-creative-agencies-operating-in-the-uae" TargetMode="External"/><Relationship Id="rId40" Type="http://schemas.openxmlformats.org/officeDocument/2006/relationships/drawing" Target="../drawings/drawing10.xml"/><Relationship Id="rId31" Type="http://schemas.openxmlformats.org/officeDocument/2006/relationships/hyperlink" Target="https://www.spiderworks.ae/blog/digital-marketing-agencies-in-dubai-uae" TargetMode="External"/><Relationship Id="rId30" Type="http://schemas.openxmlformats.org/officeDocument/2006/relationships/hyperlink" Target="https://www.housesofgrowth.com/post/growth-marketing-agencies-in-the-uae" TargetMode="External"/><Relationship Id="rId33" Type="http://schemas.openxmlformats.org/officeDocument/2006/relationships/hyperlink" Target="https://www.bicommunications.ae/blog/best-social-media-marketing-agencies-uae/" TargetMode="External"/><Relationship Id="rId32" Type="http://schemas.openxmlformats.org/officeDocument/2006/relationships/hyperlink" Target="https://techbullion.com/best-aeo-agency-in-dubai-2026-how-to-choose-and-the-top-options-compared/" TargetMode="External"/><Relationship Id="rId35" Type="http://schemas.openxmlformats.org/officeDocument/2006/relationships/hyperlink" Target="https://byteeit.com/blog/best-google-partners-in-uae" TargetMode="External"/><Relationship Id="rId34" Type="http://schemas.openxmlformats.org/officeDocument/2006/relationships/hyperlink" Target="https://theuaeblog.com/work/top-10-marketing-analytics-agencies-in-the-uae/" TargetMode="External"/><Relationship Id="rId37" Type="http://schemas.openxmlformats.org/officeDocument/2006/relationships/hyperlink" Target="https://www.solved6.com/blogs/best-digital-marketing-agencies-dubai-2026-report" TargetMode="External"/><Relationship Id="rId36" Type="http://schemas.openxmlformats.org/officeDocument/2006/relationships/hyperlink" Target="https://eseospace.com/blog/best-ai-seo-consultants-dubai-2026/" TargetMode="External"/><Relationship Id="rId39" Type="http://schemas.openxmlformats.org/officeDocument/2006/relationships/hyperlink" Target="https://www.bicommunications.ae/blog/best-digital-marketing-agencies-uae/" TargetMode="External"/><Relationship Id="rId38" Type="http://schemas.openxmlformats.org/officeDocument/2006/relationships/hyperlink" Target="https://oski.site/blog/sales-and-marketing-analytics-companies-uae/" TargetMode="External"/><Relationship Id="rId20" Type="http://schemas.openxmlformats.org/officeDocument/2006/relationships/hyperlink" Target="https://c2cmedia.ae/blog/best-social-media-agencies-in-dubai/" TargetMode="External"/><Relationship Id="rId22" Type="http://schemas.openxmlformats.org/officeDocument/2006/relationships/hyperlink" Target="https://www.digitalgravity.ae/blog/best-ai-marketing-agencies/" TargetMode="External"/><Relationship Id="rId21" Type="http://schemas.openxmlformats.org/officeDocument/2006/relationships/hyperlink" Target="https://www.designrush.com/agency/ad-agencies/ae" TargetMode="External"/><Relationship Id="rId24" Type="http://schemas.openxmlformats.org/officeDocument/2006/relationships/hyperlink" Target="https://ititans.com/blog/leading-digital-marketing-agencies-in-uae/" TargetMode="External"/><Relationship Id="rId23" Type="http://schemas.openxmlformats.org/officeDocument/2006/relationships/hyperlink" Target="https://hypebox.me/blog/articles/top-10-uae-marketing-agencies" TargetMode="External"/><Relationship Id="rId26" Type="http://schemas.openxmlformats.org/officeDocument/2006/relationships/hyperlink" Target="https://thehovi.com/blog/agency-insights/top-10-digital-marketing-agencies-dubai-2026" TargetMode="External"/><Relationship Id="rId25" Type="http://schemas.openxmlformats.org/officeDocument/2006/relationships/hyperlink" Target="https://www.globalmediainsight.com/blog/digital-marketing-companies-dubai/" TargetMode="External"/><Relationship Id="rId28" Type="http://schemas.openxmlformats.org/officeDocument/2006/relationships/hyperlink" Target="https://www.sortlist.com/s/display-advertising/dubai-ae" TargetMode="External"/><Relationship Id="rId27" Type="http://schemas.openxmlformats.org/officeDocument/2006/relationships/hyperlink" Target="https://www.phable.io/top-creative-agencies/top-10-creative-agencies-in-the-middle-east-2025" TargetMode="External"/><Relationship Id="rId29" Type="http://schemas.openxmlformats.org/officeDocument/2006/relationships/hyperlink" Target="https://www.sortlist.com/s/marketing-analytics/united-arab-emirates-ae" TargetMode="External"/><Relationship Id="rId11" Type="http://schemas.openxmlformats.org/officeDocument/2006/relationships/hyperlink" Target="https://clutch.co/ae/agencies/digital-marketing" TargetMode="External"/><Relationship Id="rId10" Type="http://schemas.openxmlformats.org/officeDocument/2006/relationships/hyperlink" Target="https://clutch.co/ae/agencies" TargetMode="External"/><Relationship Id="rId13" Type="http://schemas.openxmlformats.org/officeDocument/2006/relationships/hyperlink" Target="https://agencies.semrush.com/list/dubai/" TargetMode="External"/><Relationship Id="rId12" Type="http://schemas.openxmlformats.org/officeDocument/2006/relationships/hyperlink" Target="https://growthhackers.digital/best-performance-marketing-agencies-in-uae/" TargetMode="External"/><Relationship Id="rId15" Type="http://schemas.openxmlformats.org/officeDocument/2006/relationships/hyperlink" Target="https://www.bicommunications.ae/blog/best-google-ads-agencies-uae/" TargetMode="External"/><Relationship Id="rId14" Type="http://schemas.openxmlformats.org/officeDocument/2006/relationships/hyperlink" Target="https://www.sortlist.com/s/marketing-analytics/dubai-ae" TargetMode="External"/><Relationship Id="rId17" Type="http://schemas.openxmlformats.org/officeDocument/2006/relationships/hyperlink" Target="https://www.bicommunications.ae/blog/best-ppc-agencies-uae/" TargetMode="External"/><Relationship Id="rId16" Type="http://schemas.openxmlformats.org/officeDocument/2006/relationships/hyperlink" Target="https://www.sortlist.com/s/paid-media/united-arab-emirates-ae" TargetMode="External"/><Relationship Id="rId19" Type="http://schemas.openxmlformats.org/officeDocument/2006/relationships/hyperlink" Target="https://www.sortlist.com/s/paid-media/dubai-ae" TargetMode="External"/><Relationship Id="rId18" Type="http://schemas.openxmlformats.org/officeDocument/2006/relationships/hyperlink" Target="https://digitalagencynetwork.com/agencies/dubai/ai-market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oski.site/blog/sales-and-marketing-analytics-companies-uae/" TargetMode="External"/><Relationship Id="rId2" Type="http://schemas.openxmlformats.org/officeDocument/2006/relationships/hyperlink" Target="https://c2cmedia.ae/blog/best-performance-marketing-agency-dubai/" TargetMode="External"/><Relationship Id="rId3" Type="http://schemas.openxmlformats.org/officeDocument/2006/relationships/hyperlink" Target="https://nucleusmedia.ae/blog/the-best-digital-marketing-agencies-in-uae-2025-the-ultimate-list/" TargetMode="External"/><Relationship Id="rId4" Type="http://schemas.openxmlformats.org/officeDocument/2006/relationships/hyperlink" Target="https://www.inbeat.co/articles/top-digital-marketing-agencies-dubai/"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watch?v=uAp_SqhuvFg" TargetMode="External"/><Relationship Id="rId2" Type="http://schemas.openxmlformats.org/officeDocument/2006/relationships/hyperlink" Target="https://www.youtube.com/watch?v=wDQs41e1F_Y&amp;t=144" TargetMode="External"/><Relationship Id="rId3" Type="http://schemas.openxmlformats.org/officeDocument/2006/relationships/hyperlink" Target="https://www.youtube.com/watch?v=Zyd_x8Z9J7I&amp;t=92" TargetMode="External"/><Relationship Id="rId4" Type="http://schemas.openxmlformats.org/officeDocument/2006/relationships/hyperlink" Target="https://www.youtube.com/watch?v=YFmHk-nNoNg&amp;t=46" TargetMode="External"/><Relationship Id="rId9" Type="http://schemas.openxmlformats.org/officeDocument/2006/relationships/hyperlink" Target="https://www.youtube.com/shorts/-1J3sczOLNs" TargetMode="External"/><Relationship Id="rId5" Type="http://schemas.openxmlformats.org/officeDocument/2006/relationships/hyperlink" Target="https://www.youtube.com/watch?v=fdPFLXFJlwo&amp;t=30" TargetMode="External"/><Relationship Id="rId6" Type="http://schemas.openxmlformats.org/officeDocument/2006/relationships/hyperlink" Target="https://www.youtube.com/watch?v=jA6Bn5bI298&amp;t=242" TargetMode="External"/><Relationship Id="rId7" Type="http://schemas.openxmlformats.org/officeDocument/2006/relationships/hyperlink" Target="https://www.youtube.com/watch?v=OR58Odpst7Q" TargetMode="External"/><Relationship Id="rId8" Type="http://schemas.openxmlformats.org/officeDocument/2006/relationships/hyperlink" Target="https://www.youtube.com/watch?v=dtlZTULGX4A" TargetMode="External"/><Relationship Id="rId40" Type="http://schemas.openxmlformats.org/officeDocument/2006/relationships/hyperlink" Target="https://www.youtube.com/watch?v=osffLDnwyR8" TargetMode="External"/><Relationship Id="rId42" Type="http://schemas.openxmlformats.org/officeDocument/2006/relationships/hyperlink" Target="https://www.youtube.com/watch?v=wfXrhCjh9mA" TargetMode="External"/><Relationship Id="rId41" Type="http://schemas.openxmlformats.org/officeDocument/2006/relationships/hyperlink" Target="https://www.youtube.com/watch?v=qnrNaTO7nCs" TargetMode="External"/><Relationship Id="rId44" Type="http://schemas.openxmlformats.org/officeDocument/2006/relationships/hyperlink" Target="http://youtube.com" TargetMode="External"/><Relationship Id="rId43" Type="http://schemas.openxmlformats.org/officeDocument/2006/relationships/hyperlink" Target="https://www.youtube.com/watch?v=IhghlPIIuic" TargetMode="External"/><Relationship Id="rId46" Type="http://schemas.openxmlformats.org/officeDocument/2006/relationships/hyperlink" Target="http://savit.ae" TargetMode="External"/><Relationship Id="rId45" Type="http://schemas.openxmlformats.org/officeDocument/2006/relationships/hyperlink" Target="https://savit.ae/best-social-media-agencies-in-dubai-for-roi-driven-campaigns/" TargetMode="External"/><Relationship Id="rId48" Type="http://schemas.openxmlformats.org/officeDocument/2006/relationships/hyperlink" Target="http://youtube.com" TargetMode="External"/><Relationship Id="rId47" Type="http://schemas.openxmlformats.org/officeDocument/2006/relationships/hyperlink" Target="https://www.youtube.com/watch?v=fAu38Nl3Iqw" TargetMode="External"/><Relationship Id="rId49" Type="http://schemas.openxmlformats.org/officeDocument/2006/relationships/hyperlink" Target="https://www.youtube.com/watch?v=PYot-krI4rA" TargetMode="External"/><Relationship Id="rId31" Type="http://schemas.openxmlformats.org/officeDocument/2006/relationships/hyperlink" Target="https://www.youtube.com/watch?v=XhMbeN7cH34&amp;t=707" TargetMode="External"/><Relationship Id="rId30" Type="http://schemas.openxmlformats.org/officeDocument/2006/relationships/hyperlink" Target="https://www.youtube.com/watch?v=OJN95taKMwo" TargetMode="External"/><Relationship Id="rId33" Type="http://schemas.openxmlformats.org/officeDocument/2006/relationships/hyperlink" Target="https://www.youtube.com/watch?v=5K95qPc0HJs" TargetMode="External"/><Relationship Id="rId32" Type="http://schemas.openxmlformats.org/officeDocument/2006/relationships/hyperlink" Target="https://www.youtube.com/watch?v=fdPFLXFJlwo&amp;t=30" TargetMode="External"/><Relationship Id="rId35" Type="http://schemas.openxmlformats.org/officeDocument/2006/relationships/hyperlink" Target="https://www.youtube.com/watch?v=J3TiyuWqYng" TargetMode="External"/><Relationship Id="rId34" Type="http://schemas.openxmlformats.org/officeDocument/2006/relationships/hyperlink" Target="https://www.youtube.com/watch?v=fdPFLXFJlwo&amp;t=55" TargetMode="External"/><Relationship Id="rId37" Type="http://schemas.openxmlformats.org/officeDocument/2006/relationships/hyperlink" Target="https://www.youtube.com/watch?v=OR58Odpst7Q" TargetMode="External"/><Relationship Id="rId36" Type="http://schemas.openxmlformats.org/officeDocument/2006/relationships/hyperlink" Target="https://www.youtube.com/watch?v=KjRgCP-x_Dw" TargetMode="External"/><Relationship Id="rId39" Type="http://schemas.openxmlformats.org/officeDocument/2006/relationships/hyperlink" Target="https://www.youtube.com/watch?v=dtlZTULGX4A" TargetMode="External"/><Relationship Id="rId38" Type="http://schemas.openxmlformats.org/officeDocument/2006/relationships/hyperlink" Target="https://www.youtube.com/watch?v=XGLA7lE-TLo" TargetMode="External"/><Relationship Id="rId20" Type="http://schemas.openxmlformats.org/officeDocument/2006/relationships/hyperlink" Target="https://www.youtube.com/watch?v=XuM7q15_u04" TargetMode="External"/><Relationship Id="rId22" Type="http://schemas.openxmlformats.org/officeDocument/2006/relationships/hyperlink" Target="https://www.youtube.com/watch?v=a_Q3LpltO8I&amp;t=2" TargetMode="External"/><Relationship Id="rId21" Type="http://schemas.openxmlformats.org/officeDocument/2006/relationships/hyperlink" Target="https://www.youtube.com/watch?v=YVG_HfB0Dpw&amp;t=604" TargetMode="External"/><Relationship Id="rId24" Type="http://schemas.openxmlformats.org/officeDocument/2006/relationships/hyperlink" Target="https://www.youtube.com/watch?v=ytsrFDab4QQ" TargetMode="External"/><Relationship Id="rId23" Type="http://schemas.openxmlformats.org/officeDocument/2006/relationships/hyperlink" Target="https://www.youtube.com/watch?v=yIAxLp4yY3E" TargetMode="External"/><Relationship Id="rId26" Type="http://schemas.openxmlformats.org/officeDocument/2006/relationships/hyperlink" Target="https://www.youtube.com/watch?v=3y6n2-qGxnE" TargetMode="External"/><Relationship Id="rId25" Type="http://schemas.openxmlformats.org/officeDocument/2006/relationships/hyperlink" Target="https://www.youtube.com/watch?v=ZaxGzqO8OCk" TargetMode="External"/><Relationship Id="rId28" Type="http://schemas.openxmlformats.org/officeDocument/2006/relationships/hyperlink" Target="https://www.youtube.com/watch?v=IxHlhnkaTC4&amp;t=408" TargetMode="External"/><Relationship Id="rId27" Type="http://schemas.openxmlformats.org/officeDocument/2006/relationships/hyperlink" Target="https://www.youtube.com/watch?v=Mggba8bAXVU" TargetMode="External"/><Relationship Id="rId29" Type="http://schemas.openxmlformats.org/officeDocument/2006/relationships/hyperlink" Target="https://www.youtube.com/watch?v=Ko4i_WqyPwE&amp;t=263" TargetMode="External"/><Relationship Id="rId11" Type="http://schemas.openxmlformats.org/officeDocument/2006/relationships/hyperlink" Target="https://www.youtube.com/watch?v=AF_p3QnDcNE&amp;t=358" TargetMode="External"/><Relationship Id="rId10" Type="http://schemas.openxmlformats.org/officeDocument/2006/relationships/hyperlink" Target="https://www.youtube.com/watch?v=3KVWXIXXyJo" TargetMode="External"/><Relationship Id="rId13" Type="http://schemas.openxmlformats.org/officeDocument/2006/relationships/hyperlink" Target="https://www.youtube.com/watch?v=GBZzmnhPh4U&amp;t=5" TargetMode="External"/><Relationship Id="rId12" Type="http://schemas.openxmlformats.org/officeDocument/2006/relationships/hyperlink" Target="https://www.youtube.com/watch?v=DKfcaxbRHcQ&amp;t=331" TargetMode="External"/><Relationship Id="rId15" Type="http://schemas.openxmlformats.org/officeDocument/2006/relationships/hyperlink" Target="https://www.youtube.com/watch?v=LPvRUxJ5J1E" TargetMode="External"/><Relationship Id="rId14" Type="http://schemas.openxmlformats.org/officeDocument/2006/relationships/hyperlink" Target="https://www.youtube.com/watch?v=IjasEPvA-K4" TargetMode="External"/><Relationship Id="rId17" Type="http://schemas.openxmlformats.org/officeDocument/2006/relationships/hyperlink" Target="https://www.youtube.com/watch?v=OvrST0uq8uk" TargetMode="External"/><Relationship Id="rId16" Type="http://schemas.openxmlformats.org/officeDocument/2006/relationships/hyperlink" Target="https://www.youtube.com/watch?v=NXkXQbQ9-kk&amp;vl=en&amp;t=332" TargetMode="External"/><Relationship Id="rId19" Type="http://schemas.openxmlformats.org/officeDocument/2006/relationships/hyperlink" Target="https://www.youtube.com/watch?v=XhMbeN7cH34&amp;t=707" TargetMode="External"/><Relationship Id="rId18" Type="http://schemas.openxmlformats.org/officeDocument/2006/relationships/hyperlink" Target="https://www.youtube.com/watch?v=VQQ_1ODhyvo&amp;vl=en" TargetMode="External"/><Relationship Id="rId84" Type="http://schemas.openxmlformats.org/officeDocument/2006/relationships/hyperlink" Target="https://www.reddit.com/r/u_Temporary_Meeting182/comments/1tp4iah/best_saas_geo_agencies_in_2026_who_should/" TargetMode="External"/><Relationship Id="rId83" Type="http://schemas.openxmlformats.org/officeDocument/2006/relationships/hyperlink" Target="https://www.reddit.com/r/hiredevelopers_/comments/1n84jms/list_of_best_ai_consulting_companies_in_usa/" TargetMode="External"/><Relationship Id="rId86" Type="http://schemas.openxmlformats.org/officeDocument/2006/relationships/hyperlink" Target="https://www.reddit.com/r/Agentic_Marketing/comments/1ue8msc/top_ai_consulting_firms_in_the_usa_driving/" TargetMode="External"/><Relationship Id="rId85" Type="http://schemas.openxmlformats.org/officeDocument/2006/relationships/hyperlink" Target="https://www.reddit.com/r/u_ThoughtMetric/comments/1udm00v/best_improvado_alternatives_updated_june_2026/" TargetMode="External"/><Relationship Id="rId88" Type="http://schemas.openxmlformats.org/officeDocument/2006/relationships/hyperlink" Target="https://www.reddit.com/r/DigitalMarketing/comments/1rwxybs/which_agencies_are_actually_wellknown_worldwide/" TargetMode="External"/><Relationship Id="rId87" Type="http://schemas.openxmlformats.org/officeDocument/2006/relationships/hyperlink" Target="https://www.reddit.com/r/AskMarketing/comments/1jwyn6z/a_client_is_looking_for_a_cheaper_incrementality/" TargetMode="External"/><Relationship Id="rId89" Type="http://schemas.openxmlformats.org/officeDocument/2006/relationships/hyperlink" Target="https://www.reddit.com/r/DigitalMarketing/comments/1tdfcjb/every_seo_agency_now_lists_ai_search_optimization/" TargetMode="External"/><Relationship Id="rId80" Type="http://schemas.openxmlformats.org/officeDocument/2006/relationships/hyperlink" Target="https://www.reddit.com/r/Superframeworks/comments/1twfxf1/10_best_ai_seo_geoaeo_agencies_for_2026_no/" TargetMode="External"/><Relationship Id="rId82" Type="http://schemas.openxmlformats.org/officeDocument/2006/relationships/hyperlink" Target="https://www.reddit.com/r/SocialMediaMarketing/comments/18gblts/what_are_some_trusted_legit_a_social_media/" TargetMode="External"/><Relationship Id="rId81" Type="http://schemas.openxmlformats.org/officeDocument/2006/relationships/hyperlink" Target="https://www.reddit.com/r/AISEOTricks/comments/1t9xk64/what_are_the_best_seo_agencies_right_now/" TargetMode="External"/><Relationship Id="rId73" Type="http://schemas.openxmlformats.org/officeDocument/2006/relationships/hyperlink" Target="https://www.reddit.com/r/u_Large_Let1715/comments/1tdt8px/best_marketing_analytics_firms_a_complete/" TargetMode="External"/><Relationship Id="rId72" Type="http://schemas.openxmlformats.org/officeDocument/2006/relationships/hyperlink" Target="https://www.reddit.com/r/ecommerce/comments/1qusfa4/looking_for_best_incrementality_testing_tools/" TargetMode="External"/><Relationship Id="rId75" Type="http://schemas.openxmlformats.org/officeDocument/2006/relationships/hyperlink" Target="https://www.reddit.com/r/agency/comments/1ok212i/performance_marketing_incrementality/" TargetMode="External"/><Relationship Id="rId74" Type="http://schemas.openxmlformats.org/officeDocument/2006/relationships/hyperlink" Target="https://www.reddit.com/r/TheTopAgencies/comments/1me9pid/the_best_digital_marketing_agencies_in_the_united/" TargetMode="External"/><Relationship Id="rId77" Type="http://schemas.openxmlformats.org/officeDocument/2006/relationships/hyperlink" Target="https://www.reddit.com/r/ecommerce/comments/1c4too8/best_tools_for_paid_marketing_attribution/" TargetMode="External"/><Relationship Id="rId76" Type="http://schemas.openxmlformats.org/officeDocument/2006/relationships/hyperlink" Target="https://www.reddit.com/r/b2bmarketing/comments/1rl47cr/the_10_best_visibility_companies_and_agencies_for/" TargetMode="External"/><Relationship Id="rId79" Type="http://schemas.openxmlformats.org/officeDocument/2006/relationships/hyperlink" Target="https://www.reddit.com/r/b2bmarketing/comments/1t546si/the_7_leading_ai_seo_agencies_for_modern_search/" TargetMode="External"/><Relationship Id="rId78" Type="http://schemas.openxmlformats.org/officeDocument/2006/relationships/hyperlink" Target="https://www.reddit.com/r/SearchTides/comments/1uu5d0d/10_best_geo_agencies_for_brands_that_want_to_win/" TargetMode="External"/><Relationship Id="rId71" Type="http://schemas.openxmlformats.org/officeDocument/2006/relationships/hyperlink" Target="https://www.reddit.com/r/SaaS/comments/1scwc2o/who_is_the_best_answer_engine_optimization_aeo/" TargetMode="External"/><Relationship Id="rId70" Type="http://schemas.openxmlformats.org/officeDocument/2006/relationships/hyperlink" Target="https://www.reddit.com/r/TheTopAgencies/comments/1mjdxiv/the_best_generative_engine_optimization_agencies/" TargetMode="External"/><Relationship Id="rId62" Type="http://schemas.openxmlformats.org/officeDocument/2006/relationships/hyperlink" Target="https://www.youtube.com/watch?v=JwCJmenpGKQ&amp;t=75" TargetMode="External"/><Relationship Id="rId61" Type="http://schemas.openxmlformats.org/officeDocument/2006/relationships/hyperlink" Target="https://www.youtube.com/watch?v=GCuRtQenQ80&amp;t=153" TargetMode="External"/><Relationship Id="rId64" Type="http://schemas.openxmlformats.org/officeDocument/2006/relationships/hyperlink" Target="https://www.youtube.com/watch?v=NXkXQbQ9-kk&amp;vl=de-DE" TargetMode="External"/><Relationship Id="rId63" Type="http://schemas.openxmlformats.org/officeDocument/2006/relationships/hyperlink" Target="https://www.youtube.com/watch?v=LPvRUxJ5J1E&amp;t=45" TargetMode="External"/><Relationship Id="rId66" Type="http://schemas.openxmlformats.org/officeDocument/2006/relationships/hyperlink" Target="https://www.youtube.com/watch?v=XhMbeN7cH34&amp;vl=de&amp;t=707" TargetMode="External"/><Relationship Id="rId65" Type="http://schemas.openxmlformats.org/officeDocument/2006/relationships/hyperlink" Target="https://www.youtube.com/watch?v=WD-3boLVluY&amp;vl=de&amp;t=368" TargetMode="External"/><Relationship Id="rId68" Type="http://schemas.openxmlformats.org/officeDocument/2006/relationships/hyperlink" Target="https://www.youtube.com/watch?v=kfjxG-B28VY&amp;t=53" TargetMode="External"/><Relationship Id="rId67" Type="http://schemas.openxmlformats.org/officeDocument/2006/relationships/hyperlink" Target="https://www.youtube.com/watch?v=dtlZTULGX4A" TargetMode="External"/><Relationship Id="rId60" Type="http://schemas.openxmlformats.org/officeDocument/2006/relationships/hyperlink" Target="https://www.youtube.com/watch?v=CS31tb_2rCc&amp;t=389" TargetMode="External"/><Relationship Id="rId69" Type="http://schemas.openxmlformats.org/officeDocument/2006/relationships/hyperlink" Target="https://www.reddit.com/r/MktgSupermarket/comments/1qom30j/compiled_a_directory_of_25_ai_marketing_agencies/" TargetMode="External"/><Relationship Id="rId51" Type="http://schemas.openxmlformats.org/officeDocument/2006/relationships/hyperlink" Target="https://www.youtube.com/watch?v=_6r4JfsFDAQ" TargetMode="External"/><Relationship Id="rId50" Type="http://schemas.openxmlformats.org/officeDocument/2006/relationships/hyperlink" Target="http://youtube.com" TargetMode="External"/><Relationship Id="rId53" Type="http://schemas.openxmlformats.org/officeDocument/2006/relationships/hyperlink" Target="https://www.youtube.com/watch?v=00C1PZt8bLw&amp;vl=de&amp;t=116" TargetMode="External"/><Relationship Id="rId52" Type="http://schemas.openxmlformats.org/officeDocument/2006/relationships/hyperlink" Target="http://youtube.com" TargetMode="External"/><Relationship Id="rId55" Type="http://schemas.openxmlformats.org/officeDocument/2006/relationships/hyperlink" Target="https://www.youtube.com/watch?v=4L7On3IGqKQ" TargetMode="External"/><Relationship Id="rId54" Type="http://schemas.openxmlformats.org/officeDocument/2006/relationships/hyperlink" Target="https://www.youtube.com/watch?v=iUNdeZPBkbk" TargetMode="External"/><Relationship Id="rId57" Type="http://schemas.openxmlformats.org/officeDocument/2006/relationships/hyperlink" Target="https://www.youtube.com/watch?v=7pP2AGlSn50" TargetMode="External"/><Relationship Id="rId56" Type="http://schemas.openxmlformats.org/officeDocument/2006/relationships/hyperlink" Target="https://www.youtube.com/watch?v=yqAWlB2swWU" TargetMode="External"/><Relationship Id="rId59" Type="http://schemas.openxmlformats.org/officeDocument/2006/relationships/hyperlink" Target="https://www.youtube.com/watch?v=00C1PZt8bLw&amp;vl=en" TargetMode="External"/><Relationship Id="rId58" Type="http://schemas.openxmlformats.org/officeDocument/2006/relationships/hyperlink" Target="https://www.youtube.com/watch?v=JmDHPizWIOA" TargetMode="External"/><Relationship Id="rId95" Type="http://schemas.openxmlformats.org/officeDocument/2006/relationships/hyperlink" Target="https://www.reddit.com/r/TheTopAgencies/comments/1m6imy5/the_best_digital_marketing_agencies_in_seattle/" TargetMode="External"/><Relationship Id="rId94" Type="http://schemas.openxmlformats.org/officeDocument/2006/relationships/hyperlink" Target="https://www.reddit.com/r/SaaS/comments/1rd9bem/whats_the_best_marketing_agency_youve_worked_with/" TargetMode="External"/><Relationship Id="rId97" Type="http://schemas.openxmlformats.org/officeDocument/2006/relationships/hyperlink" Target="https://www.reddit.com/r/u_ThoughtMetric/comments/1t4mvsi/we_put_together_a_comparison_of_the_top_shopify/" TargetMode="External"/><Relationship Id="rId96" Type="http://schemas.openxmlformats.org/officeDocument/2006/relationships/hyperlink" Target="https://www.reddit.com/r/digital_marketing/comments/1rpmtmy/what_are_the_top_5_ai_visibility_agencies_in_2026/" TargetMode="External"/><Relationship Id="rId99" Type="http://schemas.openxmlformats.org/officeDocument/2006/relationships/hyperlink" Target="https://www.reddit.com/r/BestInAustralia/comments/1rwwbcw/5_best_digital_marketing_agencies_leveraging_ai/" TargetMode="External"/><Relationship Id="rId98" Type="http://schemas.openxmlformats.org/officeDocument/2006/relationships/hyperlink" Target="https://www.reddit.com/r/u_ThoughtMetric/comments/1tdbr6w/top_hyros_alternatives_updated_may_2026/" TargetMode="External"/><Relationship Id="rId91" Type="http://schemas.openxmlformats.org/officeDocument/2006/relationships/hyperlink" Target="https://www.reddit.com/r/FacebookAds/comments/1nhohty/meta_insights_based_on_640_incrementality_tests/" TargetMode="External"/><Relationship Id="rId90" Type="http://schemas.openxmlformats.org/officeDocument/2006/relationships/hyperlink" Target="https://www.reddit.com/r/DigitalMarketing/comments/1tpb0sw/mmm_tools_for_50k200kmo_ad_spend_brands_recast_vs/" TargetMode="External"/><Relationship Id="rId93" Type="http://schemas.openxmlformats.org/officeDocument/2006/relationships/hyperlink" Target="https://www.reddit.com/r/GrowthHacking/comments/1rri9ch/searching_for_10_ai_visibility_agency_brands_are/" TargetMode="External"/><Relationship Id="rId92" Type="http://schemas.openxmlformats.org/officeDocument/2006/relationships/hyperlink" Target="https://www.reddit.com/r/GenEngineOptimization/comments/1qab4rt/what_are_the_top_geo_agencies_and_what_softwares/" TargetMode="External"/><Relationship Id="rId305" Type="http://schemas.openxmlformats.org/officeDocument/2006/relationships/hyperlink" Target="https://www.linkedin.com/top-content/marketing/digital-advertising-metrics/incrementality-testing-in-ads/" TargetMode="External"/><Relationship Id="rId304" Type="http://schemas.openxmlformats.org/officeDocument/2006/relationships/hyperlink" Target="https://www.linkedin.com/pulse/what-sales-branding-value-adding-awareness-phase-your-daniel-opler" TargetMode="External"/><Relationship Id="rId303" Type="http://schemas.openxmlformats.org/officeDocument/2006/relationships/hyperlink" Target="https://www.linkedin.com/pulse/top-15-performance-marketing-companies-clutch-global-spring-kbaae" TargetMode="External"/><Relationship Id="rId302" Type="http://schemas.openxmlformats.org/officeDocument/2006/relationships/hyperlink" Target="https://www.linkedin.com/pulse/google-ads-marketing-companies-farhan-ali-tbtwf" TargetMode="External"/><Relationship Id="rId306" Type="http://schemas.openxmlformats.org/officeDocument/2006/relationships/drawing" Target="../drawings/drawing12.xml"/><Relationship Id="rId301" Type="http://schemas.openxmlformats.org/officeDocument/2006/relationships/hyperlink" Target="https://www.linkedin.com/pulse/deconstructing-common-solutions-first-party-data-pierre-cholet-booce" TargetMode="External"/><Relationship Id="rId300" Type="http://schemas.openxmlformats.org/officeDocument/2006/relationships/hyperlink" Target="https://www.linkedin.com/posts/trkkn_were-proud-to-announce-that-trkkn-has-activity-7396834763552018432-MyUH" TargetMode="External"/><Relationship Id="rId297" Type="http://schemas.openxmlformats.org/officeDocument/2006/relationships/hyperlink" Target="https://www.linkedin.com/posts/incrmntal_incrementality-martech-measurement-activity-7458138781590683648-ubwV" TargetMode="External"/><Relationship Id="rId296" Type="http://schemas.openxmlformats.org/officeDocument/2006/relationships/hyperlink" Target="https://www.linkedin.com/company/thjnk" TargetMode="External"/><Relationship Id="rId295" Type="http://schemas.openxmlformats.org/officeDocument/2006/relationships/hyperlink" Target="https://www.linkedin.com/company/crealytics-gmbh" TargetMode="External"/><Relationship Id="rId294" Type="http://schemas.openxmlformats.org/officeDocument/2006/relationships/hyperlink" Target="https://de.linkedin.com/in/jorngrunert" TargetMode="External"/><Relationship Id="rId299" Type="http://schemas.openxmlformats.org/officeDocument/2006/relationships/hyperlink" Target="https://www.linkedin.com/posts/s360digital_s360-is-the-first-partner-in-northern-europe-activity-7447540211539931137-Y8GK" TargetMode="External"/><Relationship Id="rId298" Type="http://schemas.openxmlformats.org/officeDocument/2006/relationships/hyperlink" Target="https://www.linkedin.com/posts/karthik-banda-b8bb53246_digitalmarketing-marketingagencies-advertising-activity-7404477675702083584-oyVa" TargetMode="External"/><Relationship Id="rId271" Type="http://schemas.openxmlformats.org/officeDocument/2006/relationships/hyperlink" Target="https://www.linkedin.com/pulse/10-best-ai-development-companies-uae-leading-innovation-sophie-henry-srcec" TargetMode="External"/><Relationship Id="rId270" Type="http://schemas.openxmlformats.org/officeDocument/2006/relationships/hyperlink" Target="http://linkedin.com" TargetMode="External"/><Relationship Id="rId269" Type="http://schemas.openxmlformats.org/officeDocument/2006/relationships/hyperlink" Target="https://www.linkedin.com/posts/lapaone_best-ppc-management-agencies-in-dubai-lapaone-activity-7412535693329223680-fnGx" TargetMode="External"/><Relationship Id="rId264" Type="http://schemas.openxmlformats.org/officeDocument/2006/relationships/hyperlink" Target="http://linkedin.com" TargetMode="External"/><Relationship Id="rId263" Type="http://schemas.openxmlformats.org/officeDocument/2006/relationships/hyperlink" Target="https://www.linkedin.com/company/hopmarketing/?originalSubdomain=ae" TargetMode="External"/><Relationship Id="rId262" Type="http://schemas.openxmlformats.org/officeDocument/2006/relationships/hyperlink" Target="http://linkedin.com" TargetMode="External"/><Relationship Id="rId261" Type="http://schemas.openxmlformats.org/officeDocument/2006/relationships/hyperlink" Target="https://www.linkedin.com/company/chain-reaction-digital-services" TargetMode="External"/><Relationship Id="rId268" Type="http://schemas.openxmlformats.org/officeDocument/2006/relationships/hyperlink" Target="http://linkedin.com" TargetMode="External"/><Relationship Id="rId267" Type="http://schemas.openxmlformats.org/officeDocument/2006/relationships/hyperlink" Target="https://www.linkedin.com/jobs/view/4394391942/" TargetMode="External"/><Relationship Id="rId266" Type="http://schemas.openxmlformats.org/officeDocument/2006/relationships/hyperlink" Target="http://linkedin.com" TargetMode="External"/><Relationship Id="rId265" Type="http://schemas.openxmlformats.org/officeDocument/2006/relationships/hyperlink" Target="https://www.linkedin.com/in/khalidelsadig/" TargetMode="External"/><Relationship Id="rId260" Type="http://schemas.openxmlformats.org/officeDocument/2006/relationships/hyperlink" Target="http://linkedin.com" TargetMode="External"/><Relationship Id="rId259" Type="http://schemas.openxmlformats.org/officeDocument/2006/relationships/hyperlink" Target="https://in.linkedin.com/company/nexaai-co-in" TargetMode="External"/><Relationship Id="rId258" Type="http://schemas.openxmlformats.org/officeDocument/2006/relationships/hyperlink" Target="http://linkedin.com" TargetMode="External"/><Relationship Id="rId253" Type="http://schemas.openxmlformats.org/officeDocument/2006/relationships/hyperlink" Target="https://ae.linkedin.com/in/sumedh-gaikwad-b3799854" TargetMode="External"/><Relationship Id="rId252" Type="http://schemas.openxmlformats.org/officeDocument/2006/relationships/hyperlink" Target="http://linkedin.com" TargetMode="External"/><Relationship Id="rId251" Type="http://schemas.openxmlformats.org/officeDocument/2006/relationships/hyperlink" Target="https://ae.linkedin.com/in/raya-succar-667b23173" TargetMode="External"/><Relationship Id="rId250" Type="http://schemas.openxmlformats.org/officeDocument/2006/relationships/hyperlink" Target="http://linkedin.com" TargetMode="External"/><Relationship Id="rId257" Type="http://schemas.openxmlformats.org/officeDocument/2006/relationships/hyperlink" Target="https://ie.linkedin.com/company/acquisit-advertising?trk=ppro_cprof" TargetMode="External"/><Relationship Id="rId256" Type="http://schemas.openxmlformats.org/officeDocument/2006/relationships/hyperlink" Target="http://linkedin.com" TargetMode="External"/><Relationship Id="rId255" Type="http://schemas.openxmlformats.org/officeDocument/2006/relationships/hyperlink" Target="https://au.linkedin.com/in/rami-alcheikh" TargetMode="External"/><Relationship Id="rId254" Type="http://schemas.openxmlformats.org/officeDocument/2006/relationships/hyperlink" Target="http://linkedin.com" TargetMode="External"/><Relationship Id="rId293" Type="http://schemas.openxmlformats.org/officeDocument/2006/relationships/hyperlink" Target="https://de.linkedin.com/company/serviceplan-group" TargetMode="External"/><Relationship Id="rId292" Type="http://schemas.openxmlformats.org/officeDocument/2006/relationships/hyperlink" Target="https://de.linkedin.com/company/scholz-&amp;-friends" TargetMode="External"/><Relationship Id="rId291" Type="http://schemas.openxmlformats.org/officeDocument/2006/relationships/hyperlink" Target="https://de.linkedin.com/company/hyamstudios" TargetMode="External"/><Relationship Id="rId290" Type="http://schemas.openxmlformats.org/officeDocument/2006/relationships/hyperlink" Target="https://de.linkedin.com/company/deptagency" TargetMode="External"/><Relationship Id="rId286" Type="http://schemas.openxmlformats.org/officeDocument/2006/relationships/hyperlink" Target="https://de.linkedin.com/company/bbdo-holding-germany" TargetMode="External"/><Relationship Id="rId285" Type="http://schemas.openxmlformats.org/officeDocument/2006/relationships/hyperlink" Target="https://de.linkedin.com/company/the-boutique-agency-de" TargetMode="External"/><Relationship Id="rId284" Type="http://schemas.openxmlformats.org/officeDocument/2006/relationships/hyperlink" Target="https://de.linkedin.com/company/mawave-marketing" TargetMode="External"/><Relationship Id="rId283" Type="http://schemas.openxmlformats.org/officeDocument/2006/relationships/hyperlink" Target="https://de.linkedin.com/company/jung-von-matt" TargetMode="External"/><Relationship Id="rId289" Type="http://schemas.openxmlformats.org/officeDocument/2006/relationships/hyperlink" Target="https://de.linkedin.com/company/ddb-germany" TargetMode="External"/><Relationship Id="rId288" Type="http://schemas.openxmlformats.org/officeDocument/2006/relationships/hyperlink" Target="https://www.linkedin.com/posts/landwehr_most-seo-agencies-are-now-geo-agencies-activity-7440030279630680064-yR88" TargetMode="External"/><Relationship Id="rId287" Type="http://schemas.openxmlformats.org/officeDocument/2006/relationships/hyperlink" Target="https://de.linkedin.com/company/trkkn" TargetMode="External"/><Relationship Id="rId282" Type="http://schemas.openxmlformats.org/officeDocument/2006/relationships/hyperlink" Target="http://linkedin.com" TargetMode="External"/><Relationship Id="rId281" Type="http://schemas.openxmlformats.org/officeDocument/2006/relationships/hyperlink" Target="https://www.linkedin.com/pulse/top-ai-consulting-companies-dubai-2025-global-leaders-smith-johnes-dirbc" TargetMode="External"/><Relationship Id="rId280" Type="http://schemas.openxmlformats.org/officeDocument/2006/relationships/hyperlink" Target="http://linkedin.com" TargetMode="External"/><Relationship Id="rId275" Type="http://schemas.openxmlformats.org/officeDocument/2006/relationships/hyperlink" Target="https://www.linkedin.com/pulse/deconstructing-common-solutions-first-party-data-pierre-cholet-booce" TargetMode="External"/><Relationship Id="rId274" Type="http://schemas.openxmlformats.org/officeDocument/2006/relationships/hyperlink" Target="http://linkedin.com" TargetMode="External"/><Relationship Id="rId273" Type="http://schemas.openxmlformats.org/officeDocument/2006/relationships/hyperlink" Target="https://www.linkedin.com/pulse/10-best-ai-development-companies-uae-leading-race-mohammad-rahman-kqchc" TargetMode="External"/><Relationship Id="rId272" Type="http://schemas.openxmlformats.org/officeDocument/2006/relationships/hyperlink" Target="http://linkedin.com" TargetMode="External"/><Relationship Id="rId279" Type="http://schemas.openxmlformats.org/officeDocument/2006/relationships/hyperlink" Target="https://www.linkedin.com/pulse/top-25-performance-marketing-agencies-us-hawkemedia-iqbnc" TargetMode="External"/><Relationship Id="rId278" Type="http://schemas.openxmlformats.org/officeDocument/2006/relationships/hyperlink" Target="http://linkedin.com" TargetMode="External"/><Relationship Id="rId277" Type="http://schemas.openxmlformats.org/officeDocument/2006/relationships/hyperlink" Target="https://www.linkedin.com/pulse/top-10-ai-prompt-engineering-service-companies-2025-jagadish-thaker-xw6lc" TargetMode="External"/><Relationship Id="rId276" Type="http://schemas.openxmlformats.org/officeDocument/2006/relationships/hyperlink" Target="http://linkedin.com" TargetMode="External"/><Relationship Id="rId228" Type="http://schemas.openxmlformats.org/officeDocument/2006/relationships/hyperlink" Target="https://au.linkedin.com/in/iampaulio" TargetMode="External"/><Relationship Id="rId227" Type="http://schemas.openxmlformats.org/officeDocument/2006/relationships/hyperlink" Target="https://au.linkedin.com/company/trkkn" TargetMode="External"/><Relationship Id="rId226" Type="http://schemas.openxmlformats.org/officeDocument/2006/relationships/hyperlink" Target="https://au.linkedin.com/company/online-marketing-gurus" TargetMode="External"/><Relationship Id="rId225" Type="http://schemas.openxmlformats.org/officeDocument/2006/relationships/hyperlink" Target="https://au.linkedin.com/company/ogilvy-australia" TargetMode="External"/><Relationship Id="rId229" Type="http://schemas.openxmlformats.org/officeDocument/2006/relationships/hyperlink" Target="https://www.linkedin.com/pulse/top-performance-marketing-agencies-uk-steve-walker-mrjxe" TargetMode="External"/><Relationship Id="rId220" Type="http://schemas.openxmlformats.org/officeDocument/2006/relationships/hyperlink" Target="https://au.linkedin.com/company/bmf-advertising-pty-ltd-" TargetMode="External"/><Relationship Id="rId224" Type="http://schemas.openxmlformats.org/officeDocument/2006/relationships/hyperlink" Target="https://au.linkedin.com/company/metric-labs" TargetMode="External"/><Relationship Id="rId223" Type="http://schemas.openxmlformats.org/officeDocument/2006/relationships/hyperlink" Target="https://au.linkedin.com/company/ground-control-data" TargetMode="External"/><Relationship Id="rId222" Type="http://schemas.openxmlformats.org/officeDocument/2006/relationships/hyperlink" Target="https://au.linkedin.com/company/droga5-anz" TargetMode="External"/><Relationship Id="rId221" Type="http://schemas.openxmlformats.org/officeDocument/2006/relationships/hyperlink" Target="https://au.linkedin.com/company/clemenger-bbdo" TargetMode="External"/><Relationship Id="rId217" Type="http://schemas.openxmlformats.org/officeDocument/2006/relationships/hyperlink" Target="https://www.linkedin.com/pulse/best-performance-marketing-services-australia-vanator-assist-jhjyc" TargetMode="External"/><Relationship Id="rId216" Type="http://schemas.openxmlformats.org/officeDocument/2006/relationships/hyperlink" Target="https://www.linkedin.com/company/sparro-digital" TargetMode="External"/><Relationship Id="rId215" Type="http://schemas.openxmlformats.org/officeDocument/2006/relationships/hyperlink" Target="https://au.linkedin.com/company/thinkerbellagency" TargetMode="External"/><Relationship Id="rId214" Type="http://schemas.openxmlformats.org/officeDocument/2006/relationships/hyperlink" Target="https://www.linkedin.com/pulse/top-ai-seo-agencies-australia-watch-year-shivanshi-rai-dpy2c" TargetMode="External"/><Relationship Id="rId219" Type="http://schemas.openxmlformats.org/officeDocument/2006/relationships/hyperlink" Target="https://au.linkedin.com/company/alpha-digital" TargetMode="External"/><Relationship Id="rId218" Type="http://schemas.openxmlformats.org/officeDocument/2006/relationships/hyperlink" Target="https://au.linkedin.com/company/alley-group" TargetMode="External"/><Relationship Id="rId213" Type="http://schemas.openxmlformats.org/officeDocument/2006/relationships/hyperlink" Target="https://www.linkedin.com/pulse/digital-marketing-agencies-australia-abhinav-puri-oeg4f" TargetMode="External"/><Relationship Id="rId212" Type="http://schemas.openxmlformats.org/officeDocument/2006/relationships/hyperlink" Target="https://www.linkedin.com/pulse/top-data-analytics-services-australia-vanator-assist-dcjvf?trk=public_post" TargetMode="External"/><Relationship Id="rId211" Type="http://schemas.openxmlformats.org/officeDocument/2006/relationships/hyperlink" Target="https://www.linkedin.com/pulse/deconstructing-common-solutions-first-party-data-pierre-cholet-booce" TargetMode="External"/><Relationship Id="rId210" Type="http://schemas.openxmlformats.org/officeDocument/2006/relationships/hyperlink" Target="https://www.linkedin.com/pulse/ai-seo-agencies-softtrix-web-solutions-zaxtc" TargetMode="External"/><Relationship Id="rId249" Type="http://schemas.openxmlformats.org/officeDocument/2006/relationships/hyperlink" Target="https://ae.linkedin.com/in/hossameldin-kamel" TargetMode="External"/><Relationship Id="rId248" Type="http://schemas.openxmlformats.org/officeDocument/2006/relationships/hyperlink" Target="http://linkedin.com" TargetMode="External"/><Relationship Id="rId247" Type="http://schemas.openxmlformats.org/officeDocument/2006/relationships/hyperlink" Target="https://www.linkedin.com/pulse/top-branding-agencies-mena-best-middle-east-north-africa-firms-jgame" TargetMode="External"/><Relationship Id="rId242" Type="http://schemas.openxmlformats.org/officeDocument/2006/relationships/hyperlink" Target="http://savit.ae" TargetMode="External"/><Relationship Id="rId241" Type="http://schemas.openxmlformats.org/officeDocument/2006/relationships/hyperlink" Target="https://savit.ae/best-social-media-agencies-in-dubai-for-roi-driven-campaigns/" TargetMode="External"/><Relationship Id="rId240" Type="http://schemas.openxmlformats.org/officeDocument/2006/relationships/hyperlink" Target="http://linkedin.com" TargetMode="External"/><Relationship Id="rId246" Type="http://schemas.openxmlformats.org/officeDocument/2006/relationships/hyperlink" Target="http://linkedin.com" TargetMode="External"/><Relationship Id="rId245" Type="http://schemas.openxmlformats.org/officeDocument/2006/relationships/hyperlink" Target="https://www.linkedin.com/pulse/best-10-ai-consulting-companies-dubai-uae-2025-ranjana-srivastava-2bstc" TargetMode="External"/><Relationship Id="rId244" Type="http://schemas.openxmlformats.org/officeDocument/2006/relationships/hyperlink" Target="http://linkedin.com" TargetMode="External"/><Relationship Id="rId243" Type="http://schemas.openxmlformats.org/officeDocument/2006/relationships/hyperlink" Target="https://www.linkedin.com/posts/crystal-infoway_best-5-digital-marketing-agencies-in-uae-activity-7417873568446775297-9DW8" TargetMode="External"/><Relationship Id="rId239" Type="http://schemas.openxmlformats.org/officeDocument/2006/relationships/hyperlink" Target="https://www.linkedin.com/pulse/top-10-ai-consulting-services-providers-dubai-abu-dhabi-hazel-wilson-fvqvf" TargetMode="External"/><Relationship Id="rId238" Type="http://schemas.openxmlformats.org/officeDocument/2006/relationships/hyperlink" Target="http://linkedin.com" TargetMode="External"/><Relationship Id="rId237" Type="http://schemas.openxmlformats.org/officeDocument/2006/relationships/hyperlink" Target="https://www.linkedin.com/pulse/definitive-list-best-generative-engine-optimization-geo-agencies-svknc" TargetMode="External"/><Relationship Id="rId236" Type="http://schemas.openxmlformats.org/officeDocument/2006/relationships/hyperlink" Target="https://uk.linkedin.com/in/digantika-mitra" TargetMode="External"/><Relationship Id="rId231" Type="http://schemas.openxmlformats.org/officeDocument/2006/relationships/hyperlink" Target="https://uk.linkedin.com/company/queryclick" TargetMode="External"/><Relationship Id="rId230" Type="http://schemas.openxmlformats.org/officeDocument/2006/relationships/hyperlink" Target="https://uk.linkedin.com/company/lynchpin-analytics-ltd" TargetMode="External"/><Relationship Id="rId235" Type="http://schemas.openxmlformats.org/officeDocument/2006/relationships/hyperlink" Target="https://uk.linkedin.com/company/the-social-shepherd" TargetMode="External"/><Relationship Id="rId234" Type="http://schemas.openxmlformats.org/officeDocument/2006/relationships/hyperlink" Target="https://uk.linkedin.com/company/ruleranalytics" TargetMode="External"/><Relationship Id="rId233" Type="http://schemas.openxmlformats.org/officeDocument/2006/relationships/hyperlink" Target="https://www.linkedin.com/pulse/top-21-data-science-consulting-companies-2026-saurabh-sharma-kzwge" TargetMode="External"/><Relationship Id="rId232" Type="http://schemas.openxmlformats.org/officeDocument/2006/relationships/hyperlink" Target="https://www.linkedin.com/pulse/deconstructing-common-solutions-first-party-data-pierre-cholet-booce" TargetMode="External"/><Relationship Id="rId206" Type="http://schemas.openxmlformats.org/officeDocument/2006/relationships/hyperlink" Target="https://www.linkedin.com/posts/clutch-co_bestofclutch-digitalmarketing-webdevelopment-activity-7323717286719090688-G6i3" TargetMode="External"/><Relationship Id="rId205" Type="http://schemas.openxmlformats.org/officeDocument/2006/relationships/hyperlink" Target="https://www.linkedin.com/company/vaynermedia" TargetMode="External"/><Relationship Id="rId204" Type="http://schemas.openxmlformats.org/officeDocument/2006/relationships/hyperlink" Target="https://www.linkedin.com/company/the-social-shepherd" TargetMode="External"/><Relationship Id="rId203" Type="http://schemas.openxmlformats.org/officeDocument/2006/relationships/hyperlink" Target="https://www.linkedin.com/company/artefact-global" TargetMode="External"/><Relationship Id="rId209" Type="http://schemas.openxmlformats.org/officeDocument/2006/relationships/hyperlink" Target="https://www.linkedin.com/pulse/30-leading-graphic-design-companies-making-global-impact-lti6f" TargetMode="External"/><Relationship Id="rId208" Type="http://schemas.openxmlformats.org/officeDocument/2006/relationships/hyperlink" Target="https://www.linkedin.com/pulse/10-best-answer-engine-optimization-aeo-agencies-2026-nick-malekos-tkzqf" TargetMode="External"/><Relationship Id="rId207" Type="http://schemas.openxmlformats.org/officeDocument/2006/relationships/hyperlink" Target="https://www.linkedin.com/posts/clutch-co_top-15-ppc-agencies-clutch-global-fall-2025-activity-7421548745084932096-DYA_" TargetMode="External"/><Relationship Id="rId202" Type="http://schemas.openxmlformats.org/officeDocument/2006/relationships/hyperlink" Target="https://www.linkedin.com/company/analytics-pros" TargetMode="External"/><Relationship Id="rId201" Type="http://schemas.openxmlformats.org/officeDocument/2006/relationships/hyperlink" Target="https://www.linkedin.com/company/mutesix" TargetMode="External"/><Relationship Id="rId200" Type="http://schemas.openxmlformats.org/officeDocument/2006/relationships/hyperlink" Target="https://www.linkedin.com/pulse/top-5-geo-agencies-usa-2026-yash-kumar-m4v6c" TargetMode="External"/><Relationship Id="rId190" Type="http://schemas.openxmlformats.org/officeDocument/2006/relationships/hyperlink" Target="https://www.facebook.com/tinuiti1/" TargetMode="External"/><Relationship Id="rId194" Type="http://schemas.openxmlformats.org/officeDocument/2006/relationships/hyperlink" Target="https://www.bicommunications.ae/blog/best-facebook-marketing-agencies-dubai/" TargetMode="External"/><Relationship Id="rId193" Type="http://schemas.openxmlformats.org/officeDocument/2006/relationships/hyperlink" Target="https://www.facebook.com/sparrogram/" TargetMode="External"/><Relationship Id="rId192" Type="http://schemas.openxmlformats.org/officeDocument/2006/relationships/hyperlink" Target="https://www.facebook.com/metriclabsau/" TargetMode="External"/><Relationship Id="rId191" Type="http://schemas.openxmlformats.org/officeDocument/2006/relationships/hyperlink" Target="https://www.facebook.com/business/marketing-partners/business-innovation-technology-podcast/Marketing_Mix_Modeling_Utilizing_Open_Source" TargetMode="External"/><Relationship Id="rId187" Type="http://schemas.openxmlformats.org/officeDocument/2006/relationships/hyperlink" Target="https://medium.com/@tweet2faizal/best-70-digital-marketing-agencies-in-uae-a893126b7674" TargetMode="External"/><Relationship Id="rId186" Type="http://schemas.openxmlformats.org/officeDocument/2006/relationships/hyperlink" Target="https://auratechinsights.medium.com/top-10-ai-development-and-consulting-companies-in-australia-7093eee60fbe" TargetMode="External"/><Relationship Id="rId185" Type="http://schemas.openxmlformats.org/officeDocument/2006/relationships/hyperlink" Target="https://medium.com/data-science-at-microsoft/how-do-you-know-your-ai-actually-works-b1a380a07825" TargetMode="External"/><Relationship Id="rId184" Type="http://schemas.openxmlformats.org/officeDocument/2006/relationships/hyperlink" Target="https://medium.com/@naiya.sharma_75305/10-best-digital-marketing-agencies-trusted-by-leading-brands-in-the-usa-db172483a516" TargetMode="External"/><Relationship Id="rId189" Type="http://schemas.openxmlformats.org/officeDocument/2006/relationships/hyperlink" Target="https://www.facebook.com/McKinsey/videos/only-11-of-companies-are-fully-leveraging-the-potential-of-gen-ai-quantumblack-a/932826565549113/" TargetMode="External"/><Relationship Id="rId188" Type="http://schemas.openxmlformats.org/officeDocument/2006/relationships/hyperlink" Target="http://medium.com" TargetMode="External"/><Relationship Id="rId183" Type="http://schemas.openxmlformats.org/officeDocument/2006/relationships/hyperlink" Target="https://www.quora.com/What-are-Berlins-best-creative-agencies-in-advertising-digital-and-production" TargetMode="External"/><Relationship Id="rId182" Type="http://schemas.openxmlformats.org/officeDocument/2006/relationships/hyperlink" Target="https://www.quora.com/Which-are-the-best-social-media-marketing-agencies-in-USA" TargetMode="External"/><Relationship Id="rId181" Type="http://schemas.openxmlformats.org/officeDocument/2006/relationships/hyperlink" Target="https://www.quora.com/What-are-some-AI-SEO-agencies" TargetMode="External"/><Relationship Id="rId180" Type="http://schemas.openxmlformats.org/officeDocument/2006/relationships/hyperlink" Target="https://www.quora.com/What-is-the-best-AEO-agency-in-the-USA-in-2026" TargetMode="External"/><Relationship Id="rId176" Type="http://schemas.openxmlformats.org/officeDocument/2006/relationships/hyperlink" Target="https://www.reddit.com/r/analytics/comments/1q5d8wc/advice_for_the_best_customer_data_platforms_2026/" TargetMode="External"/><Relationship Id="rId175" Type="http://schemas.openxmlformats.org/officeDocument/2006/relationships/hyperlink" Target="https://www.reddit.com/r/analytics/comments/1l4qcx4/what_is_incrementality_testing_and_how_is_it/?tl=de" TargetMode="External"/><Relationship Id="rId174" Type="http://schemas.openxmlformats.org/officeDocument/2006/relationships/hyperlink" Target="https://www.reddit.com/r/Topagencies/comments/1srfjwq/top_ppc_services_agencies_in_frankfurt_package/" TargetMode="External"/><Relationship Id="rId173" Type="http://schemas.openxmlformats.org/officeDocument/2006/relationships/hyperlink" Target="https://www.reddit.com/r/Topagencies/comments/1spi6ov/top_ppc_agencies_in_berlin_packages_pricing_cost/" TargetMode="External"/><Relationship Id="rId179" Type="http://schemas.openxmlformats.org/officeDocument/2006/relationships/hyperlink" Target="https://www.reddit.com/r/u_Emkutis/comments/1u2d4ma/the_best_geo_ai_search_agencies_in_europe_in_2026/" TargetMode="External"/><Relationship Id="rId178" Type="http://schemas.openxmlformats.org/officeDocument/2006/relationships/hyperlink" Target="https://www.reddit.com/r/b2bmarketing/comments/1t546si/the_7_leading_ai_seo_agencies_for_modern_search/" TargetMode="External"/><Relationship Id="rId177" Type="http://schemas.openxmlformats.org/officeDocument/2006/relationships/hyperlink" Target="https://www.reddit.com/r/b2bmarketing/comments/1rl47cr/the_10_best_visibility_companies_and_agencies_for/" TargetMode="External"/><Relationship Id="rId198" Type="http://schemas.openxmlformats.org/officeDocument/2006/relationships/hyperlink" Target="https://www.linkedin.com/pulse/top-25-performance-marketing-agencies-us-hawkemedia-iqbnc" TargetMode="External"/><Relationship Id="rId197" Type="http://schemas.openxmlformats.org/officeDocument/2006/relationships/hyperlink" Target="https://au.linkedin.com/company/xpontechnologies" TargetMode="External"/><Relationship Id="rId196" Type="http://schemas.openxmlformats.org/officeDocument/2006/relationships/hyperlink" Target="https://www.facebook.com/incrmntal/" TargetMode="External"/><Relationship Id="rId195" Type="http://schemas.openxmlformats.org/officeDocument/2006/relationships/hyperlink" Target="http://bicommunications.ae" TargetMode="External"/><Relationship Id="rId199" Type="http://schemas.openxmlformats.org/officeDocument/2006/relationships/hyperlink" Target="https://www.linkedin.com/pulse/top-10-aeo-agencies-usa-2026-best-answer-engine-companies-sam-israel-pgcwc" TargetMode="External"/><Relationship Id="rId150" Type="http://schemas.openxmlformats.org/officeDocument/2006/relationships/hyperlink" Target="https://www.reddit.com/r/aeo/comments/1twcbr2/best_aeo_agency_guide_what_to_look_for_in_an/" TargetMode="External"/><Relationship Id="rId149" Type="http://schemas.openxmlformats.org/officeDocument/2006/relationships/hyperlink" Target="http://reddit.com" TargetMode="External"/><Relationship Id="rId148" Type="http://schemas.openxmlformats.org/officeDocument/2006/relationships/hyperlink" Target="https://www.reddit.com/r/UAE/comments/1oienom/which_is_the_best_performance_and_roifocused/" TargetMode="External"/><Relationship Id="rId143" Type="http://schemas.openxmlformats.org/officeDocument/2006/relationships/hyperlink" Target="http://reddit.com" TargetMode="External"/><Relationship Id="rId142" Type="http://schemas.openxmlformats.org/officeDocument/2006/relationships/hyperlink" Target="https://www.reddit.com/r/Superframeworks/comments/1twfxf1/10_best_ai_seo_geoaeo_agencies_for_2026_no/" TargetMode="External"/><Relationship Id="rId141" Type="http://schemas.openxmlformats.org/officeDocument/2006/relationships/hyperlink" Target="http://reddit.com" TargetMode="External"/><Relationship Id="rId140" Type="http://schemas.openxmlformats.org/officeDocument/2006/relationships/hyperlink" Target="https://www.reddit.com/r/AppDevelopersDubai/comments/1qy6tf9/top_10_digital_marketing_agencies_in_the_middle/" TargetMode="External"/><Relationship Id="rId147" Type="http://schemas.openxmlformats.org/officeDocument/2006/relationships/hyperlink" Target="http://reddit.com" TargetMode="External"/><Relationship Id="rId146" Type="http://schemas.openxmlformats.org/officeDocument/2006/relationships/hyperlink" Target="https://www.reddit.com/r/DesignDigitalProducts/comments/1tm0oqk/top_5_best_branding_agencies_in_dubai_based_on_my/" TargetMode="External"/><Relationship Id="rId145" Type="http://schemas.openxmlformats.org/officeDocument/2006/relationships/hyperlink" Target="http://reddit.com" TargetMode="External"/><Relationship Id="rId144" Type="http://schemas.openxmlformats.org/officeDocument/2006/relationships/hyperlink" Target="https://www.reddit.com/r/agency/comments/1ok212i/performance_marketing_incrementality/" TargetMode="External"/><Relationship Id="rId139" Type="http://schemas.openxmlformats.org/officeDocument/2006/relationships/hyperlink" Target="http://reddit.com" TargetMode="External"/><Relationship Id="rId138" Type="http://schemas.openxmlformats.org/officeDocument/2006/relationships/hyperlink" Target="https://www.reddit.com/r/uaemarketing/comments/1m9pccx/top_rated_generative_engine_optimization_geo/" TargetMode="External"/><Relationship Id="rId137" Type="http://schemas.openxmlformats.org/officeDocument/2006/relationships/hyperlink" Target="http://reddit.com" TargetMode="External"/><Relationship Id="rId132" Type="http://schemas.openxmlformats.org/officeDocument/2006/relationships/hyperlink" Target="https://www.reddit.com/r/digital_marketing/comments/1sd6dxn/whats_the_best_aeogeo_agency_that_actually_gets/" TargetMode="External"/><Relationship Id="rId131" Type="http://schemas.openxmlformats.org/officeDocument/2006/relationships/hyperlink" Target="https://www.reddit.com/r/branding/comments/d6zp5l/what_are_the_top_branding_agencies_out_there/" TargetMode="External"/><Relationship Id="rId130" Type="http://schemas.openxmlformats.org/officeDocument/2006/relationships/hyperlink" Target="https://www.reddit.com/r/agency/comments/1j8nw3r/digital_marketing_attribution_challenges/" TargetMode="External"/><Relationship Id="rId136" Type="http://schemas.openxmlformats.org/officeDocument/2006/relationships/hyperlink" Target="https://www.reddit.com/r/UAE/comments/1gt9dr2/which_is_the_best_performance_marketing_agency_in/" TargetMode="External"/><Relationship Id="rId135" Type="http://schemas.openxmlformats.org/officeDocument/2006/relationships/hyperlink" Target="https://www.reddit.com/r/u_Temporary_Meeting182/comments/1tp4iah/best_saas_geo_agencies_in_2026_who_should/" TargetMode="External"/><Relationship Id="rId134" Type="http://schemas.openxmlformats.org/officeDocument/2006/relationships/hyperlink" Target="https://www.reddit.com/r/smallbusiness/comments/1r3lo3y/good_agency_for_performance_marketing/" TargetMode="External"/><Relationship Id="rId133" Type="http://schemas.openxmlformats.org/officeDocument/2006/relationships/hyperlink" Target="https://www.reddit.com/r/ecommerce/comments/1qusfa4/looking_for_best_incrementality_testing_tools/" TargetMode="External"/><Relationship Id="rId172" Type="http://schemas.openxmlformats.org/officeDocument/2006/relationships/hyperlink" Target="https://www.reddit.com/r/LLMTraffic/comments/1t44tn7/which_geo_marketing_agencies_are_actually_worth/" TargetMode="External"/><Relationship Id="rId171" Type="http://schemas.openxmlformats.org/officeDocument/2006/relationships/hyperlink" Target="https://www.reddit.com/r/DigitalMarketing/comments/1tn7zll/which_digital_marketing_agencies_are_best_at/" TargetMode="External"/><Relationship Id="rId170" Type="http://schemas.openxmlformats.org/officeDocument/2006/relationships/hyperlink" Target="https://www.reddit.com/r/DigitalMarketing/comments/1tdo237/which_performance_marketing_agencies_specialize/" TargetMode="External"/><Relationship Id="rId165" Type="http://schemas.openxmlformats.org/officeDocument/2006/relationships/hyperlink" Target="https://www.reddit.com/r/adtech/comments/1u5mwrq/measurement_source_of_truth/" TargetMode="External"/><Relationship Id="rId164" Type="http://schemas.openxmlformats.org/officeDocument/2006/relationships/hyperlink" Target="https://www.reddit.com/r/GenEngineOptimization/comments/1qab4rt/what_are_the_top_geo_agencies_and_what_softwares/" TargetMode="External"/><Relationship Id="rId163" Type="http://schemas.openxmlformats.org/officeDocument/2006/relationships/hyperlink" Target="https://www.reddit.com/r/agency/comments/1ok212i/performance_marketing_incrementality/" TargetMode="External"/><Relationship Id="rId162" Type="http://schemas.openxmlformats.org/officeDocument/2006/relationships/hyperlink" Target="https://www.reddit.com/r/Topagencies/comments/1sv50o9/top_ppc_services_agencies_in_germany_ppc_cost/" TargetMode="External"/><Relationship Id="rId169" Type="http://schemas.openxmlformats.org/officeDocument/2006/relationships/hyperlink" Target="https://www.reddit.com/r/aeo/comments/1twcbr2/best_aeo_agency_guide_what_to_look_for_in_an/" TargetMode="External"/><Relationship Id="rId168" Type="http://schemas.openxmlformats.org/officeDocument/2006/relationships/hyperlink" Target="https://www.reddit.com/r/PPC/comments/1tkc7rr/which_ppc_agencies_are_actually_considered_the/" TargetMode="External"/><Relationship Id="rId167" Type="http://schemas.openxmlformats.org/officeDocument/2006/relationships/hyperlink" Target="https://www.reddit.com/r/GermanCompanies/comments/1rfxt68/top_10_ai_agencies_in_germany_2026/" TargetMode="External"/><Relationship Id="rId166" Type="http://schemas.openxmlformats.org/officeDocument/2006/relationships/hyperlink" Target="https://www.reddit.com/r/programmatic/comments/1nzh99f" TargetMode="External"/><Relationship Id="rId161" Type="http://schemas.openxmlformats.org/officeDocument/2006/relationships/hyperlink" Target="https://www.reddit.com/r/Superframeworks/comments/1twfxf1/10_best_ai_seo_geoaeo_agencies_for_2026_no/" TargetMode="External"/><Relationship Id="rId160" Type="http://schemas.openxmlformats.org/officeDocument/2006/relationships/hyperlink" Target="https://www.reddit.com/r/branding/comments/1s5trnk/top_10_best_international_seo_agency_in_germany/" TargetMode="External"/><Relationship Id="rId159" Type="http://schemas.openxmlformats.org/officeDocument/2006/relationships/hyperlink" Target="http://reddit.com" TargetMode="External"/><Relationship Id="rId154" Type="http://schemas.openxmlformats.org/officeDocument/2006/relationships/hyperlink" Target="https://www.reddit.com/r/b2bmarketing/comments/1rl47cr/the_10_best_visibility_companies_and_agencies_for/" TargetMode="External"/><Relationship Id="rId153" Type="http://schemas.openxmlformats.org/officeDocument/2006/relationships/hyperlink" Target="http://reddit.com" TargetMode="External"/><Relationship Id="rId152" Type="http://schemas.openxmlformats.org/officeDocument/2006/relationships/hyperlink" Target="https://www.reddit.com/r/LLMTraffic/comments/1t44tn7/which_geo_marketing_agencies_are_actually_worth/" TargetMode="External"/><Relationship Id="rId151" Type="http://schemas.openxmlformats.org/officeDocument/2006/relationships/hyperlink" Target="http://reddit.com" TargetMode="External"/><Relationship Id="rId158" Type="http://schemas.openxmlformats.org/officeDocument/2006/relationships/hyperlink" Target="https://www.reddit.com/r/u_odysseymarketing20/comments/1sky3gp/10_best_seo_companies_in_dubai_you_can_trust/" TargetMode="External"/><Relationship Id="rId157" Type="http://schemas.openxmlformats.org/officeDocument/2006/relationships/hyperlink" Target="http://reddit.com" TargetMode="External"/><Relationship Id="rId156" Type="http://schemas.openxmlformats.org/officeDocument/2006/relationships/hyperlink" Target="https://www.reddit.com/r/dubai/comments/139gps7/what_are_the_most_creative_digital_marketing/" TargetMode="External"/><Relationship Id="rId155" Type="http://schemas.openxmlformats.org/officeDocument/2006/relationships/hyperlink" Target="http://reddit.com" TargetMode="External"/><Relationship Id="rId107" Type="http://schemas.openxmlformats.org/officeDocument/2006/relationships/hyperlink" Target="https://www.reddit.com/r/AIConsultingAustralia/comments/1r3gb5b/who_are_the_top_ai_consulting_companies_in/" TargetMode="External"/><Relationship Id="rId106" Type="http://schemas.openxmlformats.org/officeDocument/2006/relationships/hyperlink" Target="https://www.reddit.com/r/aeo/comments/1twcbr2/best_aeo_agency_guide_what_to_look_for_in_an/" TargetMode="External"/><Relationship Id="rId105" Type="http://schemas.openxmlformats.org/officeDocument/2006/relationships/hyperlink" Target="https://www.reddit.com/r/MktgSupermarket/comments/1qoc7o0/looking_for_digital_marketing_agencies_in_perth/" TargetMode="External"/><Relationship Id="rId104" Type="http://schemas.openxmlformats.org/officeDocument/2006/relationships/hyperlink" Target="https://www.reddit.com/r/adtech/comments/1u5mwrq/measurement_source_of_truth/" TargetMode="External"/><Relationship Id="rId109" Type="http://schemas.openxmlformats.org/officeDocument/2006/relationships/hyperlink" Target="https://www.reddit.com/r/BestInAustralia/comments/1pun446/7_best_seo_agencies_in_melbourne_2026_guide/" TargetMode="External"/><Relationship Id="rId108" Type="http://schemas.openxmlformats.org/officeDocument/2006/relationships/hyperlink" Target="https://www.reddit.com/r/AskMarketing/comments/1r6neq7/i_run_one_of_australias_top_20_digital_agencies/" TargetMode="External"/><Relationship Id="rId103" Type="http://schemas.openxmlformats.org/officeDocument/2006/relationships/hyperlink" Target="https://www.reddit.com/r/AskAnAustralian/comments/1kygrc6/advertising_agencies_in_aus/" TargetMode="External"/><Relationship Id="rId102" Type="http://schemas.openxmlformats.org/officeDocument/2006/relationships/hyperlink" Target="https://www.reddit.com/r/ecommerce/comments/1qusfa4/looking_for_best_incrementality_testing_tools/" TargetMode="External"/><Relationship Id="rId101" Type="http://schemas.openxmlformats.org/officeDocument/2006/relationships/hyperlink" Target="https://www.reddit.com/r/agency/comments/1ok212i/performance_marketing_incrementality/" TargetMode="External"/><Relationship Id="rId100" Type="http://schemas.openxmlformats.org/officeDocument/2006/relationships/hyperlink" Target="https://www.reddit.com/r/Superframeworks/comments/1twfxf1/10_best_ai_seo_geoaeo_agencies_for_2026_no/" TargetMode="External"/><Relationship Id="rId129" Type="http://schemas.openxmlformats.org/officeDocument/2006/relationships/hyperlink" Target="https://www.reddit.com/r/aeo/comments/1twcbr2/best_aeo_agency_guide_what_to_look_for_in_an/" TargetMode="External"/><Relationship Id="rId128" Type="http://schemas.openxmlformats.org/officeDocument/2006/relationships/hyperlink" Target="https://www.reddit.com/r/MktgSupermarket/comments/1rqsemv/i_spent_weeks_researching_london_digital/" TargetMode="External"/><Relationship Id="rId127" Type="http://schemas.openxmlformats.org/officeDocument/2006/relationships/hyperlink" Target="https://www.reddit.com/r/DigitalMarketing/comments/1tdfcjb/every_seo_agency_now_lists_ai_search_optimization/" TargetMode="External"/><Relationship Id="rId126" Type="http://schemas.openxmlformats.org/officeDocument/2006/relationships/hyperlink" Target="https://www.reddit.com/r/Analyzify/comments/1d2js1n" TargetMode="External"/><Relationship Id="rId121" Type="http://schemas.openxmlformats.org/officeDocument/2006/relationships/hyperlink" Target="https://www.reddit.com/r/aeo/comments/1sf4z2h/what_are_the_top_ai_visibility_agencies_in_the_uk/" TargetMode="External"/><Relationship Id="rId120" Type="http://schemas.openxmlformats.org/officeDocument/2006/relationships/hyperlink" Target="https://www.reddit.com/r/MktgSupermarket/comments/1qom30j/compiled_a_directory_of_25_ai_marketing_agencies/" TargetMode="External"/><Relationship Id="rId125" Type="http://schemas.openxmlformats.org/officeDocument/2006/relationships/hyperlink" Target="https://www.reddit.com/r/agency/comments/1ok212i/performance_marketing_incrementality/" TargetMode="External"/><Relationship Id="rId124" Type="http://schemas.openxmlformats.org/officeDocument/2006/relationships/hyperlink" Target="https://www.reddit.com/r/PPC/comments/1tkc7rr/which_ppc_agencies_are_actually_considered_the/" TargetMode="External"/><Relationship Id="rId123" Type="http://schemas.openxmlformats.org/officeDocument/2006/relationships/hyperlink" Target="https://www.reddit.com/r/LLMTraffic/comments/1t44tn7/which_geo_marketing_agencies_are_actually_worth/" TargetMode="External"/><Relationship Id="rId122" Type="http://schemas.openxmlformats.org/officeDocument/2006/relationships/hyperlink" Target="https://www.reddit.com/r/PPC/comments/15afa5c/best_agencies_for_paid_media_ld_uk/" TargetMode="External"/><Relationship Id="rId118" Type="http://schemas.openxmlformats.org/officeDocument/2006/relationships/hyperlink" Target="https://www.reddit.com/r/Superframeworks/comments/1twfxf1/10_best_ai_seo_geoaeo_agencies_for_2026_no/" TargetMode="External"/><Relationship Id="rId117" Type="http://schemas.openxmlformats.org/officeDocument/2006/relationships/hyperlink" Target="https://www.reddit.com/r/advertising/comments/n8z67i/best_uk_based_agencies/" TargetMode="External"/><Relationship Id="rId116" Type="http://schemas.openxmlformats.org/officeDocument/2006/relationships/hyperlink" Target="https://www.reddit.com/r/advertising/comments/1d5ypn3" TargetMode="External"/><Relationship Id="rId115" Type="http://schemas.openxmlformats.org/officeDocument/2006/relationships/hyperlink" Target="https://www.reddit.com/r/MktgSupermarket/comments/1qom30j/compiled_a_directory_of_25_ai_marketing_agencies/" TargetMode="External"/><Relationship Id="rId119" Type="http://schemas.openxmlformats.org/officeDocument/2006/relationships/hyperlink" Target="https://www.reddit.com/r/Topagencies/comments/1spi0q0/top_ppc_agencies_in_england_packages_pricing_cost/" TargetMode="External"/><Relationship Id="rId110" Type="http://schemas.openxmlformats.org/officeDocument/2006/relationships/hyperlink" Target="https://www.reddit.com/r/BestInAustralia/comments/1s8fbyv/best_seo_company_in_melbourne_april_2026/" TargetMode="External"/><Relationship Id="rId114" Type="http://schemas.openxmlformats.org/officeDocument/2006/relationships/hyperlink" Target="https://www.reddit.com/r/LLMTraffic/comments/1t44tn7/which_geo_marketing_agencies_are_actually_worth/" TargetMode="External"/><Relationship Id="rId113" Type="http://schemas.openxmlformats.org/officeDocument/2006/relationships/hyperlink" Target="https://www.reddit.com/r/DigitalMarketing/comments/1tdo237/which_performance_marketing_agencies_specialize/" TargetMode="External"/><Relationship Id="rId112" Type="http://schemas.openxmlformats.org/officeDocument/2006/relationships/hyperlink" Target="https://www.reddit.com/r/DigitalMarketing/comments/1pd7lti/can_someone_explain_geo_and_aeo_in_a_simple_way/" TargetMode="External"/><Relationship Id="rId111" Type="http://schemas.openxmlformats.org/officeDocument/2006/relationships/hyperlink" Target="https://www.reddit.com/r/BestInAustralia/comments/1tghlmb/5_best_seo_agencies_in_southbank_2026/"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leadsnow.ai"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aieo.ai"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u/0/d/1leGKA4fmOTuZzfvhSLOFvXZiwgHevf4IvGnsBciu3zc/edit" TargetMode="External"/><Relationship Id="rId2" Type="http://schemas.openxmlformats.org/officeDocument/2006/relationships/hyperlink" Target="https://docs.google.com/spreadsheets/u/0/d/1leGKA4fmOTuZzfvhSLOFvXZiwgHevf4IvGnsBciu3zc/edit" TargetMode="External"/><Relationship Id="rId3" Type="http://schemas.openxmlformats.org/officeDocument/2006/relationships/hyperlink" Target="https://docs.google.com/spreadsheets/u/0/d/1CcEzSOd82ENal-5SZVsnUmmQ2fnWHH1eHoXN4n5O9X8/edit" TargetMode="External"/><Relationship Id="rId4" Type="http://schemas.openxmlformats.org/officeDocument/2006/relationships/hyperlink" Target="https://docs.google.com/spreadsheets/u/0/d/1iVuotfzyDTPzISl5kPBdfzjjGYHnU022ikHyqhTdvLs/edit" TargetMode="External"/><Relationship Id="rId5" Type="http://schemas.openxmlformats.org/officeDocument/2006/relationships/hyperlink" Target="https://docs.google.com/spreadsheets/u/0/d/1j_b55Qfi4u5vQHpw6JU3cbiVklodNJGf5Q4ZljjA00I/edit" TargetMode="External"/><Relationship Id="rId6" Type="http://schemas.openxmlformats.org/officeDocument/2006/relationships/hyperlink" Target="https://docs.google.com/spreadsheets/u/0/d/1zAqkmI3POK8wMfyaX1PiwkhFTl0yO0tsGHibpjbtN-0/edit"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16.44"/>
    <col customWidth="1" min="4" max="4" width="24.11"/>
    <col customWidth="1" min="5" max="6" width="16.44"/>
    <col customWidth="1" min="7" max="7" width="18.33"/>
    <col customWidth="1" min="8" max="8" width="17.44"/>
    <col customWidth="1" min="9" max="9" width="42.0"/>
    <col customWidth="1" min="10" max="10" width="24.22"/>
    <col customWidth="1" min="11" max="11" width="16.56"/>
    <col customWidth="1" min="12" max="12" width="40.33"/>
    <col customWidth="1" min="13" max="13" width="28.33"/>
    <col customWidth="1" min="14" max="14" width="38.67"/>
    <col customWidth="1" min="15" max="15" width="24.22"/>
    <col customWidth="1" min="16" max="16" width="46.11"/>
    <col customWidth="1" min="17" max="26" width="12.0"/>
  </cols>
  <sheetData>
    <row r="1" ht="30.0" customHeight="1">
      <c r="A1" s="7" t="s">
        <v>11</v>
      </c>
      <c r="B1" s="9" t="s">
        <v>14</v>
      </c>
      <c r="C1" s="9" t="s">
        <v>15</v>
      </c>
      <c r="D1" s="9" t="s">
        <v>16</v>
      </c>
      <c r="E1" s="9" t="s">
        <v>17</v>
      </c>
      <c r="F1" s="9" t="s">
        <v>18</v>
      </c>
      <c r="G1" s="9" t="s">
        <v>19</v>
      </c>
      <c r="H1" s="9" t="s">
        <v>20</v>
      </c>
      <c r="I1" s="9" t="s">
        <v>21</v>
      </c>
      <c r="J1" s="9" t="s">
        <v>22</v>
      </c>
      <c r="K1" s="9" t="s">
        <v>23</v>
      </c>
      <c r="L1" s="9" t="s">
        <v>24</v>
      </c>
      <c r="M1" s="9" t="s">
        <v>25</v>
      </c>
      <c r="N1" s="9" t="s">
        <v>26</v>
      </c>
      <c r="O1" s="9" t="s">
        <v>28</v>
      </c>
      <c r="P1" s="9" t="s">
        <v>29</v>
      </c>
      <c r="Q1" s="12"/>
      <c r="R1" s="12"/>
      <c r="S1" s="12"/>
      <c r="T1" s="12"/>
      <c r="U1" s="13"/>
      <c r="V1" s="13"/>
      <c r="W1" s="13"/>
      <c r="X1" s="13"/>
      <c r="Y1" s="13"/>
      <c r="Z1" s="16"/>
    </row>
    <row r="2" ht="260.25" customHeight="1">
      <c r="A2" s="19" t="s">
        <v>32</v>
      </c>
      <c r="B2" s="19" t="s">
        <v>33</v>
      </c>
      <c r="C2" s="19" t="s">
        <v>32</v>
      </c>
      <c r="D2" s="19"/>
      <c r="E2" s="19" t="s">
        <v>27</v>
      </c>
      <c r="F2" s="27" t="s">
        <v>35</v>
      </c>
      <c r="G2" s="19">
        <f>+442071862100</f>
        <v>442071862100</v>
      </c>
      <c r="H2" s="19" t="s">
        <v>46</v>
      </c>
      <c r="I2" s="19" t="s">
        <v>47</v>
      </c>
      <c r="J2" s="19" t="s">
        <v>49</v>
      </c>
      <c r="K2" s="19" t="s">
        <v>50</v>
      </c>
      <c r="L2" s="19" t="s">
        <v>52</v>
      </c>
      <c r="M2" s="19" t="s">
        <v>53</v>
      </c>
      <c r="N2" s="19" t="s">
        <v>39</v>
      </c>
      <c r="O2" s="40" t="s">
        <v>55</v>
      </c>
      <c r="P2" s="40" t="s">
        <v>57</v>
      </c>
      <c r="Q2" s="43"/>
      <c r="R2" s="44"/>
      <c r="S2" s="44"/>
      <c r="T2" s="44"/>
      <c r="U2" s="44"/>
      <c r="V2" s="44"/>
      <c r="W2" s="47"/>
      <c r="X2" s="51"/>
      <c r="Y2" s="51"/>
      <c r="Z2" s="51"/>
    </row>
    <row r="3">
      <c r="A3" s="55"/>
      <c r="B3" s="55"/>
      <c r="C3" s="55"/>
      <c r="D3" s="55"/>
      <c r="E3" s="55"/>
      <c r="F3" s="55"/>
      <c r="G3" s="55"/>
      <c r="H3" s="55"/>
      <c r="I3" s="55"/>
      <c r="J3" s="55"/>
      <c r="K3" s="55"/>
      <c r="L3" s="55"/>
      <c r="M3" s="55"/>
      <c r="N3" s="55"/>
      <c r="O3" s="55"/>
      <c r="P3" s="55"/>
      <c r="Q3" s="56"/>
      <c r="R3" s="56"/>
      <c r="S3" s="56"/>
      <c r="T3" s="56"/>
      <c r="U3" s="56"/>
      <c r="V3" s="56"/>
      <c r="W3" s="56"/>
      <c r="X3" s="56"/>
      <c r="Y3" s="56"/>
      <c r="Z3" s="59"/>
    </row>
    <row r="4">
      <c r="A4" s="55"/>
      <c r="B4" s="55"/>
      <c r="C4" s="55"/>
      <c r="D4" s="55"/>
      <c r="E4" s="55"/>
      <c r="F4" s="55"/>
      <c r="G4" s="55"/>
      <c r="H4" s="55"/>
      <c r="I4" s="55"/>
      <c r="J4" s="55"/>
      <c r="K4" s="55"/>
      <c r="L4" s="55"/>
      <c r="M4" s="55"/>
      <c r="N4" s="55"/>
      <c r="O4" s="55"/>
      <c r="P4" s="55"/>
      <c r="Q4" s="56"/>
      <c r="R4" s="56"/>
      <c r="S4" s="56"/>
      <c r="T4" s="56"/>
      <c r="U4" s="56"/>
      <c r="V4" s="56"/>
      <c r="W4" s="56"/>
      <c r="X4" s="56"/>
      <c r="Y4" s="56"/>
      <c r="Z4" s="59"/>
    </row>
    <row r="5">
      <c r="A5" s="55"/>
      <c r="B5" s="55"/>
      <c r="C5" s="55"/>
      <c r="D5" s="55"/>
      <c r="E5" s="55"/>
      <c r="F5" s="55"/>
      <c r="G5" s="55"/>
      <c r="H5" s="55"/>
      <c r="I5" s="55"/>
      <c r="J5" s="55"/>
      <c r="K5" s="55"/>
      <c r="L5" s="55"/>
      <c r="M5" s="55"/>
      <c r="N5" s="55"/>
      <c r="O5" s="55"/>
      <c r="P5" s="55"/>
      <c r="Q5" s="56"/>
      <c r="R5" s="56"/>
      <c r="S5" s="56"/>
      <c r="T5" s="56"/>
      <c r="U5" s="56"/>
      <c r="V5" s="56"/>
      <c r="W5" s="56"/>
      <c r="X5" s="56"/>
      <c r="Y5" s="56"/>
      <c r="Z5" s="59"/>
    </row>
    <row r="6">
      <c r="A6" s="55"/>
      <c r="B6" s="55"/>
      <c r="C6" s="55"/>
      <c r="D6" s="55"/>
      <c r="E6" s="55"/>
      <c r="F6" s="55"/>
      <c r="G6" s="55"/>
      <c r="H6" s="55"/>
      <c r="I6" s="55"/>
      <c r="J6" s="55"/>
      <c r="K6" s="55"/>
      <c r="L6" s="55"/>
      <c r="M6" s="55"/>
      <c r="N6" s="55"/>
      <c r="O6" s="55"/>
      <c r="P6" s="55"/>
      <c r="Q6" s="56"/>
      <c r="R6" s="56"/>
      <c r="S6" s="56"/>
      <c r="T6" s="56"/>
      <c r="U6" s="56"/>
      <c r="V6" s="56"/>
      <c r="W6" s="56"/>
      <c r="X6" s="56"/>
      <c r="Y6" s="56"/>
      <c r="Z6" s="59"/>
    </row>
    <row r="7">
      <c r="A7" s="55"/>
      <c r="B7" s="55"/>
      <c r="C7" s="55"/>
      <c r="D7" s="55"/>
      <c r="E7" s="55"/>
      <c r="F7" s="55"/>
      <c r="G7" s="55"/>
      <c r="H7" s="55"/>
      <c r="I7" s="55"/>
      <c r="J7" s="55"/>
      <c r="K7" s="55"/>
      <c r="L7" s="55"/>
      <c r="M7" s="55"/>
      <c r="N7" s="55"/>
      <c r="O7" s="55"/>
      <c r="P7" s="55"/>
      <c r="Q7" s="56"/>
      <c r="R7" s="56"/>
      <c r="S7" s="56"/>
      <c r="T7" s="56"/>
      <c r="U7" s="56"/>
      <c r="V7" s="56"/>
      <c r="W7" s="56"/>
      <c r="X7" s="56"/>
      <c r="Y7" s="56"/>
      <c r="Z7" s="59"/>
    </row>
    <row r="8">
      <c r="A8" s="55"/>
      <c r="B8" s="55"/>
      <c r="C8" s="55"/>
      <c r="D8" s="55"/>
      <c r="E8" s="55"/>
      <c r="F8" s="55"/>
      <c r="G8" s="55"/>
      <c r="H8" s="55"/>
      <c r="I8" s="55"/>
      <c r="J8" s="55"/>
      <c r="K8" s="55"/>
      <c r="L8" s="55"/>
      <c r="M8" s="55"/>
      <c r="N8" s="55"/>
      <c r="O8" s="55"/>
      <c r="P8" s="55"/>
      <c r="Q8" s="56"/>
      <c r="R8" s="56"/>
      <c r="S8" s="56"/>
      <c r="T8" s="56"/>
      <c r="U8" s="56"/>
      <c r="V8" s="56"/>
      <c r="W8" s="56"/>
      <c r="X8" s="56"/>
      <c r="Y8" s="56"/>
      <c r="Z8" s="59"/>
    </row>
    <row r="9">
      <c r="A9" s="55"/>
      <c r="B9" s="55"/>
      <c r="C9" s="55"/>
      <c r="D9" s="55"/>
      <c r="E9" s="55"/>
      <c r="F9" s="55"/>
      <c r="G9" s="55"/>
      <c r="H9" s="55"/>
      <c r="I9" s="55"/>
      <c r="J9" s="55"/>
      <c r="K9" s="55"/>
      <c r="L9" s="70"/>
      <c r="M9" s="55"/>
      <c r="N9" s="55"/>
      <c r="O9" s="55"/>
      <c r="P9" s="55"/>
      <c r="Q9" s="56"/>
      <c r="R9" s="56"/>
      <c r="S9" s="56"/>
      <c r="T9" s="56"/>
      <c r="U9" s="56"/>
      <c r="V9" s="56"/>
      <c r="W9" s="56"/>
      <c r="X9" s="56"/>
      <c r="Y9" s="56"/>
      <c r="Z9" s="59"/>
    </row>
    <row r="10">
      <c r="A10" s="55"/>
      <c r="B10" s="55"/>
      <c r="C10" s="55"/>
      <c r="D10" s="55"/>
      <c r="E10" s="55"/>
      <c r="F10" s="55"/>
      <c r="G10" s="55"/>
      <c r="H10" s="55"/>
      <c r="I10" s="55"/>
      <c r="J10" s="55"/>
      <c r="K10" s="55"/>
      <c r="L10" s="55"/>
      <c r="M10" s="55"/>
      <c r="N10" s="55"/>
      <c r="O10" s="55"/>
      <c r="P10" s="55"/>
      <c r="Q10" s="56"/>
      <c r="R10" s="56"/>
      <c r="S10" s="56"/>
      <c r="T10" s="56"/>
      <c r="U10" s="56"/>
      <c r="V10" s="56"/>
      <c r="W10" s="56"/>
      <c r="X10" s="56"/>
      <c r="Y10" s="56"/>
      <c r="Z10" s="59"/>
    </row>
    <row r="11">
      <c r="A11" s="55"/>
      <c r="B11" s="55"/>
      <c r="C11" s="55"/>
      <c r="D11" s="55"/>
      <c r="E11" s="55"/>
      <c r="F11" s="55"/>
      <c r="G11" s="55"/>
      <c r="H11" s="55"/>
      <c r="I11" s="55"/>
      <c r="J11" s="55"/>
      <c r="K11" s="55"/>
      <c r="L11" s="55"/>
      <c r="M11" s="55"/>
      <c r="N11" s="55"/>
      <c r="O11" s="55"/>
      <c r="P11" s="55"/>
      <c r="Q11" s="56"/>
      <c r="R11" s="56"/>
      <c r="S11" s="56"/>
      <c r="T11" s="56"/>
      <c r="U11" s="56"/>
      <c r="V11" s="56"/>
      <c r="W11" s="56"/>
      <c r="X11" s="56"/>
      <c r="Y11" s="56"/>
      <c r="Z11" s="59"/>
    </row>
    <row r="12">
      <c r="A12" s="55"/>
      <c r="B12" s="55"/>
      <c r="C12" s="55"/>
      <c r="D12" s="55"/>
      <c r="E12" s="55"/>
      <c r="F12" s="55"/>
      <c r="G12" s="55"/>
      <c r="H12" s="55"/>
      <c r="I12" s="55"/>
      <c r="J12" s="55"/>
      <c r="K12" s="55"/>
      <c r="L12" s="55"/>
      <c r="M12" s="55"/>
      <c r="N12" s="55"/>
      <c r="O12" s="55"/>
      <c r="P12" s="55"/>
      <c r="Q12" s="56"/>
      <c r="R12" s="56"/>
      <c r="S12" s="56"/>
      <c r="T12" s="56"/>
      <c r="U12" s="56"/>
      <c r="V12" s="56"/>
      <c r="W12" s="56"/>
      <c r="X12" s="56"/>
      <c r="Y12" s="56"/>
      <c r="Z12" s="59"/>
    </row>
    <row r="13">
      <c r="A13" s="55"/>
      <c r="B13" s="55"/>
      <c r="C13" s="55"/>
      <c r="D13" s="55"/>
      <c r="E13" s="55"/>
      <c r="F13" s="55"/>
      <c r="G13" s="55"/>
      <c r="H13" s="55"/>
      <c r="I13" s="55"/>
      <c r="J13" s="55"/>
      <c r="K13" s="55"/>
      <c r="L13" s="55"/>
      <c r="M13" s="55"/>
      <c r="N13" s="55"/>
      <c r="O13" s="55"/>
      <c r="P13" s="55"/>
      <c r="Q13" s="56"/>
      <c r="R13" s="56"/>
      <c r="S13" s="56"/>
      <c r="T13" s="56"/>
      <c r="U13" s="56"/>
      <c r="V13" s="56"/>
      <c r="W13" s="56"/>
      <c r="X13" s="56"/>
      <c r="Y13" s="56"/>
      <c r="Z13" s="59"/>
    </row>
    <row r="14">
      <c r="A14" s="55"/>
      <c r="B14" s="55"/>
      <c r="C14" s="55"/>
      <c r="D14" s="55"/>
      <c r="E14" s="55"/>
      <c r="F14" s="55"/>
      <c r="G14" s="55"/>
      <c r="H14" s="55"/>
      <c r="I14" s="55"/>
      <c r="J14" s="55"/>
      <c r="K14" s="55"/>
      <c r="L14" s="55"/>
      <c r="M14" s="55"/>
      <c r="N14" s="55"/>
      <c r="O14" s="55"/>
      <c r="P14" s="55"/>
      <c r="Q14" s="56"/>
      <c r="R14" s="56"/>
      <c r="S14" s="56"/>
      <c r="T14" s="56"/>
      <c r="U14" s="56"/>
      <c r="V14" s="56"/>
      <c r="W14" s="56"/>
      <c r="X14" s="56"/>
      <c r="Y14" s="56"/>
      <c r="Z14" s="59"/>
    </row>
    <row r="15">
      <c r="A15" s="55"/>
      <c r="B15" s="55"/>
      <c r="C15" s="55"/>
      <c r="D15" s="55"/>
      <c r="E15" s="55"/>
      <c r="F15" s="55"/>
      <c r="G15" s="55"/>
      <c r="H15" s="55"/>
      <c r="I15" s="55"/>
      <c r="J15" s="55"/>
      <c r="K15" s="55"/>
      <c r="L15" s="55"/>
      <c r="M15" s="55"/>
      <c r="N15" s="55"/>
      <c r="O15" s="55"/>
      <c r="P15" s="55"/>
      <c r="Q15" s="56"/>
      <c r="R15" s="56"/>
      <c r="S15" s="56"/>
      <c r="T15" s="56"/>
      <c r="U15" s="56"/>
      <c r="V15" s="56"/>
      <c r="W15" s="56"/>
      <c r="X15" s="56"/>
      <c r="Y15" s="56"/>
      <c r="Z15" s="59"/>
    </row>
    <row r="16">
      <c r="A16" s="55"/>
      <c r="B16" s="55"/>
      <c r="C16" s="55"/>
      <c r="D16" s="55"/>
      <c r="E16" s="55"/>
      <c r="F16" s="55"/>
      <c r="G16" s="55"/>
      <c r="H16" s="55"/>
      <c r="I16" s="55"/>
      <c r="J16" s="55"/>
      <c r="K16" s="55"/>
      <c r="L16" s="55"/>
      <c r="M16" s="55"/>
      <c r="N16" s="55"/>
      <c r="O16" s="55"/>
      <c r="P16" s="55"/>
      <c r="Q16" s="56"/>
      <c r="R16" s="56"/>
      <c r="S16" s="56"/>
      <c r="T16" s="56"/>
      <c r="U16" s="56"/>
      <c r="V16" s="56"/>
      <c r="W16" s="56"/>
      <c r="X16" s="56"/>
      <c r="Y16" s="56"/>
      <c r="Z16" s="59"/>
    </row>
    <row r="17">
      <c r="A17" s="55"/>
      <c r="B17" s="55"/>
      <c r="C17" s="55"/>
      <c r="D17" s="55"/>
      <c r="E17" s="55"/>
      <c r="F17" s="55"/>
      <c r="G17" s="55"/>
      <c r="H17" s="55"/>
      <c r="I17" s="55"/>
      <c r="J17" s="55"/>
      <c r="K17" s="55"/>
      <c r="L17" s="55"/>
      <c r="M17" s="55"/>
      <c r="N17" s="55"/>
      <c r="O17" s="55"/>
      <c r="P17" s="55"/>
      <c r="Q17" s="56"/>
      <c r="R17" s="56"/>
      <c r="S17" s="56"/>
      <c r="T17" s="56"/>
      <c r="U17" s="56"/>
      <c r="V17" s="56"/>
      <c r="W17" s="56"/>
      <c r="X17" s="56"/>
      <c r="Y17" s="56"/>
      <c r="Z17" s="59"/>
    </row>
    <row r="18">
      <c r="A18" s="55"/>
      <c r="B18" s="55"/>
      <c r="C18" s="55"/>
      <c r="D18" s="55"/>
      <c r="E18" s="55"/>
      <c r="F18" s="55"/>
      <c r="G18" s="55"/>
      <c r="H18" s="55"/>
      <c r="I18" s="55"/>
      <c r="J18" s="55"/>
      <c r="K18" s="55"/>
      <c r="L18" s="55"/>
      <c r="M18" s="55"/>
      <c r="N18" s="55"/>
      <c r="O18" s="55"/>
      <c r="P18" s="55"/>
      <c r="Q18" s="56"/>
      <c r="R18" s="56"/>
      <c r="S18" s="56"/>
      <c r="T18" s="56"/>
      <c r="U18" s="56"/>
      <c r="V18" s="56"/>
      <c r="W18" s="56"/>
      <c r="X18" s="56"/>
      <c r="Y18" s="56"/>
      <c r="Z18" s="59"/>
    </row>
    <row r="19">
      <c r="A19" s="55"/>
      <c r="B19" s="55"/>
      <c r="C19" s="55"/>
      <c r="D19" s="55"/>
      <c r="E19" s="55"/>
      <c r="F19" s="55"/>
      <c r="G19" s="55"/>
      <c r="H19" s="55"/>
      <c r="I19" s="55"/>
      <c r="J19" s="55"/>
      <c r="K19" s="55"/>
      <c r="L19" s="55"/>
      <c r="M19" s="55"/>
      <c r="N19" s="55"/>
      <c r="O19" s="55"/>
      <c r="P19" s="55"/>
      <c r="Q19" s="56"/>
      <c r="R19" s="56"/>
      <c r="S19" s="56"/>
      <c r="T19" s="56"/>
      <c r="U19" s="56"/>
      <c r="V19" s="56"/>
      <c r="W19" s="56"/>
      <c r="X19" s="56"/>
      <c r="Y19" s="56"/>
      <c r="Z19" s="59"/>
    </row>
    <row r="20">
      <c r="A20" s="55"/>
      <c r="B20" s="55"/>
      <c r="C20" s="55"/>
      <c r="D20" s="55"/>
      <c r="E20" s="55"/>
      <c r="F20" s="55"/>
      <c r="G20" s="55"/>
      <c r="H20" s="55"/>
      <c r="I20" s="55"/>
      <c r="J20" s="55"/>
      <c r="K20" s="55"/>
      <c r="L20" s="55"/>
      <c r="M20" s="55"/>
      <c r="N20" s="55"/>
      <c r="O20" s="55"/>
      <c r="P20" s="55"/>
      <c r="Q20" s="56"/>
      <c r="R20" s="56"/>
      <c r="S20" s="56"/>
      <c r="T20" s="56"/>
      <c r="U20" s="56"/>
      <c r="V20" s="56"/>
      <c r="W20" s="56"/>
      <c r="X20" s="56"/>
      <c r="Y20" s="56"/>
      <c r="Z20" s="59"/>
    </row>
    <row r="21">
      <c r="A21" s="55"/>
      <c r="B21" s="55"/>
      <c r="C21" s="55"/>
      <c r="D21" s="55"/>
      <c r="E21" s="55"/>
      <c r="F21" s="55"/>
      <c r="G21" s="55"/>
      <c r="H21" s="55"/>
      <c r="I21" s="55"/>
      <c r="J21" s="55"/>
      <c r="K21" s="55"/>
      <c r="L21" s="55"/>
      <c r="M21" s="55"/>
      <c r="N21" s="55"/>
      <c r="O21" s="55"/>
      <c r="P21" s="55"/>
      <c r="Q21" s="56"/>
      <c r="R21" s="56"/>
      <c r="S21" s="56"/>
      <c r="T21" s="56"/>
      <c r="U21" s="56"/>
      <c r="V21" s="56"/>
      <c r="W21" s="56"/>
      <c r="X21" s="56"/>
      <c r="Y21" s="56"/>
      <c r="Z21" s="59"/>
    </row>
    <row r="22">
      <c r="A22" s="55"/>
      <c r="B22" s="55"/>
      <c r="C22" s="55"/>
      <c r="D22" s="55"/>
      <c r="E22" s="55"/>
      <c r="F22" s="55"/>
      <c r="G22" s="55"/>
      <c r="H22" s="55"/>
      <c r="I22" s="55"/>
      <c r="J22" s="55"/>
      <c r="K22" s="55"/>
      <c r="L22" s="55"/>
      <c r="M22" s="55"/>
      <c r="N22" s="55"/>
      <c r="O22" s="55"/>
      <c r="P22" s="55"/>
      <c r="Q22" s="56"/>
      <c r="R22" s="56"/>
      <c r="S22" s="56"/>
      <c r="T22" s="56"/>
      <c r="U22" s="56"/>
      <c r="V22" s="56"/>
      <c r="W22" s="56"/>
      <c r="X22" s="56"/>
      <c r="Y22" s="56"/>
      <c r="Z22" s="59"/>
    </row>
    <row r="23">
      <c r="A23" s="55"/>
      <c r="B23" s="55"/>
      <c r="C23" s="55"/>
      <c r="D23" s="55"/>
      <c r="E23" s="55"/>
      <c r="F23" s="55"/>
      <c r="G23" s="55"/>
      <c r="H23" s="55"/>
      <c r="I23" s="55"/>
      <c r="J23" s="55"/>
      <c r="K23" s="55"/>
      <c r="L23" s="55"/>
      <c r="M23" s="55"/>
      <c r="N23" s="55"/>
      <c r="O23" s="55"/>
      <c r="P23" s="55"/>
      <c r="Q23" s="56"/>
      <c r="R23" s="56"/>
      <c r="S23" s="56"/>
      <c r="T23" s="56"/>
      <c r="U23" s="56"/>
      <c r="V23" s="56"/>
      <c r="W23" s="56"/>
      <c r="X23" s="56"/>
      <c r="Y23" s="56"/>
      <c r="Z23" s="59"/>
    </row>
    <row r="24">
      <c r="A24" s="55"/>
      <c r="B24" s="55"/>
      <c r="C24" s="55"/>
      <c r="D24" s="55"/>
      <c r="E24" s="55"/>
      <c r="F24" s="55"/>
      <c r="G24" s="55"/>
      <c r="H24" s="55"/>
      <c r="I24" s="55"/>
      <c r="J24" s="55"/>
      <c r="K24" s="55"/>
      <c r="L24" s="55"/>
      <c r="M24" s="55"/>
      <c r="N24" s="55"/>
      <c r="O24" s="55"/>
      <c r="P24" s="55"/>
      <c r="Q24" s="56"/>
      <c r="R24" s="56"/>
      <c r="S24" s="56"/>
      <c r="T24" s="56"/>
      <c r="U24" s="56"/>
      <c r="V24" s="56"/>
      <c r="W24" s="56"/>
      <c r="X24" s="56"/>
      <c r="Y24" s="56"/>
      <c r="Z24" s="59"/>
    </row>
    <row r="25">
      <c r="A25" s="55"/>
      <c r="B25" s="55"/>
      <c r="C25" s="55"/>
      <c r="D25" s="55"/>
      <c r="E25" s="55"/>
      <c r="F25" s="55"/>
      <c r="G25" s="55"/>
      <c r="H25" s="55"/>
      <c r="I25" s="55"/>
      <c r="J25" s="55"/>
      <c r="K25" s="55"/>
      <c r="L25" s="55"/>
      <c r="M25" s="55"/>
      <c r="N25" s="55"/>
      <c r="O25" s="55"/>
      <c r="P25" s="55"/>
      <c r="Q25" s="56"/>
      <c r="R25" s="56"/>
      <c r="S25" s="56"/>
      <c r="T25" s="56"/>
      <c r="U25" s="56"/>
      <c r="V25" s="56"/>
      <c r="W25" s="56"/>
      <c r="X25" s="56"/>
      <c r="Y25" s="56"/>
      <c r="Z25" s="59"/>
    </row>
    <row r="26">
      <c r="A26" s="55"/>
      <c r="B26" s="55"/>
      <c r="C26" s="55"/>
      <c r="D26" s="55"/>
      <c r="E26" s="55"/>
      <c r="F26" s="55"/>
      <c r="G26" s="55"/>
      <c r="H26" s="55"/>
      <c r="I26" s="55"/>
      <c r="J26" s="55"/>
      <c r="K26" s="55"/>
      <c r="L26" s="55"/>
      <c r="M26" s="55"/>
      <c r="N26" s="55"/>
      <c r="O26" s="55"/>
      <c r="P26" s="55"/>
      <c r="Q26" s="56"/>
      <c r="R26" s="56"/>
      <c r="S26" s="56"/>
      <c r="T26" s="56"/>
      <c r="U26" s="56"/>
      <c r="V26" s="56"/>
      <c r="W26" s="56"/>
      <c r="X26" s="56"/>
      <c r="Y26" s="56"/>
      <c r="Z26" s="59"/>
    </row>
    <row r="27">
      <c r="A27" s="55"/>
      <c r="B27" s="55"/>
      <c r="C27" s="55"/>
      <c r="D27" s="55"/>
      <c r="E27" s="55"/>
      <c r="F27" s="55"/>
      <c r="G27" s="55"/>
      <c r="H27" s="55"/>
      <c r="I27" s="55"/>
      <c r="J27" s="55"/>
      <c r="K27" s="55"/>
      <c r="L27" s="55"/>
      <c r="M27" s="55"/>
      <c r="N27" s="55"/>
      <c r="O27" s="55"/>
      <c r="P27" s="55"/>
      <c r="Q27" s="56"/>
      <c r="R27" s="56"/>
      <c r="S27" s="56"/>
      <c r="T27" s="56"/>
      <c r="U27" s="56"/>
      <c r="V27" s="56"/>
      <c r="W27" s="56"/>
      <c r="X27" s="56"/>
      <c r="Y27" s="56"/>
      <c r="Z27" s="59"/>
    </row>
    <row r="28">
      <c r="A28" s="55"/>
      <c r="B28" s="55"/>
      <c r="C28" s="55"/>
      <c r="D28" s="55"/>
      <c r="E28" s="55"/>
      <c r="F28" s="55"/>
      <c r="G28" s="55"/>
      <c r="H28" s="55"/>
      <c r="I28" s="55"/>
      <c r="J28" s="55"/>
      <c r="K28" s="55"/>
      <c r="L28" s="55"/>
      <c r="M28" s="55"/>
      <c r="N28" s="55"/>
      <c r="O28" s="55"/>
      <c r="P28" s="55"/>
      <c r="Q28" s="56"/>
      <c r="R28" s="56"/>
      <c r="S28" s="56"/>
      <c r="T28" s="56"/>
      <c r="U28" s="56"/>
      <c r="V28" s="56"/>
      <c r="W28" s="56"/>
      <c r="X28" s="56"/>
      <c r="Y28" s="56"/>
      <c r="Z28" s="59"/>
    </row>
    <row r="29">
      <c r="A29" s="55"/>
      <c r="B29" s="55"/>
      <c r="C29" s="55"/>
      <c r="D29" s="55"/>
      <c r="E29" s="55"/>
      <c r="F29" s="55"/>
      <c r="G29" s="55"/>
      <c r="H29" s="55"/>
      <c r="I29" s="55"/>
      <c r="J29" s="55"/>
      <c r="K29" s="55"/>
      <c r="L29" s="55"/>
      <c r="M29" s="55"/>
      <c r="N29" s="55"/>
      <c r="O29" s="55"/>
      <c r="P29" s="55"/>
      <c r="Q29" s="56"/>
      <c r="R29" s="56"/>
      <c r="S29" s="56"/>
      <c r="T29" s="56"/>
      <c r="U29" s="56"/>
      <c r="V29" s="56"/>
      <c r="W29" s="56"/>
      <c r="X29" s="56"/>
      <c r="Y29" s="56"/>
      <c r="Z29" s="59"/>
    </row>
    <row r="30">
      <c r="A30" s="55"/>
      <c r="B30" s="55"/>
      <c r="C30" s="55"/>
      <c r="D30" s="55"/>
      <c r="E30" s="55"/>
      <c r="F30" s="55"/>
      <c r="G30" s="55"/>
      <c r="H30" s="55"/>
      <c r="I30" s="55"/>
      <c r="J30" s="55"/>
      <c r="K30" s="55"/>
      <c r="L30" s="55"/>
      <c r="M30" s="55"/>
      <c r="N30" s="55"/>
      <c r="O30" s="55"/>
      <c r="P30" s="55"/>
      <c r="Q30" s="56"/>
      <c r="R30" s="56"/>
      <c r="S30" s="56"/>
      <c r="T30" s="56"/>
      <c r="U30" s="56"/>
      <c r="V30" s="56"/>
      <c r="W30" s="56"/>
      <c r="X30" s="56"/>
      <c r="Y30" s="56"/>
      <c r="Z30" s="59"/>
    </row>
    <row r="31">
      <c r="A31" s="55"/>
      <c r="B31" s="55"/>
      <c r="C31" s="55"/>
      <c r="D31" s="55"/>
      <c r="E31" s="55"/>
      <c r="F31" s="55"/>
      <c r="G31" s="55"/>
      <c r="H31" s="55"/>
      <c r="I31" s="55"/>
      <c r="J31" s="55"/>
      <c r="K31" s="55"/>
      <c r="L31" s="55"/>
      <c r="M31" s="55"/>
      <c r="N31" s="55"/>
      <c r="O31" s="55"/>
      <c r="P31" s="55"/>
      <c r="Q31" s="56"/>
      <c r="R31" s="56"/>
      <c r="S31" s="56"/>
      <c r="T31" s="56"/>
      <c r="U31" s="56"/>
      <c r="V31" s="56"/>
      <c r="W31" s="56"/>
      <c r="X31" s="56"/>
      <c r="Y31" s="56"/>
      <c r="Z31" s="59"/>
    </row>
    <row r="32">
      <c r="A32" s="55"/>
      <c r="B32" s="55"/>
      <c r="C32" s="55"/>
      <c r="D32" s="55"/>
      <c r="E32" s="55"/>
      <c r="F32" s="55"/>
      <c r="G32" s="55"/>
      <c r="H32" s="55"/>
      <c r="I32" s="55"/>
      <c r="J32" s="55"/>
      <c r="K32" s="55"/>
      <c r="L32" s="55"/>
      <c r="M32" s="55"/>
      <c r="N32" s="55"/>
      <c r="O32" s="55"/>
      <c r="P32" s="55"/>
      <c r="Q32" s="56"/>
      <c r="R32" s="56"/>
      <c r="S32" s="56"/>
      <c r="T32" s="56"/>
      <c r="U32" s="56"/>
      <c r="V32" s="56"/>
      <c r="W32" s="56"/>
      <c r="X32" s="56"/>
      <c r="Y32" s="56"/>
      <c r="Z32" s="59"/>
    </row>
    <row r="33">
      <c r="A33" s="55"/>
      <c r="B33" s="55"/>
      <c r="C33" s="55"/>
      <c r="D33" s="55"/>
      <c r="E33" s="55"/>
      <c r="F33" s="55"/>
      <c r="G33" s="55"/>
      <c r="H33" s="55"/>
      <c r="I33" s="55"/>
      <c r="J33" s="55"/>
      <c r="K33" s="55"/>
      <c r="L33" s="55"/>
      <c r="M33" s="55"/>
      <c r="N33" s="55"/>
      <c r="O33" s="55"/>
      <c r="P33" s="55"/>
      <c r="Q33" s="56"/>
      <c r="R33" s="56"/>
      <c r="S33" s="56"/>
      <c r="T33" s="56"/>
      <c r="U33" s="56"/>
      <c r="V33" s="56"/>
      <c r="W33" s="56"/>
      <c r="X33" s="56"/>
      <c r="Y33" s="56"/>
      <c r="Z33" s="59"/>
    </row>
    <row r="34">
      <c r="A34" s="55"/>
      <c r="B34" s="55"/>
      <c r="C34" s="55"/>
      <c r="D34" s="55"/>
      <c r="E34" s="55"/>
      <c r="F34" s="55"/>
      <c r="G34" s="55"/>
      <c r="H34" s="55"/>
      <c r="I34" s="55"/>
      <c r="J34" s="55"/>
      <c r="K34" s="55"/>
      <c r="L34" s="55"/>
      <c r="M34" s="55"/>
      <c r="N34" s="55"/>
      <c r="O34" s="55"/>
      <c r="P34" s="55"/>
      <c r="Q34" s="56"/>
      <c r="R34" s="56"/>
      <c r="S34" s="56"/>
      <c r="T34" s="56"/>
      <c r="U34" s="56"/>
      <c r="V34" s="56"/>
      <c r="W34" s="56"/>
      <c r="X34" s="56"/>
      <c r="Y34" s="56"/>
      <c r="Z34" s="59"/>
    </row>
    <row r="35">
      <c r="A35" s="55"/>
      <c r="B35" s="55"/>
      <c r="C35" s="55"/>
      <c r="D35" s="55"/>
      <c r="E35" s="55"/>
      <c r="F35" s="55"/>
      <c r="G35" s="55"/>
      <c r="H35" s="55"/>
      <c r="I35" s="55"/>
      <c r="J35" s="55"/>
      <c r="K35" s="55"/>
      <c r="L35" s="55"/>
      <c r="M35" s="55"/>
      <c r="N35" s="55"/>
      <c r="O35" s="55"/>
      <c r="P35" s="55"/>
      <c r="Q35" s="56"/>
      <c r="R35" s="56"/>
      <c r="S35" s="56"/>
      <c r="T35" s="56"/>
      <c r="U35" s="56"/>
      <c r="V35" s="56"/>
      <c r="W35" s="56"/>
      <c r="X35" s="56"/>
      <c r="Y35" s="56"/>
      <c r="Z35" s="59"/>
    </row>
    <row r="36">
      <c r="A36" s="55"/>
      <c r="B36" s="55"/>
      <c r="C36" s="55"/>
      <c r="D36" s="55"/>
      <c r="E36" s="55"/>
      <c r="F36" s="55"/>
      <c r="G36" s="55"/>
      <c r="H36" s="55"/>
      <c r="I36" s="55"/>
      <c r="J36" s="55"/>
      <c r="K36" s="55"/>
      <c r="L36" s="55"/>
      <c r="M36" s="55"/>
      <c r="N36" s="55"/>
      <c r="O36" s="55"/>
      <c r="P36" s="55"/>
      <c r="Q36" s="56"/>
      <c r="R36" s="56"/>
      <c r="S36" s="56"/>
      <c r="T36" s="56"/>
      <c r="U36" s="56"/>
      <c r="V36" s="56"/>
      <c r="W36" s="56"/>
      <c r="X36" s="56"/>
      <c r="Y36" s="56"/>
      <c r="Z36" s="59"/>
    </row>
    <row r="37">
      <c r="A37" s="55"/>
      <c r="B37" s="55"/>
      <c r="C37" s="55"/>
      <c r="D37" s="55"/>
      <c r="E37" s="55"/>
      <c r="F37" s="55"/>
      <c r="G37" s="55"/>
      <c r="H37" s="55"/>
      <c r="I37" s="55"/>
      <c r="J37" s="55"/>
      <c r="K37" s="55"/>
      <c r="L37" s="55"/>
      <c r="M37" s="55"/>
      <c r="N37" s="55"/>
      <c r="O37" s="55"/>
      <c r="P37" s="55"/>
      <c r="Q37" s="56"/>
      <c r="R37" s="56"/>
      <c r="S37" s="56"/>
      <c r="T37" s="56"/>
      <c r="U37" s="56"/>
      <c r="V37" s="56"/>
      <c r="W37" s="56"/>
      <c r="X37" s="56"/>
      <c r="Y37" s="56"/>
      <c r="Z37" s="59"/>
    </row>
    <row r="38">
      <c r="A38" s="55"/>
      <c r="B38" s="55"/>
      <c r="C38" s="55"/>
      <c r="D38" s="55"/>
      <c r="E38" s="55"/>
      <c r="F38" s="55"/>
      <c r="G38" s="55"/>
      <c r="H38" s="55"/>
      <c r="I38" s="55"/>
      <c r="J38" s="55"/>
      <c r="K38" s="55"/>
      <c r="L38" s="55"/>
      <c r="M38" s="55"/>
      <c r="N38" s="55"/>
      <c r="O38" s="55"/>
      <c r="P38" s="55"/>
      <c r="Q38" s="56"/>
      <c r="R38" s="56"/>
      <c r="S38" s="56"/>
      <c r="T38" s="56"/>
      <c r="U38" s="56"/>
      <c r="V38" s="56"/>
      <c r="W38" s="56"/>
      <c r="X38" s="56"/>
      <c r="Y38" s="56"/>
      <c r="Z38" s="59"/>
    </row>
    <row r="39">
      <c r="A39" s="55"/>
      <c r="B39" s="55"/>
      <c r="C39" s="55"/>
      <c r="D39" s="55"/>
      <c r="E39" s="55"/>
      <c r="F39" s="55"/>
      <c r="G39" s="55"/>
      <c r="H39" s="55"/>
      <c r="I39" s="55"/>
      <c r="J39" s="55"/>
      <c r="K39" s="55"/>
      <c r="L39" s="55"/>
      <c r="M39" s="55"/>
      <c r="N39" s="55"/>
      <c r="O39" s="55"/>
      <c r="P39" s="55"/>
      <c r="Q39" s="56"/>
      <c r="R39" s="56"/>
      <c r="S39" s="56"/>
      <c r="T39" s="56"/>
      <c r="U39" s="56"/>
      <c r="V39" s="56"/>
      <c r="W39" s="56"/>
      <c r="X39" s="56"/>
      <c r="Y39" s="56"/>
      <c r="Z39" s="59"/>
    </row>
    <row r="40">
      <c r="A40" s="55"/>
      <c r="B40" s="55"/>
      <c r="C40" s="55"/>
      <c r="D40" s="55"/>
      <c r="E40" s="55"/>
      <c r="F40" s="55"/>
      <c r="G40" s="55"/>
      <c r="H40" s="55"/>
      <c r="I40" s="55"/>
      <c r="J40" s="55"/>
      <c r="K40" s="55"/>
      <c r="L40" s="55"/>
      <c r="M40" s="55"/>
      <c r="N40" s="55"/>
      <c r="O40" s="55"/>
      <c r="P40" s="55"/>
      <c r="Q40" s="56"/>
      <c r="R40" s="56"/>
      <c r="S40" s="56"/>
      <c r="T40" s="56"/>
      <c r="U40" s="56"/>
      <c r="V40" s="56"/>
      <c r="W40" s="56"/>
      <c r="X40" s="56"/>
      <c r="Y40" s="56"/>
      <c r="Z40" s="59"/>
    </row>
    <row r="41">
      <c r="A41" s="55"/>
      <c r="B41" s="55"/>
      <c r="C41" s="55"/>
      <c r="D41" s="55"/>
      <c r="E41" s="55"/>
      <c r="F41" s="55"/>
      <c r="G41" s="55"/>
      <c r="H41" s="55"/>
      <c r="I41" s="55"/>
      <c r="J41" s="55"/>
      <c r="K41" s="55"/>
      <c r="L41" s="55"/>
      <c r="M41" s="55"/>
      <c r="N41" s="55"/>
      <c r="O41" s="55"/>
      <c r="P41" s="55"/>
      <c r="Q41" s="56"/>
      <c r="R41" s="56"/>
      <c r="S41" s="56"/>
      <c r="T41" s="56"/>
      <c r="U41" s="56"/>
      <c r="V41" s="56"/>
      <c r="W41" s="56"/>
      <c r="X41" s="56"/>
      <c r="Y41" s="56"/>
      <c r="Z41" s="59"/>
    </row>
    <row r="42">
      <c r="A42" s="55"/>
      <c r="B42" s="55"/>
      <c r="C42" s="55"/>
      <c r="D42" s="55"/>
      <c r="E42" s="55"/>
      <c r="F42" s="55"/>
      <c r="G42" s="55"/>
      <c r="H42" s="55"/>
      <c r="I42" s="55"/>
      <c r="J42" s="55"/>
      <c r="K42" s="55"/>
      <c r="L42" s="55"/>
      <c r="M42" s="55"/>
      <c r="N42" s="55"/>
      <c r="O42" s="55"/>
      <c r="P42" s="55"/>
      <c r="Q42" s="56"/>
      <c r="R42" s="56"/>
      <c r="S42" s="56"/>
      <c r="T42" s="56"/>
      <c r="U42" s="56"/>
      <c r="V42" s="56"/>
      <c r="W42" s="56"/>
      <c r="X42" s="56"/>
      <c r="Y42" s="56"/>
      <c r="Z42" s="59"/>
    </row>
    <row r="43">
      <c r="A43" s="55"/>
      <c r="B43" s="55"/>
      <c r="C43" s="55"/>
      <c r="D43" s="55"/>
      <c r="E43" s="55"/>
      <c r="F43" s="55"/>
      <c r="G43" s="55"/>
      <c r="H43" s="55"/>
      <c r="I43" s="55"/>
      <c r="J43" s="55"/>
      <c r="K43" s="55"/>
      <c r="L43" s="55"/>
      <c r="M43" s="55"/>
      <c r="N43" s="55"/>
      <c r="O43" s="55"/>
      <c r="P43" s="55"/>
      <c r="Q43" s="56"/>
      <c r="R43" s="56"/>
      <c r="S43" s="56"/>
      <c r="T43" s="56"/>
      <c r="U43" s="56"/>
      <c r="V43" s="56"/>
      <c r="W43" s="56"/>
      <c r="X43" s="56"/>
      <c r="Y43" s="56"/>
      <c r="Z43" s="59"/>
    </row>
    <row r="44">
      <c r="A44" s="55"/>
      <c r="B44" s="55"/>
      <c r="C44" s="55"/>
      <c r="D44" s="55"/>
      <c r="E44" s="55"/>
      <c r="F44" s="55"/>
      <c r="G44" s="55"/>
      <c r="H44" s="55"/>
      <c r="I44" s="55"/>
      <c r="J44" s="55"/>
      <c r="K44" s="55"/>
      <c r="L44" s="55"/>
      <c r="M44" s="55"/>
      <c r="N44" s="55"/>
      <c r="O44" s="55"/>
      <c r="P44" s="55"/>
      <c r="Q44" s="56"/>
      <c r="R44" s="56"/>
      <c r="S44" s="56"/>
      <c r="T44" s="56"/>
      <c r="U44" s="56"/>
      <c r="V44" s="56"/>
      <c r="W44" s="56"/>
      <c r="X44" s="56"/>
      <c r="Y44" s="56"/>
      <c r="Z44" s="59"/>
    </row>
    <row r="45">
      <c r="A45" s="55"/>
      <c r="B45" s="55"/>
      <c r="C45" s="55"/>
      <c r="D45" s="55"/>
      <c r="E45" s="55"/>
      <c r="F45" s="55"/>
      <c r="G45" s="55"/>
      <c r="H45" s="55"/>
      <c r="I45" s="55"/>
      <c r="J45" s="55"/>
      <c r="K45" s="55"/>
      <c r="L45" s="55"/>
      <c r="M45" s="55"/>
      <c r="N45" s="55"/>
      <c r="O45" s="55"/>
      <c r="P45" s="55"/>
      <c r="Q45" s="56"/>
      <c r="R45" s="56"/>
      <c r="S45" s="56"/>
      <c r="T45" s="56"/>
      <c r="U45" s="56"/>
      <c r="V45" s="56"/>
      <c r="W45" s="56"/>
      <c r="X45" s="56"/>
      <c r="Y45" s="56"/>
      <c r="Z45" s="59"/>
    </row>
    <row r="46">
      <c r="A46" s="55"/>
      <c r="B46" s="55"/>
      <c r="C46" s="55"/>
      <c r="D46" s="55"/>
      <c r="E46" s="55"/>
      <c r="F46" s="55"/>
      <c r="G46" s="55"/>
      <c r="H46" s="55"/>
      <c r="I46" s="55"/>
      <c r="J46" s="55"/>
      <c r="K46" s="55"/>
      <c r="L46" s="55"/>
      <c r="M46" s="55"/>
      <c r="N46" s="55"/>
      <c r="O46" s="55"/>
      <c r="P46" s="55"/>
      <c r="Q46" s="56"/>
      <c r="R46" s="56"/>
      <c r="S46" s="56"/>
      <c r="T46" s="56"/>
      <c r="U46" s="56"/>
      <c r="V46" s="56"/>
      <c r="W46" s="56"/>
      <c r="X46" s="56"/>
      <c r="Y46" s="56"/>
      <c r="Z46" s="59"/>
    </row>
    <row r="47">
      <c r="A47" s="55"/>
      <c r="B47" s="55"/>
      <c r="C47" s="55"/>
      <c r="D47" s="55"/>
      <c r="E47" s="55"/>
      <c r="F47" s="55"/>
      <c r="G47" s="55"/>
      <c r="H47" s="55"/>
      <c r="I47" s="55"/>
      <c r="J47" s="55"/>
      <c r="K47" s="55"/>
      <c r="L47" s="55"/>
      <c r="M47" s="55"/>
      <c r="N47" s="55"/>
      <c r="O47" s="55"/>
      <c r="P47" s="55"/>
      <c r="Q47" s="56"/>
      <c r="R47" s="56"/>
      <c r="S47" s="56"/>
      <c r="T47" s="56"/>
      <c r="U47" s="56"/>
      <c r="V47" s="56"/>
      <c r="W47" s="56"/>
      <c r="X47" s="56"/>
      <c r="Y47" s="56"/>
      <c r="Z47" s="59"/>
    </row>
    <row r="48">
      <c r="A48" s="55"/>
      <c r="B48" s="55"/>
      <c r="C48" s="55"/>
      <c r="D48" s="55"/>
      <c r="E48" s="55"/>
      <c r="F48" s="55"/>
      <c r="G48" s="55"/>
      <c r="H48" s="55"/>
      <c r="I48" s="55"/>
      <c r="J48" s="55"/>
      <c r="K48" s="55"/>
      <c r="L48" s="55"/>
      <c r="M48" s="55"/>
      <c r="N48" s="55"/>
      <c r="O48" s="55"/>
      <c r="P48" s="55"/>
      <c r="Q48" s="56"/>
      <c r="R48" s="56"/>
      <c r="S48" s="56"/>
      <c r="T48" s="56"/>
      <c r="U48" s="56"/>
      <c r="V48" s="56"/>
      <c r="W48" s="56"/>
      <c r="X48" s="56"/>
      <c r="Y48" s="56"/>
      <c r="Z48" s="59"/>
    </row>
    <row r="49">
      <c r="A49" s="55"/>
      <c r="B49" s="55"/>
      <c r="C49" s="55"/>
      <c r="D49" s="55"/>
      <c r="E49" s="55"/>
      <c r="F49" s="55"/>
      <c r="G49" s="55"/>
      <c r="H49" s="55"/>
      <c r="I49" s="55"/>
      <c r="J49" s="55"/>
      <c r="K49" s="55"/>
      <c r="L49" s="55"/>
      <c r="M49" s="55"/>
      <c r="N49" s="55"/>
      <c r="O49" s="55"/>
      <c r="P49" s="55"/>
      <c r="Q49" s="56"/>
      <c r="R49" s="56"/>
      <c r="S49" s="56"/>
      <c r="T49" s="56"/>
      <c r="U49" s="56"/>
      <c r="V49" s="56"/>
      <c r="W49" s="56"/>
      <c r="X49" s="56"/>
      <c r="Y49" s="56"/>
      <c r="Z49" s="59"/>
    </row>
    <row r="50">
      <c r="A50" s="55"/>
      <c r="B50" s="55"/>
      <c r="C50" s="55"/>
      <c r="D50" s="55"/>
      <c r="E50" s="55"/>
      <c r="F50" s="55"/>
      <c r="G50" s="55"/>
      <c r="H50" s="55"/>
      <c r="I50" s="55"/>
      <c r="J50" s="55"/>
      <c r="K50" s="55"/>
      <c r="L50" s="55"/>
      <c r="M50" s="55"/>
      <c r="N50" s="55"/>
      <c r="O50" s="55"/>
      <c r="P50" s="55"/>
      <c r="Q50" s="56"/>
      <c r="R50" s="56"/>
      <c r="S50" s="56"/>
      <c r="T50" s="56"/>
      <c r="U50" s="56"/>
      <c r="V50" s="56"/>
      <c r="W50" s="56"/>
      <c r="X50" s="56"/>
      <c r="Y50" s="56"/>
      <c r="Z50" s="59"/>
    </row>
    <row r="51">
      <c r="A51" s="55"/>
      <c r="B51" s="55"/>
      <c r="C51" s="55"/>
      <c r="D51" s="55"/>
      <c r="E51" s="55"/>
      <c r="F51" s="55"/>
      <c r="G51" s="55"/>
      <c r="H51" s="55"/>
      <c r="I51" s="55"/>
      <c r="J51" s="55"/>
      <c r="K51" s="55"/>
      <c r="L51" s="55"/>
      <c r="M51" s="55"/>
      <c r="N51" s="55"/>
      <c r="O51" s="55"/>
      <c r="P51" s="55"/>
      <c r="Q51" s="56"/>
      <c r="R51" s="56"/>
      <c r="S51" s="56"/>
      <c r="T51" s="56"/>
      <c r="U51" s="56"/>
      <c r="V51" s="56"/>
      <c r="W51" s="56"/>
      <c r="X51" s="56"/>
      <c r="Y51" s="56"/>
      <c r="Z51" s="59"/>
    </row>
    <row r="52">
      <c r="A52" s="55"/>
      <c r="B52" s="55"/>
      <c r="C52" s="55"/>
      <c r="D52" s="55"/>
      <c r="E52" s="55"/>
      <c r="F52" s="55"/>
      <c r="G52" s="55"/>
      <c r="H52" s="55"/>
      <c r="I52" s="55"/>
      <c r="J52" s="55"/>
      <c r="K52" s="55"/>
      <c r="L52" s="55"/>
      <c r="M52" s="55"/>
      <c r="N52" s="55"/>
      <c r="O52" s="55"/>
      <c r="P52" s="55"/>
      <c r="Q52" s="56"/>
      <c r="R52" s="56"/>
      <c r="S52" s="56"/>
      <c r="T52" s="56"/>
      <c r="U52" s="56"/>
      <c r="V52" s="56"/>
      <c r="W52" s="56"/>
      <c r="X52" s="56"/>
      <c r="Y52" s="56"/>
      <c r="Z52" s="59"/>
    </row>
    <row r="53">
      <c r="A53" s="55"/>
      <c r="B53" s="55"/>
      <c r="C53" s="55"/>
      <c r="D53" s="55"/>
      <c r="E53" s="55"/>
      <c r="F53" s="55"/>
      <c r="G53" s="55"/>
      <c r="H53" s="55"/>
      <c r="I53" s="55"/>
      <c r="J53" s="55"/>
      <c r="K53" s="55"/>
      <c r="L53" s="55"/>
      <c r="M53" s="55"/>
      <c r="N53" s="55"/>
      <c r="O53" s="55"/>
      <c r="P53" s="55"/>
      <c r="Q53" s="56"/>
      <c r="R53" s="56"/>
      <c r="S53" s="56"/>
      <c r="T53" s="56"/>
      <c r="U53" s="56"/>
      <c r="V53" s="56"/>
      <c r="W53" s="56"/>
      <c r="X53" s="56"/>
      <c r="Y53" s="56"/>
      <c r="Z53" s="59"/>
    </row>
    <row r="54">
      <c r="A54" s="55"/>
      <c r="B54" s="55"/>
      <c r="C54" s="55"/>
      <c r="D54" s="55"/>
      <c r="E54" s="55"/>
      <c r="F54" s="55"/>
      <c r="G54" s="55"/>
      <c r="H54" s="55"/>
      <c r="I54" s="55"/>
      <c r="J54" s="55"/>
      <c r="K54" s="55"/>
      <c r="L54" s="55"/>
      <c r="M54" s="55"/>
      <c r="N54" s="55"/>
      <c r="O54" s="55"/>
      <c r="P54" s="55"/>
      <c r="Q54" s="56"/>
      <c r="R54" s="56"/>
      <c r="S54" s="56"/>
      <c r="T54" s="56"/>
      <c r="U54" s="56"/>
      <c r="V54" s="56"/>
      <c r="W54" s="56"/>
      <c r="X54" s="56"/>
      <c r="Y54" s="56"/>
      <c r="Z54" s="59"/>
    </row>
    <row r="55">
      <c r="A55" s="55"/>
      <c r="B55" s="55"/>
      <c r="C55" s="55"/>
      <c r="D55" s="55"/>
      <c r="E55" s="55"/>
      <c r="F55" s="55"/>
      <c r="G55" s="55"/>
      <c r="H55" s="55"/>
      <c r="I55" s="55"/>
      <c r="J55" s="55"/>
      <c r="K55" s="55"/>
      <c r="L55" s="55"/>
      <c r="M55" s="55"/>
      <c r="N55" s="55"/>
      <c r="O55" s="55"/>
      <c r="P55" s="55"/>
      <c r="Q55" s="56"/>
      <c r="R55" s="56"/>
      <c r="S55" s="56"/>
      <c r="T55" s="56"/>
      <c r="U55" s="56"/>
      <c r="V55" s="56"/>
      <c r="W55" s="56"/>
      <c r="X55" s="56"/>
      <c r="Y55" s="56"/>
      <c r="Z55" s="59"/>
    </row>
    <row r="56">
      <c r="A56" s="55"/>
      <c r="B56" s="55"/>
      <c r="C56" s="55"/>
      <c r="D56" s="55"/>
      <c r="E56" s="55"/>
      <c r="F56" s="55"/>
      <c r="G56" s="55"/>
      <c r="H56" s="55"/>
      <c r="I56" s="55"/>
      <c r="J56" s="55"/>
      <c r="K56" s="55"/>
      <c r="L56" s="55"/>
      <c r="M56" s="55"/>
      <c r="N56" s="55"/>
      <c r="O56" s="55"/>
      <c r="P56" s="55"/>
      <c r="Q56" s="56"/>
      <c r="R56" s="56"/>
      <c r="S56" s="56"/>
      <c r="T56" s="56"/>
      <c r="U56" s="56"/>
      <c r="V56" s="56"/>
      <c r="W56" s="56"/>
      <c r="X56" s="56"/>
      <c r="Y56" s="56"/>
      <c r="Z56" s="59"/>
    </row>
    <row r="57">
      <c r="A57" s="55"/>
      <c r="B57" s="55"/>
      <c r="C57" s="55"/>
      <c r="D57" s="55"/>
      <c r="E57" s="55"/>
      <c r="F57" s="55"/>
      <c r="G57" s="55"/>
      <c r="H57" s="55"/>
      <c r="I57" s="55"/>
      <c r="J57" s="55"/>
      <c r="K57" s="55"/>
      <c r="L57" s="55"/>
      <c r="M57" s="55"/>
      <c r="N57" s="55"/>
      <c r="O57" s="55"/>
      <c r="P57" s="55"/>
      <c r="Q57" s="56"/>
      <c r="R57" s="56"/>
      <c r="S57" s="56"/>
      <c r="T57" s="56"/>
      <c r="U57" s="56"/>
      <c r="V57" s="56"/>
      <c r="W57" s="56"/>
      <c r="X57" s="56"/>
      <c r="Y57" s="56"/>
      <c r="Z57" s="59"/>
    </row>
    <row r="58">
      <c r="A58" s="55"/>
      <c r="B58" s="55"/>
      <c r="C58" s="55"/>
      <c r="D58" s="55"/>
      <c r="E58" s="55"/>
      <c r="F58" s="55"/>
      <c r="G58" s="55"/>
      <c r="H58" s="55"/>
      <c r="I58" s="55"/>
      <c r="J58" s="55"/>
      <c r="K58" s="55"/>
      <c r="L58" s="55"/>
      <c r="M58" s="55"/>
      <c r="N58" s="55"/>
      <c r="O58" s="55"/>
      <c r="P58" s="55"/>
      <c r="Q58" s="56"/>
      <c r="R58" s="56"/>
      <c r="S58" s="56"/>
      <c r="T58" s="56"/>
      <c r="U58" s="56"/>
      <c r="V58" s="56"/>
      <c r="W58" s="56"/>
      <c r="X58" s="56"/>
      <c r="Y58" s="56"/>
      <c r="Z58" s="59"/>
    </row>
    <row r="59">
      <c r="A59" s="55"/>
      <c r="B59" s="55"/>
      <c r="C59" s="55"/>
      <c r="D59" s="55"/>
      <c r="E59" s="55"/>
      <c r="F59" s="55"/>
      <c r="G59" s="55"/>
      <c r="H59" s="55"/>
      <c r="I59" s="55"/>
      <c r="J59" s="55"/>
      <c r="K59" s="55"/>
      <c r="L59" s="55"/>
      <c r="M59" s="55"/>
      <c r="N59" s="55"/>
      <c r="O59" s="55"/>
      <c r="P59" s="55"/>
      <c r="Q59" s="56"/>
      <c r="R59" s="56"/>
      <c r="S59" s="56"/>
      <c r="T59" s="56"/>
      <c r="U59" s="56"/>
      <c r="V59" s="56"/>
      <c r="W59" s="56"/>
      <c r="X59" s="56"/>
      <c r="Y59" s="56"/>
      <c r="Z59" s="59"/>
    </row>
    <row r="60">
      <c r="A60" s="55"/>
      <c r="B60" s="55"/>
      <c r="C60" s="55"/>
      <c r="D60" s="55"/>
      <c r="E60" s="55"/>
      <c r="F60" s="55"/>
      <c r="G60" s="55"/>
      <c r="H60" s="55"/>
      <c r="I60" s="55"/>
      <c r="J60" s="55"/>
      <c r="K60" s="55"/>
      <c r="L60" s="55"/>
      <c r="M60" s="55"/>
      <c r="N60" s="55"/>
      <c r="O60" s="55"/>
      <c r="P60" s="55"/>
      <c r="Q60" s="56"/>
      <c r="R60" s="56"/>
      <c r="S60" s="56"/>
      <c r="T60" s="56"/>
      <c r="U60" s="56"/>
      <c r="V60" s="56"/>
      <c r="W60" s="56"/>
      <c r="X60" s="56"/>
      <c r="Y60" s="56"/>
      <c r="Z60" s="59"/>
    </row>
    <row r="61">
      <c r="A61" s="55"/>
      <c r="B61" s="55"/>
      <c r="C61" s="55"/>
      <c r="D61" s="55"/>
      <c r="E61" s="55"/>
      <c r="F61" s="55"/>
      <c r="G61" s="55"/>
      <c r="H61" s="55"/>
      <c r="I61" s="55"/>
      <c r="J61" s="55"/>
      <c r="K61" s="55"/>
      <c r="L61" s="55"/>
      <c r="M61" s="55"/>
      <c r="N61" s="55"/>
      <c r="O61" s="55"/>
      <c r="P61" s="55"/>
      <c r="Q61" s="56"/>
      <c r="R61" s="56"/>
      <c r="S61" s="56"/>
      <c r="T61" s="56"/>
      <c r="U61" s="56"/>
      <c r="V61" s="56"/>
      <c r="W61" s="56"/>
      <c r="X61" s="56"/>
      <c r="Y61" s="56"/>
      <c r="Z61" s="59"/>
    </row>
    <row r="62">
      <c r="A62" s="55"/>
      <c r="B62" s="55"/>
      <c r="C62" s="55"/>
      <c r="D62" s="55"/>
      <c r="E62" s="55"/>
      <c r="F62" s="55"/>
      <c r="G62" s="55"/>
      <c r="H62" s="55"/>
      <c r="I62" s="55"/>
      <c r="J62" s="55"/>
      <c r="K62" s="55"/>
      <c r="L62" s="55"/>
      <c r="M62" s="55"/>
      <c r="N62" s="55"/>
      <c r="O62" s="55"/>
      <c r="P62" s="55"/>
      <c r="Q62" s="56"/>
      <c r="R62" s="56"/>
      <c r="S62" s="56"/>
      <c r="T62" s="56"/>
      <c r="U62" s="56"/>
      <c r="V62" s="56"/>
      <c r="W62" s="56"/>
      <c r="X62" s="56"/>
      <c r="Y62" s="56"/>
      <c r="Z62" s="59"/>
    </row>
    <row r="63">
      <c r="A63" s="55"/>
      <c r="B63" s="55"/>
      <c r="C63" s="55"/>
      <c r="D63" s="55"/>
      <c r="E63" s="55"/>
      <c r="F63" s="55"/>
      <c r="G63" s="55"/>
      <c r="H63" s="55"/>
      <c r="I63" s="55"/>
      <c r="J63" s="55"/>
      <c r="K63" s="55"/>
      <c r="L63" s="55"/>
      <c r="M63" s="55"/>
      <c r="N63" s="55"/>
      <c r="O63" s="55"/>
      <c r="P63" s="55"/>
      <c r="Q63" s="56"/>
      <c r="R63" s="56"/>
      <c r="S63" s="56"/>
      <c r="T63" s="56"/>
      <c r="U63" s="56"/>
      <c r="V63" s="56"/>
      <c r="W63" s="56"/>
      <c r="X63" s="56"/>
      <c r="Y63" s="56"/>
      <c r="Z63" s="59"/>
    </row>
    <row r="64">
      <c r="A64" s="55"/>
      <c r="B64" s="55"/>
      <c r="C64" s="55"/>
      <c r="D64" s="55"/>
      <c r="E64" s="55"/>
      <c r="F64" s="55"/>
      <c r="G64" s="55"/>
      <c r="H64" s="55"/>
      <c r="I64" s="55"/>
      <c r="J64" s="55"/>
      <c r="K64" s="55"/>
      <c r="L64" s="55"/>
      <c r="M64" s="55"/>
      <c r="N64" s="55"/>
      <c r="O64" s="55"/>
      <c r="P64" s="55"/>
      <c r="Q64" s="56"/>
      <c r="R64" s="56"/>
      <c r="S64" s="56"/>
      <c r="T64" s="56"/>
      <c r="U64" s="56"/>
      <c r="V64" s="56"/>
      <c r="W64" s="56"/>
      <c r="X64" s="56"/>
      <c r="Y64" s="56"/>
      <c r="Z64" s="59"/>
    </row>
    <row r="65">
      <c r="A65" s="55"/>
      <c r="B65" s="55"/>
      <c r="C65" s="55"/>
      <c r="D65" s="55"/>
      <c r="E65" s="55"/>
      <c r="F65" s="55"/>
      <c r="G65" s="55"/>
      <c r="H65" s="55"/>
      <c r="I65" s="55"/>
      <c r="J65" s="55"/>
      <c r="K65" s="55"/>
      <c r="L65" s="55"/>
      <c r="M65" s="55"/>
      <c r="N65" s="55"/>
      <c r="O65" s="55"/>
      <c r="P65" s="55"/>
      <c r="Q65" s="56"/>
      <c r="R65" s="56"/>
      <c r="S65" s="56"/>
      <c r="T65" s="56"/>
      <c r="U65" s="56"/>
      <c r="V65" s="56"/>
      <c r="W65" s="56"/>
      <c r="X65" s="56"/>
      <c r="Y65" s="56"/>
      <c r="Z65" s="59"/>
    </row>
    <row r="66">
      <c r="A66" s="55"/>
      <c r="B66" s="55"/>
      <c r="C66" s="55"/>
      <c r="D66" s="55"/>
      <c r="E66" s="55"/>
      <c r="F66" s="55"/>
      <c r="G66" s="55"/>
      <c r="H66" s="55"/>
      <c r="I66" s="55"/>
      <c r="J66" s="55"/>
      <c r="K66" s="55"/>
      <c r="L66" s="55"/>
      <c r="M66" s="55"/>
      <c r="N66" s="55"/>
      <c r="O66" s="55"/>
      <c r="P66" s="55"/>
      <c r="Q66" s="56"/>
      <c r="R66" s="56"/>
      <c r="S66" s="56"/>
      <c r="T66" s="56"/>
      <c r="U66" s="56"/>
      <c r="V66" s="56"/>
      <c r="W66" s="56"/>
      <c r="X66" s="56"/>
      <c r="Y66" s="56"/>
      <c r="Z66" s="59"/>
    </row>
    <row r="67">
      <c r="A67" s="55"/>
      <c r="B67" s="55"/>
      <c r="C67" s="55"/>
      <c r="D67" s="55"/>
      <c r="E67" s="55"/>
      <c r="F67" s="55"/>
      <c r="G67" s="55"/>
      <c r="H67" s="55"/>
      <c r="I67" s="55"/>
      <c r="J67" s="55"/>
      <c r="K67" s="55"/>
      <c r="L67" s="55"/>
      <c r="M67" s="55"/>
      <c r="N67" s="55"/>
      <c r="O67" s="55"/>
      <c r="P67" s="55"/>
      <c r="Q67" s="56"/>
      <c r="R67" s="56"/>
      <c r="S67" s="56"/>
      <c r="T67" s="56"/>
      <c r="U67" s="56"/>
      <c r="V67" s="56"/>
      <c r="W67" s="56"/>
      <c r="X67" s="56"/>
      <c r="Y67" s="56"/>
      <c r="Z67" s="59"/>
    </row>
    <row r="68">
      <c r="A68" s="55"/>
      <c r="B68" s="55"/>
      <c r="C68" s="55"/>
      <c r="D68" s="55"/>
      <c r="E68" s="55"/>
      <c r="F68" s="55"/>
      <c r="G68" s="55"/>
      <c r="H68" s="55"/>
      <c r="I68" s="55"/>
      <c r="J68" s="55"/>
      <c r="K68" s="55"/>
      <c r="L68" s="55"/>
      <c r="M68" s="55"/>
      <c r="N68" s="55"/>
      <c r="O68" s="55"/>
      <c r="P68" s="55"/>
      <c r="Q68" s="56"/>
      <c r="R68" s="56"/>
      <c r="S68" s="56"/>
      <c r="T68" s="56"/>
      <c r="U68" s="56"/>
      <c r="V68" s="56"/>
      <c r="W68" s="56"/>
      <c r="X68" s="56"/>
      <c r="Y68" s="56"/>
      <c r="Z68" s="59"/>
    </row>
    <row r="69">
      <c r="A69" s="55"/>
      <c r="B69" s="55"/>
      <c r="C69" s="55"/>
      <c r="D69" s="55"/>
      <c r="E69" s="55"/>
      <c r="F69" s="55"/>
      <c r="G69" s="55"/>
      <c r="H69" s="55"/>
      <c r="I69" s="55"/>
      <c r="J69" s="55"/>
      <c r="K69" s="55"/>
      <c r="L69" s="55"/>
      <c r="M69" s="55"/>
      <c r="N69" s="55"/>
      <c r="O69" s="55"/>
      <c r="P69" s="55"/>
      <c r="Q69" s="56"/>
      <c r="R69" s="56"/>
      <c r="S69" s="56"/>
      <c r="T69" s="56"/>
      <c r="U69" s="56"/>
      <c r="V69" s="56"/>
      <c r="W69" s="56"/>
      <c r="X69" s="56"/>
      <c r="Y69" s="56"/>
      <c r="Z69" s="59"/>
    </row>
    <row r="70">
      <c r="A70" s="55"/>
      <c r="B70" s="55"/>
      <c r="C70" s="55"/>
      <c r="D70" s="55"/>
      <c r="E70" s="55"/>
      <c r="F70" s="55"/>
      <c r="G70" s="55"/>
      <c r="H70" s="55"/>
      <c r="I70" s="55"/>
      <c r="J70" s="55"/>
      <c r="K70" s="55"/>
      <c r="L70" s="55"/>
      <c r="M70" s="55"/>
      <c r="N70" s="55"/>
      <c r="O70" s="55"/>
      <c r="P70" s="55"/>
      <c r="Q70" s="56"/>
      <c r="R70" s="56"/>
      <c r="S70" s="56"/>
      <c r="T70" s="56"/>
      <c r="U70" s="56"/>
      <c r="V70" s="56"/>
      <c r="W70" s="56"/>
      <c r="X70" s="56"/>
      <c r="Y70" s="56"/>
      <c r="Z70" s="59"/>
    </row>
    <row r="71">
      <c r="A71" s="55"/>
      <c r="B71" s="55"/>
      <c r="C71" s="55"/>
      <c r="D71" s="55"/>
      <c r="E71" s="55"/>
      <c r="F71" s="55"/>
      <c r="G71" s="55"/>
      <c r="H71" s="55"/>
      <c r="I71" s="55"/>
      <c r="J71" s="55"/>
      <c r="K71" s="55"/>
      <c r="L71" s="55"/>
      <c r="M71" s="55"/>
      <c r="N71" s="55"/>
      <c r="O71" s="55"/>
      <c r="P71" s="55"/>
      <c r="Q71" s="56"/>
      <c r="R71" s="56"/>
      <c r="S71" s="56"/>
      <c r="T71" s="56"/>
      <c r="U71" s="56"/>
      <c r="V71" s="56"/>
      <c r="W71" s="56"/>
      <c r="X71" s="56"/>
      <c r="Y71" s="56"/>
      <c r="Z71" s="59"/>
    </row>
    <row r="72">
      <c r="A72" s="55"/>
      <c r="B72" s="55"/>
      <c r="C72" s="55"/>
      <c r="D72" s="55"/>
      <c r="E72" s="55"/>
      <c r="F72" s="55"/>
      <c r="G72" s="55"/>
      <c r="H72" s="55"/>
      <c r="I72" s="55"/>
      <c r="J72" s="55"/>
      <c r="K72" s="55"/>
      <c r="L72" s="55"/>
      <c r="M72" s="55"/>
      <c r="N72" s="55"/>
      <c r="O72" s="55"/>
      <c r="P72" s="55"/>
      <c r="Q72" s="56"/>
      <c r="R72" s="56"/>
      <c r="S72" s="56"/>
      <c r="T72" s="56"/>
      <c r="U72" s="56"/>
      <c r="V72" s="56"/>
      <c r="W72" s="56"/>
      <c r="X72" s="56"/>
      <c r="Y72" s="56"/>
      <c r="Z72" s="59"/>
    </row>
    <row r="73">
      <c r="A73" s="55"/>
      <c r="B73" s="55"/>
      <c r="C73" s="55"/>
      <c r="D73" s="55"/>
      <c r="E73" s="55"/>
      <c r="F73" s="55"/>
      <c r="G73" s="55"/>
      <c r="H73" s="55"/>
      <c r="I73" s="55"/>
      <c r="J73" s="55"/>
      <c r="K73" s="55"/>
      <c r="L73" s="55"/>
      <c r="M73" s="55"/>
      <c r="N73" s="55"/>
      <c r="O73" s="55"/>
      <c r="P73" s="55"/>
      <c r="Q73" s="56"/>
      <c r="R73" s="56"/>
      <c r="S73" s="56"/>
      <c r="T73" s="56"/>
      <c r="U73" s="56"/>
      <c r="V73" s="56"/>
      <c r="W73" s="56"/>
      <c r="X73" s="56"/>
      <c r="Y73" s="56"/>
      <c r="Z73" s="59"/>
    </row>
    <row r="74">
      <c r="A74" s="55"/>
      <c r="B74" s="55"/>
      <c r="C74" s="55"/>
      <c r="D74" s="55"/>
      <c r="E74" s="55"/>
      <c r="F74" s="55"/>
      <c r="G74" s="55"/>
      <c r="H74" s="55"/>
      <c r="I74" s="55"/>
      <c r="J74" s="55"/>
      <c r="K74" s="55"/>
      <c r="L74" s="55"/>
      <c r="M74" s="55"/>
      <c r="N74" s="55"/>
      <c r="O74" s="55"/>
      <c r="P74" s="55"/>
      <c r="Q74" s="56"/>
      <c r="R74" s="56"/>
      <c r="S74" s="56"/>
      <c r="T74" s="56"/>
      <c r="U74" s="56"/>
      <c r="V74" s="56"/>
      <c r="W74" s="56"/>
      <c r="X74" s="56"/>
      <c r="Y74" s="56"/>
      <c r="Z74" s="59"/>
    </row>
    <row r="75">
      <c r="A75" s="55"/>
      <c r="B75" s="55"/>
      <c r="C75" s="55"/>
      <c r="D75" s="55"/>
      <c r="E75" s="55"/>
      <c r="F75" s="55"/>
      <c r="G75" s="55"/>
      <c r="H75" s="55"/>
      <c r="I75" s="55"/>
      <c r="J75" s="55"/>
      <c r="K75" s="55"/>
      <c r="L75" s="55"/>
      <c r="M75" s="55"/>
      <c r="N75" s="55"/>
      <c r="O75" s="55"/>
      <c r="P75" s="55"/>
      <c r="Q75" s="56"/>
      <c r="R75" s="56"/>
      <c r="S75" s="56"/>
      <c r="T75" s="56"/>
      <c r="U75" s="56"/>
      <c r="V75" s="56"/>
      <c r="W75" s="56"/>
      <c r="X75" s="56"/>
      <c r="Y75" s="56"/>
      <c r="Z75" s="59"/>
    </row>
    <row r="76">
      <c r="A76" s="55"/>
      <c r="B76" s="55"/>
      <c r="C76" s="55"/>
      <c r="D76" s="55"/>
      <c r="E76" s="55"/>
      <c r="F76" s="55"/>
      <c r="G76" s="55"/>
      <c r="H76" s="55"/>
      <c r="I76" s="55"/>
      <c r="J76" s="55"/>
      <c r="K76" s="55"/>
      <c r="L76" s="55"/>
      <c r="M76" s="55"/>
      <c r="N76" s="55"/>
      <c r="O76" s="55"/>
      <c r="P76" s="55"/>
      <c r="Q76" s="56"/>
      <c r="R76" s="56"/>
      <c r="S76" s="56"/>
      <c r="T76" s="56"/>
      <c r="U76" s="56"/>
      <c r="V76" s="56"/>
      <c r="W76" s="56"/>
      <c r="X76" s="56"/>
      <c r="Y76" s="56"/>
      <c r="Z76" s="59"/>
    </row>
    <row r="77">
      <c r="A77" s="55"/>
      <c r="B77" s="55"/>
      <c r="C77" s="55"/>
      <c r="D77" s="55"/>
      <c r="E77" s="55"/>
      <c r="F77" s="55"/>
      <c r="G77" s="55"/>
      <c r="H77" s="55"/>
      <c r="I77" s="55"/>
      <c r="J77" s="55"/>
      <c r="K77" s="55"/>
      <c r="L77" s="55"/>
      <c r="M77" s="55"/>
      <c r="N77" s="55"/>
      <c r="O77" s="55"/>
      <c r="P77" s="55"/>
      <c r="Q77" s="56"/>
      <c r="R77" s="56"/>
      <c r="S77" s="56"/>
      <c r="T77" s="56"/>
      <c r="U77" s="56"/>
      <c r="V77" s="56"/>
      <c r="W77" s="56"/>
      <c r="X77" s="56"/>
      <c r="Y77" s="56"/>
      <c r="Z77" s="59"/>
    </row>
    <row r="78">
      <c r="A78" s="55"/>
      <c r="B78" s="55"/>
      <c r="C78" s="55"/>
      <c r="D78" s="55"/>
      <c r="E78" s="55"/>
      <c r="F78" s="55"/>
      <c r="G78" s="55"/>
      <c r="H78" s="55"/>
      <c r="I78" s="55"/>
      <c r="J78" s="55"/>
      <c r="K78" s="55"/>
      <c r="L78" s="55"/>
      <c r="M78" s="55"/>
      <c r="N78" s="55"/>
      <c r="O78" s="55"/>
      <c r="P78" s="55"/>
      <c r="Q78" s="56"/>
      <c r="R78" s="56"/>
      <c r="S78" s="56"/>
      <c r="T78" s="56"/>
      <c r="U78" s="56"/>
      <c r="V78" s="56"/>
      <c r="W78" s="56"/>
      <c r="X78" s="56"/>
      <c r="Y78" s="56"/>
      <c r="Z78" s="59"/>
    </row>
    <row r="79">
      <c r="A79" s="55"/>
      <c r="B79" s="55"/>
      <c r="C79" s="55"/>
      <c r="D79" s="55"/>
      <c r="E79" s="55"/>
      <c r="F79" s="55"/>
      <c r="G79" s="55"/>
      <c r="H79" s="55"/>
      <c r="I79" s="55"/>
      <c r="J79" s="55"/>
      <c r="K79" s="55"/>
      <c r="L79" s="55"/>
      <c r="M79" s="55"/>
      <c r="N79" s="55"/>
      <c r="O79" s="55"/>
      <c r="P79" s="55"/>
      <c r="Q79" s="56"/>
      <c r="R79" s="56"/>
      <c r="S79" s="56"/>
      <c r="T79" s="56"/>
      <c r="U79" s="56"/>
      <c r="V79" s="56"/>
      <c r="W79" s="56"/>
      <c r="X79" s="56"/>
      <c r="Y79" s="56"/>
      <c r="Z79" s="59"/>
    </row>
    <row r="80">
      <c r="A80" s="55"/>
      <c r="B80" s="55"/>
      <c r="C80" s="55"/>
      <c r="D80" s="55"/>
      <c r="E80" s="55"/>
      <c r="F80" s="55"/>
      <c r="G80" s="55"/>
      <c r="H80" s="55"/>
      <c r="I80" s="55"/>
      <c r="J80" s="55"/>
      <c r="K80" s="55"/>
      <c r="L80" s="55"/>
      <c r="M80" s="55"/>
      <c r="N80" s="55"/>
      <c r="O80" s="55"/>
      <c r="P80" s="55"/>
      <c r="Q80" s="56"/>
      <c r="R80" s="56"/>
      <c r="S80" s="56"/>
      <c r="T80" s="56"/>
      <c r="U80" s="56"/>
      <c r="V80" s="56"/>
      <c r="W80" s="56"/>
      <c r="X80" s="56"/>
      <c r="Y80" s="56"/>
      <c r="Z80" s="59"/>
    </row>
    <row r="81">
      <c r="A81" s="55"/>
      <c r="B81" s="55"/>
      <c r="C81" s="55"/>
      <c r="D81" s="55"/>
      <c r="E81" s="55"/>
      <c r="F81" s="55"/>
      <c r="G81" s="55"/>
      <c r="H81" s="55"/>
      <c r="I81" s="55"/>
      <c r="J81" s="55"/>
      <c r="K81" s="55"/>
      <c r="L81" s="55"/>
      <c r="M81" s="55"/>
      <c r="N81" s="55"/>
      <c r="O81" s="55"/>
      <c r="P81" s="55"/>
      <c r="Q81" s="56"/>
      <c r="R81" s="56"/>
      <c r="S81" s="56"/>
      <c r="T81" s="56"/>
      <c r="U81" s="56"/>
      <c r="V81" s="56"/>
      <c r="W81" s="56"/>
      <c r="X81" s="56"/>
      <c r="Y81" s="56"/>
      <c r="Z81" s="59"/>
    </row>
    <row r="82">
      <c r="A82" s="55"/>
      <c r="B82" s="55"/>
      <c r="C82" s="55"/>
      <c r="D82" s="55"/>
      <c r="E82" s="55"/>
      <c r="F82" s="55"/>
      <c r="G82" s="55"/>
      <c r="H82" s="55"/>
      <c r="I82" s="55"/>
      <c r="J82" s="55"/>
      <c r="K82" s="55"/>
      <c r="L82" s="55"/>
      <c r="M82" s="55"/>
      <c r="N82" s="55"/>
      <c r="O82" s="55"/>
      <c r="P82" s="55"/>
      <c r="Q82" s="56"/>
      <c r="R82" s="56"/>
      <c r="S82" s="56"/>
      <c r="T82" s="56"/>
      <c r="U82" s="56"/>
      <c r="V82" s="56"/>
      <c r="W82" s="56"/>
      <c r="X82" s="56"/>
      <c r="Y82" s="56"/>
      <c r="Z82" s="59"/>
    </row>
    <row r="83">
      <c r="A83" s="55"/>
      <c r="B83" s="55"/>
      <c r="C83" s="55"/>
      <c r="D83" s="55"/>
      <c r="E83" s="55"/>
      <c r="F83" s="55"/>
      <c r="G83" s="55"/>
      <c r="H83" s="55"/>
      <c r="I83" s="55"/>
      <c r="J83" s="55"/>
      <c r="K83" s="55"/>
      <c r="L83" s="55"/>
      <c r="M83" s="55"/>
      <c r="N83" s="55"/>
      <c r="O83" s="55"/>
      <c r="P83" s="55"/>
      <c r="Q83" s="56"/>
      <c r="R83" s="56"/>
      <c r="S83" s="56"/>
      <c r="T83" s="56"/>
      <c r="U83" s="56"/>
      <c r="V83" s="56"/>
      <c r="W83" s="56"/>
      <c r="X83" s="56"/>
      <c r="Y83" s="56"/>
      <c r="Z83" s="59"/>
    </row>
    <row r="84">
      <c r="A84" s="55"/>
      <c r="B84" s="55"/>
      <c r="C84" s="55"/>
      <c r="D84" s="55"/>
      <c r="E84" s="55"/>
      <c r="F84" s="55"/>
      <c r="G84" s="55"/>
      <c r="H84" s="55"/>
      <c r="I84" s="55"/>
      <c r="J84" s="55"/>
      <c r="K84" s="55"/>
      <c r="L84" s="55"/>
      <c r="M84" s="55"/>
      <c r="N84" s="55"/>
      <c r="O84" s="55"/>
      <c r="P84" s="55"/>
      <c r="Q84" s="56"/>
      <c r="R84" s="56"/>
      <c r="S84" s="56"/>
      <c r="T84" s="56"/>
      <c r="U84" s="56"/>
      <c r="V84" s="56"/>
      <c r="W84" s="56"/>
      <c r="X84" s="56"/>
      <c r="Y84" s="56"/>
      <c r="Z84" s="59"/>
    </row>
    <row r="85">
      <c r="A85" s="55"/>
      <c r="B85" s="55"/>
      <c r="C85" s="55"/>
      <c r="D85" s="55"/>
      <c r="E85" s="55"/>
      <c r="F85" s="55"/>
      <c r="G85" s="55"/>
      <c r="H85" s="55"/>
      <c r="I85" s="55"/>
      <c r="J85" s="55"/>
      <c r="K85" s="55"/>
      <c r="L85" s="55"/>
      <c r="M85" s="55"/>
      <c r="N85" s="55"/>
      <c r="O85" s="55"/>
      <c r="P85" s="55"/>
      <c r="Q85" s="56"/>
      <c r="R85" s="56"/>
      <c r="S85" s="56"/>
      <c r="T85" s="56"/>
      <c r="U85" s="56"/>
      <c r="V85" s="56"/>
      <c r="W85" s="56"/>
      <c r="X85" s="56"/>
      <c r="Y85" s="56"/>
      <c r="Z85" s="59"/>
    </row>
    <row r="86">
      <c r="A86" s="55"/>
      <c r="B86" s="55"/>
      <c r="C86" s="55"/>
      <c r="D86" s="55"/>
      <c r="E86" s="55"/>
      <c r="F86" s="55"/>
      <c r="G86" s="55"/>
      <c r="H86" s="55"/>
      <c r="I86" s="55"/>
      <c r="J86" s="55"/>
      <c r="K86" s="55"/>
      <c r="L86" s="55"/>
      <c r="M86" s="55"/>
      <c r="N86" s="55"/>
      <c r="O86" s="55"/>
      <c r="P86" s="55"/>
      <c r="Q86" s="56"/>
      <c r="R86" s="56"/>
      <c r="S86" s="56"/>
      <c r="T86" s="56"/>
      <c r="U86" s="56"/>
      <c r="V86" s="56"/>
      <c r="W86" s="56"/>
      <c r="X86" s="56"/>
      <c r="Y86" s="56"/>
      <c r="Z86" s="59"/>
    </row>
    <row r="87">
      <c r="A87" s="55"/>
      <c r="B87" s="55"/>
      <c r="C87" s="55"/>
      <c r="D87" s="55"/>
      <c r="E87" s="55"/>
      <c r="F87" s="55"/>
      <c r="G87" s="55"/>
      <c r="H87" s="55"/>
      <c r="I87" s="55"/>
      <c r="J87" s="55"/>
      <c r="K87" s="55"/>
      <c r="L87" s="55"/>
      <c r="M87" s="55"/>
      <c r="N87" s="55"/>
      <c r="O87" s="55"/>
      <c r="P87" s="55"/>
      <c r="Q87" s="56"/>
      <c r="R87" s="56"/>
      <c r="S87" s="56"/>
      <c r="T87" s="56"/>
      <c r="U87" s="56"/>
      <c r="V87" s="56"/>
      <c r="W87" s="56"/>
      <c r="X87" s="56"/>
      <c r="Y87" s="56"/>
      <c r="Z87" s="59"/>
    </row>
    <row r="88">
      <c r="A88" s="55"/>
      <c r="B88" s="55"/>
      <c r="C88" s="55"/>
      <c r="D88" s="55"/>
      <c r="E88" s="55"/>
      <c r="F88" s="55"/>
      <c r="G88" s="55"/>
      <c r="H88" s="55"/>
      <c r="I88" s="55"/>
      <c r="J88" s="55"/>
      <c r="K88" s="55"/>
      <c r="L88" s="55"/>
      <c r="M88" s="55"/>
      <c r="N88" s="55"/>
      <c r="O88" s="55"/>
      <c r="P88" s="55"/>
      <c r="Q88" s="56"/>
      <c r="R88" s="56"/>
      <c r="S88" s="56"/>
      <c r="T88" s="56"/>
      <c r="U88" s="56"/>
      <c r="V88" s="56"/>
      <c r="W88" s="56"/>
      <c r="X88" s="56"/>
      <c r="Y88" s="56"/>
      <c r="Z88" s="59"/>
    </row>
    <row r="89">
      <c r="A89" s="55"/>
      <c r="B89" s="55"/>
      <c r="C89" s="55"/>
      <c r="D89" s="55"/>
      <c r="E89" s="55"/>
      <c r="F89" s="55"/>
      <c r="G89" s="55"/>
      <c r="H89" s="55"/>
      <c r="I89" s="55"/>
      <c r="J89" s="55"/>
      <c r="K89" s="55"/>
      <c r="L89" s="55"/>
      <c r="M89" s="55"/>
      <c r="N89" s="55"/>
      <c r="O89" s="55"/>
      <c r="P89" s="55"/>
      <c r="Q89" s="56"/>
      <c r="R89" s="56"/>
      <c r="S89" s="56"/>
      <c r="T89" s="56"/>
      <c r="U89" s="56"/>
      <c r="V89" s="56"/>
      <c r="W89" s="56"/>
      <c r="X89" s="56"/>
      <c r="Y89" s="56"/>
      <c r="Z89" s="59"/>
    </row>
    <row r="90">
      <c r="A90" s="55"/>
      <c r="B90" s="55"/>
      <c r="C90" s="55"/>
      <c r="D90" s="55"/>
      <c r="E90" s="55"/>
      <c r="F90" s="55"/>
      <c r="G90" s="55"/>
      <c r="H90" s="55"/>
      <c r="I90" s="55"/>
      <c r="J90" s="55"/>
      <c r="K90" s="55"/>
      <c r="L90" s="55"/>
      <c r="M90" s="55"/>
      <c r="N90" s="55"/>
      <c r="O90" s="55"/>
      <c r="P90" s="55"/>
      <c r="Q90" s="56"/>
      <c r="R90" s="56"/>
      <c r="S90" s="56"/>
      <c r="T90" s="56"/>
      <c r="U90" s="56"/>
      <c r="V90" s="56"/>
      <c r="W90" s="56"/>
      <c r="X90" s="56"/>
      <c r="Y90" s="56"/>
      <c r="Z90" s="59"/>
    </row>
    <row r="91">
      <c r="A91" s="55"/>
      <c r="B91" s="55"/>
      <c r="C91" s="55"/>
      <c r="D91" s="55"/>
      <c r="E91" s="55"/>
      <c r="F91" s="55"/>
      <c r="G91" s="55"/>
      <c r="H91" s="55"/>
      <c r="I91" s="55"/>
      <c r="J91" s="55"/>
      <c r="K91" s="55"/>
      <c r="L91" s="55"/>
      <c r="M91" s="55"/>
      <c r="N91" s="55"/>
      <c r="O91" s="55"/>
      <c r="P91" s="55"/>
      <c r="Q91" s="56"/>
      <c r="R91" s="56"/>
      <c r="S91" s="56"/>
      <c r="T91" s="56"/>
      <c r="U91" s="56"/>
      <c r="V91" s="56"/>
      <c r="W91" s="56"/>
      <c r="X91" s="56"/>
      <c r="Y91" s="56"/>
      <c r="Z91" s="59"/>
    </row>
    <row r="92">
      <c r="A92" s="55"/>
      <c r="B92" s="55"/>
      <c r="C92" s="55"/>
      <c r="D92" s="55"/>
      <c r="E92" s="55"/>
      <c r="F92" s="55"/>
      <c r="G92" s="55"/>
      <c r="H92" s="55"/>
      <c r="I92" s="55"/>
      <c r="J92" s="55"/>
      <c r="K92" s="55"/>
      <c r="L92" s="55"/>
      <c r="M92" s="55"/>
      <c r="N92" s="55"/>
      <c r="O92" s="55"/>
      <c r="P92" s="55"/>
      <c r="Q92" s="56"/>
      <c r="R92" s="56"/>
      <c r="S92" s="56"/>
      <c r="T92" s="56"/>
      <c r="U92" s="56"/>
      <c r="V92" s="56"/>
      <c r="W92" s="56"/>
      <c r="X92" s="56"/>
      <c r="Y92" s="56"/>
      <c r="Z92" s="59"/>
    </row>
    <row r="93">
      <c r="A93" s="55"/>
      <c r="B93" s="55"/>
      <c r="C93" s="55"/>
      <c r="D93" s="55"/>
      <c r="E93" s="55"/>
      <c r="F93" s="55"/>
      <c r="G93" s="55"/>
      <c r="H93" s="55"/>
      <c r="I93" s="55"/>
      <c r="J93" s="55"/>
      <c r="K93" s="55"/>
      <c r="L93" s="55"/>
      <c r="M93" s="55"/>
      <c r="N93" s="55"/>
      <c r="O93" s="55"/>
      <c r="P93" s="55"/>
      <c r="Q93" s="56"/>
      <c r="R93" s="56"/>
      <c r="S93" s="56"/>
      <c r="T93" s="56"/>
      <c r="U93" s="56"/>
      <c r="V93" s="56"/>
      <c r="W93" s="56"/>
      <c r="X93" s="56"/>
      <c r="Y93" s="56"/>
      <c r="Z93" s="59"/>
    </row>
    <row r="94">
      <c r="A94" s="55"/>
      <c r="B94" s="55"/>
      <c r="C94" s="55"/>
      <c r="D94" s="55"/>
      <c r="E94" s="55"/>
      <c r="F94" s="55"/>
      <c r="G94" s="55"/>
      <c r="H94" s="55"/>
      <c r="I94" s="55"/>
      <c r="J94" s="55"/>
      <c r="K94" s="55"/>
      <c r="L94" s="55"/>
      <c r="M94" s="55"/>
      <c r="N94" s="55"/>
      <c r="O94" s="55"/>
      <c r="P94" s="55"/>
      <c r="Q94" s="56"/>
      <c r="R94" s="56"/>
      <c r="S94" s="56"/>
      <c r="T94" s="56"/>
      <c r="U94" s="56"/>
      <c r="V94" s="56"/>
      <c r="W94" s="56"/>
      <c r="X94" s="56"/>
      <c r="Y94" s="56"/>
      <c r="Z94" s="59"/>
    </row>
    <row r="95">
      <c r="A95" s="55"/>
      <c r="B95" s="55"/>
      <c r="C95" s="55"/>
      <c r="D95" s="55"/>
      <c r="E95" s="55"/>
      <c r="F95" s="55"/>
      <c r="G95" s="55"/>
      <c r="H95" s="55"/>
      <c r="I95" s="55"/>
      <c r="J95" s="55"/>
      <c r="K95" s="55"/>
      <c r="L95" s="55"/>
      <c r="M95" s="55"/>
      <c r="N95" s="55"/>
      <c r="O95" s="55"/>
      <c r="P95" s="55"/>
      <c r="Q95" s="56"/>
      <c r="R95" s="56"/>
      <c r="S95" s="56"/>
      <c r="T95" s="56"/>
      <c r="U95" s="56"/>
      <c r="V95" s="56"/>
      <c r="W95" s="56"/>
      <c r="X95" s="56"/>
      <c r="Y95" s="56"/>
      <c r="Z95" s="59"/>
    </row>
    <row r="96">
      <c r="A96" s="55"/>
      <c r="B96" s="55"/>
      <c r="C96" s="55"/>
      <c r="D96" s="55"/>
      <c r="E96" s="55"/>
      <c r="F96" s="55"/>
      <c r="G96" s="55"/>
      <c r="H96" s="55"/>
      <c r="I96" s="55"/>
      <c r="J96" s="55"/>
      <c r="K96" s="55"/>
      <c r="L96" s="55"/>
      <c r="M96" s="55"/>
      <c r="N96" s="55"/>
      <c r="O96" s="55"/>
      <c r="P96" s="55"/>
      <c r="Q96" s="56"/>
      <c r="R96" s="56"/>
      <c r="S96" s="56"/>
      <c r="T96" s="56"/>
      <c r="U96" s="56"/>
      <c r="V96" s="56"/>
      <c r="W96" s="56"/>
      <c r="X96" s="56"/>
      <c r="Y96" s="56"/>
      <c r="Z96" s="59"/>
    </row>
    <row r="97">
      <c r="A97" s="55"/>
      <c r="B97" s="55"/>
      <c r="C97" s="55"/>
      <c r="D97" s="55"/>
      <c r="E97" s="55"/>
      <c r="F97" s="55"/>
      <c r="G97" s="55"/>
      <c r="H97" s="55"/>
      <c r="I97" s="55"/>
      <c r="J97" s="55"/>
      <c r="K97" s="55"/>
      <c r="L97" s="55"/>
      <c r="M97" s="55"/>
      <c r="N97" s="55"/>
      <c r="O97" s="55"/>
      <c r="P97" s="55"/>
      <c r="Q97" s="56"/>
      <c r="R97" s="56"/>
      <c r="S97" s="56"/>
      <c r="T97" s="56"/>
      <c r="U97" s="56"/>
      <c r="V97" s="56"/>
      <c r="W97" s="56"/>
      <c r="X97" s="56"/>
      <c r="Y97" s="56"/>
      <c r="Z97" s="59"/>
    </row>
    <row r="98">
      <c r="A98" s="55"/>
      <c r="B98" s="55"/>
      <c r="C98" s="55"/>
      <c r="D98" s="55"/>
      <c r="E98" s="55"/>
      <c r="F98" s="55"/>
      <c r="G98" s="55"/>
      <c r="H98" s="55"/>
      <c r="I98" s="55"/>
      <c r="J98" s="55"/>
      <c r="K98" s="55"/>
      <c r="L98" s="55"/>
      <c r="M98" s="55"/>
      <c r="N98" s="55"/>
      <c r="O98" s="55"/>
      <c r="P98" s="55"/>
      <c r="Q98" s="56"/>
      <c r="R98" s="56"/>
      <c r="S98" s="56"/>
      <c r="T98" s="56"/>
      <c r="U98" s="56"/>
      <c r="V98" s="56"/>
      <c r="W98" s="56"/>
      <c r="X98" s="56"/>
      <c r="Y98" s="56"/>
      <c r="Z98" s="59"/>
    </row>
    <row r="99">
      <c r="A99" s="55"/>
      <c r="B99" s="55"/>
      <c r="C99" s="55"/>
      <c r="D99" s="55"/>
      <c r="E99" s="55"/>
      <c r="F99" s="55"/>
      <c r="G99" s="55"/>
      <c r="H99" s="55"/>
      <c r="I99" s="55"/>
      <c r="J99" s="55"/>
      <c r="K99" s="55"/>
      <c r="L99" s="55"/>
      <c r="M99" s="55"/>
      <c r="N99" s="55"/>
      <c r="O99" s="55"/>
      <c r="P99" s="55"/>
      <c r="Q99" s="56"/>
      <c r="R99" s="56"/>
      <c r="S99" s="56"/>
      <c r="T99" s="56"/>
      <c r="U99" s="56"/>
      <c r="V99" s="56"/>
      <c r="W99" s="56"/>
      <c r="X99" s="56"/>
      <c r="Y99" s="56"/>
      <c r="Z99" s="59"/>
    </row>
    <row r="100">
      <c r="A100" s="55"/>
      <c r="B100" s="55"/>
      <c r="C100" s="55"/>
      <c r="D100" s="55"/>
      <c r="E100" s="55"/>
      <c r="F100" s="55"/>
      <c r="G100" s="55"/>
      <c r="H100" s="55"/>
      <c r="I100" s="55"/>
      <c r="J100" s="55"/>
      <c r="K100" s="55"/>
      <c r="L100" s="55"/>
      <c r="M100" s="55"/>
      <c r="N100" s="55"/>
      <c r="O100" s="55"/>
      <c r="P100" s="55"/>
      <c r="Q100" s="56"/>
      <c r="R100" s="56"/>
      <c r="S100" s="56"/>
      <c r="T100" s="56"/>
      <c r="U100" s="56"/>
      <c r="V100" s="56"/>
      <c r="W100" s="56"/>
      <c r="X100" s="56"/>
      <c r="Y100" s="56"/>
      <c r="Z100" s="59"/>
    </row>
    <row r="101">
      <c r="A101" s="55"/>
      <c r="B101" s="55"/>
      <c r="C101" s="55"/>
      <c r="D101" s="55"/>
      <c r="E101" s="55"/>
      <c r="F101" s="55"/>
      <c r="G101" s="55"/>
      <c r="H101" s="55"/>
      <c r="I101" s="55"/>
      <c r="J101" s="55"/>
      <c r="K101" s="55"/>
      <c r="L101" s="55"/>
      <c r="M101" s="55"/>
      <c r="N101" s="55"/>
      <c r="O101" s="55"/>
      <c r="P101" s="55"/>
      <c r="Q101" s="56"/>
      <c r="R101" s="56"/>
      <c r="S101" s="56"/>
      <c r="T101" s="56"/>
      <c r="U101" s="56"/>
      <c r="V101" s="56"/>
      <c r="W101" s="56"/>
      <c r="X101" s="56"/>
      <c r="Y101" s="56"/>
      <c r="Z101" s="59"/>
    </row>
    <row r="102">
      <c r="A102" s="55"/>
      <c r="B102" s="55"/>
      <c r="C102" s="55"/>
      <c r="D102" s="55"/>
      <c r="E102" s="55"/>
      <c r="F102" s="55"/>
      <c r="G102" s="55"/>
      <c r="H102" s="55"/>
      <c r="I102" s="55"/>
      <c r="J102" s="55"/>
      <c r="K102" s="55"/>
      <c r="L102" s="55"/>
      <c r="M102" s="55"/>
      <c r="N102" s="55"/>
      <c r="O102" s="55"/>
      <c r="P102" s="55"/>
      <c r="Q102" s="56"/>
      <c r="R102" s="56"/>
      <c r="S102" s="56"/>
      <c r="T102" s="56"/>
      <c r="U102" s="56"/>
      <c r="V102" s="56"/>
      <c r="W102" s="56"/>
      <c r="X102" s="56"/>
      <c r="Y102" s="56"/>
      <c r="Z102" s="59"/>
    </row>
    <row r="103">
      <c r="A103" s="55"/>
      <c r="B103" s="55"/>
      <c r="C103" s="55"/>
      <c r="D103" s="55"/>
      <c r="E103" s="55"/>
      <c r="F103" s="55"/>
      <c r="G103" s="55"/>
      <c r="H103" s="55"/>
      <c r="I103" s="55"/>
      <c r="J103" s="55"/>
      <c r="K103" s="55"/>
      <c r="L103" s="55"/>
      <c r="M103" s="55"/>
      <c r="N103" s="55"/>
      <c r="O103" s="55"/>
      <c r="P103" s="55"/>
      <c r="Q103" s="56"/>
      <c r="R103" s="56"/>
      <c r="S103" s="56"/>
      <c r="T103" s="56"/>
      <c r="U103" s="56"/>
      <c r="V103" s="56"/>
      <c r="W103" s="56"/>
      <c r="X103" s="56"/>
      <c r="Y103" s="56"/>
      <c r="Z103" s="59"/>
    </row>
    <row r="104">
      <c r="A104" s="55"/>
      <c r="B104" s="55"/>
      <c r="C104" s="55"/>
      <c r="D104" s="55"/>
      <c r="E104" s="55"/>
      <c r="F104" s="55"/>
      <c r="G104" s="55"/>
      <c r="H104" s="55"/>
      <c r="I104" s="55"/>
      <c r="J104" s="55"/>
      <c r="K104" s="55"/>
      <c r="L104" s="55"/>
      <c r="M104" s="55"/>
      <c r="N104" s="55"/>
      <c r="O104" s="55"/>
      <c r="P104" s="55"/>
      <c r="Q104" s="56"/>
      <c r="R104" s="56"/>
      <c r="S104" s="56"/>
      <c r="T104" s="56"/>
      <c r="U104" s="56"/>
      <c r="V104" s="56"/>
      <c r="W104" s="56"/>
      <c r="X104" s="56"/>
      <c r="Y104" s="56"/>
      <c r="Z104" s="59"/>
    </row>
    <row r="105">
      <c r="A105" s="55"/>
      <c r="B105" s="55"/>
      <c r="C105" s="55"/>
      <c r="D105" s="55"/>
      <c r="E105" s="55"/>
      <c r="F105" s="55"/>
      <c r="G105" s="55"/>
      <c r="H105" s="55"/>
      <c r="I105" s="55"/>
      <c r="J105" s="55"/>
      <c r="K105" s="55"/>
      <c r="L105" s="55"/>
      <c r="M105" s="55"/>
      <c r="N105" s="55"/>
      <c r="O105" s="55"/>
      <c r="P105" s="55"/>
      <c r="Q105" s="56"/>
      <c r="R105" s="56"/>
      <c r="S105" s="56"/>
      <c r="T105" s="56"/>
      <c r="U105" s="56"/>
      <c r="V105" s="56"/>
      <c r="W105" s="56"/>
      <c r="X105" s="56"/>
      <c r="Y105" s="56"/>
      <c r="Z105" s="59"/>
    </row>
    <row r="106">
      <c r="A106" s="55"/>
      <c r="B106" s="55"/>
      <c r="C106" s="55"/>
      <c r="D106" s="55"/>
      <c r="E106" s="55"/>
      <c r="F106" s="55"/>
      <c r="G106" s="55"/>
      <c r="H106" s="55"/>
      <c r="I106" s="55"/>
      <c r="J106" s="55"/>
      <c r="K106" s="55"/>
      <c r="L106" s="55"/>
      <c r="M106" s="55"/>
      <c r="N106" s="55"/>
      <c r="O106" s="55"/>
      <c r="P106" s="55"/>
      <c r="Q106" s="56"/>
      <c r="R106" s="56"/>
      <c r="S106" s="56"/>
      <c r="T106" s="56"/>
      <c r="U106" s="56"/>
      <c r="V106" s="56"/>
      <c r="W106" s="56"/>
      <c r="X106" s="56"/>
      <c r="Y106" s="56"/>
      <c r="Z106" s="59"/>
    </row>
    <row r="107">
      <c r="A107" s="55"/>
      <c r="B107" s="55"/>
      <c r="C107" s="55"/>
      <c r="D107" s="55"/>
      <c r="E107" s="55"/>
      <c r="F107" s="55"/>
      <c r="G107" s="55"/>
      <c r="H107" s="55"/>
      <c r="I107" s="55"/>
      <c r="J107" s="55"/>
      <c r="K107" s="55"/>
      <c r="L107" s="55"/>
      <c r="M107" s="55"/>
      <c r="N107" s="55"/>
      <c r="O107" s="55"/>
      <c r="P107" s="55"/>
      <c r="Q107" s="56"/>
      <c r="R107" s="56"/>
      <c r="S107" s="56"/>
      <c r="T107" s="56"/>
      <c r="U107" s="56"/>
      <c r="V107" s="56"/>
      <c r="W107" s="56"/>
      <c r="X107" s="56"/>
      <c r="Y107" s="56"/>
      <c r="Z107" s="59"/>
    </row>
    <row r="108">
      <c r="A108" s="55"/>
      <c r="B108" s="55"/>
      <c r="C108" s="55"/>
      <c r="D108" s="55"/>
      <c r="E108" s="55"/>
      <c r="F108" s="55"/>
      <c r="G108" s="55"/>
      <c r="H108" s="55"/>
      <c r="I108" s="55"/>
      <c r="J108" s="55"/>
      <c r="K108" s="55"/>
      <c r="L108" s="55"/>
      <c r="M108" s="55"/>
      <c r="N108" s="55"/>
      <c r="O108" s="55"/>
      <c r="P108" s="55"/>
      <c r="Q108" s="56"/>
      <c r="R108" s="56"/>
      <c r="S108" s="56"/>
      <c r="T108" s="56"/>
      <c r="U108" s="56"/>
      <c r="V108" s="56"/>
      <c r="W108" s="56"/>
      <c r="X108" s="56"/>
      <c r="Y108" s="56"/>
      <c r="Z108" s="59"/>
    </row>
    <row r="109">
      <c r="A109" s="55"/>
      <c r="B109" s="55"/>
      <c r="C109" s="55"/>
      <c r="D109" s="55"/>
      <c r="E109" s="55"/>
      <c r="F109" s="55"/>
      <c r="G109" s="55"/>
      <c r="H109" s="55"/>
      <c r="I109" s="55"/>
      <c r="J109" s="55"/>
      <c r="K109" s="55"/>
      <c r="L109" s="55"/>
      <c r="M109" s="55"/>
      <c r="N109" s="55"/>
      <c r="O109" s="55"/>
      <c r="P109" s="55"/>
      <c r="Q109" s="56"/>
      <c r="R109" s="56"/>
      <c r="S109" s="56"/>
      <c r="T109" s="56"/>
      <c r="U109" s="56"/>
      <c r="V109" s="56"/>
      <c r="W109" s="56"/>
      <c r="X109" s="56"/>
      <c r="Y109" s="56"/>
      <c r="Z109" s="59"/>
    </row>
    <row r="110">
      <c r="A110" s="55"/>
      <c r="B110" s="55"/>
      <c r="C110" s="55"/>
      <c r="D110" s="55"/>
      <c r="E110" s="55"/>
      <c r="F110" s="55"/>
      <c r="G110" s="55"/>
      <c r="H110" s="55"/>
      <c r="I110" s="55"/>
      <c r="J110" s="55"/>
      <c r="K110" s="55"/>
      <c r="L110" s="55"/>
      <c r="M110" s="55"/>
      <c r="N110" s="55"/>
      <c r="O110" s="55"/>
      <c r="P110" s="55"/>
      <c r="Q110" s="56"/>
      <c r="R110" s="56"/>
      <c r="S110" s="56"/>
      <c r="T110" s="56"/>
      <c r="U110" s="56"/>
      <c r="V110" s="56"/>
      <c r="W110" s="56"/>
      <c r="X110" s="56"/>
      <c r="Y110" s="56"/>
      <c r="Z110" s="59"/>
    </row>
    <row r="111">
      <c r="A111" s="55"/>
      <c r="B111" s="55"/>
      <c r="C111" s="55"/>
      <c r="D111" s="55"/>
      <c r="E111" s="55"/>
      <c r="F111" s="55"/>
      <c r="G111" s="55"/>
      <c r="H111" s="55"/>
      <c r="I111" s="55"/>
      <c r="J111" s="55"/>
      <c r="K111" s="55"/>
      <c r="L111" s="55"/>
      <c r="M111" s="55"/>
      <c r="N111" s="55"/>
      <c r="O111" s="55"/>
      <c r="P111" s="55"/>
      <c r="Q111" s="56"/>
      <c r="R111" s="56"/>
      <c r="S111" s="56"/>
      <c r="T111" s="56"/>
      <c r="U111" s="56"/>
      <c r="V111" s="56"/>
      <c r="W111" s="56"/>
      <c r="X111" s="56"/>
      <c r="Y111" s="56"/>
      <c r="Z111" s="59"/>
    </row>
    <row r="112">
      <c r="A112" s="55"/>
      <c r="B112" s="55"/>
      <c r="C112" s="55"/>
      <c r="D112" s="55"/>
      <c r="E112" s="55"/>
      <c r="F112" s="55"/>
      <c r="G112" s="55"/>
      <c r="H112" s="55"/>
      <c r="I112" s="55"/>
      <c r="J112" s="55"/>
      <c r="K112" s="55"/>
      <c r="L112" s="55"/>
      <c r="M112" s="55"/>
      <c r="N112" s="55"/>
      <c r="O112" s="55"/>
      <c r="P112" s="55"/>
      <c r="Q112" s="56"/>
      <c r="R112" s="56"/>
      <c r="S112" s="56"/>
      <c r="T112" s="56"/>
      <c r="U112" s="56"/>
      <c r="V112" s="56"/>
      <c r="W112" s="56"/>
      <c r="X112" s="56"/>
      <c r="Y112" s="56"/>
      <c r="Z112" s="59"/>
    </row>
    <row r="113">
      <c r="A113" s="55"/>
      <c r="B113" s="55"/>
      <c r="C113" s="55"/>
      <c r="D113" s="55"/>
      <c r="E113" s="55"/>
      <c r="F113" s="55"/>
      <c r="G113" s="55"/>
      <c r="H113" s="55"/>
      <c r="I113" s="55"/>
      <c r="J113" s="55"/>
      <c r="K113" s="55"/>
      <c r="L113" s="55"/>
      <c r="M113" s="55"/>
      <c r="N113" s="55"/>
      <c r="O113" s="55"/>
      <c r="P113" s="55"/>
      <c r="Q113" s="56"/>
      <c r="R113" s="56"/>
      <c r="S113" s="56"/>
      <c r="T113" s="56"/>
      <c r="U113" s="56"/>
      <c r="V113" s="56"/>
      <c r="W113" s="56"/>
      <c r="X113" s="56"/>
      <c r="Y113" s="56"/>
      <c r="Z113" s="59"/>
    </row>
    <row r="114">
      <c r="A114" s="55"/>
      <c r="B114" s="55"/>
      <c r="C114" s="55"/>
      <c r="D114" s="55"/>
      <c r="E114" s="55"/>
      <c r="F114" s="55"/>
      <c r="G114" s="55"/>
      <c r="H114" s="55"/>
      <c r="I114" s="55"/>
      <c r="J114" s="55"/>
      <c r="K114" s="55"/>
      <c r="L114" s="55"/>
      <c r="M114" s="55"/>
      <c r="N114" s="55"/>
      <c r="O114" s="55"/>
      <c r="P114" s="55"/>
      <c r="Q114" s="56"/>
      <c r="R114" s="56"/>
      <c r="S114" s="56"/>
      <c r="T114" s="56"/>
      <c r="U114" s="56"/>
      <c r="V114" s="56"/>
      <c r="W114" s="56"/>
      <c r="X114" s="56"/>
      <c r="Y114" s="56"/>
      <c r="Z114" s="59"/>
    </row>
    <row r="115">
      <c r="A115" s="55"/>
      <c r="B115" s="55"/>
      <c r="C115" s="55"/>
      <c r="D115" s="55"/>
      <c r="E115" s="55"/>
      <c r="F115" s="55"/>
      <c r="G115" s="55"/>
      <c r="H115" s="55"/>
      <c r="I115" s="55"/>
      <c r="J115" s="55"/>
      <c r="K115" s="55"/>
      <c r="L115" s="55"/>
      <c r="M115" s="55"/>
      <c r="N115" s="55"/>
      <c r="O115" s="55"/>
      <c r="P115" s="55"/>
      <c r="Q115" s="56"/>
      <c r="R115" s="56"/>
      <c r="S115" s="56"/>
      <c r="T115" s="56"/>
      <c r="U115" s="56"/>
      <c r="V115" s="56"/>
      <c r="W115" s="56"/>
      <c r="X115" s="56"/>
      <c r="Y115" s="56"/>
      <c r="Z115" s="59"/>
    </row>
    <row r="116">
      <c r="A116" s="55"/>
      <c r="B116" s="55"/>
      <c r="C116" s="55"/>
      <c r="D116" s="55"/>
      <c r="E116" s="55"/>
      <c r="F116" s="55"/>
      <c r="G116" s="55"/>
      <c r="H116" s="55"/>
      <c r="I116" s="55"/>
      <c r="J116" s="55"/>
      <c r="K116" s="55"/>
      <c r="L116" s="55"/>
      <c r="M116" s="55"/>
      <c r="N116" s="55"/>
      <c r="O116" s="55"/>
      <c r="P116" s="55"/>
      <c r="Q116" s="56"/>
      <c r="R116" s="56"/>
      <c r="S116" s="56"/>
      <c r="T116" s="56"/>
      <c r="U116" s="56"/>
      <c r="V116" s="56"/>
      <c r="W116" s="56"/>
      <c r="X116" s="56"/>
      <c r="Y116" s="56"/>
      <c r="Z116" s="59"/>
    </row>
    <row r="117">
      <c r="A117" s="55"/>
      <c r="B117" s="55"/>
      <c r="C117" s="55"/>
      <c r="D117" s="55"/>
      <c r="E117" s="55"/>
      <c r="F117" s="55"/>
      <c r="G117" s="55"/>
      <c r="H117" s="55"/>
      <c r="I117" s="55"/>
      <c r="J117" s="55"/>
      <c r="K117" s="55"/>
      <c r="L117" s="55"/>
      <c r="M117" s="55"/>
      <c r="N117" s="55"/>
      <c r="O117" s="55"/>
      <c r="P117" s="55"/>
      <c r="Q117" s="56"/>
      <c r="R117" s="56"/>
      <c r="S117" s="56"/>
      <c r="T117" s="56"/>
      <c r="U117" s="56"/>
      <c r="V117" s="56"/>
      <c r="W117" s="56"/>
      <c r="X117" s="56"/>
      <c r="Y117" s="56"/>
      <c r="Z117" s="59"/>
    </row>
    <row r="118">
      <c r="A118" s="55"/>
      <c r="B118" s="55"/>
      <c r="C118" s="55"/>
      <c r="D118" s="55"/>
      <c r="E118" s="55"/>
      <c r="F118" s="55"/>
      <c r="G118" s="55"/>
      <c r="H118" s="55"/>
      <c r="I118" s="55"/>
      <c r="J118" s="55"/>
      <c r="K118" s="55"/>
      <c r="L118" s="55"/>
      <c r="M118" s="55"/>
      <c r="N118" s="55"/>
      <c r="O118" s="55"/>
      <c r="P118" s="55"/>
      <c r="Q118" s="56"/>
      <c r="R118" s="56"/>
      <c r="S118" s="56"/>
      <c r="T118" s="56"/>
      <c r="U118" s="56"/>
      <c r="V118" s="56"/>
      <c r="W118" s="56"/>
      <c r="X118" s="56"/>
      <c r="Y118" s="56"/>
      <c r="Z118" s="59"/>
    </row>
    <row r="119">
      <c r="A119" s="55"/>
      <c r="B119" s="55"/>
      <c r="C119" s="55"/>
      <c r="D119" s="55"/>
      <c r="E119" s="55"/>
      <c r="F119" s="55"/>
      <c r="G119" s="55"/>
      <c r="H119" s="55"/>
      <c r="I119" s="55"/>
      <c r="J119" s="55"/>
      <c r="K119" s="55"/>
      <c r="L119" s="55"/>
      <c r="M119" s="55"/>
      <c r="N119" s="55"/>
      <c r="O119" s="55"/>
      <c r="P119" s="55"/>
      <c r="Q119" s="56"/>
      <c r="R119" s="56"/>
      <c r="S119" s="56"/>
      <c r="T119" s="56"/>
      <c r="U119" s="56"/>
      <c r="V119" s="56"/>
      <c r="W119" s="56"/>
      <c r="X119" s="56"/>
      <c r="Y119" s="56"/>
      <c r="Z119" s="59"/>
    </row>
    <row r="120">
      <c r="A120" s="55"/>
      <c r="B120" s="55"/>
      <c r="C120" s="55"/>
      <c r="D120" s="55"/>
      <c r="E120" s="55"/>
      <c r="F120" s="55"/>
      <c r="G120" s="55"/>
      <c r="H120" s="55"/>
      <c r="I120" s="55"/>
      <c r="J120" s="55"/>
      <c r="K120" s="55"/>
      <c r="L120" s="55"/>
      <c r="M120" s="55"/>
      <c r="N120" s="55"/>
      <c r="O120" s="55"/>
      <c r="P120" s="55"/>
      <c r="Q120" s="56"/>
      <c r="R120" s="56"/>
      <c r="S120" s="56"/>
      <c r="T120" s="56"/>
      <c r="U120" s="56"/>
      <c r="V120" s="56"/>
      <c r="W120" s="56"/>
      <c r="X120" s="56"/>
      <c r="Y120" s="56"/>
      <c r="Z120" s="59"/>
    </row>
    <row r="121">
      <c r="A121" s="55"/>
      <c r="B121" s="55"/>
      <c r="C121" s="55"/>
      <c r="D121" s="55"/>
      <c r="E121" s="55"/>
      <c r="F121" s="55"/>
      <c r="G121" s="55"/>
      <c r="H121" s="55"/>
      <c r="I121" s="55"/>
      <c r="J121" s="55"/>
      <c r="K121" s="55"/>
      <c r="L121" s="55"/>
      <c r="M121" s="55"/>
      <c r="N121" s="55"/>
      <c r="O121" s="55"/>
      <c r="P121" s="55"/>
      <c r="Q121" s="56"/>
      <c r="R121" s="56"/>
      <c r="S121" s="56"/>
      <c r="T121" s="56"/>
      <c r="U121" s="56"/>
      <c r="V121" s="56"/>
      <c r="W121" s="56"/>
      <c r="X121" s="56"/>
      <c r="Y121" s="56"/>
      <c r="Z121" s="59"/>
    </row>
    <row r="122">
      <c r="A122" s="55"/>
      <c r="B122" s="55"/>
      <c r="C122" s="55"/>
      <c r="D122" s="55"/>
      <c r="E122" s="55"/>
      <c r="F122" s="55"/>
      <c r="G122" s="55"/>
      <c r="H122" s="55"/>
      <c r="I122" s="55"/>
      <c r="J122" s="55"/>
      <c r="K122" s="55"/>
      <c r="L122" s="55"/>
      <c r="M122" s="55"/>
      <c r="N122" s="55"/>
      <c r="O122" s="55"/>
      <c r="P122" s="55"/>
      <c r="Q122" s="56"/>
      <c r="R122" s="56"/>
      <c r="S122" s="56"/>
      <c r="T122" s="56"/>
      <c r="U122" s="56"/>
      <c r="V122" s="56"/>
      <c r="W122" s="56"/>
      <c r="X122" s="56"/>
      <c r="Y122" s="56"/>
      <c r="Z122" s="59"/>
    </row>
    <row r="123">
      <c r="A123" s="55"/>
      <c r="B123" s="55"/>
      <c r="C123" s="55"/>
      <c r="D123" s="55"/>
      <c r="E123" s="55"/>
      <c r="F123" s="55"/>
      <c r="G123" s="55"/>
      <c r="H123" s="55"/>
      <c r="I123" s="55"/>
      <c r="J123" s="55"/>
      <c r="K123" s="55"/>
      <c r="L123" s="55"/>
      <c r="M123" s="55"/>
      <c r="N123" s="55"/>
      <c r="O123" s="55"/>
      <c r="P123" s="55"/>
      <c r="Q123" s="56"/>
      <c r="R123" s="56"/>
      <c r="S123" s="56"/>
      <c r="T123" s="56"/>
      <c r="U123" s="56"/>
      <c r="V123" s="56"/>
      <c r="W123" s="56"/>
      <c r="X123" s="56"/>
      <c r="Y123" s="56"/>
      <c r="Z123" s="59"/>
    </row>
    <row r="124">
      <c r="A124" s="55"/>
      <c r="B124" s="55"/>
      <c r="C124" s="55"/>
      <c r="D124" s="55"/>
      <c r="E124" s="55"/>
      <c r="F124" s="55"/>
      <c r="G124" s="55"/>
      <c r="H124" s="55"/>
      <c r="I124" s="55"/>
      <c r="J124" s="55"/>
      <c r="K124" s="55"/>
      <c r="L124" s="55"/>
      <c r="M124" s="55"/>
      <c r="N124" s="55"/>
      <c r="O124" s="55"/>
      <c r="P124" s="55"/>
      <c r="Q124" s="56"/>
      <c r="R124" s="56"/>
      <c r="S124" s="56"/>
      <c r="T124" s="56"/>
      <c r="U124" s="56"/>
      <c r="V124" s="56"/>
      <c r="W124" s="56"/>
      <c r="X124" s="56"/>
      <c r="Y124" s="56"/>
      <c r="Z124" s="59"/>
    </row>
    <row r="125">
      <c r="A125" s="55"/>
      <c r="B125" s="55"/>
      <c r="C125" s="55"/>
      <c r="D125" s="55"/>
      <c r="E125" s="55"/>
      <c r="F125" s="55"/>
      <c r="G125" s="55"/>
      <c r="H125" s="55"/>
      <c r="I125" s="55"/>
      <c r="J125" s="55"/>
      <c r="K125" s="55"/>
      <c r="L125" s="55"/>
      <c r="M125" s="55"/>
      <c r="N125" s="55"/>
      <c r="O125" s="55"/>
      <c r="P125" s="55"/>
      <c r="Q125" s="56"/>
      <c r="R125" s="56"/>
      <c r="S125" s="56"/>
      <c r="T125" s="56"/>
      <c r="U125" s="56"/>
      <c r="V125" s="56"/>
      <c r="W125" s="56"/>
      <c r="X125" s="56"/>
      <c r="Y125" s="56"/>
      <c r="Z125" s="59"/>
    </row>
    <row r="126">
      <c r="A126" s="55"/>
      <c r="B126" s="55"/>
      <c r="C126" s="55"/>
      <c r="D126" s="55"/>
      <c r="E126" s="55"/>
      <c r="F126" s="55"/>
      <c r="G126" s="55"/>
      <c r="H126" s="55"/>
      <c r="I126" s="55"/>
      <c r="J126" s="55"/>
      <c r="K126" s="55"/>
      <c r="L126" s="55"/>
      <c r="M126" s="55"/>
      <c r="N126" s="55"/>
      <c r="O126" s="55"/>
      <c r="P126" s="55"/>
      <c r="Q126" s="56"/>
      <c r="R126" s="56"/>
      <c r="S126" s="56"/>
      <c r="T126" s="56"/>
      <c r="U126" s="56"/>
      <c r="V126" s="56"/>
      <c r="W126" s="56"/>
      <c r="X126" s="56"/>
      <c r="Y126" s="56"/>
      <c r="Z126" s="59"/>
    </row>
    <row r="127">
      <c r="A127" s="55"/>
      <c r="B127" s="55"/>
      <c r="C127" s="55"/>
      <c r="D127" s="55"/>
      <c r="E127" s="55"/>
      <c r="F127" s="55"/>
      <c r="G127" s="55"/>
      <c r="H127" s="55"/>
      <c r="I127" s="55"/>
      <c r="J127" s="55"/>
      <c r="K127" s="55"/>
      <c r="L127" s="55"/>
      <c r="M127" s="55"/>
      <c r="N127" s="55"/>
      <c r="O127" s="55"/>
      <c r="P127" s="55"/>
      <c r="Q127" s="56"/>
      <c r="R127" s="56"/>
      <c r="S127" s="56"/>
      <c r="T127" s="56"/>
      <c r="U127" s="56"/>
      <c r="V127" s="56"/>
      <c r="W127" s="56"/>
      <c r="X127" s="56"/>
      <c r="Y127" s="56"/>
      <c r="Z127" s="59"/>
    </row>
    <row r="128">
      <c r="A128" s="55"/>
      <c r="B128" s="55"/>
      <c r="C128" s="55"/>
      <c r="D128" s="55"/>
      <c r="E128" s="55"/>
      <c r="F128" s="55"/>
      <c r="G128" s="55"/>
      <c r="H128" s="55"/>
      <c r="I128" s="55"/>
      <c r="J128" s="55"/>
      <c r="K128" s="55"/>
      <c r="L128" s="55"/>
      <c r="M128" s="55"/>
      <c r="N128" s="55"/>
      <c r="O128" s="55"/>
      <c r="P128" s="55"/>
      <c r="Q128" s="56"/>
      <c r="R128" s="56"/>
      <c r="S128" s="56"/>
      <c r="T128" s="56"/>
      <c r="U128" s="56"/>
      <c r="V128" s="56"/>
      <c r="W128" s="56"/>
      <c r="X128" s="56"/>
      <c r="Y128" s="56"/>
      <c r="Z128" s="59"/>
    </row>
    <row r="129">
      <c r="A129" s="55"/>
      <c r="B129" s="55"/>
      <c r="C129" s="55"/>
      <c r="D129" s="55"/>
      <c r="E129" s="55"/>
      <c r="F129" s="55"/>
      <c r="G129" s="55"/>
      <c r="H129" s="55"/>
      <c r="I129" s="55"/>
      <c r="J129" s="55"/>
      <c r="K129" s="55"/>
      <c r="L129" s="55"/>
      <c r="M129" s="55"/>
      <c r="N129" s="55"/>
      <c r="O129" s="55"/>
      <c r="P129" s="55"/>
      <c r="Q129" s="56"/>
      <c r="R129" s="56"/>
      <c r="S129" s="56"/>
      <c r="T129" s="56"/>
      <c r="U129" s="56"/>
      <c r="V129" s="56"/>
      <c r="W129" s="56"/>
      <c r="X129" s="56"/>
      <c r="Y129" s="56"/>
      <c r="Z129" s="59"/>
    </row>
    <row r="130">
      <c r="A130" s="55"/>
      <c r="B130" s="55"/>
      <c r="C130" s="55"/>
      <c r="D130" s="55"/>
      <c r="E130" s="55"/>
      <c r="F130" s="55"/>
      <c r="G130" s="55"/>
      <c r="H130" s="55"/>
      <c r="I130" s="55"/>
      <c r="J130" s="55"/>
      <c r="K130" s="55"/>
      <c r="L130" s="55"/>
      <c r="M130" s="55"/>
      <c r="N130" s="55"/>
      <c r="O130" s="55"/>
      <c r="P130" s="55"/>
      <c r="Q130" s="56"/>
      <c r="R130" s="56"/>
      <c r="S130" s="56"/>
      <c r="T130" s="56"/>
      <c r="U130" s="56"/>
      <c r="V130" s="56"/>
      <c r="W130" s="56"/>
      <c r="X130" s="56"/>
      <c r="Y130" s="56"/>
      <c r="Z130" s="59"/>
    </row>
    <row r="131">
      <c r="A131" s="55"/>
      <c r="B131" s="55"/>
      <c r="C131" s="55"/>
      <c r="D131" s="55"/>
      <c r="E131" s="55"/>
      <c r="F131" s="55"/>
      <c r="G131" s="55"/>
      <c r="H131" s="55"/>
      <c r="I131" s="55"/>
      <c r="J131" s="55"/>
      <c r="K131" s="55"/>
      <c r="L131" s="55"/>
      <c r="M131" s="55"/>
      <c r="N131" s="55"/>
      <c r="O131" s="55"/>
      <c r="P131" s="55"/>
      <c r="Q131" s="56"/>
      <c r="R131" s="56"/>
      <c r="S131" s="56"/>
      <c r="T131" s="56"/>
      <c r="U131" s="56"/>
      <c r="V131" s="56"/>
      <c r="W131" s="56"/>
      <c r="X131" s="56"/>
      <c r="Y131" s="56"/>
      <c r="Z131" s="59"/>
    </row>
    <row r="132">
      <c r="A132" s="55"/>
      <c r="B132" s="55"/>
      <c r="C132" s="55"/>
      <c r="D132" s="55"/>
      <c r="E132" s="55"/>
      <c r="F132" s="55"/>
      <c r="G132" s="55"/>
      <c r="H132" s="55"/>
      <c r="I132" s="55"/>
      <c r="J132" s="55"/>
      <c r="K132" s="55"/>
      <c r="L132" s="55"/>
      <c r="M132" s="55"/>
      <c r="N132" s="55"/>
      <c r="O132" s="55"/>
      <c r="P132" s="55"/>
      <c r="Q132" s="56"/>
      <c r="R132" s="56"/>
      <c r="S132" s="56"/>
      <c r="T132" s="56"/>
      <c r="U132" s="56"/>
      <c r="V132" s="56"/>
      <c r="W132" s="56"/>
      <c r="X132" s="56"/>
      <c r="Y132" s="56"/>
      <c r="Z132" s="59"/>
    </row>
    <row r="133">
      <c r="A133" s="55"/>
      <c r="B133" s="55"/>
      <c r="C133" s="55"/>
      <c r="D133" s="55"/>
      <c r="E133" s="55"/>
      <c r="F133" s="55"/>
      <c r="G133" s="55"/>
      <c r="H133" s="55"/>
      <c r="I133" s="55"/>
      <c r="J133" s="55"/>
      <c r="K133" s="55"/>
      <c r="L133" s="55"/>
      <c r="M133" s="55"/>
      <c r="N133" s="55"/>
      <c r="O133" s="55"/>
      <c r="P133" s="55"/>
      <c r="Q133" s="56"/>
      <c r="R133" s="56"/>
      <c r="S133" s="56"/>
      <c r="T133" s="56"/>
      <c r="U133" s="56"/>
      <c r="V133" s="56"/>
      <c r="W133" s="56"/>
      <c r="X133" s="56"/>
      <c r="Y133" s="56"/>
      <c r="Z133" s="59"/>
    </row>
    <row r="134">
      <c r="A134" s="55"/>
      <c r="B134" s="55"/>
      <c r="C134" s="55"/>
      <c r="D134" s="55"/>
      <c r="E134" s="55"/>
      <c r="F134" s="55"/>
      <c r="G134" s="55"/>
      <c r="H134" s="55"/>
      <c r="I134" s="55"/>
      <c r="J134" s="55"/>
      <c r="K134" s="55"/>
      <c r="L134" s="55"/>
      <c r="M134" s="55"/>
      <c r="N134" s="55"/>
      <c r="O134" s="55"/>
      <c r="P134" s="55"/>
      <c r="Q134" s="56"/>
      <c r="R134" s="56"/>
      <c r="S134" s="56"/>
      <c r="T134" s="56"/>
      <c r="U134" s="56"/>
      <c r="V134" s="56"/>
      <c r="W134" s="56"/>
      <c r="X134" s="56"/>
      <c r="Y134" s="56"/>
      <c r="Z134" s="59"/>
    </row>
    <row r="135">
      <c r="A135" s="55"/>
      <c r="B135" s="55"/>
      <c r="C135" s="55"/>
      <c r="D135" s="55"/>
      <c r="E135" s="55"/>
      <c r="F135" s="55"/>
      <c r="G135" s="55"/>
      <c r="H135" s="55"/>
      <c r="I135" s="55"/>
      <c r="J135" s="55"/>
      <c r="K135" s="55"/>
      <c r="L135" s="55"/>
      <c r="M135" s="55"/>
      <c r="N135" s="55"/>
      <c r="O135" s="55"/>
      <c r="P135" s="55"/>
      <c r="Q135" s="56"/>
      <c r="R135" s="56"/>
      <c r="S135" s="56"/>
      <c r="T135" s="56"/>
      <c r="U135" s="56"/>
      <c r="V135" s="56"/>
      <c r="W135" s="56"/>
      <c r="X135" s="56"/>
      <c r="Y135" s="56"/>
      <c r="Z135" s="59"/>
    </row>
    <row r="136">
      <c r="A136" s="55"/>
      <c r="B136" s="55"/>
      <c r="C136" s="55"/>
      <c r="D136" s="55"/>
      <c r="E136" s="55"/>
      <c r="F136" s="55"/>
      <c r="G136" s="55"/>
      <c r="H136" s="55"/>
      <c r="I136" s="55"/>
      <c r="J136" s="55"/>
      <c r="K136" s="55"/>
      <c r="L136" s="55"/>
      <c r="M136" s="55"/>
      <c r="N136" s="55"/>
      <c r="O136" s="55"/>
      <c r="P136" s="55"/>
      <c r="Q136" s="56"/>
      <c r="R136" s="56"/>
      <c r="S136" s="56"/>
      <c r="T136" s="56"/>
      <c r="U136" s="56"/>
      <c r="V136" s="56"/>
      <c r="W136" s="56"/>
      <c r="X136" s="56"/>
      <c r="Y136" s="56"/>
      <c r="Z136" s="59"/>
    </row>
    <row r="137">
      <c r="A137" s="55"/>
      <c r="B137" s="55"/>
      <c r="C137" s="55"/>
      <c r="D137" s="55"/>
      <c r="E137" s="55"/>
      <c r="F137" s="55"/>
      <c r="G137" s="55"/>
      <c r="H137" s="55"/>
      <c r="I137" s="55"/>
      <c r="J137" s="55"/>
      <c r="K137" s="55"/>
      <c r="L137" s="55"/>
      <c r="M137" s="55"/>
      <c r="N137" s="55"/>
      <c r="O137" s="55"/>
      <c r="P137" s="55"/>
      <c r="Q137" s="56"/>
      <c r="R137" s="56"/>
      <c r="S137" s="56"/>
      <c r="T137" s="56"/>
      <c r="U137" s="56"/>
      <c r="V137" s="56"/>
      <c r="W137" s="56"/>
      <c r="X137" s="56"/>
      <c r="Y137" s="56"/>
      <c r="Z137" s="59"/>
    </row>
    <row r="138">
      <c r="A138" s="55"/>
      <c r="B138" s="55"/>
      <c r="C138" s="55"/>
      <c r="D138" s="55"/>
      <c r="E138" s="55"/>
      <c r="F138" s="55"/>
      <c r="G138" s="55"/>
      <c r="H138" s="55"/>
      <c r="I138" s="55"/>
      <c r="J138" s="55"/>
      <c r="K138" s="55"/>
      <c r="L138" s="55"/>
      <c r="M138" s="55"/>
      <c r="N138" s="55"/>
      <c r="O138" s="55"/>
      <c r="P138" s="55"/>
      <c r="Q138" s="56"/>
      <c r="R138" s="56"/>
      <c r="S138" s="56"/>
      <c r="T138" s="56"/>
      <c r="U138" s="56"/>
      <c r="V138" s="56"/>
      <c r="W138" s="56"/>
      <c r="X138" s="56"/>
      <c r="Y138" s="56"/>
      <c r="Z138" s="59"/>
    </row>
    <row r="139">
      <c r="A139" s="55"/>
      <c r="B139" s="55"/>
      <c r="C139" s="55"/>
      <c r="D139" s="55"/>
      <c r="E139" s="55"/>
      <c r="F139" s="55"/>
      <c r="G139" s="55"/>
      <c r="H139" s="55"/>
      <c r="I139" s="55"/>
      <c r="J139" s="55"/>
      <c r="K139" s="55"/>
      <c r="L139" s="55"/>
      <c r="M139" s="55"/>
      <c r="N139" s="55"/>
      <c r="O139" s="55"/>
      <c r="P139" s="55"/>
      <c r="Q139" s="56"/>
      <c r="R139" s="56"/>
      <c r="S139" s="56"/>
      <c r="T139" s="56"/>
      <c r="U139" s="56"/>
      <c r="V139" s="56"/>
      <c r="W139" s="56"/>
      <c r="X139" s="56"/>
      <c r="Y139" s="56"/>
      <c r="Z139" s="59"/>
    </row>
    <row r="140">
      <c r="A140" s="55"/>
      <c r="B140" s="55"/>
      <c r="C140" s="55"/>
      <c r="D140" s="55"/>
      <c r="E140" s="55"/>
      <c r="F140" s="55"/>
      <c r="G140" s="55"/>
      <c r="H140" s="55"/>
      <c r="I140" s="55"/>
      <c r="J140" s="55"/>
      <c r="K140" s="55"/>
      <c r="L140" s="55"/>
      <c r="M140" s="55"/>
      <c r="N140" s="55"/>
      <c r="O140" s="55"/>
      <c r="P140" s="55"/>
      <c r="Q140" s="56"/>
      <c r="R140" s="56"/>
      <c r="S140" s="56"/>
      <c r="T140" s="56"/>
      <c r="U140" s="56"/>
      <c r="V140" s="56"/>
      <c r="W140" s="56"/>
      <c r="X140" s="56"/>
      <c r="Y140" s="56"/>
      <c r="Z140" s="59"/>
    </row>
    <row r="141">
      <c r="A141" s="55"/>
      <c r="B141" s="55"/>
      <c r="C141" s="55"/>
      <c r="D141" s="55"/>
      <c r="E141" s="55"/>
      <c r="F141" s="55"/>
      <c r="G141" s="55"/>
      <c r="H141" s="55"/>
      <c r="I141" s="55"/>
      <c r="J141" s="55"/>
      <c r="K141" s="55"/>
      <c r="L141" s="55"/>
      <c r="M141" s="55"/>
      <c r="N141" s="55"/>
      <c r="O141" s="55"/>
      <c r="P141" s="55"/>
      <c r="Q141" s="56"/>
      <c r="R141" s="56"/>
      <c r="S141" s="56"/>
      <c r="T141" s="56"/>
      <c r="U141" s="56"/>
      <c r="V141" s="56"/>
      <c r="W141" s="56"/>
      <c r="X141" s="56"/>
      <c r="Y141" s="56"/>
      <c r="Z141" s="59"/>
    </row>
    <row r="142">
      <c r="A142" s="55"/>
      <c r="B142" s="55"/>
      <c r="C142" s="55"/>
      <c r="D142" s="55"/>
      <c r="E142" s="55"/>
      <c r="F142" s="55"/>
      <c r="G142" s="55"/>
      <c r="H142" s="55"/>
      <c r="I142" s="55"/>
      <c r="J142" s="55"/>
      <c r="K142" s="55"/>
      <c r="L142" s="55"/>
      <c r="M142" s="55"/>
      <c r="N142" s="55"/>
      <c r="O142" s="55"/>
      <c r="P142" s="55"/>
      <c r="Q142" s="56"/>
      <c r="R142" s="56"/>
      <c r="S142" s="56"/>
      <c r="T142" s="56"/>
      <c r="U142" s="56"/>
      <c r="V142" s="56"/>
      <c r="W142" s="56"/>
      <c r="X142" s="56"/>
      <c r="Y142" s="56"/>
      <c r="Z142" s="59"/>
    </row>
    <row r="143">
      <c r="A143" s="55"/>
      <c r="B143" s="55"/>
      <c r="C143" s="55"/>
      <c r="D143" s="55"/>
      <c r="E143" s="55"/>
      <c r="F143" s="55"/>
      <c r="G143" s="55"/>
      <c r="H143" s="55"/>
      <c r="I143" s="55"/>
      <c r="J143" s="55"/>
      <c r="K143" s="55"/>
      <c r="L143" s="55"/>
      <c r="M143" s="55"/>
      <c r="N143" s="55"/>
      <c r="O143" s="55"/>
      <c r="P143" s="55"/>
      <c r="Q143" s="56"/>
      <c r="R143" s="56"/>
      <c r="S143" s="56"/>
      <c r="T143" s="56"/>
      <c r="U143" s="56"/>
      <c r="V143" s="56"/>
      <c r="W143" s="56"/>
      <c r="X143" s="56"/>
      <c r="Y143" s="56"/>
      <c r="Z143" s="59"/>
    </row>
    <row r="144">
      <c r="A144" s="55"/>
      <c r="B144" s="55"/>
      <c r="C144" s="55"/>
      <c r="D144" s="55"/>
      <c r="E144" s="55"/>
      <c r="F144" s="55"/>
      <c r="G144" s="55"/>
      <c r="H144" s="55"/>
      <c r="I144" s="55"/>
      <c r="J144" s="55"/>
      <c r="K144" s="55"/>
      <c r="L144" s="55"/>
      <c r="M144" s="55"/>
      <c r="N144" s="55"/>
      <c r="O144" s="55"/>
      <c r="P144" s="55"/>
      <c r="Q144" s="56"/>
      <c r="R144" s="56"/>
      <c r="S144" s="56"/>
      <c r="T144" s="56"/>
      <c r="U144" s="56"/>
      <c r="V144" s="56"/>
      <c r="W144" s="56"/>
      <c r="X144" s="56"/>
      <c r="Y144" s="56"/>
      <c r="Z144" s="59"/>
    </row>
    <row r="145">
      <c r="A145" s="55"/>
      <c r="B145" s="55"/>
      <c r="C145" s="55"/>
      <c r="D145" s="55"/>
      <c r="E145" s="55"/>
      <c r="F145" s="55"/>
      <c r="G145" s="55"/>
      <c r="H145" s="55"/>
      <c r="I145" s="55"/>
      <c r="J145" s="55"/>
      <c r="K145" s="55"/>
      <c r="L145" s="55"/>
      <c r="M145" s="55"/>
      <c r="N145" s="55"/>
      <c r="O145" s="55"/>
      <c r="P145" s="55"/>
      <c r="Q145" s="56"/>
      <c r="R145" s="56"/>
      <c r="S145" s="56"/>
      <c r="T145" s="56"/>
      <c r="U145" s="56"/>
      <c r="V145" s="56"/>
      <c r="W145" s="56"/>
      <c r="X145" s="56"/>
      <c r="Y145" s="56"/>
      <c r="Z145" s="59"/>
    </row>
    <row r="146">
      <c r="A146" s="55"/>
      <c r="B146" s="55"/>
      <c r="C146" s="55"/>
      <c r="D146" s="55"/>
      <c r="E146" s="55"/>
      <c r="F146" s="55"/>
      <c r="G146" s="55"/>
      <c r="H146" s="55"/>
      <c r="I146" s="55"/>
      <c r="J146" s="55"/>
      <c r="K146" s="55"/>
      <c r="L146" s="55"/>
      <c r="M146" s="55"/>
      <c r="N146" s="55"/>
      <c r="O146" s="55"/>
      <c r="P146" s="55"/>
      <c r="Q146" s="56"/>
      <c r="R146" s="56"/>
      <c r="S146" s="56"/>
      <c r="T146" s="56"/>
      <c r="U146" s="56"/>
      <c r="V146" s="56"/>
      <c r="W146" s="56"/>
      <c r="X146" s="56"/>
      <c r="Y146" s="56"/>
      <c r="Z146" s="59"/>
    </row>
    <row r="147">
      <c r="A147" s="55"/>
      <c r="B147" s="55"/>
      <c r="C147" s="55"/>
      <c r="D147" s="55"/>
      <c r="E147" s="55"/>
      <c r="F147" s="55"/>
      <c r="G147" s="55"/>
      <c r="H147" s="55"/>
      <c r="I147" s="55"/>
      <c r="J147" s="55"/>
      <c r="K147" s="55"/>
      <c r="L147" s="55"/>
      <c r="M147" s="55"/>
      <c r="N147" s="55"/>
      <c r="O147" s="55"/>
      <c r="P147" s="55"/>
      <c r="Q147" s="56"/>
      <c r="R147" s="56"/>
      <c r="S147" s="56"/>
      <c r="T147" s="56"/>
      <c r="U147" s="56"/>
      <c r="V147" s="56"/>
      <c r="W147" s="56"/>
      <c r="X147" s="56"/>
      <c r="Y147" s="56"/>
      <c r="Z147" s="59"/>
    </row>
    <row r="148">
      <c r="A148" s="55"/>
      <c r="B148" s="55"/>
      <c r="C148" s="55"/>
      <c r="D148" s="55"/>
      <c r="E148" s="55"/>
      <c r="F148" s="55"/>
      <c r="G148" s="55"/>
      <c r="H148" s="55"/>
      <c r="I148" s="55"/>
      <c r="J148" s="55"/>
      <c r="K148" s="55"/>
      <c r="L148" s="55"/>
      <c r="M148" s="55"/>
      <c r="N148" s="55"/>
      <c r="O148" s="55"/>
      <c r="P148" s="55"/>
      <c r="Q148" s="56"/>
      <c r="R148" s="56"/>
      <c r="S148" s="56"/>
      <c r="T148" s="56"/>
      <c r="U148" s="56"/>
      <c r="V148" s="56"/>
      <c r="W148" s="56"/>
      <c r="X148" s="56"/>
      <c r="Y148" s="56"/>
      <c r="Z148" s="59"/>
    </row>
    <row r="149">
      <c r="A149" s="55"/>
      <c r="B149" s="55"/>
      <c r="C149" s="55"/>
      <c r="D149" s="55"/>
      <c r="E149" s="55"/>
      <c r="F149" s="55"/>
      <c r="G149" s="55"/>
      <c r="H149" s="55"/>
      <c r="I149" s="55"/>
      <c r="J149" s="55"/>
      <c r="K149" s="55"/>
      <c r="L149" s="55"/>
      <c r="M149" s="55"/>
      <c r="N149" s="55"/>
      <c r="O149" s="55"/>
      <c r="P149" s="55"/>
      <c r="Q149" s="56"/>
      <c r="R149" s="56"/>
      <c r="S149" s="56"/>
      <c r="T149" s="56"/>
      <c r="U149" s="56"/>
      <c r="V149" s="56"/>
      <c r="W149" s="56"/>
      <c r="X149" s="56"/>
      <c r="Y149" s="56"/>
      <c r="Z149" s="59"/>
    </row>
    <row r="150">
      <c r="A150" s="55"/>
      <c r="B150" s="55"/>
      <c r="C150" s="55"/>
      <c r="D150" s="55"/>
      <c r="E150" s="55"/>
      <c r="F150" s="55"/>
      <c r="G150" s="55"/>
      <c r="H150" s="55"/>
      <c r="I150" s="55"/>
      <c r="J150" s="55"/>
      <c r="K150" s="55"/>
      <c r="L150" s="55"/>
      <c r="M150" s="55"/>
      <c r="N150" s="55"/>
      <c r="O150" s="55"/>
      <c r="P150" s="55"/>
      <c r="Q150" s="56"/>
      <c r="R150" s="56"/>
      <c r="S150" s="56"/>
      <c r="T150" s="56"/>
      <c r="U150" s="56"/>
      <c r="V150" s="56"/>
      <c r="W150" s="56"/>
      <c r="X150" s="56"/>
      <c r="Y150" s="56"/>
      <c r="Z150" s="59"/>
    </row>
    <row r="151">
      <c r="A151" s="55"/>
      <c r="B151" s="55"/>
      <c r="C151" s="55"/>
      <c r="D151" s="55"/>
      <c r="E151" s="55"/>
      <c r="F151" s="55"/>
      <c r="G151" s="55"/>
      <c r="H151" s="55"/>
      <c r="I151" s="55"/>
      <c r="J151" s="55"/>
      <c r="K151" s="55"/>
      <c r="L151" s="55"/>
      <c r="M151" s="55"/>
      <c r="N151" s="55"/>
      <c r="O151" s="55"/>
      <c r="P151" s="55"/>
      <c r="Q151" s="56"/>
      <c r="R151" s="56"/>
      <c r="S151" s="56"/>
      <c r="T151" s="56"/>
      <c r="U151" s="56"/>
      <c r="V151" s="56"/>
      <c r="W151" s="56"/>
      <c r="X151" s="56"/>
      <c r="Y151" s="56"/>
      <c r="Z151" s="59"/>
    </row>
    <row r="152">
      <c r="A152" s="55"/>
      <c r="B152" s="55"/>
      <c r="C152" s="55"/>
      <c r="D152" s="55"/>
      <c r="E152" s="55"/>
      <c r="F152" s="55"/>
      <c r="G152" s="55"/>
      <c r="H152" s="55"/>
      <c r="I152" s="55"/>
      <c r="J152" s="55"/>
      <c r="K152" s="55"/>
      <c r="L152" s="55"/>
      <c r="M152" s="55"/>
      <c r="N152" s="55"/>
      <c r="O152" s="55"/>
      <c r="P152" s="55"/>
      <c r="Q152" s="56"/>
      <c r="R152" s="56"/>
      <c r="S152" s="56"/>
      <c r="T152" s="56"/>
      <c r="U152" s="56"/>
      <c r="V152" s="56"/>
      <c r="W152" s="56"/>
      <c r="X152" s="56"/>
      <c r="Y152" s="56"/>
      <c r="Z152" s="59"/>
    </row>
    <row r="153">
      <c r="A153" s="55"/>
      <c r="B153" s="55"/>
      <c r="C153" s="55"/>
      <c r="D153" s="55"/>
      <c r="E153" s="55"/>
      <c r="F153" s="55"/>
      <c r="G153" s="55"/>
      <c r="H153" s="55"/>
      <c r="I153" s="55"/>
      <c r="J153" s="55"/>
      <c r="K153" s="55"/>
      <c r="L153" s="55"/>
      <c r="M153" s="55"/>
      <c r="N153" s="55"/>
      <c r="O153" s="55"/>
      <c r="P153" s="55"/>
      <c r="Q153" s="56"/>
      <c r="R153" s="56"/>
      <c r="S153" s="56"/>
      <c r="T153" s="56"/>
      <c r="U153" s="56"/>
      <c r="V153" s="56"/>
      <c r="W153" s="56"/>
      <c r="X153" s="56"/>
      <c r="Y153" s="56"/>
      <c r="Z153" s="59"/>
    </row>
    <row r="154">
      <c r="A154" s="55"/>
      <c r="B154" s="55"/>
      <c r="C154" s="55"/>
      <c r="D154" s="55"/>
      <c r="E154" s="55"/>
      <c r="F154" s="55"/>
      <c r="G154" s="55"/>
      <c r="H154" s="55"/>
      <c r="I154" s="55"/>
      <c r="J154" s="55"/>
      <c r="K154" s="55"/>
      <c r="L154" s="55"/>
      <c r="M154" s="55"/>
      <c r="N154" s="55"/>
      <c r="O154" s="55"/>
      <c r="P154" s="55"/>
      <c r="Q154" s="56"/>
      <c r="R154" s="56"/>
      <c r="S154" s="56"/>
      <c r="T154" s="56"/>
      <c r="U154" s="56"/>
      <c r="V154" s="56"/>
      <c r="W154" s="56"/>
      <c r="X154" s="56"/>
      <c r="Y154" s="56"/>
      <c r="Z154" s="59"/>
    </row>
    <row r="155">
      <c r="A155" s="55"/>
      <c r="B155" s="55"/>
      <c r="C155" s="55"/>
      <c r="D155" s="55"/>
      <c r="E155" s="55"/>
      <c r="F155" s="55"/>
      <c r="G155" s="55"/>
      <c r="H155" s="55"/>
      <c r="I155" s="55"/>
      <c r="J155" s="55"/>
      <c r="K155" s="55"/>
      <c r="L155" s="55"/>
      <c r="M155" s="55"/>
      <c r="N155" s="55"/>
      <c r="O155" s="55"/>
      <c r="P155" s="55"/>
      <c r="Q155" s="56"/>
      <c r="R155" s="56"/>
      <c r="S155" s="56"/>
      <c r="T155" s="56"/>
      <c r="U155" s="56"/>
      <c r="V155" s="56"/>
      <c r="W155" s="56"/>
      <c r="X155" s="56"/>
      <c r="Y155" s="56"/>
      <c r="Z155" s="59"/>
    </row>
    <row r="156">
      <c r="A156" s="55"/>
      <c r="B156" s="55"/>
      <c r="C156" s="55"/>
      <c r="D156" s="55"/>
      <c r="E156" s="55"/>
      <c r="F156" s="55"/>
      <c r="G156" s="55"/>
      <c r="H156" s="55"/>
      <c r="I156" s="55"/>
      <c r="J156" s="55"/>
      <c r="K156" s="55"/>
      <c r="L156" s="55"/>
      <c r="M156" s="55"/>
      <c r="N156" s="55"/>
      <c r="O156" s="55"/>
      <c r="P156" s="55"/>
      <c r="Q156" s="56"/>
      <c r="R156" s="56"/>
      <c r="S156" s="56"/>
      <c r="T156" s="56"/>
      <c r="U156" s="56"/>
      <c r="V156" s="56"/>
      <c r="W156" s="56"/>
      <c r="X156" s="56"/>
      <c r="Y156" s="56"/>
      <c r="Z156" s="59"/>
    </row>
    <row r="157">
      <c r="A157" s="55"/>
      <c r="B157" s="55"/>
      <c r="C157" s="55"/>
      <c r="D157" s="55"/>
      <c r="E157" s="55"/>
      <c r="F157" s="55"/>
      <c r="G157" s="55"/>
      <c r="H157" s="55"/>
      <c r="I157" s="55"/>
      <c r="J157" s="55"/>
      <c r="K157" s="55"/>
      <c r="L157" s="55"/>
      <c r="M157" s="55"/>
      <c r="N157" s="55"/>
      <c r="O157" s="55"/>
      <c r="P157" s="55"/>
      <c r="Q157" s="56"/>
      <c r="R157" s="56"/>
      <c r="S157" s="56"/>
      <c r="T157" s="56"/>
      <c r="U157" s="56"/>
      <c r="V157" s="56"/>
      <c r="W157" s="56"/>
      <c r="X157" s="56"/>
      <c r="Y157" s="56"/>
      <c r="Z157" s="59"/>
    </row>
    <row r="158">
      <c r="A158" s="55"/>
      <c r="B158" s="55"/>
      <c r="C158" s="55"/>
      <c r="D158" s="55"/>
      <c r="E158" s="55"/>
      <c r="F158" s="55"/>
      <c r="G158" s="55"/>
      <c r="H158" s="55"/>
      <c r="I158" s="55"/>
      <c r="J158" s="55"/>
      <c r="K158" s="55"/>
      <c r="L158" s="55"/>
      <c r="M158" s="55"/>
      <c r="N158" s="55"/>
      <c r="O158" s="55"/>
      <c r="P158" s="55"/>
      <c r="Q158" s="56"/>
      <c r="R158" s="56"/>
      <c r="S158" s="56"/>
      <c r="T158" s="56"/>
      <c r="U158" s="56"/>
      <c r="V158" s="56"/>
      <c r="W158" s="56"/>
      <c r="X158" s="56"/>
      <c r="Y158" s="56"/>
      <c r="Z158" s="59"/>
    </row>
    <row r="159">
      <c r="A159" s="55"/>
      <c r="B159" s="55"/>
      <c r="C159" s="55"/>
      <c r="D159" s="55"/>
      <c r="E159" s="55"/>
      <c r="F159" s="55"/>
      <c r="G159" s="55"/>
      <c r="H159" s="55"/>
      <c r="I159" s="55"/>
      <c r="J159" s="55"/>
      <c r="K159" s="55"/>
      <c r="L159" s="55"/>
      <c r="M159" s="55"/>
      <c r="N159" s="55"/>
      <c r="O159" s="55"/>
      <c r="P159" s="55"/>
      <c r="Q159" s="56"/>
      <c r="R159" s="56"/>
      <c r="S159" s="56"/>
      <c r="T159" s="56"/>
      <c r="U159" s="56"/>
      <c r="V159" s="56"/>
      <c r="W159" s="56"/>
      <c r="X159" s="56"/>
      <c r="Y159" s="56"/>
      <c r="Z159" s="59"/>
    </row>
    <row r="160">
      <c r="A160" s="55"/>
      <c r="B160" s="55"/>
      <c r="C160" s="55"/>
      <c r="D160" s="55"/>
      <c r="E160" s="55"/>
      <c r="F160" s="55"/>
      <c r="G160" s="55"/>
      <c r="H160" s="55"/>
      <c r="I160" s="55"/>
      <c r="J160" s="55"/>
      <c r="K160" s="55"/>
      <c r="L160" s="55"/>
      <c r="M160" s="55"/>
      <c r="N160" s="55"/>
      <c r="O160" s="55"/>
      <c r="P160" s="55"/>
      <c r="Q160" s="56"/>
      <c r="R160" s="56"/>
      <c r="S160" s="56"/>
      <c r="T160" s="56"/>
      <c r="U160" s="56"/>
      <c r="V160" s="56"/>
      <c r="W160" s="56"/>
      <c r="X160" s="56"/>
      <c r="Y160" s="56"/>
      <c r="Z160" s="59"/>
    </row>
    <row r="161">
      <c r="A161" s="55"/>
      <c r="B161" s="55"/>
      <c r="C161" s="55"/>
      <c r="D161" s="55"/>
      <c r="E161" s="55"/>
      <c r="F161" s="55"/>
      <c r="G161" s="55"/>
      <c r="H161" s="55"/>
      <c r="I161" s="55"/>
      <c r="J161" s="55"/>
      <c r="K161" s="55"/>
      <c r="L161" s="55"/>
      <c r="M161" s="55"/>
      <c r="N161" s="55"/>
      <c r="O161" s="55"/>
      <c r="P161" s="55"/>
      <c r="Q161" s="56"/>
      <c r="R161" s="56"/>
      <c r="S161" s="56"/>
      <c r="T161" s="56"/>
      <c r="U161" s="56"/>
      <c r="V161" s="56"/>
      <c r="W161" s="56"/>
      <c r="X161" s="56"/>
      <c r="Y161" s="56"/>
      <c r="Z161" s="59"/>
    </row>
    <row r="162">
      <c r="A162" s="55"/>
      <c r="B162" s="55"/>
      <c r="C162" s="55"/>
      <c r="D162" s="55"/>
      <c r="E162" s="55"/>
      <c r="F162" s="55"/>
      <c r="G162" s="55"/>
      <c r="H162" s="55"/>
      <c r="I162" s="55"/>
      <c r="J162" s="55"/>
      <c r="K162" s="55"/>
      <c r="L162" s="55"/>
      <c r="M162" s="55"/>
      <c r="N162" s="55"/>
      <c r="O162" s="55"/>
      <c r="P162" s="55"/>
      <c r="Q162" s="56"/>
      <c r="R162" s="56"/>
      <c r="S162" s="56"/>
      <c r="T162" s="56"/>
      <c r="U162" s="56"/>
      <c r="V162" s="56"/>
      <c r="W162" s="56"/>
      <c r="X162" s="56"/>
      <c r="Y162" s="56"/>
      <c r="Z162" s="59"/>
    </row>
    <row r="163">
      <c r="A163" s="55"/>
      <c r="B163" s="55"/>
      <c r="C163" s="55"/>
      <c r="D163" s="55"/>
      <c r="E163" s="55"/>
      <c r="F163" s="55"/>
      <c r="G163" s="55"/>
      <c r="H163" s="55"/>
      <c r="I163" s="55"/>
      <c r="J163" s="55"/>
      <c r="K163" s="55"/>
      <c r="L163" s="55"/>
      <c r="M163" s="55"/>
      <c r="N163" s="55"/>
      <c r="O163" s="55"/>
      <c r="P163" s="55"/>
      <c r="Q163" s="56"/>
      <c r="R163" s="56"/>
      <c r="S163" s="56"/>
      <c r="T163" s="56"/>
      <c r="U163" s="56"/>
      <c r="V163" s="56"/>
      <c r="W163" s="56"/>
      <c r="X163" s="56"/>
      <c r="Y163" s="56"/>
      <c r="Z163" s="59"/>
    </row>
    <row r="164">
      <c r="A164" s="55"/>
      <c r="B164" s="55"/>
      <c r="C164" s="55"/>
      <c r="D164" s="55"/>
      <c r="E164" s="55"/>
      <c r="F164" s="55"/>
      <c r="G164" s="55"/>
      <c r="H164" s="55"/>
      <c r="I164" s="55"/>
      <c r="J164" s="55"/>
      <c r="K164" s="55"/>
      <c r="L164" s="55"/>
      <c r="M164" s="55"/>
      <c r="N164" s="55"/>
      <c r="O164" s="55"/>
      <c r="P164" s="55"/>
      <c r="Q164" s="56"/>
      <c r="R164" s="56"/>
      <c r="S164" s="56"/>
      <c r="T164" s="56"/>
      <c r="U164" s="56"/>
      <c r="V164" s="56"/>
      <c r="W164" s="56"/>
      <c r="X164" s="56"/>
      <c r="Y164" s="56"/>
      <c r="Z164" s="59"/>
    </row>
    <row r="165">
      <c r="A165" s="55"/>
      <c r="B165" s="55"/>
      <c r="C165" s="55"/>
      <c r="D165" s="55"/>
      <c r="E165" s="55"/>
      <c r="F165" s="55"/>
      <c r="G165" s="55"/>
      <c r="H165" s="55"/>
      <c r="I165" s="55"/>
      <c r="J165" s="55"/>
      <c r="K165" s="55"/>
      <c r="L165" s="55"/>
      <c r="M165" s="55"/>
      <c r="N165" s="55"/>
      <c r="O165" s="55"/>
      <c r="P165" s="55"/>
      <c r="Q165" s="56"/>
      <c r="R165" s="56"/>
      <c r="S165" s="56"/>
      <c r="T165" s="56"/>
      <c r="U165" s="56"/>
      <c r="V165" s="56"/>
      <c r="W165" s="56"/>
      <c r="X165" s="56"/>
      <c r="Y165" s="56"/>
      <c r="Z165" s="59"/>
    </row>
    <row r="166">
      <c r="A166" s="55"/>
      <c r="B166" s="55"/>
      <c r="C166" s="55"/>
      <c r="D166" s="55"/>
      <c r="E166" s="55"/>
      <c r="F166" s="55"/>
      <c r="G166" s="55"/>
      <c r="H166" s="55"/>
      <c r="I166" s="55"/>
      <c r="J166" s="55"/>
      <c r="K166" s="55"/>
      <c r="L166" s="55"/>
      <c r="M166" s="55"/>
      <c r="N166" s="55"/>
      <c r="O166" s="55"/>
      <c r="P166" s="55"/>
      <c r="Q166" s="56"/>
      <c r="R166" s="56"/>
      <c r="S166" s="56"/>
      <c r="T166" s="56"/>
      <c r="U166" s="56"/>
      <c r="V166" s="56"/>
      <c r="W166" s="56"/>
      <c r="X166" s="56"/>
      <c r="Y166" s="56"/>
      <c r="Z166" s="59"/>
    </row>
    <row r="167">
      <c r="A167" s="55"/>
      <c r="B167" s="55"/>
      <c r="C167" s="55"/>
      <c r="D167" s="55"/>
      <c r="E167" s="55"/>
      <c r="F167" s="55"/>
      <c r="G167" s="55"/>
      <c r="H167" s="55"/>
      <c r="I167" s="55"/>
      <c r="J167" s="55"/>
      <c r="K167" s="55"/>
      <c r="L167" s="55"/>
      <c r="M167" s="55"/>
      <c r="N167" s="55"/>
      <c r="O167" s="55"/>
      <c r="P167" s="55"/>
      <c r="Q167" s="56"/>
      <c r="R167" s="56"/>
      <c r="S167" s="56"/>
      <c r="T167" s="56"/>
      <c r="U167" s="56"/>
      <c r="V167" s="56"/>
      <c r="W167" s="56"/>
      <c r="X167" s="56"/>
      <c r="Y167" s="56"/>
      <c r="Z167" s="59"/>
    </row>
    <row r="168">
      <c r="A168" s="55"/>
      <c r="B168" s="55"/>
      <c r="C168" s="55"/>
      <c r="D168" s="55"/>
      <c r="E168" s="55"/>
      <c r="F168" s="55"/>
      <c r="G168" s="55"/>
      <c r="H168" s="55"/>
      <c r="I168" s="55"/>
      <c r="J168" s="55"/>
      <c r="K168" s="55"/>
      <c r="L168" s="55"/>
      <c r="M168" s="55"/>
      <c r="N168" s="55"/>
      <c r="O168" s="55"/>
      <c r="P168" s="55"/>
      <c r="Q168" s="56"/>
      <c r="R168" s="56"/>
      <c r="S168" s="56"/>
      <c r="T168" s="56"/>
      <c r="U168" s="56"/>
      <c r="V168" s="56"/>
      <c r="W168" s="56"/>
      <c r="X168" s="56"/>
      <c r="Y168" s="56"/>
      <c r="Z168" s="59"/>
    </row>
    <row r="169">
      <c r="A169" s="55"/>
      <c r="B169" s="55"/>
      <c r="C169" s="55"/>
      <c r="D169" s="55"/>
      <c r="E169" s="55"/>
      <c r="F169" s="55"/>
      <c r="G169" s="55"/>
      <c r="H169" s="55"/>
      <c r="I169" s="55"/>
      <c r="J169" s="55"/>
      <c r="K169" s="55"/>
      <c r="L169" s="55"/>
      <c r="M169" s="55"/>
      <c r="N169" s="55"/>
      <c r="O169" s="55"/>
      <c r="P169" s="55"/>
      <c r="Q169" s="56"/>
      <c r="R169" s="56"/>
      <c r="S169" s="56"/>
      <c r="T169" s="56"/>
      <c r="U169" s="56"/>
      <c r="V169" s="56"/>
      <c r="W169" s="56"/>
      <c r="X169" s="56"/>
      <c r="Y169" s="56"/>
      <c r="Z169" s="59"/>
    </row>
    <row r="170">
      <c r="A170" s="55"/>
      <c r="B170" s="55"/>
      <c r="C170" s="55"/>
      <c r="D170" s="55"/>
      <c r="E170" s="55"/>
      <c r="F170" s="55"/>
      <c r="G170" s="55"/>
      <c r="H170" s="55"/>
      <c r="I170" s="55"/>
      <c r="J170" s="55"/>
      <c r="K170" s="55"/>
      <c r="L170" s="55"/>
      <c r="M170" s="55"/>
      <c r="N170" s="55"/>
      <c r="O170" s="55"/>
      <c r="P170" s="55"/>
      <c r="Q170" s="56"/>
      <c r="R170" s="56"/>
      <c r="S170" s="56"/>
      <c r="T170" s="56"/>
      <c r="U170" s="56"/>
      <c r="V170" s="56"/>
      <c r="W170" s="56"/>
      <c r="X170" s="56"/>
      <c r="Y170" s="56"/>
      <c r="Z170" s="59"/>
    </row>
    <row r="171">
      <c r="A171" s="55"/>
      <c r="B171" s="55"/>
      <c r="C171" s="55"/>
      <c r="D171" s="55"/>
      <c r="E171" s="55"/>
      <c r="F171" s="55"/>
      <c r="G171" s="55"/>
      <c r="H171" s="55"/>
      <c r="I171" s="55"/>
      <c r="J171" s="55"/>
      <c r="K171" s="55"/>
      <c r="L171" s="55"/>
      <c r="M171" s="55"/>
      <c r="N171" s="55"/>
      <c r="O171" s="55"/>
      <c r="P171" s="55"/>
      <c r="Q171" s="56"/>
      <c r="R171" s="56"/>
      <c r="S171" s="56"/>
      <c r="T171" s="56"/>
      <c r="U171" s="56"/>
      <c r="V171" s="56"/>
      <c r="W171" s="56"/>
      <c r="X171" s="56"/>
      <c r="Y171" s="56"/>
      <c r="Z171" s="59"/>
    </row>
    <row r="172">
      <c r="A172" s="55"/>
      <c r="B172" s="55"/>
      <c r="C172" s="55"/>
      <c r="D172" s="55"/>
      <c r="E172" s="55"/>
      <c r="F172" s="55"/>
      <c r="G172" s="55"/>
      <c r="H172" s="55"/>
      <c r="I172" s="55"/>
      <c r="J172" s="55"/>
      <c r="K172" s="55"/>
      <c r="L172" s="55"/>
      <c r="M172" s="55"/>
      <c r="N172" s="55"/>
      <c r="O172" s="55"/>
      <c r="P172" s="55"/>
      <c r="Q172" s="56"/>
      <c r="R172" s="56"/>
      <c r="S172" s="56"/>
      <c r="T172" s="56"/>
      <c r="U172" s="56"/>
      <c r="V172" s="56"/>
      <c r="W172" s="56"/>
      <c r="X172" s="56"/>
      <c r="Y172" s="56"/>
      <c r="Z172" s="59"/>
    </row>
    <row r="173">
      <c r="A173" s="55"/>
      <c r="B173" s="55"/>
      <c r="C173" s="55"/>
      <c r="D173" s="55"/>
      <c r="E173" s="55"/>
      <c r="F173" s="55"/>
      <c r="G173" s="55"/>
      <c r="H173" s="55"/>
      <c r="I173" s="55"/>
      <c r="J173" s="55"/>
      <c r="K173" s="55"/>
      <c r="L173" s="55"/>
      <c r="M173" s="55"/>
      <c r="N173" s="55"/>
      <c r="O173" s="55"/>
      <c r="P173" s="55"/>
      <c r="Q173" s="56"/>
      <c r="R173" s="56"/>
      <c r="S173" s="56"/>
      <c r="T173" s="56"/>
      <c r="U173" s="56"/>
      <c r="V173" s="56"/>
      <c r="W173" s="56"/>
      <c r="X173" s="56"/>
      <c r="Y173" s="56"/>
      <c r="Z173" s="59"/>
    </row>
    <row r="174">
      <c r="A174" s="55"/>
      <c r="B174" s="55"/>
      <c r="C174" s="55"/>
      <c r="D174" s="55"/>
      <c r="E174" s="55"/>
      <c r="F174" s="55"/>
      <c r="G174" s="55"/>
      <c r="H174" s="55"/>
      <c r="I174" s="55"/>
      <c r="J174" s="55"/>
      <c r="K174" s="55"/>
      <c r="L174" s="55"/>
      <c r="M174" s="55"/>
      <c r="N174" s="55"/>
      <c r="O174" s="55"/>
      <c r="P174" s="55"/>
      <c r="Q174" s="56"/>
      <c r="R174" s="56"/>
      <c r="S174" s="56"/>
      <c r="T174" s="56"/>
      <c r="U174" s="56"/>
      <c r="V174" s="56"/>
      <c r="W174" s="56"/>
      <c r="X174" s="56"/>
      <c r="Y174" s="56"/>
      <c r="Z174" s="59"/>
    </row>
    <row r="175">
      <c r="A175" s="55"/>
      <c r="B175" s="55"/>
      <c r="C175" s="55"/>
      <c r="D175" s="55"/>
      <c r="E175" s="55"/>
      <c r="F175" s="55"/>
      <c r="G175" s="55"/>
      <c r="H175" s="55"/>
      <c r="I175" s="55"/>
      <c r="J175" s="55"/>
      <c r="K175" s="55"/>
      <c r="L175" s="55"/>
      <c r="M175" s="55"/>
      <c r="N175" s="55"/>
      <c r="O175" s="55"/>
      <c r="P175" s="55"/>
      <c r="Q175" s="56"/>
      <c r="R175" s="56"/>
      <c r="S175" s="56"/>
      <c r="T175" s="56"/>
      <c r="U175" s="56"/>
      <c r="V175" s="56"/>
      <c r="W175" s="56"/>
      <c r="X175" s="56"/>
      <c r="Y175" s="56"/>
      <c r="Z175" s="59"/>
    </row>
    <row r="176">
      <c r="A176" s="55"/>
      <c r="B176" s="55"/>
      <c r="C176" s="55"/>
      <c r="D176" s="55"/>
      <c r="E176" s="55"/>
      <c r="F176" s="55"/>
      <c r="G176" s="55"/>
      <c r="H176" s="55"/>
      <c r="I176" s="55"/>
      <c r="J176" s="55"/>
      <c r="K176" s="55"/>
      <c r="L176" s="55"/>
      <c r="M176" s="55"/>
      <c r="N176" s="55"/>
      <c r="O176" s="55"/>
      <c r="P176" s="55"/>
      <c r="Q176" s="56"/>
      <c r="R176" s="56"/>
      <c r="S176" s="56"/>
      <c r="T176" s="56"/>
      <c r="U176" s="56"/>
      <c r="V176" s="56"/>
      <c r="W176" s="56"/>
      <c r="X176" s="56"/>
      <c r="Y176" s="56"/>
      <c r="Z176" s="59"/>
    </row>
    <row r="177">
      <c r="A177" s="55"/>
      <c r="B177" s="55"/>
      <c r="C177" s="55"/>
      <c r="D177" s="55"/>
      <c r="E177" s="55"/>
      <c r="F177" s="55"/>
      <c r="G177" s="55"/>
      <c r="H177" s="55"/>
      <c r="I177" s="55"/>
      <c r="J177" s="55"/>
      <c r="K177" s="55"/>
      <c r="L177" s="55"/>
      <c r="M177" s="55"/>
      <c r="N177" s="55"/>
      <c r="O177" s="55"/>
      <c r="P177" s="55"/>
      <c r="Q177" s="56"/>
      <c r="R177" s="56"/>
      <c r="S177" s="56"/>
      <c r="T177" s="56"/>
      <c r="U177" s="56"/>
      <c r="V177" s="56"/>
      <c r="W177" s="56"/>
      <c r="X177" s="56"/>
      <c r="Y177" s="56"/>
      <c r="Z177" s="59"/>
    </row>
    <row r="178">
      <c r="A178" s="55"/>
      <c r="B178" s="55"/>
      <c r="C178" s="55"/>
      <c r="D178" s="55"/>
      <c r="E178" s="55"/>
      <c r="F178" s="55"/>
      <c r="G178" s="55"/>
      <c r="H178" s="55"/>
      <c r="I178" s="55"/>
      <c r="J178" s="55"/>
      <c r="K178" s="55"/>
      <c r="L178" s="55"/>
      <c r="M178" s="55"/>
      <c r="N178" s="55"/>
      <c r="O178" s="55"/>
      <c r="P178" s="55"/>
      <c r="Q178" s="56"/>
      <c r="R178" s="56"/>
      <c r="S178" s="56"/>
      <c r="T178" s="56"/>
      <c r="U178" s="56"/>
      <c r="V178" s="56"/>
      <c r="W178" s="56"/>
      <c r="X178" s="56"/>
      <c r="Y178" s="56"/>
      <c r="Z178" s="59"/>
    </row>
    <row r="179">
      <c r="A179" s="55"/>
      <c r="B179" s="55"/>
      <c r="C179" s="55"/>
      <c r="D179" s="55"/>
      <c r="E179" s="55"/>
      <c r="F179" s="55"/>
      <c r="G179" s="55"/>
      <c r="H179" s="55"/>
      <c r="I179" s="55"/>
      <c r="J179" s="55"/>
      <c r="K179" s="55"/>
      <c r="L179" s="55"/>
      <c r="M179" s="55"/>
      <c r="N179" s="55"/>
      <c r="O179" s="55"/>
      <c r="P179" s="55"/>
      <c r="Q179" s="56"/>
      <c r="R179" s="56"/>
      <c r="S179" s="56"/>
      <c r="T179" s="56"/>
      <c r="U179" s="56"/>
      <c r="V179" s="56"/>
      <c r="W179" s="56"/>
      <c r="X179" s="56"/>
      <c r="Y179" s="56"/>
      <c r="Z179" s="59"/>
    </row>
    <row r="180">
      <c r="A180" s="55"/>
      <c r="B180" s="55"/>
      <c r="C180" s="55"/>
      <c r="D180" s="55"/>
      <c r="E180" s="55"/>
      <c r="F180" s="55"/>
      <c r="G180" s="55"/>
      <c r="H180" s="55"/>
      <c r="I180" s="55"/>
      <c r="J180" s="55"/>
      <c r="K180" s="55"/>
      <c r="L180" s="55"/>
      <c r="M180" s="55"/>
      <c r="N180" s="55"/>
      <c r="O180" s="55"/>
      <c r="P180" s="55"/>
      <c r="Q180" s="56"/>
      <c r="R180" s="56"/>
      <c r="S180" s="56"/>
      <c r="T180" s="56"/>
      <c r="U180" s="56"/>
      <c r="V180" s="56"/>
      <c r="W180" s="56"/>
      <c r="X180" s="56"/>
      <c r="Y180" s="56"/>
      <c r="Z180" s="59"/>
    </row>
    <row r="181">
      <c r="A181" s="55"/>
      <c r="B181" s="55"/>
      <c r="C181" s="55"/>
      <c r="D181" s="55"/>
      <c r="E181" s="55"/>
      <c r="F181" s="55"/>
      <c r="G181" s="55"/>
      <c r="H181" s="55"/>
      <c r="I181" s="55"/>
      <c r="J181" s="55"/>
      <c r="K181" s="55"/>
      <c r="L181" s="55"/>
      <c r="M181" s="55"/>
      <c r="N181" s="55"/>
      <c r="O181" s="55"/>
      <c r="P181" s="55"/>
      <c r="Q181" s="56"/>
      <c r="R181" s="56"/>
      <c r="S181" s="56"/>
      <c r="T181" s="56"/>
      <c r="U181" s="56"/>
      <c r="V181" s="56"/>
      <c r="W181" s="56"/>
      <c r="X181" s="56"/>
      <c r="Y181" s="56"/>
      <c r="Z181" s="59"/>
    </row>
    <row r="182">
      <c r="A182" s="55"/>
      <c r="B182" s="55"/>
      <c r="C182" s="55"/>
      <c r="D182" s="55"/>
      <c r="E182" s="55"/>
      <c r="F182" s="55"/>
      <c r="G182" s="55"/>
      <c r="H182" s="55"/>
      <c r="I182" s="55"/>
      <c r="J182" s="55"/>
      <c r="K182" s="55"/>
      <c r="L182" s="55"/>
      <c r="M182" s="55"/>
      <c r="N182" s="55"/>
      <c r="O182" s="55"/>
      <c r="P182" s="55"/>
      <c r="Q182" s="56"/>
      <c r="R182" s="56"/>
      <c r="S182" s="56"/>
      <c r="T182" s="56"/>
      <c r="U182" s="56"/>
      <c r="V182" s="56"/>
      <c r="W182" s="56"/>
      <c r="X182" s="56"/>
      <c r="Y182" s="56"/>
      <c r="Z182" s="59"/>
    </row>
    <row r="183">
      <c r="A183" s="55"/>
      <c r="B183" s="55"/>
      <c r="C183" s="55"/>
      <c r="D183" s="55"/>
      <c r="E183" s="55"/>
      <c r="F183" s="55"/>
      <c r="G183" s="55"/>
      <c r="H183" s="55"/>
      <c r="I183" s="55"/>
      <c r="J183" s="55"/>
      <c r="K183" s="55"/>
      <c r="L183" s="55"/>
      <c r="M183" s="55"/>
      <c r="N183" s="55"/>
      <c r="O183" s="55"/>
      <c r="P183" s="55"/>
      <c r="Q183" s="56"/>
      <c r="R183" s="56"/>
      <c r="S183" s="56"/>
      <c r="T183" s="56"/>
      <c r="U183" s="56"/>
      <c r="V183" s="56"/>
      <c r="W183" s="56"/>
      <c r="X183" s="56"/>
      <c r="Y183" s="56"/>
      <c r="Z183" s="59"/>
    </row>
    <row r="184">
      <c r="A184" s="55"/>
      <c r="B184" s="55"/>
      <c r="C184" s="55"/>
      <c r="D184" s="55"/>
      <c r="E184" s="55"/>
      <c r="F184" s="55"/>
      <c r="G184" s="55"/>
      <c r="H184" s="55"/>
      <c r="I184" s="55"/>
      <c r="J184" s="55"/>
      <c r="K184" s="55"/>
      <c r="L184" s="55"/>
      <c r="M184" s="55"/>
      <c r="N184" s="55"/>
      <c r="O184" s="55"/>
      <c r="P184" s="55"/>
      <c r="Q184" s="56"/>
      <c r="R184" s="56"/>
      <c r="S184" s="56"/>
      <c r="T184" s="56"/>
      <c r="U184" s="56"/>
      <c r="V184" s="56"/>
      <c r="W184" s="56"/>
      <c r="X184" s="56"/>
      <c r="Y184" s="56"/>
      <c r="Z184" s="59"/>
    </row>
    <row r="185">
      <c r="A185" s="55"/>
      <c r="B185" s="55"/>
      <c r="C185" s="55"/>
      <c r="D185" s="55"/>
      <c r="E185" s="55"/>
      <c r="F185" s="55"/>
      <c r="G185" s="55"/>
      <c r="H185" s="55"/>
      <c r="I185" s="55"/>
      <c r="J185" s="55"/>
      <c r="K185" s="55"/>
      <c r="L185" s="55"/>
      <c r="M185" s="55"/>
      <c r="N185" s="55"/>
      <c r="O185" s="55"/>
      <c r="P185" s="55"/>
      <c r="Q185" s="56"/>
      <c r="R185" s="56"/>
      <c r="S185" s="56"/>
      <c r="T185" s="56"/>
      <c r="U185" s="56"/>
      <c r="V185" s="56"/>
      <c r="W185" s="56"/>
      <c r="X185" s="56"/>
      <c r="Y185" s="56"/>
      <c r="Z185" s="59"/>
    </row>
    <row r="186">
      <c r="A186" s="55"/>
      <c r="B186" s="55"/>
      <c r="C186" s="55"/>
      <c r="D186" s="55"/>
      <c r="E186" s="55"/>
      <c r="F186" s="55"/>
      <c r="G186" s="55"/>
      <c r="H186" s="55"/>
      <c r="I186" s="55"/>
      <c r="J186" s="55"/>
      <c r="K186" s="55"/>
      <c r="L186" s="55"/>
      <c r="M186" s="55"/>
      <c r="N186" s="55"/>
      <c r="O186" s="55"/>
      <c r="P186" s="55"/>
      <c r="Q186" s="56"/>
      <c r="R186" s="56"/>
      <c r="S186" s="56"/>
      <c r="T186" s="56"/>
      <c r="U186" s="56"/>
      <c r="V186" s="56"/>
      <c r="W186" s="56"/>
      <c r="X186" s="56"/>
      <c r="Y186" s="56"/>
      <c r="Z186" s="59"/>
    </row>
    <row r="187">
      <c r="A187" s="55"/>
      <c r="B187" s="55"/>
      <c r="C187" s="55"/>
      <c r="D187" s="55"/>
      <c r="E187" s="55"/>
      <c r="F187" s="55"/>
      <c r="G187" s="55"/>
      <c r="H187" s="55"/>
      <c r="I187" s="55"/>
      <c r="J187" s="55"/>
      <c r="K187" s="55"/>
      <c r="L187" s="55"/>
      <c r="M187" s="55"/>
      <c r="N187" s="55"/>
      <c r="O187" s="55"/>
      <c r="P187" s="55"/>
      <c r="Q187" s="56"/>
      <c r="R187" s="56"/>
      <c r="S187" s="56"/>
      <c r="T187" s="56"/>
      <c r="U187" s="56"/>
      <c r="V187" s="56"/>
      <c r="W187" s="56"/>
      <c r="X187" s="56"/>
      <c r="Y187" s="56"/>
      <c r="Z187" s="59"/>
    </row>
    <row r="188">
      <c r="A188" s="55"/>
      <c r="B188" s="55"/>
      <c r="C188" s="55"/>
      <c r="D188" s="55"/>
      <c r="E188" s="55"/>
      <c r="F188" s="55"/>
      <c r="G188" s="55"/>
      <c r="H188" s="55"/>
      <c r="I188" s="55"/>
      <c r="J188" s="55"/>
      <c r="K188" s="55"/>
      <c r="L188" s="55"/>
      <c r="M188" s="55"/>
      <c r="N188" s="55"/>
      <c r="O188" s="55"/>
      <c r="P188" s="55"/>
      <c r="Q188" s="56"/>
      <c r="R188" s="56"/>
      <c r="S188" s="56"/>
      <c r="T188" s="56"/>
      <c r="U188" s="56"/>
      <c r="V188" s="56"/>
      <c r="W188" s="56"/>
      <c r="X188" s="56"/>
      <c r="Y188" s="56"/>
      <c r="Z188" s="59"/>
    </row>
    <row r="189">
      <c r="A189" s="55"/>
      <c r="B189" s="55"/>
      <c r="C189" s="55"/>
      <c r="D189" s="55"/>
      <c r="E189" s="55"/>
      <c r="F189" s="55"/>
      <c r="G189" s="55"/>
      <c r="H189" s="55"/>
      <c r="I189" s="55"/>
      <c r="J189" s="55"/>
      <c r="K189" s="55"/>
      <c r="L189" s="55"/>
      <c r="M189" s="55"/>
      <c r="N189" s="55"/>
      <c r="O189" s="55"/>
      <c r="P189" s="55"/>
      <c r="Q189" s="56"/>
      <c r="R189" s="56"/>
      <c r="S189" s="56"/>
      <c r="T189" s="56"/>
      <c r="U189" s="56"/>
      <c r="V189" s="56"/>
      <c r="W189" s="56"/>
      <c r="X189" s="56"/>
      <c r="Y189" s="56"/>
      <c r="Z189" s="59"/>
    </row>
    <row r="190">
      <c r="A190" s="55"/>
      <c r="B190" s="55"/>
      <c r="C190" s="55"/>
      <c r="D190" s="55"/>
      <c r="E190" s="55"/>
      <c r="F190" s="55"/>
      <c r="G190" s="55"/>
      <c r="H190" s="55"/>
      <c r="I190" s="55"/>
      <c r="J190" s="55"/>
      <c r="K190" s="55"/>
      <c r="L190" s="55"/>
      <c r="M190" s="55"/>
      <c r="N190" s="55"/>
      <c r="O190" s="55"/>
      <c r="P190" s="55"/>
      <c r="Q190" s="56"/>
      <c r="R190" s="56"/>
      <c r="S190" s="56"/>
      <c r="T190" s="56"/>
      <c r="U190" s="56"/>
      <c r="V190" s="56"/>
      <c r="W190" s="56"/>
      <c r="X190" s="56"/>
      <c r="Y190" s="56"/>
      <c r="Z190" s="59"/>
    </row>
    <row r="191">
      <c r="A191" s="55"/>
      <c r="B191" s="55"/>
      <c r="C191" s="55"/>
      <c r="D191" s="55"/>
      <c r="E191" s="55"/>
      <c r="F191" s="55"/>
      <c r="G191" s="55"/>
      <c r="H191" s="55"/>
      <c r="I191" s="55"/>
      <c r="J191" s="55"/>
      <c r="K191" s="55"/>
      <c r="L191" s="55"/>
      <c r="M191" s="55"/>
      <c r="N191" s="55"/>
      <c r="O191" s="55"/>
      <c r="P191" s="55"/>
      <c r="Q191" s="56"/>
      <c r="R191" s="56"/>
      <c r="S191" s="56"/>
      <c r="T191" s="56"/>
      <c r="U191" s="56"/>
      <c r="V191" s="56"/>
      <c r="W191" s="56"/>
      <c r="X191" s="56"/>
      <c r="Y191" s="56"/>
      <c r="Z191" s="59"/>
    </row>
    <row r="192">
      <c r="A192" s="55"/>
      <c r="B192" s="55"/>
      <c r="C192" s="55"/>
      <c r="D192" s="55"/>
      <c r="E192" s="55"/>
      <c r="F192" s="55"/>
      <c r="G192" s="55"/>
      <c r="H192" s="55"/>
      <c r="I192" s="55"/>
      <c r="J192" s="55"/>
      <c r="K192" s="55"/>
      <c r="L192" s="55"/>
      <c r="M192" s="55"/>
      <c r="N192" s="55"/>
      <c r="O192" s="55"/>
      <c r="P192" s="55"/>
      <c r="Q192" s="56"/>
      <c r="R192" s="56"/>
      <c r="S192" s="56"/>
      <c r="T192" s="56"/>
      <c r="U192" s="56"/>
      <c r="V192" s="56"/>
      <c r="W192" s="56"/>
      <c r="X192" s="56"/>
      <c r="Y192" s="56"/>
      <c r="Z192" s="59"/>
    </row>
    <row r="193">
      <c r="A193" s="55"/>
      <c r="B193" s="55"/>
      <c r="C193" s="55"/>
      <c r="D193" s="55"/>
      <c r="E193" s="55"/>
      <c r="F193" s="55"/>
      <c r="G193" s="55"/>
      <c r="H193" s="55"/>
      <c r="I193" s="55"/>
      <c r="J193" s="55"/>
      <c r="K193" s="55"/>
      <c r="L193" s="55"/>
      <c r="M193" s="55"/>
      <c r="N193" s="55"/>
      <c r="O193" s="55"/>
      <c r="P193" s="55"/>
      <c r="Q193" s="56"/>
      <c r="R193" s="56"/>
      <c r="S193" s="56"/>
      <c r="T193" s="56"/>
      <c r="U193" s="56"/>
      <c r="V193" s="56"/>
      <c r="W193" s="56"/>
      <c r="X193" s="56"/>
      <c r="Y193" s="56"/>
      <c r="Z193" s="59"/>
    </row>
    <row r="194">
      <c r="A194" s="55"/>
      <c r="B194" s="55"/>
      <c r="C194" s="55"/>
      <c r="D194" s="55"/>
      <c r="E194" s="55"/>
      <c r="F194" s="55"/>
      <c r="G194" s="55"/>
      <c r="H194" s="55"/>
      <c r="I194" s="55"/>
      <c r="J194" s="55"/>
      <c r="K194" s="55"/>
      <c r="L194" s="55"/>
      <c r="M194" s="55"/>
      <c r="N194" s="55"/>
      <c r="O194" s="55"/>
      <c r="P194" s="55"/>
      <c r="Q194" s="56"/>
      <c r="R194" s="56"/>
      <c r="S194" s="56"/>
      <c r="T194" s="56"/>
      <c r="U194" s="56"/>
      <c r="V194" s="56"/>
      <c r="W194" s="56"/>
      <c r="X194" s="56"/>
      <c r="Y194" s="56"/>
      <c r="Z194" s="59"/>
    </row>
    <row r="195">
      <c r="A195" s="55"/>
      <c r="B195" s="55"/>
      <c r="C195" s="55"/>
      <c r="D195" s="55"/>
      <c r="E195" s="55"/>
      <c r="F195" s="55"/>
      <c r="G195" s="55"/>
      <c r="H195" s="55"/>
      <c r="I195" s="55"/>
      <c r="J195" s="55"/>
      <c r="K195" s="55"/>
      <c r="L195" s="55"/>
      <c r="M195" s="55"/>
      <c r="N195" s="55"/>
      <c r="O195" s="55"/>
      <c r="P195" s="55"/>
      <c r="Q195" s="56"/>
      <c r="R195" s="56"/>
      <c r="S195" s="56"/>
      <c r="T195" s="56"/>
      <c r="U195" s="56"/>
      <c r="V195" s="56"/>
      <c r="W195" s="56"/>
      <c r="X195" s="56"/>
      <c r="Y195" s="56"/>
      <c r="Z195" s="59"/>
    </row>
    <row r="196">
      <c r="A196" s="55"/>
      <c r="B196" s="55"/>
      <c r="C196" s="55"/>
      <c r="D196" s="55"/>
      <c r="E196" s="55"/>
      <c r="F196" s="55"/>
      <c r="G196" s="55"/>
      <c r="H196" s="55"/>
      <c r="I196" s="55"/>
      <c r="J196" s="55"/>
      <c r="K196" s="55"/>
      <c r="L196" s="55"/>
      <c r="M196" s="55"/>
      <c r="N196" s="55"/>
      <c r="O196" s="55"/>
      <c r="P196" s="55"/>
      <c r="Q196" s="56"/>
      <c r="R196" s="56"/>
      <c r="S196" s="56"/>
      <c r="T196" s="56"/>
      <c r="U196" s="56"/>
      <c r="V196" s="56"/>
      <c r="W196" s="56"/>
      <c r="X196" s="56"/>
      <c r="Y196" s="56"/>
      <c r="Z196" s="59"/>
    </row>
    <row r="197">
      <c r="A197" s="55"/>
      <c r="B197" s="55"/>
      <c r="C197" s="55"/>
      <c r="D197" s="55"/>
      <c r="E197" s="55"/>
      <c r="F197" s="55"/>
      <c r="G197" s="55"/>
      <c r="H197" s="55"/>
      <c r="I197" s="55"/>
      <c r="J197" s="55"/>
      <c r="K197" s="55"/>
      <c r="L197" s="55"/>
      <c r="M197" s="55"/>
      <c r="N197" s="55"/>
      <c r="O197" s="55"/>
      <c r="P197" s="55"/>
      <c r="Q197" s="56"/>
      <c r="R197" s="56"/>
      <c r="S197" s="56"/>
      <c r="T197" s="56"/>
      <c r="U197" s="56"/>
      <c r="V197" s="56"/>
      <c r="W197" s="56"/>
      <c r="X197" s="56"/>
      <c r="Y197" s="56"/>
      <c r="Z197" s="59"/>
    </row>
    <row r="198">
      <c r="A198" s="55"/>
      <c r="B198" s="55"/>
      <c r="C198" s="55"/>
      <c r="D198" s="55"/>
      <c r="E198" s="55"/>
      <c r="F198" s="55"/>
      <c r="G198" s="55"/>
      <c r="H198" s="55"/>
      <c r="I198" s="55"/>
      <c r="J198" s="55"/>
      <c r="K198" s="55"/>
      <c r="L198" s="55"/>
      <c r="M198" s="55"/>
      <c r="N198" s="55"/>
      <c r="O198" s="55"/>
      <c r="P198" s="55"/>
      <c r="Q198" s="56"/>
      <c r="R198" s="56"/>
      <c r="S198" s="56"/>
      <c r="T198" s="56"/>
      <c r="U198" s="56"/>
      <c r="V198" s="56"/>
      <c r="W198" s="56"/>
      <c r="X198" s="56"/>
      <c r="Y198" s="56"/>
      <c r="Z198" s="59"/>
    </row>
    <row r="199">
      <c r="A199" s="55"/>
      <c r="B199" s="55"/>
      <c r="C199" s="55"/>
      <c r="D199" s="55"/>
      <c r="E199" s="55"/>
      <c r="F199" s="55"/>
      <c r="G199" s="55"/>
      <c r="H199" s="55"/>
      <c r="I199" s="55"/>
      <c r="J199" s="55"/>
      <c r="K199" s="55"/>
      <c r="L199" s="55"/>
      <c r="M199" s="55"/>
      <c r="N199" s="55"/>
      <c r="O199" s="55"/>
      <c r="P199" s="55"/>
      <c r="Q199" s="56"/>
      <c r="R199" s="56"/>
      <c r="S199" s="56"/>
      <c r="T199" s="56"/>
      <c r="U199" s="56"/>
      <c r="V199" s="56"/>
      <c r="W199" s="56"/>
      <c r="X199" s="56"/>
      <c r="Y199" s="56"/>
      <c r="Z199" s="59"/>
    </row>
    <row r="200">
      <c r="A200" s="55"/>
      <c r="B200" s="55"/>
      <c r="C200" s="55"/>
      <c r="D200" s="55"/>
      <c r="E200" s="55"/>
      <c r="F200" s="55"/>
      <c r="G200" s="55"/>
      <c r="H200" s="55"/>
      <c r="I200" s="55"/>
      <c r="J200" s="55"/>
      <c r="K200" s="55"/>
      <c r="L200" s="55"/>
      <c r="M200" s="55"/>
      <c r="N200" s="55"/>
      <c r="O200" s="55"/>
      <c r="P200" s="55"/>
      <c r="Q200" s="56"/>
      <c r="R200" s="56"/>
      <c r="S200" s="56"/>
      <c r="T200" s="56"/>
      <c r="U200" s="56"/>
      <c r="V200" s="56"/>
      <c r="W200" s="56"/>
      <c r="X200" s="56"/>
      <c r="Y200" s="56"/>
      <c r="Z200" s="59"/>
    </row>
    <row r="201">
      <c r="A201" s="55"/>
      <c r="B201" s="55"/>
      <c r="C201" s="55"/>
      <c r="D201" s="55"/>
      <c r="E201" s="55"/>
      <c r="F201" s="55"/>
      <c r="G201" s="55"/>
      <c r="H201" s="55"/>
      <c r="I201" s="55"/>
      <c r="J201" s="55"/>
      <c r="K201" s="55"/>
      <c r="L201" s="55"/>
      <c r="M201" s="55"/>
      <c r="N201" s="55"/>
      <c r="O201" s="55"/>
      <c r="P201" s="55"/>
      <c r="Q201" s="56"/>
      <c r="R201" s="56"/>
      <c r="S201" s="56"/>
      <c r="T201" s="56"/>
      <c r="U201" s="56"/>
      <c r="V201" s="56"/>
      <c r="W201" s="56"/>
      <c r="X201" s="56"/>
      <c r="Y201" s="56"/>
      <c r="Z201" s="59"/>
    </row>
    <row r="202">
      <c r="A202" s="55"/>
      <c r="B202" s="55"/>
      <c r="C202" s="55"/>
      <c r="D202" s="55"/>
      <c r="E202" s="55"/>
      <c r="F202" s="55"/>
      <c r="G202" s="55"/>
      <c r="H202" s="55"/>
      <c r="I202" s="55"/>
      <c r="J202" s="55"/>
      <c r="K202" s="55"/>
      <c r="L202" s="55"/>
      <c r="M202" s="55"/>
      <c r="N202" s="55"/>
      <c r="O202" s="55"/>
      <c r="P202" s="55"/>
      <c r="Q202" s="56"/>
      <c r="R202" s="56"/>
      <c r="S202" s="56"/>
      <c r="T202" s="56"/>
      <c r="U202" s="56"/>
      <c r="V202" s="56"/>
      <c r="W202" s="56"/>
      <c r="X202" s="56"/>
      <c r="Y202" s="56"/>
      <c r="Z202" s="59"/>
    </row>
    <row r="203">
      <c r="A203" s="55"/>
      <c r="B203" s="55"/>
      <c r="C203" s="55"/>
      <c r="D203" s="55"/>
      <c r="E203" s="55"/>
      <c r="F203" s="55"/>
      <c r="G203" s="55"/>
      <c r="H203" s="55"/>
      <c r="I203" s="55"/>
      <c r="J203" s="55"/>
      <c r="K203" s="55"/>
      <c r="L203" s="55"/>
      <c r="M203" s="55"/>
      <c r="N203" s="55"/>
      <c r="O203" s="55"/>
      <c r="P203" s="55"/>
      <c r="Q203" s="56"/>
      <c r="R203" s="56"/>
      <c r="S203" s="56"/>
      <c r="T203" s="56"/>
      <c r="U203" s="56"/>
      <c r="V203" s="56"/>
      <c r="W203" s="56"/>
      <c r="X203" s="56"/>
      <c r="Y203" s="56"/>
      <c r="Z203" s="59"/>
    </row>
    <row r="204">
      <c r="A204" s="55"/>
      <c r="B204" s="55"/>
      <c r="C204" s="55"/>
      <c r="D204" s="55"/>
      <c r="E204" s="55"/>
      <c r="F204" s="55"/>
      <c r="G204" s="55"/>
      <c r="H204" s="55"/>
      <c r="I204" s="55"/>
      <c r="J204" s="55"/>
      <c r="K204" s="55"/>
      <c r="L204" s="55"/>
      <c r="M204" s="55"/>
      <c r="N204" s="55"/>
      <c r="O204" s="55"/>
      <c r="P204" s="55"/>
      <c r="Q204" s="56"/>
      <c r="R204" s="56"/>
      <c r="S204" s="56"/>
      <c r="T204" s="56"/>
      <c r="U204" s="56"/>
      <c r="V204" s="56"/>
      <c r="W204" s="56"/>
      <c r="X204" s="56"/>
      <c r="Y204" s="56"/>
      <c r="Z204" s="59"/>
    </row>
    <row r="205">
      <c r="A205" s="55"/>
      <c r="B205" s="55"/>
      <c r="C205" s="55"/>
      <c r="D205" s="55"/>
      <c r="E205" s="55"/>
      <c r="F205" s="55"/>
      <c r="G205" s="55"/>
      <c r="H205" s="55"/>
      <c r="I205" s="55"/>
      <c r="J205" s="55"/>
      <c r="K205" s="55"/>
      <c r="L205" s="55"/>
      <c r="M205" s="55"/>
      <c r="N205" s="55"/>
      <c r="O205" s="55"/>
      <c r="P205" s="55"/>
      <c r="Q205" s="56"/>
      <c r="R205" s="56"/>
      <c r="S205" s="56"/>
      <c r="T205" s="56"/>
      <c r="U205" s="56"/>
      <c r="V205" s="56"/>
      <c r="W205" s="56"/>
      <c r="X205" s="56"/>
      <c r="Y205" s="56"/>
      <c r="Z205" s="59"/>
    </row>
    <row r="206">
      <c r="A206" s="55"/>
      <c r="B206" s="55"/>
      <c r="C206" s="55"/>
      <c r="D206" s="55"/>
      <c r="E206" s="55"/>
      <c r="F206" s="55"/>
      <c r="G206" s="55"/>
      <c r="H206" s="55"/>
      <c r="I206" s="55"/>
      <c r="J206" s="55"/>
      <c r="K206" s="55"/>
      <c r="L206" s="55"/>
      <c r="M206" s="55"/>
      <c r="N206" s="55"/>
      <c r="O206" s="55"/>
      <c r="P206" s="55"/>
      <c r="Q206" s="56"/>
      <c r="R206" s="56"/>
      <c r="S206" s="56"/>
      <c r="T206" s="56"/>
      <c r="U206" s="56"/>
      <c r="V206" s="56"/>
      <c r="W206" s="56"/>
      <c r="X206" s="56"/>
      <c r="Y206" s="56"/>
      <c r="Z206" s="59"/>
    </row>
    <row r="207">
      <c r="A207" s="55"/>
      <c r="B207" s="55"/>
      <c r="C207" s="55"/>
      <c r="D207" s="55"/>
      <c r="E207" s="55"/>
      <c r="F207" s="55"/>
      <c r="G207" s="55"/>
      <c r="H207" s="55"/>
      <c r="I207" s="55"/>
      <c r="J207" s="55"/>
      <c r="K207" s="55"/>
      <c r="L207" s="55"/>
      <c r="M207" s="55"/>
      <c r="N207" s="55"/>
      <c r="O207" s="55"/>
      <c r="P207" s="55"/>
      <c r="Q207" s="56"/>
      <c r="R207" s="56"/>
      <c r="S207" s="56"/>
      <c r="T207" s="56"/>
      <c r="U207" s="56"/>
      <c r="V207" s="56"/>
      <c r="W207" s="56"/>
      <c r="X207" s="56"/>
      <c r="Y207" s="56"/>
      <c r="Z207" s="59"/>
    </row>
    <row r="208">
      <c r="A208" s="55"/>
      <c r="B208" s="55"/>
      <c r="C208" s="55"/>
      <c r="D208" s="55"/>
      <c r="E208" s="55"/>
      <c r="F208" s="55"/>
      <c r="G208" s="55"/>
      <c r="H208" s="55"/>
      <c r="I208" s="55"/>
      <c r="J208" s="55"/>
      <c r="K208" s="55"/>
      <c r="L208" s="55"/>
      <c r="M208" s="55"/>
      <c r="N208" s="55"/>
      <c r="O208" s="55"/>
      <c r="P208" s="55"/>
      <c r="Q208" s="56"/>
      <c r="R208" s="56"/>
      <c r="S208" s="56"/>
      <c r="T208" s="56"/>
      <c r="U208" s="56"/>
      <c r="V208" s="56"/>
      <c r="W208" s="56"/>
      <c r="X208" s="56"/>
      <c r="Y208" s="56"/>
      <c r="Z208" s="59"/>
    </row>
    <row r="209">
      <c r="A209" s="55"/>
      <c r="B209" s="55"/>
      <c r="C209" s="55"/>
      <c r="D209" s="55"/>
      <c r="E209" s="55"/>
      <c r="F209" s="55"/>
      <c r="G209" s="55"/>
      <c r="H209" s="55"/>
      <c r="I209" s="55"/>
      <c r="J209" s="55"/>
      <c r="K209" s="55"/>
      <c r="L209" s="55"/>
      <c r="M209" s="55"/>
      <c r="N209" s="55"/>
      <c r="O209" s="55"/>
      <c r="P209" s="55"/>
      <c r="Q209" s="56"/>
      <c r="R209" s="56"/>
      <c r="S209" s="56"/>
      <c r="T209" s="56"/>
      <c r="U209" s="56"/>
      <c r="V209" s="56"/>
      <c r="W209" s="56"/>
      <c r="X209" s="56"/>
      <c r="Y209" s="56"/>
      <c r="Z209" s="59"/>
    </row>
    <row r="210">
      <c r="A210" s="55"/>
      <c r="B210" s="55"/>
      <c r="C210" s="55"/>
      <c r="D210" s="55"/>
      <c r="E210" s="55"/>
      <c r="F210" s="55"/>
      <c r="G210" s="55"/>
      <c r="H210" s="55"/>
      <c r="I210" s="55"/>
      <c r="J210" s="55"/>
      <c r="K210" s="55"/>
      <c r="L210" s="55"/>
      <c r="M210" s="55"/>
      <c r="N210" s="55"/>
      <c r="O210" s="55"/>
      <c r="P210" s="55"/>
      <c r="Q210" s="56"/>
      <c r="R210" s="56"/>
      <c r="S210" s="56"/>
      <c r="T210" s="56"/>
      <c r="U210" s="56"/>
      <c r="V210" s="56"/>
      <c r="W210" s="56"/>
      <c r="X210" s="56"/>
      <c r="Y210" s="56"/>
      <c r="Z210" s="59"/>
    </row>
    <row r="211">
      <c r="A211" s="55"/>
      <c r="B211" s="55"/>
      <c r="C211" s="55"/>
      <c r="D211" s="55"/>
      <c r="E211" s="55"/>
      <c r="F211" s="55"/>
      <c r="G211" s="55"/>
      <c r="H211" s="55"/>
      <c r="I211" s="55"/>
      <c r="J211" s="55"/>
      <c r="K211" s="55"/>
      <c r="L211" s="55"/>
      <c r="M211" s="55"/>
      <c r="N211" s="55"/>
      <c r="O211" s="55"/>
      <c r="P211" s="55"/>
      <c r="Q211" s="56"/>
      <c r="R211" s="56"/>
      <c r="S211" s="56"/>
      <c r="T211" s="56"/>
      <c r="U211" s="56"/>
      <c r="V211" s="56"/>
      <c r="W211" s="56"/>
      <c r="X211" s="56"/>
      <c r="Y211" s="56"/>
      <c r="Z211" s="59"/>
    </row>
    <row r="212">
      <c r="A212" s="55"/>
      <c r="B212" s="55"/>
      <c r="C212" s="55"/>
      <c r="D212" s="55"/>
      <c r="E212" s="55"/>
      <c r="F212" s="55"/>
      <c r="G212" s="55"/>
      <c r="H212" s="55"/>
      <c r="I212" s="55"/>
      <c r="J212" s="55"/>
      <c r="K212" s="55"/>
      <c r="L212" s="55"/>
      <c r="M212" s="55"/>
      <c r="N212" s="55"/>
      <c r="O212" s="55"/>
      <c r="P212" s="55"/>
      <c r="Q212" s="56"/>
      <c r="R212" s="56"/>
      <c r="S212" s="56"/>
      <c r="T212" s="56"/>
      <c r="U212" s="56"/>
      <c r="V212" s="56"/>
      <c r="W212" s="56"/>
      <c r="X212" s="56"/>
      <c r="Y212" s="56"/>
      <c r="Z212" s="59"/>
    </row>
    <row r="213">
      <c r="A213" s="55"/>
      <c r="B213" s="55"/>
      <c r="C213" s="55"/>
      <c r="D213" s="55"/>
      <c r="E213" s="55"/>
      <c r="F213" s="55"/>
      <c r="G213" s="55"/>
      <c r="H213" s="55"/>
      <c r="I213" s="55"/>
      <c r="J213" s="55"/>
      <c r="K213" s="55"/>
      <c r="L213" s="55"/>
      <c r="M213" s="55"/>
      <c r="N213" s="55"/>
      <c r="O213" s="55"/>
      <c r="P213" s="55"/>
      <c r="Q213" s="56"/>
      <c r="R213" s="56"/>
      <c r="S213" s="56"/>
      <c r="T213" s="56"/>
      <c r="U213" s="56"/>
      <c r="V213" s="56"/>
      <c r="W213" s="56"/>
      <c r="X213" s="56"/>
      <c r="Y213" s="56"/>
      <c r="Z213" s="59"/>
    </row>
    <row r="214">
      <c r="A214" s="55"/>
      <c r="B214" s="55"/>
      <c r="C214" s="55"/>
      <c r="D214" s="55"/>
      <c r="E214" s="55"/>
      <c r="F214" s="55"/>
      <c r="G214" s="55"/>
      <c r="H214" s="55"/>
      <c r="I214" s="55"/>
      <c r="J214" s="55"/>
      <c r="K214" s="55"/>
      <c r="L214" s="55"/>
      <c r="M214" s="55"/>
      <c r="N214" s="55"/>
      <c r="O214" s="55"/>
      <c r="P214" s="55"/>
      <c r="Q214" s="56"/>
      <c r="R214" s="56"/>
      <c r="S214" s="56"/>
      <c r="T214" s="56"/>
      <c r="U214" s="56"/>
      <c r="V214" s="56"/>
      <c r="W214" s="56"/>
      <c r="X214" s="56"/>
      <c r="Y214" s="56"/>
      <c r="Z214" s="59"/>
    </row>
    <row r="215">
      <c r="A215" s="55"/>
      <c r="B215" s="55"/>
      <c r="C215" s="55"/>
      <c r="D215" s="55"/>
      <c r="E215" s="55"/>
      <c r="F215" s="55"/>
      <c r="G215" s="55"/>
      <c r="H215" s="55"/>
      <c r="I215" s="55"/>
      <c r="J215" s="55"/>
      <c r="K215" s="55"/>
      <c r="L215" s="55"/>
      <c r="M215" s="55"/>
      <c r="N215" s="55"/>
      <c r="O215" s="55"/>
      <c r="P215" s="55"/>
      <c r="Q215" s="56"/>
      <c r="R215" s="56"/>
      <c r="S215" s="56"/>
      <c r="T215" s="56"/>
      <c r="U215" s="56"/>
      <c r="V215" s="56"/>
      <c r="W215" s="56"/>
      <c r="X215" s="56"/>
      <c r="Y215" s="56"/>
      <c r="Z215" s="59"/>
    </row>
    <row r="216">
      <c r="A216" s="55"/>
      <c r="B216" s="55"/>
      <c r="C216" s="55"/>
      <c r="D216" s="55"/>
      <c r="E216" s="55"/>
      <c r="F216" s="55"/>
      <c r="G216" s="55"/>
      <c r="H216" s="55"/>
      <c r="I216" s="55"/>
      <c r="J216" s="55"/>
      <c r="K216" s="55"/>
      <c r="L216" s="55"/>
      <c r="M216" s="55"/>
      <c r="N216" s="55"/>
      <c r="O216" s="55"/>
      <c r="P216" s="55"/>
      <c r="Q216" s="56"/>
      <c r="R216" s="56"/>
      <c r="S216" s="56"/>
      <c r="T216" s="56"/>
      <c r="U216" s="56"/>
      <c r="V216" s="56"/>
      <c r="W216" s="56"/>
      <c r="X216" s="56"/>
      <c r="Y216" s="56"/>
      <c r="Z216" s="59"/>
    </row>
    <row r="217">
      <c r="A217" s="55"/>
      <c r="B217" s="55"/>
      <c r="C217" s="55"/>
      <c r="D217" s="55"/>
      <c r="E217" s="55"/>
      <c r="F217" s="55"/>
      <c r="G217" s="55"/>
      <c r="H217" s="55"/>
      <c r="I217" s="55"/>
      <c r="J217" s="55"/>
      <c r="K217" s="55"/>
      <c r="L217" s="55"/>
      <c r="M217" s="55"/>
      <c r="N217" s="55"/>
      <c r="O217" s="55"/>
      <c r="P217" s="55"/>
      <c r="Q217" s="56"/>
      <c r="R217" s="56"/>
      <c r="S217" s="56"/>
      <c r="T217" s="56"/>
      <c r="U217" s="56"/>
      <c r="V217" s="56"/>
      <c r="W217" s="56"/>
      <c r="X217" s="56"/>
      <c r="Y217" s="56"/>
      <c r="Z217" s="59"/>
    </row>
    <row r="218">
      <c r="A218" s="55"/>
      <c r="B218" s="55"/>
      <c r="C218" s="55"/>
      <c r="D218" s="55"/>
      <c r="E218" s="55"/>
      <c r="F218" s="55"/>
      <c r="G218" s="55"/>
      <c r="H218" s="55"/>
      <c r="I218" s="55"/>
      <c r="J218" s="55"/>
      <c r="K218" s="55"/>
      <c r="L218" s="55"/>
      <c r="M218" s="55"/>
      <c r="N218" s="55"/>
      <c r="O218" s="55"/>
      <c r="P218" s="55"/>
      <c r="Q218" s="56"/>
      <c r="R218" s="56"/>
      <c r="S218" s="56"/>
      <c r="T218" s="56"/>
      <c r="U218" s="56"/>
      <c r="V218" s="56"/>
      <c r="W218" s="56"/>
      <c r="X218" s="56"/>
      <c r="Y218" s="56"/>
      <c r="Z218" s="59"/>
    </row>
    <row r="219">
      <c r="A219" s="55"/>
      <c r="B219" s="55"/>
      <c r="C219" s="55"/>
      <c r="D219" s="55"/>
      <c r="E219" s="55"/>
      <c r="F219" s="55"/>
      <c r="G219" s="55"/>
      <c r="H219" s="55"/>
      <c r="I219" s="55"/>
      <c r="J219" s="55"/>
      <c r="K219" s="55"/>
      <c r="L219" s="55"/>
      <c r="M219" s="55"/>
      <c r="N219" s="55"/>
      <c r="O219" s="55"/>
      <c r="P219" s="55"/>
      <c r="Q219" s="56"/>
      <c r="R219" s="56"/>
      <c r="S219" s="56"/>
      <c r="T219" s="56"/>
      <c r="U219" s="56"/>
      <c r="V219" s="56"/>
      <c r="W219" s="56"/>
      <c r="X219" s="56"/>
      <c r="Y219" s="56"/>
      <c r="Z219" s="59"/>
    </row>
    <row r="220">
      <c r="A220" s="55"/>
      <c r="B220" s="55"/>
      <c r="C220" s="55"/>
      <c r="D220" s="55"/>
      <c r="E220" s="55"/>
      <c r="F220" s="55"/>
      <c r="G220" s="55"/>
      <c r="H220" s="55"/>
      <c r="I220" s="55"/>
      <c r="J220" s="55"/>
      <c r="K220" s="55"/>
      <c r="L220" s="55"/>
      <c r="M220" s="55"/>
      <c r="N220" s="55"/>
      <c r="O220" s="55"/>
      <c r="P220" s="55"/>
      <c r="Q220" s="56"/>
      <c r="R220" s="56"/>
      <c r="S220" s="56"/>
      <c r="T220" s="56"/>
      <c r="U220" s="56"/>
      <c r="V220" s="56"/>
      <c r="W220" s="56"/>
      <c r="X220" s="56"/>
      <c r="Y220" s="56"/>
      <c r="Z220" s="59"/>
    </row>
    <row r="221">
      <c r="A221" s="55"/>
      <c r="B221" s="55"/>
      <c r="C221" s="55"/>
      <c r="D221" s="55"/>
      <c r="E221" s="55"/>
      <c r="F221" s="55"/>
      <c r="G221" s="55"/>
      <c r="H221" s="55"/>
      <c r="I221" s="55"/>
      <c r="J221" s="55"/>
      <c r="K221" s="55"/>
      <c r="L221" s="55"/>
      <c r="M221" s="55"/>
      <c r="N221" s="55"/>
      <c r="O221" s="55"/>
      <c r="P221" s="55"/>
      <c r="Q221" s="56"/>
      <c r="R221" s="56"/>
      <c r="S221" s="56"/>
      <c r="T221" s="56"/>
      <c r="U221" s="56"/>
      <c r="V221" s="56"/>
      <c r="W221" s="56"/>
      <c r="X221" s="56"/>
      <c r="Y221" s="56"/>
      <c r="Z221" s="59"/>
    </row>
    <row r="222">
      <c r="A222" s="55"/>
      <c r="B222" s="55"/>
      <c r="C222" s="55"/>
      <c r="D222" s="55"/>
      <c r="E222" s="55"/>
      <c r="F222" s="55"/>
      <c r="G222" s="55"/>
      <c r="H222" s="55"/>
      <c r="I222" s="55"/>
      <c r="J222" s="55"/>
      <c r="K222" s="55"/>
      <c r="L222" s="55"/>
      <c r="M222" s="55"/>
      <c r="N222" s="55"/>
      <c r="O222" s="55"/>
      <c r="P222" s="55"/>
      <c r="Q222" s="56"/>
      <c r="R222" s="56"/>
      <c r="S222" s="56"/>
      <c r="T222" s="56"/>
      <c r="U222" s="56"/>
      <c r="V222" s="56"/>
      <c r="W222" s="56"/>
      <c r="X222" s="56"/>
      <c r="Y222" s="56"/>
      <c r="Z222" s="59"/>
    </row>
    <row r="223">
      <c r="A223" s="55"/>
      <c r="B223" s="55"/>
      <c r="C223" s="55"/>
      <c r="D223" s="55"/>
      <c r="E223" s="55"/>
      <c r="F223" s="55"/>
      <c r="G223" s="55"/>
      <c r="H223" s="55"/>
      <c r="I223" s="55"/>
      <c r="J223" s="55"/>
      <c r="K223" s="55"/>
      <c r="L223" s="55"/>
      <c r="M223" s="55"/>
      <c r="N223" s="55"/>
      <c r="O223" s="55"/>
      <c r="P223" s="55"/>
      <c r="Q223" s="56"/>
      <c r="R223" s="56"/>
      <c r="S223" s="56"/>
      <c r="T223" s="56"/>
      <c r="U223" s="56"/>
      <c r="V223" s="56"/>
      <c r="W223" s="56"/>
      <c r="X223" s="56"/>
      <c r="Y223" s="56"/>
      <c r="Z223" s="59"/>
    </row>
    <row r="224">
      <c r="A224" s="55"/>
      <c r="B224" s="55"/>
      <c r="C224" s="55"/>
      <c r="D224" s="55"/>
      <c r="E224" s="55"/>
      <c r="F224" s="55"/>
      <c r="G224" s="55"/>
      <c r="H224" s="55"/>
      <c r="I224" s="55"/>
      <c r="J224" s="55"/>
      <c r="K224" s="55"/>
      <c r="L224" s="55"/>
      <c r="M224" s="55"/>
      <c r="N224" s="55"/>
      <c r="O224" s="55"/>
      <c r="P224" s="55"/>
      <c r="Q224" s="56"/>
      <c r="R224" s="56"/>
      <c r="S224" s="56"/>
      <c r="T224" s="56"/>
      <c r="U224" s="56"/>
      <c r="V224" s="56"/>
      <c r="W224" s="56"/>
      <c r="X224" s="56"/>
      <c r="Y224" s="56"/>
      <c r="Z224" s="59"/>
    </row>
    <row r="225">
      <c r="A225" s="55"/>
      <c r="B225" s="55"/>
      <c r="C225" s="55"/>
      <c r="D225" s="55"/>
      <c r="E225" s="55"/>
      <c r="F225" s="55"/>
      <c r="G225" s="55"/>
      <c r="H225" s="55"/>
      <c r="I225" s="55"/>
      <c r="J225" s="55"/>
      <c r="K225" s="55"/>
      <c r="L225" s="55"/>
      <c r="M225" s="55"/>
      <c r="N225" s="55"/>
      <c r="O225" s="55"/>
      <c r="P225" s="55"/>
      <c r="Q225" s="56"/>
      <c r="R225" s="56"/>
      <c r="S225" s="56"/>
      <c r="T225" s="56"/>
      <c r="U225" s="56"/>
      <c r="V225" s="56"/>
      <c r="W225" s="56"/>
      <c r="X225" s="56"/>
      <c r="Y225" s="56"/>
      <c r="Z225" s="59"/>
    </row>
    <row r="226">
      <c r="A226" s="55"/>
      <c r="B226" s="55"/>
      <c r="C226" s="55"/>
      <c r="D226" s="55"/>
      <c r="E226" s="55"/>
      <c r="F226" s="55"/>
      <c r="G226" s="55"/>
      <c r="H226" s="55"/>
      <c r="I226" s="55"/>
      <c r="J226" s="55"/>
      <c r="K226" s="55"/>
      <c r="L226" s="55"/>
      <c r="M226" s="55"/>
      <c r="N226" s="55"/>
      <c r="O226" s="55"/>
      <c r="P226" s="55"/>
      <c r="Q226" s="56"/>
      <c r="R226" s="56"/>
      <c r="S226" s="56"/>
      <c r="T226" s="56"/>
      <c r="U226" s="56"/>
      <c r="V226" s="56"/>
      <c r="W226" s="56"/>
      <c r="X226" s="56"/>
      <c r="Y226" s="56"/>
      <c r="Z226" s="59"/>
    </row>
    <row r="227">
      <c r="A227" s="55"/>
      <c r="B227" s="55"/>
      <c r="C227" s="55"/>
      <c r="D227" s="55"/>
      <c r="E227" s="55"/>
      <c r="F227" s="55"/>
      <c r="G227" s="55"/>
      <c r="H227" s="55"/>
      <c r="I227" s="55"/>
      <c r="J227" s="55"/>
      <c r="K227" s="55"/>
      <c r="L227" s="55"/>
      <c r="M227" s="55"/>
      <c r="N227" s="55"/>
      <c r="O227" s="55"/>
      <c r="P227" s="55"/>
      <c r="Q227" s="56"/>
      <c r="R227" s="56"/>
      <c r="S227" s="56"/>
      <c r="T227" s="56"/>
      <c r="U227" s="56"/>
      <c r="V227" s="56"/>
      <c r="W227" s="56"/>
      <c r="X227" s="56"/>
      <c r="Y227" s="56"/>
      <c r="Z227" s="59"/>
    </row>
    <row r="228">
      <c r="A228" s="55"/>
      <c r="B228" s="55"/>
      <c r="C228" s="55"/>
      <c r="D228" s="55"/>
      <c r="E228" s="55"/>
      <c r="F228" s="55"/>
      <c r="G228" s="55"/>
      <c r="H228" s="55"/>
      <c r="I228" s="55"/>
      <c r="J228" s="55"/>
      <c r="K228" s="55"/>
      <c r="L228" s="55"/>
      <c r="M228" s="55"/>
      <c r="N228" s="55"/>
      <c r="O228" s="55"/>
      <c r="P228" s="55"/>
      <c r="Q228" s="56"/>
      <c r="R228" s="56"/>
      <c r="S228" s="56"/>
      <c r="T228" s="56"/>
      <c r="U228" s="56"/>
      <c r="V228" s="56"/>
      <c r="W228" s="56"/>
      <c r="X228" s="56"/>
      <c r="Y228" s="56"/>
      <c r="Z228" s="59"/>
    </row>
    <row r="229">
      <c r="A229" s="55"/>
      <c r="B229" s="55"/>
      <c r="C229" s="55"/>
      <c r="D229" s="55"/>
      <c r="E229" s="55"/>
      <c r="F229" s="55"/>
      <c r="G229" s="55"/>
      <c r="H229" s="55"/>
      <c r="I229" s="55"/>
      <c r="J229" s="55"/>
      <c r="K229" s="55"/>
      <c r="L229" s="55"/>
      <c r="M229" s="55"/>
      <c r="N229" s="55"/>
      <c r="O229" s="55"/>
      <c r="P229" s="55"/>
      <c r="Q229" s="56"/>
      <c r="R229" s="56"/>
      <c r="S229" s="56"/>
      <c r="T229" s="56"/>
      <c r="U229" s="56"/>
      <c r="V229" s="56"/>
      <c r="W229" s="56"/>
      <c r="X229" s="56"/>
      <c r="Y229" s="56"/>
      <c r="Z229" s="59"/>
    </row>
    <row r="230">
      <c r="A230" s="55"/>
      <c r="B230" s="55"/>
      <c r="C230" s="55"/>
      <c r="D230" s="55"/>
      <c r="E230" s="55"/>
      <c r="F230" s="55"/>
      <c r="G230" s="55"/>
      <c r="H230" s="55"/>
      <c r="I230" s="55"/>
      <c r="J230" s="55"/>
      <c r="K230" s="55"/>
      <c r="L230" s="55"/>
      <c r="M230" s="55"/>
      <c r="N230" s="55"/>
      <c r="O230" s="55"/>
      <c r="P230" s="55"/>
      <c r="Q230" s="56"/>
      <c r="R230" s="56"/>
      <c r="S230" s="56"/>
      <c r="T230" s="56"/>
      <c r="U230" s="56"/>
      <c r="V230" s="56"/>
      <c r="W230" s="56"/>
      <c r="X230" s="56"/>
      <c r="Y230" s="56"/>
      <c r="Z230" s="59"/>
    </row>
    <row r="231">
      <c r="A231" s="55"/>
      <c r="B231" s="55"/>
      <c r="C231" s="55"/>
      <c r="D231" s="55"/>
      <c r="E231" s="55"/>
      <c r="F231" s="55"/>
      <c r="G231" s="55"/>
      <c r="H231" s="55"/>
      <c r="I231" s="55"/>
      <c r="J231" s="55"/>
      <c r="K231" s="55"/>
      <c r="L231" s="55"/>
      <c r="M231" s="55"/>
      <c r="N231" s="55"/>
      <c r="O231" s="55"/>
      <c r="P231" s="55"/>
      <c r="Q231" s="56"/>
      <c r="R231" s="56"/>
      <c r="S231" s="56"/>
      <c r="T231" s="56"/>
      <c r="U231" s="56"/>
      <c r="V231" s="56"/>
      <c r="W231" s="56"/>
      <c r="X231" s="56"/>
      <c r="Y231" s="56"/>
      <c r="Z231" s="59"/>
    </row>
    <row r="232">
      <c r="A232" s="55"/>
      <c r="B232" s="55"/>
      <c r="C232" s="55"/>
      <c r="D232" s="55"/>
      <c r="E232" s="55"/>
      <c r="F232" s="55"/>
      <c r="G232" s="55"/>
      <c r="H232" s="55"/>
      <c r="I232" s="55"/>
      <c r="J232" s="55"/>
      <c r="K232" s="55"/>
      <c r="L232" s="55"/>
      <c r="M232" s="55"/>
      <c r="N232" s="55"/>
      <c r="O232" s="55"/>
      <c r="P232" s="55"/>
      <c r="Q232" s="56"/>
      <c r="R232" s="56"/>
      <c r="S232" s="56"/>
      <c r="T232" s="56"/>
      <c r="U232" s="56"/>
      <c r="V232" s="56"/>
      <c r="W232" s="56"/>
      <c r="X232" s="56"/>
      <c r="Y232" s="56"/>
      <c r="Z232" s="59"/>
    </row>
    <row r="233">
      <c r="A233" s="55"/>
      <c r="B233" s="55"/>
      <c r="C233" s="55"/>
      <c r="D233" s="55"/>
      <c r="E233" s="55"/>
      <c r="F233" s="55"/>
      <c r="G233" s="55"/>
      <c r="H233" s="55"/>
      <c r="I233" s="55"/>
      <c r="J233" s="55"/>
      <c r="K233" s="55"/>
      <c r="L233" s="55"/>
      <c r="M233" s="55"/>
      <c r="N233" s="55"/>
      <c r="O233" s="55"/>
      <c r="P233" s="55"/>
      <c r="Q233" s="56"/>
      <c r="R233" s="56"/>
      <c r="S233" s="56"/>
      <c r="T233" s="56"/>
      <c r="U233" s="56"/>
      <c r="V233" s="56"/>
      <c r="W233" s="56"/>
      <c r="X233" s="56"/>
      <c r="Y233" s="56"/>
      <c r="Z233" s="59"/>
    </row>
    <row r="234">
      <c r="A234" s="55"/>
      <c r="B234" s="55"/>
      <c r="C234" s="55"/>
      <c r="D234" s="55"/>
      <c r="E234" s="55"/>
      <c r="F234" s="55"/>
      <c r="G234" s="55"/>
      <c r="H234" s="55"/>
      <c r="I234" s="55"/>
      <c r="J234" s="55"/>
      <c r="K234" s="55"/>
      <c r="L234" s="55"/>
      <c r="M234" s="55"/>
      <c r="N234" s="55"/>
      <c r="O234" s="55"/>
      <c r="P234" s="55"/>
      <c r="Q234" s="56"/>
      <c r="R234" s="56"/>
      <c r="S234" s="56"/>
      <c r="T234" s="56"/>
      <c r="U234" s="56"/>
      <c r="V234" s="56"/>
      <c r="W234" s="56"/>
      <c r="X234" s="56"/>
      <c r="Y234" s="56"/>
      <c r="Z234" s="59"/>
    </row>
    <row r="235">
      <c r="A235" s="55"/>
      <c r="B235" s="55"/>
      <c r="C235" s="55"/>
      <c r="D235" s="55"/>
      <c r="E235" s="55"/>
      <c r="F235" s="55"/>
      <c r="G235" s="55"/>
      <c r="H235" s="55"/>
      <c r="I235" s="55"/>
      <c r="J235" s="55"/>
      <c r="K235" s="55"/>
      <c r="L235" s="55"/>
      <c r="M235" s="55"/>
      <c r="N235" s="55"/>
      <c r="O235" s="55"/>
      <c r="P235" s="55"/>
      <c r="Q235" s="56"/>
      <c r="R235" s="56"/>
      <c r="S235" s="56"/>
      <c r="T235" s="56"/>
      <c r="U235" s="56"/>
      <c r="V235" s="56"/>
      <c r="W235" s="56"/>
      <c r="X235" s="56"/>
      <c r="Y235" s="56"/>
      <c r="Z235" s="59"/>
    </row>
    <row r="236">
      <c r="A236" s="55"/>
      <c r="B236" s="55"/>
      <c r="C236" s="55"/>
      <c r="D236" s="55"/>
      <c r="E236" s="55"/>
      <c r="F236" s="55"/>
      <c r="G236" s="55"/>
      <c r="H236" s="55"/>
      <c r="I236" s="55"/>
      <c r="J236" s="55"/>
      <c r="K236" s="55"/>
      <c r="L236" s="55"/>
      <c r="M236" s="55"/>
      <c r="N236" s="55"/>
      <c r="O236" s="55"/>
      <c r="P236" s="55"/>
      <c r="Q236" s="56"/>
      <c r="R236" s="56"/>
      <c r="S236" s="56"/>
      <c r="T236" s="56"/>
      <c r="U236" s="56"/>
      <c r="V236" s="56"/>
      <c r="W236" s="56"/>
      <c r="X236" s="56"/>
      <c r="Y236" s="56"/>
      <c r="Z236" s="59"/>
    </row>
    <row r="237">
      <c r="A237" s="55"/>
      <c r="B237" s="55"/>
      <c r="C237" s="55"/>
      <c r="D237" s="55"/>
      <c r="E237" s="55"/>
      <c r="F237" s="55"/>
      <c r="G237" s="55"/>
      <c r="H237" s="55"/>
      <c r="I237" s="55"/>
      <c r="J237" s="55"/>
      <c r="K237" s="55"/>
      <c r="L237" s="55"/>
      <c r="M237" s="55"/>
      <c r="N237" s="55"/>
      <c r="O237" s="55"/>
      <c r="P237" s="55"/>
      <c r="Q237" s="56"/>
      <c r="R237" s="56"/>
      <c r="S237" s="56"/>
      <c r="T237" s="56"/>
      <c r="U237" s="56"/>
      <c r="V237" s="56"/>
      <c r="W237" s="56"/>
      <c r="X237" s="56"/>
      <c r="Y237" s="56"/>
      <c r="Z237" s="59"/>
    </row>
    <row r="238">
      <c r="A238" s="55"/>
      <c r="B238" s="55"/>
      <c r="C238" s="55"/>
      <c r="D238" s="55"/>
      <c r="E238" s="55"/>
      <c r="F238" s="55"/>
      <c r="G238" s="55"/>
      <c r="H238" s="55"/>
      <c r="I238" s="55"/>
      <c r="J238" s="55"/>
      <c r="K238" s="55"/>
      <c r="L238" s="55"/>
      <c r="M238" s="55"/>
      <c r="N238" s="55"/>
      <c r="O238" s="55"/>
      <c r="P238" s="55"/>
      <c r="Q238" s="56"/>
      <c r="R238" s="56"/>
      <c r="S238" s="56"/>
      <c r="T238" s="56"/>
      <c r="U238" s="56"/>
      <c r="V238" s="56"/>
      <c r="W238" s="56"/>
      <c r="X238" s="56"/>
      <c r="Y238" s="56"/>
      <c r="Z238" s="59"/>
    </row>
    <row r="239">
      <c r="A239" s="55"/>
      <c r="B239" s="55"/>
      <c r="C239" s="55"/>
      <c r="D239" s="55"/>
      <c r="E239" s="55"/>
      <c r="F239" s="55"/>
      <c r="G239" s="55"/>
      <c r="H239" s="55"/>
      <c r="I239" s="55"/>
      <c r="J239" s="55"/>
      <c r="K239" s="55"/>
      <c r="L239" s="55"/>
      <c r="M239" s="55"/>
      <c r="N239" s="55"/>
      <c r="O239" s="55"/>
      <c r="P239" s="55"/>
      <c r="Q239" s="56"/>
      <c r="R239" s="56"/>
      <c r="S239" s="56"/>
      <c r="T239" s="56"/>
      <c r="U239" s="56"/>
      <c r="V239" s="56"/>
      <c r="W239" s="56"/>
      <c r="X239" s="56"/>
      <c r="Y239" s="56"/>
      <c r="Z239" s="59"/>
    </row>
    <row r="240">
      <c r="A240" s="55"/>
      <c r="B240" s="55"/>
      <c r="C240" s="55"/>
      <c r="D240" s="55"/>
      <c r="E240" s="55"/>
      <c r="F240" s="55"/>
      <c r="G240" s="55"/>
      <c r="H240" s="55"/>
      <c r="I240" s="55"/>
      <c r="J240" s="55"/>
      <c r="K240" s="55"/>
      <c r="L240" s="55"/>
      <c r="M240" s="55"/>
      <c r="N240" s="55"/>
      <c r="O240" s="55"/>
      <c r="P240" s="55"/>
      <c r="Q240" s="56"/>
      <c r="R240" s="56"/>
      <c r="S240" s="56"/>
      <c r="T240" s="56"/>
      <c r="U240" s="56"/>
      <c r="V240" s="56"/>
      <c r="W240" s="56"/>
      <c r="X240" s="56"/>
      <c r="Y240" s="56"/>
      <c r="Z240" s="59"/>
    </row>
    <row r="241">
      <c r="A241" s="55"/>
      <c r="B241" s="55"/>
      <c r="C241" s="55"/>
      <c r="D241" s="55"/>
      <c r="E241" s="55"/>
      <c r="F241" s="55"/>
      <c r="G241" s="55"/>
      <c r="H241" s="55"/>
      <c r="I241" s="55"/>
      <c r="J241" s="55"/>
      <c r="K241" s="55"/>
      <c r="L241" s="55"/>
      <c r="M241" s="55"/>
      <c r="N241" s="55"/>
      <c r="O241" s="55"/>
      <c r="P241" s="55"/>
      <c r="Q241" s="56"/>
      <c r="R241" s="56"/>
      <c r="S241" s="56"/>
      <c r="T241" s="56"/>
      <c r="U241" s="56"/>
      <c r="V241" s="56"/>
      <c r="W241" s="56"/>
      <c r="X241" s="56"/>
      <c r="Y241" s="56"/>
      <c r="Z241" s="59"/>
    </row>
    <row r="242">
      <c r="A242" s="55"/>
      <c r="B242" s="55"/>
      <c r="C242" s="55"/>
      <c r="D242" s="55"/>
      <c r="E242" s="55"/>
      <c r="F242" s="55"/>
      <c r="G242" s="55"/>
      <c r="H242" s="55"/>
      <c r="I242" s="55"/>
      <c r="J242" s="55"/>
      <c r="K242" s="55"/>
      <c r="L242" s="55"/>
      <c r="M242" s="55"/>
      <c r="N242" s="55"/>
      <c r="O242" s="55"/>
      <c r="P242" s="55"/>
      <c r="Q242" s="56"/>
      <c r="R242" s="56"/>
      <c r="S242" s="56"/>
      <c r="T242" s="56"/>
      <c r="U242" s="56"/>
      <c r="V242" s="56"/>
      <c r="W242" s="56"/>
      <c r="X242" s="56"/>
      <c r="Y242" s="56"/>
      <c r="Z242" s="59"/>
    </row>
    <row r="243">
      <c r="A243" s="55"/>
      <c r="B243" s="55"/>
      <c r="C243" s="55"/>
      <c r="D243" s="55"/>
      <c r="E243" s="55"/>
      <c r="F243" s="55"/>
      <c r="G243" s="55"/>
      <c r="H243" s="55"/>
      <c r="I243" s="55"/>
      <c r="J243" s="55"/>
      <c r="K243" s="55"/>
      <c r="L243" s="55"/>
      <c r="M243" s="55"/>
      <c r="N243" s="55"/>
      <c r="O243" s="55"/>
      <c r="P243" s="55"/>
      <c r="Q243" s="56"/>
      <c r="R243" s="56"/>
      <c r="S243" s="56"/>
      <c r="T243" s="56"/>
      <c r="U243" s="56"/>
      <c r="V243" s="56"/>
      <c r="W243" s="56"/>
      <c r="X243" s="56"/>
      <c r="Y243" s="56"/>
      <c r="Z243" s="59"/>
    </row>
    <row r="244">
      <c r="A244" s="55"/>
      <c r="B244" s="55"/>
      <c r="C244" s="55"/>
      <c r="D244" s="55"/>
      <c r="E244" s="55"/>
      <c r="F244" s="55"/>
      <c r="G244" s="55"/>
      <c r="H244" s="55"/>
      <c r="I244" s="55"/>
      <c r="J244" s="55"/>
      <c r="K244" s="55"/>
      <c r="L244" s="55"/>
      <c r="M244" s="55"/>
      <c r="N244" s="55"/>
      <c r="O244" s="55"/>
      <c r="P244" s="55"/>
      <c r="Q244" s="56"/>
      <c r="R244" s="56"/>
      <c r="S244" s="56"/>
      <c r="T244" s="56"/>
      <c r="U244" s="56"/>
      <c r="V244" s="56"/>
      <c r="W244" s="56"/>
      <c r="X244" s="56"/>
      <c r="Y244" s="56"/>
      <c r="Z244" s="59"/>
    </row>
    <row r="245">
      <c r="A245" s="55"/>
      <c r="B245" s="55"/>
      <c r="C245" s="55"/>
      <c r="D245" s="55"/>
      <c r="E245" s="55"/>
      <c r="F245" s="55"/>
      <c r="G245" s="55"/>
      <c r="H245" s="55"/>
      <c r="I245" s="55"/>
      <c r="J245" s="55"/>
      <c r="K245" s="55"/>
      <c r="L245" s="55"/>
      <c r="M245" s="55"/>
      <c r="N245" s="55"/>
      <c r="O245" s="55"/>
      <c r="P245" s="55"/>
      <c r="Q245" s="56"/>
      <c r="R245" s="56"/>
      <c r="S245" s="56"/>
      <c r="T245" s="56"/>
      <c r="U245" s="56"/>
      <c r="V245" s="56"/>
      <c r="W245" s="56"/>
      <c r="X245" s="56"/>
      <c r="Y245" s="56"/>
      <c r="Z245" s="59"/>
    </row>
    <row r="246">
      <c r="A246" s="55"/>
      <c r="B246" s="55"/>
      <c r="C246" s="55"/>
      <c r="D246" s="55"/>
      <c r="E246" s="55"/>
      <c r="F246" s="55"/>
      <c r="G246" s="55"/>
      <c r="H246" s="55"/>
      <c r="I246" s="55"/>
      <c r="J246" s="55"/>
      <c r="K246" s="55"/>
      <c r="L246" s="55"/>
      <c r="M246" s="55"/>
      <c r="N246" s="55"/>
      <c r="O246" s="55"/>
      <c r="P246" s="55"/>
      <c r="Q246" s="56"/>
      <c r="R246" s="56"/>
      <c r="S246" s="56"/>
      <c r="T246" s="56"/>
      <c r="U246" s="56"/>
      <c r="V246" s="56"/>
      <c r="W246" s="56"/>
      <c r="X246" s="56"/>
      <c r="Y246" s="56"/>
      <c r="Z246" s="59"/>
    </row>
    <row r="247">
      <c r="A247" s="55"/>
      <c r="B247" s="55"/>
      <c r="C247" s="55"/>
      <c r="D247" s="55"/>
      <c r="E247" s="55"/>
      <c r="F247" s="55"/>
      <c r="G247" s="55"/>
      <c r="H247" s="55"/>
      <c r="I247" s="55"/>
      <c r="J247" s="55"/>
      <c r="K247" s="55"/>
      <c r="L247" s="55"/>
      <c r="M247" s="55"/>
      <c r="N247" s="55"/>
      <c r="O247" s="55"/>
      <c r="P247" s="55"/>
      <c r="Q247" s="56"/>
      <c r="R247" s="56"/>
      <c r="S247" s="56"/>
      <c r="T247" s="56"/>
      <c r="U247" s="56"/>
      <c r="V247" s="56"/>
      <c r="W247" s="56"/>
      <c r="X247" s="56"/>
      <c r="Y247" s="56"/>
      <c r="Z247" s="59"/>
    </row>
    <row r="248">
      <c r="A248" s="55"/>
      <c r="B248" s="55"/>
      <c r="C248" s="55"/>
      <c r="D248" s="55"/>
      <c r="E248" s="55"/>
      <c r="F248" s="55"/>
      <c r="G248" s="55"/>
      <c r="H248" s="55"/>
      <c r="I248" s="55"/>
      <c r="J248" s="55"/>
      <c r="K248" s="55"/>
      <c r="L248" s="55"/>
      <c r="M248" s="55"/>
      <c r="N248" s="55"/>
      <c r="O248" s="55"/>
      <c r="P248" s="55"/>
      <c r="Q248" s="56"/>
      <c r="R248" s="56"/>
      <c r="S248" s="56"/>
      <c r="T248" s="56"/>
      <c r="U248" s="56"/>
      <c r="V248" s="56"/>
      <c r="W248" s="56"/>
      <c r="X248" s="56"/>
      <c r="Y248" s="56"/>
      <c r="Z248" s="59"/>
    </row>
    <row r="249">
      <c r="A249" s="55"/>
      <c r="B249" s="55"/>
      <c r="C249" s="55"/>
      <c r="D249" s="55"/>
      <c r="E249" s="55"/>
      <c r="F249" s="55"/>
      <c r="G249" s="55"/>
      <c r="H249" s="55"/>
      <c r="I249" s="55"/>
      <c r="J249" s="55"/>
      <c r="K249" s="55"/>
      <c r="L249" s="55"/>
      <c r="M249" s="55"/>
      <c r="N249" s="55"/>
      <c r="O249" s="55"/>
      <c r="P249" s="55"/>
      <c r="Q249" s="56"/>
      <c r="R249" s="56"/>
      <c r="S249" s="56"/>
      <c r="T249" s="56"/>
      <c r="U249" s="56"/>
      <c r="V249" s="56"/>
      <c r="W249" s="56"/>
      <c r="X249" s="56"/>
      <c r="Y249" s="56"/>
      <c r="Z249" s="59"/>
    </row>
    <row r="250">
      <c r="A250" s="55"/>
      <c r="B250" s="55"/>
      <c r="C250" s="55"/>
      <c r="D250" s="55"/>
      <c r="E250" s="55"/>
      <c r="F250" s="55"/>
      <c r="G250" s="55"/>
      <c r="H250" s="55"/>
      <c r="I250" s="55"/>
      <c r="J250" s="55"/>
      <c r="K250" s="55"/>
      <c r="L250" s="55"/>
      <c r="M250" s="55"/>
      <c r="N250" s="55"/>
      <c r="O250" s="55"/>
      <c r="P250" s="55"/>
      <c r="Q250" s="56"/>
      <c r="R250" s="56"/>
      <c r="S250" s="56"/>
      <c r="T250" s="56"/>
      <c r="U250" s="56"/>
      <c r="V250" s="56"/>
      <c r="W250" s="56"/>
      <c r="X250" s="56"/>
      <c r="Y250" s="56"/>
      <c r="Z250" s="59"/>
    </row>
    <row r="251">
      <c r="A251" s="55"/>
      <c r="B251" s="55"/>
      <c r="C251" s="55"/>
      <c r="D251" s="55"/>
      <c r="E251" s="55"/>
      <c r="F251" s="55"/>
      <c r="G251" s="55"/>
      <c r="H251" s="55"/>
      <c r="I251" s="55"/>
      <c r="J251" s="55"/>
      <c r="K251" s="55"/>
      <c r="L251" s="55"/>
      <c r="M251" s="55"/>
      <c r="N251" s="55"/>
      <c r="O251" s="55"/>
      <c r="P251" s="55"/>
      <c r="Q251" s="56"/>
      <c r="R251" s="56"/>
      <c r="S251" s="56"/>
      <c r="T251" s="56"/>
      <c r="U251" s="56"/>
      <c r="V251" s="56"/>
      <c r="W251" s="56"/>
      <c r="X251" s="56"/>
      <c r="Y251" s="56"/>
      <c r="Z251" s="59"/>
    </row>
    <row r="252">
      <c r="A252" s="55"/>
      <c r="B252" s="55"/>
      <c r="C252" s="55"/>
      <c r="D252" s="55"/>
      <c r="E252" s="55"/>
      <c r="F252" s="55"/>
      <c r="G252" s="55"/>
      <c r="H252" s="55"/>
      <c r="I252" s="55"/>
      <c r="J252" s="55"/>
      <c r="K252" s="55"/>
      <c r="L252" s="55"/>
      <c r="M252" s="55"/>
      <c r="N252" s="55"/>
      <c r="O252" s="55"/>
      <c r="P252" s="55"/>
      <c r="Q252" s="56"/>
      <c r="R252" s="56"/>
      <c r="S252" s="56"/>
      <c r="T252" s="56"/>
      <c r="U252" s="56"/>
      <c r="V252" s="56"/>
      <c r="W252" s="56"/>
      <c r="X252" s="56"/>
      <c r="Y252" s="56"/>
      <c r="Z252" s="59"/>
    </row>
    <row r="253">
      <c r="A253" s="55"/>
      <c r="B253" s="55"/>
      <c r="C253" s="55"/>
      <c r="D253" s="55"/>
      <c r="E253" s="55"/>
      <c r="F253" s="55"/>
      <c r="G253" s="55"/>
      <c r="H253" s="55"/>
      <c r="I253" s="55"/>
      <c r="J253" s="55"/>
      <c r="K253" s="55"/>
      <c r="L253" s="55"/>
      <c r="M253" s="55"/>
      <c r="N253" s="55"/>
      <c r="O253" s="55"/>
      <c r="P253" s="55"/>
      <c r="Q253" s="56"/>
      <c r="R253" s="56"/>
      <c r="S253" s="56"/>
      <c r="T253" s="56"/>
      <c r="U253" s="56"/>
      <c r="V253" s="56"/>
      <c r="W253" s="56"/>
      <c r="X253" s="56"/>
      <c r="Y253" s="56"/>
      <c r="Z253" s="59"/>
    </row>
    <row r="254">
      <c r="A254" s="55"/>
      <c r="B254" s="55"/>
      <c r="C254" s="55"/>
      <c r="D254" s="55"/>
      <c r="E254" s="55"/>
      <c r="F254" s="55"/>
      <c r="G254" s="55"/>
      <c r="H254" s="55"/>
      <c r="I254" s="55"/>
      <c r="J254" s="55"/>
      <c r="K254" s="55"/>
      <c r="L254" s="55"/>
      <c r="M254" s="55"/>
      <c r="N254" s="55"/>
      <c r="O254" s="55"/>
      <c r="P254" s="55"/>
      <c r="Q254" s="56"/>
      <c r="R254" s="56"/>
      <c r="S254" s="56"/>
      <c r="T254" s="56"/>
      <c r="U254" s="56"/>
      <c r="V254" s="56"/>
      <c r="W254" s="56"/>
      <c r="X254" s="56"/>
      <c r="Y254" s="56"/>
      <c r="Z254" s="59"/>
    </row>
    <row r="255">
      <c r="A255" s="55"/>
      <c r="B255" s="55"/>
      <c r="C255" s="55"/>
      <c r="D255" s="55"/>
      <c r="E255" s="55"/>
      <c r="F255" s="55"/>
      <c r="G255" s="55"/>
      <c r="H255" s="55"/>
      <c r="I255" s="55"/>
      <c r="J255" s="55"/>
      <c r="K255" s="55"/>
      <c r="L255" s="55"/>
      <c r="M255" s="55"/>
      <c r="N255" s="55"/>
      <c r="O255" s="55"/>
      <c r="P255" s="55"/>
      <c r="Q255" s="56"/>
      <c r="R255" s="56"/>
      <c r="S255" s="56"/>
      <c r="T255" s="56"/>
      <c r="U255" s="56"/>
      <c r="V255" s="56"/>
      <c r="W255" s="56"/>
      <c r="X255" s="56"/>
      <c r="Y255" s="56"/>
      <c r="Z255" s="59"/>
    </row>
    <row r="256">
      <c r="A256" s="55"/>
      <c r="B256" s="55"/>
      <c r="C256" s="55"/>
      <c r="D256" s="55"/>
      <c r="E256" s="55"/>
      <c r="F256" s="55"/>
      <c r="G256" s="55"/>
      <c r="H256" s="55"/>
      <c r="I256" s="55"/>
      <c r="J256" s="55"/>
      <c r="K256" s="55"/>
      <c r="L256" s="55"/>
      <c r="M256" s="55"/>
      <c r="N256" s="55"/>
      <c r="O256" s="55"/>
      <c r="P256" s="55"/>
      <c r="Q256" s="56"/>
      <c r="R256" s="56"/>
      <c r="S256" s="56"/>
      <c r="T256" s="56"/>
      <c r="U256" s="56"/>
      <c r="V256" s="56"/>
      <c r="W256" s="56"/>
      <c r="X256" s="56"/>
      <c r="Y256" s="56"/>
      <c r="Z256" s="59"/>
    </row>
    <row r="257">
      <c r="A257" s="55"/>
      <c r="B257" s="55"/>
      <c r="C257" s="55"/>
      <c r="D257" s="55"/>
      <c r="E257" s="55"/>
      <c r="F257" s="55"/>
      <c r="G257" s="55"/>
      <c r="H257" s="55"/>
      <c r="I257" s="55"/>
      <c r="J257" s="55"/>
      <c r="K257" s="55"/>
      <c r="L257" s="55"/>
      <c r="M257" s="55"/>
      <c r="N257" s="55"/>
      <c r="O257" s="55"/>
      <c r="P257" s="55"/>
      <c r="Q257" s="56"/>
      <c r="R257" s="56"/>
      <c r="S257" s="56"/>
      <c r="T257" s="56"/>
      <c r="U257" s="56"/>
      <c r="V257" s="56"/>
      <c r="W257" s="56"/>
      <c r="X257" s="56"/>
      <c r="Y257" s="56"/>
      <c r="Z257" s="59"/>
    </row>
    <row r="258">
      <c r="A258" s="55"/>
      <c r="B258" s="55"/>
      <c r="C258" s="55"/>
      <c r="D258" s="55"/>
      <c r="E258" s="55"/>
      <c r="F258" s="55"/>
      <c r="G258" s="55"/>
      <c r="H258" s="55"/>
      <c r="I258" s="55"/>
      <c r="J258" s="55"/>
      <c r="K258" s="55"/>
      <c r="L258" s="55"/>
      <c r="M258" s="55"/>
      <c r="N258" s="55"/>
      <c r="O258" s="55"/>
      <c r="P258" s="55"/>
      <c r="Q258" s="56"/>
      <c r="R258" s="56"/>
      <c r="S258" s="56"/>
      <c r="T258" s="56"/>
      <c r="U258" s="56"/>
      <c r="V258" s="56"/>
      <c r="W258" s="56"/>
      <c r="X258" s="56"/>
      <c r="Y258" s="56"/>
      <c r="Z258" s="59"/>
    </row>
    <row r="259">
      <c r="A259" s="55"/>
      <c r="B259" s="55"/>
      <c r="C259" s="55"/>
      <c r="D259" s="55"/>
      <c r="E259" s="55"/>
      <c r="F259" s="55"/>
      <c r="G259" s="55"/>
      <c r="H259" s="55"/>
      <c r="I259" s="55"/>
      <c r="J259" s="55"/>
      <c r="K259" s="55"/>
      <c r="L259" s="55"/>
      <c r="M259" s="55"/>
      <c r="N259" s="55"/>
      <c r="O259" s="55"/>
      <c r="P259" s="55"/>
      <c r="Q259" s="56"/>
      <c r="R259" s="56"/>
      <c r="S259" s="56"/>
      <c r="T259" s="56"/>
      <c r="U259" s="56"/>
      <c r="V259" s="56"/>
      <c r="W259" s="56"/>
      <c r="X259" s="56"/>
      <c r="Y259" s="56"/>
      <c r="Z259" s="59"/>
    </row>
    <row r="260">
      <c r="A260" s="55"/>
      <c r="B260" s="55"/>
      <c r="C260" s="55"/>
      <c r="D260" s="55"/>
      <c r="E260" s="55"/>
      <c r="F260" s="55"/>
      <c r="G260" s="55"/>
      <c r="H260" s="55"/>
      <c r="I260" s="55"/>
      <c r="J260" s="55"/>
      <c r="K260" s="55"/>
      <c r="L260" s="55"/>
      <c r="M260" s="55"/>
      <c r="N260" s="55"/>
      <c r="O260" s="55"/>
      <c r="P260" s="55"/>
      <c r="Q260" s="56"/>
      <c r="R260" s="56"/>
      <c r="S260" s="56"/>
      <c r="T260" s="56"/>
      <c r="U260" s="56"/>
      <c r="V260" s="56"/>
      <c r="W260" s="56"/>
      <c r="X260" s="56"/>
      <c r="Y260" s="56"/>
      <c r="Z260" s="59"/>
    </row>
    <row r="261">
      <c r="A261" s="55"/>
      <c r="B261" s="55"/>
      <c r="C261" s="55"/>
      <c r="D261" s="55"/>
      <c r="E261" s="55"/>
      <c r="F261" s="55"/>
      <c r="G261" s="55"/>
      <c r="H261" s="55"/>
      <c r="I261" s="55"/>
      <c r="J261" s="55"/>
      <c r="K261" s="55"/>
      <c r="L261" s="55"/>
      <c r="M261" s="55"/>
      <c r="N261" s="55"/>
      <c r="O261" s="55"/>
      <c r="P261" s="55"/>
      <c r="Q261" s="56"/>
      <c r="R261" s="56"/>
      <c r="S261" s="56"/>
      <c r="T261" s="56"/>
      <c r="U261" s="56"/>
      <c r="V261" s="56"/>
      <c r="W261" s="56"/>
      <c r="X261" s="56"/>
      <c r="Y261" s="56"/>
      <c r="Z261" s="59"/>
    </row>
    <row r="262">
      <c r="A262" s="55"/>
      <c r="B262" s="55"/>
      <c r="C262" s="55"/>
      <c r="D262" s="55"/>
      <c r="E262" s="55"/>
      <c r="F262" s="55"/>
      <c r="G262" s="55"/>
      <c r="H262" s="55"/>
      <c r="I262" s="55"/>
      <c r="J262" s="55"/>
      <c r="K262" s="55"/>
      <c r="L262" s="55"/>
      <c r="M262" s="55"/>
      <c r="N262" s="55"/>
      <c r="O262" s="55"/>
      <c r="P262" s="55"/>
      <c r="Q262" s="56"/>
      <c r="R262" s="56"/>
      <c r="S262" s="56"/>
      <c r="T262" s="56"/>
      <c r="U262" s="56"/>
      <c r="V262" s="56"/>
      <c r="W262" s="56"/>
      <c r="X262" s="56"/>
      <c r="Y262" s="56"/>
      <c r="Z262" s="59"/>
    </row>
    <row r="263">
      <c r="A263" s="55"/>
      <c r="B263" s="55"/>
      <c r="C263" s="55"/>
      <c r="D263" s="55"/>
      <c r="E263" s="55"/>
      <c r="F263" s="55"/>
      <c r="G263" s="55"/>
      <c r="H263" s="55"/>
      <c r="I263" s="55"/>
      <c r="J263" s="55"/>
      <c r="K263" s="55"/>
      <c r="L263" s="55"/>
      <c r="M263" s="55"/>
      <c r="N263" s="55"/>
      <c r="O263" s="55"/>
      <c r="P263" s="55"/>
      <c r="Q263" s="56"/>
      <c r="R263" s="56"/>
      <c r="S263" s="56"/>
      <c r="T263" s="56"/>
      <c r="U263" s="56"/>
      <c r="V263" s="56"/>
      <c r="W263" s="56"/>
      <c r="X263" s="56"/>
      <c r="Y263" s="56"/>
      <c r="Z263" s="59"/>
    </row>
    <row r="264">
      <c r="A264" s="55"/>
      <c r="B264" s="55"/>
      <c r="C264" s="55"/>
      <c r="D264" s="55"/>
      <c r="E264" s="55"/>
      <c r="F264" s="55"/>
      <c r="G264" s="55"/>
      <c r="H264" s="55"/>
      <c r="I264" s="55"/>
      <c r="J264" s="55"/>
      <c r="K264" s="55"/>
      <c r="L264" s="55"/>
      <c r="M264" s="55"/>
      <c r="N264" s="55"/>
      <c r="O264" s="55"/>
      <c r="P264" s="55"/>
      <c r="Q264" s="56"/>
      <c r="R264" s="56"/>
      <c r="S264" s="56"/>
      <c r="T264" s="56"/>
      <c r="U264" s="56"/>
      <c r="V264" s="56"/>
      <c r="W264" s="56"/>
      <c r="X264" s="56"/>
      <c r="Y264" s="56"/>
      <c r="Z264" s="59"/>
    </row>
    <row r="265">
      <c r="A265" s="55"/>
      <c r="B265" s="55"/>
      <c r="C265" s="55"/>
      <c r="D265" s="55"/>
      <c r="E265" s="55"/>
      <c r="F265" s="55"/>
      <c r="G265" s="55"/>
      <c r="H265" s="55"/>
      <c r="I265" s="55"/>
      <c r="J265" s="55"/>
      <c r="K265" s="55"/>
      <c r="L265" s="55"/>
      <c r="M265" s="55"/>
      <c r="N265" s="55"/>
      <c r="O265" s="55"/>
      <c r="P265" s="55"/>
      <c r="Q265" s="56"/>
      <c r="R265" s="56"/>
      <c r="S265" s="56"/>
      <c r="T265" s="56"/>
      <c r="U265" s="56"/>
      <c r="V265" s="56"/>
      <c r="W265" s="56"/>
      <c r="X265" s="56"/>
      <c r="Y265" s="56"/>
      <c r="Z265" s="59"/>
    </row>
    <row r="266">
      <c r="A266" s="55"/>
      <c r="B266" s="55"/>
      <c r="C266" s="55"/>
      <c r="D266" s="55"/>
      <c r="E266" s="55"/>
      <c r="F266" s="55"/>
      <c r="G266" s="55"/>
      <c r="H266" s="55"/>
      <c r="I266" s="55"/>
      <c r="J266" s="55"/>
      <c r="K266" s="55"/>
      <c r="L266" s="55"/>
      <c r="M266" s="55"/>
      <c r="N266" s="55"/>
      <c r="O266" s="55"/>
      <c r="P266" s="55"/>
      <c r="Q266" s="56"/>
      <c r="R266" s="56"/>
      <c r="S266" s="56"/>
      <c r="T266" s="56"/>
      <c r="U266" s="56"/>
      <c r="V266" s="56"/>
      <c r="W266" s="56"/>
      <c r="X266" s="56"/>
      <c r="Y266" s="56"/>
      <c r="Z266" s="59"/>
    </row>
    <row r="267">
      <c r="A267" s="55"/>
      <c r="B267" s="55"/>
      <c r="C267" s="55"/>
      <c r="D267" s="55"/>
      <c r="E267" s="55"/>
      <c r="F267" s="55"/>
      <c r="G267" s="55"/>
      <c r="H267" s="55"/>
      <c r="I267" s="55"/>
      <c r="J267" s="55"/>
      <c r="K267" s="55"/>
      <c r="L267" s="55"/>
      <c r="M267" s="55"/>
      <c r="N267" s="55"/>
      <c r="O267" s="55"/>
      <c r="P267" s="55"/>
      <c r="Q267" s="56"/>
      <c r="R267" s="56"/>
      <c r="S267" s="56"/>
      <c r="T267" s="56"/>
      <c r="U267" s="56"/>
      <c r="V267" s="56"/>
      <c r="W267" s="56"/>
      <c r="X267" s="56"/>
      <c r="Y267" s="56"/>
      <c r="Z267" s="59"/>
    </row>
    <row r="268">
      <c r="A268" s="55"/>
      <c r="B268" s="55"/>
      <c r="C268" s="55"/>
      <c r="D268" s="55"/>
      <c r="E268" s="55"/>
      <c r="F268" s="55"/>
      <c r="G268" s="55"/>
      <c r="H268" s="55"/>
      <c r="I268" s="55"/>
      <c r="J268" s="55"/>
      <c r="K268" s="55"/>
      <c r="L268" s="55"/>
      <c r="M268" s="55"/>
      <c r="N268" s="55"/>
      <c r="O268" s="55"/>
      <c r="P268" s="55"/>
      <c r="Q268" s="56"/>
      <c r="R268" s="56"/>
      <c r="S268" s="56"/>
      <c r="T268" s="56"/>
      <c r="U268" s="56"/>
      <c r="V268" s="56"/>
      <c r="W268" s="56"/>
      <c r="X268" s="56"/>
      <c r="Y268" s="56"/>
      <c r="Z268" s="59"/>
    </row>
    <row r="269">
      <c r="A269" s="55"/>
      <c r="B269" s="55"/>
      <c r="C269" s="55"/>
      <c r="D269" s="55"/>
      <c r="E269" s="55"/>
      <c r="F269" s="55"/>
      <c r="G269" s="55"/>
      <c r="H269" s="55"/>
      <c r="I269" s="55"/>
      <c r="J269" s="55"/>
      <c r="K269" s="55"/>
      <c r="L269" s="55"/>
      <c r="M269" s="55"/>
      <c r="N269" s="55"/>
      <c r="O269" s="55"/>
      <c r="P269" s="55"/>
      <c r="Q269" s="56"/>
      <c r="R269" s="56"/>
      <c r="S269" s="56"/>
      <c r="T269" s="56"/>
      <c r="U269" s="56"/>
      <c r="V269" s="56"/>
      <c r="W269" s="56"/>
      <c r="X269" s="56"/>
      <c r="Y269" s="56"/>
      <c r="Z269" s="59"/>
    </row>
    <row r="270">
      <c r="A270" s="55"/>
      <c r="B270" s="55"/>
      <c r="C270" s="55"/>
      <c r="D270" s="55"/>
      <c r="E270" s="55"/>
      <c r="F270" s="55"/>
      <c r="G270" s="55"/>
      <c r="H270" s="55"/>
      <c r="I270" s="55"/>
      <c r="J270" s="55"/>
      <c r="K270" s="55"/>
      <c r="L270" s="55"/>
      <c r="M270" s="55"/>
      <c r="N270" s="55"/>
      <c r="O270" s="55"/>
      <c r="P270" s="55"/>
      <c r="Q270" s="56"/>
      <c r="R270" s="56"/>
      <c r="S270" s="56"/>
      <c r="T270" s="56"/>
      <c r="U270" s="56"/>
      <c r="V270" s="56"/>
      <c r="W270" s="56"/>
      <c r="X270" s="56"/>
      <c r="Y270" s="56"/>
      <c r="Z270" s="59"/>
    </row>
    <row r="271">
      <c r="A271" s="55"/>
      <c r="B271" s="55"/>
      <c r="C271" s="55"/>
      <c r="D271" s="55"/>
      <c r="E271" s="55"/>
      <c r="F271" s="55"/>
      <c r="G271" s="55"/>
      <c r="H271" s="55"/>
      <c r="I271" s="55"/>
      <c r="J271" s="55"/>
      <c r="K271" s="55"/>
      <c r="L271" s="55"/>
      <c r="M271" s="55"/>
      <c r="N271" s="55"/>
      <c r="O271" s="55"/>
      <c r="P271" s="55"/>
      <c r="Q271" s="56"/>
      <c r="R271" s="56"/>
      <c r="S271" s="56"/>
      <c r="T271" s="56"/>
      <c r="U271" s="56"/>
      <c r="V271" s="56"/>
      <c r="W271" s="56"/>
      <c r="X271" s="56"/>
      <c r="Y271" s="56"/>
      <c r="Z271" s="59"/>
    </row>
    <row r="272">
      <c r="A272" s="55"/>
      <c r="B272" s="55"/>
      <c r="C272" s="55"/>
      <c r="D272" s="55"/>
      <c r="E272" s="55"/>
      <c r="F272" s="55"/>
      <c r="G272" s="55"/>
      <c r="H272" s="55"/>
      <c r="I272" s="55"/>
      <c r="J272" s="55"/>
      <c r="K272" s="55"/>
      <c r="L272" s="55"/>
      <c r="M272" s="55"/>
      <c r="N272" s="55"/>
      <c r="O272" s="55"/>
      <c r="P272" s="55"/>
      <c r="Q272" s="56"/>
      <c r="R272" s="56"/>
      <c r="S272" s="56"/>
      <c r="T272" s="56"/>
      <c r="U272" s="56"/>
      <c r="V272" s="56"/>
      <c r="W272" s="56"/>
      <c r="X272" s="56"/>
      <c r="Y272" s="56"/>
      <c r="Z272" s="59"/>
    </row>
    <row r="273">
      <c r="A273" s="55"/>
      <c r="B273" s="55"/>
      <c r="C273" s="55"/>
      <c r="D273" s="55"/>
      <c r="E273" s="55"/>
      <c r="F273" s="55"/>
      <c r="G273" s="55"/>
      <c r="H273" s="55"/>
      <c r="I273" s="55"/>
      <c r="J273" s="55"/>
      <c r="K273" s="55"/>
      <c r="L273" s="55"/>
      <c r="M273" s="55"/>
      <c r="N273" s="55"/>
      <c r="O273" s="55"/>
      <c r="P273" s="55"/>
      <c r="Q273" s="56"/>
      <c r="R273" s="56"/>
      <c r="S273" s="56"/>
      <c r="T273" s="56"/>
      <c r="U273" s="56"/>
      <c r="V273" s="56"/>
      <c r="W273" s="56"/>
      <c r="X273" s="56"/>
      <c r="Y273" s="56"/>
      <c r="Z273" s="59"/>
    </row>
    <row r="274">
      <c r="A274" s="55"/>
      <c r="B274" s="55"/>
      <c r="C274" s="55"/>
      <c r="D274" s="55"/>
      <c r="E274" s="55"/>
      <c r="F274" s="55"/>
      <c r="G274" s="55"/>
      <c r="H274" s="55"/>
      <c r="I274" s="55"/>
      <c r="J274" s="55"/>
      <c r="K274" s="55"/>
      <c r="L274" s="55"/>
      <c r="M274" s="55"/>
      <c r="N274" s="55"/>
      <c r="O274" s="55"/>
      <c r="P274" s="55"/>
      <c r="Q274" s="56"/>
      <c r="R274" s="56"/>
      <c r="S274" s="56"/>
      <c r="T274" s="56"/>
      <c r="U274" s="56"/>
      <c r="V274" s="56"/>
      <c r="W274" s="56"/>
      <c r="X274" s="56"/>
      <c r="Y274" s="56"/>
      <c r="Z274" s="59"/>
    </row>
    <row r="275">
      <c r="A275" s="55"/>
      <c r="B275" s="55"/>
      <c r="C275" s="55"/>
      <c r="D275" s="55"/>
      <c r="E275" s="55"/>
      <c r="F275" s="55"/>
      <c r="G275" s="55"/>
      <c r="H275" s="55"/>
      <c r="I275" s="55"/>
      <c r="J275" s="55"/>
      <c r="K275" s="55"/>
      <c r="L275" s="55"/>
      <c r="M275" s="55"/>
      <c r="N275" s="55"/>
      <c r="O275" s="55"/>
      <c r="P275" s="55"/>
      <c r="Q275" s="56"/>
      <c r="R275" s="56"/>
      <c r="S275" s="56"/>
      <c r="T275" s="56"/>
      <c r="U275" s="56"/>
      <c r="V275" s="56"/>
      <c r="W275" s="56"/>
      <c r="X275" s="56"/>
      <c r="Y275" s="56"/>
      <c r="Z275" s="59"/>
    </row>
    <row r="276">
      <c r="A276" s="55"/>
      <c r="B276" s="55"/>
      <c r="C276" s="55"/>
      <c r="D276" s="55"/>
      <c r="E276" s="55"/>
      <c r="F276" s="55"/>
      <c r="G276" s="55"/>
      <c r="H276" s="55"/>
      <c r="I276" s="55"/>
      <c r="J276" s="55"/>
      <c r="K276" s="55"/>
      <c r="L276" s="55"/>
      <c r="M276" s="55"/>
      <c r="N276" s="55"/>
      <c r="O276" s="55"/>
      <c r="P276" s="55"/>
      <c r="Q276" s="56"/>
      <c r="R276" s="56"/>
      <c r="S276" s="56"/>
      <c r="T276" s="56"/>
      <c r="U276" s="56"/>
      <c r="V276" s="56"/>
      <c r="W276" s="56"/>
      <c r="X276" s="56"/>
      <c r="Y276" s="56"/>
      <c r="Z276" s="59"/>
    </row>
    <row r="277">
      <c r="A277" s="55"/>
      <c r="B277" s="55"/>
      <c r="C277" s="55"/>
      <c r="D277" s="55"/>
      <c r="E277" s="55"/>
      <c r="F277" s="55"/>
      <c r="G277" s="55"/>
      <c r="H277" s="55"/>
      <c r="I277" s="55"/>
      <c r="J277" s="55"/>
      <c r="K277" s="55"/>
      <c r="L277" s="55"/>
      <c r="M277" s="55"/>
      <c r="N277" s="55"/>
      <c r="O277" s="55"/>
      <c r="P277" s="55"/>
      <c r="Q277" s="56"/>
      <c r="R277" s="56"/>
      <c r="S277" s="56"/>
      <c r="T277" s="56"/>
      <c r="U277" s="56"/>
      <c r="V277" s="56"/>
      <c r="W277" s="56"/>
      <c r="X277" s="56"/>
      <c r="Y277" s="56"/>
      <c r="Z277" s="59"/>
    </row>
    <row r="278">
      <c r="A278" s="55"/>
      <c r="B278" s="55"/>
      <c r="C278" s="55"/>
      <c r="D278" s="55"/>
      <c r="E278" s="55"/>
      <c r="F278" s="55"/>
      <c r="G278" s="55"/>
      <c r="H278" s="55"/>
      <c r="I278" s="55"/>
      <c r="J278" s="55"/>
      <c r="K278" s="55"/>
      <c r="L278" s="55"/>
      <c r="M278" s="55"/>
      <c r="N278" s="55"/>
      <c r="O278" s="55"/>
      <c r="P278" s="55"/>
      <c r="Q278" s="56"/>
      <c r="R278" s="56"/>
      <c r="S278" s="56"/>
      <c r="T278" s="56"/>
      <c r="U278" s="56"/>
      <c r="V278" s="56"/>
      <c r="W278" s="56"/>
      <c r="X278" s="56"/>
      <c r="Y278" s="56"/>
      <c r="Z278" s="59"/>
    </row>
    <row r="279">
      <c r="A279" s="55"/>
      <c r="B279" s="55"/>
      <c r="C279" s="55"/>
      <c r="D279" s="55"/>
      <c r="E279" s="55"/>
      <c r="F279" s="55"/>
      <c r="G279" s="55"/>
      <c r="H279" s="55"/>
      <c r="I279" s="55"/>
      <c r="J279" s="55"/>
      <c r="K279" s="55"/>
      <c r="L279" s="55"/>
      <c r="M279" s="55"/>
      <c r="N279" s="55"/>
      <c r="O279" s="55"/>
      <c r="P279" s="55"/>
      <c r="Q279" s="56"/>
      <c r="R279" s="56"/>
      <c r="S279" s="56"/>
      <c r="T279" s="56"/>
      <c r="U279" s="56"/>
      <c r="V279" s="56"/>
      <c r="W279" s="56"/>
      <c r="X279" s="56"/>
      <c r="Y279" s="56"/>
      <c r="Z279" s="59"/>
    </row>
    <row r="280">
      <c r="A280" s="55"/>
      <c r="B280" s="55"/>
      <c r="C280" s="55"/>
      <c r="D280" s="55"/>
      <c r="E280" s="55"/>
      <c r="F280" s="55"/>
      <c r="G280" s="55"/>
      <c r="H280" s="55"/>
      <c r="I280" s="55"/>
      <c r="J280" s="55"/>
      <c r="K280" s="55"/>
      <c r="L280" s="55"/>
      <c r="M280" s="55"/>
      <c r="N280" s="55"/>
      <c r="O280" s="55"/>
      <c r="P280" s="55"/>
      <c r="Q280" s="56"/>
      <c r="R280" s="56"/>
      <c r="S280" s="56"/>
      <c r="T280" s="56"/>
      <c r="U280" s="56"/>
      <c r="V280" s="56"/>
      <c r="W280" s="56"/>
      <c r="X280" s="56"/>
      <c r="Y280" s="56"/>
      <c r="Z280" s="59"/>
    </row>
    <row r="281">
      <c r="A281" s="55"/>
      <c r="B281" s="55"/>
      <c r="C281" s="55"/>
      <c r="D281" s="55"/>
      <c r="E281" s="55"/>
      <c r="F281" s="55"/>
      <c r="G281" s="55"/>
      <c r="H281" s="55"/>
      <c r="I281" s="55"/>
      <c r="J281" s="55"/>
      <c r="K281" s="55"/>
      <c r="L281" s="55"/>
      <c r="M281" s="55"/>
      <c r="N281" s="55"/>
      <c r="O281" s="55"/>
      <c r="P281" s="55"/>
      <c r="Q281" s="56"/>
      <c r="R281" s="56"/>
      <c r="S281" s="56"/>
      <c r="T281" s="56"/>
      <c r="U281" s="56"/>
      <c r="V281" s="56"/>
      <c r="W281" s="56"/>
      <c r="X281" s="56"/>
      <c r="Y281" s="56"/>
      <c r="Z281" s="59"/>
    </row>
    <row r="282">
      <c r="A282" s="55"/>
      <c r="B282" s="55"/>
      <c r="C282" s="55"/>
      <c r="D282" s="55"/>
      <c r="E282" s="55"/>
      <c r="F282" s="55"/>
      <c r="G282" s="55"/>
      <c r="H282" s="55"/>
      <c r="I282" s="55"/>
      <c r="J282" s="55"/>
      <c r="K282" s="55"/>
      <c r="L282" s="55"/>
      <c r="M282" s="55"/>
      <c r="N282" s="55"/>
      <c r="O282" s="55"/>
      <c r="P282" s="55"/>
      <c r="Q282" s="56"/>
      <c r="R282" s="56"/>
      <c r="S282" s="56"/>
      <c r="T282" s="56"/>
      <c r="U282" s="56"/>
      <c r="V282" s="56"/>
      <c r="W282" s="56"/>
      <c r="X282" s="56"/>
      <c r="Y282" s="56"/>
      <c r="Z282" s="59"/>
    </row>
    <row r="283">
      <c r="A283" s="55"/>
      <c r="B283" s="55"/>
      <c r="C283" s="55"/>
      <c r="D283" s="55"/>
      <c r="E283" s="55"/>
      <c r="F283" s="55"/>
      <c r="G283" s="55"/>
      <c r="H283" s="55"/>
      <c r="I283" s="55"/>
      <c r="J283" s="55"/>
      <c r="K283" s="55"/>
      <c r="L283" s="55"/>
      <c r="M283" s="55"/>
      <c r="N283" s="55"/>
      <c r="O283" s="55"/>
      <c r="P283" s="55"/>
      <c r="Q283" s="56"/>
      <c r="R283" s="56"/>
      <c r="S283" s="56"/>
      <c r="T283" s="56"/>
      <c r="U283" s="56"/>
      <c r="V283" s="56"/>
      <c r="W283" s="56"/>
      <c r="X283" s="56"/>
      <c r="Y283" s="56"/>
      <c r="Z283" s="59"/>
    </row>
    <row r="284">
      <c r="A284" s="55"/>
      <c r="B284" s="55"/>
      <c r="C284" s="55"/>
      <c r="D284" s="55"/>
      <c r="E284" s="55"/>
      <c r="F284" s="55"/>
      <c r="G284" s="55"/>
      <c r="H284" s="55"/>
      <c r="I284" s="55"/>
      <c r="J284" s="55"/>
      <c r="K284" s="55"/>
      <c r="L284" s="55"/>
      <c r="M284" s="55"/>
      <c r="N284" s="55"/>
      <c r="O284" s="55"/>
      <c r="P284" s="55"/>
      <c r="Q284" s="56"/>
      <c r="R284" s="56"/>
      <c r="S284" s="56"/>
      <c r="T284" s="56"/>
      <c r="U284" s="56"/>
      <c r="V284" s="56"/>
      <c r="W284" s="56"/>
      <c r="X284" s="56"/>
      <c r="Y284" s="56"/>
      <c r="Z284" s="59"/>
    </row>
    <row r="285">
      <c r="A285" s="55"/>
      <c r="B285" s="55"/>
      <c r="C285" s="55"/>
      <c r="D285" s="55"/>
      <c r="E285" s="55"/>
      <c r="F285" s="55"/>
      <c r="G285" s="55"/>
      <c r="H285" s="55"/>
      <c r="I285" s="55"/>
      <c r="J285" s="55"/>
      <c r="K285" s="55"/>
      <c r="L285" s="55"/>
      <c r="M285" s="55"/>
      <c r="N285" s="55"/>
      <c r="O285" s="55"/>
      <c r="P285" s="55"/>
      <c r="Q285" s="56"/>
      <c r="R285" s="56"/>
      <c r="S285" s="56"/>
      <c r="T285" s="56"/>
      <c r="U285" s="56"/>
      <c r="V285" s="56"/>
      <c r="W285" s="56"/>
      <c r="X285" s="56"/>
      <c r="Y285" s="56"/>
      <c r="Z285" s="59"/>
    </row>
    <row r="286">
      <c r="A286" s="55"/>
      <c r="B286" s="55"/>
      <c r="C286" s="55"/>
      <c r="D286" s="55"/>
      <c r="E286" s="55"/>
      <c r="F286" s="55"/>
      <c r="G286" s="55"/>
      <c r="H286" s="55"/>
      <c r="I286" s="55"/>
      <c r="J286" s="55"/>
      <c r="K286" s="55"/>
      <c r="L286" s="55"/>
      <c r="M286" s="55"/>
      <c r="N286" s="55"/>
      <c r="O286" s="55"/>
      <c r="P286" s="55"/>
      <c r="Q286" s="56"/>
      <c r="R286" s="56"/>
      <c r="S286" s="56"/>
      <c r="T286" s="56"/>
      <c r="U286" s="56"/>
      <c r="V286" s="56"/>
      <c r="W286" s="56"/>
      <c r="X286" s="56"/>
      <c r="Y286" s="56"/>
      <c r="Z286" s="59"/>
    </row>
    <row r="287">
      <c r="A287" s="55"/>
      <c r="B287" s="55"/>
      <c r="C287" s="55"/>
      <c r="D287" s="55"/>
      <c r="E287" s="55"/>
      <c r="F287" s="55"/>
      <c r="G287" s="55"/>
      <c r="H287" s="55"/>
      <c r="I287" s="55"/>
      <c r="J287" s="55"/>
      <c r="K287" s="55"/>
      <c r="L287" s="55"/>
      <c r="M287" s="55"/>
      <c r="N287" s="55"/>
      <c r="O287" s="55"/>
      <c r="P287" s="55"/>
      <c r="Q287" s="56"/>
      <c r="R287" s="56"/>
      <c r="S287" s="56"/>
      <c r="T287" s="56"/>
      <c r="U287" s="56"/>
      <c r="V287" s="56"/>
      <c r="W287" s="56"/>
      <c r="X287" s="56"/>
      <c r="Y287" s="56"/>
      <c r="Z287" s="59"/>
    </row>
    <row r="288">
      <c r="A288" s="55"/>
      <c r="B288" s="55"/>
      <c r="C288" s="55"/>
      <c r="D288" s="55"/>
      <c r="E288" s="55"/>
      <c r="F288" s="55"/>
      <c r="G288" s="55"/>
      <c r="H288" s="55"/>
      <c r="I288" s="55"/>
      <c r="J288" s="55"/>
      <c r="K288" s="55"/>
      <c r="L288" s="55"/>
      <c r="M288" s="55"/>
      <c r="N288" s="55"/>
      <c r="O288" s="55"/>
      <c r="P288" s="55"/>
      <c r="Q288" s="56"/>
      <c r="R288" s="56"/>
      <c r="S288" s="56"/>
      <c r="T288" s="56"/>
      <c r="U288" s="56"/>
      <c r="V288" s="56"/>
      <c r="W288" s="56"/>
      <c r="X288" s="56"/>
      <c r="Y288" s="56"/>
      <c r="Z288" s="59"/>
    </row>
    <row r="289">
      <c r="A289" s="55"/>
      <c r="B289" s="55"/>
      <c r="C289" s="55"/>
      <c r="D289" s="55"/>
      <c r="E289" s="55"/>
      <c r="F289" s="55"/>
      <c r="G289" s="55"/>
      <c r="H289" s="55"/>
      <c r="I289" s="55"/>
      <c r="J289" s="55"/>
      <c r="K289" s="55"/>
      <c r="L289" s="55"/>
      <c r="M289" s="55"/>
      <c r="N289" s="55"/>
      <c r="O289" s="55"/>
      <c r="P289" s="55"/>
      <c r="Q289" s="56"/>
      <c r="R289" s="56"/>
      <c r="S289" s="56"/>
      <c r="T289" s="56"/>
      <c r="U289" s="56"/>
      <c r="V289" s="56"/>
      <c r="W289" s="56"/>
      <c r="X289" s="56"/>
      <c r="Y289" s="56"/>
      <c r="Z289" s="59"/>
    </row>
    <row r="290">
      <c r="A290" s="55"/>
      <c r="B290" s="55"/>
      <c r="C290" s="55"/>
      <c r="D290" s="55"/>
      <c r="E290" s="55"/>
      <c r="F290" s="55"/>
      <c r="G290" s="55"/>
      <c r="H290" s="55"/>
      <c r="I290" s="55"/>
      <c r="J290" s="55"/>
      <c r="K290" s="55"/>
      <c r="L290" s="55"/>
      <c r="M290" s="55"/>
      <c r="N290" s="55"/>
      <c r="O290" s="55"/>
      <c r="P290" s="55"/>
      <c r="Q290" s="56"/>
      <c r="R290" s="56"/>
      <c r="S290" s="56"/>
      <c r="T290" s="56"/>
      <c r="U290" s="56"/>
      <c r="V290" s="56"/>
      <c r="W290" s="56"/>
      <c r="X290" s="56"/>
      <c r="Y290" s="56"/>
      <c r="Z290" s="59"/>
    </row>
    <row r="291">
      <c r="A291" s="55"/>
      <c r="B291" s="55"/>
      <c r="C291" s="55"/>
      <c r="D291" s="55"/>
      <c r="E291" s="55"/>
      <c r="F291" s="55"/>
      <c r="G291" s="55"/>
      <c r="H291" s="55"/>
      <c r="I291" s="55"/>
      <c r="J291" s="55"/>
      <c r="K291" s="55"/>
      <c r="L291" s="55"/>
      <c r="M291" s="55"/>
      <c r="N291" s="55"/>
      <c r="O291" s="55"/>
      <c r="P291" s="55"/>
      <c r="Q291" s="56"/>
      <c r="R291" s="56"/>
      <c r="S291" s="56"/>
      <c r="T291" s="56"/>
      <c r="U291" s="56"/>
      <c r="V291" s="56"/>
      <c r="W291" s="56"/>
      <c r="X291" s="56"/>
      <c r="Y291" s="56"/>
      <c r="Z291" s="59"/>
    </row>
    <row r="292">
      <c r="A292" s="55"/>
      <c r="B292" s="55"/>
      <c r="C292" s="55"/>
      <c r="D292" s="55"/>
      <c r="E292" s="55"/>
      <c r="F292" s="55"/>
      <c r="G292" s="55"/>
      <c r="H292" s="55"/>
      <c r="I292" s="55"/>
      <c r="J292" s="55"/>
      <c r="K292" s="55"/>
      <c r="L292" s="55"/>
      <c r="M292" s="55"/>
      <c r="N292" s="55"/>
      <c r="O292" s="55"/>
      <c r="P292" s="55"/>
      <c r="Q292" s="56"/>
      <c r="R292" s="56"/>
      <c r="S292" s="56"/>
      <c r="T292" s="56"/>
      <c r="U292" s="56"/>
      <c r="V292" s="56"/>
      <c r="W292" s="56"/>
      <c r="X292" s="56"/>
      <c r="Y292" s="56"/>
      <c r="Z292" s="59"/>
    </row>
    <row r="293">
      <c r="A293" s="55"/>
      <c r="B293" s="55"/>
      <c r="C293" s="55"/>
      <c r="D293" s="55"/>
      <c r="E293" s="55"/>
      <c r="F293" s="55"/>
      <c r="G293" s="55"/>
      <c r="H293" s="55"/>
      <c r="I293" s="55"/>
      <c r="J293" s="55"/>
      <c r="K293" s="55"/>
      <c r="L293" s="55"/>
      <c r="M293" s="55"/>
      <c r="N293" s="55"/>
      <c r="O293" s="55"/>
      <c r="P293" s="55"/>
      <c r="Q293" s="56"/>
      <c r="R293" s="56"/>
      <c r="S293" s="56"/>
      <c r="T293" s="56"/>
      <c r="U293" s="56"/>
      <c r="V293" s="56"/>
      <c r="W293" s="56"/>
      <c r="X293" s="56"/>
      <c r="Y293" s="56"/>
      <c r="Z293" s="59"/>
    </row>
    <row r="294">
      <c r="A294" s="55"/>
      <c r="B294" s="55"/>
      <c r="C294" s="55"/>
      <c r="D294" s="55"/>
      <c r="E294" s="55"/>
      <c r="F294" s="55"/>
      <c r="G294" s="55"/>
      <c r="H294" s="55"/>
      <c r="I294" s="55"/>
      <c r="J294" s="55"/>
      <c r="K294" s="55"/>
      <c r="L294" s="55"/>
      <c r="M294" s="55"/>
      <c r="N294" s="55"/>
      <c r="O294" s="55"/>
      <c r="P294" s="55"/>
      <c r="Q294" s="56"/>
      <c r="R294" s="56"/>
      <c r="S294" s="56"/>
      <c r="T294" s="56"/>
      <c r="U294" s="56"/>
      <c r="V294" s="56"/>
      <c r="W294" s="56"/>
      <c r="X294" s="56"/>
      <c r="Y294" s="56"/>
      <c r="Z294" s="59"/>
    </row>
    <row r="295">
      <c r="A295" s="55"/>
      <c r="B295" s="55"/>
      <c r="C295" s="55"/>
      <c r="D295" s="55"/>
      <c r="E295" s="55"/>
      <c r="F295" s="55"/>
      <c r="G295" s="55"/>
      <c r="H295" s="55"/>
      <c r="I295" s="55"/>
      <c r="J295" s="55"/>
      <c r="K295" s="55"/>
      <c r="L295" s="55"/>
      <c r="M295" s="55"/>
      <c r="N295" s="55"/>
      <c r="O295" s="55"/>
      <c r="P295" s="55"/>
      <c r="Q295" s="56"/>
      <c r="R295" s="56"/>
      <c r="S295" s="56"/>
      <c r="T295" s="56"/>
      <c r="U295" s="56"/>
      <c r="V295" s="56"/>
      <c r="W295" s="56"/>
      <c r="X295" s="56"/>
      <c r="Y295" s="56"/>
      <c r="Z295" s="59"/>
    </row>
    <row r="296">
      <c r="A296" s="55"/>
      <c r="B296" s="55"/>
      <c r="C296" s="55"/>
      <c r="D296" s="55"/>
      <c r="E296" s="55"/>
      <c r="F296" s="55"/>
      <c r="G296" s="55"/>
      <c r="H296" s="55"/>
      <c r="I296" s="55"/>
      <c r="J296" s="55"/>
      <c r="K296" s="55"/>
      <c r="L296" s="55"/>
      <c r="M296" s="55"/>
      <c r="N296" s="55"/>
      <c r="O296" s="55"/>
      <c r="P296" s="55"/>
      <c r="Q296" s="56"/>
      <c r="R296" s="56"/>
      <c r="S296" s="56"/>
      <c r="T296" s="56"/>
      <c r="U296" s="56"/>
      <c r="V296" s="56"/>
      <c r="W296" s="56"/>
      <c r="X296" s="56"/>
      <c r="Y296" s="56"/>
      <c r="Z296" s="59"/>
    </row>
    <row r="297">
      <c r="A297" s="55"/>
      <c r="B297" s="55"/>
      <c r="C297" s="55"/>
      <c r="D297" s="55"/>
      <c r="E297" s="55"/>
      <c r="F297" s="55"/>
      <c r="G297" s="55"/>
      <c r="H297" s="55"/>
      <c r="I297" s="55"/>
      <c r="J297" s="55"/>
      <c r="K297" s="55"/>
      <c r="L297" s="55"/>
      <c r="M297" s="55"/>
      <c r="N297" s="55"/>
      <c r="O297" s="55"/>
      <c r="P297" s="55"/>
      <c r="Q297" s="56"/>
      <c r="R297" s="56"/>
      <c r="S297" s="56"/>
      <c r="T297" s="56"/>
      <c r="U297" s="56"/>
      <c r="V297" s="56"/>
      <c r="W297" s="56"/>
      <c r="X297" s="56"/>
      <c r="Y297" s="56"/>
      <c r="Z297" s="59"/>
    </row>
    <row r="298">
      <c r="A298" s="55"/>
      <c r="B298" s="55"/>
      <c r="C298" s="55"/>
      <c r="D298" s="55"/>
      <c r="E298" s="55"/>
      <c r="F298" s="55"/>
      <c r="G298" s="55"/>
      <c r="H298" s="55"/>
      <c r="I298" s="55"/>
      <c r="J298" s="55"/>
      <c r="K298" s="55"/>
      <c r="L298" s="55"/>
      <c r="M298" s="55"/>
      <c r="N298" s="55"/>
      <c r="O298" s="55"/>
      <c r="P298" s="55"/>
      <c r="Q298" s="56"/>
      <c r="R298" s="56"/>
      <c r="S298" s="56"/>
      <c r="T298" s="56"/>
      <c r="U298" s="56"/>
      <c r="V298" s="56"/>
      <c r="W298" s="56"/>
      <c r="X298" s="56"/>
      <c r="Y298" s="56"/>
      <c r="Z298" s="59"/>
    </row>
    <row r="299">
      <c r="A299" s="55"/>
      <c r="B299" s="55"/>
      <c r="C299" s="55"/>
      <c r="D299" s="55"/>
      <c r="E299" s="55"/>
      <c r="F299" s="55"/>
      <c r="G299" s="55"/>
      <c r="H299" s="55"/>
      <c r="I299" s="55"/>
      <c r="J299" s="55"/>
      <c r="K299" s="55"/>
      <c r="L299" s="55"/>
      <c r="M299" s="55"/>
      <c r="N299" s="55"/>
      <c r="O299" s="55"/>
      <c r="P299" s="55"/>
      <c r="Q299" s="56"/>
      <c r="R299" s="56"/>
      <c r="S299" s="56"/>
      <c r="T299" s="56"/>
      <c r="U299" s="56"/>
      <c r="V299" s="56"/>
      <c r="W299" s="56"/>
      <c r="X299" s="56"/>
      <c r="Y299" s="56"/>
      <c r="Z299" s="59"/>
    </row>
    <row r="300">
      <c r="A300" s="55"/>
      <c r="B300" s="55"/>
      <c r="C300" s="55"/>
      <c r="D300" s="55"/>
      <c r="E300" s="55"/>
      <c r="F300" s="55"/>
      <c r="G300" s="55"/>
      <c r="H300" s="55"/>
      <c r="I300" s="55"/>
      <c r="J300" s="55"/>
      <c r="K300" s="55"/>
      <c r="L300" s="55"/>
      <c r="M300" s="55"/>
      <c r="N300" s="55"/>
      <c r="O300" s="55"/>
      <c r="P300" s="55"/>
      <c r="Q300" s="56"/>
      <c r="R300" s="56"/>
      <c r="S300" s="56"/>
      <c r="T300" s="56"/>
      <c r="U300" s="56"/>
      <c r="V300" s="56"/>
      <c r="W300" s="56"/>
      <c r="X300" s="56"/>
      <c r="Y300" s="56"/>
      <c r="Z300" s="59"/>
    </row>
    <row r="301">
      <c r="A301" s="55"/>
      <c r="B301" s="55"/>
      <c r="C301" s="55"/>
      <c r="D301" s="55"/>
      <c r="E301" s="55"/>
      <c r="F301" s="55"/>
      <c r="G301" s="55"/>
      <c r="H301" s="55"/>
      <c r="I301" s="55"/>
      <c r="J301" s="55"/>
      <c r="K301" s="55"/>
      <c r="L301" s="55"/>
      <c r="M301" s="55"/>
      <c r="N301" s="55"/>
      <c r="O301" s="55"/>
      <c r="P301" s="55"/>
      <c r="Q301" s="56"/>
      <c r="R301" s="56"/>
      <c r="S301" s="56"/>
      <c r="T301" s="56"/>
      <c r="U301" s="56"/>
      <c r="V301" s="56"/>
      <c r="W301" s="56"/>
      <c r="X301" s="56"/>
      <c r="Y301" s="56"/>
      <c r="Z301" s="59"/>
    </row>
    <row r="302">
      <c r="A302" s="55"/>
      <c r="B302" s="55"/>
      <c r="C302" s="55"/>
      <c r="D302" s="55"/>
      <c r="E302" s="55"/>
      <c r="F302" s="55"/>
      <c r="G302" s="55"/>
      <c r="H302" s="55"/>
      <c r="I302" s="55"/>
      <c r="J302" s="55"/>
      <c r="K302" s="55"/>
      <c r="L302" s="55"/>
      <c r="M302" s="55"/>
      <c r="N302" s="55"/>
      <c r="O302" s="55"/>
      <c r="P302" s="55"/>
      <c r="Q302" s="56"/>
      <c r="R302" s="56"/>
      <c r="S302" s="56"/>
      <c r="T302" s="56"/>
      <c r="U302" s="56"/>
      <c r="V302" s="56"/>
      <c r="W302" s="56"/>
      <c r="X302" s="56"/>
      <c r="Y302" s="56"/>
      <c r="Z302" s="59"/>
    </row>
    <row r="303">
      <c r="A303" s="55"/>
      <c r="B303" s="55"/>
      <c r="C303" s="55"/>
      <c r="D303" s="55"/>
      <c r="E303" s="55"/>
      <c r="F303" s="55"/>
      <c r="G303" s="55"/>
      <c r="H303" s="55"/>
      <c r="I303" s="55"/>
      <c r="J303" s="55"/>
      <c r="K303" s="55"/>
      <c r="L303" s="55"/>
      <c r="M303" s="55"/>
      <c r="N303" s="55"/>
      <c r="O303" s="55"/>
      <c r="P303" s="55"/>
      <c r="Q303" s="56"/>
      <c r="R303" s="56"/>
      <c r="S303" s="56"/>
      <c r="T303" s="56"/>
      <c r="U303" s="56"/>
      <c r="V303" s="56"/>
      <c r="W303" s="56"/>
      <c r="X303" s="56"/>
      <c r="Y303" s="56"/>
      <c r="Z303" s="59"/>
    </row>
    <row r="304">
      <c r="A304" s="55"/>
      <c r="B304" s="55"/>
      <c r="C304" s="55"/>
      <c r="D304" s="55"/>
      <c r="E304" s="55"/>
      <c r="F304" s="55"/>
      <c r="G304" s="55"/>
      <c r="H304" s="55"/>
      <c r="I304" s="55"/>
      <c r="J304" s="55"/>
      <c r="K304" s="55"/>
      <c r="L304" s="55"/>
      <c r="M304" s="55"/>
      <c r="N304" s="55"/>
      <c r="O304" s="55"/>
      <c r="P304" s="55"/>
      <c r="Q304" s="56"/>
      <c r="R304" s="56"/>
      <c r="S304" s="56"/>
      <c r="T304" s="56"/>
      <c r="U304" s="56"/>
      <c r="V304" s="56"/>
      <c r="W304" s="56"/>
      <c r="X304" s="56"/>
      <c r="Y304" s="56"/>
      <c r="Z304" s="59"/>
    </row>
    <row r="305">
      <c r="A305" s="55"/>
      <c r="B305" s="55"/>
      <c r="C305" s="55"/>
      <c r="D305" s="55"/>
      <c r="E305" s="55"/>
      <c r="F305" s="55"/>
      <c r="G305" s="55"/>
      <c r="H305" s="55"/>
      <c r="I305" s="55"/>
      <c r="J305" s="55"/>
      <c r="K305" s="55"/>
      <c r="L305" s="55"/>
      <c r="M305" s="55"/>
      <c r="N305" s="55"/>
      <c r="O305" s="55"/>
      <c r="P305" s="55"/>
      <c r="Q305" s="56"/>
      <c r="R305" s="56"/>
      <c r="S305" s="56"/>
      <c r="T305" s="56"/>
      <c r="U305" s="56"/>
      <c r="V305" s="56"/>
      <c r="W305" s="56"/>
      <c r="X305" s="56"/>
      <c r="Y305" s="56"/>
      <c r="Z305" s="59"/>
    </row>
    <row r="306">
      <c r="A306" s="55"/>
      <c r="B306" s="55"/>
      <c r="C306" s="55"/>
      <c r="D306" s="55"/>
      <c r="E306" s="55"/>
      <c r="F306" s="55"/>
      <c r="G306" s="55"/>
      <c r="H306" s="55"/>
      <c r="I306" s="55"/>
      <c r="J306" s="55"/>
      <c r="K306" s="55"/>
      <c r="L306" s="55"/>
      <c r="M306" s="55"/>
      <c r="N306" s="55"/>
      <c r="O306" s="55"/>
      <c r="P306" s="55"/>
      <c r="Q306" s="56"/>
      <c r="R306" s="56"/>
      <c r="S306" s="56"/>
      <c r="T306" s="56"/>
      <c r="U306" s="56"/>
      <c r="V306" s="56"/>
      <c r="W306" s="56"/>
      <c r="X306" s="56"/>
      <c r="Y306" s="56"/>
      <c r="Z306" s="59"/>
    </row>
    <row r="307">
      <c r="A307" s="55"/>
      <c r="B307" s="55"/>
      <c r="C307" s="55"/>
      <c r="D307" s="55"/>
      <c r="E307" s="55"/>
      <c r="F307" s="55"/>
      <c r="G307" s="55"/>
      <c r="H307" s="55"/>
      <c r="I307" s="55"/>
      <c r="J307" s="55"/>
      <c r="K307" s="55"/>
      <c r="L307" s="55"/>
      <c r="M307" s="55"/>
      <c r="N307" s="55"/>
      <c r="O307" s="55"/>
      <c r="P307" s="55"/>
      <c r="Q307" s="56"/>
      <c r="R307" s="56"/>
      <c r="S307" s="56"/>
      <c r="T307" s="56"/>
      <c r="U307" s="56"/>
      <c r="V307" s="56"/>
      <c r="W307" s="56"/>
      <c r="X307" s="56"/>
      <c r="Y307" s="56"/>
      <c r="Z307" s="59"/>
    </row>
    <row r="308">
      <c r="A308" s="55"/>
      <c r="B308" s="55"/>
      <c r="C308" s="55"/>
      <c r="D308" s="55"/>
      <c r="E308" s="55"/>
      <c r="F308" s="55"/>
      <c r="G308" s="55"/>
      <c r="H308" s="55"/>
      <c r="I308" s="55"/>
      <c r="J308" s="55"/>
      <c r="K308" s="55"/>
      <c r="L308" s="55"/>
      <c r="M308" s="55"/>
      <c r="N308" s="55"/>
      <c r="O308" s="55"/>
      <c r="P308" s="55"/>
      <c r="Q308" s="56"/>
      <c r="R308" s="56"/>
      <c r="S308" s="56"/>
      <c r="T308" s="56"/>
      <c r="U308" s="56"/>
      <c r="V308" s="56"/>
      <c r="W308" s="56"/>
      <c r="X308" s="56"/>
      <c r="Y308" s="56"/>
      <c r="Z308" s="59"/>
    </row>
    <row r="309">
      <c r="A309" s="55"/>
      <c r="B309" s="55"/>
      <c r="C309" s="55"/>
      <c r="D309" s="55"/>
      <c r="E309" s="55"/>
      <c r="F309" s="55"/>
      <c r="G309" s="55"/>
      <c r="H309" s="55"/>
      <c r="I309" s="55"/>
      <c r="J309" s="55"/>
      <c r="K309" s="55"/>
      <c r="L309" s="55"/>
      <c r="M309" s="55"/>
      <c r="N309" s="55"/>
      <c r="O309" s="55"/>
      <c r="P309" s="55"/>
      <c r="Q309" s="56"/>
      <c r="R309" s="56"/>
      <c r="S309" s="56"/>
      <c r="T309" s="56"/>
      <c r="U309" s="56"/>
      <c r="V309" s="56"/>
      <c r="W309" s="56"/>
      <c r="X309" s="56"/>
      <c r="Y309" s="56"/>
      <c r="Z309" s="59"/>
    </row>
    <row r="310">
      <c r="A310" s="55"/>
      <c r="B310" s="55"/>
      <c r="C310" s="55"/>
      <c r="D310" s="55"/>
      <c r="E310" s="55"/>
      <c r="F310" s="55"/>
      <c r="G310" s="55"/>
      <c r="H310" s="55"/>
      <c r="I310" s="55"/>
      <c r="J310" s="55"/>
      <c r="K310" s="55"/>
      <c r="L310" s="55"/>
      <c r="M310" s="55"/>
      <c r="N310" s="55"/>
      <c r="O310" s="55"/>
      <c r="P310" s="55"/>
      <c r="Q310" s="56"/>
      <c r="R310" s="56"/>
      <c r="S310" s="56"/>
      <c r="T310" s="56"/>
      <c r="U310" s="56"/>
      <c r="V310" s="56"/>
      <c r="W310" s="56"/>
      <c r="X310" s="56"/>
      <c r="Y310" s="56"/>
      <c r="Z310" s="59"/>
    </row>
    <row r="311">
      <c r="A311" s="55"/>
      <c r="B311" s="55"/>
      <c r="C311" s="55"/>
      <c r="D311" s="55"/>
      <c r="E311" s="55"/>
      <c r="F311" s="55"/>
      <c r="G311" s="55"/>
      <c r="H311" s="55"/>
      <c r="I311" s="55"/>
      <c r="J311" s="55"/>
      <c r="K311" s="55"/>
      <c r="L311" s="55"/>
      <c r="M311" s="55"/>
      <c r="N311" s="55"/>
      <c r="O311" s="55"/>
      <c r="P311" s="55"/>
      <c r="Q311" s="56"/>
      <c r="R311" s="56"/>
      <c r="S311" s="56"/>
      <c r="T311" s="56"/>
      <c r="U311" s="56"/>
      <c r="V311" s="56"/>
      <c r="W311" s="56"/>
      <c r="X311" s="56"/>
      <c r="Y311" s="56"/>
      <c r="Z311" s="59"/>
    </row>
    <row r="312">
      <c r="A312" s="55"/>
      <c r="B312" s="55"/>
      <c r="C312" s="55"/>
      <c r="D312" s="55"/>
      <c r="E312" s="55"/>
      <c r="F312" s="55"/>
      <c r="G312" s="55"/>
      <c r="H312" s="55"/>
      <c r="I312" s="55"/>
      <c r="J312" s="55"/>
      <c r="K312" s="55"/>
      <c r="L312" s="55"/>
      <c r="M312" s="55"/>
      <c r="N312" s="55"/>
      <c r="O312" s="55"/>
      <c r="P312" s="55"/>
      <c r="Q312" s="56"/>
      <c r="R312" s="56"/>
      <c r="S312" s="56"/>
      <c r="T312" s="56"/>
      <c r="U312" s="56"/>
      <c r="V312" s="56"/>
      <c r="W312" s="56"/>
      <c r="X312" s="56"/>
      <c r="Y312" s="56"/>
      <c r="Z312" s="59"/>
    </row>
    <row r="313">
      <c r="A313" s="55"/>
      <c r="B313" s="55"/>
      <c r="C313" s="55"/>
      <c r="D313" s="55"/>
      <c r="E313" s="55"/>
      <c r="F313" s="55"/>
      <c r="G313" s="55"/>
      <c r="H313" s="55"/>
      <c r="I313" s="55"/>
      <c r="J313" s="55"/>
      <c r="K313" s="55"/>
      <c r="L313" s="55"/>
      <c r="M313" s="55"/>
      <c r="N313" s="55"/>
      <c r="O313" s="55"/>
      <c r="P313" s="55"/>
      <c r="Q313" s="56"/>
      <c r="R313" s="56"/>
      <c r="S313" s="56"/>
      <c r="T313" s="56"/>
      <c r="U313" s="56"/>
      <c r="V313" s="56"/>
      <c r="W313" s="56"/>
      <c r="X313" s="56"/>
      <c r="Y313" s="56"/>
      <c r="Z313" s="59"/>
    </row>
    <row r="314">
      <c r="A314" s="55"/>
      <c r="B314" s="55"/>
      <c r="C314" s="55"/>
      <c r="D314" s="55"/>
      <c r="E314" s="55"/>
      <c r="F314" s="55"/>
      <c r="G314" s="55"/>
      <c r="H314" s="55"/>
      <c r="I314" s="55"/>
      <c r="J314" s="55"/>
      <c r="K314" s="55"/>
      <c r="L314" s="55"/>
      <c r="M314" s="55"/>
      <c r="N314" s="55"/>
      <c r="O314" s="55"/>
      <c r="P314" s="55"/>
      <c r="Q314" s="56"/>
      <c r="R314" s="56"/>
      <c r="S314" s="56"/>
      <c r="T314" s="56"/>
      <c r="U314" s="56"/>
      <c r="V314" s="56"/>
      <c r="W314" s="56"/>
      <c r="X314" s="56"/>
      <c r="Y314" s="56"/>
      <c r="Z314" s="59"/>
    </row>
    <row r="315">
      <c r="A315" s="55"/>
      <c r="B315" s="55"/>
      <c r="C315" s="55"/>
      <c r="D315" s="55"/>
      <c r="E315" s="55"/>
      <c r="F315" s="55"/>
      <c r="G315" s="55"/>
      <c r="H315" s="55"/>
      <c r="I315" s="55"/>
      <c r="J315" s="55"/>
      <c r="K315" s="55"/>
      <c r="L315" s="55"/>
      <c r="M315" s="55"/>
      <c r="N315" s="55"/>
      <c r="O315" s="55"/>
      <c r="P315" s="55"/>
      <c r="Q315" s="56"/>
      <c r="R315" s="56"/>
      <c r="S315" s="56"/>
      <c r="T315" s="56"/>
      <c r="U315" s="56"/>
      <c r="V315" s="56"/>
      <c r="W315" s="56"/>
      <c r="X315" s="56"/>
      <c r="Y315" s="56"/>
      <c r="Z315" s="59"/>
    </row>
    <row r="316">
      <c r="A316" s="55"/>
      <c r="B316" s="55"/>
      <c r="C316" s="55"/>
      <c r="D316" s="55"/>
      <c r="E316" s="55"/>
      <c r="F316" s="55"/>
      <c r="G316" s="55"/>
      <c r="H316" s="55"/>
      <c r="I316" s="55"/>
      <c r="J316" s="55"/>
      <c r="K316" s="55"/>
      <c r="L316" s="55"/>
      <c r="M316" s="55"/>
      <c r="N316" s="55"/>
      <c r="O316" s="55"/>
      <c r="P316" s="55"/>
      <c r="Q316" s="56"/>
      <c r="R316" s="56"/>
      <c r="S316" s="56"/>
      <c r="T316" s="56"/>
      <c r="U316" s="56"/>
      <c r="V316" s="56"/>
      <c r="W316" s="56"/>
      <c r="X316" s="56"/>
      <c r="Y316" s="56"/>
      <c r="Z316" s="59"/>
    </row>
    <row r="317">
      <c r="A317" s="55"/>
      <c r="B317" s="55"/>
      <c r="C317" s="55"/>
      <c r="D317" s="55"/>
      <c r="E317" s="55"/>
      <c r="F317" s="55"/>
      <c r="G317" s="55"/>
      <c r="H317" s="55"/>
      <c r="I317" s="55"/>
      <c r="J317" s="55"/>
      <c r="K317" s="55"/>
      <c r="L317" s="55"/>
      <c r="M317" s="55"/>
      <c r="N317" s="55"/>
      <c r="O317" s="55"/>
      <c r="P317" s="55"/>
      <c r="Q317" s="56"/>
      <c r="R317" s="56"/>
      <c r="S317" s="56"/>
      <c r="T317" s="56"/>
      <c r="U317" s="56"/>
      <c r="V317" s="56"/>
      <c r="W317" s="56"/>
      <c r="X317" s="56"/>
      <c r="Y317" s="56"/>
      <c r="Z317" s="59"/>
    </row>
    <row r="318">
      <c r="A318" s="55"/>
      <c r="B318" s="55"/>
      <c r="C318" s="55"/>
      <c r="D318" s="55"/>
      <c r="E318" s="55"/>
      <c r="F318" s="55"/>
      <c r="G318" s="55"/>
      <c r="H318" s="55"/>
      <c r="I318" s="55"/>
      <c r="J318" s="55"/>
      <c r="K318" s="55"/>
      <c r="L318" s="55"/>
      <c r="M318" s="55"/>
      <c r="N318" s="55"/>
      <c r="O318" s="55"/>
      <c r="P318" s="55"/>
      <c r="Q318" s="56"/>
      <c r="R318" s="56"/>
      <c r="S318" s="56"/>
      <c r="T318" s="56"/>
      <c r="U318" s="56"/>
      <c r="V318" s="56"/>
      <c r="W318" s="56"/>
      <c r="X318" s="56"/>
      <c r="Y318" s="56"/>
      <c r="Z318" s="59"/>
    </row>
    <row r="319">
      <c r="A319" s="55"/>
      <c r="B319" s="55"/>
      <c r="C319" s="55"/>
      <c r="D319" s="55"/>
      <c r="E319" s="55"/>
      <c r="F319" s="55"/>
      <c r="G319" s="55"/>
      <c r="H319" s="55"/>
      <c r="I319" s="55"/>
      <c r="J319" s="55"/>
      <c r="K319" s="55"/>
      <c r="L319" s="55"/>
      <c r="M319" s="55"/>
      <c r="N319" s="55"/>
      <c r="O319" s="55"/>
      <c r="P319" s="55"/>
      <c r="Q319" s="56"/>
      <c r="R319" s="56"/>
      <c r="S319" s="56"/>
      <c r="T319" s="56"/>
      <c r="U319" s="56"/>
      <c r="V319" s="56"/>
      <c r="W319" s="56"/>
      <c r="X319" s="56"/>
      <c r="Y319" s="56"/>
      <c r="Z319" s="59"/>
    </row>
    <row r="320">
      <c r="A320" s="55"/>
      <c r="B320" s="55"/>
      <c r="C320" s="55"/>
      <c r="D320" s="55"/>
      <c r="E320" s="55"/>
      <c r="F320" s="55"/>
      <c r="G320" s="55"/>
      <c r="H320" s="55"/>
      <c r="I320" s="55"/>
      <c r="J320" s="55"/>
      <c r="K320" s="55"/>
      <c r="L320" s="55"/>
      <c r="M320" s="55"/>
      <c r="N320" s="55"/>
      <c r="O320" s="55"/>
      <c r="P320" s="55"/>
      <c r="Q320" s="56"/>
      <c r="R320" s="56"/>
      <c r="S320" s="56"/>
      <c r="T320" s="56"/>
      <c r="U320" s="56"/>
      <c r="V320" s="56"/>
      <c r="W320" s="56"/>
      <c r="X320" s="56"/>
      <c r="Y320" s="56"/>
      <c r="Z320" s="59"/>
    </row>
    <row r="321">
      <c r="A321" s="55"/>
      <c r="B321" s="55"/>
      <c r="C321" s="55"/>
      <c r="D321" s="55"/>
      <c r="E321" s="55"/>
      <c r="F321" s="55"/>
      <c r="G321" s="55"/>
      <c r="H321" s="55"/>
      <c r="I321" s="55"/>
      <c r="J321" s="55"/>
      <c r="K321" s="55"/>
      <c r="L321" s="55"/>
      <c r="M321" s="55"/>
      <c r="N321" s="55"/>
      <c r="O321" s="55"/>
      <c r="P321" s="55"/>
      <c r="Q321" s="56"/>
      <c r="R321" s="56"/>
      <c r="S321" s="56"/>
      <c r="T321" s="56"/>
      <c r="U321" s="56"/>
      <c r="V321" s="56"/>
      <c r="W321" s="56"/>
      <c r="X321" s="56"/>
      <c r="Y321" s="56"/>
      <c r="Z321" s="59"/>
    </row>
    <row r="322">
      <c r="A322" s="55"/>
      <c r="B322" s="55"/>
      <c r="C322" s="55"/>
      <c r="D322" s="55"/>
      <c r="E322" s="55"/>
      <c r="F322" s="55"/>
      <c r="G322" s="55"/>
      <c r="H322" s="55"/>
      <c r="I322" s="55"/>
      <c r="J322" s="55"/>
      <c r="K322" s="55"/>
      <c r="L322" s="55"/>
      <c r="M322" s="55"/>
      <c r="N322" s="55"/>
      <c r="O322" s="55"/>
      <c r="P322" s="55"/>
      <c r="Q322" s="56"/>
      <c r="R322" s="56"/>
      <c r="S322" s="56"/>
      <c r="T322" s="56"/>
      <c r="U322" s="56"/>
      <c r="V322" s="56"/>
      <c r="W322" s="56"/>
      <c r="X322" s="56"/>
      <c r="Y322" s="56"/>
      <c r="Z322" s="59"/>
    </row>
    <row r="323">
      <c r="A323" s="55"/>
      <c r="B323" s="55"/>
      <c r="C323" s="55"/>
      <c r="D323" s="55"/>
      <c r="E323" s="55"/>
      <c r="F323" s="55"/>
      <c r="G323" s="55"/>
      <c r="H323" s="55"/>
      <c r="I323" s="55"/>
      <c r="J323" s="55"/>
      <c r="K323" s="55"/>
      <c r="L323" s="55"/>
      <c r="M323" s="55"/>
      <c r="N323" s="55"/>
      <c r="O323" s="55"/>
      <c r="P323" s="55"/>
      <c r="Q323" s="56"/>
      <c r="R323" s="56"/>
      <c r="S323" s="56"/>
      <c r="T323" s="56"/>
      <c r="U323" s="56"/>
      <c r="V323" s="56"/>
      <c r="W323" s="56"/>
      <c r="X323" s="56"/>
      <c r="Y323" s="56"/>
      <c r="Z323" s="59"/>
    </row>
    <row r="324">
      <c r="A324" s="55"/>
      <c r="B324" s="55"/>
      <c r="C324" s="55"/>
      <c r="D324" s="55"/>
      <c r="E324" s="55"/>
      <c r="F324" s="55"/>
      <c r="G324" s="55"/>
      <c r="H324" s="55"/>
      <c r="I324" s="55"/>
      <c r="J324" s="55"/>
      <c r="K324" s="55"/>
      <c r="L324" s="55"/>
      <c r="M324" s="55"/>
      <c r="N324" s="55"/>
      <c r="O324" s="55"/>
      <c r="P324" s="55"/>
      <c r="Q324" s="56"/>
      <c r="R324" s="56"/>
      <c r="S324" s="56"/>
      <c r="T324" s="56"/>
      <c r="U324" s="56"/>
      <c r="V324" s="56"/>
      <c r="W324" s="56"/>
      <c r="X324" s="56"/>
      <c r="Y324" s="56"/>
      <c r="Z324" s="59"/>
    </row>
    <row r="325">
      <c r="A325" s="55"/>
      <c r="B325" s="55"/>
      <c r="C325" s="55"/>
      <c r="D325" s="55"/>
      <c r="E325" s="55"/>
      <c r="F325" s="55"/>
      <c r="G325" s="55"/>
      <c r="H325" s="55"/>
      <c r="I325" s="55"/>
      <c r="J325" s="55"/>
      <c r="K325" s="55"/>
      <c r="L325" s="55"/>
      <c r="M325" s="55"/>
      <c r="N325" s="55"/>
      <c r="O325" s="55"/>
      <c r="P325" s="55"/>
      <c r="Q325" s="56"/>
      <c r="R325" s="56"/>
      <c r="S325" s="56"/>
      <c r="T325" s="56"/>
      <c r="U325" s="56"/>
      <c r="V325" s="56"/>
      <c r="W325" s="56"/>
      <c r="X325" s="56"/>
      <c r="Y325" s="56"/>
      <c r="Z325" s="59"/>
    </row>
    <row r="326">
      <c r="A326" s="55"/>
      <c r="B326" s="55"/>
      <c r="C326" s="55"/>
      <c r="D326" s="55"/>
      <c r="E326" s="55"/>
      <c r="F326" s="55"/>
      <c r="G326" s="55"/>
      <c r="H326" s="55"/>
      <c r="I326" s="55"/>
      <c r="J326" s="55"/>
      <c r="K326" s="55"/>
      <c r="L326" s="55"/>
      <c r="M326" s="55"/>
      <c r="N326" s="55"/>
      <c r="O326" s="55"/>
      <c r="P326" s="55"/>
      <c r="Q326" s="56"/>
      <c r="R326" s="56"/>
      <c r="S326" s="56"/>
      <c r="T326" s="56"/>
      <c r="U326" s="56"/>
      <c r="V326" s="56"/>
      <c r="W326" s="56"/>
      <c r="X326" s="56"/>
      <c r="Y326" s="56"/>
      <c r="Z326" s="59"/>
    </row>
    <row r="327">
      <c r="A327" s="55"/>
      <c r="B327" s="55"/>
      <c r="C327" s="55"/>
      <c r="D327" s="55"/>
      <c r="E327" s="55"/>
      <c r="F327" s="55"/>
      <c r="G327" s="55"/>
      <c r="H327" s="55"/>
      <c r="I327" s="55"/>
      <c r="J327" s="55"/>
      <c r="K327" s="55"/>
      <c r="L327" s="55"/>
      <c r="M327" s="55"/>
      <c r="N327" s="55"/>
      <c r="O327" s="55"/>
      <c r="P327" s="55"/>
      <c r="Q327" s="56"/>
      <c r="R327" s="56"/>
      <c r="S327" s="56"/>
      <c r="T327" s="56"/>
      <c r="U327" s="56"/>
      <c r="V327" s="56"/>
      <c r="W327" s="56"/>
      <c r="X327" s="56"/>
      <c r="Y327" s="56"/>
      <c r="Z327" s="59"/>
    </row>
    <row r="328">
      <c r="A328" s="55"/>
      <c r="B328" s="55"/>
      <c r="C328" s="55"/>
      <c r="D328" s="55"/>
      <c r="E328" s="55"/>
      <c r="F328" s="55"/>
      <c r="G328" s="55"/>
      <c r="H328" s="55"/>
      <c r="I328" s="55"/>
      <c r="J328" s="55"/>
      <c r="K328" s="55"/>
      <c r="L328" s="55"/>
      <c r="M328" s="55"/>
      <c r="N328" s="55"/>
      <c r="O328" s="55"/>
      <c r="P328" s="55"/>
      <c r="Q328" s="56"/>
      <c r="R328" s="56"/>
      <c r="S328" s="56"/>
      <c r="T328" s="56"/>
      <c r="U328" s="56"/>
      <c r="V328" s="56"/>
      <c r="W328" s="56"/>
      <c r="X328" s="56"/>
      <c r="Y328" s="56"/>
      <c r="Z328" s="59"/>
    </row>
    <row r="329">
      <c r="A329" s="55"/>
      <c r="B329" s="55"/>
      <c r="C329" s="55"/>
      <c r="D329" s="55"/>
      <c r="E329" s="55"/>
      <c r="F329" s="55"/>
      <c r="G329" s="55"/>
      <c r="H329" s="55"/>
      <c r="I329" s="55"/>
      <c r="J329" s="55"/>
      <c r="K329" s="55"/>
      <c r="L329" s="55"/>
      <c r="M329" s="55"/>
      <c r="N329" s="55"/>
      <c r="O329" s="55"/>
      <c r="P329" s="55"/>
      <c r="Q329" s="56"/>
      <c r="R329" s="56"/>
      <c r="S329" s="56"/>
      <c r="T329" s="56"/>
      <c r="U329" s="56"/>
      <c r="V329" s="56"/>
      <c r="W329" s="56"/>
      <c r="X329" s="56"/>
      <c r="Y329" s="56"/>
      <c r="Z329" s="59"/>
    </row>
    <row r="330">
      <c r="A330" s="55"/>
      <c r="B330" s="55"/>
      <c r="C330" s="55"/>
      <c r="D330" s="55"/>
      <c r="E330" s="55"/>
      <c r="F330" s="55"/>
      <c r="G330" s="55"/>
      <c r="H330" s="55"/>
      <c r="I330" s="55"/>
      <c r="J330" s="55"/>
      <c r="K330" s="55"/>
      <c r="L330" s="55"/>
      <c r="M330" s="55"/>
      <c r="N330" s="55"/>
      <c r="O330" s="55"/>
      <c r="P330" s="55"/>
      <c r="Q330" s="56"/>
      <c r="R330" s="56"/>
      <c r="S330" s="56"/>
      <c r="T330" s="56"/>
      <c r="U330" s="56"/>
      <c r="V330" s="56"/>
      <c r="W330" s="56"/>
      <c r="X330" s="56"/>
      <c r="Y330" s="56"/>
      <c r="Z330" s="59"/>
    </row>
    <row r="331">
      <c r="A331" s="55"/>
      <c r="B331" s="55"/>
      <c r="C331" s="55"/>
      <c r="D331" s="55"/>
      <c r="E331" s="55"/>
      <c r="F331" s="55"/>
      <c r="G331" s="55"/>
      <c r="H331" s="55"/>
      <c r="I331" s="55"/>
      <c r="J331" s="55"/>
      <c r="K331" s="55"/>
      <c r="L331" s="55"/>
      <c r="M331" s="55"/>
      <c r="N331" s="55"/>
      <c r="O331" s="55"/>
      <c r="P331" s="55"/>
      <c r="Q331" s="56"/>
      <c r="R331" s="56"/>
      <c r="S331" s="56"/>
      <c r="T331" s="56"/>
      <c r="U331" s="56"/>
      <c r="V331" s="56"/>
      <c r="W331" s="56"/>
      <c r="X331" s="56"/>
      <c r="Y331" s="56"/>
      <c r="Z331" s="59"/>
    </row>
    <row r="332">
      <c r="A332" s="55"/>
      <c r="B332" s="55"/>
      <c r="C332" s="55"/>
      <c r="D332" s="55"/>
      <c r="E332" s="55"/>
      <c r="F332" s="55"/>
      <c r="G332" s="55"/>
      <c r="H332" s="55"/>
      <c r="I332" s="55"/>
      <c r="J332" s="55"/>
      <c r="K332" s="55"/>
      <c r="L332" s="55"/>
      <c r="M332" s="55"/>
      <c r="N332" s="55"/>
      <c r="O332" s="55"/>
      <c r="P332" s="55"/>
      <c r="Q332" s="56"/>
      <c r="R332" s="56"/>
      <c r="S332" s="56"/>
      <c r="T332" s="56"/>
      <c r="U332" s="56"/>
      <c r="V332" s="56"/>
      <c r="W332" s="56"/>
      <c r="X332" s="56"/>
      <c r="Y332" s="56"/>
      <c r="Z332" s="59"/>
    </row>
    <row r="333">
      <c r="A333" s="55"/>
      <c r="B333" s="55"/>
      <c r="C333" s="55"/>
      <c r="D333" s="55"/>
      <c r="E333" s="55"/>
      <c r="F333" s="55"/>
      <c r="G333" s="55"/>
      <c r="H333" s="55"/>
      <c r="I333" s="55"/>
      <c r="J333" s="55"/>
      <c r="K333" s="55"/>
      <c r="L333" s="55"/>
      <c r="M333" s="55"/>
      <c r="N333" s="55"/>
      <c r="O333" s="55"/>
      <c r="P333" s="55"/>
      <c r="Q333" s="56"/>
      <c r="R333" s="56"/>
      <c r="S333" s="56"/>
      <c r="T333" s="56"/>
      <c r="U333" s="56"/>
      <c r="V333" s="56"/>
      <c r="W333" s="56"/>
      <c r="X333" s="56"/>
      <c r="Y333" s="56"/>
      <c r="Z333" s="59"/>
    </row>
    <row r="334">
      <c r="A334" s="55"/>
      <c r="B334" s="55"/>
      <c r="C334" s="55"/>
      <c r="D334" s="55"/>
      <c r="E334" s="55"/>
      <c r="F334" s="55"/>
      <c r="G334" s="55"/>
      <c r="H334" s="55"/>
      <c r="I334" s="55"/>
      <c r="J334" s="55"/>
      <c r="K334" s="55"/>
      <c r="L334" s="55"/>
      <c r="M334" s="55"/>
      <c r="N334" s="55"/>
      <c r="O334" s="55"/>
      <c r="P334" s="55"/>
      <c r="Q334" s="56"/>
      <c r="R334" s="56"/>
      <c r="S334" s="56"/>
      <c r="T334" s="56"/>
      <c r="U334" s="56"/>
      <c r="V334" s="56"/>
      <c r="W334" s="56"/>
      <c r="X334" s="56"/>
      <c r="Y334" s="56"/>
      <c r="Z334" s="59"/>
    </row>
    <row r="335">
      <c r="A335" s="55"/>
      <c r="B335" s="55"/>
      <c r="C335" s="55"/>
      <c r="D335" s="55"/>
      <c r="E335" s="55"/>
      <c r="F335" s="55"/>
      <c r="G335" s="55"/>
      <c r="H335" s="55"/>
      <c r="I335" s="55"/>
      <c r="J335" s="55"/>
      <c r="K335" s="55"/>
      <c r="L335" s="55"/>
      <c r="M335" s="55"/>
      <c r="N335" s="55"/>
      <c r="O335" s="55"/>
      <c r="P335" s="55"/>
      <c r="Q335" s="56"/>
      <c r="R335" s="56"/>
      <c r="S335" s="56"/>
      <c r="T335" s="56"/>
      <c r="U335" s="56"/>
      <c r="V335" s="56"/>
      <c r="W335" s="56"/>
      <c r="X335" s="56"/>
      <c r="Y335" s="56"/>
      <c r="Z335" s="59"/>
    </row>
    <row r="336">
      <c r="A336" s="55"/>
      <c r="B336" s="55"/>
      <c r="C336" s="55"/>
      <c r="D336" s="55"/>
      <c r="E336" s="55"/>
      <c r="F336" s="55"/>
      <c r="G336" s="55"/>
      <c r="H336" s="55"/>
      <c r="I336" s="55"/>
      <c r="J336" s="55"/>
      <c r="K336" s="55"/>
      <c r="L336" s="55"/>
      <c r="M336" s="55"/>
      <c r="N336" s="55"/>
      <c r="O336" s="55"/>
      <c r="P336" s="55"/>
      <c r="Q336" s="56"/>
      <c r="R336" s="56"/>
      <c r="S336" s="56"/>
      <c r="T336" s="56"/>
      <c r="U336" s="56"/>
      <c r="V336" s="56"/>
      <c r="W336" s="56"/>
      <c r="X336" s="56"/>
      <c r="Y336" s="56"/>
      <c r="Z336" s="59"/>
    </row>
    <row r="337">
      <c r="A337" s="55"/>
      <c r="B337" s="55"/>
      <c r="C337" s="55"/>
      <c r="D337" s="55"/>
      <c r="E337" s="55"/>
      <c r="F337" s="55"/>
      <c r="G337" s="55"/>
      <c r="H337" s="55"/>
      <c r="I337" s="55"/>
      <c r="J337" s="55"/>
      <c r="K337" s="55"/>
      <c r="L337" s="55"/>
      <c r="M337" s="55"/>
      <c r="N337" s="55"/>
      <c r="O337" s="55"/>
      <c r="P337" s="55"/>
      <c r="Q337" s="56"/>
      <c r="R337" s="56"/>
      <c r="S337" s="56"/>
      <c r="T337" s="56"/>
      <c r="U337" s="56"/>
      <c r="V337" s="56"/>
      <c r="W337" s="56"/>
      <c r="X337" s="56"/>
      <c r="Y337" s="56"/>
      <c r="Z337" s="59"/>
    </row>
    <row r="338">
      <c r="A338" s="55"/>
      <c r="B338" s="55"/>
      <c r="C338" s="55"/>
      <c r="D338" s="55"/>
      <c r="E338" s="55"/>
      <c r="F338" s="55"/>
      <c r="G338" s="55"/>
      <c r="H338" s="55"/>
      <c r="I338" s="55"/>
      <c r="J338" s="55"/>
      <c r="K338" s="55"/>
      <c r="L338" s="55"/>
      <c r="M338" s="55"/>
      <c r="N338" s="55"/>
      <c r="O338" s="55"/>
      <c r="P338" s="55"/>
      <c r="Q338" s="56"/>
      <c r="R338" s="56"/>
      <c r="S338" s="56"/>
      <c r="T338" s="56"/>
      <c r="U338" s="56"/>
      <c r="V338" s="56"/>
      <c r="W338" s="56"/>
      <c r="X338" s="56"/>
      <c r="Y338" s="56"/>
      <c r="Z338" s="59"/>
    </row>
    <row r="339">
      <c r="A339" s="55"/>
      <c r="B339" s="55"/>
      <c r="C339" s="55"/>
      <c r="D339" s="55"/>
      <c r="E339" s="55"/>
      <c r="F339" s="55"/>
      <c r="G339" s="55"/>
      <c r="H339" s="55"/>
      <c r="I339" s="55"/>
      <c r="J339" s="55"/>
      <c r="K339" s="55"/>
      <c r="L339" s="55"/>
      <c r="M339" s="55"/>
      <c r="N339" s="55"/>
      <c r="O339" s="55"/>
      <c r="P339" s="55"/>
      <c r="Q339" s="56"/>
      <c r="R339" s="56"/>
      <c r="S339" s="56"/>
      <c r="T339" s="56"/>
      <c r="U339" s="56"/>
      <c r="V339" s="56"/>
      <c r="W339" s="56"/>
      <c r="X339" s="56"/>
      <c r="Y339" s="56"/>
      <c r="Z339" s="59"/>
    </row>
    <row r="340">
      <c r="A340" s="55"/>
      <c r="B340" s="55"/>
      <c r="C340" s="55"/>
      <c r="D340" s="55"/>
      <c r="E340" s="55"/>
      <c r="F340" s="55"/>
      <c r="G340" s="55"/>
      <c r="H340" s="55"/>
      <c r="I340" s="55"/>
      <c r="J340" s="55"/>
      <c r="K340" s="55"/>
      <c r="L340" s="55"/>
      <c r="M340" s="55"/>
      <c r="N340" s="55"/>
      <c r="O340" s="55"/>
      <c r="P340" s="55"/>
      <c r="Q340" s="56"/>
      <c r="R340" s="56"/>
      <c r="S340" s="56"/>
      <c r="T340" s="56"/>
      <c r="U340" s="56"/>
      <c r="V340" s="56"/>
      <c r="W340" s="56"/>
      <c r="X340" s="56"/>
      <c r="Y340" s="56"/>
      <c r="Z340" s="59"/>
    </row>
    <row r="341">
      <c r="A341" s="55"/>
      <c r="B341" s="55"/>
      <c r="C341" s="55"/>
      <c r="D341" s="55"/>
      <c r="E341" s="55"/>
      <c r="F341" s="55"/>
      <c r="G341" s="55"/>
      <c r="H341" s="55"/>
      <c r="I341" s="55"/>
      <c r="J341" s="55"/>
      <c r="K341" s="55"/>
      <c r="L341" s="55"/>
      <c r="M341" s="55"/>
      <c r="N341" s="55"/>
      <c r="O341" s="55"/>
      <c r="P341" s="55"/>
      <c r="Q341" s="56"/>
      <c r="R341" s="56"/>
      <c r="S341" s="56"/>
      <c r="T341" s="56"/>
      <c r="U341" s="56"/>
      <c r="V341" s="56"/>
      <c r="W341" s="56"/>
      <c r="X341" s="56"/>
      <c r="Y341" s="56"/>
      <c r="Z341" s="59"/>
    </row>
    <row r="342">
      <c r="A342" s="55"/>
      <c r="B342" s="55"/>
      <c r="C342" s="55"/>
      <c r="D342" s="55"/>
      <c r="E342" s="55"/>
      <c r="F342" s="55"/>
      <c r="G342" s="55"/>
      <c r="H342" s="55"/>
      <c r="I342" s="55"/>
      <c r="J342" s="55"/>
      <c r="K342" s="55"/>
      <c r="L342" s="55"/>
      <c r="M342" s="55"/>
      <c r="N342" s="55"/>
      <c r="O342" s="55"/>
      <c r="P342" s="55"/>
      <c r="Q342" s="56"/>
      <c r="R342" s="56"/>
      <c r="S342" s="56"/>
      <c r="T342" s="56"/>
      <c r="U342" s="56"/>
      <c r="V342" s="56"/>
      <c r="W342" s="56"/>
      <c r="X342" s="56"/>
      <c r="Y342" s="56"/>
      <c r="Z342" s="59"/>
    </row>
    <row r="343">
      <c r="A343" s="55"/>
      <c r="B343" s="55"/>
      <c r="C343" s="55"/>
      <c r="D343" s="55"/>
      <c r="E343" s="55"/>
      <c r="F343" s="55"/>
      <c r="G343" s="55"/>
      <c r="H343" s="55"/>
      <c r="I343" s="55"/>
      <c r="J343" s="55"/>
      <c r="K343" s="55"/>
      <c r="L343" s="55"/>
      <c r="M343" s="55"/>
      <c r="N343" s="55"/>
      <c r="O343" s="55"/>
      <c r="P343" s="55"/>
      <c r="Q343" s="56"/>
      <c r="R343" s="56"/>
      <c r="S343" s="56"/>
      <c r="T343" s="56"/>
      <c r="U343" s="56"/>
      <c r="V343" s="56"/>
      <c r="W343" s="56"/>
      <c r="X343" s="56"/>
      <c r="Y343" s="56"/>
      <c r="Z343" s="59"/>
    </row>
    <row r="344">
      <c r="A344" s="55"/>
      <c r="B344" s="55"/>
      <c r="C344" s="55"/>
      <c r="D344" s="55"/>
      <c r="E344" s="55"/>
      <c r="F344" s="55"/>
      <c r="G344" s="55"/>
      <c r="H344" s="55"/>
      <c r="I344" s="55"/>
      <c r="J344" s="55"/>
      <c r="K344" s="55"/>
      <c r="L344" s="55"/>
      <c r="M344" s="55"/>
      <c r="N344" s="55"/>
      <c r="O344" s="55"/>
      <c r="P344" s="55"/>
      <c r="Q344" s="56"/>
      <c r="R344" s="56"/>
      <c r="S344" s="56"/>
      <c r="T344" s="56"/>
      <c r="U344" s="56"/>
      <c r="V344" s="56"/>
      <c r="W344" s="56"/>
      <c r="X344" s="56"/>
      <c r="Y344" s="56"/>
      <c r="Z344" s="59"/>
    </row>
    <row r="345">
      <c r="A345" s="55"/>
      <c r="B345" s="55"/>
      <c r="C345" s="55"/>
      <c r="D345" s="55"/>
      <c r="E345" s="55"/>
      <c r="F345" s="55"/>
      <c r="G345" s="55"/>
      <c r="H345" s="55"/>
      <c r="I345" s="55"/>
      <c r="J345" s="55"/>
      <c r="K345" s="55"/>
      <c r="L345" s="55"/>
      <c r="M345" s="55"/>
      <c r="N345" s="55"/>
      <c r="O345" s="55"/>
      <c r="P345" s="55"/>
      <c r="Q345" s="56"/>
      <c r="R345" s="56"/>
      <c r="S345" s="56"/>
      <c r="T345" s="56"/>
      <c r="U345" s="56"/>
      <c r="V345" s="56"/>
      <c r="W345" s="56"/>
      <c r="X345" s="56"/>
      <c r="Y345" s="56"/>
      <c r="Z345" s="59"/>
    </row>
    <row r="346">
      <c r="A346" s="55"/>
      <c r="B346" s="55"/>
      <c r="C346" s="55"/>
      <c r="D346" s="55"/>
      <c r="E346" s="55"/>
      <c r="F346" s="55"/>
      <c r="G346" s="55"/>
      <c r="H346" s="55"/>
      <c r="I346" s="55"/>
      <c r="J346" s="55"/>
      <c r="K346" s="55"/>
      <c r="L346" s="55"/>
      <c r="M346" s="55"/>
      <c r="N346" s="55"/>
      <c r="O346" s="55"/>
      <c r="P346" s="55"/>
      <c r="Q346" s="56"/>
      <c r="R346" s="56"/>
      <c r="S346" s="56"/>
      <c r="T346" s="56"/>
      <c r="U346" s="56"/>
      <c r="V346" s="56"/>
      <c r="W346" s="56"/>
      <c r="X346" s="56"/>
      <c r="Y346" s="56"/>
      <c r="Z346" s="59"/>
    </row>
    <row r="347">
      <c r="A347" s="55"/>
      <c r="B347" s="55"/>
      <c r="C347" s="55"/>
      <c r="D347" s="55"/>
      <c r="E347" s="55"/>
      <c r="F347" s="55"/>
      <c r="G347" s="55"/>
      <c r="H347" s="55"/>
      <c r="I347" s="55"/>
      <c r="J347" s="55"/>
      <c r="K347" s="55"/>
      <c r="L347" s="55"/>
      <c r="M347" s="55"/>
      <c r="N347" s="55"/>
      <c r="O347" s="55"/>
      <c r="P347" s="55"/>
      <c r="Q347" s="56"/>
      <c r="R347" s="56"/>
      <c r="S347" s="56"/>
      <c r="T347" s="56"/>
      <c r="U347" s="56"/>
      <c r="V347" s="56"/>
      <c r="W347" s="56"/>
      <c r="X347" s="56"/>
      <c r="Y347" s="56"/>
      <c r="Z347" s="59"/>
    </row>
    <row r="348">
      <c r="A348" s="55"/>
      <c r="B348" s="55"/>
      <c r="C348" s="55"/>
      <c r="D348" s="55"/>
      <c r="E348" s="55"/>
      <c r="F348" s="55"/>
      <c r="G348" s="55"/>
      <c r="H348" s="55"/>
      <c r="I348" s="55"/>
      <c r="J348" s="55"/>
      <c r="K348" s="55"/>
      <c r="L348" s="55"/>
      <c r="M348" s="55"/>
      <c r="N348" s="55"/>
      <c r="O348" s="55"/>
      <c r="P348" s="55"/>
      <c r="Q348" s="56"/>
      <c r="R348" s="56"/>
      <c r="S348" s="56"/>
      <c r="T348" s="56"/>
      <c r="U348" s="56"/>
      <c r="V348" s="56"/>
      <c r="W348" s="56"/>
      <c r="X348" s="56"/>
      <c r="Y348" s="56"/>
      <c r="Z348" s="59"/>
    </row>
    <row r="349">
      <c r="A349" s="55"/>
      <c r="B349" s="55"/>
      <c r="C349" s="55"/>
      <c r="D349" s="55"/>
      <c r="E349" s="55"/>
      <c r="F349" s="55"/>
      <c r="G349" s="55"/>
      <c r="H349" s="55"/>
      <c r="I349" s="55"/>
      <c r="J349" s="55"/>
      <c r="K349" s="55"/>
      <c r="L349" s="55"/>
      <c r="M349" s="55"/>
      <c r="N349" s="55"/>
      <c r="O349" s="55"/>
      <c r="P349" s="55"/>
      <c r="Q349" s="56"/>
      <c r="R349" s="56"/>
      <c r="S349" s="56"/>
      <c r="T349" s="56"/>
      <c r="U349" s="56"/>
      <c r="V349" s="56"/>
      <c r="W349" s="56"/>
      <c r="X349" s="56"/>
      <c r="Y349" s="56"/>
      <c r="Z349" s="59"/>
    </row>
    <row r="350">
      <c r="A350" s="55"/>
      <c r="B350" s="55"/>
      <c r="C350" s="55"/>
      <c r="D350" s="55"/>
      <c r="E350" s="55"/>
      <c r="F350" s="55"/>
      <c r="G350" s="55"/>
      <c r="H350" s="55"/>
      <c r="I350" s="55"/>
      <c r="J350" s="55"/>
      <c r="K350" s="55"/>
      <c r="L350" s="55"/>
      <c r="M350" s="55"/>
      <c r="N350" s="55"/>
      <c r="O350" s="55"/>
      <c r="P350" s="55"/>
      <c r="Q350" s="56"/>
      <c r="R350" s="56"/>
      <c r="S350" s="56"/>
      <c r="T350" s="56"/>
      <c r="U350" s="56"/>
      <c r="V350" s="56"/>
      <c r="W350" s="56"/>
      <c r="X350" s="56"/>
      <c r="Y350" s="56"/>
      <c r="Z350" s="59"/>
    </row>
    <row r="351">
      <c r="A351" s="55"/>
      <c r="B351" s="55"/>
      <c r="C351" s="55"/>
      <c r="D351" s="55"/>
      <c r="E351" s="55"/>
      <c r="F351" s="55"/>
      <c r="G351" s="55"/>
      <c r="H351" s="55"/>
      <c r="I351" s="55"/>
      <c r="J351" s="55"/>
      <c r="K351" s="55"/>
      <c r="L351" s="55"/>
      <c r="M351" s="55"/>
      <c r="N351" s="55"/>
      <c r="O351" s="55"/>
      <c r="P351" s="55"/>
      <c r="Q351" s="56"/>
      <c r="R351" s="56"/>
      <c r="S351" s="56"/>
      <c r="T351" s="56"/>
      <c r="U351" s="56"/>
      <c r="V351" s="56"/>
      <c r="W351" s="56"/>
      <c r="X351" s="56"/>
      <c r="Y351" s="56"/>
      <c r="Z351" s="59"/>
    </row>
    <row r="352">
      <c r="A352" s="55"/>
      <c r="B352" s="55"/>
      <c r="C352" s="55"/>
      <c r="D352" s="55"/>
      <c r="E352" s="55"/>
      <c r="F352" s="55"/>
      <c r="G352" s="55"/>
      <c r="H352" s="55"/>
      <c r="I352" s="55"/>
      <c r="J352" s="55"/>
      <c r="K352" s="55"/>
      <c r="L352" s="55"/>
      <c r="M352" s="55"/>
      <c r="N352" s="55"/>
      <c r="O352" s="55"/>
      <c r="P352" s="55"/>
      <c r="Q352" s="56"/>
      <c r="R352" s="56"/>
      <c r="S352" s="56"/>
      <c r="T352" s="56"/>
      <c r="U352" s="56"/>
      <c r="V352" s="56"/>
      <c r="W352" s="56"/>
      <c r="X352" s="56"/>
      <c r="Y352" s="56"/>
      <c r="Z352" s="59"/>
    </row>
    <row r="353">
      <c r="A353" s="55"/>
      <c r="B353" s="55"/>
      <c r="C353" s="55"/>
      <c r="D353" s="55"/>
      <c r="E353" s="55"/>
      <c r="F353" s="55"/>
      <c r="G353" s="55"/>
      <c r="H353" s="55"/>
      <c r="I353" s="55"/>
      <c r="J353" s="55"/>
      <c r="K353" s="55"/>
      <c r="L353" s="55"/>
      <c r="M353" s="55"/>
      <c r="N353" s="55"/>
      <c r="O353" s="55"/>
      <c r="P353" s="55"/>
      <c r="Q353" s="56"/>
      <c r="R353" s="56"/>
      <c r="S353" s="56"/>
      <c r="T353" s="56"/>
      <c r="U353" s="56"/>
      <c r="V353" s="56"/>
      <c r="W353" s="56"/>
      <c r="X353" s="56"/>
      <c r="Y353" s="56"/>
      <c r="Z353" s="59"/>
    </row>
    <row r="354">
      <c r="A354" s="55"/>
      <c r="B354" s="55"/>
      <c r="C354" s="55"/>
      <c r="D354" s="55"/>
      <c r="E354" s="55"/>
      <c r="F354" s="55"/>
      <c r="G354" s="55"/>
      <c r="H354" s="55"/>
      <c r="I354" s="55"/>
      <c r="J354" s="55"/>
      <c r="K354" s="55"/>
      <c r="L354" s="55"/>
      <c r="M354" s="55"/>
      <c r="N354" s="55"/>
      <c r="O354" s="55"/>
      <c r="P354" s="55"/>
      <c r="Q354" s="56"/>
      <c r="R354" s="56"/>
      <c r="S354" s="56"/>
      <c r="T354" s="56"/>
      <c r="U354" s="56"/>
      <c r="V354" s="56"/>
      <c r="W354" s="56"/>
      <c r="X354" s="56"/>
      <c r="Y354" s="56"/>
      <c r="Z354" s="59"/>
    </row>
    <row r="355">
      <c r="A355" s="55"/>
      <c r="B355" s="55"/>
      <c r="C355" s="55"/>
      <c r="D355" s="55"/>
      <c r="E355" s="55"/>
      <c r="F355" s="55"/>
      <c r="G355" s="55"/>
      <c r="H355" s="55"/>
      <c r="I355" s="55"/>
      <c r="J355" s="55"/>
      <c r="K355" s="55"/>
      <c r="L355" s="55"/>
      <c r="M355" s="55"/>
      <c r="N355" s="55"/>
      <c r="O355" s="55"/>
      <c r="P355" s="55"/>
      <c r="Q355" s="56"/>
      <c r="R355" s="56"/>
      <c r="S355" s="56"/>
      <c r="T355" s="56"/>
      <c r="U355" s="56"/>
      <c r="V355" s="56"/>
      <c r="W355" s="56"/>
      <c r="X355" s="56"/>
      <c r="Y355" s="56"/>
      <c r="Z355" s="59"/>
    </row>
    <row r="356">
      <c r="A356" s="55"/>
      <c r="B356" s="55"/>
      <c r="C356" s="55"/>
      <c r="D356" s="55"/>
      <c r="E356" s="55"/>
      <c r="F356" s="55"/>
      <c r="G356" s="55"/>
      <c r="H356" s="55"/>
      <c r="I356" s="55"/>
      <c r="J356" s="55"/>
      <c r="K356" s="55"/>
      <c r="L356" s="55"/>
      <c r="M356" s="55"/>
      <c r="N356" s="55"/>
      <c r="O356" s="55"/>
      <c r="P356" s="55"/>
      <c r="Q356" s="56"/>
      <c r="R356" s="56"/>
      <c r="S356" s="56"/>
      <c r="T356" s="56"/>
      <c r="U356" s="56"/>
      <c r="V356" s="56"/>
      <c r="W356" s="56"/>
      <c r="X356" s="56"/>
      <c r="Y356" s="56"/>
      <c r="Z356" s="59"/>
    </row>
    <row r="357">
      <c r="A357" s="55"/>
      <c r="B357" s="55"/>
      <c r="C357" s="55"/>
      <c r="D357" s="55"/>
      <c r="E357" s="55"/>
      <c r="F357" s="55"/>
      <c r="G357" s="55"/>
      <c r="H357" s="55"/>
      <c r="I357" s="55"/>
      <c r="J357" s="55"/>
      <c r="K357" s="55"/>
      <c r="L357" s="55"/>
      <c r="M357" s="55"/>
      <c r="N357" s="55"/>
      <c r="O357" s="55"/>
      <c r="P357" s="55"/>
      <c r="Q357" s="56"/>
      <c r="R357" s="56"/>
      <c r="S357" s="56"/>
      <c r="T357" s="56"/>
      <c r="U357" s="56"/>
      <c r="V357" s="56"/>
      <c r="W357" s="56"/>
      <c r="X357" s="56"/>
      <c r="Y357" s="56"/>
      <c r="Z357" s="59"/>
    </row>
    <row r="358">
      <c r="A358" s="55"/>
      <c r="B358" s="55"/>
      <c r="C358" s="55"/>
      <c r="D358" s="55"/>
      <c r="E358" s="55"/>
      <c r="F358" s="55"/>
      <c r="G358" s="55"/>
      <c r="H358" s="55"/>
      <c r="I358" s="55"/>
      <c r="J358" s="55"/>
      <c r="K358" s="55"/>
      <c r="L358" s="55"/>
      <c r="M358" s="55"/>
      <c r="N358" s="55"/>
      <c r="O358" s="55"/>
      <c r="P358" s="55"/>
      <c r="Q358" s="56"/>
      <c r="R358" s="56"/>
      <c r="S358" s="56"/>
      <c r="T358" s="56"/>
      <c r="U358" s="56"/>
      <c r="V358" s="56"/>
      <c r="W358" s="56"/>
      <c r="X358" s="56"/>
      <c r="Y358" s="56"/>
      <c r="Z358" s="59"/>
    </row>
    <row r="359">
      <c r="A359" s="55"/>
      <c r="B359" s="55"/>
      <c r="C359" s="55"/>
      <c r="D359" s="55"/>
      <c r="E359" s="55"/>
      <c r="F359" s="55"/>
      <c r="G359" s="55"/>
      <c r="H359" s="55"/>
      <c r="I359" s="55"/>
      <c r="J359" s="55"/>
      <c r="K359" s="55"/>
      <c r="L359" s="55"/>
      <c r="M359" s="55"/>
      <c r="N359" s="55"/>
      <c r="O359" s="55"/>
      <c r="P359" s="55"/>
      <c r="Q359" s="56"/>
      <c r="R359" s="56"/>
      <c r="S359" s="56"/>
      <c r="T359" s="56"/>
      <c r="U359" s="56"/>
      <c r="V359" s="56"/>
      <c r="W359" s="56"/>
      <c r="X359" s="56"/>
      <c r="Y359" s="56"/>
      <c r="Z359" s="59"/>
    </row>
    <row r="360">
      <c r="A360" s="55"/>
      <c r="B360" s="55"/>
      <c r="C360" s="55"/>
      <c r="D360" s="55"/>
      <c r="E360" s="55"/>
      <c r="F360" s="55"/>
      <c r="G360" s="55"/>
      <c r="H360" s="55"/>
      <c r="I360" s="55"/>
      <c r="J360" s="55"/>
      <c r="K360" s="55"/>
      <c r="L360" s="55"/>
      <c r="M360" s="55"/>
      <c r="N360" s="55"/>
      <c r="O360" s="55"/>
      <c r="P360" s="55"/>
      <c r="Q360" s="56"/>
      <c r="R360" s="56"/>
      <c r="S360" s="56"/>
      <c r="T360" s="56"/>
      <c r="U360" s="56"/>
      <c r="V360" s="56"/>
      <c r="W360" s="56"/>
      <c r="X360" s="56"/>
      <c r="Y360" s="56"/>
      <c r="Z360" s="59"/>
    </row>
    <row r="361">
      <c r="A361" s="55"/>
      <c r="B361" s="55"/>
      <c r="C361" s="55"/>
      <c r="D361" s="55"/>
      <c r="E361" s="55"/>
      <c r="F361" s="55"/>
      <c r="G361" s="55"/>
      <c r="H361" s="55"/>
      <c r="I361" s="55"/>
      <c r="J361" s="55"/>
      <c r="K361" s="55"/>
      <c r="L361" s="55"/>
      <c r="M361" s="55"/>
      <c r="N361" s="55"/>
      <c r="O361" s="55"/>
      <c r="P361" s="55"/>
      <c r="Q361" s="56"/>
      <c r="R361" s="56"/>
      <c r="S361" s="56"/>
      <c r="T361" s="56"/>
      <c r="U361" s="56"/>
      <c r="V361" s="56"/>
      <c r="W361" s="56"/>
      <c r="X361" s="56"/>
      <c r="Y361" s="56"/>
      <c r="Z361" s="59"/>
    </row>
    <row r="362">
      <c r="A362" s="55"/>
      <c r="B362" s="55"/>
      <c r="C362" s="55"/>
      <c r="D362" s="55"/>
      <c r="E362" s="55"/>
      <c r="F362" s="55"/>
      <c r="G362" s="55"/>
      <c r="H362" s="55"/>
      <c r="I362" s="55"/>
      <c r="J362" s="55"/>
      <c r="K362" s="55"/>
      <c r="L362" s="55"/>
      <c r="M362" s="55"/>
      <c r="N362" s="55"/>
      <c r="O362" s="55"/>
      <c r="P362" s="55"/>
      <c r="Q362" s="56"/>
      <c r="R362" s="56"/>
      <c r="S362" s="56"/>
      <c r="T362" s="56"/>
      <c r="U362" s="56"/>
      <c r="V362" s="56"/>
      <c r="W362" s="56"/>
      <c r="X362" s="56"/>
      <c r="Y362" s="56"/>
      <c r="Z362" s="59"/>
    </row>
    <row r="363">
      <c r="A363" s="55"/>
      <c r="B363" s="55"/>
      <c r="C363" s="55"/>
      <c r="D363" s="55"/>
      <c r="E363" s="55"/>
      <c r="F363" s="55"/>
      <c r="G363" s="55"/>
      <c r="H363" s="55"/>
      <c r="I363" s="55"/>
      <c r="J363" s="55"/>
      <c r="K363" s="55"/>
      <c r="L363" s="55"/>
      <c r="M363" s="55"/>
      <c r="N363" s="55"/>
      <c r="O363" s="55"/>
      <c r="P363" s="55"/>
      <c r="Q363" s="56"/>
      <c r="R363" s="56"/>
      <c r="S363" s="56"/>
      <c r="T363" s="56"/>
      <c r="U363" s="56"/>
      <c r="V363" s="56"/>
      <c r="W363" s="56"/>
      <c r="X363" s="56"/>
      <c r="Y363" s="56"/>
      <c r="Z363" s="59"/>
    </row>
    <row r="364">
      <c r="A364" s="55"/>
      <c r="B364" s="55"/>
      <c r="C364" s="55"/>
      <c r="D364" s="55"/>
      <c r="E364" s="55"/>
      <c r="F364" s="55"/>
      <c r="G364" s="55"/>
      <c r="H364" s="55"/>
      <c r="I364" s="55"/>
      <c r="J364" s="55"/>
      <c r="K364" s="55"/>
      <c r="L364" s="55"/>
      <c r="M364" s="55"/>
      <c r="N364" s="55"/>
      <c r="O364" s="55"/>
      <c r="P364" s="55"/>
      <c r="Q364" s="56"/>
      <c r="R364" s="56"/>
      <c r="S364" s="56"/>
      <c r="T364" s="56"/>
      <c r="U364" s="56"/>
      <c r="V364" s="56"/>
      <c r="W364" s="56"/>
      <c r="X364" s="56"/>
      <c r="Y364" s="56"/>
      <c r="Z364" s="59"/>
    </row>
    <row r="365">
      <c r="A365" s="55"/>
      <c r="B365" s="55"/>
      <c r="C365" s="55"/>
      <c r="D365" s="55"/>
      <c r="E365" s="55"/>
      <c r="F365" s="55"/>
      <c r="G365" s="55"/>
      <c r="H365" s="55"/>
      <c r="I365" s="55"/>
      <c r="J365" s="55"/>
      <c r="K365" s="55"/>
      <c r="L365" s="55"/>
      <c r="M365" s="55"/>
      <c r="N365" s="55"/>
      <c r="O365" s="55"/>
      <c r="P365" s="55"/>
      <c r="Q365" s="56"/>
      <c r="R365" s="56"/>
      <c r="S365" s="56"/>
      <c r="T365" s="56"/>
      <c r="U365" s="56"/>
      <c r="V365" s="56"/>
      <c r="W365" s="56"/>
      <c r="X365" s="56"/>
      <c r="Y365" s="56"/>
      <c r="Z365" s="59"/>
    </row>
    <row r="366">
      <c r="A366" s="55"/>
      <c r="B366" s="55"/>
      <c r="C366" s="55"/>
      <c r="D366" s="55"/>
      <c r="E366" s="55"/>
      <c r="F366" s="55"/>
      <c r="G366" s="55"/>
      <c r="H366" s="55"/>
      <c r="I366" s="55"/>
      <c r="J366" s="55"/>
      <c r="K366" s="55"/>
      <c r="L366" s="55"/>
      <c r="M366" s="55"/>
      <c r="N366" s="55"/>
      <c r="O366" s="55"/>
      <c r="P366" s="55"/>
      <c r="Q366" s="56"/>
      <c r="R366" s="56"/>
      <c r="S366" s="56"/>
      <c r="T366" s="56"/>
      <c r="U366" s="56"/>
      <c r="V366" s="56"/>
      <c r="W366" s="56"/>
      <c r="X366" s="56"/>
      <c r="Y366" s="56"/>
      <c r="Z366" s="59"/>
    </row>
    <row r="367">
      <c r="A367" s="55"/>
      <c r="B367" s="55"/>
      <c r="C367" s="55"/>
      <c r="D367" s="55"/>
      <c r="E367" s="55"/>
      <c r="F367" s="55"/>
      <c r="G367" s="55"/>
      <c r="H367" s="55"/>
      <c r="I367" s="55"/>
      <c r="J367" s="55"/>
      <c r="K367" s="55"/>
      <c r="L367" s="55"/>
      <c r="M367" s="55"/>
      <c r="N367" s="55"/>
      <c r="O367" s="55"/>
      <c r="P367" s="55"/>
      <c r="Q367" s="56"/>
      <c r="R367" s="56"/>
      <c r="S367" s="56"/>
      <c r="T367" s="56"/>
      <c r="U367" s="56"/>
      <c r="V367" s="56"/>
      <c r="W367" s="56"/>
      <c r="X367" s="56"/>
      <c r="Y367" s="56"/>
      <c r="Z367" s="59"/>
    </row>
    <row r="368">
      <c r="A368" s="55"/>
      <c r="B368" s="55"/>
      <c r="C368" s="55"/>
      <c r="D368" s="55"/>
      <c r="E368" s="55"/>
      <c r="F368" s="55"/>
      <c r="G368" s="55"/>
      <c r="H368" s="55"/>
      <c r="I368" s="55"/>
      <c r="J368" s="55"/>
      <c r="K368" s="55"/>
      <c r="L368" s="55"/>
      <c r="M368" s="55"/>
      <c r="N368" s="55"/>
      <c r="O368" s="55"/>
      <c r="P368" s="55"/>
      <c r="Q368" s="56"/>
      <c r="R368" s="56"/>
      <c r="S368" s="56"/>
      <c r="T368" s="56"/>
      <c r="U368" s="56"/>
      <c r="V368" s="56"/>
      <c r="W368" s="56"/>
      <c r="X368" s="56"/>
      <c r="Y368" s="56"/>
      <c r="Z368" s="59"/>
    </row>
    <row r="369">
      <c r="A369" s="55"/>
      <c r="B369" s="55"/>
      <c r="C369" s="55"/>
      <c r="D369" s="55"/>
      <c r="E369" s="55"/>
      <c r="F369" s="55"/>
      <c r="G369" s="55"/>
      <c r="H369" s="55"/>
      <c r="I369" s="55"/>
      <c r="J369" s="55"/>
      <c r="K369" s="55"/>
      <c r="L369" s="55"/>
      <c r="M369" s="55"/>
      <c r="N369" s="55"/>
      <c r="O369" s="55"/>
      <c r="P369" s="55"/>
      <c r="Q369" s="56"/>
      <c r="R369" s="56"/>
      <c r="S369" s="56"/>
      <c r="T369" s="56"/>
      <c r="U369" s="56"/>
      <c r="V369" s="56"/>
      <c r="W369" s="56"/>
      <c r="X369" s="56"/>
      <c r="Y369" s="56"/>
      <c r="Z369" s="59"/>
    </row>
    <row r="370">
      <c r="A370" s="55"/>
      <c r="B370" s="55"/>
      <c r="C370" s="55"/>
      <c r="D370" s="55"/>
      <c r="E370" s="55"/>
      <c r="F370" s="55"/>
      <c r="G370" s="55"/>
      <c r="H370" s="55"/>
      <c r="I370" s="55"/>
      <c r="J370" s="55"/>
      <c r="K370" s="55"/>
      <c r="L370" s="55"/>
      <c r="M370" s="55"/>
      <c r="N370" s="55"/>
      <c r="O370" s="55"/>
      <c r="P370" s="55"/>
      <c r="Q370" s="56"/>
      <c r="R370" s="56"/>
      <c r="S370" s="56"/>
      <c r="T370" s="56"/>
      <c r="U370" s="56"/>
      <c r="V370" s="56"/>
      <c r="W370" s="56"/>
      <c r="X370" s="56"/>
      <c r="Y370" s="56"/>
      <c r="Z370" s="59"/>
    </row>
    <row r="371">
      <c r="A371" s="55"/>
      <c r="B371" s="55"/>
      <c r="C371" s="55"/>
      <c r="D371" s="55"/>
      <c r="E371" s="55"/>
      <c r="F371" s="55"/>
      <c r="G371" s="55"/>
      <c r="H371" s="55"/>
      <c r="I371" s="55"/>
      <c r="J371" s="55"/>
      <c r="K371" s="55"/>
      <c r="L371" s="55"/>
      <c r="M371" s="55"/>
      <c r="N371" s="55"/>
      <c r="O371" s="55"/>
      <c r="P371" s="55"/>
      <c r="Q371" s="56"/>
      <c r="R371" s="56"/>
      <c r="S371" s="56"/>
      <c r="T371" s="56"/>
      <c r="U371" s="56"/>
      <c r="V371" s="56"/>
      <c r="W371" s="56"/>
      <c r="X371" s="56"/>
      <c r="Y371" s="56"/>
      <c r="Z371" s="59"/>
    </row>
    <row r="372">
      <c r="A372" s="55"/>
      <c r="B372" s="55"/>
      <c r="C372" s="55"/>
      <c r="D372" s="55"/>
      <c r="E372" s="55"/>
      <c r="F372" s="55"/>
      <c r="G372" s="55"/>
      <c r="H372" s="55"/>
      <c r="I372" s="55"/>
      <c r="J372" s="55"/>
      <c r="K372" s="55"/>
      <c r="L372" s="55"/>
      <c r="M372" s="55"/>
      <c r="N372" s="55"/>
      <c r="O372" s="55"/>
      <c r="P372" s="55"/>
      <c r="Q372" s="56"/>
      <c r="R372" s="56"/>
      <c r="S372" s="56"/>
      <c r="T372" s="56"/>
      <c r="U372" s="56"/>
      <c r="V372" s="56"/>
      <c r="W372" s="56"/>
      <c r="X372" s="56"/>
      <c r="Y372" s="56"/>
      <c r="Z372" s="59"/>
    </row>
    <row r="373">
      <c r="A373" s="55"/>
      <c r="B373" s="55"/>
      <c r="C373" s="55"/>
      <c r="D373" s="55"/>
      <c r="E373" s="55"/>
      <c r="F373" s="55"/>
      <c r="G373" s="55"/>
      <c r="H373" s="55"/>
      <c r="I373" s="55"/>
      <c r="J373" s="55"/>
      <c r="K373" s="55"/>
      <c r="L373" s="55"/>
      <c r="M373" s="55"/>
      <c r="N373" s="55"/>
      <c r="O373" s="55"/>
      <c r="P373" s="55"/>
      <c r="Q373" s="56"/>
      <c r="R373" s="56"/>
      <c r="S373" s="56"/>
      <c r="T373" s="56"/>
      <c r="U373" s="56"/>
      <c r="V373" s="56"/>
      <c r="W373" s="56"/>
      <c r="X373" s="56"/>
      <c r="Y373" s="56"/>
      <c r="Z373" s="59"/>
    </row>
    <row r="374">
      <c r="A374" s="55"/>
      <c r="B374" s="55"/>
      <c r="C374" s="55"/>
      <c r="D374" s="55"/>
      <c r="E374" s="55"/>
      <c r="F374" s="55"/>
      <c r="G374" s="55"/>
      <c r="H374" s="55"/>
      <c r="I374" s="55"/>
      <c r="J374" s="55"/>
      <c r="K374" s="55"/>
      <c r="L374" s="55"/>
      <c r="M374" s="55"/>
      <c r="N374" s="55"/>
      <c r="O374" s="55"/>
      <c r="P374" s="55"/>
      <c r="Q374" s="56"/>
      <c r="R374" s="56"/>
      <c r="S374" s="56"/>
      <c r="T374" s="56"/>
      <c r="U374" s="56"/>
      <c r="V374" s="56"/>
      <c r="W374" s="56"/>
      <c r="X374" s="56"/>
      <c r="Y374" s="56"/>
      <c r="Z374" s="59"/>
    </row>
    <row r="375">
      <c r="A375" s="55"/>
      <c r="B375" s="55"/>
      <c r="C375" s="55"/>
      <c r="D375" s="55"/>
      <c r="E375" s="55"/>
      <c r="F375" s="55"/>
      <c r="G375" s="55"/>
      <c r="H375" s="55"/>
      <c r="I375" s="55"/>
      <c r="J375" s="55"/>
      <c r="K375" s="55"/>
      <c r="L375" s="55"/>
      <c r="M375" s="55"/>
      <c r="N375" s="55"/>
      <c r="O375" s="55"/>
      <c r="P375" s="55"/>
      <c r="Q375" s="56"/>
      <c r="R375" s="56"/>
      <c r="S375" s="56"/>
      <c r="T375" s="56"/>
      <c r="U375" s="56"/>
      <c r="V375" s="56"/>
      <c r="W375" s="56"/>
      <c r="X375" s="56"/>
      <c r="Y375" s="56"/>
      <c r="Z375" s="59"/>
    </row>
    <row r="376">
      <c r="A376" s="55"/>
      <c r="B376" s="55"/>
      <c r="C376" s="55"/>
      <c r="D376" s="55"/>
      <c r="E376" s="55"/>
      <c r="F376" s="55"/>
      <c r="G376" s="55"/>
      <c r="H376" s="55"/>
      <c r="I376" s="55"/>
      <c r="J376" s="55"/>
      <c r="K376" s="55"/>
      <c r="L376" s="55"/>
      <c r="M376" s="55"/>
      <c r="N376" s="55"/>
      <c r="O376" s="55"/>
      <c r="P376" s="55"/>
      <c r="Q376" s="56"/>
      <c r="R376" s="56"/>
      <c r="S376" s="56"/>
      <c r="T376" s="56"/>
      <c r="U376" s="56"/>
      <c r="V376" s="56"/>
      <c r="W376" s="56"/>
      <c r="X376" s="56"/>
      <c r="Y376" s="56"/>
      <c r="Z376" s="59"/>
    </row>
    <row r="377">
      <c r="A377" s="55"/>
      <c r="B377" s="55"/>
      <c r="C377" s="55"/>
      <c r="D377" s="55"/>
      <c r="E377" s="55"/>
      <c r="F377" s="55"/>
      <c r="G377" s="55"/>
      <c r="H377" s="55"/>
      <c r="I377" s="55"/>
      <c r="J377" s="55"/>
      <c r="K377" s="55"/>
      <c r="L377" s="55"/>
      <c r="M377" s="55"/>
      <c r="N377" s="55"/>
      <c r="O377" s="55"/>
      <c r="P377" s="55"/>
      <c r="Q377" s="56"/>
      <c r="R377" s="56"/>
      <c r="S377" s="56"/>
      <c r="T377" s="56"/>
      <c r="U377" s="56"/>
      <c r="V377" s="56"/>
      <c r="W377" s="56"/>
      <c r="X377" s="56"/>
      <c r="Y377" s="56"/>
      <c r="Z377" s="59"/>
    </row>
    <row r="378">
      <c r="A378" s="55"/>
      <c r="B378" s="55"/>
      <c r="C378" s="55"/>
      <c r="D378" s="55"/>
      <c r="E378" s="55"/>
      <c r="F378" s="55"/>
      <c r="G378" s="55"/>
      <c r="H378" s="55"/>
      <c r="I378" s="55"/>
      <c r="J378" s="55"/>
      <c r="K378" s="55"/>
      <c r="L378" s="55"/>
      <c r="M378" s="55"/>
      <c r="N378" s="55"/>
      <c r="O378" s="55"/>
      <c r="P378" s="55"/>
      <c r="Q378" s="56"/>
      <c r="R378" s="56"/>
      <c r="S378" s="56"/>
      <c r="T378" s="56"/>
      <c r="U378" s="56"/>
      <c r="V378" s="56"/>
      <c r="W378" s="56"/>
      <c r="X378" s="56"/>
      <c r="Y378" s="56"/>
      <c r="Z378" s="59"/>
    </row>
    <row r="379">
      <c r="A379" s="55"/>
      <c r="B379" s="55"/>
      <c r="C379" s="55"/>
      <c r="D379" s="55"/>
      <c r="E379" s="55"/>
      <c r="F379" s="55"/>
      <c r="G379" s="55"/>
      <c r="H379" s="55"/>
      <c r="I379" s="55"/>
      <c r="J379" s="55"/>
      <c r="K379" s="55"/>
      <c r="L379" s="55"/>
      <c r="M379" s="55"/>
      <c r="N379" s="55"/>
      <c r="O379" s="55"/>
      <c r="P379" s="55"/>
      <c r="Q379" s="56"/>
      <c r="R379" s="56"/>
      <c r="S379" s="56"/>
      <c r="T379" s="56"/>
      <c r="U379" s="56"/>
      <c r="V379" s="56"/>
      <c r="W379" s="56"/>
      <c r="X379" s="56"/>
      <c r="Y379" s="56"/>
      <c r="Z379" s="59"/>
    </row>
    <row r="380">
      <c r="A380" s="55"/>
      <c r="B380" s="55"/>
      <c r="C380" s="55"/>
      <c r="D380" s="55"/>
      <c r="E380" s="55"/>
      <c r="F380" s="55"/>
      <c r="G380" s="55"/>
      <c r="H380" s="55"/>
      <c r="I380" s="55"/>
      <c r="J380" s="55"/>
      <c r="K380" s="55"/>
      <c r="L380" s="55"/>
      <c r="M380" s="55"/>
      <c r="N380" s="55"/>
      <c r="O380" s="55"/>
      <c r="P380" s="55"/>
      <c r="Q380" s="56"/>
      <c r="R380" s="56"/>
      <c r="S380" s="56"/>
      <c r="T380" s="56"/>
      <c r="U380" s="56"/>
      <c r="V380" s="56"/>
      <c r="W380" s="56"/>
      <c r="X380" s="56"/>
      <c r="Y380" s="56"/>
      <c r="Z380" s="59"/>
    </row>
    <row r="381">
      <c r="A381" s="55"/>
      <c r="B381" s="55"/>
      <c r="C381" s="55"/>
      <c r="D381" s="55"/>
      <c r="E381" s="55"/>
      <c r="F381" s="55"/>
      <c r="G381" s="55"/>
      <c r="H381" s="55"/>
      <c r="I381" s="55"/>
      <c r="J381" s="55"/>
      <c r="K381" s="55"/>
      <c r="L381" s="55"/>
      <c r="M381" s="55"/>
      <c r="N381" s="55"/>
      <c r="O381" s="55"/>
      <c r="P381" s="55"/>
      <c r="Q381" s="56"/>
      <c r="R381" s="56"/>
      <c r="S381" s="56"/>
      <c r="T381" s="56"/>
      <c r="U381" s="56"/>
      <c r="V381" s="56"/>
      <c r="W381" s="56"/>
      <c r="X381" s="56"/>
      <c r="Y381" s="56"/>
      <c r="Z381" s="59"/>
    </row>
    <row r="382">
      <c r="A382" s="55"/>
      <c r="B382" s="55"/>
      <c r="C382" s="55"/>
      <c r="D382" s="55"/>
      <c r="E382" s="55"/>
      <c r="F382" s="55"/>
      <c r="G382" s="55"/>
      <c r="H382" s="55"/>
      <c r="I382" s="55"/>
      <c r="J382" s="55"/>
      <c r="K382" s="55"/>
      <c r="L382" s="55"/>
      <c r="M382" s="55"/>
      <c r="N382" s="55"/>
      <c r="O382" s="55"/>
      <c r="P382" s="55"/>
      <c r="Q382" s="56"/>
      <c r="R382" s="56"/>
      <c r="S382" s="56"/>
      <c r="T382" s="56"/>
      <c r="U382" s="56"/>
      <c r="V382" s="56"/>
      <c r="W382" s="56"/>
      <c r="X382" s="56"/>
      <c r="Y382" s="56"/>
      <c r="Z382" s="59"/>
    </row>
    <row r="383">
      <c r="A383" s="55"/>
      <c r="B383" s="55"/>
      <c r="C383" s="55"/>
      <c r="D383" s="55"/>
      <c r="E383" s="55"/>
      <c r="F383" s="55"/>
      <c r="G383" s="55"/>
      <c r="H383" s="55"/>
      <c r="I383" s="55"/>
      <c r="J383" s="55"/>
      <c r="K383" s="55"/>
      <c r="L383" s="55"/>
      <c r="M383" s="55"/>
      <c r="N383" s="55"/>
      <c r="O383" s="55"/>
      <c r="P383" s="55"/>
      <c r="Q383" s="56"/>
      <c r="R383" s="56"/>
      <c r="S383" s="56"/>
      <c r="T383" s="56"/>
      <c r="U383" s="56"/>
      <c r="V383" s="56"/>
      <c r="W383" s="56"/>
      <c r="X383" s="56"/>
      <c r="Y383" s="56"/>
      <c r="Z383" s="59"/>
    </row>
    <row r="384">
      <c r="A384" s="55"/>
      <c r="B384" s="55"/>
      <c r="C384" s="55"/>
      <c r="D384" s="55"/>
      <c r="E384" s="55"/>
      <c r="F384" s="55"/>
      <c r="G384" s="55"/>
      <c r="H384" s="55"/>
      <c r="I384" s="55"/>
      <c r="J384" s="55"/>
      <c r="K384" s="55"/>
      <c r="L384" s="55"/>
      <c r="M384" s="55"/>
      <c r="N384" s="55"/>
      <c r="O384" s="55"/>
      <c r="P384" s="55"/>
      <c r="Q384" s="56"/>
      <c r="R384" s="56"/>
      <c r="S384" s="56"/>
      <c r="T384" s="56"/>
      <c r="U384" s="56"/>
      <c r="V384" s="56"/>
      <c r="W384" s="56"/>
      <c r="X384" s="56"/>
      <c r="Y384" s="56"/>
      <c r="Z384" s="59"/>
    </row>
    <row r="385">
      <c r="A385" s="55"/>
      <c r="B385" s="55"/>
      <c r="C385" s="55"/>
      <c r="D385" s="55"/>
      <c r="E385" s="55"/>
      <c r="F385" s="55"/>
      <c r="G385" s="55"/>
      <c r="H385" s="55"/>
      <c r="I385" s="55"/>
      <c r="J385" s="55"/>
      <c r="K385" s="55"/>
      <c r="L385" s="55"/>
      <c r="M385" s="55"/>
      <c r="N385" s="55"/>
      <c r="O385" s="55"/>
      <c r="P385" s="55"/>
      <c r="Q385" s="56"/>
      <c r="R385" s="56"/>
      <c r="S385" s="56"/>
      <c r="T385" s="56"/>
      <c r="U385" s="56"/>
      <c r="V385" s="56"/>
      <c r="W385" s="56"/>
      <c r="X385" s="56"/>
      <c r="Y385" s="56"/>
      <c r="Z385" s="59"/>
    </row>
    <row r="386">
      <c r="A386" s="55"/>
      <c r="B386" s="55"/>
      <c r="C386" s="55"/>
      <c r="D386" s="55"/>
      <c r="E386" s="55"/>
      <c r="F386" s="55"/>
      <c r="G386" s="55"/>
      <c r="H386" s="55"/>
      <c r="I386" s="55"/>
      <c r="J386" s="55"/>
      <c r="K386" s="55"/>
      <c r="L386" s="55"/>
      <c r="M386" s="55"/>
      <c r="N386" s="55"/>
      <c r="O386" s="55"/>
      <c r="P386" s="55"/>
      <c r="Q386" s="56"/>
      <c r="R386" s="56"/>
      <c r="S386" s="56"/>
      <c r="T386" s="56"/>
      <c r="U386" s="56"/>
      <c r="V386" s="56"/>
      <c r="W386" s="56"/>
      <c r="X386" s="56"/>
      <c r="Y386" s="56"/>
      <c r="Z386" s="59"/>
    </row>
    <row r="387">
      <c r="A387" s="55"/>
      <c r="B387" s="55"/>
      <c r="C387" s="55"/>
      <c r="D387" s="55"/>
      <c r="E387" s="55"/>
      <c r="F387" s="55"/>
      <c r="G387" s="55"/>
      <c r="H387" s="55"/>
      <c r="I387" s="55"/>
      <c r="J387" s="55"/>
      <c r="K387" s="55"/>
      <c r="L387" s="55"/>
      <c r="M387" s="55"/>
      <c r="N387" s="55"/>
      <c r="O387" s="55"/>
      <c r="P387" s="55"/>
      <c r="Q387" s="56"/>
      <c r="R387" s="56"/>
      <c r="S387" s="56"/>
      <c r="T387" s="56"/>
      <c r="U387" s="56"/>
      <c r="V387" s="56"/>
      <c r="W387" s="56"/>
      <c r="X387" s="56"/>
      <c r="Y387" s="56"/>
      <c r="Z387" s="59"/>
    </row>
    <row r="388">
      <c r="A388" s="55"/>
      <c r="B388" s="55"/>
      <c r="C388" s="55"/>
      <c r="D388" s="55"/>
      <c r="E388" s="55"/>
      <c r="F388" s="55"/>
      <c r="G388" s="55"/>
      <c r="H388" s="55"/>
      <c r="I388" s="55"/>
      <c r="J388" s="55"/>
      <c r="K388" s="55"/>
      <c r="L388" s="55"/>
      <c r="M388" s="55"/>
      <c r="N388" s="55"/>
      <c r="O388" s="55"/>
      <c r="P388" s="55"/>
      <c r="Q388" s="56"/>
      <c r="R388" s="56"/>
      <c r="S388" s="56"/>
      <c r="T388" s="56"/>
      <c r="U388" s="56"/>
      <c r="V388" s="56"/>
      <c r="W388" s="56"/>
      <c r="X388" s="56"/>
      <c r="Y388" s="56"/>
      <c r="Z388" s="59"/>
    </row>
    <row r="389">
      <c r="A389" s="55"/>
      <c r="B389" s="55"/>
      <c r="C389" s="55"/>
      <c r="D389" s="55"/>
      <c r="E389" s="55"/>
      <c r="F389" s="55"/>
      <c r="G389" s="55"/>
      <c r="H389" s="55"/>
      <c r="I389" s="55"/>
      <c r="J389" s="55"/>
      <c r="K389" s="55"/>
      <c r="L389" s="55"/>
      <c r="M389" s="55"/>
      <c r="N389" s="55"/>
      <c r="O389" s="55"/>
      <c r="P389" s="55"/>
      <c r="Q389" s="56"/>
      <c r="R389" s="56"/>
      <c r="S389" s="56"/>
      <c r="T389" s="56"/>
      <c r="U389" s="56"/>
      <c r="V389" s="56"/>
      <c r="W389" s="56"/>
      <c r="X389" s="56"/>
      <c r="Y389" s="56"/>
      <c r="Z389" s="59"/>
    </row>
    <row r="390">
      <c r="A390" s="55"/>
      <c r="B390" s="55"/>
      <c r="C390" s="55"/>
      <c r="D390" s="55"/>
      <c r="E390" s="55"/>
      <c r="F390" s="55"/>
      <c r="G390" s="55"/>
      <c r="H390" s="55"/>
      <c r="I390" s="55"/>
      <c r="J390" s="55"/>
      <c r="K390" s="55"/>
      <c r="L390" s="55"/>
      <c r="M390" s="55"/>
      <c r="N390" s="55"/>
      <c r="O390" s="55"/>
      <c r="P390" s="55"/>
      <c r="Q390" s="56"/>
      <c r="R390" s="56"/>
      <c r="S390" s="56"/>
      <c r="T390" s="56"/>
      <c r="U390" s="56"/>
      <c r="V390" s="56"/>
      <c r="W390" s="56"/>
      <c r="X390" s="56"/>
      <c r="Y390" s="56"/>
      <c r="Z390" s="59"/>
    </row>
    <row r="391">
      <c r="A391" s="55"/>
      <c r="B391" s="55"/>
      <c r="C391" s="55"/>
      <c r="D391" s="55"/>
      <c r="E391" s="55"/>
      <c r="F391" s="55"/>
      <c r="G391" s="55"/>
      <c r="H391" s="55"/>
      <c r="I391" s="55"/>
      <c r="J391" s="55"/>
      <c r="K391" s="55"/>
      <c r="L391" s="55"/>
      <c r="M391" s="55"/>
      <c r="N391" s="55"/>
      <c r="O391" s="55"/>
      <c r="P391" s="55"/>
      <c r="Q391" s="56"/>
      <c r="R391" s="56"/>
      <c r="S391" s="56"/>
      <c r="T391" s="56"/>
      <c r="U391" s="56"/>
      <c r="V391" s="56"/>
      <c r="W391" s="56"/>
      <c r="X391" s="56"/>
      <c r="Y391" s="56"/>
      <c r="Z391" s="59"/>
    </row>
    <row r="392">
      <c r="A392" s="55"/>
      <c r="B392" s="55"/>
      <c r="C392" s="55"/>
      <c r="D392" s="55"/>
      <c r="E392" s="55"/>
      <c r="F392" s="55"/>
      <c r="G392" s="55"/>
      <c r="H392" s="55"/>
      <c r="I392" s="55"/>
      <c r="J392" s="55"/>
      <c r="K392" s="55"/>
      <c r="L392" s="55"/>
      <c r="M392" s="55"/>
      <c r="N392" s="55"/>
      <c r="O392" s="55"/>
      <c r="P392" s="55"/>
      <c r="Q392" s="56"/>
      <c r="R392" s="56"/>
      <c r="S392" s="56"/>
      <c r="T392" s="56"/>
      <c r="U392" s="56"/>
      <c r="V392" s="56"/>
      <c r="W392" s="56"/>
      <c r="X392" s="56"/>
      <c r="Y392" s="56"/>
      <c r="Z392" s="59"/>
    </row>
    <row r="393">
      <c r="A393" s="55"/>
      <c r="B393" s="55"/>
      <c r="C393" s="55"/>
      <c r="D393" s="55"/>
      <c r="E393" s="55"/>
      <c r="F393" s="55"/>
      <c r="G393" s="55"/>
      <c r="H393" s="55"/>
      <c r="I393" s="55"/>
      <c r="J393" s="55"/>
      <c r="K393" s="55"/>
      <c r="L393" s="55"/>
      <c r="M393" s="55"/>
      <c r="N393" s="55"/>
      <c r="O393" s="55"/>
      <c r="P393" s="55"/>
      <c r="Q393" s="56"/>
      <c r="R393" s="56"/>
      <c r="S393" s="56"/>
      <c r="T393" s="56"/>
      <c r="U393" s="56"/>
      <c r="V393" s="56"/>
      <c r="W393" s="56"/>
      <c r="X393" s="56"/>
      <c r="Y393" s="56"/>
      <c r="Z393" s="59"/>
    </row>
    <row r="394">
      <c r="A394" s="55"/>
      <c r="B394" s="55"/>
      <c r="C394" s="55"/>
      <c r="D394" s="55"/>
      <c r="E394" s="55"/>
      <c r="F394" s="55"/>
      <c r="G394" s="55"/>
      <c r="H394" s="55"/>
      <c r="I394" s="55"/>
      <c r="J394" s="55"/>
      <c r="K394" s="55"/>
      <c r="L394" s="55"/>
      <c r="M394" s="55"/>
      <c r="N394" s="55"/>
      <c r="O394" s="55"/>
      <c r="P394" s="55"/>
      <c r="Q394" s="56"/>
      <c r="R394" s="56"/>
      <c r="S394" s="56"/>
      <c r="T394" s="56"/>
      <c r="U394" s="56"/>
      <c r="V394" s="56"/>
      <c r="W394" s="56"/>
      <c r="X394" s="56"/>
      <c r="Y394" s="56"/>
      <c r="Z394" s="59"/>
    </row>
    <row r="395">
      <c r="A395" s="55"/>
      <c r="B395" s="55"/>
      <c r="C395" s="55"/>
      <c r="D395" s="55"/>
      <c r="E395" s="55"/>
      <c r="F395" s="55"/>
      <c r="G395" s="55"/>
      <c r="H395" s="55"/>
      <c r="I395" s="55"/>
      <c r="J395" s="55"/>
      <c r="K395" s="55"/>
      <c r="L395" s="55"/>
      <c r="M395" s="55"/>
      <c r="N395" s="55"/>
      <c r="O395" s="55"/>
      <c r="P395" s="55"/>
      <c r="Q395" s="56"/>
      <c r="R395" s="56"/>
      <c r="S395" s="56"/>
      <c r="T395" s="56"/>
      <c r="U395" s="56"/>
      <c r="V395" s="56"/>
      <c r="W395" s="56"/>
      <c r="X395" s="56"/>
      <c r="Y395" s="56"/>
      <c r="Z395" s="59"/>
    </row>
    <row r="396">
      <c r="A396" s="55"/>
      <c r="B396" s="55"/>
      <c r="C396" s="55"/>
      <c r="D396" s="55"/>
      <c r="E396" s="55"/>
      <c r="F396" s="55"/>
      <c r="G396" s="55"/>
      <c r="H396" s="55"/>
      <c r="I396" s="55"/>
      <c r="J396" s="55"/>
      <c r="K396" s="55"/>
      <c r="L396" s="55"/>
      <c r="M396" s="55"/>
      <c r="N396" s="55"/>
      <c r="O396" s="55"/>
      <c r="P396" s="55"/>
      <c r="Q396" s="56"/>
      <c r="R396" s="56"/>
      <c r="S396" s="56"/>
      <c r="T396" s="56"/>
      <c r="U396" s="56"/>
      <c r="V396" s="56"/>
      <c r="W396" s="56"/>
      <c r="X396" s="56"/>
      <c r="Y396" s="56"/>
      <c r="Z396" s="59"/>
    </row>
    <row r="397">
      <c r="A397" s="55"/>
      <c r="B397" s="55"/>
      <c r="C397" s="55"/>
      <c r="D397" s="55"/>
      <c r="E397" s="55"/>
      <c r="F397" s="55"/>
      <c r="G397" s="55"/>
      <c r="H397" s="55"/>
      <c r="I397" s="55"/>
      <c r="J397" s="55"/>
      <c r="K397" s="55"/>
      <c r="L397" s="55"/>
      <c r="M397" s="55"/>
      <c r="N397" s="55"/>
      <c r="O397" s="55"/>
      <c r="P397" s="55"/>
      <c r="Q397" s="56"/>
      <c r="R397" s="56"/>
      <c r="S397" s="56"/>
      <c r="T397" s="56"/>
      <c r="U397" s="56"/>
      <c r="V397" s="56"/>
      <c r="W397" s="56"/>
      <c r="X397" s="56"/>
      <c r="Y397" s="56"/>
      <c r="Z397" s="59"/>
    </row>
    <row r="398">
      <c r="A398" s="55"/>
      <c r="B398" s="55"/>
      <c r="C398" s="55"/>
      <c r="D398" s="55"/>
      <c r="E398" s="55"/>
      <c r="F398" s="55"/>
      <c r="G398" s="55"/>
      <c r="H398" s="55"/>
      <c r="I398" s="55"/>
      <c r="J398" s="55"/>
      <c r="K398" s="55"/>
      <c r="L398" s="55"/>
      <c r="M398" s="55"/>
      <c r="N398" s="55"/>
      <c r="O398" s="55"/>
      <c r="P398" s="55"/>
      <c r="Q398" s="56"/>
      <c r="R398" s="56"/>
      <c r="S398" s="56"/>
      <c r="T398" s="56"/>
      <c r="U398" s="56"/>
      <c r="V398" s="56"/>
      <c r="W398" s="56"/>
      <c r="X398" s="56"/>
      <c r="Y398" s="56"/>
      <c r="Z398" s="59"/>
    </row>
    <row r="399">
      <c r="A399" s="55"/>
      <c r="B399" s="55"/>
      <c r="C399" s="55"/>
      <c r="D399" s="55"/>
      <c r="E399" s="55"/>
      <c r="F399" s="55"/>
      <c r="G399" s="55"/>
      <c r="H399" s="55"/>
      <c r="I399" s="55"/>
      <c r="J399" s="55"/>
      <c r="K399" s="55"/>
      <c r="L399" s="55"/>
      <c r="M399" s="55"/>
      <c r="N399" s="55"/>
      <c r="O399" s="55"/>
      <c r="P399" s="55"/>
      <c r="Q399" s="56"/>
      <c r="R399" s="56"/>
      <c r="S399" s="56"/>
      <c r="T399" s="56"/>
      <c r="U399" s="56"/>
      <c r="V399" s="56"/>
      <c r="W399" s="56"/>
      <c r="X399" s="56"/>
      <c r="Y399" s="56"/>
      <c r="Z399" s="59"/>
    </row>
    <row r="400">
      <c r="A400" s="55"/>
      <c r="B400" s="55"/>
      <c r="C400" s="55"/>
      <c r="D400" s="55"/>
      <c r="E400" s="55"/>
      <c r="F400" s="55"/>
      <c r="G400" s="55"/>
      <c r="H400" s="55"/>
      <c r="I400" s="55"/>
      <c r="J400" s="55"/>
      <c r="K400" s="55"/>
      <c r="L400" s="55"/>
      <c r="M400" s="55"/>
      <c r="N400" s="55"/>
      <c r="O400" s="55"/>
      <c r="P400" s="55"/>
      <c r="Q400" s="56"/>
      <c r="R400" s="56"/>
      <c r="S400" s="56"/>
      <c r="T400" s="56"/>
      <c r="U400" s="56"/>
      <c r="V400" s="56"/>
      <c r="W400" s="56"/>
      <c r="X400" s="56"/>
      <c r="Y400" s="56"/>
      <c r="Z400" s="59"/>
    </row>
    <row r="401">
      <c r="A401" s="55"/>
      <c r="B401" s="55"/>
      <c r="C401" s="55"/>
      <c r="D401" s="55"/>
      <c r="E401" s="55"/>
      <c r="F401" s="55"/>
      <c r="G401" s="55"/>
      <c r="H401" s="55"/>
      <c r="I401" s="55"/>
      <c r="J401" s="55"/>
      <c r="K401" s="55"/>
      <c r="L401" s="55"/>
      <c r="M401" s="55"/>
      <c r="N401" s="55"/>
      <c r="O401" s="55"/>
      <c r="P401" s="55"/>
      <c r="Q401" s="56"/>
      <c r="R401" s="56"/>
      <c r="S401" s="56"/>
      <c r="T401" s="56"/>
      <c r="U401" s="56"/>
      <c r="V401" s="56"/>
      <c r="W401" s="56"/>
      <c r="X401" s="56"/>
      <c r="Y401" s="56"/>
      <c r="Z401" s="59"/>
    </row>
    <row r="402">
      <c r="A402" s="55"/>
      <c r="B402" s="55"/>
      <c r="C402" s="55"/>
      <c r="D402" s="55"/>
      <c r="E402" s="55"/>
      <c r="F402" s="55"/>
      <c r="G402" s="55"/>
      <c r="H402" s="55"/>
      <c r="I402" s="55"/>
      <c r="J402" s="55"/>
      <c r="K402" s="55"/>
      <c r="L402" s="55"/>
      <c r="M402" s="55"/>
      <c r="N402" s="55"/>
      <c r="O402" s="55"/>
      <c r="P402" s="55"/>
      <c r="Q402" s="56"/>
      <c r="R402" s="56"/>
      <c r="S402" s="56"/>
      <c r="T402" s="56"/>
      <c r="U402" s="56"/>
      <c r="V402" s="56"/>
      <c r="W402" s="56"/>
      <c r="X402" s="56"/>
      <c r="Y402" s="56"/>
      <c r="Z402" s="59"/>
    </row>
    <row r="403">
      <c r="A403" s="55"/>
      <c r="B403" s="55"/>
      <c r="C403" s="55"/>
      <c r="D403" s="55"/>
      <c r="E403" s="55"/>
      <c r="F403" s="55"/>
      <c r="G403" s="55"/>
      <c r="H403" s="55"/>
      <c r="I403" s="55"/>
      <c r="J403" s="55"/>
      <c r="K403" s="55"/>
      <c r="L403" s="55"/>
      <c r="M403" s="55"/>
      <c r="N403" s="55"/>
      <c r="O403" s="55"/>
      <c r="P403" s="55"/>
      <c r="Q403" s="56"/>
      <c r="R403" s="56"/>
      <c r="S403" s="56"/>
      <c r="T403" s="56"/>
      <c r="U403" s="56"/>
      <c r="V403" s="56"/>
      <c r="W403" s="56"/>
      <c r="X403" s="56"/>
      <c r="Y403" s="56"/>
      <c r="Z403" s="59"/>
    </row>
    <row r="404">
      <c r="A404" s="55"/>
      <c r="B404" s="55"/>
      <c r="C404" s="55"/>
      <c r="D404" s="55"/>
      <c r="E404" s="55"/>
      <c r="F404" s="55"/>
      <c r="G404" s="55"/>
      <c r="H404" s="55"/>
      <c r="I404" s="55"/>
      <c r="J404" s="55"/>
      <c r="K404" s="55"/>
      <c r="L404" s="55"/>
      <c r="M404" s="55"/>
      <c r="N404" s="55"/>
      <c r="O404" s="55"/>
      <c r="P404" s="55"/>
      <c r="Q404" s="56"/>
      <c r="R404" s="56"/>
      <c r="S404" s="56"/>
      <c r="T404" s="56"/>
      <c r="U404" s="56"/>
      <c r="V404" s="56"/>
      <c r="W404" s="56"/>
      <c r="X404" s="56"/>
      <c r="Y404" s="56"/>
      <c r="Z404" s="59"/>
    </row>
    <row r="405">
      <c r="A405" s="55"/>
      <c r="B405" s="55"/>
      <c r="C405" s="55"/>
      <c r="D405" s="55"/>
      <c r="E405" s="55"/>
      <c r="F405" s="55"/>
      <c r="G405" s="55"/>
      <c r="H405" s="55"/>
      <c r="I405" s="55"/>
      <c r="J405" s="55"/>
      <c r="K405" s="55"/>
      <c r="L405" s="55"/>
      <c r="M405" s="55"/>
      <c r="N405" s="55"/>
      <c r="O405" s="55"/>
      <c r="P405" s="55"/>
      <c r="Q405" s="56"/>
      <c r="R405" s="56"/>
      <c r="S405" s="56"/>
      <c r="T405" s="56"/>
      <c r="U405" s="56"/>
      <c r="V405" s="56"/>
      <c r="W405" s="56"/>
      <c r="X405" s="56"/>
      <c r="Y405" s="56"/>
      <c r="Z405" s="59"/>
    </row>
    <row r="406">
      <c r="A406" s="55"/>
      <c r="B406" s="55"/>
      <c r="C406" s="55"/>
      <c r="D406" s="55"/>
      <c r="E406" s="55"/>
      <c r="F406" s="55"/>
      <c r="G406" s="55"/>
      <c r="H406" s="55"/>
      <c r="I406" s="55"/>
      <c r="J406" s="55"/>
      <c r="K406" s="55"/>
      <c r="L406" s="55"/>
      <c r="M406" s="55"/>
      <c r="N406" s="55"/>
      <c r="O406" s="55"/>
      <c r="P406" s="55"/>
      <c r="Q406" s="56"/>
      <c r="R406" s="56"/>
      <c r="S406" s="56"/>
      <c r="T406" s="56"/>
      <c r="U406" s="56"/>
      <c r="V406" s="56"/>
      <c r="W406" s="56"/>
      <c r="X406" s="56"/>
      <c r="Y406" s="56"/>
      <c r="Z406" s="59"/>
    </row>
    <row r="407">
      <c r="A407" s="55"/>
      <c r="B407" s="55"/>
      <c r="C407" s="55"/>
      <c r="D407" s="55"/>
      <c r="E407" s="55"/>
      <c r="F407" s="55"/>
      <c r="G407" s="55"/>
      <c r="H407" s="55"/>
      <c r="I407" s="55"/>
      <c r="J407" s="55"/>
      <c r="K407" s="55"/>
      <c r="L407" s="55"/>
      <c r="M407" s="55"/>
      <c r="N407" s="55"/>
      <c r="O407" s="55"/>
      <c r="P407" s="55"/>
      <c r="Q407" s="56"/>
      <c r="R407" s="56"/>
      <c r="S407" s="56"/>
      <c r="T407" s="56"/>
      <c r="U407" s="56"/>
      <c r="V407" s="56"/>
      <c r="W407" s="56"/>
      <c r="X407" s="56"/>
      <c r="Y407" s="56"/>
      <c r="Z407" s="59"/>
    </row>
    <row r="408">
      <c r="A408" s="55"/>
      <c r="B408" s="55"/>
      <c r="C408" s="55"/>
      <c r="D408" s="55"/>
      <c r="E408" s="55"/>
      <c r="F408" s="55"/>
      <c r="G408" s="55"/>
      <c r="H408" s="55"/>
      <c r="I408" s="55"/>
      <c r="J408" s="55"/>
      <c r="K408" s="55"/>
      <c r="L408" s="55"/>
      <c r="M408" s="55"/>
      <c r="N408" s="55"/>
      <c r="O408" s="55"/>
      <c r="P408" s="55"/>
      <c r="Q408" s="56"/>
      <c r="R408" s="56"/>
      <c r="S408" s="56"/>
      <c r="T408" s="56"/>
      <c r="U408" s="56"/>
      <c r="V408" s="56"/>
      <c r="W408" s="56"/>
      <c r="X408" s="56"/>
      <c r="Y408" s="56"/>
      <c r="Z408" s="59"/>
    </row>
    <row r="409">
      <c r="A409" s="55"/>
      <c r="B409" s="55"/>
      <c r="C409" s="55"/>
      <c r="D409" s="55"/>
      <c r="E409" s="55"/>
      <c r="F409" s="55"/>
      <c r="G409" s="55"/>
      <c r="H409" s="55"/>
      <c r="I409" s="55"/>
      <c r="J409" s="55"/>
      <c r="K409" s="55"/>
      <c r="L409" s="55"/>
      <c r="M409" s="55"/>
      <c r="N409" s="55"/>
      <c r="O409" s="55"/>
      <c r="P409" s="55"/>
      <c r="Q409" s="56"/>
      <c r="R409" s="56"/>
      <c r="S409" s="56"/>
      <c r="T409" s="56"/>
      <c r="U409" s="56"/>
      <c r="V409" s="56"/>
      <c r="W409" s="56"/>
      <c r="X409" s="56"/>
      <c r="Y409" s="56"/>
      <c r="Z409" s="59"/>
    </row>
    <row r="410">
      <c r="A410" s="55"/>
      <c r="B410" s="55"/>
      <c r="C410" s="55"/>
      <c r="D410" s="55"/>
      <c r="E410" s="55"/>
      <c r="F410" s="55"/>
      <c r="G410" s="55"/>
      <c r="H410" s="55"/>
      <c r="I410" s="55"/>
      <c r="J410" s="55"/>
      <c r="K410" s="55"/>
      <c r="L410" s="55"/>
      <c r="M410" s="55"/>
      <c r="N410" s="55"/>
      <c r="O410" s="55"/>
      <c r="P410" s="55"/>
      <c r="Q410" s="56"/>
      <c r="R410" s="56"/>
      <c r="S410" s="56"/>
      <c r="T410" s="56"/>
      <c r="U410" s="56"/>
      <c r="V410" s="56"/>
      <c r="W410" s="56"/>
      <c r="X410" s="56"/>
      <c r="Y410" s="56"/>
      <c r="Z410" s="59"/>
    </row>
    <row r="411">
      <c r="A411" s="55"/>
      <c r="B411" s="55"/>
      <c r="C411" s="55"/>
      <c r="D411" s="55"/>
      <c r="E411" s="55"/>
      <c r="F411" s="55"/>
      <c r="G411" s="55"/>
      <c r="H411" s="55"/>
      <c r="I411" s="55"/>
      <c r="J411" s="55"/>
      <c r="K411" s="55"/>
      <c r="L411" s="55"/>
      <c r="M411" s="55"/>
      <c r="N411" s="55"/>
      <c r="O411" s="55"/>
      <c r="P411" s="55"/>
      <c r="Q411" s="56"/>
      <c r="R411" s="56"/>
      <c r="S411" s="56"/>
      <c r="T411" s="56"/>
      <c r="U411" s="56"/>
      <c r="V411" s="56"/>
      <c r="W411" s="56"/>
      <c r="X411" s="56"/>
      <c r="Y411" s="56"/>
      <c r="Z411" s="59"/>
    </row>
    <row r="412">
      <c r="A412" s="55"/>
      <c r="B412" s="55"/>
      <c r="C412" s="55"/>
      <c r="D412" s="55"/>
      <c r="E412" s="55"/>
      <c r="F412" s="55"/>
      <c r="G412" s="55"/>
      <c r="H412" s="55"/>
      <c r="I412" s="55"/>
      <c r="J412" s="55"/>
      <c r="K412" s="55"/>
      <c r="L412" s="55"/>
      <c r="M412" s="55"/>
      <c r="N412" s="55"/>
      <c r="O412" s="55"/>
      <c r="P412" s="55"/>
      <c r="Q412" s="56"/>
      <c r="R412" s="56"/>
      <c r="S412" s="56"/>
      <c r="T412" s="56"/>
      <c r="U412" s="56"/>
      <c r="V412" s="56"/>
      <c r="W412" s="56"/>
      <c r="X412" s="56"/>
      <c r="Y412" s="56"/>
      <c r="Z412" s="59"/>
    </row>
    <row r="413">
      <c r="A413" s="55"/>
      <c r="B413" s="55"/>
      <c r="C413" s="55"/>
      <c r="D413" s="55"/>
      <c r="E413" s="55"/>
      <c r="F413" s="55"/>
      <c r="G413" s="55"/>
      <c r="H413" s="55"/>
      <c r="I413" s="55"/>
      <c r="J413" s="55"/>
      <c r="K413" s="55"/>
      <c r="L413" s="55"/>
      <c r="M413" s="55"/>
      <c r="N413" s="55"/>
      <c r="O413" s="55"/>
      <c r="P413" s="55"/>
      <c r="Q413" s="56"/>
      <c r="R413" s="56"/>
      <c r="S413" s="56"/>
      <c r="T413" s="56"/>
      <c r="U413" s="56"/>
      <c r="V413" s="56"/>
      <c r="W413" s="56"/>
      <c r="X413" s="56"/>
      <c r="Y413" s="56"/>
      <c r="Z413" s="59"/>
    </row>
    <row r="414">
      <c r="A414" s="55"/>
      <c r="B414" s="55"/>
      <c r="C414" s="55"/>
      <c r="D414" s="55"/>
      <c r="E414" s="55"/>
      <c r="F414" s="55"/>
      <c r="G414" s="55"/>
      <c r="H414" s="55"/>
      <c r="I414" s="55"/>
      <c r="J414" s="55"/>
      <c r="K414" s="55"/>
      <c r="L414" s="55"/>
      <c r="M414" s="55"/>
      <c r="N414" s="55"/>
      <c r="O414" s="55"/>
      <c r="P414" s="55"/>
      <c r="Q414" s="56"/>
      <c r="R414" s="56"/>
      <c r="S414" s="56"/>
      <c r="T414" s="56"/>
      <c r="U414" s="56"/>
      <c r="V414" s="56"/>
      <c r="W414" s="56"/>
      <c r="X414" s="56"/>
      <c r="Y414" s="56"/>
      <c r="Z414" s="59"/>
    </row>
    <row r="415">
      <c r="A415" s="55"/>
      <c r="B415" s="55"/>
      <c r="C415" s="55"/>
      <c r="D415" s="55"/>
      <c r="E415" s="55"/>
      <c r="F415" s="55"/>
      <c r="G415" s="55"/>
      <c r="H415" s="55"/>
      <c r="I415" s="55"/>
      <c r="J415" s="55"/>
      <c r="K415" s="55"/>
      <c r="L415" s="55"/>
      <c r="M415" s="55"/>
      <c r="N415" s="55"/>
      <c r="O415" s="55"/>
      <c r="P415" s="55"/>
      <c r="Q415" s="56"/>
      <c r="R415" s="56"/>
      <c r="S415" s="56"/>
      <c r="T415" s="56"/>
      <c r="U415" s="56"/>
      <c r="V415" s="56"/>
      <c r="W415" s="56"/>
      <c r="X415" s="56"/>
      <c r="Y415" s="56"/>
      <c r="Z415" s="59"/>
    </row>
    <row r="416">
      <c r="A416" s="55"/>
      <c r="B416" s="55"/>
      <c r="C416" s="55"/>
      <c r="D416" s="55"/>
      <c r="E416" s="55"/>
      <c r="F416" s="55"/>
      <c r="G416" s="55"/>
      <c r="H416" s="55"/>
      <c r="I416" s="55"/>
      <c r="J416" s="55"/>
      <c r="K416" s="55"/>
      <c r="L416" s="55"/>
      <c r="M416" s="55"/>
      <c r="N416" s="55"/>
      <c r="O416" s="55"/>
      <c r="P416" s="55"/>
      <c r="Q416" s="56"/>
      <c r="R416" s="56"/>
      <c r="S416" s="56"/>
      <c r="T416" s="56"/>
      <c r="U416" s="56"/>
      <c r="V416" s="56"/>
      <c r="W416" s="56"/>
      <c r="X416" s="56"/>
      <c r="Y416" s="56"/>
      <c r="Z416" s="59"/>
    </row>
    <row r="417">
      <c r="A417" s="55"/>
      <c r="B417" s="55"/>
      <c r="C417" s="55"/>
      <c r="D417" s="55"/>
      <c r="E417" s="55"/>
      <c r="F417" s="55"/>
      <c r="G417" s="55"/>
      <c r="H417" s="55"/>
      <c r="I417" s="55"/>
      <c r="J417" s="55"/>
      <c r="K417" s="55"/>
      <c r="L417" s="55"/>
      <c r="M417" s="55"/>
      <c r="N417" s="55"/>
      <c r="O417" s="55"/>
      <c r="P417" s="55"/>
      <c r="Q417" s="56"/>
      <c r="R417" s="56"/>
      <c r="S417" s="56"/>
      <c r="T417" s="56"/>
      <c r="U417" s="56"/>
      <c r="V417" s="56"/>
      <c r="W417" s="56"/>
      <c r="X417" s="56"/>
      <c r="Y417" s="56"/>
      <c r="Z417" s="59"/>
    </row>
    <row r="418">
      <c r="A418" s="55"/>
      <c r="B418" s="55"/>
      <c r="C418" s="55"/>
      <c r="D418" s="55"/>
      <c r="E418" s="55"/>
      <c r="F418" s="55"/>
      <c r="G418" s="55"/>
      <c r="H418" s="55"/>
      <c r="I418" s="55"/>
      <c r="J418" s="55"/>
      <c r="K418" s="55"/>
      <c r="L418" s="55"/>
      <c r="M418" s="55"/>
      <c r="N418" s="55"/>
      <c r="O418" s="55"/>
      <c r="P418" s="55"/>
      <c r="Q418" s="56"/>
      <c r="R418" s="56"/>
      <c r="S418" s="56"/>
      <c r="T418" s="56"/>
      <c r="U418" s="56"/>
      <c r="V418" s="56"/>
      <c r="W418" s="56"/>
      <c r="X418" s="56"/>
      <c r="Y418" s="56"/>
      <c r="Z418" s="59"/>
    </row>
    <row r="419">
      <c r="A419" s="55"/>
      <c r="B419" s="55"/>
      <c r="C419" s="55"/>
      <c r="D419" s="55"/>
      <c r="E419" s="55"/>
      <c r="F419" s="55"/>
      <c r="G419" s="55"/>
      <c r="H419" s="55"/>
      <c r="I419" s="55"/>
      <c r="J419" s="55"/>
      <c r="K419" s="55"/>
      <c r="L419" s="55"/>
      <c r="M419" s="55"/>
      <c r="N419" s="55"/>
      <c r="O419" s="55"/>
      <c r="P419" s="55"/>
      <c r="Q419" s="56"/>
      <c r="R419" s="56"/>
      <c r="S419" s="56"/>
      <c r="T419" s="56"/>
      <c r="U419" s="56"/>
      <c r="V419" s="56"/>
      <c r="W419" s="56"/>
      <c r="X419" s="56"/>
      <c r="Y419" s="56"/>
      <c r="Z419" s="59"/>
    </row>
    <row r="420">
      <c r="A420" s="55"/>
      <c r="B420" s="55"/>
      <c r="C420" s="55"/>
      <c r="D420" s="55"/>
      <c r="E420" s="55"/>
      <c r="F420" s="55"/>
      <c r="G420" s="55"/>
      <c r="H420" s="55"/>
      <c r="I420" s="55"/>
      <c r="J420" s="55"/>
      <c r="K420" s="55"/>
      <c r="L420" s="55"/>
      <c r="M420" s="55"/>
      <c r="N420" s="55"/>
      <c r="O420" s="55"/>
      <c r="P420" s="55"/>
      <c r="Q420" s="56"/>
      <c r="R420" s="56"/>
      <c r="S420" s="56"/>
      <c r="T420" s="56"/>
      <c r="U420" s="56"/>
      <c r="V420" s="56"/>
      <c r="W420" s="56"/>
      <c r="X420" s="56"/>
      <c r="Y420" s="56"/>
      <c r="Z420" s="59"/>
    </row>
    <row r="421">
      <c r="A421" s="55"/>
      <c r="B421" s="55"/>
      <c r="C421" s="55"/>
      <c r="D421" s="55"/>
      <c r="E421" s="55"/>
      <c r="F421" s="55"/>
      <c r="G421" s="55"/>
      <c r="H421" s="55"/>
      <c r="I421" s="55"/>
      <c r="J421" s="55"/>
      <c r="K421" s="55"/>
      <c r="L421" s="55"/>
      <c r="M421" s="55"/>
      <c r="N421" s="55"/>
      <c r="O421" s="55"/>
      <c r="P421" s="55"/>
      <c r="Q421" s="56"/>
      <c r="R421" s="56"/>
      <c r="S421" s="56"/>
      <c r="T421" s="56"/>
      <c r="U421" s="56"/>
      <c r="V421" s="56"/>
      <c r="W421" s="56"/>
      <c r="X421" s="56"/>
      <c r="Y421" s="56"/>
      <c r="Z421" s="59"/>
    </row>
    <row r="422">
      <c r="A422" s="55"/>
      <c r="B422" s="55"/>
      <c r="C422" s="55"/>
      <c r="D422" s="55"/>
      <c r="E422" s="55"/>
      <c r="F422" s="55"/>
      <c r="G422" s="55"/>
      <c r="H422" s="55"/>
      <c r="I422" s="55"/>
      <c r="J422" s="55"/>
      <c r="K422" s="55"/>
      <c r="L422" s="55"/>
      <c r="M422" s="55"/>
      <c r="N422" s="55"/>
      <c r="O422" s="55"/>
      <c r="P422" s="55"/>
      <c r="Q422" s="56"/>
      <c r="R422" s="56"/>
      <c r="S422" s="56"/>
      <c r="T422" s="56"/>
      <c r="U422" s="56"/>
      <c r="V422" s="56"/>
      <c r="W422" s="56"/>
      <c r="X422" s="56"/>
      <c r="Y422" s="56"/>
      <c r="Z422" s="59"/>
    </row>
    <row r="423">
      <c r="A423" s="55"/>
      <c r="B423" s="55"/>
      <c r="C423" s="55"/>
      <c r="D423" s="55"/>
      <c r="E423" s="55"/>
      <c r="F423" s="55"/>
      <c r="G423" s="55"/>
      <c r="H423" s="55"/>
      <c r="I423" s="55"/>
      <c r="J423" s="55"/>
      <c r="K423" s="55"/>
      <c r="L423" s="55"/>
      <c r="M423" s="55"/>
      <c r="N423" s="55"/>
      <c r="O423" s="55"/>
      <c r="P423" s="55"/>
      <c r="Q423" s="56"/>
      <c r="R423" s="56"/>
      <c r="S423" s="56"/>
      <c r="T423" s="56"/>
      <c r="U423" s="56"/>
      <c r="V423" s="56"/>
      <c r="W423" s="56"/>
      <c r="X423" s="56"/>
      <c r="Y423" s="56"/>
      <c r="Z423" s="59"/>
    </row>
    <row r="424">
      <c r="A424" s="55"/>
      <c r="B424" s="55"/>
      <c r="C424" s="55"/>
      <c r="D424" s="55"/>
      <c r="E424" s="55"/>
      <c r="F424" s="55"/>
      <c r="G424" s="55"/>
      <c r="H424" s="55"/>
      <c r="I424" s="55"/>
      <c r="J424" s="55"/>
      <c r="K424" s="55"/>
      <c r="L424" s="55"/>
      <c r="M424" s="55"/>
      <c r="N424" s="55"/>
      <c r="O424" s="55"/>
      <c r="P424" s="55"/>
      <c r="Q424" s="56"/>
      <c r="R424" s="56"/>
      <c r="S424" s="56"/>
      <c r="T424" s="56"/>
      <c r="U424" s="56"/>
      <c r="V424" s="56"/>
      <c r="W424" s="56"/>
      <c r="X424" s="56"/>
      <c r="Y424" s="56"/>
      <c r="Z424" s="59"/>
    </row>
    <row r="425">
      <c r="A425" s="55"/>
      <c r="B425" s="55"/>
      <c r="C425" s="55"/>
      <c r="D425" s="55"/>
      <c r="E425" s="55"/>
      <c r="F425" s="55"/>
      <c r="G425" s="55"/>
      <c r="H425" s="55"/>
      <c r="I425" s="55"/>
      <c r="J425" s="55"/>
      <c r="K425" s="55"/>
      <c r="L425" s="55"/>
      <c r="M425" s="55"/>
      <c r="N425" s="55"/>
      <c r="O425" s="55"/>
      <c r="P425" s="55"/>
      <c r="Q425" s="56"/>
      <c r="R425" s="56"/>
      <c r="S425" s="56"/>
      <c r="T425" s="56"/>
      <c r="U425" s="56"/>
      <c r="V425" s="56"/>
      <c r="W425" s="56"/>
      <c r="X425" s="56"/>
      <c r="Y425" s="56"/>
      <c r="Z425" s="59"/>
    </row>
    <row r="426">
      <c r="A426" s="55"/>
      <c r="B426" s="55"/>
      <c r="C426" s="55"/>
      <c r="D426" s="55"/>
      <c r="E426" s="55"/>
      <c r="F426" s="55"/>
      <c r="G426" s="55"/>
      <c r="H426" s="55"/>
      <c r="I426" s="55"/>
      <c r="J426" s="55"/>
      <c r="K426" s="55"/>
      <c r="L426" s="55"/>
      <c r="M426" s="55"/>
      <c r="N426" s="55"/>
      <c r="O426" s="55"/>
      <c r="P426" s="55"/>
      <c r="Q426" s="56"/>
      <c r="R426" s="56"/>
      <c r="S426" s="56"/>
      <c r="T426" s="56"/>
      <c r="U426" s="56"/>
      <c r="V426" s="56"/>
      <c r="W426" s="56"/>
      <c r="X426" s="56"/>
      <c r="Y426" s="56"/>
      <c r="Z426" s="59"/>
    </row>
    <row r="427">
      <c r="A427" s="55"/>
      <c r="B427" s="55"/>
      <c r="C427" s="55"/>
      <c r="D427" s="55"/>
      <c r="E427" s="55"/>
      <c r="F427" s="55"/>
      <c r="G427" s="55"/>
      <c r="H427" s="55"/>
      <c r="I427" s="55"/>
      <c r="J427" s="55"/>
      <c r="K427" s="55"/>
      <c r="L427" s="55"/>
      <c r="M427" s="55"/>
      <c r="N427" s="55"/>
      <c r="O427" s="55"/>
      <c r="P427" s="55"/>
      <c r="Q427" s="56"/>
      <c r="R427" s="56"/>
      <c r="S427" s="56"/>
      <c r="T427" s="56"/>
      <c r="U427" s="56"/>
      <c r="V427" s="56"/>
      <c r="W427" s="56"/>
      <c r="X427" s="56"/>
      <c r="Y427" s="56"/>
      <c r="Z427" s="59"/>
    </row>
    <row r="428">
      <c r="A428" s="55"/>
      <c r="B428" s="55"/>
      <c r="C428" s="55"/>
      <c r="D428" s="55"/>
      <c r="E428" s="55"/>
      <c r="F428" s="55"/>
      <c r="G428" s="55"/>
      <c r="H428" s="55"/>
      <c r="I428" s="55"/>
      <c r="J428" s="55"/>
      <c r="K428" s="55"/>
      <c r="L428" s="55"/>
      <c r="M428" s="55"/>
      <c r="N428" s="55"/>
      <c r="O428" s="55"/>
      <c r="P428" s="55"/>
      <c r="Q428" s="56"/>
      <c r="R428" s="56"/>
      <c r="S428" s="56"/>
      <c r="T428" s="56"/>
      <c r="U428" s="56"/>
      <c r="V428" s="56"/>
      <c r="W428" s="56"/>
      <c r="X428" s="56"/>
      <c r="Y428" s="56"/>
      <c r="Z428" s="59"/>
    </row>
    <row r="429">
      <c r="A429" s="55"/>
      <c r="B429" s="55"/>
      <c r="C429" s="55"/>
      <c r="D429" s="55"/>
      <c r="E429" s="55"/>
      <c r="F429" s="55"/>
      <c r="G429" s="55"/>
      <c r="H429" s="55"/>
      <c r="I429" s="55"/>
      <c r="J429" s="55"/>
      <c r="K429" s="55"/>
      <c r="L429" s="55"/>
      <c r="M429" s="55"/>
      <c r="N429" s="55"/>
      <c r="O429" s="55"/>
      <c r="P429" s="55"/>
      <c r="Q429" s="56"/>
      <c r="R429" s="56"/>
      <c r="S429" s="56"/>
      <c r="T429" s="56"/>
      <c r="U429" s="56"/>
      <c r="V429" s="56"/>
      <c r="W429" s="56"/>
      <c r="X429" s="56"/>
      <c r="Y429" s="56"/>
      <c r="Z429" s="59"/>
    </row>
    <row r="430">
      <c r="A430" s="55"/>
      <c r="B430" s="55"/>
      <c r="C430" s="55"/>
      <c r="D430" s="55"/>
      <c r="E430" s="55"/>
      <c r="F430" s="55"/>
      <c r="G430" s="55"/>
      <c r="H430" s="55"/>
      <c r="I430" s="55"/>
      <c r="J430" s="55"/>
      <c r="K430" s="55"/>
      <c r="L430" s="55"/>
      <c r="M430" s="55"/>
      <c r="N430" s="55"/>
      <c r="O430" s="55"/>
      <c r="P430" s="55"/>
      <c r="Q430" s="56"/>
      <c r="R430" s="56"/>
      <c r="S430" s="56"/>
      <c r="T430" s="56"/>
      <c r="U430" s="56"/>
      <c r="V430" s="56"/>
      <c r="W430" s="56"/>
      <c r="X430" s="56"/>
      <c r="Y430" s="56"/>
      <c r="Z430" s="59"/>
    </row>
    <row r="431">
      <c r="A431" s="55"/>
      <c r="B431" s="55"/>
      <c r="C431" s="55"/>
      <c r="D431" s="55"/>
      <c r="E431" s="55"/>
      <c r="F431" s="55"/>
      <c r="G431" s="55"/>
      <c r="H431" s="55"/>
      <c r="I431" s="55"/>
      <c r="J431" s="55"/>
      <c r="K431" s="55"/>
      <c r="L431" s="55"/>
      <c r="M431" s="55"/>
      <c r="N431" s="55"/>
      <c r="O431" s="55"/>
      <c r="P431" s="55"/>
      <c r="Q431" s="56"/>
      <c r="R431" s="56"/>
      <c r="S431" s="56"/>
      <c r="T431" s="56"/>
      <c r="U431" s="56"/>
      <c r="V431" s="56"/>
      <c r="W431" s="56"/>
      <c r="X431" s="56"/>
      <c r="Y431" s="56"/>
      <c r="Z431" s="59"/>
    </row>
    <row r="432">
      <c r="A432" s="55"/>
      <c r="B432" s="55"/>
      <c r="C432" s="55"/>
      <c r="D432" s="55"/>
      <c r="E432" s="55"/>
      <c r="F432" s="55"/>
      <c r="G432" s="55"/>
      <c r="H432" s="55"/>
      <c r="I432" s="55"/>
      <c r="J432" s="55"/>
      <c r="K432" s="55"/>
      <c r="L432" s="55"/>
      <c r="M432" s="55"/>
      <c r="N432" s="55"/>
      <c r="O432" s="55"/>
      <c r="P432" s="55"/>
      <c r="Q432" s="56"/>
      <c r="R432" s="56"/>
      <c r="S432" s="56"/>
      <c r="T432" s="56"/>
      <c r="U432" s="56"/>
      <c r="V432" s="56"/>
      <c r="W432" s="56"/>
      <c r="X432" s="56"/>
      <c r="Y432" s="56"/>
      <c r="Z432" s="59"/>
    </row>
    <row r="433">
      <c r="A433" s="55"/>
      <c r="B433" s="55"/>
      <c r="C433" s="55"/>
      <c r="D433" s="55"/>
      <c r="E433" s="55"/>
      <c r="F433" s="55"/>
      <c r="G433" s="55"/>
      <c r="H433" s="55"/>
      <c r="I433" s="55"/>
      <c r="J433" s="55"/>
      <c r="K433" s="55"/>
      <c r="L433" s="55"/>
      <c r="M433" s="55"/>
      <c r="N433" s="55"/>
      <c r="O433" s="55"/>
      <c r="P433" s="55"/>
      <c r="Q433" s="56"/>
      <c r="R433" s="56"/>
      <c r="S433" s="56"/>
      <c r="T433" s="56"/>
      <c r="U433" s="56"/>
      <c r="V433" s="56"/>
      <c r="W433" s="56"/>
      <c r="X433" s="56"/>
      <c r="Y433" s="56"/>
      <c r="Z433" s="59"/>
    </row>
    <row r="434">
      <c r="A434" s="55"/>
      <c r="B434" s="55"/>
      <c r="C434" s="55"/>
      <c r="D434" s="55"/>
      <c r="E434" s="55"/>
      <c r="F434" s="55"/>
      <c r="G434" s="55"/>
      <c r="H434" s="55"/>
      <c r="I434" s="55"/>
      <c r="J434" s="55"/>
      <c r="K434" s="55"/>
      <c r="L434" s="55"/>
      <c r="M434" s="55"/>
      <c r="N434" s="55"/>
      <c r="O434" s="55"/>
      <c r="P434" s="55"/>
      <c r="Q434" s="56"/>
      <c r="R434" s="56"/>
      <c r="S434" s="56"/>
      <c r="T434" s="56"/>
      <c r="U434" s="56"/>
      <c r="V434" s="56"/>
      <c r="W434" s="56"/>
      <c r="X434" s="56"/>
      <c r="Y434" s="56"/>
      <c r="Z434" s="59"/>
    </row>
    <row r="435">
      <c r="A435" s="55"/>
      <c r="B435" s="55"/>
      <c r="C435" s="55"/>
      <c r="D435" s="55"/>
      <c r="E435" s="55"/>
      <c r="F435" s="55"/>
      <c r="G435" s="55"/>
      <c r="H435" s="55"/>
      <c r="I435" s="55"/>
      <c r="J435" s="55"/>
      <c r="K435" s="55"/>
      <c r="L435" s="55"/>
      <c r="M435" s="55"/>
      <c r="N435" s="55"/>
      <c r="O435" s="55"/>
      <c r="P435" s="55"/>
      <c r="Q435" s="56"/>
      <c r="R435" s="56"/>
      <c r="S435" s="56"/>
      <c r="T435" s="56"/>
      <c r="U435" s="56"/>
      <c r="V435" s="56"/>
      <c r="W435" s="56"/>
      <c r="X435" s="56"/>
      <c r="Y435" s="56"/>
      <c r="Z435" s="59"/>
    </row>
    <row r="436">
      <c r="A436" s="55"/>
      <c r="B436" s="55"/>
      <c r="C436" s="55"/>
      <c r="D436" s="55"/>
      <c r="E436" s="55"/>
      <c r="F436" s="55"/>
      <c r="G436" s="55"/>
      <c r="H436" s="55"/>
      <c r="I436" s="55"/>
      <c r="J436" s="55"/>
      <c r="K436" s="55"/>
      <c r="L436" s="55"/>
      <c r="M436" s="55"/>
      <c r="N436" s="55"/>
      <c r="O436" s="55"/>
      <c r="P436" s="55"/>
      <c r="Q436" s="56"/>
      <c r="R436" s="56"/>
      <c r="S436" s="56"/>
      <c r="T436" s="56"/>
      <c r="U436" s="56"/>
      <c r="V436" s="56"/>
      <c r="W436" s="56"/>
      <c r="X436" s="56"/>
      <c r="Y436" s="56"/>
      <c r="Z436" s="59"/>
    </row>
    <row r="437">
      <c r="A437" s="55"/>
      <c r="B437" s="55"/>
      <c r="C437" s="55"/>
      <c r="D437" s="55"/>
      <c r="E437" s="55"/>
      <c r="F437" s="55"/>
      <c r="G437" s="55"/>
      <c r="H437" s="55"/>
      <c r="I437" s="55"/>
      <c r="J437" s="55"/>
      <c r="K437" s="55"/>
      <c r="L437" s="55"/>
      <c r="M437" s="55"/>
      <c r="N437" s="55"/>
      <c r="O437" s="55"/>
      <c r="P437" s="55"/>
      <c r="Q437" s="56"/>
      <c r="R437" s="56"/>
      <c r="S437" s="56"/>
      <c r="T437" s="56"/>
      <c r="U437" s="56"/>
      <c r="V437" s="56"/>
      <c r="W437" s="56"/>
      <c r="X437" s="56"/>
      <c r="Y437" s="56"/>
      <c r="Z437" s="59"/>
    </row>
    <row r="438">
      <c r="A438" s="55"/>
      <c r="B438" s="55"/>
      <c r="C438" s="55"/>
      <c r="D438" s="55"/>
      <c r="E438" s="55"/>
      <c r="F438" s="55"/>
      <c r="G438" s="55"/>
      <c r="H438" s="55"/>
      <c r="I438" s="55"/>
      <c r="J438" s="55"/>
      <c r="K438" s="55"/>
      <c r="L438" s="55"/>
      <c r="M438" s="55"/>
      <c r="N438" s="55"/>
      <c r="O438" s="55"/>
      <c r="P438" s="55"/>
      <c r="Q438" s="56"/>
      <c r="R438" s="56"/>
      <c r="S438" s="56"/>
      <c r="T438" s="56"/>
      <c r="U438" s="56"/>
      <c r="V438" s="56"/>
      <c r="W438" s="56"/>
      <c r="X438" s="56"/>
      <c r="Y438" s="56"/>
      <c r="Z438" s="59"/>
    </row>
    <row r="439">
      <c r="A439" s="55"/>
      <c r="B439" s="55"/>
      <c r="C439" s="55"/>
      <c r="D439" s="55"/>
      <c r="E439" s="55"/>
      <c r="F439" s="55"/>
      <c r="G439" s="55"/>
      <c r="H439" s="55"/>
      <c r="I439" s="55"/>
      <c r="J439" s="55"/>
      <c r="K439" s="55"/>
      <c r="L439" s="55"/>
      <c r="M439" s="55"/>
      <c r="N439" s="55"/>
      <c r="O439" s="55"/>
      <c r="P439" s="55"/>
      <c r="Q439" s="56"/>
      <c r="R439" s="56"/>
      <c r="S439" s="56"/>
      <c r="T439" s="56"/>
      <c r="U439" s="56"/>
      <c r="V439" s="56"/>
      <c r="W439" s="56"/>
      <c r="X439" s="56"/>
      <c r="Y439" s="56"/>
      <c r="Z439" s="59"/>
    </row>
    <row r="440">
      <c r="A440" s="55"/>
      <c r="B440" s="55"/>
      <c r="C440" s="55"/>
      <c r="D440" s="55"/>
      <c r="E440" s="55"/>
      <c r="F440" s="55"/>
      <c r="G440" s="55"/>
      <c r="H440" s="55"/>
      <c r="I440" s="55"/>
      <c r="J440" s="55"/>
      <c r="K440" s="55"/>
      <c r="L440" s="55"/>
      <c r="M440" s="55"/>
      <c r="N440" s="55"/>
      <c r="O440" s="55"/>
      <c r="P440" s="55"/>
      <c r="Q440" s="56"/>
      <c r="R440" s="56"/>
      <c r="S440" s="56"/>
      <c r="T440" s="56"/>
      <c r="U440" s="56"/>
      <c r="V440" s="56"/>
      <c r="W440" s="56"/>
      <c r="X440" s="56"/>
      <c r="Y440" s="56"/>
      <c r="Z440" s="59"/>
    </row>
    <row r="441">
      <c r="A441" s="55"/>
      <c r="B441" s="55"/>
      <c r="C441" s="55"/>
      <c r="D441" s="55"/>
      <c r="E441" s="55"/>
      <c r="F441" s="55"/>
      <c r="G441" s="55"/>
      <c r="H441" s="55"/>
      <c r="I441" s="55"/>
      <c r="J441" s="55"/>
      <c r="K441" s="55"/>
      <c r="L441" s="55"/>
      <c r="M441" s="55"/>
      <c r="N441" s="55"/>
      <c r="O441" s="55"/>
      <c r="P441" s="55"/>
      <c r="Q441" s="56"/>
      <c r="R441" s="56"/>
      <c r="S441" s="56"/>
      <c r="T441" s="56"/>
      <c r="U441" s="56"/>
      <c r="V441" s="56"/>
      <c r="W441" s="56"/>
      <c r="X441" s="56"/>
      <c r="Y441" s="56"/>
      <c r="Z441" s="59"/>
    </row>
    <row r="442">
      <c r="A442" s="55"/>
      <c r="B442" s="55"/>
      <c r="C442" s="55"/>
      <c r="D442" s="55"/>
      <c r="E442" s="55"/>
      <c r="F442" s="55"/>
      <c r="G442" s="55"/>
      <c r="H442" s="55"/>
      <c r="I442" s="55"/>
      <c r="J442" s="55"/>
      <c r="K442" s="55"/>
      <c r="L442" s="55"/>
      <c r="M442" s="55"/>
      <c r="N442" s="55"/>
      <c r="O442" s="55"/>
      <c r="P442" s="55"/>
      <c r="Q442" s="56"/>
      <c r="R442" s="56"/>
      <c r="S442" s="56"/>
      <c r="T442" s="56"/>
      <c r="U442" s="56"/>
      <c r="V442" s="56"/>
      <c r="W442" s="56"/>
      <c r="X442" s="56"/>
      <c r="Y442" s="56"/>
      <c r="Z442" s="59"/>
    </row>
    <row r="443">
      <c r="A443" s="55"/>
      <c r="B443" s="55"/>
      <c r="C443" s="55"/>
      <c r="D443" s="55"/>
      <c r="E443" s="55"/>
      <c r="F443" s="55"/>
      <c r="G443" s="55"/>
      <c r="H443" s="55"/>
      <c r="I443" s="55"/>
      <c r="J443" s="55"/>
      <c r="K443" s="55"/>
      <c r="L443" s="55"/>
      <c r="M443" s="55"/>
      <c r="N443" s="55"/>
      <c r="O443" s="55"/>
      <c r="P443" s="55"/>
      <c r="Q443" s="56"/>
      <c r="R443" s="56"/>
      <c r="S443" s="56"/>
      <c r="T443" s="56"/>
      <c r="U443" s="56"/>
      <c r="V443" s="56"/>
      <c r="W443" s="56"/>
      <c r="X443" s="56"/>
      <c r="Y443" s="56"/>
      <c r="Z443" s="59"/>
    </row>
    <row r="444">
      <c r="A444" s="55"/>
      <c r="B444" s="55"/>
      <c r="C444" s="55"/>
      <c r="D444" s="55"/>
      <c r="E444" s="55"/>
      <c r="F444" s="55"/>
      <c r="G444" s="55"/>
      <c r="H444" s="55"/>
      <c r="I444" s="55"/>
      <c r="J444" s="55"/>
      <c r="K444" s="55"/>
      <c r="L444" s="55"/>
      <c r="M444" s="55"/>
      <c r="N444" s="55"/>
      <c r="O444" s="55"/>
      <c r="P444" s="55"/>
      <c r="Q444" s="56"/>
      <c r="R444" s="56"/>
      <c r="S444" s="56"/>
      <c r="T444" s="56"/>
      <c r="U444" s="56"/>
      <c r="V444" s="56"/>
      <c r="W444" s="56"/>
      <c r="X444" s="56"/>
      <c r="Y444" s="56"/>
      <c r="Z444" s="59"/>
    </row>
    <row r="445">
      <c r="A445" s="55"/>
      <c r="B445" s="55"/>
      <c r="C445" s="55"/>
      <c r="D445" s="55"/>
      <c r="E445" s="55"/>
      <c r="F445" s="55"/>
      <c r="G445" s="55"/>
      <c r="H445" s="55"/>
      <c r="I445" s="55"/>
      <c r="J445" s="55"/>
      <c r="K445" s="55"/>
      <c r="L445" s="55"/>
      <c r="M445" s="55"/>
      <c r="N445" s="55"/>
      <c r="O445" s="55"/>
      <c r="P445" s="55"/>
      <c r="Q445" s="56"/>
      <c r="R445" s="56"/>
      <c r="S445" s="56"/>
      <c r="T445" s="56"/>
      <c r="U445" s="56"/>
      <c r="V445" s="56"/>
      <c r="W445" s="56"/>
      <c r="X445" s="56"/>
      <c r="Y445" s="56"/>
      <c r="Z445" s="59"/>
    </row>
    <row r="446">
      <c r="A446" s="55"/>
      <c r="B446" s="55"/>
      <c r="C446" s="55"/>
      <c r="D446" s="55"/>
      <c r="E446" s="55"/>
      <c r="F446" s="55"/>
      <c r="G446" s="55"/>
      <c r="H446" s="55"/>
      <c r="I446" s="55"/>
      <c r="J446" s="55"/>
      <c r="K446" s="55"/>
      <c r="L446" s="55"/>
      <c r="M446" s="55"/>
      <c r="N446" s="55"/>
      <c r="O446" s="55"/>
      <c r="P446" s="55"/>
      <c r="Q446" s="56"/>
      <c r="R446" s="56"/>
      <c r="S446" s="56"/>
      <c r="T446" s="56"/>
      <c r="U446" s="56"/>
      <c r="V446" s="56"/>
      <c r="W446" s="56"/>
      <c r="X446" s="56"/>
      <c r="Y446" s="56"/>
      <c r="Z446" s="59"/>
    </row>
    <row r="447">
      <c r="A447" s="55"/>
      <c r="B447" s="55"/>
      <c r="C447" s="55"/>
      <c r="D447" s="55"/>
      <c r="E447" s="55"/>
      <c r="F447" s="55"/>
      <c r="G447" s="55"/>
      <c r="H447" s="55"/>
      <c r="I447" s="55"/>
      <c r="J447" s="55"/>
      <c r="K447" s="55"/>
      <c r="L447" s="55"/>
      <c r="M447" s="55"/>
      <c r="N447" s="55"/>
      <c r="O447" s="55"/>
      <c r="P447" s="55"/>
      <c r="Q447" s="56"/>
      <c r="R447" s="56"/>
      <c r="S447" s="56"/>
      <c r="T447" s="56"/>
      <c r="U447" s="56"/>
      <c r="V447" s="56"/>
      <c r="W447" s="56"/>
      <c r="X447" s="56"/>
      <c r="Y447" s="56"/>
      <c r="Z447" s="59"/>
    </row>
    <row r="448">
      <c r="A448" s="55"/>
      <c r="B448" s="55"/>
      <c r="C448" s="55"/>
      <c r="D448" s="55"/>
      <c r="E448" s="55"/>
      <c r="F448" s="55"/>
      <c r="G448" s="55"/>
      <c r="H448" s="55"/>
      <c r="I448" s="55"/>
      <c r="J448" s="55"/>
      <c r="K448" s="55"/>
      <c r="L448" s="55"/>
      <c r="M448" s="55"/>
      <c r="N448" s="55"/>
      <c r="O448" s="55"/>
      <c r="P448" s="55"/>
      <c r="Q448" s="56"/>
      <c r="R448" s="56"/>
      <c r="S448" s="56"/>
      <c r="T448" s="56"/>
      <c r="U448" s="56"/>
      <c r="V448" s="56"/>
      <c r="W448" s="56"/>
      <c r="X448" s="56"/>
      <c r="Y448" s="56"/>
      <c r="Z448" s="59"/>
    </row>
    <row r="449">
      <c r="A449" s="55"/>
      <c r="B449" s="55"/>
      <c r="C449" s="55"/>
      <c r="D449" s="55"/>
      <c r="E449" s="55"/>
      <c r="F449" s="55"/>
      <c r="G449" s="55"/>
      <c r="H449" s="55"/>
      <c r="I449" s="55"/>
      <c r="J449" s="55"/>
      <c r="K449" s="55"/>
      <c r="L449" s="55"/>
      <c r="M449" s="55"/>
      <c r="N449" s="55"/>
      <c r="O449" s="55"/>
      <c r="P449" s="55"/>
      <c r="Q449" s="56"/>
      <c r="R449" s="56"/>
      <c r="S449" s="56"/>
      <c r="T449" s="56"/>
      <c r="U449" s="56"/>
      <c r="V449" s="56"/>
      <c r="W449" s="56"/>
      <c r="X449" s="56"/>
      <c r="Y449" s="56"/>
      <c r="Z449" s="59"/>
    </row>
    <row r="450">
      <c r="A450" s="55"/>
      <c r="B450" s="55"/>
      <c r="C450" s="55"/>
      <c r="D450" s="55"/>
      <c r="E450" s="55"/>
      <c r="F450" s="55"/>
      <c r="G450" s="55"/>
      <c r="H450" s="55"/>
      <c r="I450" s="55"/>
      <c r="J450" s="55"/>
      <c r="K450" s="55"/>
      <c r="L450" s="55"/>
      <c r="M450" s="55"/>
      <c r="N450" s="55"/>
      <c r="O450" s="55"/>
      <c r="P450" s="55"/>
      <c r="Q450" s="56"/>
      <c r="R450" s="56"/>
      <c r="S450" s="56"/>
      <c r="T450" s="56"/>
      <c r="U450" s="56"/>
      <c r="V450" s="56"/>
      <c r="W450" s="56"/>
      <c r="X450" s="56"/>
      <c r="Y450" s="56"/>
      <c r="Z450" s="59"/>
    </row>
    <row r="451">
      <c r="A451" s="55"/>
      <c r="B451" s="55"/>
      <c r="C451" s="55"/>
      <c r="D451" s="55"/>
      <c r="E451" s="55"/>
      <c r="F451" s="55"/>
      <c r="G451" s="55"/>
      <c r="H451" s="55"/>
      <c r="I451" s="55"/>
      <c r="J451" s="55"/>
      <c r="K451" s="55"/>
      <c r="L451" s="55"/>
      <c r="M451" s="55"/>
      <c r="N451" s="55"/>
      <c r="O451" s="55"/>
      <c r="P451" s="55"/>
      <c r="Q451" s="56"/>
      <c r="R451" s="56"/>
      <c r="S451" s="56"/>
      <c r="T451" s="56"/>
      <c r="U451" s="56"/>
      <c r="V451" s="56"/>
      <c r="W451" s="56"/>
      <c r="X451" s="56"/>
      <c r="Y451" s="56"/>
      <c r="Z451" s="59"/>
    </row>
    <row r="452">
      <c r="A452" s="55"/>
      <c r="B452" s="55"/>
      <c r="C452" s="55"/>
      <c r="D452" s="55"/>
      <c r="E452" s="55"/>
      <c r="F452" s="55"/>
      <c r="G452" s="55"/>
      <c r="H452" s="55"/>
      <c r="I452" s="55"/>
      <c r="J452" s="55"/>
      <c r="K452" s="55"/>
      <c r="L452" s="55"/>
      <c r="M452" s="55"/>
      <c r="N452" s="55"/>
      <c r="O452" s="55"/>
      <c r="P452" s="55"/>
      <c r="Q452" s="56"/>
      <c r="R452" s="56"/>
      <c r="S452" s="56"/>
      <c r="T452" s="56"/>
      <c r="U452" s="56"/>
      <c r="V452" s="56"/>
      <c r="W452" s="56"/>
      <c r="X452" s="56"/>
      <c r="Y452" s="56"/>
      <c r="Z452" s="59"/>
    </row>
    <row r="453">
      <c r="A453" s="55"/>
      <c r="B453" s="55"/>
      <c r="C453" s="55"/>
      <c r="D453" s="55"/>
      <c r="E453" s="55"/>
      <c r="F453" s="55"/>
      <c r="G453" s="55"/>
      <c r="H453" s="55"/>
      <c r="I453" s="55"/>
      <c r="J453" s="55"/>
      <c r="K453" s="55"/>
      <c r="L453" s="55"/>
      <c r="M453" s="55"/>
      <c r="N453" s="55"/>
      <c r="O453" s="55"/>
      <c r="P453" s="55"/>
      <c r="Q453" s="56"/>
      <c r="R453" s="56"/>
      <c r="S453" s="56"/>
      <c r="T453" s="56"/>
      <c r="U453" s="56"/>
      <c r="V453" s="56"/>
      <c r="W453" s="56"/>
      <c r="X453" s="56"/>
      <c r="Y453" s="56"/>
      <c r="Z453" s="59"/>
    </row>
    <row r="454">
      <c r="A454" s="55"/>
      <c r="B454" s="55"/>
      <c r="C454" s="55"/>
      <c r="D454" s="55"/>
      <c r="E454" s="55"/>
      <c r="F454" s="55"/>
      <c r="G454" s="55"/>
      <c r="H454" s="55"/>
      <c r="I454" s="55"/>
      <c r="J454" s="55"/>
      <c r="K454" s="55"/>
      <c r="L454" s="55"/>
      <c r="M454" s="55"/>
      <c r="N454" s="55"/>
      <c r="O454" s="55"/>
      <c r="P454" s="55"/>
      <c r="Q454" s="56"/>
      <c r="R454" s="56"/>
      <c r="S454" s="56"/>
      <c r="T454" s="56"/>
      <c r="U454" s="56"/>
      <c r="V454" s="56"/>
      <c r="W454" s="56"/>
      <c r="X454" s="56"/>
      <c r="Y454" s="56"/>
      <c r="Z454" s="59"/>
    </row>
    <row r="455">
      <c r="A455" s="55"/>
      <c r="B455" s="55"/>
      <c r="C455" s="55"/>
      <c r="D455" s="55"/>
      <c r="E455" s="55"/>
      <c r="F455" s="55"/>
      <c r="G455" s="55"/>
      <c r="H455" s="55"/>
      <c r="I455" s="55"/>
      <c r="J455" s="55"/>
      <c r="K455" s="55"/>
      <c r="L455" s="55"/>
      <c r="M455" s="55"/>
      <c r="N455" s="55"/>
      <c r="O455" s="55"/>
      <c r="P455" s="55"/>
      <c r="Q455" s="56"/>
      <c r="R455" s="56"/>
      <c r="S455" s="56"/>
      <c r="T455" s="56"/>
      <c r="U455" s="56"/>
      <c r="V455" s="56"/>
      <c r="W455" s="56"/>
      <c r="X455" s="56"/>
      <c r="Y455" s="56"/>
      <c r="Z455" s="59"/>
    </row>
    <row r="456">
      <c r="A456" s="55"/>
      <c r="B456" s="55"/>
      <c r="C456" s="55"/>
      <c r="D456" s="55"/>
      <c r="E456" s="55"/>
      <c r="F456" s="55"/>
      <c r="G456" s="55"/>
      <c r="H456" s="55"/>
      <c r="I456" s="55"/>
      <c r="J456" s="55"/>
      <c r="K456" s="55"/>
      <c r="L456" s="55"/>
      <c r="M456" s="55"/>
      <c r="N456" s="55"/>
      <c r="O456" s="55"/>
      <c r="P456" s="55"/>
      <c r="Q456" s="56"/>
      <c r="R456" s="56"/>
      <c r="S456" s="56"/>
      <c r="T456" s="56"/>
      <c r="U456" s="56"/>
      <c r="V456" s="56"/>
      <c r="W456" s="56"/>
      <c r="X456" s="56"/>
      <c r="Y456" s="56"/>
      <c r="Z456" s="59"/>
    </row>
    <row r="457">
      <c r="A457" s="55"/>
      <c r="B457" s="55"/>
      <c r="C457" s="55"/>
      <c r="D457" s="55"/>
      <c r="E457" s="55"/>
      <c r="F457" s="55"/>
      <c r="G457" s="55"/>
      <c r="H457" s="55"/>
      <c r="I457" s="55"/>
      <c r="J457" s="55"/>
      <c r="K457" s="55"/>
      <c r="L457" s="55"/>
      <c r="M457" s="55"/>
      <c r="N457" s="55"/>
      <c r="O457" s="55"/>
      <c r="P457" s="55"/>
      <c r="Q457" s="56"/>
      <c r="R457" s="56"/>
      <c r="S457" s="56"/>
      <c r="T457" s="56"/>
      <c r="U457" s="56"/>
      <c r="V457" s="56"/>
      <c r="W457" s="56"/>
      <c r="X457" s="56"/>
      <c r="Y457" s="56"/>
      <c r="Z457" s="59"/>
    </row>
    <row r="458">
      <c r="A458" s="55"/>
      <c r="B458" s="55"/>
      <c r="C458" s="55"/>
      <c r="D458" s="55"/>
      <c r="E458" s="55"/>
      <c r="F458" s="55"/>
      <c r="G458" s="55"/>
      <c r="H458" s="55"/>
      <c r="I458" s="55"/>
      <c r="J458" s="55"/>
      <c r="K458" s="55"/>
      <c r="L458" s="55"/>
      <c r="M458" s="55"/>
      <c r="N458" s="55"/>
      <c r="O458" s="55"/>
      <c r="P458" s="55"/>
      <c r="Q458" s="56"/>
      <c r="R458" s="56"/>
      <c r="S458" s="56"/>
      <c r="T458" s="56"/>
      <c r="U458" s="56"/>
      <c r="V458" s="56"/>
      <c r="W458" s="56"/>
      <c r="X458" s="56"/>
      <c r="Y458" s="56"/>
      <c r="Z458" s="59"/>
    </row>
    <row r="459">
      <c r="A459" s="55"/>
      <c r="B459" s="55"/>
      <c r="C459" s="55"/>
      <c r="D459" s="55"/>
      <c r="E459" s="55"/>
      <c r="F459" s="55"/>
      <c r="G459" s="55"/>
      <c r="H459" s="55"/>
      <c r="I459" s="55"/>
      <c r="J459" s="55"/>
      <c r="K459" s="55"/>
      <c r="L459" s="55"/>
      <c r="M459" s="55"/>
      <c r="N459" s="55"/>
      <c r="O459" s="55"/>
      <c r="P459" s="55"/>
      <c r="Q459" s="56"/>
      <c r="R459" s="56"/>
      <c r="S459" s="56"/>
      <c r="T459" s="56"/>
      <c r="U459" s="56"/>
      <c r="V459" s="56"/>
      <c r="W459" s="56"/>
      <c r="X459" s="56"/>
      <c r="Y459" s="56"/>
      <c r="Z459" s="59"/>
    </row>
    <row r="460">
      <c r="A460" s="55"/>
      <c r="B460" s="55"/>
      <c r="C460" s="55"/>
      <c r="D460" s="55"/>
      <c r="E460" s="55"/>
      <c r="F460" s="55"/>
      <c r="G460" s="55"/>
      <c r="H460" s="55"/>
      <c r="I460" s="55"/>
      <c r="J460" s="55"/>
      <c r="K460" s="55"/>
      <c r="L460" s="55"/>
      <c r="M460" s="55"/>
      <c r="N460" s="55"/>
      <c r="O460" s="55"/>
      <c r="P460" s="55"/>
      <c r="Q460" s="56"/>
      <c r="R460" s="56"/>
      <c r="S460" s="56"/>
      <c r="T460" s="56"/>
      <c r="U460" s="56"/>
      <c r="V460" s="56"/>
      <c r="W460" s="56"/>
      <c r="X460" s="56"/>
      <c r="Y460" s="56"/>
      <c r="Z460" s="59"/>
    </row>
    <row r="461">
      <c r="A461" s="55"/>
      <c r="B461" s="55"/>
      <c r="C461" s="55"/>
      <c r="D461" s="55"/>
      <c r="E461" s="55"/>
      <c r="F461" s="55"/>
      <c r="G461" s="55"/>
      <c r="H461" s="55"/>
      <c r="I461" s="55"/>
      <c r="J461" s="55"/>
      <c r="K461" s="55"/>
      <c r="L461" s="55"/>
      <c r="M461" s="55"/>
      <c r="N461" s="55"/>
      <c r="O461" s="55"/>
      <c r="P461" s="55"/>
      <c r="Q461" s="56"/>
      <c r="R461" s="56"/>
      <c r="S461" s="56"/>
      <c r="T461" s="56"/>
      <c r="U461" s="56"/>
      <c r="V461" s="56"/>
      <c r="W461" s="56"/>
      <c r="X461" s="56"/>
      <c r="Y461" s="56"/>
      <c r="Z461" s="59"/>
    </row>
    <row r="462">
      <c r="A462" s="55"/>
      <c r="B462" s="55"/>
      <c r="C462" s="55"/>
      <c r="D462" s="55"/>
      <c r="E462" s="55"/>
      <c r="F462" s="55"/>
      <c r="G462" s="55"/>
      <c r="H462" s="55"/>
      <c r="I462" s="55"/>
      <c r="J462" s="55"/>
      <c r="K462" s="55"/>
      <c r="L462" s="55"/>
      <c r="M462" s="55"/>
      <c r="N462" s="55"/>
      <c r="O462" s="55"/>
      <c r="P462" s="55"/>
      <c r="Q462" s="56"/>
      <c r="R462" s="56"/>
      <c r="S462" s="56"/>
      <c r="T462" s="56"/>
      <c r="U462" s="56"/>
      <c r="V462" s="56"/>
      <c r="W462" s="56"/>
      <c r="X462" s="56"/>
      <c r="Y462" s="56"/>
      <c r="Z462" s="59"/>
    </row>
    <row r="463">
      <c r="A463" s="55"/>
      <c r="B463" s="55"/>
      <c r="C463" s="55"/>
      <c r="D463" s="55"/>
      <c r="E463" s="55"/>
      <c r="F463" s="55"/>
      <c r="G463" s="55"/>
      <c r="H463" s="55"/>
      <c r="I463" s="55"/>
      <c r="J463" s="55"/>
      <c r="K463" s="55"/>
      <c r="L463" s="55"/>
      <c r="M463" s="55"/>
      <c r="N463" s="55"/>
      <c r="O463" s="55"/>
      <c r="P463" s="55"/>
      <c r="Q463" s="56"/>
      <c r="R463" s="56"/>
      <c r="S463" s="56"/>
      <c r="T463" s="56"/>
      <c r="U463" s="56"/>
      <c r="V463" s="56"/>
      <c r="W463" s="56"/>
      <c r="X463" s="56"/>
      <c r="Y463" s="56"/>
      <c r="Z463" s="59"/>
    </row>
    <row r="464">
      <c r="A464" s="55"/>
      <c r="B464" s="55"/>
      <c r="C464" s="55"/>
      <c r="D464" s="55"/>
      <c r="E464" s="55"/>
      <c r="F464" s="55"/>
      <c r="G464" s="55"/>
      <c r="H464" s="55"/>
      <c r="I464" s="55"/>
      <c r="J464" s="55"/>
      <c r="K464" s="55"/>
      <c r="L464" s="55"/>
      <c r="M464" s="55"/>
      <c r="N464" s="55"/>
      <c r="O464" s="55"/>
      <c r="P464" s="55"/>
      <c r="Q464" s="56"/>
      <c r="R464" s="56"/>
      <c r="S464" s="56"/>
      <c r="T464" s="56"/>
      <c r="U464" s="56"/>
      <c r="V464" s="56"/>
      <c r="W464" s="56"/>
      <c r="X464" s="56"/>
      <c r="Y464" s="56"/>
      <c r="Z464" s="59"/>
    </row>
    <row r="465">
      <c r="A465" s="55"/>
      <c r="B465" s="55"/>
      <c r="C465" s="55"/>
      <c r="D465" s="55"/>
      <c r="E465" s="55"/>
      <c r="F465" s="55"/>
      <c r="G465" s="55"/>
      <c r="H465" s="55"/>
      <c r="I465" s="55"/>
      <c r="J465" s="55"/>
      <c r="K465" s="55"/>
      <c r="L465" s="55"/>
      <c r="M465" s="55"/>
      <c r="N465" s="55"/>
      <c r="O465" s="55"/>
      <c r="P465" s="55"/>
      <c r="Q465" s="56"/>
      <c r="R465" s="56"/>
      <c r="S465" s="56"/>
      <c r="T465" s="56"/>
      <c r="U465" s="56"/>
      <c r="V465" s="56"/>
      <c r="W465" s="56"/>
      <c r="X465" s="56"/>
      <c r="Y465" s="56"/>
      <c r="Z465" s="59"/>
    </row>
    <row r="466">
      <c r="A466" s="55"/>
      <c r="B466" s="55"/>
      <c r="C466" s="55"/>
      <c r="D466" s="55"/>
      <c r="E466" s="55"/>
      <c r="F466" s="55"/>
      <c r="G466" s="55"/>
      <c r="H466" s="55"/>
      <c r="I466" s="55"/>
      <c r="J466" s="55"/>
      <c r="K466" s="55"/>
      <c r="L466" s="55"/>
      <c r="M466" s="55"/>
      <c r="N466" s="55"/>
      <c r="O466" s="55"/>
      <c r="P466" s="55"/>
      <c r="Q466" s="56"/>
      <c r="R466" s="56"/>
      <c r="S466" s="56"/>
      <c r="T466" s="56"/>
      <c r="U466" s="56"/>
      <c r="V466" s="56"/>
      <c r="W466" s="56"/>
      <c r="X466" s="56"/>
      <c r="Y466" s="56"/>
      <c r="Z466" s="59"/>
    </row>
    <row r="467">
      <c r="A467" s="55"/>
      <c r="B467" s="55"/>
      <c r="C467" s="55"/>
      <c r="D467" s="55"/>
      <c r="E467" s="55"/>
      <c r="F467" s="55"/>
      <c r="G467" s="55"/>
      <c r="H467" s="55"/>
      <c r="I467" s="55"/>
      <c r="J467" s="55"/>
      <c r="K467" s="55"/>
      <c r="L467" s="55"/>
      <c r="M467" s="55"/>
      <c r="N467" s="55"/>
      <c r="O467" s="55"/>
      <c r="P467" s="55"/>
      <c r="Q467" s="56"/>
      <c r="R467" s="56"/>
      <c r="S467" s="56"/>
      <c r="T467" s="56"/>
      <c r="U467" s="56"/>
      <c r="V467" s="56"/>
      <c r="W467" s="56"/>
      <c r="X467" s="56"/>
      <c r="Y467" s="56"/>
      <c r="Z467" s="59"/>
    </row>
    <row r="468">
      <c r="A468" s="55"/>
      <c r="B468" s="55"/>
      <c r="C468" s="55"/>
      <c r="D468" s="55"/>
      <c r="E468" s="55"/>
      <c r="F468" s="55"/>
      <c r="G468" s="55"/>
      <c r="H468" s="55"/>
      <c r="I468" s="55"/>
      <c r="J468" s="55"/>
      <c r="K468" s="55"/>
      <c r="L468" s="55"/>
      <c r="M468" s="55"/>
      <c r="N468" s="55"/>
      <c r="O468" s="55"/>
      <c r="P468" s="55"/>
      <c r="Q468" s="56"/>
      <c r="R468" s="56"/>
      <c r="S468" s="56"/>
      <c r="T468" s="56"/>
      <c r="U468" s="56"/>
      <c r="V468" s="56"/>
      <c r="W468" s="56"/>
      <c r="X468" s="56"/>
      <c r="Y468" s="56"/>
      <c r="Z468" s="59"/>
    </row>
    <row r="469">
      <c r="A469" s="55"/>
      <c r="B469" s="55"/>
      <c r="C469" s="55"/>
      <c r="D469" s="55"/>
      <c r="E469" s="55"/>
      <c r="F469" s="55"/>
      <c r="G469" s="55"/>
      <c r="H469" s="55"/>
      <c r="I469" s="55"/>
      <c r="J469" s="55"/>
      <c r="K469" s="55"/>
      <c r="L469" s="55"/>
      <c r="M469" s="55"/>
      <c r="N469" s="55"/>
      <c r="O469" s="55"/>
      <c r="P469" s="55"/>
      <c r="Q469" s="56"/>
      <c r="R469" s="56"/>
      <c r="S469" s="56"/>
      <c r="T469" s="56"/>
      <c r="U469" s="56"/>
      <c r="V469" s="56"/>
      <c r="W469" s="56"/>
      <c r="X469" s="56"/>
      <c r="Y469" s="56"/>
      <c r="Z469" s="59"/>
    </row>
    <row r="470">
      <c r="A470" s="55"/>
      <c r="B470" s="55"/>
      <c r="C470" s="55"/>
      <c r="D470" s="55"/>
      <c r="E470" s="55"/>
      <c r="F470" s="55"/>
      <c r="G470" s="55"/>
      <c r="H470" s="55"/>
      <c r="I470" s="55"/>
      <c r="J470" s="55"/>
      <c r="K470" s="55"/>
      <c r="L470" s="55"/>
      <c r="M470" s="55"/>
      <c r="N470" s="55"/>
      <c r="O470" s="55"/>
      <c r="P470" s="55"/>
      <c r="Q470" s="56"/>
      <c r="R470" s="56"/>
      <c r="S470" s="56"/>
      <c r="T470" s="56"/>
      <c r="U470" s="56"/>
      <c r="V470" s="56"/>
      <c r="W470" s="56"/>
      <c r="X470" s="56"/>
      <c r="Y470" s="56"/>
      <c r="Z470" s="59"/>
    </row>
    <row r="471">
      <c r="A471" s="55"/>
      <c r="B471" s="55"/>
      <c r="C471" s="55"/>
      <c r="D471" s="55"/>
      <c r="E471" s="55"/>
      <c r="F471" s="55"/>
      <c r="G471" s="55"/>
      <c r="H471" s="55"/>
      <c r="I471" s="55"/>
      <c r="J471" s="55"/>
      <c r="K471" s="55"/>
      <c r="L471" s="55"/>
      <c r="M471" s="55"/>
      <c r="N471" s="55"/>
      <c r="O471" s="55"/>
      <c r="P471" s="55"/>
      <c r="Q471" s="56"/>
      <c r="R471" s="56"/>
      <c r="S471" s="56"/>
      <c r="T471" s="56"/>
      <c r="U471" s="56"/>
      <c r="V471" s="56"/>
      <c r="W471" s="56"/>
      <c r="X471" s="56"/>
      <c r="Y471" s="56"/>
      <c r="Z471" s="59"/>
    </row>
    <row r="472">
      <c r="A472" s="55"/>
      <c r="B472" s="55"/>
      <c r="C472" s="55"/>
      <c r="D472" s="55"/>
      <c r="E472" s="55"/>
      <c r="F472" s="55"/>
      <c r="G472" s="55"/>
      <c r="H472" s="55"/>
      <c r="I472" s="55"/>
      <c r="J472" s="55"/>
      <c r="K472" s="55"/>
      <c r="L472" s="55"/>
      <c r="M472" s="55"/>
      <c r="N472" s="55"/>
      <c r="O472" s="55"/>
      <c r="P472" s="55"/>
      <c r="Q472" s="56"/>
      <c r="R472" s="56"/>
      <c r="S472" s="56"/>
      <c r="T472" s="56"/>
      <c r="U472" s="56"/>
      <c r="V472" s="56"/>
      <c r="W472" s="56"/>
      <c r="X472" s="56"/>
      <c r="Y472" s="56"/>
      <c r="Z472" s="59"/>
    </row>
    <row r="473">
      <c r="A473" s="55"/>
      <c r="B473" s="55"/>
      <c r="C473" s="55"/>
      <c r="D473" s="55"/>
      <c r="E473" s="55"/>
      <c r="F473" s="55"/>
      <c r="G473" s="55"/>
      <c r="H473" s="55"/>
      <c r="I473" s="55"/>
      <c r="J473" s="55"/>
      <c r="K473" s="55"/>
      <c r="L473" s="55"/>
      <c r="M473" s="55"/>
      <c r="N473" s="55"/>
      <c r="O473" s="55"/>
      <c r="P473" s="55"/>
      <c r="Q473" s="56"/>
      <c r="R473" s="56"/>
      <c r="S473" s="56"/>
      <c r="T473" s="56"/>
      <c r="U473" s="56"/>
      <c r="V473" s="56"/>
      <c r="W473" s="56"/>
      <c r="X473" s="56"/>
      <c r="Y473" s="56"/>
      <c r="Z473" s="59"/>
    </row>
    <row r="474">
      <c r="A474" s="55"/>
      <c r="B474" s="55"/>
      <c r="C474" s="55"/>
      <c r="D474" s="55"/>
      <c r="E474" s="55"/>
      <c r="F474" s="55"/>
      <c r="G474" s="55"/>
      <c r="H474" s="55"/>
      <c r="I474" s="55"/>
      <c r="J474" s="55"/>
      <c r="K474" s="55"/>
      <c r="L474" s="55"/>
      <c r="M474" s="55"/>
      <c r="N474" s="55"/>
      <c r="O474" s="55"/>
      <c r="P474" s="55"/>
      <c r="Q474" s="56"/>
      <c r="R474" s="56"/>
      <c r="S474" s="56"/>
      <c r="T474" s="56"/>
      <c r="U474" s="56"/>
      <c r="V474" s="56"/>
      <c r="W474" s="56"/>
      <c r="X474" s="56"/>
      <c r="Y474" s="56"/>
      <c r="Z474" s="59"/>
    </row>
    <row r="475">
      <c r="A475" s="55"/>
      <c r="B475" s="55"/>
      <c r="C475" s="55"/>
      <c r="D475" s="55"/>
      <c r="E475" s="55"/>
      <c r="F475" s="55"/>
      <c r="G475" s="55"/>
      <c r="H475" s="55"/>
      <c r="I475" s="55"/>
      <c r="J475" s="55"/>
      <c r="K475" s="55"/>
      <c r="L475" s="55"/>
      <c r="M475" s="55"/>
      <c r="N475" s="55"/>
      <c r="O475" s="55"/>
      <c r="P475" s="55"/>
      <c r="Q475" s="56"/>
      <c r="R475" s="56"/>
      <c r="S475" s="56"/>
      <c r="T475" s="56"/>
      <c r="U475" s="56"/>
      <c r="V475" s="56"/>
      <c r="W475" s="56"/>
      <c r="X475" s="56"/>
      <c r="Y475" s="56"/>
      <c r="Z475" s="59"/>
    </row>
    <row r="476">
      <c r="A476" s="55"/>
      <c r="B476" s="55"/>
      <c r="C476" s="55"/>
      <c r="D476" s="55"/>
      <c r="E476" s="55"/>
      <c r="F476" s="55"/>
      <c r="G476" s="55"/>
      <c r="H476" s="55"/>
      <c r="I476" s="55"/>
      <c r="J476" s="55"/>
      <c r="K476" s="55"/>
      <c r="L476" s="55"/>
      <c r="M476" s="55"/>
      <c r="N476" s="55"/>
      <c r="O476" s="55"/>
      <c r="P476" s="55"/>
      <c r="Q476" s="56"/>
      <c r="R476" s="56"/>
      <c r="S476" s="56"/>
      <c r="T476" s="56"/>
      <c r="U476" s="56"/>
      <c r="V476" s="56"/>
      <c r="W476" s="56"/>
      <c r="X476" s="56"/>
      <c r="Y476" s="56"/>
      <c r="Z476" s="59"/>
    </row>
    <row r="477">
      <c r="A477" s="55"/>
      <c r="B477" s="55"/>
      <c r="C477" s="55"/>
      <c r="D477" s="55"/>
      <c r="E477" s="55"/>
      <c r="F477" s="55"/>
      <c r="G477" s="55"/>
      <c r="H477" s="55"/>
      <c r="I477" s="55"/>
      <c r="J477" s="55"/>
      <c r="K477" s="55"/>
      <c r="L477" s="55"/>
      <c r="M477" s="55"/>
      <c r="N477" s="55"/>
      <c r="O477" s="55"/>
      <c r="P477" s="55"/>
      <c r="Q477" s="56"/>
      <c r="R477" s="56"/>
      <c r="S477" s="56"/>
      <c r="T477" s="56"/>
      <c r="U477" s="56"/>
      <c r="V477" s="56"/>
      <c r="W477" s="56"/>
      <c r="X477" s="56"/>
      <c r="Y477" s="56"/>
      <c r="Z477" s="59"/>
    </row>
    <row r="478">
      <c r="A478" s="55"/>
      <c r="B478" s="55"/>
      <c r="C478" s="55"/>
      <c r="D478" s="55"/>
      <c r="E478" s="55"/>
      <c r="F478" s="55"/>
      <c r="G478" s="55"/>
      <c r="H478" s="55"/>
      <c r="I478" s="55"/>
      <c r="J478" s="55"/>
      <c r="K478" s="55"/>
      <c r="L478" s="55"/>
      <c r="M478" s="55"/>
      <c r="N478" s="55"/>
      <c r="O478" s="55"/>
      <c r="P478" s="55"/>
      <c r="Q478" s="56"/>
      <c r="R478" s="56"/>
      <c r="S478" s="56"/>
      <c r="T478" s="56"/>
      <c r="U478" s="56"/>
      <c r="V478" s="56"/>
      <c r="W478" s="56"/>
      <c r="X478" s="56"/>
      <c r="Y478" s="56"/>
      <c r="Z478" s="59"/>
    </row>
    <row r="479">
      <c r="A479" s="55"/>
      <c r="B479" s="55"/>
      <c r="C479" s="55"/>
      <c r="D479" s="55"/>
      <c r="E479" s="55"/>
      <c r="F479" s="55"/>
      <c r="G479" s="55"/>
      <c r="H479" s="55"/>
      <c r="I479" s="55"/>
      <c r="J479" s="55"/>
      <c r="K479" s="55"/>
      <c r="L479" s="55"/>
      <c r="M479" s="55"/>
      <c r="N479" s="55"/>
      <c r="O479" s="55"/>
      <c r="P479" s="55"/>
      <c r="Q479" s="56"/>
      <c r="R479" s="56"/>
      <c r="S479" s="56"/>
      <c r="T479" s="56"/>
      <c r="U479" s="56"/>
      <c r="V479" s="56"/>
      <c r="W479" s="56"/>
      <c r="X479" s="56"/>
      <c r="Y479" s="56"/>
      <c r="Z479" s="59"/>
    </row>
    <row r="480">
      <c r="A480" s="55"/>
      <c r="B480" s="55"/>
      <c r="C480" s="55"/>
      <c r="D480" s="55"/>
      <c r="E480" s="55"/>
      <c r="F480" s="55"/>
      <c r="G480" s="55"/>
      <c r="H480" s="55"/>
      <c r="I480" s="55"/>
      <c r="J480" s="55"/>
      <c r="K480" s="55"/>
      <c r="L480" s="55"/>
      <c r="M480" s="55"/>
      <c r="N480" s="55"/>
      <c r="O480" s="55"/>
      <c r="P480" s="55"/>
      <c r="Q480" s="56"/>
      <c r="R480" s="56"/>
      <c r="S480" s="56"/>
      <c r="T480" s="56"/>
      <c r="U480" s="56"/>
      <c r="V480" s="56"/>
      <c r="W480" s="56"/>
      <c r="X480" s="56"/>
      <c r="Y480" s="56"/>
      <c r="Z480" s="59"/>
    </row>
    <row r="481">
      <c r="A481" s="55"/>
      <c r="B481" s="55"/>
      <c r="C481" s="55"/>
      <c r="D481" s="55"/>
      <c r="E481" s="55"/>
      <c r="F481" s="55"/>
      <c r="G481" s="55"/>
      <c r="H481" s="55"/>
      <c r="I481" s="55"/>
      <c r="J481" s="55"/>
      <c r="K481" s="55"/>
      <c r="L481" s="55"/>
      <c r="M481" s="55"/>
      <c r="N481" s="55"/>
      <c r="O481" s="55"/>
      <c r="P481" s="55"/>
      <c r="Q481" s="56"/>
      <c r="R481" s="56"/>
      <c r="S481" s="56"/>
      <c r="T481" s="56"/>
      <c r="U481" s="56"/>
      <c r="V481" s="56"/>
      <c r="W481" s="56"/>
      <c r="X481" s="56"/>
      <c r="Y481" s="56"/>
      <c r="Z481" s="59"/>
    </row>
    <row r="482">
      <c r="A482" s="55"/>
      <c r="B482" s="55"/>
      <c r="C482" s="55"/>
      <c r="D482" s="55"/>
      <c r="E482" s="55"/>
      <c r="F482" s="55"/>
      <c r="G482" s="55"/>
      <c r="H482" s="55"/>
      <c r="I482" s="55"/>
      <c r="J482" s="55"/>
      <c r="K482" s="55"/>
      <c r="L482" s="55"/>
      <c r="M482" s="55"/>
      <c r="N482" s="55"/>
      <c r="O482" s="55"/>
      <c r="P482" s="55"/>
      <c r="Q482" s="56"/>
      <c r="R482" s="56"/>
      <c r="S482" s="56"/>
      <c r="T482" s="56"/>
      <c r="U482" s="56"/>
      <c r="V482" s="56"/>
      <c r="W482" s="56"/>
      <c r="X482" s="56"/>
      <c r="Y482" s="56"/>
      <c r="Z482" s="59"/>
    </row>
    <row r="483">
      <c r="A483" s="55"/>
      <c r="B483" s="55"/>
      <c r="C483" s="55"/>
      <c r="D483" s="55"/>
      <c r="E483" s="55"/>
      <c r="F483" s="55"/>
      <c r="G483" s="55"/>
      <c r="H483" s="55"/>
      <c r="I483" s="55"/>
      <c r="J483" s="55"/>
      <c r="K483" s="55"/>
      <c r="L483" s="55"/>
      <c r="M483" s="55"/>
      <c r="N483" s="55"/>
      <c r="O483" s="55"/>
      <c r="P483" s="55"/>
      <c r="Q483" s="56"/>
      <c r="R483" s="56"/>
      <c r="S483" s="56"/>
      <c r="T483" s="56"/>
      <c r="U483" s="56"/>
      <c r="V483" s="56"/>
      <c r="W483" s="56"/>
      <c r="X483" s="56"/>
      <c r="Y483" s="56"/>
      <c r="Z483" s="59"/>
    </row>
    <row r="484">
      <c r="A484" s="55"/>
      <c r="B484" s="55"/>
      <c r="C484" s="55"/>
      <c r="D484" s="55"/>
      <c r="E484" s="55"/>
      <c r="F484" s="55"/>
      <c r="G484" s="55"/>
      <c r="H484" s="55"/>
      <c r="I484" s="55"/>
      <c r="J484" s="55"/>
      <c r="K484" s="55"/>
      <c r="L484" s="55"/>
      <c r="M484" s="55"/>
      <c r="N484" s="55"/>
      <c r="O484" s="55"/>
      <c r="P484" s="55"/>
      <c r="Q484" s="56"/>
      <c r="R484" s="56"/>
      <c r="S484" s="56"/>
      <c r="T484" s="56"/>
      <c r="U484" s="56"/>
      <c r="V484" s="56"/>
      <c r="W484" s="56"/>
      <c r="X484" s="56"/>
      <c r="Y484" s="56"/>
      <c r="Z484" s="59"/>
    </row>
    <row r="485">
      <c r="A485" s="55"/>
      <c r="B485" s="55"/>
      <c r="C485" s="55"/>
      <c r="D485" s="55"/>
      <c r="E485" s="55"/>
      <c r="F485" s="55"/>
      <c r="G485" s="55"/>
      <c r="H485" s="55"/>
      <c r="I485" s="55"/>
      <c r="J485" s="55"/>
      <c r="K485" s="55"/>
      <c r="L485" s="55"/>
      <c r="M485" s="55"/>
      <c r="N485" s="55"/>
      <c r="O485" s="55"/>
      <c r="P485" s="55"/>
      <c r="Q485" s="56"/>
      <c r="R485" s="56"/>
      <c r="S485" s="56"/>
      <c r="T485" s="56"/>
      <c r="U485" s="56"/>
      <c r="V485" s="56"/>
      <c r="W485" s="56"/>
      <c r="X485" s="56"/>
      <c r="Y485" s="56"/>
      <c r="Z485" s="59"/>
    </row>
    <row r="486">
      <c r="A486" s="55"/>
      <c r="B486" s="55"/>
      <c r="C486" s="55"/>
      <c r="D486" s="55"/>
      <c r="E486" s="55"/>
      <c r="F486" s="55"/>
      <c r="G486" s="55"/>
      <c r="H486" s="55"/>
      <c r="I486" s="55"/>
      <c r="J486" s="55"/>
      <c r="K486" s="55"/>
      <c r="L486" s="55"/>
      <c r="M486" s="55"/>
      <c r="N486" s="55"/>
      <c r="O486" s="55"/>
      <c r="P486" s="55"/>
      <c r="Q486" s="56"/>
      <c r="R486" s="56"/>
      <c r="S486" s="56"/>
      <c r="T486" s="56"/>
      <c r="U486" s="56"/>
      <c r="V486" s="56"/>
      <c r="W486" s="56"/>
      <c r="X486" s="56"/>
      <c r="Y486" s="56"/>
      <c r="Z486" s="59"/>
    </row>
    <row r="487">
      <c r="A487" s="55"/>
      <c r="B487" s="55"/>
      <c r="C487" s="55"/>
      <c r="D487" s="55"/>
      <c r="E487" s="55"/>
      <c r="F487" s="55"/>
      <c r="G487" s="55"/>
      <c r="H487" s="55"/>
      <c r="I487" s="55"/>
      <c r="J487" s="55"/>
      <c r="K487" s="55"/>
      <c r="L487" s="55"/>
      <c r="M487" s="55"/>
      <c r="N487" s="55"/>
      <c r="O487" s="55"/>
      <c r="P487" s="55"/>
      <c r="Q487" s="56"/>
      <c r="R487" s="56"/>
      <c r="S487" s="56"/>
      <c r="T487" s="56"/>
      <c r="U487" s="56"/>
      <c r="V487" s="56"/>
      <c r="W487" s="56"/>
      <c r="X487" s="56"/>
      <c r="Y487" s="56"/>
      <c r="Z487" s="59"/>
    </row>
    <row r="488">
      <c r="A488" s="55"/>
      <c r="B488" s="55"/>
      <c r="C488" s="55"/>
      <c r="D488" s="55"/>
      <c r="E488" s="55"/>
      <c r="F488" s="55"/>
      <c r="G488" s="55"/>
      <c r="H488" s="55"/>
      <c r="I488" s="55"/>
      <c r="J488" s="55"/>
      <c r="K488" s="55"/>
      <c r="L488" s="55"/>
      <c r="M488" s="55"/>
      <c r="N488" s="55"/>
      <c r="O488" s="55"/>
      <c r="P488" s="55"/>
      <c r="Q488" s="56"/>
      <c r="R488" s="56"/>
      <c r="S488" s="56"/>
      <c r="T488" s="56"/>
      <c r="U488" s="56"/>
      <c r="V488" s="56"/>
      <c r="W488" s="56"/>
      <c r="X488" s="56"/>
      <c r="Y488" s="56"/>
      <c r="Z488" s="59"/>
    </row>
    <row r="489">
      <c r="A489" s="55"/>
      <c r="B489" s="55"/>
      <c r="C489" s="55"/>
      <c r="D489" s="55"/>
      <c r="E489" s="55"/>
      <c r="F489" s="55"/>
      <c r="G489" s="55"/>
      <c r="H489" s="55"/>
      <c r="I489" s="55"/>
      <c r="J489" s="55"/>
      <c r="K489" s="55"/>
      <c r="L489" s="55"/>
      <c r="M489" s="55"/>
      <c r="N489" s="55"/>
      <c r="O489" s="55"/>
      <c r="P489" s="55"/>
      <c r="Q489" s="56"/>
      <c r="R489" s="56"/>
      <c r="S489" s="56"/>
      <c r="T489" s="56"/>
      <c r="U489" s="56"/>
      <c r="V489" s="56"/>
      <c r="W489" s="56"/>
      <c r="X489" s="56"/>
      <c r="Y489" s="56"/>
      <c r="Z489" s="59"/>
    </row>
    <row r="490">
      <c r="A490" s="55"/>
      <c r="B490" s="55"/>
      <c r="C490" s="55"/>
      <c r="D490" s="55"/>
      <c r="E490" s="55"/>
      <c r="F490" s="55"/>
      <c r="G490" s="55"/>
      <c r="H490" s="55"/>
      <c r="I490" s="55"/>
      <c r="J490" s="55"/>
      <c r="K490" s="55"/>
      <c r="L490" s="55"/>
      <c r="M490" s="55"/>
      <c r="N490" s="55"/>
      <c r="O490" s="55"/>
      <c r="P490" s="55"/>
      <c r="Q490" s="56"/>
      <c r="R490" s="56"/>
      <c r="S490" s="56"/>
      <c r="T490" s="56"/>
      <c r="U490" s="56"/>
      <c r="V490" s="56"/>
      <c r="W490" s="56"/>
      <c r="X490" s="56"/>
      <c r="Y490" s="56"/>
      <c r="Z490" s="59"/>
    </row>
    <row r="491">
      <c r="A491" s="55"/>
      <c r="B491" s="55"/>
      <c r="C491" s="55"/>
      <c r="D491" s="55"/>
      <c r="E491" s="55"/>
      <c r="F491" s="55"/>
      <c r="G491" s="55"/>
      <c r="H491" s="55"/>
      <c r="I491" s="55"/>
      <c r="J491" s="55"/>
      <c r="K491" s="55"/>
      <c r="L491" s="55"/>
      <c r="M491" s="55"/>
      <c r="N491" s="55"/>
      <c r="O491" s="55"/>
      <c r="P491" s="55"/>
      <c r="Q491" s="56"/>
      <c r="R491" s="56"/>
      <c r="S491" s="56"/>
      <c r="T491" s="56"/>
      <c r="U491" s="56"/>
      <c r="V491" s="56"/>
      <c r="W491" s="56"/>
      <c r="X491" s="56"/>
      <c r="Y491" s="56"/>
      <c r="Z491" s="59"/>
    </row>
    <row r="492">
      <c r="A492" s="55"/>
      <c r="B492" s="55"/>
      <c r="C492" s="55"/>
      <c r="D492" s="55"/>
      <c r="E492" s="55"/>
      <c r="F492" s="55"/>
      <c r="G492" s="55"/>
      <c r="H492" s="55"/>
      <c r="I492" s="55"/>
      <c r="J492" s="55"/>
      <c r="K492" s="55"/>
      <c r="L492" s="55"/>
      <c r="M492" s="55"/>
      <c r="N492" s="55"/>
      <c r="O492" s="55"/>
      <c r="P492" s="55"/>
      <c r="Q492" s="56"/>
      <c r="R492" s="56"/>
      <c r="S492" s="56"/>
      <c r="T492" s="56"/>
      <c r="U492" s="56"/>
      <c r="V492" s="56"/>
      <c r="W492" s="56"/>
      <c r="X492" s="56"/>
      <c r="Y492" s="56"/>
      <c r="Z492" s="59"/>
    </row>
    <row r="493">
      <c r="A493" s="55"/>
      <c r="B493" s="55"/>
      <c r="C493" s="55"/>
      <c r="D493" s="55"/>
      <c r="E493" s="55"/>
      <c r="F493" s="55"/>
      <c r="G493" s="55"/>
      <c r="H493" s="55"/>
      <c r="I493" s="55"/>
      <c r="J493" s="55"/>
      <c r="K493" s="55"/>
      <c r="L493" s="55"/>
      <c r="M493" s="55"/>
      <c r="N493" s="55"/>
      <c r="O493" s="55"/>
      <c r="P493" s="55"/>
      <c r="Q493" s="56"/>
      <c r="R493" s="56"/>
      <c r="S493" s="56"/>
      <c r="T493" s="56"/>
      <c r="U493" s="56"/>
      <c r="V493" s="56"/>
      <c r="W493" s="56"/>
      <c r="X493" s="56"/>
      <c r="Y493" s="56"/>
      <c r="Z493" s="59"/>
    </row>
    <row r="494">
      <c r="A494" s="55"/>
      <c r="B494" s="55"/>
      <c r="C494" s="55"/>
      <c r="D494" s="55"/>
      <c r="E494" s="55"/>
      <c r="F494" s="55"/>
      <c r="G494" s="55"/>
      <c r="H494" s="55"/>
      <c r="I494" s="55"/>
      <c r="J494" s="55"/>
      <c r="K494" s="55"/>
      <c r="L494" s="55"/>
      <c r="M494" s="55"/>
      <c r="N494" s="55"/>
      <c r="O494" s="55"/>
      <c r="P494" s="55"/>
      <c r="Q494" s="56"/>
      <c r="R494" s="56"/>
      <c r="S494" s="56"/>
      <c r="T494" s="56"/>
      <c r="U494" s="56"/>
      <c r="V494" s="56"/>
      <c r="W494" s="56"/>
      <c r="X494" s="56"/>
      <c r="Y494" s="56"/>
      <c r="Z494" s="59"/>
    </row>
    <row r="495">
      <c r="A495" s="55"/>
      <c r="B495" s="55"/>
      <c r="C495" s="55"/>
      <c r="D495" s="55"/>
      <c r="E495" s="55"/>
      <c r="F495" s="55"/>
      <c r="G495" s="55"/>
      <c r="H495" s="55"/>
      <c r="I495" s="55"/>
      <c r="J495" s="55"/>
      <c r="K495" s="55"/>
      <c r="L495" s="55"/>
      <c r="M495" s="55"/>
      <c r="N495" s="55"/>
      <c r="O495" s="55"/>
      <c r="P495" s="55"/>
      <c r="Q495" s="56"/>
      <c r="R495" s="56"/>
      <c r="S495" s="56"/>
      <c r="T495" s="56"/>
      <c r="U495" s="56"/>
      <c r="V495" s="56"/>
      <c r="W495" s="56"/>
      <c r="X495" s="56"/>
      <c r="Y495" s="56"/>
      <c r="Z495" s="59"/>
    </row>
    <row r="496">
      <c r="A496" s="55"/>
      <c r="B496" s="55"/>
      <c r="C496" s="55"/>
      <c r="D496" s="55"/>
      <c r="E496" s="55"/>
      <c r="F496" s="55"/>
      <c r="G496" s="55"/>
      <c r="H496" s="55"/>
      <c r="I496" s="55"/>
      <c r="J496" s="55"/>
      <c r="K496" s="55"/>
      <c r="L496" s="55"/>
      <c r="M496" s="55"/>
      <c r="N496" s="55"/>
      <c r="O496" s="55"/>
      <c r="P496" s="55"/>
      <c r="Q496" s="56"/>
      <c r="R496" s="56"/>
      <c r="S496" s="56"/>
      <c r="T496" s="56"/>
      <c r="U496" s="56"/>
      <c r="V496" s="56"/>
      <c r="W496" s="56"/>
      <c r="X496" s="56"/>
      <c r="Y496" s="56"/>
      <c r="Z496" s="59"/>
    </row>
    <row r="497">
      <c r="A497" s="55"/>
      <c r="B497" s="55"/>
      <c r="C497" s="55"/>
      <c r="D497" s="55"/>
      <c r="E497" s="55"/>
      <c r="F497" s="55"/>
      <c r="G497" s="55"/>
      <c r="H497" s="55"/>
      <c r="I497" s="55"/>
      <c r="J497" s="55"/>
      <c r="K497" s="55"/>
      <c r="L497" s="55"/>
      <c r="M497" s="55"/>
      <c r="N497" s="55"/>
      <c r="O497" s="55"/>
      <c r="P497" s="55"/>
      <c r="Q497" s="56"/>
      <c r="R497" s="56"/>
      <c r="S497" s="56"/>
      <c r="T497" s="56"/>
      <c r="U497" s="56"/>
      <c r="V497" s="56"/>
      <c r="W497" s="56"/>
      <c r="X497" s="56"/>
      <c r="Y497" s="56"/>
      <c r="Z497" s="59"/>
    </row>
    <row r="498">
      <c r="A498" s="55"/>
      <c r="B498" s="55"/>
      <c r="C498" s="55"/>
      <c r="D498" s="55"/>
      <c r="E498" s="55"/>
      <c r="F498" s="55"/>
      <c r="G498" s="55"/>
      <c r="H498" s="55"/>
      <c r="I498" s="55"/>
      <c r="J498" s="55"/>
      <c r="K498" s="55"/>
      <c r="L498" s="55"/>
      <c r="M498" s="55"/>
      <c r="N498" s="55"/>
      <c r="O498" s="55"/>
      <c r="P498" s="55"/>
      <c r="Q498" s="56"/>
      <c r="R498" s="56"/>
      <c r="S498" s="56"/>
      <c r="T498" s="56"/>
      <c r="U498" s="56"/>
      <c r="V498" s="56"/>
      <c r="W498" s="56"/>
      <c r="X498" s="56"/>
      <c r="Y498" s="56"/>
      <c r="Z498" s="59"/>
    </row>
    <row r="499">
      <c r="A499" s="55"/>
      <c r="B499" s="55"/>
      <c r="C499" s="55"/>
      <c r="D499" s="55"/>
      <c r="E499" s="55"/>
      <c r="F499" s="55"/>
      <c r="G499" s="55"/>
      <c r="H499" s="55"/>
      <c r="I499" s="55"/>
      <c r="J499" s="55"/>
      <c r="K499" s="55"/>
      <c r="L499" s="55"/>
      <c r="M499" s="55"/>
      <c r="N499" s="55"/>
      <c r="O499" s="55"/>
      <c r="P499" s="55"/>
      <c r="Q499" s="56"/>
      <c r="R499" s="56"/>
      <c r="S499" s="56"/>
      <c r="T499" s="56"/>
      <c r="U499" s="56"/>
      <c r="V499" s="56"/>
      <c r="W499" s="56"/>
      <c r="X499" s="56"/>
      <c r="Y499" s="56"/>
      <c r="Z499" s="59"/>
    </row>
    <row r="500">
      <c r="A500" s="55"/>
      <c r="B500" s="55"/>
      <c r="C500" s="55"/>
      <c r="D500" s="55"/>
      <c r="E500" s="55"/>
      <c r="F500" s="55"/>
      <c r="G500" s="55"/>
      <c r="H500" s="55"/>
      <c r="I500" s="55"/>
      <c r="J500" s="55"/>
      <c r="K500" s="55"/>
      <c r="L500" s="55"/>
      <c r="M500" s="55"/>
      <c r="N500" s="55"/>
      <c r="O500" s="55"/>
      <c r="P500" s="55"/>
      <c r="Q500" s="56"/>
      <c r="R500" s="56"/>
      <c r="S500" s="56"/>
      <c r="T500" s="56"/>
      <c r="U500" s="56"/>
      <c r="V500" s="56"/>
      <c r="W500" s="56"/>
      <c r="X500" s="56"/>
      <c r="Y500" s="56"/>
      <c r="Z500" s="59"/>
    </row>
    <row r="501">
      <c r="A501" s="55"/>
      <c r="B501" s="55"/>
      <c r="C501" s="55"/>
      <c r="D501" s="55"/>
      <c r="E501" s="55"/>
      <c r="F501" s="55"/>
      <c r="G501" s="55"/>
      <c r="H501" s="55"/>
      <c r="I501" s="55"/>
      <c r="J501" s="55"/>
      <c r="K501" s="55"/>
      <c r="L501" s="55"/>
      <c r="M501" s="55"/>
      <c r="N501" s="55"/>
      <c r="O501" s="55"/>
      <c r="P501" s="55"/>
      <c r="Q501" s="56"/>
      <c r="R501" s="56"/>
      <c r="S501" s="56"/>
      <c r="T501" s="56"/>
      <c r="U501" s="56"/>
      <c r="V501" s="56"/>
      <c r="W501" s="56"/>
      <c r="X501" s="56"/>
      <c r="Y501" s="56"/>
      <c r="Z501" s="59"/>
    </row>
    <row r="502">
      <c r="A502" s="55"/>
      <c r="B502" s="55"/>
      <c r="C502" s="55"/>
      <c r="D502" s="55"/>
      <c r="E502" s="55"/>
      <c r="F502" s="55"/>
      <c r="G502" s="55"/>
      <c r="H502" s="55"/>
      <c r="I502" s="55"/>
      <c r="J502" s="55"/>
      <c r="K502" s="55"/>
      <c r="L502" s="55"/>
      <c r="M502" s="55"/>
      <c r="N502" s="55"/>
      <c r="O502" s="55"/>
      <c r="P502" s="55"/>
      <c r="Q502" s="56"/>
      <c r="R502" s="56"/>
      <c r="S502" s="56"/>
      <c r="T502" s="56"/>
      <c r="U502" s="56"/>
      <c r="V502" s="56"/>
      <c r="W502" s="56"/>
      <c r="X502" s="56"/>
      <c r="Y502" s="56"/>
      <c r="Z502" s="59"/>
    </row>
    <row r="503">
      <c r="A503" s="55"/>
      <c r="B503" s="55"/>
      <c r="C503" s="55"/>
      <c r="D503" s="55"/>
      <c r="E503" s="55"/>
      <c r="F503" s="55"/>
      <c r="G503" s="55"/>
      <c r="H503" s="55"/>
      <c r="I503" s="55"/>
      <c r="J503" s="55"/>
      <c r="K503" s="55"/>
      <c r="L503" s="55"/>
      <c r="M503" s="55"/>
      <c r="N503" s="55"/>
      <c r="O503" s="55"/>
      <c r="P503" s="55"/>
      <c r="Q503" s="56"/>
      <c r="R503" s="56"/>
      <c r="S503" s="56"/>
      <c r="T503" s="56"/>
      <c r="U503" s="56"/>
      <c r="V503" s="56"/>
      <c r="W503" s="56"/>
      <c r="X503" s="56"/>
      <c r="Y503" s="56"/>
      <c r="Z503" s="59"/>
    </row>
    <row r="504">
      <c r="A504" s="55"/>
      <c r="B504" s="55"/>
      <c r="C504" s="55"/>
      <c r="D504" s="55"/>
      <c r="E504" s="55"/>
      <c r="F504" s="55"/>
      <c r="G504" s="55"/>
      <c r="H504" s="55"/>
      <c r="I504" s="55"/>
      <c r="J504" s="55"/>
      <c r="K504" s="55"/>
      <c r="L504" s="55"/>
      <c r="M504" s="55"/>
      <c r="N504" s="55"/>
      <c r="O504" s="55"/>
      <c r="P504" s="55"/>
      <c r="Q504" s="56"/>
      <c r="R504" s="56"/>
      <c r="S504" s="56"/>
      <c r="T504" s="56"/>
      <c r="U504" s="56"/>
      <c r="V504" s="56"/>
      <c r="W504" s="56"/>
      <c r="X504" s="56"/>
      <c r="Y504" s="56"/>
      <c r="Z504" s="59"/>
    </row>
    <row r="505">
      <c r="A505" s="55"/>
      <c r="B505" s="55"/>
      <c r="C505" s="55"/>
      <c r="D505" s="55"/>
      <c r="E505" s="55"/>
      <c r="F505" s="55"/>
      <c r="G505" s="55"/>
      <c r="H505" s="55"/>
      <c r="I505" s="55"/>
      <c r="J505" s="55"/>
      <c r="K505" s="55"/>
      <c r="L505" s="55"/>
      <c r="M505" s="55"/>
      <c r="N505" s="55"/>
      <c r="O505" s="55"/>
      <c r="P505" s="55"/>
      <c r="Q505" s="56"/>
      <c r="R505" s="56"/>
      <c r="S505" s="56"/>
      <c r="T505" s="56"/>
      <c r="U505" s="56"/>
      <c r="V505" s="56"/>
      <c r="W505" s="56"/>
      <c r="X505" s="56"/>
      <c r="Y505" s="56"/>
      <c r="Z505" s="59"/>
    </row>
    <row r="506">
      <c r="A506" s="55"/>
      <c r="B506" s="55"/>
      <c r="C506" s="55"/>
      <c r="D506" s="55"/>
      <c r="E506" s="55"/>
      <c r="F506" s="55"/>
      <c r="G506" s="55"/>
      <c r="H506" s="55"/>
      <c r="I506" s="55"/>
      <c r="J506" s="55"/>
      <c r="K506" s="55"/>
      <c r="L506" s="55"/>
      <c r="M506" s="55"/>
      <c r="N506" s="55"/>
      <c r="O506" s="55"/>
      <c r="P506" s="55"/>
      <c r="Q506" s="56"/>
      <c r="R506" s="56"/>
      <c r="S506" s="56"/>
      <c r="T506" s="56"/>
      <c r="U506" s="56"/>
      <c r="V506" s="56"/>
      <c r="W506" s="56"/>
      <c r="X506" s="56"/>
      <c r="Y506" s="56"/>
      <c r="Z506" s="59"/>
    </row>
    <row r="507">
      <c r="A507" s="55"/>
      <c r="B507" s="55"/>
      <c r="C507" s="55"/>
      <c r="D507" s="55"/>
      <c r="E507" s="55"/>
      <c r="F507" s="55"/>
      <c r="G507" s="55"/>
      <c r="H507" s="55"/>
      <c r="I507" s="55"/>
      <c r="J507" s="55"/>
      <c r="K507" s="55"/>
      <c r="L507" s="55"/>
      <c r="M507" s="55"/>
      <c r="N507" s="55"/>
      <c r="O507" s="55"/>
      <c r="P507" s="55"/>
      <c r="Q507" s="56"/>
      <c r="R507" s="56"/>
      <c r="S507" s="56"/>
      <c r="T507" s="56"/>
      <c r="U507" s="56"/>
      <c r="V507" s="56"/>
      <c r="W507" s="56"/>
      <c r="X507" s="56"/>
      <c r="Y507" s="56"/>
      <c r="Z507" s="59"/>
    </row>
    <row r="508">
      <c r="A508" s="55"/>
      <c r="B508" s="55"/>
      <c r="C508" s="55"/>
      <c r="D508" s="55"/>
      <c r="E508" s="55"/>
      <c r="F508" s="55"/>
      <c r="G508" s="55"/>
      <c r="H508" s="55"/>
      <c r="I508" s="55"/>
      <c r="J508" s="55"/>
      <c r="K508" s="55"/>
      <c r="L508" s="55"/>
      <c r="M508" s="55"/>
      <c r="N508" s="55"/>
      <c r="O508" s="55"/>
      <c r="P508" s="55"/>
      <c r="Q508" s="56"/>
      <c r="R508" s="56"/>
      <c r="S508" s="56"/>
      <c r="T508" s="56"/>
      <c r="U508" s="56"/>
      <c r="V508" s="56"/>
      <c r="W508" s="56"/>
      <c r="X508" s="56"/>
      <c r="Y508" s="56"/>
      <c r="Z508" s="59"/>
    </row>
    <row r="509">
      <c r="A509" s="55"/>
      <c r="B509" s="55"/>
      <c r="C509" s="55"/>
      <c r="D509" s="55"/>
      <c r="E509" s="55"/>
      <c r="F509" s="55"/>
      <c r="G509" s="55"/>
      <c r="H509" s="55"/>
      <c r="I509" s="55"/>
      <c r="J509" s="55"/>
      <c r="K509" s="55"/>
      <c r="L509" s="55"/>
      <c r="M509" s="55"/>
      <c r="N509" s="55"/>
      <c r="O509" s="55"/>
      <c r="P509" s="55"/>
      <c r="Q509" s="56"/>
      <c r="R509" s="56"/>
      <c r="S509" s="56"/>
      <c r="T509" s="56"/>
      <c r="U509" s="56"/>
      <c r="V509" s="56"/>
      <c r="W509" s="56"/>
      <c r="X509" s="56"/>
      <c r="Y509" s="56"/>
      <c r="Z509" s="59"/>
    </row>
    <row r="510">
      <c r="A510" s="55"/>
      <c r="B510" s="55"/>
      <c r="C510" s="55"/>
      <c r="D510" s="55"/>
      <c r="E510" s="55"/>
      <c r="F510" s="55"/>
      <c r="G510" s="55"/>
      <c r="H510" s="55"/>
      <c r="I510" s="55"/>
      <c r="J510" s="55"/>
      <c r="K510" s="55"/>
      <c r="L510" s="55"/>
      <c r="M510" s="55"/>
      <c r="N510" s="55"/>
      <c r="O510" s="55"/>
      <c r="P510" s="55"/>
      <c r="Q510" s="56"/>
      <c r="R510" s="56"/>
      <c r="S510" s="56"/>
      <c r="T510" s="56"/>
      <c r="U510" s="56"/>
      <c r="V510" s="56"/>
      <c r="W510" s="56"/>
      <c r="X510" s="56"/>
      <c r="Y510" s="56"/>
      <c r="Z510" s="59"/>
    </row>
    <row r="511">
      <c r="A511" s="55"/>
      <c r="B511" s="55"/>
      <c r="C511" s="55"/>
      <c r="D511" s="55"/>
      <c r="E511" s="55"/>
      <c r="F511" s="55"/>
      <c r="G511" s="55"/>
      <c r="H511" s="55"/>
      <c r="I511" s="55"/>
      <c r="J511" s="55"/>
      <c r="K511" s="55"/>
      <c r="L511" s="55"/>
      <c r="M511" s="55"/>
      <c r="N511" s="55"/>
      <c r="O511" s="55"/>
      <c r="P511" s="55"/>
      <c r="Q511" s="56"/>
      <c r="R511" s="56"/>
      <c r="S511" s="56"/>
      <c r="T511" s="56"/>
      <c r="U511" s="56"/>
      <c r="V511" s="56"/>
      <c r="W511" s="56"/>
      <c r="X511" s="56"/>
      <c r="Y511" s="56"/>
      <c r="Z511" s="59"/>
    </row>
    <row r="512">
      <c r="A512" s="55"/>
      <c r="B512" s="55"/>
      <c r="C512" s="55"/>
      <c r="D512" s="55"/>
      <c r="E512" s="55"/>
      <c r="F512" s="55"/>
      <c r="G512" s="55"/>
      <c r="H512" s="55"/>
      <c r="I512" s="55"/>
      <c r="J512" s="55"/>
      <c r="K512" s="55"/>
      <c r="L512" s="55"/>
      <c r="M512" s="55"/>
      <c r="N512" s="55"/>
      <c r="O512" s="55"/>
      <c r="P512" s="55"/>
      <c r="Q512" s="56"/>
      <c r="R512" s="56"/>
      <c r="S512" s="56"/>
      <c r="T512" s="56"/>
      <c r="U512" s="56"/>
      <c r="V512" s="56"/>
      <c r="W512" s="56"/>
      <c r="X512" s="56"/>
      <c r="Y512" s="56"/>
      <c r="Z512" s="59"/>
    </row>
    <row r="513">
      <c r="A513" s="55"/>
      <c r="B513" s="55"/>
      <c r="C513" s="55"/>
      <c r="D513" s="55"/>
      <c r="E513" s="55"/>
      <c r="F513" s="55"/>
      <c r="G513" s="55"/>
      <c r="H513" s="55"/>
      <c r="I513" s="55"/>
      <c r="J513" s="55"/>
      <c r="K513" s="55"/>
      <c r="L513" s="55"/>
      <c r="M513" s="55"/>
      <c r="N513" s="55"/>
      <c r="O513" s="55"/>
      <c r="P513" s="55"/>
      <c r="Q513" s="56"/>
      <c r="R513" s="56"/>
      <c r="S513" s="56"/>
      <c r="T513" s="56"/>
      <c r="U513" s="56"/>
      <c r="V513" s="56"/>
      <c r="W513" s="56"/>
      <c r="X513" s="56"/>
      <c r="Y513" s="56"/>
      <c r="Z513" s="59"/>
    </row>
    <row r="514">
      <c r="A514" s="55"/>
      <c r="B514" s="55"/>
      <c r="C514" s="55"/>
      <c r="D514" s="55"/>
      <c r="E514" s="55"/>
      <c r="F514" s="55"/>
      <c r="G514" s="55"/>
      <c r="H514" s="55"/>
      <c r="I514" s="55"/>
      <c r="J514" s="55"/>
      <c r="K514" s="55"/>
      <c r="L514" s="55"/>
      <c r="M514" s="55"/>
      <c r="N514" s="55"/>
      <c r="O514" s="55"/>
      <c r="P514" s="55"/>
      <c r="Q514" s="56"/>
      <c r="R514" s="56"/>
      <c r="S514" s="56"/>
      <c r="T514" s="56"/>
      <c r="U514" s="56"/>
      <c r="V514" s="56"/>
      <c r="W514" s="56"/>
      <c r="X514" s="56"/>
      <c r="Y514" s="56"/>
      <c r="Z514" s="59"/>
    </row>
    <row r="515">
      <c r="A515" s="55"/>
      <c r="B515" s="55"/>
      <c r="C515" s="55"/>
      <c r="D515" s="55"/>
      <c r="E515" s="55"/>
      <c r="F515" s="55"/>
      <c r="G515" s="55"/>
      <c r="H515" s="55"/>
      <c r="I515" s="55"/>
      <c r="J515" s="55"/>
      <c r="K515" s="55"/>
      <c r="L515" s="55"/>
      <c r="M515" s="55"/>
      <c r="N515" s="55"/>
      <c r="O515" s="55"/>
      <c r="P515" s="55"/>
      <c r="Q515" s="56"/>
      <c r="R515" s="56"/>
      <c r="S515" s="56"/>
      <c r="T515" s="56"/>
      <c r="U515" s="56"/>
      <c r="V515" s="56"/>
      <c r="W515" s="56"/>
      <c r="X515" s="56"/>
      <c r="Y515" s="56"/>
      <c r="Z515" s="59"/>
    </row>
    <row r="516">
      <c r="A516" s="55"/>
      <c r="B516" s="55"/>
      <c r="C516" s="55"/>
      <c r="D516" s="55"/>
      <c r="E516" s="55"/>
      <c r="F516" s="55"/>
      <c r="G516" s="55"/>
      <c r="H516" s="55"/>
      <c r="I516" s="55"/>
      <c r="J516" s="55"/>
      <c r="K516" s="55"/>
      <c r="L516" s="55"/>
      <c r="M516" s="55"/>
      <c r="N516" s="55"/>
      <c r="O516" s="55"/>
      <c r="P516" s="55"/>
      <c r="Q516" s="56"/>
      <c r="R516" s="56"/>
      <c r="S516" s="56"/>
      <c r="T516" s="56"/>
      <c r="U516" s="56"/>
      <c r="V516" s="56"/>
      <c r="W516" s="56"/>
      <c r="X516" s="56"/>
      <c r="Y516" s="56"/>
      <c r="Z516" s="59"/>
    </row>
    <row r="517">
      <c r="A517" s="55"/>
      <c r="B517" s="55"/>
      <c r="C517" s="55"/>
      <c r="D517" s="55"/>
      <c r="E517" s="55"/>
      <c r="F517" s="55"/>
      <c r="G517" s="55"/>
      <c r="H517" s="55"/>
      <c r="I517" s="55"/>
      <c r="J517" s="55"/>
      <c r="K517" s="55"/>
      <c r="L517" s="55"/>
      <c r="M517" s="55"/>
      <c r="N517" s="55"/>
      <c r="O517" s="55"/>
      <c r="P517" s="55"/>
      <c r="Q517" s="56"/>
      <c r="R517" s="56"/>
      <c r="S517" s="56"/>
      <c r="T517" s="56"/>
      <c r="U517" s="56"/>
      <c r="V517" s="56"/>
      <c r="W517" s="56"/>
      <c r="X517" s="56"/>
      <c r="Y517" s="56"/>
      <c r="Z517" s="59"/>
    </row>
    <row r="518">
      <c r="A518" s="55"/>
      <c r="B518" s="55"/>
      <c r="C518" s="55"/>
      <c r="D518" s="55"/>
      <c r="E518" s="55"/>
      <c r="F518" s="55"/>
      <c r="G518" s="55"/>
      <c r="H518" s="55"/>
      <c r="I518" s="55"/>
      <c r="J518" s="55"/>
      <c r="K518" s="55"/>
      <c r="L518" s="55"/>
      <c r="M518" s="55"/>
      <c r="N518" s="55"/>
      <c r="O518" s="55"/>
      <c r="P518" s="55"/>
      <c r="Q518" s="56"/>
      <c r="R518" s="56"/>
      <c r="S518" s="56"/>
      <c r="T518" s="56"/>
      <c r="U518" s="56"/>
      <c r="V518" s="56"/>
      <c r="W518" s="56"/>
      <c r="X518" s="56"/>
      <c r="Y518" s="56"/>
      <c r="Z518" s="59"/>
    </row>
    <row r="519">
      <c r="A519" s="55"/>
      <c r="B519" s="55"/>
      <c r="C519" s="55"/>
      <c r="D519" s="55"/>
      <c r="E519" s="55"/>
      <c r="F519" s="55"/>
      <c r="G519" s="55"/>
      <c r="H519" s="55"/>
      <c r="I519" s="55"/>
      <c r="J519" s="55"/>
      <c r="K519" s="55"/>
      <c r="L519" s="55"/>
      <c r="M519" s="55"/>
      <c r="N519" s="55"/>
      <c r="O519" s="55"/>
      <c r="P519" s="55"/>
      <c r="Q519" s="56"/>
      <c r="R519" s="56"/>
      <c r="S519" s="56"/>
      <c r="T519" s="56"/>
      <c r="U519" s="56"/>
      <c r="V519" s="56"/>
      <c r="W519" s="56"/>
      <c r="X519" s="56"/>
      <c r="Y519" s="56"/>
      <c r="Z519" s="59"/>
    </row>
    <row r="520">
      <c r="A520" s="55"/>
      <c r="B520" s="55"/>
      <c r="C520" s="55"/>
      <c r="D520" s="55"/>
      <c r="E520" s="55"/>
      <c r="F520" s="55"/>
      <c r="G520" s="55"/>
      <c r="H520" s="55"/>
      <c r="I520" s="55"/>
      <c r="J520" s="55"/>
      <c r="K520" s="55"/>
      <c r="L520" s="55"/>
      <c r="M520" s="55"/>
      <c r="N520" s="55"/>
      <c r="O520" s="55"/>
      <c r="P520" s="55"/>
      <c r="Q520" s="56"/>
      <c r="R520" s="56"/>
      <c r="S520" s="56"/>
      <c r="T520" s="56"/>
      <c r="U520" s="56"/>
      <c r="V520" s="56"/>
      <c r="W520" s="56"/>
      <c r="X520" s="56"/>
      <c r="Y520" s="56"/>
      <c r="Z520" s="59"/>
    </row>
    <row r="521">
      <c r="A521" s="55"/>
      <c r="B521" s="55"/>
      <c r="C521" s="55"/>
      <c r="D521" s="55"/>
      <c r="E521" s="55"/>
      <c r="F521" s="55"/>
      <c r="G521" s="55"/>
      <c r="H521" s="55"/>
      <c r="I521" s="55"/>
      <c r="J521" s="55"/>
      <c r="K521" s="55"/>
      <c r="L521" s="55"/>
      <c r="M521" s="55"/>
      <c r="N521" s="55"/>
      <c r="O521" s="55"/>
      <c r="P521" s="55"/>
      <c r="Q521" s="56"/>
      <c r="R521" s="56"/>
      <c r="S521" s="56"/>
      <c r="T521" s="56"/>
      <c r="U521" s="56"/>
      <c r="V521" s="56"/>
      <c r="W521" s="56"/>
      <c r="X521" s="56"/>
      <c r="Y521" s="56"/>
      <c r="Z521" s="59"/>
    </row>
    <row r="522">
      <c r="A522" s="55"/>
      <c r="B522" s="55"/>
      <c r="C522" s="55"/>
      <c r="D522" s="55"/>
      <c r="E522" s="55"/>
      <c r="F522" s="55"/>
      <c r="G522" s="55"/>
      <c r="H522" s="55"/>
      <c r="I522" s="55"/>
      <c r="J522" s="55"/>
      <c r="K522" s="55"/>
      <c r="L522" s="55"/>
      <c r="M522" s="55"/>
      <c r="N522" s="55"/>
      <c r="O522" s="55"/>
      <c r="P522" s="55"/>
      <c r="Q522" s="56"/>
      <c r="R522" s="56"/>
      <c r="S522" s="56"/>
      <c r="T522" s="56"/>
      <c r="U522" s="56"/>
      <c r="V522" s="56"/>
      <c r="W522" s="56"/>
      <c r="X522" s="56"/>
      <c r="Y522" s="56"/>
      <c r="Z522" s="59"/>
    </row>
    <row r="523">
      <c r="A523" s="55"/>
      <c r="B523" s="55"/>
      <c r="C523" s="55"/>
      <c r="D523" s="55"/>
      <c r="E523" s="55"/>
      <c r="F523" s="55"/>
      <c r="G523" s="55"/>
      <c r="H523" s="55"/>
      <c r="I523" s="55"/>
      <c r="J523" s="55"/>
      <c r="K523" s="55"/>
      <c r="L523" s="55"/>
      <c r="M523" s="55"/>
      <c r="N523" s="55"/>
      <c r="O523" s="55"/>
      <c r="P523" s="55"/>
      <c r="Q523" s="56"/>
      <c r="R523" s="56"/>
      <c r="S523" s="56"/>
      <c r="T523" s="56"/>
      <c r="U523" s="56"/>
      <c r="V523" s="56"/>
      <c r="W523" s="56"/>
      <c r="X523" s="56"/>
      <c r="Y523" s="56"/>
      <c r="Z523" s="59"/>
    </row>
    <row r="524">
      <c r="A524" s="55"/>
      <c r="B524" s="55"/>
      <c r="C524" s="55"/>
      <c r="D524" s="55"/>
      <c r="E524" s="55"/>
      <c r="F524" s="55"/>
      <c r="G524" s="55"/>
      <c r="H524" s="55"/>
      <c r="I524" s="55"/>
      <c r="J524" s="55"/>
      <c r="K524" s="55"/>
      <c r="L524" s="55"/>
      <c r="M524" s="55"/>
      <c r="N524" s="55"/>
      <c r="O524" s="55"/>
      <c r="P524" s="55"/>
      <c r="Q524" s="56"/>
      <c r="R524" s="56"/>
      <c r="S524" s="56"/>
      <c r="T524" s="56"/>
      <c r="U524" s="56"/>
      <c r="V524" s="56"/>
      <c r="W524" s="56"/>
      <c r="X524" s="56"/>
      <c r="Y524" s="56"/>
      <c r="Z524" s="59"/>
    </row>
    <row r="525">
      <c r="A525" s="55"/>
      <c r="B525" s="55"/>
      <c r="C525" s="55"/>
      <c r="D525" s="55"/>
      <c r="E525" s="55"/>
      <c r="F525" s="55"/>
      <c r="G525" s="55"/>
      <c r="H525" s="55"/>
      <c r="I525" s="55"/>
      <c r="J525" s="55"/>
      <c r="K525" s="55"/>
      <c r="L525" s="55"/>
      <c r="M525" s="55"/>
      <c r="N525" s="55"/>
      <c r="O525" s="55"/>
      <c r="P525" s="55"/>
      <c r="Q525" s="56"/>
      <c r="R525" s="56"/>
      <c r="S525" s="56"/>
      <c r="T525" s="56"/>
      <c r="U525" s="56"/>
      <c r="V525" s="56"/>
      <c r="W525" s="56"/>
      <c r="X525" s="56"/>
      <c r="Y525" s="56"/>
      <c r="Z525" s="59"/>
    </row>
    <row r="526">
      <c r="A526" s="55"/>
      <c r="B526" s="55"/>
      <c r="C526" s="55"/>
      <c r="D526" s="55"/>
      <c r="E526" s="55"/>
      <c r="F526" s="55"/>
      <c r="G526" s="55"/>
      <c r="H526" s="55"/>
      <c r="I526" s="55"/>
      <c r="J526" s="55"/>
      <c r="K526" s="55"/>
      <c r="L526" s="55"/>
      <c r="M526" s="55"/>
      <c r="N526" s="55"/>
      <c r="O526" s="55"/>
      <c r="P526" s="55"/>
      <c r="Q526" s="56"/>
      <c r="R526" s="56"/>
      <c r="S526" s="56"/>
      <c r="T526" s="56"/>
      <c r="U526" s="56"/>
      <c r="V526" s="56"/>
      <c r="W526" s="56"/>
      <c r="X526" s="56"/>
      <c r="Y526" s="56"/>
      <c r="Z526" s="59"/>
    </row>
    <row r="527">
      <c r="A527" s="55"/>
      <c r="B527" s="55"/>
      <c r="C527" s="55"/>
      <c r="D527" s="55"/>
      <c r="E527" s="55"/>
      <c r="F527" s="55"/>
      <c r="G527" s="55"/>
      <c r="H527" s="55"/>
      <c r="I527" s="55"/>
      <c r="J527" s="55"/>
      <c r="K527" s="55"/>
      <c r="L527" s="55"/>
      <c r="M527" s="55"/>
      <c r="N527" s="55"/>
      <c r="O527" s="55"/>
      <c r="P527" s="55"/>
      <c r="Q527" s="56"/>
      <c r="R527" s="56"/>
      <c r="S527" s="56"/>
      <c r="T527" s="56"/>
      <c r="U527" s="56"/>
      <c r="V527" s="56"/>
      <c r="W527" s="56"/>
      <c r="X527" s="56"/>
      <c r="Y527" s="56"/>
      <c r="Z527" s="59"/>
    </row>
    <row r="528">
      <c r="A528" s="55"/>
      <c r="B528" s="55"/>
      <c r="C528" s="55"/>
      <c r="D528" s="55"/>
      <c r="E528" s="55"/>
      <c r="F528" s="55"/>
      <c r="G528" s="55"/>
      <c r="H528" s="55"/>
      <c r="I528" s="55"/>
      <c r="J528" s="55"/>
      <c r="K528" s="55"/>
      <c r="L528" s="55"/>
      <c r="M528" s="55"/>
      <c r="N528" s="55"/>
      <c r="O528" s="55"/>
      <c r="P528" s="55"/>
      <c r="Q528" s="56"/>
      <c r="R528" s="56"/>
      <c r="S528" s="56"/>
      <c r="T528" s="56"/>
      <c r="U528" s="56"/>
      <c r="V528" s="56"/>
      <c r="W528" s="56"/>
      <c r="X528" s="56"/>
      <c r="Y528" s="56"/>
      <c r="Z528" s="59"/>
    </row>
    <row r="529">
      <c r="A529" s="55"/>
      <c r="B529" s="55"/>
      <c r="C529" s="55"/>
      <c r="D529" s="55"/>
      <c r="E529" s="55"/>
      <c r="F529" s="55"/>
      <c r="G529" s="55"/>
      <c r="H529" s="55"/>
      <c r="I529" s="55"/>
      <c r="J529" s="55"/>
      <c r="K529" s="55"/>
      <c r="L529" s="55"/>
      <c r="M529" s="55"/>
      <c r="N529" s="55"/>
      <c r="O529" s="55"/>
      <c r="P529" s="55"/>
      <c r="Q529" s="56"/>
      <c r="R529" s="56"/>
      <c r="S529" s="56"/>
      <c r="T529" s="56"/>
      <c r="U529" s="56"/>
      <c r="V529" s="56"/>
      <c r="W529" s="56"/>
      <c r="X529" s="56"/>
      <c r="Y529" s="56"/>
      <c r="Z529" s="59"/>
    </row>
    <row r="530">
      <c r="A530" s="55"/>
      <c r="B530" s="55"/>
      <c r="C530" s="55"/>
      <c r="D530" s="55"/>
      <c r="E530" s="55"/>
      <c r="F530" s="55"/>
      <c r="G530" s="55"/>
      <c r="H530" s="55"/>
      <c r="I530" s="55"/>
      <c r="J530" s="55"/>
      <c r="K530" s="55"/>
      <c r="L530" s="55"/>
      <c r="M530" s="55"/>
      <c r="N530" s="55"/>
      <c r="O530" s="55"/>
      <c r="P530" s="55"/>
      <c r="Q530" s="56"/>
      <c r="R530" s="56"/>
      <c r="S530" s="56"/>
      <c r="T530" s="56"/>
      <c r="U530" s="56"/>
      <c r="V530" s="56"/>
      <c r="W530" s="56"/>
      <c r="X530" s="56"/>
      <c r="Y530" s="56"/>
      <c r="Z530" s="59"/>
    </row>
    <row r="531">
      <c r="A531" s="55"/>
      <c r="B531" s="55"/>
      <c r="C531" s="55"/>
      <c r="D531" s="55"/>
      <c r="E531" s="55"/>
      <c r="F531" s="55"/>
      <c r="G531" s="55"/>
      <c r="H531" s="55"/>
      <c r="I531" s="55"/>
      <c r="J531" s="55"/>
      <c r="K531" s="55"/>
      <c r="L531" s="55"/>
      <c r="M531" s="55"/>
      <c r="N531" s="55"/>
      <c r="O531" s="55"/>
      <c r="P531" s="55"/>
      <c r="Q531" s="56"/>
      <c r="R531" s="56"/>
      <c r="S531" s="56"/>
      <c r="T531" s="56"/>
      <c r="U531" s="56"/>
      <c r="V531" s="56"/>
      <c r="W531" s="56"/>
      <c r="X531" s="56"/>
      <c r="Y531" s="56"/>
      <c r="Z531" s="59"/>
    </row>
    <row r="532">
      <c r="A532" s="55"/>
      <c r="B532" s="55"/>
      <c r="C532" s="55"/>
      <c r="D532" s="55"/>
      <c r="E532" s="55"/>
      <c r="F532" s="55"/>
      <c r="G532" s="55"/>
      <c r="H532" s="55"/>
      <c r="I532" s="55"/>
      <c r="J532" s="55"/>
      <c r="K532" s="55"/>
      <c r="L532" s="55"/>
      <c r="M532" s="55"/>
      <c r="N532" s="55"/>
      <c r="O532" s="55"/>
      <c r="P532" s="55"/>
      <c r="Q532" s="56"/>
      <c r="R532" s="56"/>
      <c r="S532" s="56"/>
      <c r="T532" s="56"/>
      <c r="U532" s="56"/>
      <c r="V532" s="56"/>
      <c r="W532" s="56"/>
      <c r="X532" s="56"/>
      <c r="Y532" s="56"/>
      <c r="Z532" s="59"/>
    </row>
    <row r="533">
      <c r="A533" s="55"/>
      <c r="B533" s="55"/>
      <c r="C533" s="55"/>
      <c r="D533" s="55"/>
      <c r="E533" s="55"/>
      <c r="F533" s="55"/>
      <c r="G533" s="55"/>
      <c r="H533" s="55"/>
      <c r="I533" s="55"/>
      <c r="J533" s="55"/>
      <c r="K533" s="55"/>
      <c r="L533" s="55"/>
      <c r="M533" s="55"/>
      <c r="N533" s="55"/>
      <c r="O533" s="55"/>
      <c r="P533" s="55"/>
      <c r="Q533" s="56"/>
      <c r="R533" s="56"/>
      <c r="S533" s="56"/>
      <c r="T533" s="56"/>
      <c r="U533" s="56"/>
      <c r="V533" s="56"/>
      <c r="W533" s="56"/>
      <c r="X533" s="56"/>
      <c r="Y533" s="56"/>
      <c r="Z533" s="59"/>
    </row>
    <row r="534">
      <c r="A534" s="55"/>
      <c r="B534" s="55"/>
      <c r="C534" s="55"/>
      <c r="D534" s="55"/>
      <c r="E534" s="55"/>
      <c r="F534" s="55"/>
      <c r="G534" s="55"/>
      <c r="H534" s="55"/>
      <c r="I534" s="55"/>
      <c r="J534" s="55"/>
      <c r="K534" s="55"/>
      <c r="L534" s="55"/>
      <c r="M534" s="55"/>
      <c r="N534" s="55"/>
      <c r="O534" s="55"/>
      <c r="P534" s="55"/>
      <c r="Q534" s="56"/>
      <c r="R534" s="56"/>
      <c r="S534" s="56"/>
      <c r="T534" s="56"/>
      <c r="U534" s="56"/>
      <c r="V534" s="56"/>
      <c r="W534" s="56"/>
      <c r="X534" s="56"/>
      <c r="Y534" s="56"/>
      <c r="Z534" s="59"/>
    </row>
    <row r="535">
      <c r="A535" s="55"/>
      <c r="B535" s="55"/>
      <c r="C535" s="55"/>
      <c r="D535" s="55"/>
      <c r="E535" s="55"/>
      <c r="F535" s="55"/>
      <c r="G535" s="55"/>
      <c r="H535" s="55"/>
      <c r="I535" s="55"/>
      <c r="J535" s="55"/>
      <c r="K535" s="55"/>
      <c r="L535" s="55"/>
      <c r="M535" s="55"/>
      <c r="N535" s="55"/>
      <c r="O535" s="55"/>
      <c r="P535" s="55"/>
      <c r="Q535" s="56"/>
      <c r="R535" s="56"/>
      <c r="S535" s="56"/>
      <c r="T535" s="56"/>
      <c r="U535" s="56"/>
      <c r="V535" s="56"/>
      <c r="W535" s="56"/>
      <c r="X535" s="56"/>
      <c r="Y535" s="56"/>
      <c r="Z535" s="59"/>
    </row>
    <row r="536">
      <c r="A536" s="55"/>
      <c r="B536" s="55"/>
      <c r="C536" s="55"/>
      <c r="D536" s="55"/>
      <c r="E536" s="55"/>
      <c r="F536" s="55"/>
      <c r="G536" s="55"/>
      <c r="H536" s="55"/>
      <c r="I536" s="55"/>
      <c r="J536" s="55"/>
      <c r="K536" s="55"/>
      <c r="L536" s="55"/>
      <c r="M536" s="55"/>
      <c r="N536" s="55"/>
      <c r="O536" s="55"/>
      <c r="P536" s="55"/>
      <c r="Q536" s="56"/>
      <c r="R536" s="56"/>
      <c r="S536" s="56"/>
      <c r="T536" s="56"/>
      <c r="U536" s="56"/>
      <c r="V536" s="56"/>
      <c r="W536" s="56"/>
      <c r="X536" s="56"/>
      <c r="Y536" s="56"/>
      <c r="Z536" s="59"/>
    </row>
    <row r="537">
      <c r="A537" s="55"/>
      <c r="B537" s="55"/>
      <c r="C537" s="55"/>
      <c r="D537" s="55"/>
      <c r="E537" s="55"/>
      <c r="F537" s="55"/>
      <c r="G537" s="55"/>
      <c r="H537" s="55"/>
      <c r="I537" s="55"/>
      <c r="J537" s="55"/>
      <c r="K537" s="55"/>
      <c r="L537" s="55"/>
      <c r="M537" s="55"/>
      <c r="N537" s="55"/>
      <c r="O537" s="55"/>
      <c r="P537" s="55"/>
      <c r="Q537" s="56"/>
      <c r="R537" s="56"/>
      <c r="S537" s="56"/>
      <c r="T537" s="56"/>
      <c r="U537" s="56"/>
      <c r="V537" s="56"/>
      <c r="W537" s="56"/>
      <c r="X537" s="56"/>
      <c r="Y537" s="56"/>
      <c r="Z537" s="59"/>
    </row>
    <row r="538">
      <c r="A538" s="55"/>
      <c r="B538" s="55"/>
      <c r="C538" s="55"/>
      <c r="D538" s="55"/>
      <c r="E538" s="55"/>
      <c r="F538" s="55"/>
      <c r="G538" s="55"/>
      <c r="H538" s="55"/>
      <c r="I538" s="55"/>
      <c r="J538" s="55"/>
      <c r="K538" s="55"/>
      <c r="L538" s="55"/>
      <c r="M538" s="55"/>
      <c r="N538" s="55"/>
      <c r="O538" s="55"/>
      <c r="P538" s="55"/>
      <c r="Q538" s="56"/>
      <c r="R538" s="56"/>
      <c r="S538" s="56"/>
      <c r="T538" s="56"/>
      <c r="U538" s="56"/>
      <c r="V538" s="56"/>
      <c r="W538" s="56"/>
      <c r="X538" s="56"/>
      <c r="Y538" s="56"/>
      <c r="Z538" s="59"/>
    </row>
    <row r="539">
      <c r="A539" s="55"/>
      <c r="B539" s="55"/>
      <c r="C539" s="55"/>
      <c r="D539" s="55"/>
      <c r="E539" s="55"/>
      <c r="F539" s="55"/>
      <c r="G539" s="55"/>
      <c r="H539" s="55"/>
      <c r="I539" s="55"/>
      <c r="J539" s="55"/>
      <c r="K539" s="55"/>
      <c r="L539" s="55"/>
      <c r="M539" s="55"/>
      <c r="N539" s="55"/>
      <c r="O539" s="55"/>
      <c r="P539" s="55"/>
      <c r="Q539" s="56"/>
      <c r="R539" s="56"/>
      <c r="S539" s="56"/>
      <c r="T539" s="56"/>
      <c r="U539" s="56"/>
      <c r="V539" s="56"/>
      <c r="W539" s="56"/>
      <c r="X539" s="56"/>
      <c r="Y539" s="56"/>
      <c r="Z539" s="59"/>
    </row>
    <row r="540">
      <c r="A540" s="55"/>
      <c r="B540" s="55"/>
      <c r="C540" s="55"/>
      <c r="D540" s="55"/>
      <c r="E540" s="55"/>
      <c r="F540" s="55"/>
      <c r="G540" s="55"/>
      <c r="H540" s="55"/>
      <c r="I540" s="55"/>
      <c r="J540" s="55"/>
      <c r="K540" s="55"/>
      <c r="L540" s="55"/>
      <c r="M540" s="55"/>
      <c r="N540" s="55"/>
      <c r="O540" s="55"/>
      <c r="P540" s="55"/>
      <c r="Q540" s="56"/>
      <c r="R540" s="56"/>
      <c r="S540" s="56"/>
      <c r="T540" s="56"/>
      <c r="U540" s="56"/>
      <c r="V540" s="56"/>
      <c r="W540" s="56"/>
      <c r="X540" s="56"/>
      <c r="Y540" s="56"/>
      <c r="Z540" s="59"/>
    </row>
    <row r="541">
      <c r="A541" s="55"/>
      <c r="B541" s="55"/>
      <c r="C541" s="55"/>
      <c r="D541" s="55"/>
      <c r="E541" s="55"/>
      <c r="F541" s="55"/>
      <c r="G541" s="55"/>
      <c r="H541" s="55"/>
      <c r="I541" s="55"/>
      <c r="J541" s="55"/>
      <c r="K541" s="55"/>
      <c r="L541" s="55"/>
      <c r="M541" s="55"/>
      <c r="N541" s="55"/>
      <c r="O541" s="55"/>
      <c r="P541" s="55"/>
      <c r="Q541" s="56"/>
      <c r="R541" s="56"/>
      <c r="S541" s="56"/>
      <c r="T541" s="56"/>
      <c r="U541" s="56"/>
      <c r="V541" s="56"/>
      <c r="W541" s="56"/>
      <c r="X541" s="56"/>
      <c r="Y541" s="56"/>
      <c r="Z541" s="59"/>
    </row>
    <row r="542">
      <c r="A542" s="55"/>
      <c r="B542" s="55"/>
      <c r="C542" s="55"/>
      <c r="D542" s="55"/>
      <c r="E542" s="55"/>
      <c r="F542" s="55"/>
      <c r="G542" s="55"/>
      <c r="H542" s="55"/>
      <c r="I542" s="55"/>
      <c r="J542" s="55"/>
      <c r="K542" s="55"/>
      <c r="L542" s="55"/>
      <c r="M542" s="55"/>
      <c r="N542" s="55"/>
      <c r="O542" s="55"/>
      <c r="P542" s="55"/>
      <c r="Q542" s="56"/>
      <c r="R542" s="56"/>
      <c r="S542" s="56"/>
      <c r="T542" s="56"/>
      <c r="U542" s="56"/>
      <c r="V542" s="56"/>
      <c r="W542" s="56"/>
      <c r="X542" s="56"/>
      <c r="Y542" s="56"/>
      <c r="Z542" s="59"/>
    </row>
    <row r="543">
      <c r="A543" s="55"/>
      <c r="B543" s="55"/>
      <c r="C543" s="55"/>
      <c r="D543" s="55"/>
      <c r="E543" s="55"/>
      <c r="F543" s="55"/>
      <c r="G543" s="55"/>
      <c r="H543" s="55"/>
      <c r="I543" s="55"/>
      <c r="J543" s="55"/>
      <c r="K543" s="55"/>
      <c r="L543" s="55"/>
      <c r="M543" s="55"/>
      <c r="N543" s="55"/>
      <c r="O543" s="55"/>
      <c r="P543" s="55"/>
      <c r="Q543" s="56"/>
      <c r="R543" s="56"/>
      <c r="S543" s="56"/>
      <c r="T543" s="56"/>
      <c r="U543" s="56"/>
      <c r="V543" s="56"/>
      <c r="W543" s="56"/>
      <c r="X543" s="56"/>
      <c r="Y543" s="56"/>
      <c r="Z543" s="59"/>
    </row>
    <row r="544">
      <c r="A544" s="55"/>
      <c r="B544" s="55"/>
      <c r="C544" s="55"/>
      <c r="D544" s="55"/>
      <c r="E544" s="55"/>
      <c r="F544" s="55"/>
      <c r="G544" s="55"/>
      <c r="H544" s="55"/>
      <c r="I544" s="55"/>
      <c r="J544" s="55"/>
      <c r="K544" s="55"/>
      <c r="L544" s="55"/>
      <c r="M544" s="55"/>
      <c r="N544" s="55"/>
      <c r="O544" s="55"/>
      <c r="P544" s="55"/>
      <c r="Q544" s="56"/>
      <c r="R544" s="56"/>
      <c r="S544" s="56"/>
      <c r="T544" s="56"/>
      <c r="U544" s="56"/>
      <c r="V544" s="56"/>
      <c r="W544" s="56"/>
      <c r="X544" s="56"/>
      <c r="Y544" s="56"/>
      <c r="Z544" s="59"/>
    </row>
    <row r="545">
      <c r="A545" s="55"/>
      <c r="B545" s="55"/>
      <c r="C545" s="55"/>
      <c r="D545" s="55"/>
      <c r="E545" s="55"/>
      <c r="F545" s="55"/>
      <c r="G545" s="55"/>
      <c r="H545" s="55"/>
      <c r="I545" s="55"/>
      <c r="J545" s="55"/>
      <c r="K545" s="55"/>
      <c r="L545" s="55"/>
      <c r="M545" s="55"/>
      <c r="N545" s="55"/>
      <c r="O545" s="55"/>
      <c r="P545" s="55"/>
      <c r="Q545" s="56"/>
      <c r="R545" s="56"/>
      <c r="S545" s="56"/>
      <c r="T545" s="56"/>
      <c r="U545" s="56"/>
      <c r="V545" s="56"/>
      <c r="W545" s="56"/>
      <c r="X545" s="56"/>
      <c r="Y545" s="56"/>
      <c r="Z545" s="59"/>
    </row>
    <row r="546">
      <c r="A546" s="55"/>
      <c r="B546" s="55"/>
      <c r="C546" s="55"/>
      <c r="D546" s="55"/>
      <c r="E546" s="55"/>
      <c r="F546" s="55"/>
      <c r="G546" s="55"/>
      <c r="H546" s="55"/>
      <c r="I546" s="55"/>
      <c r="J546" s="55"/>
      <c r="K546" s="55"/>
      <c r="L546" s="55"/>
      <c r="M546" s="55"/>
      <c r="N546" s="55"/>
      <c r="O546" s="55"/>
      <c r="P546" s="55"/>
      <c r="Q546" s="56"/>
      <c r="R546" s="56"/>
      <c r="S546" s="56"/>
      <c r="T546" s="56"/>
      <c r="U546" s="56"/>
      <c r="V546" s="56"/>
      <c r="W546" s="56"/>
      <c r="X546" s="56"/>
      <c r="Y546" s="56"/>
      <c r="Z546" s="59"/>
    </row>
    <row r="547">
      <c r="A547" s="55"/>
      <c r="B547" s="55"/>
      <c r="C547" s="55"/>
      <c r="D547" s="55"/>
      <c r="E547" s="55"/>
      <c r="F547" s="55"/>
      <c r="G547" s="55"/>
      <c r="H547" s="55"/>
      <c r="I547" s="55"/>
      <c r="J547" s="55"/>
      <c r="K547" s="55"/>
      <c r="L547" s="55"/>
      <c r="M547" s="55"/>
      <c r="N547" s="55"/>
      <c r="O547" s="55"/>
      <c r="P547" s="55"/>
      <c r="Q547" s="56"/>
      <c r="R547" s="56"/>
      <c r="S547" s="56"/>
      <c r="T547" s="56"/>
      <c r="U547" s="56"/>
      <c r="V547" s="56"/>
      <c r="W547" s="56"/>
      <c r="X547" s="56"/>
      <c r="Y547" s="56"/>
      <c r="Z547" s="59"/>
    </row>
    <row r="548">
      <c r="A548" s="55"/>
      <c r="B548" s="55"/>
      <c r="C548" s="55"/>
      <c r="D548" s="55"/>
      <c r="E548" s="55"/>
      <c r="F548" s="55"/>
      <c r="G548" s="55"/>
      <c r="H548" s="55"/>
      <c r="I548" s="55"/>
      <c r="J548" s="55"/>
      <c r="K548" s="55"/>
      <c r="L548" s="55"/>
      <c r="M548" s="55"/>
      <c r="N548" s="55"/>
      <c r="O548" s="55"/>
      <c r="P548" s="55"/>
      <c r="Q548" s="56"/>
      <c r="R548" s="56"/>
      <c r="S548" s="56"/>
      <c r="T548" s="56"/>
      <c r="U548" s="56"/>
      <c r="V548" s="56"/>
      <c r="W548" s="56"/>
      <c r="X548" s="56"/>
      <c r="Y548" s="56"/>
      <c r="Z548" s="59"/>
    </row>
    <row r="549">
      <c r="A549" s="55"/>
      <c r="B549" s="55"/>
      <c r="C549" s="55"/>
      <c r="D549" s="55"/>
      <c r="E549" s="55"/>
      <c r="F549" s="55"/>
      <c r="G549" s="55"/>
      <c r="H549" s="55"/>
      <c r="I549" s="55"/>
      <c r="J549" s="55"/>
      <c r="K549" s="55"/>
      <c r="L549" s="55"/>
      <c r="M549" s="55"/>
      <c r="N549" s="55"/>
      <c r="O549" s="55"/>
      <c r="P549" s="55"/>
      <c r="Q549" s="56"/>
      <c r="R549" s="56"/>
      <c r="S549" s="56"/>
      <c r="T549" s="56"/>
      <c r="U549" s="56"/>
      <c r="V549" s="56"/>
      <c r="W549" s="56"/>
      <c r="X549" s="56"/>
      <c r="Y549" s="56"/>
      <c r="Z549" s="59"/>
    </row>
    <row r="550">
      <c r="A550" s="55"/>
      <c r="B550" s="55"/>
      <c r="C550" s="55"/>
      <c r="D550" s="55"/>
      <c r="E550" s="55"/>
      <c r="F550" s="55"/>
      <c r="G550" s="55"/>
      <c r="H550" s="55"/>
      <c r="I550" s="55"/>
      <c r="J550" s="55"/>
      <c r="K550" s="55"/>
      <c r="L550" s="55"/>
      <c r="M550" s="55"/>
      <c r="N550" s="55"/>
      <c r="O550" s="55"/>
      <c r="P550" s="55"/>
      <c r="Q550" s="56"/>
      <c r="R550" s="56"/>
      <c r="S550" s="56"/>
      <c r="T550" s="56"/>
      <c r="U550" s="56"/>
      <c r="V550" s="56"/>
      <c r="W550" s="56"/>
      <c r="X550" s="56"/>
      <c r="Y550" s="56"/>
      <c r="Z550" s="59"/>
    </row>
    <row r="551">
      <c r="A551" s="55"/>
      <c r="B551" s="55"/>
      <c r="C551" s="55"/>
      <c r="D551" s="55"/>
      <c r="E551" s="55"/>
      <c r="F551" s="55"/>
      <c r="G551" s="55"/>
      <c r="H551" s="55"/>
      <c r="I551" s="55"/>
      <c r="J551" s="55"/>
      <c r="K551" s="55"/>
      <c r="L551" s="55"/>
      <c r="M551" s="55"/>
      <c r="N551" s="55"/>
      <c r="O551" s="55"/>
      <c r="P551" s="55"/>
      <c r="Q551" s="56"/>
      <c r="R551" s="56"/>
      <c r="S551" s="56"/>
      <c r="T551" s="56"/>
      <c r="U551" s="56"/>
      <c r="V551" s="56"/>
      <c r="W551" s="56"/>
      <c r="X551" s="56"/>
      <c r="Y551" s="56"/>
      <c r="Z551" s="59"/>
    </row>
    <row r="552">
      <c r="A552" s="55"/>
      <c r="B552" s="55"/>
      <c r="C552" s="55"/>
      <c r="D552" s="55"/>
      <c r="E552" s="55"/>
      <c r="F552" s="55"/>
      <c r="G552" s="55"/>
      <c r="H552" s="55"/>
      <c r="I552" s="55"/>
      <c r="J552" s="55"/>
      <c r="K552" s="55"/>
      <c r="L552" s="55"/>
      <c r="M552" s="55"/>
      <c r="N552" s="55"/>
      <c r="O552" s="55"/>
      <c r="P552" s="55"/>
      <c r="Q552" s="56"/>
      <c r="R552" s="56"/>
      <c r="S552" s="56"/>
      <c r="T552" s="56"/>
      <c r="U552" s="56"/>
      <c r="V552" s="56"/>
      <c r="W552" s="56"/>
      <c r="X552" s="56"/>
      <c r="Y552" s="56"/>
      <c r="Z552" s="59"/>
    </row>
    <row r="553">
      <c r="A553" s="55"/>
      <c r="B553" s="55"/>
      <c r="C553" s="55"/>
      <c r="D553" s="55"/>
      <c r="E553" s="55"/>
      <c r="F553" s="55"/>
      <c r="G553" s="55"/>
      <c r="H553" s="55"/>
      <c r="I553" s="55"/>
      <c r="J553" s="55"/>
      <c r="K553" s="55"/>
      <c r="L553" s="55"/>
      <c r="M553" s="55"/>
      <c r="N553" s="55"/>
      <c r="O553" s="55"/>
      <c r="P553" s="55"/>
      <c r="Q553" s="56"/>
      <c r="R553" s="56"/>
      <c r="S553" s="56"/>
      <c r="T553" s="56"/>
      <c r="U553" s="56"/>
      <c r="V553" s="56"/>
      <c r="W553" s="56"/>
      <c r="X553" s="56"/>
      <c r="Y553" s="56"/>
      <c r="Z553" s="59"/>
    </row>
    <row r="554">
      <c r="A554" s="55"/>
      <c r="B554" s="55"/>
      <c r="C554" s="55"/>
      <c r="D554" s="55"/>
      <c r="E554" s="55"/>
      <c r="F554" s="55"/>
      <c r="G554" s="55"/>
      <c r="H554" s="55"/>
      <c r="I554" s="55"/>
      <c r="J554" s="55"/>
      <c r="K554" s="55"/>
      <c r="L554" s="55"/>
      <c r="M554" s="55"/>
      <c r="N554" s="55"/>
      <c r="O554" s="55"/>
      <c r="P554" s="55"/>
      <c r="Q554" s="56"/>
      <c r="R554" s="56"/>
      <c r="S554" s="56"/>
      <c r="T554" s="56"/>
      <c r="U554" s="56"/>
      <c r="V554" s="56"/>
      <c r="W554" s="56"/>
      <c r="X554" s="56"/>
      <c r="Y554" s="56"/>
      <c r="Z554" s="59"/>
    </row>
    <row r="555">
      <c r="A555" s="55"/>
      <c r="B555" s="55"/>
      <c r="C555" s="55"/>
      <c r="D555" s="55"/>
      <c r="E555" s="55"/>
      <c r="F555" s="55"/>
      <c r="G555" s="55"/>
      <c r="H555" s="55"/>
      <c r="I555" s="55"/>
      <c r="J555" s="55"/>
      <c r="K555" s="55"/>
      <c r="L555" s="55"/>
      <c r="M555" s="55"/>
      <c r="N555" s="55"/>
      <c r="O555" s="55"/>
      <c r="P555" s="55"/>
      <c r="Q555" s="56"/>
      <c r="R555" s="56"/>
      <c r="S555" s="56"/>
      <c r="T555" s="56"/>
      <c r="U555" s="56"/>
      <c r="V555" s="56"/>
      <c r="W555" s="56"/>
      <c r="X555" s="56"/>
      <c r="Y555" s="56"/>
      <c r="Z555" s="59"/>
    </row>
    <row r="556">
      <c r="A556" s="55"/>
      <c r="B556" s="55"/>
      <c r="C556" s="55"/>
      <c r="D556" s="55"/>
      <c r="E556" s="55"/>
      <c r="F556" s="55"/>
      <c r="G556" s="55"/>
      <c r="H556" s="55"/>
      <c r="I556" s="55"/>
      <c r="J556" s="55"/>
      <c r="K556" s="55"/>
      <c r="L556" s="55"/>
      <c r="M556" s="55"/>
      <c r="N556" s="55"/>
      <c r="O556" s="55"/>
      <c r="P556" s="55"/>
      <c r="Q556" s="56"/>
      <c r="R556" s="56"/>
      <c r="S556" s="56"/>
      <c r="T556" s="56"/>
      <c r="U556" s="56"/>
      <c r="V556" s="56"/>
      <c r="W556" s="56"/>
      <c r="X556" s="56"/>
      <c r="Y556" s="56"/>
      <c r="Z556" s="59"/>
    </row>
    <row r="557">
      <c r="A557" s="55"/>
      <c r="B557" s="55"/>
      <c r="C557" s="55"/>
      <c r="D557" s="55"/>
      <c r="E557" s="55"/>
      <c r="F557" s="55"/>
      <c r="G557" s="55"/>
      <c r="H557" s="55"/>
      <c r="I557" s="55"/>
      <c r="J557" s="55"/>
      <c r="K557" s="55"/>
      <c r="L557" s="55"/>
      <c r="M557" s="55"/>
      <c r="N557" s="55"/>
      <c r="O557" s="55"/>
      <c r="P557" s="55"/>
      <c r="Q557" s="56"/>
      <c r="R557" s="56"/>
      <c r="S557" s="56"/>
      <c r="T557" s="56"/>
      <c r="U557" s="56"/>
      <c r="V557" s="56"/>
      <c r="W557" s="56"/>
      <c r="X557" s="56"/>
      <c r="Y557" s="56"/>
      <c r="Z557" s="59"/>
    </row>
    <row r="558">
      <c r="A558" s="55"/>
      <c r="B558" s="55"/>
      <c r="C558" s="55"/>
      <c r="D558" s="55"/>
      <c r="E558" s="55"/>
      <c r="F558" s="55"/>
      <c r="G558" s="55"/>
      <c r="H558" s="55"/>
      <c r="I558" s="55"/>
      <c r="J558" s="55"/>
      <c r="K558" s="55"/>
      <c r="L558" s="55"/>
      <c r="M558" s="55"/>
      <c r="N558" s="55"/>
      <c r="O558" s="55"/>
      <c r="P558" s="55"/>
      <c r="Q558" s="56"/>
      <c r="R558" s="56"/>
      <c r="S558" s="56"/>
      <c r="T558" s="56"/>
      <c r="U558" s="56"/>
      <c r="V558" s="56"/>
      <c r="W558" s="56"/>
      <c r="X558" s="56"/>
      <c r="Y558" s="56"/>
      <c r="Z558" s="59"/>
    </row>
    <row r="559">
      <c r="A559" s="55"/>
      <c r="B559" s="55"/>
      <c r="C559" s="55"/>
      <c r="D559" s="55"/>
      <c r="E559" s="55"/>
      <c r="F559" s="55"/>
      <c r="G559" s="55"/>
      <c r="H559" s="55"/>
      <c r="I559" s="55"/>
      <c r="J559" s="55"/>
      <c r="K559" s="55"/>
      <c r="L559" s="55"/>
      <c r="M559" s="55"/>
      <c r="N559" s="55"/>
      <c r="O559" s="55"/>
      <c r="P559" s="55"/>
      <c r="Q559" s="56"/>
      <c r="R559" s="56"/>
      <c r="S559" s="56"/>
      <c r="T559" s="56"/>
      <c r="U559" s="56"/>
      <c r="V559" s="56"/>
      <c r="W559" s="56"/>
      <c r="X559" s="56"/>
      <c r="Y559" s="56"/>
      <c r="Z559" s="59"/>
    </row>
    <row r="560">
      <c r="A560" s="55"/>
      <c r="B560" s="55"/>
      <c r="C560" s="55"/>
      <c r="D560" s="55"/>
      <c r="E560" s="55"/>
      <c r="F560" s="55"/>
      <c r="G560" s="55"/>
      <c r="H560" s="55"/>
      <c r="I560" s="55"/>
      <c r="J560" s="55"/>
      <c r="K560" s="55"/>
      <c r="L560" s="55"/>
      <c r="M560" s="55"/>
      <c r="N560" s="55"/>
      <c r="O560" s="55"/>
      <c r="P560" s="55"/>
      <c r="Q560" s="56"/>
      <c r="R560" s="56"/>
      <c r="S560" s="56"/>
      <c r="T560" s="56"/>
      <c r="U560" s="56"/>
      <c r="V560" s="56"/>
      <c r="W560" s="56"/>
      <c r="X560" s="56"/>
      <c r="Y560" s="56"/>
      <c r="Z560" s="59"/>
    </row>
    <row r="561">
      <c r="A561" s="55"/>
      <c r="B561" s="55"/>
      <c r="C561" s="55"/>
      <c r="D561" s="55"/>
      <c r="E561" s="55"/>
      <c r="F561" s="55"/>
      <c r="G561" s="55"/>
      <c r="H561" s="55"/>
      <c r="I561" s="55"/>
      <c r="J561" s="55"/>
      <c r="K561" s="55"/>
      <c r="L561" s="55"/>
      <c r="M561" s="55"/>
      <c r="N561" s="55"/>
      <c r="O561" s="55"/>
      <c r="P561" s="55"/>
      <c r="Q561" s="56"/>
      <c r="R561" s="56"/>
      <c r="S561" s="56"/>
      <c r="T561" s="56"/>
      <c r="U561" s="56"/>
      <c r="V561" s="56"/>
      <c r="W561" s="56"/>
      <c r="X561" s="56"/>
      <c r="Y561" s="56"/>
      <c r="Z561" s="59"/>
    </row>
    <row r="562">
      <c r="A562" s="55"/>
      <c r="B562" s="55"/>
      <c r="C562" s="55"/>
      <c r="D562" s="55"/>
      <c r="E562" s="55"/>
      <c r="F562" s="55"/>
      <c r="G562" s="55"/>
      <c r="H562" s="55"/>
      <c r="I562" s="55"/>
      <c r="J562" s="55"/>
      <c r="K562" s="55"/>
      <c r="L562" s="55"/>
      <c r="M562" s="55"/>
      <c r="N562" s="55"/>
      <c r="O562" s="55"/>
      <c r="P562" s="55"/>
      <c r="Q562" s="56"/>
      <c r="R562" s="56"/>
      <c r="S562" s="56"/>
      <c r="T562" s="56"/>
      <c r="U562" s="56"/>
      <c r="V562" s="56"/>
      <c r="W562" s="56"/>
      <c r="X562" s="56"/>
      <c r="Y562" s="56"/>
      <c r="Z562" s="59"/>
    </row>
    <row r="563">
      <c r="A563" s="55"/>
      <c r="B563" s="55"/>
      <c r="C563" s="55"/>
      <c r="D563" s="55"/>
      <c r="E563" s="55"/>
      <c r="F563" s="55"/>
      <c r="G563" s="55"/>
      <c r="H563" s="55"/>
      <c r="I563" s="55"/>
      <c r="J563" s="55"/>
      <c r="K563" s="55"/>
      <c r="L563" s="55"/>
      <c r="M563" s="55"/>
      <c r="N563" s="55"/>
      <c r="O563" s="55"/>
      <c r="P563" s="55"/>
      <c r="Q563" s="56"/>
      <c r="R563" s="56"/>
      <c r="S563" s="56"/>
      <c r="T563" s="56"/>
      <c r="U563" s="56"/>
      <c r="V563" s="56"/>
      <c r="W563" s="56"/>
      <c r="X563" s="56"/>
      <c r="Y563" s="56"/>
      <c r="Z563" s="59"/>
    </row>
    <row r="564">
      <c r="A564" s="55"/>
      <c r="B564" s="55"/>
      <c r="C564" s="55"/>
      <c r="D564" s="55"/>
      <c r="E564" s="55"/>
      <c r="F564" s="55"/>
      <c r="G564" s="55"/>
      <c r="H564" s="55"/>
      <c r="I564" s="55"/>
      <c r="J564" s="55"/>
      <c r="K564" s="55"/>
      <c r="L564" s="55"/>
      <c r="M564" s="55"/>
      <c r="N564" s="55"/>
      <c r="O564" s="55"/>
      <c r="P564" s="55"/>
      <c r="Q564" s="56"/>
      <c r="R564" s="56"/>
      <c r="S564" s="56"/>
      <c r="T564" s="56"/>
      <c r="U564" s="56"/>
      <c r="V564" s="56"/>
      <c r="W564" s="56"/>
      <c r="X564" s="56"/>
      <c r="Y564" s="56"/>
      <c r="Z564" s="59"/>
    </row>
    <row r="565">
      <c r="A565" s="55"/>
      <c r="B565" s="55"/>
      <c r="C565" s="55"/>
      <c r="D565" s="55"/>
      <c r="E565" s="55"/>
      <c r="F565" s="55"/>
      <c r="G565" s="55"/>
      <c r="H565" s="55"/>
      <c r="I565" s="55"/>
      <c r="J565" s="55"/>
      <c r="K565" s="55"/>
      <c r="L565" s="55"/>
      <c r="M565" s="55"/>
      <c r="N565" s="55"/>
      <c r="O565" s="55"/>
      <c r="P565" s="55"/>
      <c r="Q565" s="56"/>
      <c r="R565" s="56"/>
      <c r="S565" s="56"/>
      <c r="T565" s="56"/>
      <c r="U565" s="56"/>
      <c r="V565" s="56"/>
      <c r="W565" s="56"/>
      <c r="X565" s="56"/>
      <c r="Y565" s="56"/>
      <c r="Z565" s="59"/>
    </row>
    <row r="566">
      <c r="A566" s="55"/>
      <c r="B566" s="55"/>
      <c r="C566" s="55"/>
      <c r="D566" s="55"/>
      <c r="E566" s="55"/>
      <c r="F566" s="55"/>
      <c r="G566" s="55"/>
      <c r="H566" s="55"/>
      <c r="I566" s="55"/>
      <c r="J566" s="55"/>
      <c r="K566" s="55"/>
      <c r="L566" s="55"/>
      <c r="M566" s="55"/>
      <c r="N566" s="55"/>
      <c r="O566" s="55"/>
      <c r="P566" s="55"/>
      <c r="Q566" s="56"/>
      <c r="R566" s="56"/>
      <c r="S566" s="56"/>
      <c r="T566" s="56"/>
      <c r="U566" s="56"/>
      <c r="V566" s="56"/>
      <c r="W566" s="56"/>
      <c r="X566" s="56"/>
      <c r="Y566" s="56"/>
      <c r="Z566" s="59"/>
    </row>
    <row r="567">
      <c r="A567" s="55"/>
      <c r="B567" s="55"/>
      <c r="C567" s="55"/>
      <c r="D567" s="55"/>
      <c r="E567" s="55"/>
      <c r="F567" s="55"/>
      <c r="G567" s="55"/>
      <c r="H567" s="55"/>
      <c r="I567" s="55"/>
      <c r="J567" s="55"/>
      <c r="K567" s="55"/>
      <c r="L567" s="55"/>
      <c r="M567" s="55"/>
      <c r="N567" s="55"/>
      <c r="O567" s="55"/>
      <c r="P567" s="55"/>
      <c r="Q567" s="56"/>
      <c r="R567" s="56"/>
      <c r="S567" s="56"/>
      <c r="T567" s="56"/>
      <c r="U567" s="56"/>
      <c r="V567" s="56"/>
      <c r="W567" s="56"/>
      <c r="X567" s="56"/>
      <c r="Y567" s="56"/>
      <c r="Z567" s="59"/>
    </row>
    <row r="568">
      <c r="A568" s="55"/>
      <c r="B568" s="55"/>
      <c r="C568" s="55"/>
      <c r="D568" s="55"/>
      <c r="E568" s="55"/>
      <c r="F568" s="55"/>
      <c r="G568" s="55"/>
      <c r="H568" s="55"/>
      <c r="I568" s="55"/>
      <c r="J568" s="55"/>
      <c r="K568" s="55"/>
      <c r="L568" s="55"/>
      <c r="M568" s="55"/>
      <c r="N568" s="55"/>
      <c r="O568" s="55"/>
      <c r="P568" s="55"/>
      <c r="Q568" s="56"/>
      <c r="R568" s="56"/>
      <c r="S568" s="56"/>
      <c r="T568" s="56"/>
      <c r="U568" s="56"/>
      <c r="V568" s="56"/>
      <c r="W568" s="56"/>
      <c r="X568" s="56"/>
      <c r="Y568" s="56"/>
      <c r="Z568" s="59"/>
    </row>
    <row r="569">
      <c r="A569" s="55"/>
      <c r="B569" s="55"/>
      <c r="C569" s="55"/>
      <c r="D569" s="55"/>
      <c r="E569" s="55"/>
      <c r="F569" s="55"/>
      <c r="G569" s="55"/>
      <c r="H569" s="55"/>
      <c r="I569" s="55"/>
      <c r="J569" s="55"/>
      <c r="K569" s="55"/>
      <c r="L569" s="55"/>
      <c r="M569" s="55"/>
      <c r="N569" s="55"/>
      <c r="O569" s="55"/>
      <c r="P569" s="55"/>
      <c r="Q569" s="56"/>
      <c r="R569" s="56"/>
      <c r="S569" s="56"/>
      <c r="T569" s="56"/>
      <c r="U569" s="56"/>
      <c r="V569" s="56"/>
      <c r="W569" s="56"/>
      <c r="X569" s="56"/>
      <c r="Y569" s="56"/>
      <c r="Z569" s="59"/>
    </row>
    <row r="570">
      <c r="A570" s="55"/>
      <c r="B570" s="55"/>
      <c r="C570" s="55"/>
      <c r="D570" s="55"/>
      <c r="E570" s="55"/>
      <c r="F570" s="55"/>
      <c r="G570" s="55"/>
      <c r="H570" s="55"/>
      <c r="I570" s="55"/>
      <c r="J570" s="55"/>
      <c r="K570" s="55"/>
      <c r="L570" s="55"/>
      <c r="M570" s="55"/>
      <c r="N570" s="55"/>
      <c r="O570" s="55"/>
      <c r="P570" s="55"/>
      <c r="Q570" s="56"/>
      <c r="R570" s="56"/>
      <c r="S570" s="56"/>
      <c r="T570" s="56"/>
      <c r="U570" s="56"/>
      <c r="V570" s="56"/>
      <c r="W570" s="56"/>
      <c r="X570" s="56"/>
      <c r="Y570" s="56"/>
      <c r="Z570" s="59"/>
    </row>
    <row r="571">
      <c r="A571" s="55"/>
      <c r="B571" s="55"/>
      <c r="C571" s="55"/>
      <c r="D571" s="55"/>
      <c r="E571" s="55"/>
      <c r="F571" s="55"/>
      <c r="G571" s="55"/>
      <c r="H571" s="55"/>
      <c r="I571" s="55"/>
      <c r="J571" s="55"/>
      <c r="K571" s="55"/>
      <c r="L571" s="55"/>
      <c r="M571" s="55"/>
      <c r="N571" s="55"/>
      <c r="O571" s="55"/>
      <c r="P571" s="55"/>
      <c r="Q571" s="56"/>
      <c r="R571" s="56"/>
      <c r="S571" s="56"/>
      <c r="T571" s="56"/>
      <c r="U571" s="56"/>
      <c r="V571" s="56"/>
      <c r="W571" s="56"/>
      <c r="X571" s="56"/>
      <c r="Y571" s="56"/>
      <c r="Z571" s="59"/>
    </row>
    <row r="572">
      <c r="A572" s="55"/>
      <c r="B572" s="55"/>
      <c r="C572" s="55"/>
      <c r="D572" s="55"/>
      <c r="E572" s="55"/>
      <c r="F572" s="55"/>
      <c r="G572" s="55"/>
      <c r="H572" s="55"/>
      <c r="I572" s="55"/>
      <c r="J572" s="55"/>
      <c r="K572" s="55"/>
      <c r="L572" s="55"/>
      <c r="M572" s="55"/>
      <c r="N572" s="55"/>
      <c r="O572" s="55"/>
      <c r="P572" s="55"/>
      <c r="Q572" s="56"/>
      <c r="R572" s="56"/>
      <c r="S572" s="56"/>
      <c r="T572" s="56"/>
      <c r="U572" s="56"/>
      <c r="V572" s="56"/>
      <c r="W572" s="56"/>
      <c r="X572" s="56"/>
      <c r="Y572" s="56"/>
      <c r="Z572" s="59"/>
    </row>
    <row r="573">
      <c r="A573" s="55"/>
      <c r="B573" s="55"/>
      <c r="C573" s="55"/>
      <c r="D573" s="55"/>
      <c r="E573" s="55"/>
      <c r="F573" s="55"/>
      <c r="G573" s="55"/>
      <c r="H573" s="55"/>
      <c r="I573" s="55"/>
      <c r="J573" s="55"/>
      <c r="K573" s="55"/>
      <c r="L573" s="55"/>
      <c r="M573" s="55"/>
      <c r="N573" s="55"/>
      <c r="O573" s="55"/>
      <c r="P573" s="55"/>
      <c r="Q573" s="56"/>
      <c r="R573" s="56"/>
      <c r="S573" s="56"/>
      <c r="T573" s="56"/>
      <c r="U573" s="56"/>
      <c r="V573" s="56"/>
      <c r="W573" s="56"/>
      <c r="X573" s="56"/>
      <c r="Y573" s="56"/>
      <c r="Z573" s="59"/>
    </row>
    <row r="574">
      <c r="A574" s="55"/>
      <c r="B574" s="55"/>
      <c r="C574" s="55"/>
      <c r="D574" s="55"/>
      <c r="E574" s="55"/>
      <c r="F574" s="55"/>
      <c r="G574" s="55"/>
      <c r="H574" s="55"/>
      <c r="I574" s="55"/>
      <c r="J574" s="55"/>
      <c r="K574" s="55"/>
      <c r="L574" s="55"/>
      <c r="M574" s="55"/>
      <c r="N574" s="55"/>
      <c r="O574" s="55"/>
      <c r="P574" s="55"/>
      <c r="Q574" s="56"/>
      <c r="R574" s="56"/>
      <c r="S574" s="56"/>
      <c r="T574" s="56"/>
      <c r="U574" s="56"/>
      <c r="V574" s="56"/>
      <c r="W574" s="56"/>
      <c r="X574" s="56"/>
      <c r="Y574" s="56"/>
      <c r="Z574" s="59"/>
    </row>
    <row r="575">
      <c r="A575" s="55"/>
      <c r="B575" s="55"/>
      <c r="C575" s="55"/>
      <c r="D575" s="55"/>
      <c r="E575" s="55"/>
      <c r="F575" s="55"/>
      <c r="G575" s="55"/>
      <c r="H575" s="55"/>
      <c r="I575" s="55"/>
      <c r="J575" s="55"/>
      <c r="K575" s="55"/>
      <c r="L575" s="55"/>
      <c r="M575" s="55"/>
      <c r="N575" s="55"/>
      <c r="O575" s="55"/>
      <c r="P575" s="55"/>
      <c r="Q575" s="56"/>
      <c r="R575" s="56"/>
      <c r="S575" s="56"/>
      <c r="T575" s="56"/>
      <c r="U575" s="56"/>
      <c r="V575" s="56"/>
      <c r="W575" s="56"/>
      <c r="X575" s="56"/>
      <c r="Y575" s="56"/>
      <c r="Z575" s="59"/>
    </row>
    <row r="576">
      <c r="A576" s="55"/>
      <c r="B576" s="55"/>
      <c r="C576" s="55"/>
      <c r="D576" s="55"/>
      <c r="E576" s="55"/>
      <c r="F576" s="55"/>
      <c r="G576" s="55"/>
      <c r="H576" s="55"/>
      <c r="I576" s="55"/>
      <c r="J576" s="55"/>
      <c r="K576" s="55"/>
      <c r="L576" s="55"/>
      <c r="M576" s="55"/>
      <c r="N576" s="55"/>
      <c r="O576" s="55"/>
      <c r="P576" s="55"/>
      <c r="Q576" s="56"/>
      <c r="R576" s="56"/>
      <c r="S576" s="56"/>
      <c r="T576" s="56"/>
      <c r="U576" s="56"/>
      <c r="V576" s="56"/>
      <c r="W576" s="56"/>
      <c r="X576" s="56"/>
      <c r="Y576" s="56"/>
      <c r="Z576" s="59"/>
    </row>
    <row r="577">
      <c r="A577" s="55"/>
      <c r="B577" s="55"/>
      <c r="C577" s="55"/>
      <c r="D577" s="55"/>
      <c r="E577" s="55"/>
      <c r="F577" s="55"/>
      <c r="G577" s="55"/>
      <c r="H577" s="55"/>
      <c r="I577" s="55"/>
      <c r="J577" s="55"/>
      <c r="K577" s="55"/>
      <c r="L577" s="55"/>
      <c r="M577" s="55"/>
      <c r="N577" s="55"/>
      <c r="O577" s="55"/>
      <c r="P577" s="55"/>
      <c r="Q577" s="56"/>
      <c r="R577" s="56"/>
      <c r="S577" s="56"/>
      <c r="T577" s="56"/>
      <c r="U577" s="56"/>
      <c r="V577" s="56"/>
      <c r="W577" s="56"/>
      <c r="X577" s="56"/>
      <c r="Y577" s="56"/>
      <c r="Z577" s="59"/>
    </row>
    <row r="578">
      <c r="A578" s="55"/>
      <c r="B578" s="55"/>
      <c r="C578" s="55"/>
      <c r="D578" s="55"/>
      <c r="E578" s="55"/>
      <c r="F578" s="55"/>
      <c r="G578" s="55"/>
      <c r="H578" s="55"/>
      <c r="I578" s="55"/>
      <c r="J578" s="55"/>
      <c r="K578" s="55"/>
      <c r="L578" s="55"/>
      <c r="M578" s="55"/>
      <c r="N578" s="55"/>
      <c r="O578" s="55"/>
      <c r="P578" s="55"/>
      <c r="Q578" s="56"/>
      <c r="R578" s="56"/>
      <c r="S578" s="56"/>
      <c r="T578" s="56"/>
      <c r="U578" s="56"/>
      <c r="V578" s="56"/>
      <c r="W578" s="56"/>
      <c r="X578" s="56"/>
      <c r="Y578" s="56"/>
      <c r="Z578" s="59"/>
    </row>
    <row r="579">
      <c r="A579" s="55"/>
      <c r="B579" s="55"/>
      <c r="C579" s="55"/>
      <c r="D579" s="55"/>
      <c r="E579" s="55"/>
      <c r="F579" s="55"/>
      <c r="G579" s="55"/>
      <c r="H579" s="55"/>
      <c r="I579" s="55"/>
      <c r="J579" s="55"/>
      <c r="K579" s="55"/>
      <c r="L579" s="55"/>
      <c r="M579" s="55"/>
      <c r="N579" s="55"/>
      <c r="O579" s="55"/>
      <c r="P579" s="55"/>
      <c r="Q579" s="56"/>
      <c r="R579" s="56"/>
      <c r="S579" s="56"/>
      <c r="T579" s="56"/>
      <c r="U579" s="56"/>
      <c r="V579" s="56"/>
      <c r="W579" s="56"/>
      <c r="X579" s="56"/>
      <c r="Y579" s="56"/>
      <c r="Z579" s="59"/>
    </row>
    <row r="580">
      <c r="A580" s="55"/>
      <c r="B580" s="55"/>
      <c r="C580" s="55"/>
      <c r="D580" s="55"/>
      <c r="E580" s="55"/>
      <c r="F580" s="55"/>
      <c r="G580" s="55"/>
      <c r="H580" s="55"/>
      <c r="I580" s="55"/>
      <c r="J580" s="55"/>
      <c r="K580" s="55"/>
      <c r="L580" s="55"/>
      <c r="M580" s="55"/>
      <c r="N580" s="55"/>
      <c r="O580" s="55"/>
      <c r="P580" s="55"/>
      <c r="Q580" s="56"/>
      <c r="R580" s="56"/>
      <c r="S580" s="56"/>
      <c r="T580" s="56"/>
      <c r="U580" s="56"/>
      <c r="V580" s="56"/>
      <c r="W580" s="56"/>
      <c r="X580" s="56"/>
      <c r="Y580" s="56"/>
      <c r="Z580" s="59"/>
    </row>
    <row r="581">
      <c r="A581" s="55"/>
      <c r="B581" s="55"/>
      <c r="C581" s="55"/>
      <c r="D581" s="55"/>
      <c r="E581" s="55"/>
      <c r="F581" s="55"/>
      <c r="G581" s="55"/>
      <c r="H581" s="55"/>
      <c r="I581" s="55"/>
      <c r="J581" s="55"/>
      <c r="K581" s="55"/>
      <c r="L581" s="55"/>
      <c r="M581" s="55"/>
      <c r="N581" s="55"/>
      <c r="O581" s="55"/>
      <c r="P581" s="55"/>
      <c r="Q581" s="56"/>
      <c r="R581" s="56"/>
      <c r="S581" s="56"/>
      <c r="T581" s="56"/>
      <c r="U581" s="56"/>
      <c r="V581" s="56"/>
      <c r="W581" s="56"/>
      <c r="X581" s="56"/>
      <c r="Y581" s="56"/>
      <c r="Z581" s="59"/>
    </row>
    <row r="582">
      <c r="A582" s="55"/>
      <c r="B582" s="55"/>
      <c r="C582" s="55"/>
      <c r="D582" s="55"/>
      <c r="E582" s="55"/>
      <c r="F582" s="55"/>
      <c r="G582" s="55"/>
      <c r="H582" s="55"/>
      <c r="I582" s="55"/>
      <c r="J582" s="55"/>
      <c r="K582" s="55"/>
      <c r="L582" s="55"/>
      <c r="M582" s="55"/>
      <c r="N582" s="55"/>
      <c r="O582" s="55"/>
      <c r="P582" s="55"/>
      <c r="Q582" s="56"/>
      <c r="R582" s="56"/>
      <c r="S582" s="56"/>
      <c r="T582" s="56"/>
      <c r="U582" s="56"/>
      <c r="V582" s="56"/>
      <c r="W582" s="56"/>
      <c r="X582" s="56"/>
      <c r="Y582" s="56"/>
      <c r="Z582" s="59"/>
    </row>
    <row r="583">
      <c r="A583" s="55"/>
      <c r="B583" s="55"/>
      <c r="C583" s="55"/>
      <c r="D583" s="55"/>
      <c r="E583" s="55"/>
      <c r="F583" s="55"/>
      <c r="G583" s="55"/>
      <c r="H583" s="55"/>
      <c r="I583" s="55"/>
      <c r="J583" s="55"/>
      <c r="K583" s="55"/>
      <c r="L583" s="55"/>
      <c r="M583" s="55"/>
      <c r="N583" s="55"/>
      <c r="O583" s="55"/>
      <c r="P583" s="55"/>
      <c r="Q583" s="56"/>
      <c r="R583" s="56"/>
      <c r="S583" s="56"/>
      <c r="T583" s="56"/>
      <c r="U583" s="56"/>
      <c r="V583" s="56"/>
      <c r="W583" s="56"/>
      <c r="X583" s="56"/>
      <c r="Y583" s="56"/>
      <c r="Z583" s="59"/>
    </row>
    <row r="584">
      <c r="A584" s="55"/>
      <c r="B584" s="55"/>
      <c r="C584" s="55"/>
      <c r="D584" s="55"/>
      <c r="E584" s="55"/>
      <c r="F584" s="55"/>
      <c r="G584" s="55"/>
      <c r="H584" s="55"/>
      <c r="I584" s="55"/>
      <c r="J584" s="55"/>
      <c r="K584" s="55"/>
      <c r="L584" s="55"/>
      <c r="M584" s="55"/>
      <c r="N584" s="55"/>
      <c r="O584" s="55"/>
      <c r="P584" s="55"/>
      <c r="Q584" s="56"/>
      <c r="R584" s="56"/>
      <c r="S584" s="56"/>
      <c r="T584" s="56"/>
      <c r="U584" s="56"/>
      <c r="V584" s="56"/>
      <c r="W584" s="56"/>
      <c r="X584" s="56"/>
      <c r="Y584" s="56"/>
      <c r="Z584" s="59"/>
    </row>
    <row r="585">
      <c r="A585" s="55"/>
      <c r="B585" s="55"/>
      <c r="C585" s="55"/>
      <c r="D585" s="55"/>
      <c r="E585" s="55"/>
      <c r="F585" s="55"/>
      <c r="G585" s="55"/>
      <c r="H585" s="55"/>
      <c r="I585" s="55"/>
      <c r="J585" s="55"/>
      <c r="K585" s="55"/>
      <c r="L585" s="55"/>
      <c r="M585" s="55"/>
      <c r="N585" s="55"/>
      <c r="O585" s="55"/>
      <c r="P585" s="55"/>
      <c r="Q585" s="56"/>
      <c r="R585" s="56"/>
      <c r="S585" s="56"/>
      <c r="T585" s="56"/>
      <c r="U585" s="56"/>
      <c r="V585" s="56"/>
      <c r="W585" s="56"/>
      <c r="X585" s="56"/>
      <c r="Y585" s="56"/>
      <c r="Z585" s="59"/>
    </row>
    <row r="586">
      <c r="A586" s="55"/>
      <c r="B586" s="55"/>
      <c r="C586" s="55"/>
      <c r="D586" s="55"/>
      <c r="E586" s="55"/>
      <c r="F586" s="55"/>
      <c r="G586" s="55"/>
      <c r="H586" s="55"/>
      <c r="I586" s="55"/>
      <c r="J586" s="55"/>
      <c r="K586" s="55"/>
      <c r="L586" s="55"/>
      <c r="M586" s="55"/>
      <c r="N586" s="55"/>
      <c r="O586" s="55"/>
      <c r="P586" s="55"/>
      <c r="Q586" s="56"/>
      <c r="R586" s="56"/>
      <c r="S586" s="56"/>
      <c r="T586" s="56"/>
      <c r="U586" s="56"/>
      <c r="V586" s="56"/>
      <c r="W586" s="56"/>
      <c r="X586" s="56"/>
      <c r="Y586" s="56"/>
      <c r="Z586" s="59"/>
    </row>
    <row r="587">
      <c r="A587" s="55"/>
      <c r="B587" s="55"/>
      <c r="C587" s="55"/>
      <c r="D587" s="55"/>
      <c r="E587" s="55"/>
      <c r="F587" s="55"/>
      <c r="G587" s="55"/>
      <c r="H587" s="55"/>
      <c r="I587" s="55"/>
      <c r="J587" s="55"/>
      <c r="K587" s="55"/>
      <c r="L587" s="55"/>
      <c r="M587" s="55"/>
      <c r="N587" s="55"/>
      <c r="O587" s="55"/>
      <c r="P587" s="55"/>
      <c r="Q587" s="56"/>
      <c r="R587" s="56"/>
      <c r="S587" s="56"/>
      <c r="T587" s="56"/>
      <c r="U587" s="56"/>
      <c r="V587" s="56"/>
      <c r="W587" s="56"/>
      <c r="X587" s="56"/>
      <c r="Y587" s="56"/>
      <c r="Z587" s="59"/>
    </row>
    <row r="588">
      <c r="A588" s="55"/>
      <c r="B588" s="55"/>
      <c r="C588" s="55"/>
      <c r="D588" s="55"/>
      <c r="E588" s="55"/>
      <c r="F588" s="55"/>
      <c r="G588" s="55"/>
      <c r="H588" s="55"/>
      <c r="I588" s="55"/>
      <c r="J588" s="55"/>
      <c r="K588" s="55"/>
      <c r="L588" s="55"/>
      <c r="M588" s="55"/>
      <c r="N588" s="55"/>
      <c r="O588" s="55"/>
      <c r="P588" s="55"/>
      <c r="Q588" s="56"/>
      <c r="R588" s="56"/>
      <c r="S588" s="56"/>
      <c r="T588" s="56"/>
      <c r="U588" s="56"/>
      <c r="V588" s="56"/>
      <c r="W588" s="56"/>
      <c r="X588" s="56"/>
      <c r="Y588" s="56"/>
      <c r="Z588" s="59"/>
    </row>
    <row r="589">
      <c r="A589" s="55"/>
      <c r="B589" s="55"/>
      <c r="C589" s="55"/>
      <c r="D589" s="55"/>
      <c r="E589" s="55"/>
      <c r="F589" s="55"/>
      <c r="G589" s="55"/>
      <c r="H589" s="55"/>
      <c r="I589" s="55"/>
      <c r="J589" s="55"/>
      <c r="K589" s="55"/>
      <c r="L589" s="55"/>
      <c r="M589" s="55"/>
      <c r="N589" s="55"/>
      <c r="O589" s="55"/>
      <c r="P589" s="55"/>
      <c r="Q589" s="56"/>
      <c r="R589" s="56"/>
      <c r="S589" s="56"/>
      <c r="T589" s="56"/>
      <c r="U589" s="56"/>
      <c r="V589" s="56"/>
      <c r="W589" s="56"/>
      <c r="X589" s="56"/>
      <c r="Y589" s="56"/>
      <c r="Z589" s="59"/>
    </row>
    <row r="590">
      <c r="A590" s="55"/>
      <c r="B590" s="55"/>
      <c r="C590" s="55"/>
      <c r="D590" s="55"/>
      <c r="E590" s="55"/>
      <c r="F590" s="55"/>
      <c r="G590" s="55"/>
      <c r="H590" s="55"/>
      <c r="I590" s="55"/>
      <c r="J590" s="55"/>
      <c r="K590" s="55"/>
      <c r="L590" s="55"/>
      <c r="M590" s="55"/>
      <c r="N590" s="55"/>
      <c r="O590" s="55"/>
      <c r="P590" s="55"/>
      <c r="Q590" s="56"/>
      <c r="R590" s="56"/>
      <c r="S590" s="56"/>
      <c r="T590" s="56"/>
      <c r="U590" s="56"/>
      <c r="V590" s="56"/>
      <c r="W590" s="56"/>
      <c r="X590" s="56"/>
      <c r="Y590" s="56"/>
      <c r="Z590" s="59"/>
    </row>
    <row r="591">
      <c r="A591" s="55"/>
      <c r="B591" s="55"/>
      <c r="C591" s="55"/>
      <c r="D591" s="55"/>
      <c r="E591" s="55"/>
      <c r="F591" s="55"/>
      <c r="G591" s="55"/>
      <c r="H591" s="55"/>
      <c r="I591" s="55"/>
      <c r="J591" s="55"/>
      <c r="K591" s="55"/>
      <c r="L591" s="55"/>
      <c r="M591" s="55"/>
      <c r="N591" s="55"/>
      <c r="O591" s="55"/>
      <c r="P591" s="55"/>
      <c r="Q591" s="56"/>
      <c r="R591" s="56"/>
      <c r="S591" s="56"/>
      <c r="T591" s="56"/>
      <c r="U591" s="56"/>
      <c r="V591" s="56"/>
      <c r="W591" s="56"/>
      <c r="X591" s="56"/>
      <c r="Y591" s="56"/>
      <c r="Z591" s="59"/>
    </row>
    <row r="592">
      <c r="A592" s="55"/>
      <c r="B592" s="55"/>
      <c r="C592" s="55"/>
      <c r="D592" s="55"/>
      <c r="E592" s="55"/>
      <c r="F592" s="55"/>
      <c r="G592" s="55"/>
      <c r="H592" s="55"/>
      <c r="I592" s="55"/>
      <c r="J592" s="55"/>
      <c r="K592" s="55"/>
      <c r="L592" s="55"/>
      <c r="M592" s="55"/>
      <c r="N592" s="55"/>
      <c r="O592" s="55"/>
      <c r="P592" s="55"/>
      <c r="Q592" s="56"/>
      <c r="R592" s="56"/>
      <c r="S592" s="56"/>
      <c r="T592" s="56"/>
      <c r="U592" s="56"/>
      <c r="V592" s="56"/>
      <c r="W592" s="56"/>
      <c r="X592" s="56"/>
      <c r="Y592" s="56"/>
      <c r="Z592" s="59"/>
    </row>
    <row r="593">
      <c r="A593" s="55"/>
      <c r="B593" s="55"/>
      <c r="C593" s="55"/>
      <c r="D593" s="55"/>
      <c r="E593" s="55"/>
      <c r="F593" s="55"/>
      <c r="G593" s="55"/>
      <c r="H593" s="55"/>
      <c r="I593" s="55"/>
      <c r="J593" s="55"/>
      <c r="K593" s="55"/>
      <c r="L593" s="55"/>
      <c r="M593" s="55"/>
      <c r="N593" s="55"/>
      <c r="O593" s="55"/>
      <c r="P593" s="55"/>
      <c r="Q593" s="56"/>
      <c r="R593" s="56"/>
      <c r="S593" s="56"/>
      <c r="T593" s="56"/>
      <c r="U593" s="56"/>
      <c r="V593" s="56"/>
      <c r="W593" s="56"/>
      <c r="X593" s="56"/>
      <c r="Y593" s="56"/>
      <c r="Z593" s="59"/>
    </row>
    <row r="594">
      <c r="A594" s="55"/>
      <c r="B594" s="55"/>
      <c r="C594" s="55"/>
      <c r="D594" s="55"/>
      <c r="E594" s="55"/>
      <c r="F594" s="55"/>
      <c r="G594" s="55"/>
      <c r="H594" s="55"/>
      <c r="I594" s="55"/>
      <c r="J594" s="55"/>
      <c r="K594" s="55"/>
      <c r="L594" s="55"/>
      <c r="M594" s="55"/>
      <c r="N594" s="55"/>
      <c r="O594" s="55"/>
      <c r="P594" s="55"/>
      <c r="Q594" s="56"/>
      <c r="R594" s="56"/>
      <c r="S594" s="56"/>
      <c r="T594" s="56"/>
      <c r="U594" s="56"/>
      <c r="V594" s="56"/>
      <c r="W594" s="56"/>
      <c r="X594" s="56"/>
      <c r="Y594" s="56"/>
      <c r="Z594" s="59"/>
    </row>
    <row r="595">
      <c r="A595" s="55"/>
      <c r="B595" s="55"/>
      <c r="C595" s="55"/>
      <c r="D595" s="55"/>
      <c r="E595" s="55"/>
      <c r="F595" s="55"/>
      <c r="G595" s="55"/>
      <c r="H595" s="55"/>
      <c r="I595" s="55"/>
      <c r="J595" s="55"/>
      <c r="K595" s="55"/>
      <c r="L595" s="55"/>
      <c r="M595" s="55"/>
      <c r="N595" s="55"/>
      <c r="O595" s="55"/>
      <c r="P595" s="55"/>
      <c r="Q595" s="56"/>
      <c r="R595" s="56"/>
      <c r="S595" s="56"/>
      <c r="T595" s="56"/>
      <c r="U595" s="56"/>
      <c r="V595" s="56"/>
      <c r="W595" s="56"/>
      <c r="X595" s="56"/>
      <c r="Y595" s="56"/>
      <c r="Z595" s="59"/>
    </row>
    <row r="596">
      <c r="A596" s="55"/>
      <c r="B596" s="55"/>
      <c r="C596" s="55"/>
      <c r="D596" s="55"/>
      <c r="E596" s="55"/>
      <c r="F596" s="55"/>
      <c r="G596" s="55"/>
      <c r="H596" s="55"/>
      <c r="I596" s="55"/>
      <c r="J596" s="55"/>
      <c r="K596" s="55"/>
      <c r="L596" s="55"/>
      <c r="M596" s="55"/>
      <c r="N596" s="55"/>
      <c r="O596" s="55"/>
      <c r="P596" s="55"/>
      <c r="Q596" s="56"/>
      <c r="R596" s="56"/>
      <c r="S596" s="56"/>
      <c r="T596" s="56"/>
      <c r="U596" s="56"/>
      <c r="V596" s="56"/>
      <c r="W596" s="56"/>
      <c r="X596" s="56"/>
      <c r="Y596" s="56"/>
      <c r="Z596" s="59"/>
    </row>
    <row r="597">
      <c r="A597" s="55"/>
      <c r="B597" s="55"/>
      <c r="C597" s="55"/>
      <c r="D597" s="55"/>
      <c r="E597" s="55"/>
      <c r="F597" s="55"/>
      <c r="G597" s="55"/>
      <c r="H597" s="55"/>
      <c r="I597" s="55"/>
      <c r="J597" s="55"/>
      <c r="K597" s="55"/>
      <c r="L597" s="55"/>
      <c r="M597" s="55"/>
      <c r="N597" s="55"/>
      <c r="O597" s="55"/>
      <c r="P597" s="55"/>
      <c r="Q597" s="56"/>
      <c r="R597" s="56"/>
      <c r="S597" s="56"/>
      <c r="T597" s="56"/>
      <c r="U597" s="56"/>
      <c r="V597" s="56"/>
      <c r="W597" s="56"/>
      <c r="X597" s="56"/>
      <c r="Y597" s="56"/>
      <c r="Z597" s="59"/>
    </row>
    <row r="598">
      <c r="A598" s="55"/>
      <c r="B598" s="55"/>
      <c r="C598" s="55"/>
      <c r="D598" s="55"/>
      <c r="E598" s="55"/>
      <c r="F598" s="55"/>
      <c r="G598" s="55"/>
      <c r="H598" s="55"/>
      <c r="I598" s="55"/>
      <c r="J598" s="55"/>
      <c r="K598" s="55"/>
      <c r="L598" s="55"/>
      <c r="M598" s="55"/>
      <c r="N598" s="55"/>
      <c r="O598" s="55"/>
      <c r="P598" s="55"/>
      <c r="Q598" s="56"/>
      <c r="R598" s="56"/>
      <c r="S598" s="56"/>
      <c r="T598" s="56"/>
      <c r="U598" s="56"/>
      <c r="V598" s="56"/>
      <c r="W598" s="56"/>
      <c r="X598" s="56"/>
      <c r="Y598" s="56"/>
      <c r="Z598" s="59"/>
    </row>
    <row r="599">
      <c r="A599" s="55"/>
      <c r="B599" s="55"/>
      <c r="C599" s="55"/>
      <c r="D599" s="55"/>
      <c r="E599" s="55"/>
      <c r="F599" s="55"/>
      <c r="G599" s="55"/>
      <c r="H599" s="55"/>
      <c r="I599" s="55"/>
      <c r="J599" s="55"/>
      <c r="K599" s="55"/>
      <c r="L599" s="55"/>
      <c r="M599" s="55"/>
      <c r="N599" s="55"/>
      <c r="O599" s="55"/>
      <c r="P599" s="55"/>
      <c r="Q599" s="56"/>
      <c r="R599" s="56"/>
      <c r="S599" s="56"/>
      <c r="T599" s="56"/>
      <c r="U599" s="56"/>
      <c r="V599" s="56"/>
      <c r="W599" s="56"/>
      <c r="X599" s="56"/>
      <c r="Y599" s="56"/>
      <c r="Z599" s="59"/>
    </row>
    <row r="600">
      <c r="A600" s="55"/>
      <c r="B600" s="55"/>
      <c r="C600" s="55"/>
      <c r="D600" s="55"/>
      <c r="E600" s="55"/>
      <c r="F600" s="55"/>
      <c r="G600" s="55"/>
      <c r="H600" s="55"/>
      <c r="I600" s="55"/>
      <c r="J600" s="55"/>
      <c r="K600" s="55"/>
      <c r="L600" s="55"/>
      <c r="M600" s="55"/>
      <c r="N600" s="55"/>
      <c r="O600" s="55"/>
      <c r="P600" s="55"/>
      <c r="Q600" s="56"/>
      <c r="R600" s="56"/>
      <c r="S600" s="56"/>
      <c r="T600" s="56"/>
      <c r="U600" s="56"/>
      <c r="V600" s="56"/>
      <c r="W600" s="56"/>
      <c r="X600" s="56"/>
      <c r="Y600" s="56"/>
      <c r="Z600" s="59"/>
    </row>
    <row r="601">
      <c r="A601" s="55"/>
      <c r="B601" s="55"/>
      <c r="C601" s="55"/>
      <c r="D601" s="55"/>
      <c r="E601" s="55"/>
      <c r="F601" s="55"/>
      <c r="G601" s="55"/>
      <c r="H601" s="55"/>
      <c r="I601" s="55"/>
      <c r="J601" s="55"/>
      <c r="K601" s="55"/>
      <c r="L601" s="55"/>
      <c r="M601" s="55"/>
      <c r="N601" s="55"/>
      <c r="O601" s="55"/>
      <c r="P601" s="55"/>
      <c r="Q601" s="56"/>
      <c r="R601" s="56"/>
      <c r="S601" s="56"/>
      <c r="T601" s="56"/>
      <c r="U601" s="56"/>
      <c r="V601" s="56"/>
      <c r="W601" s="56"/>
      <c r="X601" s="56"/>
      <c r="Y601" s="56"/>
      <c r="Z601" s="59"/>
    </row>
    <row r="602">
      <c r="A602" s="55"/>
      <c r="B602" s="55"/>
      <c r="C602" s="55"/>
      <c r="D602" s="55"/>
      <c r="E602" s="55"/>
      <c r="F602" s="55"/>
      <c r="G602" s="55"/>
      <c r="H602" s="55"/>
      <c r="I602" s="55"/>
      <c r="J602" s="55"/>
      <c r="K602" s="55"/>
      <c r="L602" s="55"/>
      <c r="M602" s="55"/>
      <c r="N602" s="55"/>
      <c r="O602" s="55"/>
      <c r="P602" s="55"/>
      <c r="Q602" s="56"/>
      <c r="R602" s="56"/>
      <c r="S602" s="56"/>
      <c r="T602" s="56"/>
      <c r="U602" s="56"/>
      <c r="V602" s="56"/>
      <c r="W602" s="56"/>
      <c r="X602" s="56"/>
      <c r="Y602" s="56"/>
      <c r="Z602" s="59"/>
    </row>
    <row r="603">
      <c r="A603" s="55"/>
      <c r="B603" s="55"/>
      <c r="C603" s="55"/>
      <c r="D603" s="55"/>
      <c r="E603" s="55"/>
      <c r="F603" s="55"/>
      <c r="G603" s="55"/>
      <c r="H603" s="55"/>
      <c r="I603" s="55"/>
      <c r="J603" s="55"/>
      <c r="K603" s="55"/>
      <c r="L603" s="55"/>
      <c r="M603" s="55"/>
      <c r="N603" s="55"/>
      <c r="O603" s="55"/>
      <c r="P603" s="55"/>
      <c r="Q603" s="56"/>
      <c r="R603" s="56"/>
      <c r="S603" s="56"/>
      <c r="T603" s="56"/>
      <c r="U603" s="56"/>
      <c r="V603" s="56"/>
      <c r="W603" s="56"/>
      <c r="X603" s="56"/>
      <c r="Y603" s="56"/>
      <c r="Z603" s="59"/>
    </row>
    <row r="604">
      <c r="A604" s="55"/>
      <c r="B604" s="55"/>
      <c r="C604" s="55"/>
      <c r="D604" s="55"/>
      <c r="E604" s="55"/>
      <c r="F604" s="55"/>
      <c r="G604" s="55"/>
      <c r="H604" s="55"/>
      <c r="I604" s="55"/>
      <c r="J604" s="55"/>
      <c r="K604" s="55"/>
      <c r="L604" s="55"/>
      <c r="M604" s="55"/>
      <c r="N604" s="55"/>
      <c r="O604" s="55"/>
      <c r="P604" s="55"/>
      <c r="Q604" s="56"/>
      <c r="R604" s="56"/>
      <c r="S604" s="56"/>
      <c r="T604" s="56"/>
      <c r="U604" s="56"/>
      <c r="V604" s="56"/>
      <c r="W604" s="56"/>
      <c r="X604" s="56"/>
      <c r="Y604" s="56"/>
      <c r="Z604" s="59"/>
    </row>
    <row r="605">
      <c r="A605" s="55"/>
      <c r="B605" s="55"/>
      <c r="C605" s="55"/>
      <c r="D605" s="55"/>
      <c r="E605" s="55"/>
      <c r="F605" s="55"/>
      <c r="G605" s="55"/>
      <c r="H605" s="55"/>
      <c r="I605" s="55"/>
      <c r="J605" s="55"/>
      <c r="K605" s="55"/>
      <c r="L605" s="55"/>
      <c r="M605" s="55"/>
      <c r="N605" s="55"/>
      <c r="O605" s="55"/>
      <c r="P605" s="55"/>
      <c r="Q605" s="56"/>
      <c r="R605" s="56"/>
      <c r="S605" s="56"/>
      <c r="T605" s="56"/>
      <c r="U605" s="56"/>
      <c r="V605" s="56"/>
      <c r="W605" s="56"/>
      <c r="X605" s="56"/>
      <c r="Y605" s="56"/>
      <c r="Z605" s="59"/>
    </row>
    <row r="606">
      <c r="A606" s="55"/>
      <c r="B606" s="55"/>
      <c r="C606" s="55"/>
      <c r="D606" s="55"/>
      <c r="E606" s="55"/>
      <c r="F606" s="55"/>
      <c r="G606" s="55"/>
      <c r="H606" s="55"/>
      <c r="I606" s="55"/>
      <c r="J606" s="55"/>
      <c r="K606" s="55"/>
      <c r="L606" s="55"/>
      <c r="M606" s="55"/>
      <c r="N606" s="55"/>
      <c r="O606" s="55"/>
      <c r="P606" s="55"/>
      <c r="Q606" s="56"/>
      <c r="R606" s="56"/>
      <c r="S606" s="56"/>
      <c r="T606" s="56"/>
      <c r="U606" s="56"/>
      <c r="V606" s="56"/>
      <c r="W606" s="56"/>
      <c r="X606" s="56"/>
      <c r="Y606" s="56"/>
      <c r="Z606" s="59"/>
    </row>
    <row r="607">
      <c r="A607" s="55"/>
      <c r="B607" s="55"/>
      <c r="C607" s="55"/>
      <c r="D607" s="55"/>
      <c r="E607" s="55"/>
      <c r="F607" s="55"/>
      <c r="G607" s="55"/>
      <c r="H607" s="55"/>
      <c r="I607" s="55"/>
      <c r="J607" s="55"/>
      <c r="K607" s="55"/>
      <c r="L607" s="55"/>
      <c r="M607" s="55"/>
      <c r="N607" s="55"/>
      <c r="O607" s="55"/>
      <c r="P607" s="55"/>
      <c r="Q607" s="56"/>
      <c r="R607" s="56"/>
      <c r="S607" s="56"/>
      <c r="T607" s="56"/>
      <c r="U607" s="56"/>
      <c r="V607" s="56"/>
      <c r="W607" s="56"/>
      <c r="X607" s="56"/>
      <c r="Y607" s="56"/>
      <c r="Z607" s="59"/>
    </row>
    <row r="608">
      <c r="A608" s="55"/>
      <c r="B608" s="55"/>
      <c r="C608" s="55"/>
      <c r="D608" s="55"/>
      <c r="E608" s="55"/>
      <c r="F608" s="55"/>
      <c r="G608" s="55"/>
      <c r="H608" s="55"/>
      <c r="I608" s="55"/>
      <c r="J608" s="55"/>
      <c r="K608" s="55"/>
      <c r="L608" s="55"/>
      <c r="M608" s="55"/>
      <c r="N608" s="55"/>
      <c r="O608" s="55"/>
      <c r="P608" s="55"/>
      <c r="Q608" s="56"/>
      <c r="R608" s="56"/>
      <c r="S608" s="56"/>
      <c r="T608" s="56"/>
      <c r="U608" s="56"/>
      <c r="V608" s="56"/>
      <c r="W608" s="56"/>
      <c r="X608" s="56"/>
      <c r="Y608" s="56"/>
      <c r="Z608" s="59"/>
    </row>
    <row r="609">
      <c r="A609" s="55"/>
      <c r="B609" s="55"/>
      <c r="C609" s="55"/>
      <c r="D609" s="55"/>
      <c r="E609" s="55"/>
      <c r="F609" s="55"/>
      <c r="G609" s="55"/>
      <c r="H609" s="55"/>
      <c r="I609" s="55"/>
      <c r="J609" s="55"/>
      <c r="K609" s="55"/>
      <c r="L609" s="55"/>
      <c r="M609" s="55"/>
      <c r="N609" s="55"/>
      <c r="O609" s="55"/>
      <c r="P609" s="55"/>
      <c r="Q609" s="56"/>
      <c r="R609" s="56"/>
      <c r="S609" s="56"/>
      <c r="T609" s="56"/>
      <c r="U609" s="56"/>
      <c r="V609" s="56"/>
      <c r="W609" s="56"/>
      <c r="X609" s="56"/>
      <c r="Y609" s="56"/>
      <c r="Z609" s="59"/>
    </row>
    <row r="610">
      <c r="A610" s="55"/>
      <c r="B610" s="55"/>
      <c r="C610" s="55"/>
      <c r="D610" s="55"/>
      <c r="E610" s="55"/>
      <c r="F610" s="55"/>
      <c r="G610" s="55"/>
      <c r="H610" s="55"/>
      <c r="I610" s="55"/>
      <c r="J610" s="55"/>
      <c r="K610" s="55"/>
      <c r="L610" s="55"/>
      <c r="M610" s="55"/>
      <c r="N610" s="55"/>
      <c r="O610" s="55"/>
      <c r="P610" s="55"/>
      <c r="Q610" s="56"/>
      <c r="R610" s="56"/>
      <c r="S610" s="56"/>
      <c r="T610" s="56"/>
      <c r="U610" s="56"/>
      <c r="V610" s="56"/>
      <c r="W610" s="56"/>
      <c r="X610" s="56"/>
      <c r="Y610" s="56"/>
      <c r="Z610" s="59"/>
    </row>
    <row r="611">
      <c r="A611" s="55"/>
      <c r="B611" s="55"/>
      <c r="C611" s="55"/>
      <c r="D611" s="55"/>
      <c r="E611" s="55"/>
      <c r="F611" s="55"/>
      <c r="G611" s="55"/>
      <c r="H611" s="55"/>
      <c r="I611" s="55"/>
      <c r="J611" s="55"/>
      <c r="K611" s="55"/>
      <c r="L611" s="55"/>
      <c r="M611" s="55"/>
      <c r="N611" s="55"/>
      <c r="O611" s="55"/>
      <c r="P611" s="55"/>
      <c r="Q611" s="56"/>
      <c r="R611" s="56"/>
      <c r="S611" s="56"/>
      <c r="T611" s="56"/>
      <c r="U611" s="56"/>
      <c r="V611" s="56"/>
      <c r="W611" s="56"/>
      <c r="X611" s="56"/>
      <c r="Y611" s="56"/>
      <c r="Z611" s="59"/>
    </row>
    <row r="612">
      <c r="A612" s="55"/>
      <c r="B612" s="55"/>
      <c r="C612" s="55"/>
      <c r="D612" s="55"/>
      <c r="E612" s="55"/>
      <c r="F612" s="55"/>
      <c r="G612" s="55"/>
      <c r="H612" s="55"/>
      <c r="I612" s="55"/>
      <c r="J612" s="55"/>
      <c r="K612" s="55"/>
      <c r="L612" s="55"/>
      <c r="M612" s="55"/>
      <c r="N612" s="55"/>
      <c r="O612" s="55"/>
      <c r="P612" s="55"/>
      <c r="Q612" s="56"/>
      <c r="R612" s="56"/>
      <c r="S612" s="56"/>
      <c r="T612" s="56"/>
      <c r="U612" s="56"/>
      <c r="V612" s="56"/>
      <c r="W612" s="56"/>
      <c r="X612" s="56"/>
      <c r="Y612" s="56"/>
      <c r="Z612" s="59"/>
    </row>
    <row r="613">
      <c r="A613" s="55"/>
      <c r="B613" s="55"/>
      <c r="C613" s="55"/>
      <c r="D613" s="55"/>
      <c r="E613" s="55"/>
      <c r="F613" s="55"/>
      <c r="G613" s="55"/>
      <c r="H613" s="55"/>
      <c r="I613" s="55"/>
      <c r="J613" s="55"/>
      <c r="K613" s="55"/>
      <c r="L613" s="55"/>
      <c r="M613" s="55"/>
      <c r="N613" s="55"/>
      <c r="O613" s="55"/>
      <c r="P613" s="55"/>
      <c r="Q613" s="56"/>
      <c r="R613" s="56"/>
      <c r="S613" s="56"/>
      <c r="T613" s="56"/>
      <c r="U613" s="56"/>
      <c r="V613" s="56"/>
      <c r="W613" s="56"/>
      <c r="X613" s="56"/>
      <c r="Y613" s="56"/>
      <c r="Z613" s="59"/>
    </row>
    <row r="614">
      <c r="A614" s="55"/>
      <c r="B614" s="55"/>
      <c r="C614" s="55"/>
      <c r="D614" s="55"/>
      <c r="E614" s="55"/>
      <c r="F614" s="55"/>
      <c r="G614" s="55"/>
      <c r="H614" s="55"/>
      <c r="I614" s="55"/>
      <c r="J614" s="55"/>
      <c r="K614" s="55"/>
      <c r="L614" s="55"/>
      <c r="M614" s="55"/>
      <c r="N614" s="55"/>
      <c r="O614" s="55"/>
      <c r="P614" s="55"/>
      <c r="Q614" s="56"/>
      <c r="R614" s="56"/>
      <c r="S614" s="56"/>
      <c r="T614" s="56"/>
      <c r="U614" s="56"/>
      <c r="V614" s="56"/>
      <c r="W614" s="56"/>
      <c r="X614" s="56"/>
      <c r="Y614" s="56"/>
      <c r="Z614" s="59"/>
    </row>
    <row r="615">
      <c r="A615" s="55"/>
      <c r="B615" s="55"/>
      <c r="C615" s="55"/>
      <c r="D615" s="55"/>
      <c r="E615" s="55"/>
      <c r="F615" s="55"/>
      <c r="G615" s="55"/>
      <c r="H615" s="55"/>
      <c r="I615" s="55"/>
      <c r="J615" s="55"/>
      <c r="K615" s="55"/>
      <c r="L615" s="55"/>
      <c r="M615" s="55"/>
      <c r="N615" s="55"/>
      <c r="O615" s="55"/>
      <c r="P615" s="55"/>
      <c r="Q615" s="56"/>
      <c r="R615" s="56"/>
      <c r="S615" s="56"/>
      <c r="T615" s="56"/>
      <c r="U615" s="56"/>
      <c r="V615" s="56"/>
      <c r="W615" s="56"/>
      <c r="X615" s="56"/>
      <c r="Y615" s="56"/>
      <c r="Z615" s="59"/>
    </row>
    <row r="616">
      <c r="A616" s="55"/>
      <c r="B616" s="55"/>
      <c r="C616" s="55"/>
      <c r="D616" s="55"/>
      <c r="E616" s="55"/>
      <c r="F616" s="55"/>
      <c r="G616" s="55"/>
      <c r="H616" s="55"/>
      <c r="I616" s="55"/>
      <c r="J616" s="55"/>
      <c r="K616" s="55"/>
      <c r="L616" s="55"/>
      <c r="M616" s="55"/>
      <c r="N616" s="55"/>
      <c r="O616" s="55"/>
      <c r="P616" s="55"/>
      <c r="Q616" s="56"/>
      <c r="R616" s="56"/>
      <c r="S616" s="56"/>
      <c r="T616" s="56"/>
      <c r="U616" s="56"/>
      <c r="V616" s="56"/>
      <c r="W616" s="56"/>
      <c r="X616" s="56"/>
      <c r="Y616" s="56"/>
      <c r="Z616" s="59"/>
    </row>
    <row r="617">
      <c r="A617" s="55"/>
      <c r="B617" s="55"/>
      <c r="C617" s="55"/>
      <c r="D617" s="55"/>
      <c r="E617" s="55"/>
      <c r="F617" s="55"/>
      <c r="G617" s="55"/>
      <c r="H617" s="55"/>
      <c r="I617" s="55"/>
      <c r="J617" s="55"/>
      <c r="K617" s="55"/>
      <c r="L617" s="55"/>
      <c r="M617" s="55"/>
      <c r="N617" s="55"/>
      <c r="O617" s="55"/>
      <c r="P617" s="55"/>
      <c r="Q617" s="56"/>
      <c r="R617" s="56"/>
      <c r="S617" s="56"/>
      <c r="T617" s="56"/>
      <c r="U617" s="56"/>
      <c r="V617" s="56"/>
      <c r="W617" s="56"/>
      <c r="X617" s="56"/>
      <c r="Y617" s="56"/>
      <c r="Z617" s="59"/>
    </row>
    <row r="618">
      <c r="A618" s="55"/>
      <c r="B618" s="55"/>
      <c r="C618" s="55"/>
      <c r="D618" s="55"/>
      <c r="E618" s="55"/>
      <c r="F618" s="55"/>
      <c r="G618" s="55"/>
      <c r="H618" s="55"/>
      <c r="I618" s="55"/>
      <c r="J618" s="55"/>
      <c r="K618" s="55"/>
      <c r="L618" s="55"/>
      <c r="M618" s="55"/>
      <c r="N618" s="55"/>
      <c r="O618" s="55"/>
      <c r="P618" s="55"/>
      <c r="Q618" s="56"/>
      <c r="R618" s="56"/>
      <c r="S618" s="56"/>
      <c r="T618" s="56"/>
      <c r="U618" s="56"/>
      <c r="V618" s="56"/>
      <c r="W618" s="56"/>
      <c r="X618" s="56"/>
      <c r="Y618" s="56"/>
      <c r="Z618" s="59"/>
    </row>
    <row r="619">
      <c r="A619" s="55"/>
      <c r="B619" s="55"/>
      <c r="C619" s="55"/>
      <c r="D619" s="55"/>
      <c r="E619" s="55"/>
      <c r="F619" s="55"/>
      <c r="G619" s="55"/>
      <c r="H619" s="55"/>
      <c r="I619" s="55"/>
      <c r="J619" s="55"/>
      <c r="K619" s="55"/>
      <c r="L619" s="55"/>
      <c r="M619" s="55"/>
      <c r="N619" s="55"/>
      <c r="O619" s="55"/>
      <c r="P619" s="55"/>
      <c r="Q619" s="56"/>
      <c r="R619" s="56"/>
      <c r="S619" s="56"/>
      <c r="T619" s="56"/>
      <c r="U619" s="56"/>
      <c r="V619" s="56"/>
      <c r="W619" s="56"/>
      <c r="X619" s="56"/>
      <c r="Y619" s="56"/>
      <c r="Z619" s="59"/>
    </row>
    <row r="620">
      <c r="A620" s="55"/>
      <c r="B620" s="55"/>
      <c r="C620" s="55"/>
      <c r="D620" s="55"/>
      <c r="E620" s="55"/>
      <c r="F620" s="55"/>
      <c r="G620" s="55"/>
      <c r="H620" s="55"/>
      <c r="I620" s="55"/>
      <c r="J620" s="55"/>
      <c r="K620" s="55"/>
      <c r="L620" s="55"/>
      <c r="M620" s="55"/>
      <c r="N620" s="55"/>
      <c r="O620" s="55"/>
      <c r="P620" s="55"/>
      <c r="Q620" s="56"/>
      <c r="R620" s="56"/>
      <c r="S620" s="56"/>
      <c r="T620" s="56"/>
      <c r="U620" s="56"/>
      <c r="V620" s="56"/>
      <c r="W620" s="56"/>
      <c r="X620" s="56"/>
      <c r="Y620" s="56"/>
      <c r="Z620" s="59"/>
    </row>
    <row r="621">
      <c r="A621" s="55"/>
      <c r="B621" s="55"/>
      <c r="C621" s="55"/>
      <c r="D621" s="55"/>
      <c r="E621" s="55"/>
      <c r="F621" s="55"/>
      <c r="G621" s="55"/>
      <c r="H621" s="55"/>
      <c r="I621" s="55"/>
      <c r="J621" s="55"/>
      <c r="K621" s="55"/>
      <c r="L621" s="55"/>
      <c r="M621" s="55"/>
      <c r="N621" s="55"/>
      <c r="O621" s="55"/>
      <c r="P621" s="55"/>
      <c r="Q621" s="56"/>
      <c r="R621" s="56"/>
      <c r="S621" s="56"/>
      <c r="T621" s="56"/>
      <c r="U621" s="56"/>
      <c r="V621" s="56"/>
      <c r="W621" s="56"/>
      <c r="X621" s="56"/>
      <c r="Y621" s="56"/>
      <c r="Z621" s="59"/>
    </row>
    <row r="622">
      <c r="A622" s="55"/>
      <c r="B622" s="55"/>
      <c r="C622" s="55"/>
      <c r="D622" s="55"/>
      <c r="E622" s="55"/>
      <c r="F622" s="55"/>
      <c r="G622" s="55"/>
      <c r="H622" s="55"/>
      <c r="I622" s="55"/>
      <c r="J622" s="55"/>
      <c r="K622" s="55"/>
      <c r="L622" s="55"/>
      <c r="M622" s="55"/>
      <c r="N622" s="55"/>
      <c r="O622" s="55"/>
      <c r="P622" s="55"/>
      <c r="Q622" s="56"/>
      <c r="R622" s="56"/>
      <c r="S622" s="56"/>
      <c r="T622" s="56"/>
      <c r="U622" s="56"/>
      <c r="V622" s="56"/>
      <c r="W622" s="56"/>
      <c r="X622" s="56"/>
      <c r="Y622" s="56"/>
      <c r="Z622" s="59"/>
    </row>
    <row r="623">
      <c r="A623" s="55"/>
      <c r="B623" s="55"/>
      <c r="C623" s="55"/>
      <c r="D623" s="55"/>
      <c r="E623" s="55"/>
      <c r="F623" s="55"/>
      <c r="G623" s="55"/>
      <c r="H623" s="55"/>
      <c r="I623" s="55"/>
      <c r="J623" s="55"/>
      <c r="K623" s="55"/>
      <c r="L623" s="55"/>
      <c r="M623" s="55"/>
      <c r="N623" s="55"/>
      <c r="O623" s="55"/>
      <c r="P623" s="55"/>
      <c r="Q623" s="56"/>
      <c r="R623" s="56"/>
      <c r="S623" s="56"/>
      <c r="T623" s="56"/>
      <c r="U623" s="56"/>
      <c r="V623" s="56"/>
      <c r="W623" s="56"/>
      <c r="X623" s="56"/>
      <c r="Y623" s="56"/>
      <c r="Z623" s="59"/>
    </row>
    <row r="624">
      <c r="A624" s="55"/>
      <c r="B624" s="55"/>
      <c r="C624" s="55"/>
      <c r="D624" s="55"/>
      <c r="E624" s="55"/>
      <c r="F624" s="55"/>
      <c r="G624" s="55"/>
      <c r="H624" s="55"/>
      <c r="I624" s="55"/>
      <c r="J624" s="55"/>
      <c r="K624" s="55"/>
      <c r="L624" s="55"/>
      <c r="M624" s="55"/>
      <c r="N624" s="55"/>
      <c r="O624" s="55"/>
      <c r="P624" s="55"/>
      <c r="Q624" s="56"/>
      <c r="R624" s="56"/>
      <c r="S624" s="56"/>
      <c r="T624" s="56"/>
      <c r="U624" s="56"/>
      <c r="V624" s="56"/>
      <c r="W624" s="56"/>
      <c r="X624" s="56"/>
      <c r="Y624" s="56"/>
      <c r="Z624" s="59"/>
    </row>
    <row r="625">
      <c r="A625" s="55"/>
      <c r="B625" s="55"/>
      <c r="C625" s="55"/>
      <c r="D625" s="55"/>
      <c r="E625" s="55"/>
      <c r="F625" s="55"/>
      <c r="G625" s="55"/>
      <c r="H625" s="55"/>
      <c r="I625" s="55"/>
      <c r="J625" s="55"/>
      <c r="K625" s="55"/>
      <c r="L625" s="55"/>
      <c r="M625" s="55"/>
      <c r="N625" s="55"/>
      <c r="O625" s="55"/>
      <c r="P625" s="55"/>
      <c r="Q625" s="56"/>
      <c r="R625" s="56"/>
      <c r="S625" s="56"/>
      <c r="T625" s="56"/>
      <c r="U625" s="56"/>
      <c r="V625" s="56"/>
      <c r="W625" s="56"/>
      <c r="X625" s="56"/>
      <c r="Y625" s="56"/>
      <c r="Z625" s="59"/>
    </row>
    <row r="626">
      <c r="A626" s="55"/>
      <c r="B626" s="55"/>
      <c r="C626" s="55"/>
      <c r="D626" s="55"/>
      <c r="E626" s="55"/>
      <c r="F626" s="55"/>
      <c r="G626" s="55"/>
      <c r="H626" s="55"/>
      <c r="I626" s="55"/>
      <c r="J626" s="55"/>
      <c r="K626" s="55"/>
      <c r="L626" s="55"/>
      <c r="M626" s="55"/>
      <c r="N626" s="55"/>
      <c r="O626" s="55"/>
      <c r="P626" s="55"/>
      <c r="Q626" s="56"/>
      <c r="R626" s="56"/>
      <c r="S626" s="56"/>
      <c r="T626" s="56"/>
      <c r="U626" s="56"/>
      <c r="V626" s="56"/>
      <c r="W626" s="56"/>
      <c r="X626" s="56"/>
      <c r="Y626" s="56"/>
      <c r="Z626" s="59"/>
    </row>
    <row r="627">
      <c r="A627" s="55"/>
      <c r="B627" s="55"/>
      <c r="C627" s="55"/>
      <c r="D627" s="55"/>
      <c r="E627" s="55"/>
      <c r="F627" s="55"/>
      <c r="G627" s="55"/>
      <c r="H627" s="55"/>
      <c r="I627" s="55"/>
      <c r="J627" s="55"/>
      <c r="K627" s="55"/>
      <c r="L627" s="55"/>
      <c r="M627" s="55"/>
      <c r="N627" s="55"/>
      <c r="O627" s="55"/>
      <c r="P627" s="55"/>
      <c r="Q627" s="56"/>
      <c r="R627" s="56"/>
      <c r="S627" s="56"/>
      <c r="T627" s="56"/>
      <c r="U627" s="56"/>
      <c r="V627" s="56"/>
      <c r="W627" s="56"/>
      <c r="X627" s="56"/>
      <c r="Y627" s="56"/>
      <c r="Z627" s="59"/>
    </row>
    <row r="628">
      <c r="A628" s="55"/>
      <c r="B628" s="55"/>
      <c r="C628" s="55"/>
      <c r="D628" s="55"/>
      <c r="E628" s="55"/>
      <c r="F628" s="55"/>
      <c r="G628" s="55"/>
      <c r="H628" s="55"/>
      <c r="I628" s="55"/>
      <c r="J628" s="55"/>
      <c r="K628" s="55"/>
      <c r="L628" s="55"/>
      <c r="M628" s="55"/>
      <c r="N628" s="55"/>
      <c r="O628" s="55"/>
      <c r="P628" s="55"/>
      <c r="Q628" s="56"/>
      <c r="R628" s="56"/>
      <c r="S628" s="56"/>
      <c r="T628" s="56"/>
      <c r="U628" s="56"/>
      <c r="V628" s="56"/>
      <c r="W628" s="56"/>
      <c r="X628" s="56"/>
      <c r="Y628" s="56"/>
      <c r="Z628" s="59"/>
    </row>
    <row r="629">
      <c r="A629" s="55"/>
      <c r="B629" s="55"/>
      <c r="C629" s="55"/>
      <c r="D629" s="55"/>
      <c r="E629" s="55"/>
      <c r="F629" s="55"/>
      <c r="G629" s="55"/>
      <c r="H629" s="55"/>
      <c r="I629" s="55"/>
      <c r="J629" s="55"/>
      <c r="K629" s="55"/>
      <c r="L629" s="55"/>
      <c r="M629" s="55"/>
      <c r="N629" s="55"/>
      <c r="O629" s="55"/>
      <c r="P629" s="55"/>
      <c r="Q629" s="56"/>
      <c r="R629" s="56"/>
      <c r="S629" s="56"/>
      <c r="T629" s="56"/>
      <c r="U629" s="56"/>
      <c r="V629" s="56"/>
      <c r="W629" s="56"/>
      <c r="X629" s="56"/>
      <c r="Y629" s="56"/>
      <c r="Z629" s="59"/>
    </row>
    <row r="630">
      <c r="A630" s="55"/>
      <c r="B630" s="55"/>
      <c r="C630" s="55"/>
      <c r="D630" s="55"/>
      <c r="E630" s="55"/>
      <c r="F630" s="55"/>
      <c r="G630" s="55"/>
      <c r="H630" s="55"/>
      <c r="I630" s="55"/>
      <c r="J630" s="55"/>
      <c r="K630" s="55"/>
      <c r="L630" s="55"/>
      <c r="M630" s="55"/>
      <c r="N630" s="55"/>
      <c r="O630" s="55"/>
      <c r="P630" s="55"/>
      <c r="Q630" s="56"/>
      <c r="R630" s="56"/>
      <c r="S630" s="56"/>
      <c r="T630" s="56"/>
      <c r="U630" s="56"/>
      <c r="V630" s="56"/>
      <c r="W630" s="56"/>
      <c r="X630" s="56"/>
      <c r="Y630" s="56"/>
      <c r="Z630" s="59"/>
    </row>
    <row r="631">
      <c r="A631" s="55"/>
      <c r="B631" s="55"/>
      <c r="C631" s="55"/>
      <c r="D631" s="55"/>
      <c r="E631" s="55"/>
      <c r="F631" s="55"/>
      <c r="G631" s="55"/>
      <c r="H631" s="55"/>
      <c r="I631" s="55"/>
      <c r="J631" s="55"/>
      <c r="K631" s="55"/>
      <c r="L631" s="55"/>
      <c r="M631" s="55"/>
      <c r="N631" s="55"/>
      <c r="O631" s="55"/>
      <c r="P631" s="55"/>
      <c r="Q631" s="56"/>
      <c r="R631" s="56"/>
      <c r="S631" s="56"/>
      <c r="T631" s="56"/>
      <c r="U631" s="56"/>
      <c r="V631" s="56"/>
      <c r="W631" s="56"/>
      <c r="X631" s="56"/>
      <c r="Y631" s="56"/>
      <c r="Z631" s="59"/>
    </row>
    <row r="632">
      <c r="A632" s="55"/>
      <c r="B632" s="55"/>
      <c r="C632" s="55"/>
      <c r="D632" s="55"/>
      <c r="E632" s="55"/>
      <c r="F632" s="55"/>
      <c r="G632" s="55"/>
      <c r="H632" s="55"/>
      <c r="I632" s="55"/>
      <c r="J632" s="55"/>
      <c r="K632" s="55"/>
      <c r="L632" s="55"/>
      <c r="M632" s="55"/>
      <c r="N632" s="55"/>
      <c r="O632" s="55"/>
      <c r="P632" s="55"/>
      <c r="Q632" s="56"/>
      <c r="R632" s="56"/>
      <c r="S632" s="56"/>
      <c r="T632" s="56"/>
      <c r="U632" s="56"/>
      <c r="V632" s="56"/>
      <c r="W632" s="56"/>
      <c r="X632" s="56"/>
      <c r="Y632" s="56"/>
      <c r="Z632" s="59"/>
    </row>
    <row r="633">
      <c r="A633" s="55"/>
      <c r="B633" s="55"/>
      <c r="C633" s="55"/>
      <c r="D633" s="55"/>
      <c r="E633" s="55"/>
      <c r="F633" s="55"/>
      <c r="G633" s="55"/>
      <c r="H633" s="55"/>
      <c r="I633" s="55"/>
      <c r="J633" s="55"/>
      <c r="K633" s="55"/>
      <c r="L633" s="55"/>
      <c r="M633" s="55"/>
      <c r="N633" s="55"/>
      <c r="O633" s="55"/>
      <c r="P633" s="55"/>
      <c r="Q633" s="56"/>
      <c r="R633" s="56"/>
      <c r="S633" s="56"/>
      <c r="T633" s="56"/>
      <c r="U633" s="56"/>
      <c r="V633" s="56"/>
      <c r="W633" s="56"/>
      <c r="X633" s="56"/>
      <c r="Y633" s="56"/>
      <c r="Z633" s="59"/>
    </row>
    <row r="634">
      <c r="A634" s="55"/>
      <c r="B634" s="55"/>
      <c r="C634" s="55"/>
      <c r="D634" s="55"/>
      <c r="E634" s="55"/>
      <c r="F634" s="55"/>
      <c r="G634" s="55"/>
      <c r="H634" s="55"/>
      <c r="I634" s="55"/>
      <c r="J634" s="55"/>
      <c r="K634" s="55"/>
      <c r="L634" s="55"/>
      <c r="M634" s="55"/>
      <c r="N634" s="55"/>
      <c r="O634" s="55"/>
      <c r="P634" s="55"/>
      <c r="Q634" s="56"/>
      <c r="R634" s="56"/>
      <c r="S634" s="56"/>
      <c r="T634" s="56"/>
      <c r="U634" s="56"/>
      <c r="V634" s="56"/>
      <c r="W634" s="56"/>
      <c r="X634" s="56"/>
      <c r="Y634" s="56"/>
      <c r="Z634" s="59"/>
    </row>
    <row r="635">
      <c r="A635" s="55"/>
      <c r="B635" s="55"/>
      <c r="C635" s="55"/>
      <c r="D635" s="55"/>
      <c r="E635" s="55"/>
      <c r="F635" s="55"/>
      <c r="G635" s="55"/>
      <c r="H635" s="55"/>
      <c r="I635" s="55"/>
      <c r="J635" s="55"/>
      <c r="K635" s="55"/>
      <c r="L635" s="55"/>
      <c r="M635" s="55"/>
      <c r="N635" s="55"/>
      <c r="O635" s="55"/>
      <c r="P635" s="55"/>
      <c r="Q635" s="56"/>
      <c r="R635" s="56"/>
      <c r="S635" s="56"/>
      <c r="T635" s="56"/>
      <c r="U635" s="56"/>
      <c r="V635" s="56"/>
      <c r="W635" s="56"/>
      <c r="X635" s="56"/>
      <c r="Y635" s="56"/>
      <c r="Z635" s="59"/>
    </row>
    <row r="636">
      <c r="A636" s="55"/>
      <c r="B636" s="55"/>
      <c r="C636" s="55"/>
      <c r="D636" s="55"/>
      <c r="E636" s="55"/>
      <c r="F636" s="55"/>
      <c r="G636" s="55"/>
      <c r="H636" s="55"/>
      <c r="I636" s="55"/>
      <c r="J636" s="55"/>
      <c r="K636" s="55"/>
      <c r="L636" s="55"/>
      <c r="M636" s="55"/>
      <c r="N636" s="55"/>
      <c r="O636" s="55"/>
      <c r="P636" s="55"/>
      <c r="Q636" s="56"/>
      <c r="R636" s="56"/>
      <c r="S636" s="56"/>
      <c r="T636" s="56"/>
      <c r="U636" s="56"/>
      <c r="V636" s="56"/>
      <c r="W636" s="56"/>
      <c r="X636" s="56"/>
      <c r="Y636" s="56"/>
      <c r="Z636" s="59"/>
    </row>
    <row r="637">
      <c r="A637" s="55"/>
      <c r="B637" s="55"/>
      <c r="C637" s="55"/>
      <c r="D637" s="55"/>
      <c r="E637" s="55"/>
      <c r="F637" s="55"/>
      <c r="G637" s="55"/>
      <c r="H637" s="55"/>
      <c r="I637" s="55"/>
      <c r="J637" s="55"/>
      <c r="K637" s="55"/>
      <c r="L637" s="55"/>
      <c r="M637" s="55"/>
      <c r="N637" s="55"/>
      <c r="O637" s="55"/>
      <c r="P637" s="55"/>
      <c r="Q637" s="56"/>
      <c r="R637" s="56"/>
      <c r="S637" s="56"/>
      <c r="T637" s="56"/>
      <c r="U637" s="56"/>
      <c r="V637" s="56"/>
      <c r="W637" s="56"/>
      <c r="X637" s="56"/>
      <c r="Y637" s="56"/>
      <c r="Z637" s="59"/>
    </row>
    <row r="638">
      <c r="A638" s="55"/>
      <c r="B638" s="55"/>
      <c r="C638" s="55"/>
      <c r="D638" s="55"/>
      <c r="E638" s="55"/>
      <c r="F638" s="55"/>
      <c r="G638" s="55"/>
      <c r="H638" s="55"/>
      <c r="I638" s="55"/>
      <c r="J638" s="55"/>
      <c r="K638" s="55"/>
      <c r="L638" s="55"/>
      <c r="M638" s="55"/>
      <c r="N638" s="55"/>
      <c r="O638" s="55"/>
      <c r="P638" s="55"/>
      <c r="Q638" s="56"/>
      <c r="R638" s="56"/>
      <c r="S638" s="56"/>
      <c r="T638" s="56"/>
      <c r="U638" s="56"/>
      <c r="V638" s="56"/>
      <c r="W638" s="56"/>
      <c r="X638" s="56"/>
      <c r="Y638" s="56"/>
      <c r="Z638" s="59"/>
    </row>
    <row r="639">
      <c r="A639" s="55"/>
      <c r="B639" s="55"/>
      <c r="C639" s="55"/>
      <c r="D639" s="55"/>
      <c r="E639" s="55"/>
      <c r="F639" s="55"/>
      <c r="G639" s="55"/>
      <c r="H639" s="55"/>
      <c r="I639" s="55"/>
      <c r="J639" s="55"/>
      <c r="K639" s="55"/>
      <c r="L639" s="55"/>
      <c r="M639" s="55"/>
      <c r="N639" s="55"/>
      <c r="O639" s="55"/>
      <c r="P639" s="55"/>
      <c r="Q639" s="56"/>
      <c r="R639" s="56"/>
      <c r="S639" s="56"/>
      <c r="T639" s="56"/>
      <c r="U639" s="56"/>
      <c r="V639" s="56"/>
      <c r="W639" s="56"/>
      <c r="X639" s="56"/>
      <c r="Y639" s="56"/>
      <c r="Z639" s="59"/>
    </row>
    <row r="640">
      <c r="A640" s="55"/>
      <c r="B640" s="55"/>
      <c r="C640" s="55"/>
      <c r="D640" s="55"/>
      <c r="E640" s="55"/>
      <c r="F640" s="55"/>
      <c r="G640" s="55"/>
      <c r="H640" s="55"/>
      <c r="I640" s="55"/>
      <c r="J640" s="55"/>
      <c r="K640" s="55"/>
      <c r="L640" s="55"/>
      <c r="M640" s="55"/>
      <c r="N640" s="55"/>
      <c r="O640" s="55"/>
      <c r="P640" s="55"/>
      <c r="Q640" s="56"/>
      <c r="R640" s="56"/>
      <c r="S640" s="56"/>
      <c r="T640" s="56"/>
      <c r="U640" s="56"/>
      <c r="V640" s="56"/>
      <c r="W640" s="56"/>
      <c r="X640" s="56"/>
      <c r="Y640" s="56"/>
      <c r="Z640" s="59"/>
    </row>
    <row r="641">
      <c r="A641" s="55"/>
      <c r="B641" s="55"/>
      <c r="C641" s="55"/>
      <c r="D641" s="55"/>
      <c r="E641" s="55"/>
      <c r="F641" s="55"/>
      <c r="G641" s="55"/>
      <c r="H641" s="55"/>
      <c r="I641" s="55"/>
      <c r="J641" s="55"/>
      <c r="K641" s="55"/>
      <c r="L641" s="55"/>
      <c r="M641" s="55"/>
      <c r="N641" s="55"/>
      <c r="O641" s="55"/>
      <c r="P641" s="55"/>
      <c r="Q641" s="56"/>
      <c r="R641" s="56"/>
      <c r="S641" s="56"/>
      <c r="T641" s="56"/>
      <c r="U641" s="56"/>
      <c r="V641" s="56"/>
      <c r="W641" s="56"/>
      <c r="X641" s="56"/>
      <c r="Y641" s="56"/>
      <c r="Z641" s="59"/>
    </row>
    <row r="642">
      <c r="A642" s="55"/>
      <c r="B642" s="55"/>
      <c r="C642" s="55"/>
      <c r="D642" s="55"/>
      <c r="E642" s="55"/>
      <c r="F642" s="55"/>
      <c r="G642" s="55"/>
      <c r="H642" s="55"/>
      <c r="I642" s="55"/>
      <c r="J642" s="55"/>
      <c r="K642" s="55"/>
      <c r="L642" s="55"/>
      <c r="M642" s="55"/>
      <c r="N642" s="55"/>
      <c r="O642" s="55"/>
      <c r="P642" s="55"/>
      <c r="Q642" s="56"/>
      <c r="R642" s="56"/>
      <c r="S642" s="56"/>
      <c r="T642" s="56"/>
      <c r="U642" s="56"/>
      <c r="V642" s="56"/>
      <c r="W642" s="56"/>
      <c r="X642" s="56"/>
      <c r="Y642" s="56"/>
      <c r="Z642" s="59"/>
    </row>
    <row r="643">
      <c r="A643" s="55"/>
      <c r="B643" s="55"/>
      <c r="C643" s="55"/>
      <c r="D643" s="55"/>
      <c r="E643" s="55"/>
      <c r="F643" s="55"/>
      <c r="G643" s="55"/>
      <c r="H643" s="55"/>
      <c r="I643" s="55"/>
      <c r="J643" s="55"/>
      <c r="K643" s="55"/>
      <c r="L643" s="55"/>
      <c r="M643" s="55"/>
      <c r="N643" s="55"/>
      <c r="O643" s="55"/>
      <c r="P643" s="55"/>
      <c r="Q643" s="56"/>
      <c r="R643" s="56"/>
      <c r="S643" s="56"/>
      <c r="T643" s="56"/>
      <c r="U643" s="56"/>
      <c r="V643" s="56"/>
      <c r="W643" s="56"/>
      <c r="X643" s="56"/>
      <c r="Y643" s="56"/>
      <c r="Z643" s="59"/>
    </row>
    <row r="644">
      <c r="A644" s="55"/>
      <c r="B644" s="55"/>
      <c r="C644" s="55"/>
      <c r="D644" s="55"/>
      <c r="E644" s="55"/>
      <c r="F644" s="55"/>
      <c r="G644" s="55"/>
      <c r="H644" s="55"/>
      <c r="I644" s="55"/>
      <c r="J644" s="55"/>
      <c r="K644" s="55"/>
      <c r="L644" s="55"/>
      <c r="M644" s="55"/>
      <c r="N644" s="55"/>
      <c r="O644" s="55"/>
      <c r="P644" s="55"/>
      <c r="Q644" s="56"/>
      <c r="R644" s="56"/>
      <c r="S644" s="56"/>
      <c r="T644" s="56"/>
      <c r="U644" s="56"/>
      <c r="V644" s="56"/>
      <c r="W644" s="56"/>
      <c r="X644" s="56"/>
      <c r="Y644" s="56"/>
      <c r="Z644" s="59"/>
    </row>
    <row r="645">
      <c r="A645" s="55"/>
      <c r="B645" s="55"/>
      <c r="C645" s="55"/>
      <c r="D645" s="55"/>
      <c r="E645" s="55"/>
      <c r="F645" s="55"/>
      <c r="G645" s="55"/>
      <c r="H645" s="55"/>
      <c r="I645" s="55"/>
      <c r="J645" s="55"/>
      <c r="K645" s="55"/>
      <c r="L645" s="55"/>
      <c r="M645" s="55"/>
      <c r="N645" s="55"/>
      <c r="O645" s="55"/>
      <c r="P645" s="55"/>
      <c r="Q645" s="56"/>
      <c r="R645" s="56"/>
      <c r="S645" s="56"/>
      <c r="T645" s="56"/>
      <c r="U645" s="56"/>
      <c r="V645" s="56"/>
      <c r="W645" s="56"/>
      <c r="X645" s="56"/>
      <c r="Y645" s="56"/>
      <c r="Z645" s="59"/>
    </row>
    <row r="646">
      <c r="A646" s="55"/>
      <c r="B646" s="55"/>
      <c r="C646" s="55"/>
      <c r="D646" s="55"/>
      <c r="E646" s="55"/>
      <c r="F646" s="55"/>
      <c r="G646" s="55"/>
      <c r="H646" s="55"/>
      <c r="I646" s="55"/>
      <c r="J646" s="55"/>
      <c r="K646" s="55"/>
      <c r="L646" s="55"/>
      <c r="M646" s="55"/>
      <c r="N646" s="55"/>
      <c r="O646" s="55"/>
      <c r="P646" s="55"/>
      <c r="Q646" s="56"/>
      <c r="R646" s="56"/>
      <c r="S646" s="56"/>
      <c r="T646" s="56"/>
      <c r="U646" s="56"/>
      <c r="V646" s="56"/>
      <c r="W646" s="56"/>
      <c r="X646" s="56"/>
      <c r="Y646" s="56"/>
      <c r="Z646" s="59"/>
    </row>
    <row r="647">
      <c r="A647" s="55"/>
      <c r="B647" s="55"/>
      <c r="C647" s="55"/>
      <c r="D647" s="55"/>
      <c r="E647" s="55"/>
      <c r="F647" s="55"/>
      <c r="G647" s="55"/>
      <c r="H647" s="55"/>
      <c r="I647" s="55"/>
      <c r="J647" s="55"/>
      <c r="K647" s="55"/>
      <c r="L647" s="55"/>
      <c r="M647" s="55"/>
      <c r="N647" s="55"/>
      <c r="O647" s="55"/>
      <c r="P647" s="55"/>
      <c r="Q647" s="56"/>
      <c r="R647" s="56"/>
      <c r="S647" s="56"/>
      <c r="T647" s="56"/>
      <c r="U647" s="56"/>
      <c r="V647" s="56"/>
      <c r="W647" s="56"/>
      <c r="X647" s="56"/>
      <c r="Y647" s="56"/>
      <c r="Z647" s="59"/>
    </row>
    <row r="648">
      <c r="A648" s="55"/>
      <c r="B648" s="55"/>
      <c r="C648" s="55"/>
      <c r="D648" s="55"/>
      <c r="E648" s="55"/>
      <c r="F648" s="55"/>
      <c r="G648" s="55"/>
      <c r="H648" s="55"/>
      <c r="I648" s="55"/>
      <c r="J648" s="55"/>
      <c r="K648" s="55"/>
      <c r="L648" s="55"/>
      <c r="M648" s="55"/>
      <c r="N648" s="55"/>
      <c r="O648" s="55"/>
      <c r="P648" s="55"/>
      <c r="Q648" s="56"/>
      <c r="R648" s="56"/>
      <c r="S648" s="56"/>
      <c r="T648" s="56"/>
      <c r="U648" s="56"/>
      <c r="V648" s="56"/>
      <c r="W648" s="56"/>
      <c r="X648" s="56"/>
      <c r="Y648" s="56"/>
      <c r="Z648" s="59"/>
    </row>
    <row r="649">
      <c r="A649" s="55"/>
      <c r="B649" s="55"/>
      <c r="C649" s="55"/>
      <c r="D649" s="55"/>
      <c r="E649" s="55"/>
      <c r="F649" s="55"/>
      <c r="G649" s="55"/>
      <c r="H649" s="55"/>
      <c r="I649" s="55"/>
      <c r="J649" s="55"/>
      <c r="K649" s="55"/>
      <c r="L649" s="55"/>
      <c r="M649" s="55"/>
      <c r="N649" s="55"/>
      <c r="O649" s="55"/>
      <c r="P649" s="55"/>
      <c r="Q649" s="56"/>
      <c r="R649" s="56"/>
      <c r="S649" s="56"/>
      <c r="T649" s="56"/>
      <c r="U649" s="56"/>
      <c r="V649" s="56"/>
      <c r="W649" s="56"/>
      <c r="X649" s="56"/>
      <c r="Y649" s="56"/>
      <c r="Z649" s="59"/>
    </row>
    <row r="650">
      <c r="A650" s="55"/>
      <c r="B650" s="55"/>
      <c r="C650" s="55"/>
      <c r="D650" s="55"/>
      <c r="E650" s="55"/>
      <c r="F650" s="55"/>
      <c r="G650" s="55"/>
      <c r="H650" s="55"/>
      <c r="I650" s="55"/>
      <c r="J650" s="55"/>
      <c r="K650" s="55"/>
      <c r="L650" s="55"/>
      <c r="M650" s="55"/>
      <c r="N650" s="55"/>
      <c r="O650" s="55"/>
      <c r="P650" s="55"/>
      <c r="Q650" s="56"/>
      <c r="R650" s="56"/>
      <c r="S650" s="56"/>
      <c r="T650" s="56"/>
      <c r="U650" s="56"/>
      <c r="V650" s="56"/>
      <c r="W650" s="56"/>
      <c r="X650" s="56"/>
      <c r="Y650" s="56"/>
      <c r="Z650" s="59"/>
    </row>
    <row r="651">
      <c r="A651" s="55"/>
      <c r="B651" s="55"/>
      <c r="C651" s="55"/>
      <c r="D651" s="55"/>
      <c r="E651" s="55"/>
      <c r="F651" s="55"/>
      <c r="G651" s="55"/>
      <c r="H651" s="55"/>
      <c r="I651" s="55"/>
      <c r="J651" s="55"/>
      <c r="K651" s="55"/>
      <c r="L651" s="55"/>
      <c r="M651" s="55"/>
      <c r="N651" s="55"/>
      <c r="O651" s="55"/>
      <c r="P651" s="55"/>
      <c r="Q651" s="56"/>
      <c r="R651" s="56"/>
      <c r="S651" s="56"/>
      <c r="T651" s="56"/>
      <c r="U651" s="56"/>
      <c r="V651" s="56"/>
      <c r="W651" s="56"/>
      <c r="X651" s="56"/>
      <c r="Y651" s="56"/>
      <c r="Z651" s="59"/>
    </row>
    <row r="652">
      <c r="A652" s="55"/>
      <c r="B652" s="55"/>
      <c r="C652" s="55"/>
      <c r="D652" s="55"/>
      <c r="E652" s="55"/>
      <c r="F652" s="55"/>
      <c r="G652" s="55"/>
      <c r="H652" s="55"/>
      <c r="I652" s="55"/>
      <c r="J652" s="55"/>
      <c r="K652" s="55"/>
      <c r="L652" s="55"/>
      <c r="M652" s="55"/>
      <c r="N652" s="55"/>
      <c r="O652" s="55"/>
      <c r="P652" s="55"/>
      <c r="Q652" s="56"/>
      <c r="R652" s="56"/>
      <c r="S652" s="56"/>
      <c r="T652" s="56"/>
      <c r="U652" s="56"/>
      <c r="V652" s="56"/>
      <c r="W652" s="56"/>
      <c r="X652" s="56"/>
      <c r="Y652" s="56"/>
      <c r="Z652" s="59"/>
    </row>
    <row r="653">
      <c r="A653" s="55"/>
      <c r="B653" s="55"/>
      <c r="C653" s="55"/>
      <c r="D653" s="55"/>
      <c r="E653" s="55"/>
      <c r="F653" s="55"/>
      <c r="G653" s="55"/>
      <c r="H653" s="55"/>
      <c r="I653" s="55"/>
      <c r="J653" s="55"/>
      <c r="K653" s="55"/>
      <c r="L653" s="55"/>
      <c r="M653" s="55"/>
      <c r="N653" s="55"/>
      <c r="O653" s="55"/>
      <c r="P653" s="55"/>
      <c r="Q653" s="56"/>
      <c r="R653" s="56"/>
      <c r="S653" s="56"/>
      <c r="T653" s="56"/>
      <c r="U653" s="56"/>
      <c r="V653" s="56"/>
      <c r="W653" s="56"/>
      <c r="X653" s="56"/>
      <c r="Y653" s="56"/>
      <c r="Z653" s="59"/>
    </row>
    <row r="654">
      <c r="A654" s="55"/>
      <c r="B654" s="55"/>
      <c r="C654" s="55"/>
      <c r="D654" s="55"/>
      <c r="E654" s="55"/>
      <c r="F654" s="55"/>
      <c r="G654" s="55"/>
      <c r="H654" s="55"/>
      <c r="I654" s="55"/>
      <c r="J654" s="55"/>
      <c r="K654" s="55"/>
      <c r="L654" s="55"/>
      <c r="M654" s="55"/>
      <c r="N654" s="55"/>
      <c r="O654" s="55"/>
      <c r="P654" s="55"/>
      <c r="Q654" s="56"/>
      <c r="R654" s="56"/>
      <c r="S654" s="56"/>
      <c r="T654" s="56"/>
      <c r="U654" s="56"/>
      <c r="V654" s="56"/>
      <c r="W654" s="56"/>
      <c r="X654" s="56"/>
      <c r="Y654" s="56"/>
      <c r="Z654" s="59"/>
    </row>
    <row r="655">
      <c r="A655" s="55"/>
      <c r="B655" s="55"/>
      <c r="C655" s="55"/>
      <c r="D655" s="55"/>
      <c r="E655" s="55"/>
      <c r="F655" s="55"/>
      <c r="G655" s="55"/>
      <c r="H655" s="55"/>
      <c r="I655" s="55"/>
      <c r="J655" s="55"/>
      <c r="K655" s="55"/>
      <c r="L655" s="55"/>
      <c r="M655" s="55"/>
      <c r="N655" s="55"/>
      <c r="O655" s="55"/>
      <c r="P655" s="55"/>
      <c r="Q655" s="56"/>
      <c r="R655" s="56"/>
      <c r="S655" s="56"/>
      <c r="T655" s="56"/>
      <c r="U655" s="56"/>
      <c r="V655" s="56"/>
      <c r="W655" s="56"/>
      <c r="X655" s="56"/>
      <c r="Y655" s="56"/>
      <c r="Z655" s="59"/>
    </row>
    <row r="656">
      <c r="A656" s="55"/>
      <c r="B656" s="55"/>
      <c r="C656" s="55"/>
      <c r="D656" s="55"/>
      <c r="E656" s="55"/>
      <c r="F656" s="55"/>
      <c r="G656" s="55"/>
      <c r="H656" s="55"/>
      <c r="I656" s="55"/>
      <c r="J656" s="55"/>
      <c r="K656" s="55"/>
      <c r="L656" s="55"/>
      <c r="M656" s="55"/>
      <c r="N656" s="55"/>
      <c r="O656" s="55"/>
      <c r="P656" s="55"/>
      <c r="Q656" s="56"/>
      <c r="R656" s="56"/>
      <c r="S656" s="56"/>
      <c r="T656" s="56"/>
      <c r="U656" s="56"/>
      <c r="V656" s="56"/>
      <c r="W656" s="56"/>
      <c r="X656" s="56"/>
      <c r="Y656" s="56"/>
      <c r="Z656" s="59"/>
    </row>
    <row r="657">
      <c r="A657" s="55"/>
      <c r="B657" s="55"/>
      <c r="C657" s="55"/>
      <c r="D657" s="55"/>
      <c r="E657" s="55"/>
      <c r="F657" s="55"/>
      <c r="G657" s="55"/>
      <c r="H657" s="55"/>
      <c r="I657" s="55"/>
      <c r="J657" s="55"/>
      <c r="K657" s="55"/>
      <c r="L657" s="55"/>
      <c r="M657" s="55"/>
      <c r="N657" s="55"/>
      <c r="O657" s="55"/>
      <c r="P657" s="55"/>
      <c r="Q657" s="56"/>
      <c r="R657" s="56"/>
      <c r="S657" s="56"/>
      <c r="T657" s="56"/>
      <c r="U657" s="56"/>
      <c r="V657" s="56"/>
      <c r="W657" s="56"/>
      <c r="X657" s="56"/>
      <c r="Y657" s="56"/>
      <c r="Z657" s="59"/>
    </row>
    <row r="658">
      <c r="A658" s="55"/>
      <c r="B658" s="55"/>
      <c r="C658" s="55"/>
      <c r="D658" s="55"/>
      <c r="E658" s="55"/>
      <c r="F658" s="55"/>
      <c r="G658" s="55"/>
      <c r="H658" s="55"/>
      <c r="I658" s="55"/>
      <c r="J658" s="55"/>
      <c r="K658" s="55"/>
      <c r="L658" s="55"/>
      <c r="M658" s="55"/>
      <c r="N658" s="55"/>
      <c r="O658" s="55"/>
      <c r="P658" s="55"/>
      <c r="Q658" s="56"/>
      <c r="R658" s="56"/>
      <c r="S658" s="56"/>
      <c r="T658" s="56"/>
      <c r="U658" s="56"/>
      <c r="V658" s="56"/>
      <c r="W658" s="56"/>
      <c r="X658" s="56"/>
      <c r="Y658" s="56"/>
      <c r="Z658" s="59"/>
    </row>
    <row r="659">
      <c r="A659" s="55"/>
      <c r="B659" s="55"/>
      <c r="C659" s="55"/>
      <c r="D659" s="55"/>
      <c r="E659" s="55"/>
      <c r="F659" s="55"/>
      <c r="G659" s="55"/>
      <c r="H659" s="55"/>
      <c r="I659" s="55"/>
      <c r="J659" s="55"/>
      <c r="K659" s="55"/>
      <c r="L659" s="55"/>
      <c r="M659" s="55"/>
      <c r="N659" s="55"/>
      <c r="O659" s="55"/>
      <c r="P659" s="55"/>
      <c r="Q659" s="56"/>
      <c r="R659" s="56"/>
      <c r="S659" s="56"/>
      <c r="T659" s="56"/>
      <c r="U659" s="56"/>
      <c r="V659" s="56"/>
      <c r="W659" s="56"/>
      <c r="X659" s="56"/>
      <c r="Y659" s="56"/>
      <c r="Z659" s="59"/>
    </row>
    <row r="660">
      <c r="A660" s="55"/>
      <c r="B660" s="55"/>
      <c r="C660" s="55"/>
      <c r="D660" s="55"/>
      <c r="E660" s="55"/>
      <c r="F660" s="55"/>
      <c r="G660" s="55"/>
      <c r="H660" s="55"/>
      <c r="I660" s="55"/>
      <c r="J660" s="55"/>
      <c r="K660" s="55"/>
      <c r="L660" s="55"/>
      <c r="M660" s="55"/>
      <c r="N660" s="55"/>
      <c r="O660" s="55"/>
      <c r="P660" s="55"/>
      <c r="Q660" s="56"/>
      <c r="R660" s="56"/>
      <c r="S660" s="56"/>
      <c r="T660" s="56"/>
      <c r="U660" s="56"/>
      <c r="V660" s="56"/>
      <c r="W660" s="56"/>
      <c r="X660" s="56"/>
      <c r="Y660" s="56"/>
      <c r="Z660" s="59"/>
    </row>
    <row r="661">
      <c r="A661" s="55"/>
      <c r="B661" s="55"/>
      <c r="C661" s="55"/>
      <c r="D661" s="55"/>
      <c r="E661" s="55"/>
      <c r="F661" s="55"/>
      <c r="G661" s="55"/>
      <c r="H661" s="55"/>
      <c r="I661" s="55"/>
      <c r="J661" s="55"/>
      <c r="K661" s="55"/>
      <c r="L661" s="55"/>
      <c r="M661" s="55"/>
      <c r="N661" s="55"/>
      <c r="O661" s="55"/>
      <c r="P661" s="55"/>
      <c r="Q661" s="56"/>
      <c r="R661" s="56"/>
      <c r="S661" s="56"/>
      <c r="T661" s="56"/>
      <c r="U661" s="56"/>
      <c r="V661" s="56"/>
      <c r="W661" s="56"/>
      <c r="X661" s="56"/>
      <c r="Y661" s="56"/>
      <c r="Z661" s="59"/>
    </row>
    <row r="662">
      <c r="A662" s="55"/>
      <c r="B662" s="55"/>
      <c r="C662" s="55"/>
      <c r="D662" s="55"/>
      <c r="E662" s="55"/>
      <c r="F662" s="55"/>
      <c r="G662" s="55"/>
      <c r="H662" s="55"/>
      <c r="I662" s="55"/>
      <c r="J662" s="55"/>
      <c r="K662" s="55"/>
      <c r="L662" s="55"/>
      <c r="M662" s="55"/>
      <c r="N662" s="55"/>
      <c r="O662" s="55"/>
      <c r="P662" s="55"/>
      <c r="Q662" s="56"/>
      <c r="R662" s="56"/>
      <c r="S662" s="56"/>
      <c r="T662" s="56"/>
      <c r="U662" s="56"/>
      <c r="V662" s="56"/>
      <c r="W662" s="56"/>
      <c r="X662" s="56"/>
      <c r="Y662" s="56"/>
      <c r="Z662" s="59"/>
    </row>
    <row r="663">
      <c r="A663" s="55"/>
      <c r="B663" s="55"/>
      <c r="C663" s="55"/>
      <c r="D663" s="55"/>
      <c r="E663" s="55"/>
      <c r="F663" s="55"/>
      <c r="G663" s="55"/>
      <c r="H663" s="55"/>
      <c r="I663" s="55"/>
      <c r="J663" s="55"/>
      <c r="K663" s="55"/>
      <c r="L663" s="55"/>
      <c r="M663" s="55"/>
      <c r="N663" s="55"/>
      <c r="O663" s="55"/>
      <c r="P663" s="55"/>
      <c r="Q663" s="56"/>
      <c r="R663" s="56"/>
      <c r="S663" s="56"/>
      <c r="T663" s="56"/>
      <c r="U663" s="56"/>
      <c r="V663" s="56"/>
      <c r="W663" s="56"/>
      <c r="X663" s="56"/>
      <c r="Y663" s="56"/>
      <c r="Z663" s="59"/>
    </row>
    <row r="664">
      <c r="A664" s="55"/>
      <c r="B664" s="55"/>
      <c r="C664" s="55"/>
      <c r="D664" s="55"/>
      <c r="E664" s="55"/>
      <c r="F664" s="55"/>
      <c r="G664" s="55"/>
      <c r="H664" s="55"/>
      <c r="I664" s="55"/>
      <c r="J664" s="55"/>
      <c r="K664" s="55"/>
      <c r="L664" s="55"/>
      <c r="M664" s="55"/>
      <c r="N664" s="55"/>
      <c r="O664" s="55"/>
      <c r="P664" s="55"/>
      <c r="Q664" s="56"/>
      <c r="R664" s="56"/>
      <c r="S664" s="56"/>
      <c r="T664" s="56"/>
      <c r="U664" s="56"/>
      <c r="V664" s="56"/>
      <c r="W664" s="56"/>
      <c r="X664" s="56"/>
      <c r="Y664" s="56"/>
      <c r="Z664" s="59"/>
    </row>
    <row r="665">
      <c r="A665" s="55"/>
      <c r="B665" s="55"/>
      <c r="C665" s="55"/>
      <c r="D665" s="55"/>
      <c r="E665" s="55"/>
      <c r="F665" s="55"/>
      <c r="G665" s="55"/>
      <c r="H665" s="55"/>
      <c r="I665" s="55"/>
      <c r="J665" s="55"/>
      <c r="K665" s="55"/>
      <c r="L665" s="55"/>
      <c r="M665" s="55"/>
      <c r="N665" s="55"/>
      <c r="O665" s="55"/>
      <c r="P665" s="55"/>
      <c r="Q665" s="56"/>
      <c r="R665" s="56"/>
      <c r="S665" s="56"/>
      <c r="T665" s="56"/>
      <c r="U665" s="56"/>
      <c r="V665" s="56"/>
      <c r="W665" s="56"/>
      <c r="X665" s="56"/>
      <c r="Y665" s="56"/>
      <c r="Z665" s="59"/>
    </row>
    <row r="666">
      <c r="A666" s="55"/>
      <c r="B666" s="55"/>
      <c r="C666" s="55"/>
      <c r="D666" s="55"/>
      <c r="E666" s="55"/>
      <c r="F666" s="55"/>
      <c r="G666" s="55"/>
      <c r="H666" s="55"/>
      <c r="I666" s="55"/>
      <c r="J666" s="55"/>
      <c r="K666" s="55"/>
      <c r="L666" s="55"/>
      <c r="M666" s="55"/>
      <c r="N666" s="55"/>
      <c r="O666" s="55"/>
      <c r="P666" s="55"/>
      <c r="Q666" s="56"/>
      <c r="R666" s="56"/>
      <c r="S666" s="56"/>
      <c r="T666" s="56"/>
      <c r="U666" s="56"/>
      <c r="V666" s="56"/>
      <c r="W666" s="56"/>
      <c r="X666" s="56"/>
      <c r="Y666" s="56"/>
      <c r="Z666" s="59"/>
    </row>
    <row r="667">
      <c r="A667" s="55"/>
      <c r="B667" s="55"/>
      <c r="C667" s="55"/>
      <c r="D667" s="55"/>
      <c r="E667" s="55"/>
      <c r="F667" s="55"/>
      <c r="G667" s="55"/>
      <c r="H667" s="55"/>
      <c r="I667" s="55"/>
      <c r="J667" s="55"/>
      <c r="K667" s="55"/>
      <c r="L667" s="55"/>
      <c r="M667" s="55"/>
      <c r="N667" s="55"/>
      <c r="O667" s="55"/>
      <c r="P667" s="55"/>
      <c r="Q667" s="56"/>
      <c r="R667" s="56"/>
      <c r="S667" s="56"/>
      <c r="T667" s="56"/>
      <c r="U667" s="56"/>
      <c r="V667" s="56"/>
      <c r="W667" s="56"/>
      <c r="X667" s="56"/>
      <c r="Y667" s="56"/>
      <c r="Z667" s="59"/>
    </row>
    <row r="668">
      <c r="A668" s="55"/>
      <c r="B668" s="55"/>
      <c r="C668" s="55"/>
      <c r="D668" s="55"/>
      <c r="E668" s="55"/>
      <c r="F668" s="55"/>
      <c r="G668" s="55"/>
      <c r="H668" s="55"/>
      <c r="I668" s="55"/>
      <c r="J668" s="55"/>
      <c r="K668" s="55"/>
      <c r="L668" s="55"/>
      <c r="M668" s="55"/>
      <c r="N668" s="55"/>
      <c r="O668" s="55"/>
      <c r="P668" s="55"/>
      <c r="Q668" s="56"/>
      <c r="R668" s="56"/>
      <c r="S668" s="56"/>
      <c r="T668" s="56"/>
      <c r="U668" s="56"/>
      <c r="V668" s="56"/>
      <c r="W668" s="56"/>
      <c r="X668" s="56"/>
      <c r="Y668" s="56"/>
      <c r="Z668" s="59"/>
    </row>
    <row r="669">
      <c r="A669" s="55"/>
      <c r="B669" s="55"/>
      <c r="C669" s="55"/>
      <c r="D669" s="55"/>
      <c r="E669" s="55"/>
      <c r="F669" s="55"/>
      <c r="G669" s="55"/>
      <c r="H669" s="55"/>
      <c r="I669" s="55"/>
      <c r="J669" s="55"/>
      <c r="K669" s="55"/>
      <c r="L669" s="55"/>
      <c r="M669" s="55"/>
      <c r="N669" s="55"/>
      <c r="O669" s="55"/>
      <c r="P669" s="55"/>
      <c r="Q669" s="56"/>
      <c r="R669" s="56"/>
      <c r="S669" s="56"/>
      <c r="T669" s="56"/>
      <c r="U669" s="56"/>
      <c r="V669" s="56"/>
      <c r="W669" s="56"/>
      <c r="X669" s="56"/>
      <c r="Y669" s="56"/>
      <c r="Z669" s="59"/>
    </row>
    <row r="670">
      <c r="A670" s="55"/>
      <c r="B670" s="55"/>
      <c r="C670" s="55"/>
      <c r="D670" s="55"/>
      <c r="E670" s="55"/>
      <c r="F670" s="55"/>
      <c r="G670" s="55"/>
      <c r="H670" s="55"/>
      <c r="I670" s="55"/>
      <c r="J670" s="55"/>
      <c r="K670" s="55"/>
      <c r="L670" s="55"/>
      <c r="M670" s="55"/>
      <c r="N670" s="55"/>
      <c r="O670" s="55"/>
      <c r="P670" s="55"/>
      <c r="Q670" s="56"/>
      <c r="R670" s="56"/>
      <c r="S670" s="56"/>
      <c r="T670" s="56"/>
      <c r="U670" s="56"/>
      <c r="V670" s="56"/>
      <c r="W670" s="56"/>
      <c r="X670" s="56"/>
      <c r="Y670" s="56"/>
      <c r="Z670" s="59"/>
    </row>
    <row r="671">
      <c r="A671" s="55"/>
      <c r="B671" s="55"/>
      <c r="C671" s="55"/>
      <c r="D671" s="55"/>
      <c r="E671" s="55"/>
      <c r="F671" s="55"/>
      <c r="G671" s="55"/>
      <c r="H671" s="55"/>
      <c r="I671" s="55"/>
      <c r="J671" s="55"/>
      <c r="K671" s="55"/>
      <c r="L671" s="55"/>
      <c r="M671" s="55"/>
      <c r="N671" s="55"/>
      <c r="O671" s="55"/>
      <c r="P671" s="55"/>
      <c r="Q671" s="56"/>
      <c r="R671" s="56"/>
      <c r="S671" s="56"/>
      <c r="T671" s="56"/>
      <c r="U671" s="56"/>
      <c r="V671" s="56"/>
      <c r="W671" s="56"/>
      <c r="X671" s="56"/>
      <c r="Y671" s="56"/>
      <c r="Z671" s="59"/>
    </row>
    <row r="672">
      <c r="A672" s="55"/>
      <c r="B672" s="55"/>
      <c r="C672" s="55"/>
      <c r="D672" s="55"/>
      <c r="E672" s="55"/>
      <c r="F672" s="55"/>
      <c r="G672" s="55"/>
      <c r="H672" s="55"/>
      <c r="I672" s="55"/>
      <c r="J672" s="55"/>
      <c r="K672" s="55"/>
      <c r="L672" s="55"/>
      <c r="M672" s="55"/>
      <c r="N672" s="55"/>
      <c r="O672" s="55"/>
      <c r="P672" s="55"/>
      <c r="Q672" s="56"/>
      <c r="R672" s="56"/>
      <c r="S672" s="56"/>
      <c r="T672" s="56"/>
      <c r="U672" s="56"/>
      <c r="V672" s="56"/>
      <c r="W672" s="56"/>
      <c r="X672" s="56"/>
      <c r="Y672" s="56"/>
      <c r="Z672" s="59"/>
    </row>
    <row r="673">
      <c r="A673" s="55"/>
      <c r="B673" s="55"/>
      <c r="C673" s="55"/>
      <c r="D673" s="55"/>
      <c r="E673" s="55"/>
      <c r="F673" s="55"/>
      <c r="G673" s="55"/>
      <c r="H673" s="55"/>
      <c r="I673" s="55"/>
      <c r="J673" s="55"/>
      <c r="K673" s="55"/>
      <c r="L673" s="55"/>
      <c r="M673" s="55"/>
      <c r="N673" s="55"/>
      <c r="O673" s="55"/>
      <c r="P673" s="55"/>
      <c r="Q673" s="56"/>
      <c r="R673" s="56"/>
      <c r="S673" s="56"/>
      <c r="T673" s="56"/>
      <c r="U673" s="56"/>
      <c r="V673" s="56"/>
      <c r="W673" s="56"/>
      <c r="X673" s="56"/>
      <c r="Y673" s="56"/>
      <c r="Z673" s="59"/>
    </row>
    <row r="674">
      <c r="A674" s="55"/>
      <c r="B674" s="55"/>
      <c r="C674" s="55"/>
      <c r="D674" s="55"/>
      <c r="E674" s="55"/>
      <c r="F674" s="55"/>
      <c r="G674" s="55"/>
      <c r="H674" s="55"/>
      <c r="I674" s="55"/>
      <c r="J674" s="55"/>
      <c r="K674" s="55"/>
      <c r="L674" s="55"/>
      <c r="M674" s="55"/>
      <c r="N674" s="55"/>
      <c r="O674" s="55"/>
      <c r="P674" s="55"/>
      <c r="Q674" s="56"/>
      <c r="R674" s="56"/>
      <c r="S674" s="56"/>
      <c r="T674" s="56"/>
      <c r="U674" s="56"/>
      <c r="V674" s="56"/>
      <c r="W674" s="56"/>
      <c r="X674" s="56"/>
      <c r="Y674" s="56"/>
      <c r="Z674" s="59"/>
    </row>
    <row r="675">
      <c r="A675" s="55"/>
      <c r="B675" s="55"/>
      <c r="C675" s="55"/>
      <c r="D675" s="55"/>
      <c r="E675" s="55"/>
      <c r="F675" s="55"/>
      <c r="G675" s="55"/>
      <c r="H675" s="55"/>
      <c r="I675" s="55"/>
      <c r="J675" s="55"/>
      <c r="K675" s="55"/>
      <c r="L675" s="55"/>
      <c r="M675" s="55"/>
      <c r="N675" s="55"/>
      <c r="O675" s="55"/>
      <c r="P675" s="55"/>
      <c r="Q675" s="56"/>
      <c r="R675" s="56"/>
      <c r="S675" s="56"/>
      <c r="T675" s="56"/>
      <c r="U675" s="56"/>
      <c r="V675" s="56"/>
      <c r="W675" s="56"/>
      <c r="X675" s="56"/>
      <c r="Y675" s="56"/>
      <c r="Z675" s="59"/>
    </row>
    <row r="676">
      <c r="A676" s="55"/>
      <c r="B676" s="55"/>
      <c r="C676" s="55"/>
      <c r="D676" s="55"/>
      <c r="E676" s="55"/>
      <c r="F676" s="55"/>
      <c r="G676" s="55"/>
      <c r="H676" s="55"/>
      <c r="I676" s="55"/>
      <c r="J676" s="55"/>
      <c r="K676" s="55"/>
      <c r="L676" s="55"/>
      <c r="M676" s="55"/>
      <c r="N676" s="55"/>
      <c r="O676" s="55"/>
      <c r="P676" s="55"/>
      <c r="Q676" s="56"/>
      <c r="R676" s="56"/>
      <c r="S676" s="56"/>
      <c r="T676" s="56"/>
      <c r="U676" s="56"/>
      <c r="V676" s="56"/>
      <c r="W676" s="56"/>
      <c r="X676" s="56"/>
      <c r="Y676" s="56"/>
      <c r="Z676" s="59"/>
    </row>
    <row r="677">
      <c r="A677" s="55"/>
      <c r="B677" s="55"/>
      <c r="C677" s="55"/>
      <c r="D677" s="55"/>
      <c r="E677" s="55"/>
      <c r="F677" s="55"/>
      <c r="G677" s="55"/>
      <c r="H677" s="55"/>
      <c r="I677" s="55"/>
      <c r="J677" s="55"/>
      <c r="K677" s="55"/>
      <c r="L677" s="55"/>
      <c r="M677" s="55"/>
      <c r="N677" s="55"/>
      <c r="O677" s="55"/>
      <c r="P677" s="55"/>
      <c r="Q677" s="56"/>
      <c r="R677" s="56"/>
      <c r="S677" s="56"/>
      <c r="T677" s="56"/>
      <c r="U677" s="56"/>
      <c r="V677" s="56"/>
      <c r="W677" s="56"/>
      <c r="X677" s="56"/>
      <c r="Y677" s="56"/>
      <c r="Z677" s="59"/>
    </row>
    <row r="678">
      <c r="A678" s="55"/>
      <c r="B678" s="55"/>
      <c r="C678" s="55"/>
      <c r="D678" s="55"/>
      <c r="E678" s="55"/>
      <c r="F678" s="55"/>
      <c r="G678" s="55"/>
      <c r="H678" s="55"/>
      <c r="I678" s="55"/>
      <c r="J678" s="55"/>
      <c r="K678" s="55"/>
      <c r="L678" s="55"/>
      <c r="M678" s="55"/>
      <c r="N678" s="55"/>
      <c r="O678" s="55"/>
      <c r="P678" s="55"/>
      <c r="Q678" s="56"/>
      <c r="R678" s="56"/>
      <c r="S678" s="56"/>
      <c r="T678" s="56"/>
      <c r="U678" s="56"/>
      <c r="V678" s="56"/>
      <c r="W678" s="56"/>
      <c r="X678" s="56"/>
      <c r="Y678" s="56"/>
      <c r="Z678" s="59"/>
    </row>
    <row r="679">
      <c r="A679" s="55"/>
      <c r="B679" s="55"/>
      <c r="C679" s="55"/>
      <c r="D679" s="55"/>
      <c r="E679" s="55"/>
      <c r="F679" s="55"/>
      <c r="G679" s="55"/>
      <c r="H679" s="55"/>
      <c r="I679" s="55"/>
      <c r="J679" s="55"/>
      <c r="K679" s="55"/>
      <c r="L679" s="55"/>
      <c r="M679" s="55"/>
      <c r="N679" s="55"/>
      <c r="O679" s="55"/>
      <c r="P679" s="55"/>
      <c r="Q679" s="56"/>
      <c r="R679" s="56"/>
      <c r="S679" s="56"/>
      <c r="T679" s="56"/>
      <c r="U679" s="56"/>
      <c r="V679" s="56"/>
      <c r="W679" s="56"/>
      <c r="X679" s="56"/>
      <c r="Y679" s="56"/>
      <c r="Z679" s="59"/>
    </row>
    <row r="680">
      <c r="A680" s="55"/>
      <c r="B680" s="55"/>
      <c r="C680" s="55"/>
      <c r="D680" s="55"/>
      <c r="E680" s="55"/>
      <c r="F680" s="55"/>
      <c r="G680" s="55"/>
      <c r="H680" s="55"/>
      <c r="I680" s="55"/>
      <c r="J680" s="55"/>
      <c r="K680" s="55"/>
      <c r="L680" s="55"/>
      <c r="M680" s="55"/>
      <c r="N680" s="55"/>
      <c r="O680" s="55"/>
      <c r="P680" s="55"/>
      <c r="Q680" s="56"/>
      <c r="R680" s="56"/>
      <c r="S680" s="56"/>
      <c r="T680" s="56"/>
      <c r="U680" s="56"/>
      <c r="V680" s="56"/>
      <c r="W680" s="56"/>
      <c r="X680" s="56"/>
      <c r="Y680" s="56"/>
      <c r="Z680" s="59"/>
    </row>
    <row r="681">
      <c r="A681" s="55"/>
      <c r="B681" s="55"/>
      <c r="C681" s="55"/>
      <c r="D681" s="55"/>
      <c r="E681" s="55"/>
      <c r="F681" s="55"/>
      <c r="G681" s="55"/>
      <c r="H681" s="55"/>
      <c r="I681" s="55"/>
      <c r="J681" s="55"/>
      <c r="K681" s="55"/>
      <c r="L681" s="55"/>
      <c r="M681" s="55"/>
      <c r="N681" s="55"/>
      <c r="O681" s="55"/>
      <c r="P681" s="55"/>
      <c r="Q681" s="56"/>
      <c r="R681" s="56"/>
      <c r="S681" s="56"/>
      <c r="T681" s="56"/>
      <c r="U681" s="56"/>
      <c r="V681" s="56"/>
      <c r="W681" s="56"/>
      <c r="X681" s="56"/>
      <c r="Y681" s="56"/>
      <c r="Z681" s="59"/>
    </row>
    <row r="682">
      <c r="A682" s="55"/>
      <c r="B682" s="55"/>
      <c r="C682" s="55"/>
      <c r="D682" s="55"/>
      <c r="E682" s="55"/>
      <c r="F682" s="55"/>
      <c r="G682" s="55"/>
      <c r="H682" s="55"/>
      <c r="I682" s="55"/>
      <c r="J682" s="55"/>
      <c r="K682" s="55"/>
      <c r="L682" s="55"/>
      <c r="M682" s="55"/>
      <c r="N682" s="55"/>
      <c r="O682" s="55"/>
      <c r="P682" s="55"/>
      <c r="Q682" s="56"/>
      <c r="R682" s="56"/>
      <c r="S682" s="56"/>
      <c r="T682" s="56"/>
      <c r="U682" s="56"/>
      <c r="V682" s="56"/>
      <c r="W682" s="56"/>
      <c r="X682" s="56"/>
      <c r="Y682" s="56"/>
      <c r="Z682" s="59"/>
    </row>
    <row r="683">
      <c r="A683" s="55"/>
      <c r="B683" s="55"/>
      <c r="C683" s="55"/>
      <c r="D683" s="55"/>
      <c r="E683" s="55"/>
      <c r="F683" s="55"/>
      <c r="G683" s="55"/>
      <c r="H683" s="55"/>
      <c r="I683" s="55"/>
      <c r="J683" s="55"/>
      <c r="K683" s="55"/>
      <c r="L683" s="55"/>
      <c r="M683" s="55"/>
      <c r="N683" s="55"/>
      <c r="O683" s="55"/>
      <c r="P683" s="55"/>
      <c r="Q683" s="56"/>
      <c r="R683" s="56"/>
      <c r="S683" s="56"/>
      <c r="T683" s="56"/>
      <c r="U683" s="56"/>
      <c r="V683" s="56"/>
      <c r="W683" s="56"/>
      <c r="X683" s="56"/>
      <c r="Y683" s="56"/>
      <c r="Z683" s="59"/>
    </row>
    <row r="684">
      <c r="A684" s="55"/>
      <c r="B684" s="55"/>
      <c r="C684" s="55"/>
      <c r="D684" s="55"/>
      <c r="E684" s="55"/>
      <c r="F684" s="55"/>
      <c r="G684" s="55"/>
      <c r="H684" s="55"/>
      <c r="I684" s="55"/>
      <c r="J684" s="55"/>
      <c r="K684" s="55"/>
      <c r="L684" s="55"/>
      <c r="M684" s="55"/>
      <c r="N684" s="55"/>
      <c r="O684" s="55"/>
      <c r="P684" s="55"/>
      <c r="Q684" s="56"/>
      <c r="R684" s="56"/>
      <c r="S684" s="56"/>
      <c r="T684" s="56"/>
      <c r="U684" s="56"/>
      <c r="V684" s="56"/>
      <c r="W684" s="56"/>
      <c r="X684" s="56"/>
      <c r="Y684" s="56"/>
      <c r="Z684" s="59"/>
    </row>
    <row r="685">
      <c r="A685" s="55"/>
      <c r="B685" s="55"/>
      <c r="C685" s="55"/>
      <c r="D685" s="55"/>
      <c r="E685" s="55"/>
      <c r="F685" s="55"/>
      <c r="G685" s="55"/>
      <c r="H685" s="55"/>
      <c r="I685" s="55"/>
      <c r="J685" s="55"/>
      <c r="K685" s="55"/>
      <c r="L685" s="55"/>
      <c r="M685" s="55"/>
      <c r="N685" s="55"/>
      <c r="O685" s="55"/>
      <c r="P685" s="55"/>
      <c r="Q685" s="56"/>
      <c r="R685" s="56"/>
      <c r="S685" s="56"/>
      <c r="T685" s="56"/>
      <c r="U685" s="56"/>
      <c r="V685" s="56"/>
      <c r="W685" s="56"/>
      <c r="X685" s="56"/>
      <c r="Y685" s="56"/>
      <c r="Z685" s="59"/>
    </row>
    <row r="686">
      <c r="A686" s="55"/>
      <c r="B686" s="55"/>
      <c r="C686" s="55"/>
      <c r="D686" s="55"/>
      <c r="E686" s="55"/>
      <c r="F686" s="55"/>
      <c r="G686" s="55"/>
      <c r="H686" s="55"/>
      <c r="I686" s="55"/>
      <c r="J686" s="55"/>
      <c r="K686" s="55"/>
      <c r="L686" s="55"/>
      <c r="M686" s="55"/>
      <c r="N686" s="55"/>
      <c r="O686" s="55"/>
      <c r="P686" s="55"/>
      <c r="Q686" s="56"/>
      <c r="R686" s="56"/>
      <c r="S686" s="56"/>
      <c r="T686" s="56"/>
      <c r="U686" s="56"/>
      <c r="V686" s="56"/>
      <c r="W686" s="56"/>
      <c r="X686" s="56"/>
      <c r="Y686" s="56"/>
      <c r="Z686" s="59"/>
    </row>
    <row r="687">
      <c r="A687" s="55"/>
      <c r="B687" s="55"/>
      <c r="C687" s="55"/>
      <c r="D687" s="55"/>
      <c r="E687" s="55"/>
      <c r="F687" s="55"/>
      <c r="G687" s="55"/>
      <c r="H687" s="55"/>
      <c r="I687" s="55"/>
      <c r="J687" s="55"/>
      <c r="K687" s="55"/>
      <c r="L687" s="55"/>
      <c r="M687" s="55"/>
      <c r="N687" s="55"/>
      <c r="O687" s="55"/>
      <c r="P687" s="55"/>
      <c r="Q687" s="56"/>
      <c r="R687" s="56"/>
      <c r="S687" s="56"/>
      <c r="T687" s="56"/>
      <c r="U687" s="56"/>
      <c r="V687" s="56"/>
      <c r="W687" s="56"/>
      <c r="X687" s="56"/>
      <c r="Y687" s="56"/>
      <c r="Z687" s="59"/>
    </row>
    <row r="688">
      <c r="A688" s="55"/>
      <c r="B688" s="55"/>
      <c r="C688" s="55"/>
      <c r="D688" s="55"/>
      <c r="E688" s="55"/>
      <c r="F688" s="55"/>
      <c r="G688" s="55"/>
      <c r="H688" s="55"/>
      <c r="I688" s="55"/>
      <c r="J688" s="55"/>
      <c r="K688" s="55"/>
      <c r="L688" s="55"/>
      <c r="M688" s="55"/>
      <c r="N688" s="55"/>
      <c r="O688" s="55"/>
      <c r="P688" s="55"/>
      <c r="Q688" s="56"/>
      <c r="R688" s="56"/>
      <c r="S688" s="56"/>
      <c r="T688" s="56"/>
      <c r="U688" s="56"/>
      <c r="V688" s="56"/>
      <c r="W688" s="56"/>
      <c r="X688" s="56"/>
      <c r="Y688" s="56"/>
      <c r="Z688" s="59"/>
    </row>
    <row r="689">
      <c r="A689" s="55"/>
      <c r="B689" s="55"/>
      <c r="C689" s="55"/>
      <c r="D689" s="55"/>
      <c r="E689" s="55"/>
      <c r="F689" s="55"/>
      <c r="G689" s="55"/>
      <c r="H689" s="55"/>
      <c r="I689" s="55"/>
      <c r="J689" s="55"/>
      <c r="K689" s="55"/>
      <c r="L689" s="55"/>
      <c r="M689" s="55"/>
      <c r="N689" s="55"/>
      <c r="O689" s="55"/>
      <c r="P689" s="55"/>
      <c r="Q689" s="56"/>
      <c r="R689" s="56"/>
      <c r="S689" s="56"/>
      <c r="T689" s="56"/>
      <c r="U689" s="56"/>
      <c r="V689" s="56"/>
      <c r="W689" s="56"/>
      <c r="X689" s="56"/>
      <c r="Y689" s="56"/>
      <c r="Z689" s="59"/>
    </row>
    <row r="690">
      <c r="A690" s="55"/>
      <c r="B690" s="55"/>
      <c r="C690" s="55"/>
      <c r="D690" s="55"/>
      <c r="E690" s="55"/>
      <c r="F690" s="55"/>
      <c r="G690" s="55"/>
      <c r="H690" s="55"/>
      <c r="I690" s="55"/>
      <c r="J690" s="55"/>
      <c r="K690" s="55"/>
      <c r="L690" s="55"/>
      <c r="M690" s="55"/>
      <c r="N690" s="55"/>
      <c r="O690" s="55"/>
      <c r="P690" s="55"/>
      <c r="Q690" s="56"/>
      <c r="R690" s="56"/>
      <c r="S690" s="56"/>
      <c r="T690" s="56"/>
      <c r="U690" s="56"/>
      <c r="V690" s="56"/>
      <c r="W690" s="56"/>
      <c r="X690" s="56"/>
      <c r="Y690" s="56"/>
      <c r="Z690" s="59"/>
    </row>
    <row r="691">
      <c r="A691" s="55"/>
      <c r="B691" s="55"/>
      <c r="C691" s="55"/>
      <c r="D691" s="55"/>
      <c r="E691" s="55"/>
      <c r="F691" s="55"/>
      <c r="G691" s="55"/>
      <c r="H691" s="55"/>
      <c r="I691" s="55"/>
      <c r="J691" s="55"/>
      <c r="K691" s="55"/>
      <c r="L691" s="55"/>
      <c r="M691" s="55"/>
      <c r="N691" s="55"/>
      <c r="O691" s="55"/>
      <c r="P691" s="55"/>
      <c r="Q691" s="56"/>
      <c r="R691" s="56"/>
      <c r="S691" s="56"/>
      <c r="T691" s="56"/>
      <c r="U691" s="56"/>
      <c r="V691" s="56"/>
      <c r="W691" s="56"/>
      <c r="X691" s="56"/>
      <c r="Y691" s="56"/>
      <c r="Z691" s="59"/>
    </row>
    <row r="692">
      <c r="A692" s="55"/>
      <c r="B692" s="55"/>
      <c r="C692" s="55"/>
      <c r="D692" s="55"/>
      <c r="E692" s="55"/>
      <c r="F692" s="55"/>
      <c r="G692" s="55"/>
      <c r="H692" s="55"/>
      <c r="I692" s="55"/>
      <c r="J692" s="55"/>
      <c r="K692" s="55"/>
      <c r="L692" s="55"/>
      <c r="M692" s="55"/>
      <c r="N692" s="55"/>
      <c r="O692" s="55"/>
      <c r="P692" s="55"/>
      <c r="Q692" s="56"/>
      <c r="R692" s="56"/>
      <c r="S692" s="56"/>
      <c r="T692" s="56"/>
      <c r="U692" s="56"/>
      <c r="V692" s="56"/>
      <c r="W692" s="56"/>
      <c r="X692" s="56"/>
      <c r="Y692" s="56"/>
      <c r="Z692" s="59"/>
    </row>
    <row r="693">
      <c r="A693" s="55"/>
      <c r="B693" s="55"/>
      <c r="C693" s="55"/>
      <c r="D693" s="55"/>
      <c r="E693" s="55"/>
      <c r="F693" s="55"/>
      <c r="G693" s="55"/>
      <c r="H693" s="55"/>
      <c r="I693" s="55"/>
      <c r="J693" s="55"/>
      <c r="K693" s="55"/>
      <c r="L693" s="55"/>
      <c r="M693" s="55"/>
      <c r="N693" s="55"/>
      <c r="O693" s="55"/>
      <c r="P693" s="55"/>
      <c r="Q693" s="56"/>
      <c r="R693" s="56"/>
      <c r="S693" s="56"/>
      <c r="T693" s="56"/>
      <c r="U693" s="56"/>
      <c r="V693" s="56"/>
      <c r="W693" s="56"/>
      <c r="X693" s="56"/>
      <c r="Y693" s="56"/>
      <c r="Z693" s="59"/>
    </row>
    <row r="694">
      <c r="A694" s="55"/>
      <c r="B694" s="55"/>
      <c r="C694" s="55"/>
      <c r="D694" s="55"/>
      <c r="E694" s="55"/>
      <c r="F694" s="55"/>
      <c r="G694" s="55"/>
      <c r="H694" s="55"/>
      <c r="I694" s="55"/>
      <c r="J694" s="55"/>
      <c r="K694" s="55"/>
      <c r="L694" s="55"/>
      <c r="M694" s="55"/>
      <c r="N694" s="55"/>
      <c r="O694" s="55"/>
      <c r="P694" s="55"/>
      <c r="Q694" s="56"/>
      <c r="R694" s="56"/>
      <c r="S694" s="56"/>
      <c r="T694" s="56"/>
      <c r="U694" s="56"/>
      <c r="V694" s="56"/>
      <c r="W694" s="56"/>
      <c r="X694" s="56"/>
      <c r="Y694" s="56"/>
      <c r="Z694" s="59"/>
    </row>
    <row r="695">
      <c r="A695" s="55"/>
      <c r="B695" s="55"/>
      <c r="C695" s="55"/>
      <c r="D695" s="55"/>
      <c r="E695" s="55"/>
      <c r="F695" s="55"/>
      <c r="G695" s="55"/>
      <c r="H695" s="55"/>
      <c r="I695" s="55"/>
      <c r="J695" s="55"/>
      <c r="K695" s="55"/>
      <c r="L695" s="55"/>
      <c r="M695" s="55"/>
      <c r="N695" s="55"/>
      <c r="O695" s="55"/>
      <c r="P695" s="55"/>
      <c r="Q695" s="56"/>
      <c r="R695" s="56"/>
      <c r="S695" s="56"/>
      <c r="T695" s="56"/>
      <c r="U695" s="56"/>
      <c r="V695" s="56"/>
      <c r="W695" s="56"/>
      <c r="X695" s="56"/>
      <c r="Y695" s="56"/>
      <c r="Z695" s="59"/>
    </row>
    <row r="696">
      <c r="A696" s="55"/>
      <c r="B696" s="55"/>
      <c r="C696" s="55"/>
      <c r="D696" s="55"/>
      <c r="E696" s="55"/>
      <c r="F696" s="55"/>
      <c r="G696" s="55"/>
      <c r="H696" s="55"/>
      <c r="I696" s="55"/>
      <c r="J696" s="55"/>
      <c r="K696" s="55"/>
      <c r="L696" s="55"/>
      <c r="M696" s="55"/>
      <c r="N696" s="55"/>
      <c r="O696" s="55"/>
      <c r="P696" s="55"/>
      <c r="Q696" s="56"/>
      <c r="R696" s="56"/>
      <c r="S696" s="56"/>
      <c r="T696" s="56"/>
      <c r="U696" s="56"/>
      <c r="V696" s="56"/>
      <c r="W696" s="56"/>
      <c r="X696" s="56"/>
      <c r="Y696" s="56"/>
      <c r="Z696" s="59"/>
    </row>
    <row r="697">
      <c r="A697" s="55"/>
      <c r="B697" s="55"/>
      <c r="C697" s="55"/>
      <c r="D697" s="55"/>
      <c r="E697" s="55"/>
      <c r="F697" s="55"/>
      <c r="G697" s="55"/>
      <c r="H697" s="55"/>
      <c r="I697" s="55"/>
      <c r="J697" s="55"/>
      <c r="K697" s="55"/>
      <c r="L697" s="55"/>
      <c r="M697" s="55"/>
      <c r="N697" s="55"/>
      <c r="O697" s="55"/>
      <c r="P697" s="55"/>
      <c r="Q697" s="56"/>
      <c r="R697" s="56"/>
      <c r="S697" s="56"/>
      <c r="T697" s="56"/>
      <c r="U697" s="56"/>
      <c r="V697" s="56"/>
      <c r="W697" s="56"/>
      <c r="X697" s="56"/>
      <c r="Y697" s="56"/>
      <c r="Z697" s="59"/>
    </row>
    <row r="698">
      <c r="A698" s="55"/>
      <c r="B698" s="55"/>
      <c r="C698" s="55"/>
      <c r="D698" s="55"/>
      <c r="E698" s="55"/>
      <c r="F698" s="55"/>
      <c r="G698" s="55"/>
      <c r="H698" s="55"/>
      <c r="I698" s="55"/>
      <c r="J698" s="55"/>
      <c r="K698" s="55"/>
      <c r="L698" s="55"/>
      <c r="M698" s="55"/>
      <c r="N698" s="55"/>
      <c r="O698" s="55"/>
      <c r="P698" s="55"/>
      <c r="Q698" s="56"/>
      <c r="R698" s="56"/>
      <c r="S698" s="56"/>
      <c r="T698" s="56"/>
      <c r="U698" s="56"/>
      <c r="V698" s="56"/>
      <c r="W698" s="56"/>
      <c r="X698" s="56"/>
      <c r="Y698" s="56"/>
      <c r="Z698" s="59"/>
    </row>
    <row r="699">
      <c r="A699" s="55"/>
      <c r="B699" s="55"/>
      <c r="C699" s="55"/>
      <c r="D699" s="55"/>
      <c r="E699" s="55"/>
      <c r="F699" s="55"/>
      <c r="G699" s="55"/>
      <c r="H699" s="55"/>
      <c r="I699" s="55"/>
      <c r="J699" s="55"/>
      <c r="K699" s="55"/>
      <c r="L699" s="55"/>
      <c r="M699" s="55"/>
      <c r="N699" s="55"/>
      <c r="O699" s="55"/>
      <c r="P699" s="55"/>
      <c r="Q699" s="56"/>
      <c r="R699" s="56"/>
      <c r="S699" s="56"/>
      <c r="T699" s="56"/>
      <c r="U699" s="56"/>
      <c r="V699" s="56"/>
      <c r="W699" s="56"/>
      <c r="X699" s="56"/>
      <c r="Y699" s="56"/>
      <c r="Z699" s="59"/>
    </row>
    <row r="700">
      <c r="A700" s="55"/>
      <c r="B700" s="55"/>
      <c r="C700" s="55"/>
      <c r="D700" s="55"/>
      <c r="E700" s="55"/>
      <c r="F700" s="55"/>
      <c r="G700" s="55"/>
      <c r="H700" s="55"/>
      <c r="I700" s="55"/>
      <c r="J700" s="55"/>
      <c r="K700" s="55"/>
      <c r="L700" s="55"/>
      <c r="M700" s="55"/>
      <c r="N700" s="55"/>
      <c r="O700" s="55"/>
      <c r="P700" s="55"/>
      <c r="Q700" s="56"/>
      <c r="R700" s="56"/>
      <c r="S700" s="56"/>
      <c r="T700" s="56"/>
      <c r="U700" s="56"/>
      <c r="V700" s="56"/>
      <c r="W700" s="56"/>
      <c r="X700" s="56"/>
      <c r="Y700" s="56"/>
      <c r="Z700" s="59"/>
    </row>
    <row r="701">
      <c r="A701" s="55"/>
      <c r="B701" s="55"/>
      <c r="C701" s="55"/>
      <c r="D701" s="55"/>
      <c r="E701" s="55"/>
      <c r="F701" s="55"/>
      <c r="G701" s="55"/>
      <c r="H701" s="55"/>
      <c r="I701" s="55"/>
      <c r="J701" s="55"/>
      <c r="K701" s="55"/>
      <c r="L701" s="55"/>
      <c r="M701" s="55"/>
      <c r="N701" s="55"/>
      <c r="O701" s="55"/>
      <c r="P701" s="55"/>
      <c r="Q701" s="56"/>
      <c r="R701" s="56"/>
      <c r="S701" s="56"/>
      <c r="T701" s="56"/>
      <c r="U701" s="56"/>
      <c r="V701" s="56"/>
      <c r="W701" s="56"/>
      <c r="X701" s="56"/>
      <c r="Y701" s="56"/>
      <c r="Z701" s="59"/>
    </row>
    <row r="702">
      <c r="A702" s="55"/>
      <c r="B702" s="55"/>
      <c r="C702" s="55"/>
      <c r="D702" s="55"/>
      <c r="E702" s="55"/>
      <c r="F702" s="55"/>
      <c r="G702" s="55"/>
      <c r="H702" s="55"/>
      <c r="I702" s="55"/>
      <c r="J702" s="55"/>
      <c r="K702" s="55"/>
      <c r="L702" s="55"/>
      <c r="M702" s="55"/>
      <c r="N702" s="55"/>
      <c r="O702" s="55"/>
      <c r="P702" s="55"/>
      <c r="Q702" s="56"/>
      <c r="R702" s="56"/>
      <c r="S702" s="56"/>
      <c r="T702" s="56"/>
      <c r="U702" s="56"/>
      <c r="V702" s="56"/>
      <c r="W702" s="56"/>
      <c r="X702" s="56"/>
      <c r="Y702" s="56"/>
      <c r="Z702" s="59"/>
    </row>
    <row r="703">
      <c r="A703" s="55"/>
      <c r="B703" s="55"/>
      <c r="C703" s="55"/>
      <c r="D703" s="55"/>
      <c r="E703" s="55"/>
      <c r="F703" s="55"/>
      <c r="G703" s="55"/>
      <c r="H703" s="55"/>
      <c r="I703" s="55"/>
      <c r="J703" s="55"/>
      <c r="K703" s="55"/>
      <c r="L703" s="55"/>
      <c r="M703" s="55"/>
      <c r="N703" s="55"/>
      <c r="O703" s="55"/>
      <c r="P703" s="55"/>
      <c r="Q703" s="56"/>
      <c r="R703" s="56"/>
      <c r="S703" s="56"/>
      <c r="T703" s="56"/>
      <c r="U703" s="56"/>
      <c r="V703" s="56"/>
      <c r="W703" s="56"/>
      <c r="X703" s="56"/>
      <c r="Y703" s="56"/>
      <c r="Z703" s="59"/>
    </row>
    <row r="704">
      <c r="A704" s="55"/>
      <c r="B704" s="55"/>
      <c r="C704" s="55"/>
      <c r="D704" s="55"/>
      <c r="E704" s="55"/>
      <c r="F704" s="55"/>
      <c r="G704" s="55"/>
      <c r="H704" s="55"/>
      <c r="I704" s="55"/>
      <c r="J704" s="55"/>
      <c r="K704" s="55"/>
      <c r="L704" s="55"/>
      <c r="M704" s="55"/>
      <c r="N704" s="55"/>
      <c r="O704" s="55"/>
      <c r="P704" s="55"/>
      <c r="Q704" s="56"/>
      <c r="R704" s="56"/>
      <c r="S704" s="56"/>
      <c r="T704" s="56"/>
      <c r="U704" s="56"/>
      <c r="V704" s="56"/>
      <c r="W704" s="56"/>
      <c r="X704" s="56"/>
      <c r="Y704" s="56"/>
      <c r="Z704" s="59"/>
    </row>
    <row r="705">
      <c r="A705" s="55"/>
      <c r="B705" s="55"/>
      <c r="C705" s="55"/>
      <c r="D705" s="55"/>
      <c r="E705" s="55"/>
      <c r="F705" s="55"/>
      <c r="G705" s="55"/>
      <c r="H705" s="55"/>
      <c r="I705" s="55"/>
      <c r="J705" s="55"/>
      <c r="K705" s="55"/>
      <c r="L705" s="55"/>
      <c r="M705" s="55"/>
      <c r="N705" s="55"/>
      <c r="O705" s="55"/>
      <c r="P705" s="55"/>
      <c r="Q705" s="56"/>
      <c r="R705" s="56"/>
      <c r="S705" s="56"/>
      <c r="T705" s="56"/>
      <c r="U705" s="56"/>
      <c r="V705" s="56"/>
      <c r="W705" s="56"/>
      <c r="X705" s="56"/>
      <c r="Y705" s="56"/>
      <c r="Z705" s="59"/>
    </row>
    <row r="706">
      <c r="A706" s="55"/>
      <c r="B706" s="55"/>
      <c r="C706" s="55"/>
      <c r="D706" s="55"/>
      <c r="E706" s="55"/>
      <c r="F706" s="55"/>
      <c r="G706" s="55"/>
      <c r="H706" s="55"/>
      <c r="I706" s="55"/>
      <c r="J706" s="55"/>
      <c r="K706" s="55"/>
      <c r="L706" s="55"/>
      <c r="M706" s="55"/>
      <c r="N706" s="55"/>
      <c r="O706" s="55"/>
      <c r="P706" s="55"/>
      <c r="Q706" s="56"/>
      <c r="R706" s="56"/>
      <c r="S706" s="56"/>
      <c r="T706" s="56"/>
      <c r="U706" s="56"/>
      <c r="V706" s="56"/>
      <c r="W706" s="56"/>
      <c r="X706" s="56"/>
      <c r="Y706" s="56"/>
      <c r="Z706" s="59"/>
    </row>
    <row r="707">
      <c r="A707" s="55"/>
      <c r="B707" s="55"/>
      <c r="C707" s="55"/>
      <c r="D707" s="55"/>
      <c r="E707" s="55"/>
      <c r="F707" s="55"/>
      <c r="G707" s="55"/>
      <c r="H707" s="55"/>
      <c r="I707" s="55"/>
      <c r="J707" s="55"/>
      <c r="K707" s="55"/>
      <c r="L707" s="55"/>
      <c r="M707" s="55"/>
      <c r="N707" s="55"/>
      <c r="O707" s="55"/>
      <c r="P707" s="55"/>
      <c r="Q707" s="56"/>
      <c r="R707" s="56"/>
      <c r="S707" s="56"/>
      <c r="T707" s="56"/>
      <c r="U707" s="56"/>
      <c r="V707" s="56"/>
      <c r="W707" s="56"/>
      <c r="X707" s="56"/>
      <c r="Y707" s="56"/>
      <c r="Z707" s="59"/>
    </row>
    <row r="708">
      <c r="A708" s="55"/>
      <c r="B708" s="55"/>
      <c r="C708" s="55"/>
      <c r="D708" s="55"/>
      <c r="E708" s="55"/>
      <c r="F708" s="55"/>
      <c r="G708" s="55"/>
      <c r="H708" s="55"/>
      <c r="I708" s="55"/>
      <c r="J708" s="55"/>
      <c r="K708" s="55"/>
      <c r="L708" s="55"/>
      <c r="M708" s="55"/>
      <c r="N708" s="55"/>
      <c r="O708" s="55"/>
      <c r="P708" s="55"/>
      <c r="Q708" s="56"/>
      <c r="R708" s="56"/>
      <c r="S708" s="56"/>
      <c r="T708" s="56"/>
      <c r="U708" s="56"/>
      <c r="V708" s="56"/>
      <c r="W708" s="56"/>
      <c r="X708" s="56"/>
      <c r="Y708" s="56"/>
      <c r="Z708" s="59"/>
    </row>
    <row r="709">
      <c r="A709" s="55"/>
      <c r="B709" s="55"/>
      <c r="C709" s="55"/>
      <c r="D709" s="55"/>
      <c r="E709" s="55"/>
      <c r="F709" s="55"/>
      <c r="G709" s="55"/>
      <c r="H709" s="55"/>
      <c r="I709" s="55"/>
      <c r="J709" s="55"/>
      <c r="K709" s="55"/>
      <c r="L709" s="55"/>
      <c r="M709" s="55"/>
      <c r="N709" s="55"/>
      <c r="O709" s="55"/>
      <c r="P709" s="55"/>
      <c r="Q709" s="56"/>
      <c r="R709" s="56"/>
      <c r="S709" s="56"/>
      <c r="T709" s="56"/>
      <c r="U709" s="56"/>
      <c r="V709" s="56"/>
      <c r="W709" s="56"/>
      <c r="X709" s="56"/>
      <c r="Y709" s="56"/>
      <c r="Z709" s="59"/>
    </row>
    <row r="710">
      <c r="A710" s="55"/>
      <c r="B710" s="55"/>
      <c r="C710" s="55"/>
      <c r="D710" s="55"/>
      <c r="E710" s="55"/>
      <c r="F710" s="55"/>
      <c r="G710" s="55"/>
      <c r="H710" s="55"/>
      <c r="I710" s="55"/>
      <c r="J710" s="55"/>
      <c r="K710" s="55"/>
      <c r="L710" s="55"/>
      <c r="M710" s="55"/>
      <c r="N710" s="55"/>
      <c r="O710" s="55"/>
      <c r="P710" s="55"/>
      <c r="Q710" s="56"/>
      <c r="R710" s="56"/>
      <c r="S710" s="56"/>
      <c r="T710" s="56"/>
      <c r="U710" s="56"/>
      <c r="V710" s="56"/>
      <c r="W710" s="56"/>
      <c r="X710" s="56"/>
      <c r="Y710" s="56"/>
      <c r="Z710" s="59"/>
    </row>
    <row r="711">
      <c r="A711" s="55"/>
      <c r="B711" s="55"/>
      <c r="C711" s="55"/>
      <c r="D711" s="55"/>
      <c r="E711" s="55"/>
      <c r="F711" s="55"/>
      <c r="G711" s="55"/>
      <c r="H711" s="55"/>
      <c r="I711" s="55"/>
      <c r="J711" s="55"/>
      <c r="K711" s="55"/>
      <c r="L711" s="55"/>
      <c r="M711" s="55"/>
      <c r="N711" s="55"/>
      <c r="O711" s="55"/>
      <c r="P711" s="55"/>
      <c r="Q711" s="56"/>
      <c r="R711" s="56"/>
      <c r="S711" s="56"/>
      <c r="T711" s="56"/>
      <c r="U711" s="56"/>
      <c r="V711" s="56"/>
      <c r="W711" s="56"/>
      <c r="X711" s="56"/>
      <c r="Y711" s="56"/>
      <c r="Z711" s="59"/>
    </row>
    <row r="712">
      <c r="A712" s="55"/>
      <c r="B712" s="55"/>
      <c r="C712" s="55"/>
      <c r="D712" s="55"/>
      <c r="E712" s="55"/>
      <c r="F712" s="55"/>
      <c r="G712" s="55"/>
      <c r="H712" s="55"/>
      <c r="I712" s="55"/>
      <c r="J712" s="55"/>
      <c r="K712" s="55"/>
      <c r="L712" s="55"/>
      <c r="M712" s="55"/>
      <c r="N712" s="55"/>
      <c r="O712" s="55"/>
      <c r="P712" s="55"/>
      <c r="Q712" s="56"/>
      <c r="R712" s="56"/>
      <c r="S712" s="56"/>
      <c r="T712" s="56"/>
      <c r="U712" s="56"/>
      <c r="V712" s="56"/>
      <c r="W712" s="56"/>
      <c r="X712" s="56"/>
      <c r="Y712" s="56"/>
      <c r="Z712" s="59"/>
    </row>
    <row r="713">
      <c r="A713" s="55"/>
      <c r="B713" s="55"/>
      <c r="C713" s="55"/>
      <c r="D713" s="55"/>
      <c r="E713" s="55"/>
      <c r="F713" s="55"/>
      <c r="G713" s="55"/>
      <c r="H713" s="55"/>
      <c r="I713" s="55"/>
      <c r="J713" s="55"/>
      <c r="K713" s="55"/>
      <c r="L713" s="55"/>
      <c r="M713" s="55"/>
      <c r="N713" s="55"/>
      <c r="O713" s="55"/>
      <c r="P713" s="55"/>
      <c r="Q713" s="56"/>
      <c r="R713" s="56"/>
      <c r="S713" s="56"/>
      <c r="T713" s="56"/>
      <c r="U713" s="56"/>
      <c r="V713" s="56"/>
      <c r="W713" s="56"/>
      <c r="X713" s="56"/>
      <c r="Y713" s="56"/>
      <c r="Z713" s="59"/>
    </row>
    <row r="714">
      <c r="A714" s="55"/>
      <c r="B714" s="55"/>
      <c r="C714" s="55"/>
      <c r="D714" s="55"/>
      <c r="E714" s="55"/>
      <c r="F714" s="55"/>
      <c r="G714" s="55"/>
      <c r="H714" s="55"/>
      <c r="I714" s="55"/>
      <c r="J714" s="55"/>
      <c r="K714" s="55"/>
      <c r="L714" s="55"/>
      <c r="M714" s="55"/>
      <c r="N714" s="55"/>
      <c r="O714" s="55"/>
      <c r="P714" s="55"/>
      <c r="Q714" s="56"/>
      <c r="R714" s="56"/>
      <c r="S714" s="56"/>
      <c r="T714" s="56"/>
      <c r="U714" s="56"/>
      <c r="V714" s="56"/>
      <c r="W714" s="56"/>
      <c r="X714" s="56"/>
      <c r="Y714" s="56"/>
      <c r="Z714" s="59"/>
    </row>
    <row r="715">
      <c r="A715" s="55"/>
      <c r="B715" s="55"/>
      <c r="C715" s="55"/>
      <c r="D715" s="55"/>
      <c r="E715" s="55"/>
      <c r="F715" s="55"/>
      <c r="G715" s="55"/>
      <c r="H715" s="55"/>
      <c r="I715" s="55"/>
      <c r="J715" s="55"/>
      <c r="K715" s="55"/>
      <c r="L715" s="55"/>
      <c r="M715" s="55"/>
      <c r="N715" s="55"/>
      <c r="O715" s="55"/>
      <c r="P715" s="55"/>
      <c r="Q715" s="56"/>
      <c r="R715" s="56"/>
      <c r="S715" s="56"/>
      <c r="T715" s="56"/>
      <c r="U715" s="56"/>
      <c r="V715" s="56"/>
      <c r="W715" s="56"/>
      <c r="X715" s="56"/>
      <c r="Y715" s="56"/>
      <c r="Z715" s="59"/>
    </row>
    <row r="716">
      <c r="A716" s="55"/>
      <c r="B716" s="55"/>
      <c r="C716" s="55"/>
      <c r="D716" s="55"/>
      <c r="E716" s="55"/>
      <c r="F716" s="55"/>
      <c r="G716" s="55"/>
      <c r="H716" s="55"/>
      <c r="I716" s="55"/>
      <c r="J716" s="55"/>
      <c r="K716" s="55"/>
      <c r="L716" s="55"/>
      <c r="M716" s="55"/>
      <c r="N716" s="55"/>
      <c r="O716" s="55"/>
      <c r="P716" s="55"/>
      <c r="Q716" s="56"/>
      <c r="R716" s="56"/>
      <c r="S716" s="56"/>
      <c r="T716" s="56"/>
      <c r="U716" s="56"/>
      <c r="V716" s="56"/>
      <c r="W716" s="56"/>
      <c r="X716" s="56"/>
      <c r="Y716" s="56"/>
      <c r="Z716" s="59"/>
    </row>
    <row r="717">
      <c r="A717" s="55"/>
      <c r="B717" s="55"/>
      <c r="C717" s="55"/>
      <c r="D717" s="55"/>
      <c r="E717" s="55"/>
      <c r="F717" s="55"/>
      <c r="G717" s="55"/>
      <c r="H717" s="55"/>
      <c r="I717" s="55"/>
      <c r="J717" s="55"/>
      <c r="K717" s="55"/>
      <c r="L717" s="55"/>
      <c r="M717" s="55"/>
      <c r="N717" s="55"/>
      <c r="O717" s="55"/>
      <c r="P717" s="55"/>
      <c r="Q717" s="56"/>
      <c r="R717" s="56"/>
      <c r="S717" s="56"/>
      <c r="T717" s="56"/>
      <c r="U717" s="56"/>
      <c r="V717" s="56"/>
      <c r="W717" s="56"/>
      <c r="X717" s="56"/>
      <c r="Y717" s="56"/>
      <c r="Z717" s="59"/>
    </row>
    <row r="718">
      <c r="A718" s="55"/>
      <c r="B718" s="55"/>
      <c r="C718" s="55"/>
      <c r="D718" s="55"/>
      <c r="E718" s="55"/>
      <c r="F718" s="55"/>
      <c r="G718" s="55"/>
      <c r="H718" s="55"/>
      <c r="I718" s="55"/>
      <c r="J718" s="55"/>
      <c r="K718" s="55"/>
      <c r="L718" s="55"/>
      <c r="M718" s="55"/>
      <c r="N718" s="55"/>
      <c r="O718" s="55"/>
      <c r="P718" s="55"/>
      <c r="Q718" s="56"/>
      <c r="R718" s="56"/>
      <c r="S718" s="56"/>
      <c r="T718" s="56"/>
      <c r="U718" s="56"/>
      <c r="V718" s="56"/>
      <c r="W718" s="56"/>
      <c r="X718" s="56"/>
      <c r="Y718" s="56"/>
      <c r="Z718" s="59"/>
    </row>
    <row r="719">
      <c r="A719" s="55"/>
      <c r="B719" s="55"/>
      <c r="C719" s="55"/>
      <c r="D719" s="55"/>
      <c r="E719" s="55"/>
      <c r="F719" s="55"/>
      <c r="G719" s="55"/>
      <c r="H719" s="55"/>
      <c r="I719" s="55"/>
      <c r="J719" s="55"/>
      <c r="K719" s="55"/>
      <c r="L719" s="55"/>
      <c r="M719" s="55"/>
      <c r="N719" s="55"/>
      <c r="O719" s="55"/>
      <c r="P719" s="55"/>
      <c r="Q719" s="56"/>
      <c r="R719" s="56"/>
      <c r="S719" s="56"/>
      <c r="T719" s="56"/>
      <c r="U719" s="56"/>
      <c r="V719" s="56"/>
      <c r="W719" s="56"/>
      <c r="X719" s="56"/>
      <c r="Y719" s="56"/>
      <c r="Z719" s="59"/>
    </row>
    <row r="720">
      <c r="A720" s="55"/>
      <c r="B720" s="55"/>
      <c r="C720" s="55"/>
      <c r="D720" s="55"/>
      <c r="E720" s="55"/>
      <c r="F720" s="55"/>
      <c r="G720" s="55"/>
      <c r="H720" s="55"/>
      <c r="I720" s="55"/>
      <c r="J720" s="55"/>
      <c r="K720" s="55"/>
      <c r="L720" s="55"/>
      <c r="M720" s="55"/>
      <c r="N720" s="55"/>
      <c r="O720" s="55"/>
      <c r="P720" s="55"/>
      <c r="Q720" s="56"/>
      <c r="R720" s="56"/>
      <c r="S720" s="56"/>
      <c r="T720" s="56"/>
      <c r="U720" s="56"/>
      <c r="V720" s="56"/>
      <c r="W720" s="56"/>
      <c r="X720" s="56"/>
      <c r="Y720" s="56"/>
      <c r="Z720" s="59"/>
    </row>
    <row r="721">
      <c r="A721" s="55"/>
      <c r="B721" s="55"/>
      <c r="C721" s="55"/>
      <c r="D721" s="55"/>
      <c r="E721" s="55"/>
      <c r="F721" s="55"/>
      <c r="G721" s="55"/>
      <c r="H721" s="55"/>
      <c r="I721" s="55"/>
      <c r="J721" s="55"/>
      <c r="K721" s="55"/>
      <c r="L721" s="55"/>
      <c r="M721" s="55"/>
      <c r="N721" s="55"/>
      <c r="O721" s="55"/>
      <c r="P721" s="55"/>
      <c r="Q721" s="56"/>
      <c r="R721" s="56"/>
      <c r="S721" s="56"/>
      <c r="T721" s="56"/>
      <c r="U721" s="56"/>
      <c r="V721" s="56"/>
      <c r="W721" s="56"/>
      <c r="X721" s="56"/>
      <c r="Y721" s="56"/>
      <c r="Z721" s="59"/>
    </row>
    <row r="722">
      <c r="A722" s="55"/>
      <c r="B722" s="55"/>
      <c r="C722" s="55"/>
      <c r="D722" s="55"/>
      <c r="E722" s="55"/>
      <c r="F722" s="55"/>
      <c r="G722" s="55"/>
      <c r="H722" s="55"/>
      <c r="I722" s="55"/>
      <c r="J722" s="55"/>
      <c r="K722" s="55"/>
      <c r="L722" s="55"/>
      <c r="M722" s="55"/>
      <c r="N722" s="55"/>
      <c r="O722" s="55"/>
      <c r="P722" s="55"/>
      <c r="Q722" s="56"/>
      <c r="R722" s="56"/>
      <c r="S722" s="56"/>
      <c r="T722" s="56"/>
      <c r="U722" s="56"/>
      <c r="V722" s="56"/>
      <c r="W722" s="56"/>
      <c r="X722" s="56"/>
      <c r="Y722" s="56"/>
      <c r="Z722" s="59"/>
    </row>
    <row r="723">
      <c r="A723" s="55"/>
      <c r="B723" s="55"/>
      <c r="C723" s="55"/>
      <c r="D723" s="55"/>
      <c r="E723" s="55"/>
      <c r="F723" s="55"/>
      <c r="G723" s="55"/>
      <c r="H723" s="55"/>
      <c r="I723" s="55"/>
      <c r="J723" s="55"/>
      <c r="K723" s="55"/>
      <c r="L723" s="55"/>
      <c r="M723" s="55"/>
      <c r="N723" s="55"/>
      <c r="O723" s="55"/>
      <c r="P723" s="55"/>
      <c r="Q723" s="56"/>
      <c r="R723" s="56"/>
      <c r="S723" s="56"/>
      <c r="T723" s="56"/>
      <c r="U723" s="56"/>
      <c r="V723" s="56"/>
      <c r="W723" s="56"/>
      <c r="X723" s="56"/>
      <c r="Y723" s="56"/>
      <c r="Z723" s="59"/>
    </row>
    <row r="724">
      <c r="A724" s="55"/>
      <c r="B724" s="55"/>
      <c r="C724" s="55"/>
      <c r="D724" s="55"/>
      <c r="E724" s="55"/>
      <c r="F724" s="55"/>
      <c r="G724" s="55"/>
      <c r="H724" s="55"/>
      <c r="I724" s="55"/>
      <c r="J724" s="55"/>
      <c r="K724" s="55"/>
      <c r="L724" s="55"/>
      <c r="M724" s="55"/>
      <c r="N724" s="55"/>
      <c r="O724" s="55"/>
      <c r="P724" s="55"/>
      <c r="Q724" s="56"/>
      <c r="R724" s="56"/>
      <c r="S724" s="56"/>
      <c r="T724" s="56"/>
      <c r="U724" s="56"/>
      <c r="V724" s="56"/>
      <c r="W724" s="56"/>
      <c r="X724" s="56"/>
      <c r="Y724" s="56"/>
      <c r="Z724" s="59"/>
    </row>
    <row r="725">
      <c r="A725" s="55"/>
      <c r="B725" s="55"/>
      <c r="C725" s="55"/>
      <c r="D725" s="55"/>
      <c r="E725" s="55"/>
      <c r="F725" s="55"/>
      <c r="G725" s="55"/>
      <c r="H725" s="55"/>
      <c r="I725" s="55"/>
      <c r="J725" s="55"/>
      <c r="K725" s="55"/>
      <c r="L725" s="55"/>
      <c r="M725" s="55"/>
      <c r="N725" s="55"/>
      <c r="O725" s="55"/>
      <c r="P725" s="55"/>
      <c r="Q725" s="56"/>
      <c r="R725" s="56"/>
      <c r="S725" s="56"/>
      <c r="T725" s="56"/>
      <c r="U725" s="56"/>
      <c r="V725" s="56"/>
      <c r="W725" s="56"/>
      <c r="X725" s="56"/>
      <c r="Y725" s="56"/>
      <c r="Z725" s="59"/>
    </row>
    <row r="726">
      <c r="A726" s="55"/>
      <c r="B726" s="55"/>
      <c r="C726" s="55"/>
      <c r="D726" s="55"/>
      <c r="E726" s="55"/>
      <c r="F726" s="55"/>
      <c r="G726" s="55"/>
      <c r="H726" s="55"/>
      <c r="I726" s="55"/>
      <c r="J726" s="55"/>
      <c r="K726" s="55"/>
      <c r="L726" s="55"/>
      <c r="M726" s="55"/>
      <c r="N726" s="55"/>
      <c r="O726" s="55"/>
      <c r="P726" s="55"/>
      <c r="Q726" s="56"/>
      <c r="R726" s="56"/>
      <c r="S726" s="56"/>
      <c r="T726" s="56"/>
      <c r="U726" s="56"/>
      <c r="V726" s="56"/>
      <c r="W726" s="56"/>
      <c r="X726" s="56"/>
      <c r="Y726" s="56"/>
      <c r="Z726" s="59"/>
    </row>
    <row r="727">
      <c r="A727" s="55"/>
      <c r="B727" s="55"/>
      <c r="C727" s="55"/>
      <c r="D727" s="55"/>
      <c r="E727" s="55"/>
      <c r="F727" s="55"/>
      <c r="G727" s="55"/>
      <c r="H727" s="55"/>
      <c r="I727" s="55"/>
      <c r="J727" s="55"/>
      <c r="K727" s="55"/>
      <c r="L727" s="55"/>
      <c r="M727" s="55"/>
      <c r="N727" s="55"/>
      <c r="O727" s="55"/>
      <c r="P727" s="55"/>
      <c r="Q727" s="56"/>
      <c r="R727" s="56"/>
      <c r="S727" s="56"/>
      <c r="T727" s="56"/>
      <c r="U727" s="56"/>
      <c r="V727" s="56"/>
      <c r="W727" s="56"/>
      <c r="X727" s="56"/>
      <c r="Y727" s="56"/>
      <c r="Z727" s="59"/>
    </row>
    <row r="728">
      <c r="A728" s="55"/>
      <c r="B728" s="55"/>
      <c r="C728" s="55"/>
      <c r="D728" s="55"/>
      <c r="E728" s="55"/>
      <c r="F728" s="55"/>
      <c r="G728" s="55"/>
      <c r="H728" s="55"/>
      <c r="I728" s="55"/>
      <c r="J728" s="55"/>
      <c r="K728" s="55"/>
      <c r="L728" s="55"/>
      <c r="M728" s="55"/>
      <c r="N728" s="55"/>
      <c r="O728" s="55"/>
      <c r="P728" s="55"/>
      <c r="Q728" s="56"/>
      <c r="R728" s="56"/>
      <c r="S728" s="56"/>
      <c r="T728" s="56"/>
      <c r="U728" s="56"/>
      <c r="V728" s="56"/>
      <c r="W728" s="56"/>
      <c r="X728" s="56"/>
      <c r="Y728" s="56"/>
      <c r="Z728" s="59"/>
    </row>
    <row r="729">
      <c r="A729" s="55"/>
      <c r="B729" s="55"/>
      <c r="C729" s="55"/>
      <c r="D729" s="55"/>
      <c r="E729" s="55"/>
      <c r="F729" s="55"/>
      <c r="G729" s="55"/>
      <c r="H729" s="55"/>
      <c r="I729" s="55"/>
      <c r="J729" s="55"/>
      <c r="K729" s="55"/>
      <c r="L729" s="55"/>
      <c r="M729" s="55"/>
      <c r="N729" s="55"/>
      <c r="O729" s="55"/>
      <c r="P729" s="55"/>
      <c r="Q729" s="56"/>
      <c r="R729" s="56"/>
      <c r="S729" s="56"/>
      <c r="T729" s="56"/>
      <c r="U729" s="56"/>
      <c r="V729" s="56"/>
      <c r="W729" s="56"/>
      <c r="X729" s="56"/>
      <c r="Y729" s="56"/>
      <c r="Z729" s="59"/>
    </row>
    <row r="730">
      <c r="A730" s="55"/>
      <c r="B730" s="55"/>
      <c r="C730" s="55"/>
      <c r="D730" s="55"/>
      <c r="E730" s="55"/>
      <c r="F730" s="55"/>
      <c r="G730" s="55"/>
      <c r="H730" s="55"/>
      <c r="I730" s="55"/>
      <c r="J730" s="55"/>
      <c r="K730" s="55"/>
      <c r="L730" s="55"/>
      <c r="M730" s="55"/>
      <c r="N730" s="55"/>
      <c r="O730" s="55"/>
      <c r="P730" s="55"/>
      <c r="Q730" s="56"/>
      <c r="R730" s="56"/>
      <c r="S730" s="56"/>
      <c r="T730" s="56"/>
      <c r="U730" s="56"/>
      <c r="V730" s="56"/>
      <c r="W730" s="56"/>
      <c r="X730" s="56"/>
      <c r="Y730" s="56"/>
      <c r="Z730" s="59"/>
    </row>
    <row r="731">
      <c r="A731" s="55"/>
      <c r="B731" s="55"/>
      <c r="C731" s="55"/>
      <c r="D731" s="55"/>
      <c r="E731" s="55"/>
      <c r="F731" s="55"/>
      <c r="G731" s="55"/>
      <c r="H731" s="55"/>
      <c r="I731" s="55"/>
      <c r="J731" s="55"/>
      <c r="K731" s="55"/>
      <c r="L731" s="55"/>
      <c r="M731" s="55"/>
      <c r="N731" s="55"/>
      <c r="O731" s="55"/>
      <c r="P731" s="55"/>
      <c r="Q731" s="56"/>
      <c r="R731" s="56"/>
      <c r="S731" s="56"/>
      <c r="T731" s="56"/>
      <c r="U731" s="56"/>
      <c r="V731" s="56"/>
      <c r="W731" s="56"/>
      <c r="X731" s="56"/>
      <c r="Y731" s="56"/>
      <c r="Z731" s="59"/>
    </row>
    <row r="732">
      <c r="A732" s="55"/>
      <c r="B732" s="55"/>
      <c r="C732" s="55"/>
      <c r="D732" s="55"/>
      <c r="E732" s="55"/>
      <c r="F732" s="55"/>
      <c r="G732" s="55"/>
      <c r="H732" s="55"/>
      <c r="I732" s="55"/>
      <c r="J732" s="55"/>
      <c r="K732" s="55"/>
      <c r="L732" s="55"/>
      <c r="M732" s="55"/>
      <c r="N732" s="55"/>
      <c r="O732" s="55"/>
      <c r="P732" s="55"/>
      <c r="Q732" s="56"/>
      <c r="R732" s="56"/>
      <c r="S732" s="56"/>
      <c r="T732" s="56"/>
      <c r="U732" s="56"/>
      <c r="V732" s="56"/>
      <c r="W732" s="56"/>
      <c r="X732" s="56"/>
      <c r="Y732" s="56"/>
      <c r="Z732" s="59"/>
    </row>
    <row r="733">
      <c r="A733" s="55"/>
      <c r="B733" s="55"/>
      <c r="C733" s="55"/>
      <c r="D733" s="55"/>
      <c r="E733" s="55"/>
      <c r="F733" s="55"/>
      <c r="G733" s="55"/>
      <c r="H733" s="55"/>
      <c r="I733" s="55"/>
      <c r="J733" s="55"/>
      <c r="K733" s="55"/>
      <c r="L733" s="55"/>
      <c r="M733" s="55"/>
      <c r="N733" s="55"/>
      <c r="O733" s="55"/>
      <c r="P733" s="55"/>
      <c r="Q733" s="56"/>
      <c r="R733" s="56"/>
      <c r="S733" s="56"/>
      <c r="T733" s="56"/>
      <c r="U733" s="56"/>
      <c r="V733" s="56"/>
      <c r="W733" s="56"/>
      <c r="X733" s="56"/>
      <c r="Y733" s="56"/>
      <c r="Z733" s="59"/>
    </row>
    <row r="734">
      <c r="A734" s="55"/>
      <c r="B734" s="55"/>
      <c r="C734" s="55"/>
      <c r="D734" s="55"/>
      <c r="E734" s="55"/>
      <c r="F734" s="55"/>
      <c r="G734" s="55"/>
      <c r="H734" s="55"/>
      <c r="I734" s="55"/>
      <c r="J734" s="55"/>
      <c r="K734" s="55"/>
      <c r="L734" s="55"/>
      <c r="M734" s="55"/>
      <c r="N734" s="55"/>
      <c r="O734" s="55"/>
      <c r="P734" s="55"/>
      <c r="Q734" s="56"/>
      <c r="R734" s="56"/>
      <c r="S734" s="56"/>
      <c r="T734" s="56"/>
      <c r="U734" s="56"/>
      <c r="V734" s="56"/>
      <c r="W734" s="56"/>
      <c r="X734" s="56"/>
      <c r="Y734" s="56"/>
      <c r="Z734" s="59"/>
    </row>
    <row r="735">
      <c r="A735" s="55"/>
      <c r="B735" s="55"/>
      <c r="C735" s="55"/>
      <c r="D735" s="55"/>
      <c r="E735" s="55"/>
      <c r="F735" s="55"/>
      <c r="G735" s="55"/>
      <c r="H735" s="55"/>
      <c r="I735" s="55"/>
      <c r="J735" s="55"/>
      <c r="K735" s="55"/>
      <c r="L735" s="55"/>
      <c r="M735" s="55"/>
      <c r="N735" s="55"/>
      <c r="O735" s="55"/>
      <c r="P735" s="55"/>
      <c r="Q735" s="56"/>
      <c r="R735" s="56"/>
      <c r="S735" s="56"/>
      <c r="T735" s="56"/>
      <c r="U735" s="56"/>
      <c r="V735" s="56"/>
      <c r="W735" s="56"/>
      <c r="X735" s="56"/>
      <c r="Y735" s="56"/>
      <c r="Z735" s="59"/>
    </row>
    <row r="736">
      <c r="A736" s="55"/>
      <c r="B736" s="55"/>
      <c r="C736" s="55"/>
      <c r="D736" s="55"/>
      <c r="E736" s="55"/>
      <c r="F736" s="55"/>
      <c r="G736" s="55"/>
      <c r="H736" s="55"/>
      <c r="I736" s="55"/>
      <c r="J736" s="55"/>
      <c r="K736" s="55"/>
      <c r="L736" s="55"/>
      <c r="M736" s="55"/>
      <c r="N736" s="55"/>
      <c r="O736" s="55"/>
      <c r="P736" s="55"/>
      <c r="Q736" s="56"/>
      <c r="R736" s="56"/>
      <c r="S736" s="56"/>
      <c r="T736" s="56"/>
      <c r="U736" s="56"/>
      <c r="V736" s="56"/>
      <c r="W736" s="56"/>
      <c r="X736" s="56"/>
      <c r="Y736" s="56"/>
      <c r="Z736" s="59"/>
    </row>
    <row r="737">
      <c r="A737" s="55"/>
      <c r="B737" s="55"/>
      <c r="C737" s="55"/>
      <c r="D737" s="55"/>
      <c r="E737" s="55"/>
      <c r="F737" s="55"/>
      <c r="G737" s="55"/>
      <c r="H737" s="55"/>
      <c r="I737" s="55"/>
      <c r="J737" s="55"/>
      <c r="K737" s="55"/>
      <c r="L737" s="55"/>
      <c r="M737" s="55"/>
      <c r="N737" s="55"/>
      <c r="O737" s="55"/>
      <c r="P737" s="55"/>
      <c r="Q737" s="56"/>
      <c r="R737" s="56"/>
      <c r="S737" s="56"/>
      <c r="T737" s="56"/>
      <c r="U737" s="56"/>
      <c r="V737" s="56"/>
      <c r="W737" s="56"/>
      <c r="X737" s="56"/>
      <c r="Y737" s="56"/>
      <c r="Z737" s="59"/>
    </row>
    <row r="738">
      <c r="A738" s="55"/>
      <c r="B738" s="55"/>
      <c r="C738" s="55"/>
      <c r="D738" s="55"/>
      <c r="E738" s="55"/>
      <c r="F738" s="55"/>
      <c r="G738" s="55"/>
      <c r="H738" s="55"/>
      <c r="I738" s="55"/>
      <c r="J738" s="55"/>
      <c r="K738" s="55"/>
      <c r="L738" s="55"/>
      <c r="M738" s="55"/>
      <c r="N738" s="55"/>
      <c r="O738" s="55"/>
      <c r="P738" s="55"/>
      <c r="Q738" s="56"/>
      <c r="R738" s="56"/>
      <c r="S738" s="56"/>
      <c r="T738" s="56"/>
      <c r="U738" s="56"/>
      <c r="V738" s="56"/>
      <c r="W738" s="56"/>
      <c r="X738" s="56"/>
      <c r="Y738" s="56"/>
      <c r="Z738" s="59"/>
    </row>
    <row r="739">
      <c r="A739" s="55"/>
      <c r="B739" s="55"/>
      <c r="C739" s="55"/>
      <c r="D739" s="55"/>
      <c r="E739" s="55"/>
      <c r="F739" s="55"/>
      <c r="G739" s="55"/>
      <c r="H739" s="55"/>
      <c r="I739" s="55"/>
      <c r="J739" s="55"/>
      <c r="K739" s="55"/>
      <c r="L739" s="55"/>
      <c r="M739" s="55"/>
      <c r="N739" s="55"/>
      <c r="O739" s="55"/>
      <c r="P739" s="55"/>
      <c r="Q739" s="56"/>
      <c r="R739" s="56"/>
      <c r="S739" s="56"/>
      <c r="T739" s="56"/>
      <c r="U739" s="56"/>
      <c r="V739" s="56"/>
      <c r="W739" s="56"/>
      <c r="X739" s="56"/>
      <c r="Y739" s="56"/>
      <c r="Z739" s="59"/>
    </row>
    <row r="740">
      <c r="A740" s="55"/>
      <c r="B740" s="55"/>
      <c r="C740" s="55"/>
      <c r="D740" s="55"/>
      <c r="E740" s="55"/>
      <c r="F740" s="55"/>
      <c r="G740" s="55"/>
      <c r="H740" s="55"/>
      <c r="I740" s="55"/>
      <c r="J740" s="55"/>
      <c r="K740" s="55"/>
      <c r="L740" s="55"/>
      <c r="M740" s="55"/>
      <c r="N740" s="55"/>
      <c r="O740" s="55"/>
      <c r="P740" s="55"/>
      <c r="Q740" s="56"/>
      <c r="R740" s="56"/>
      <c r="S740" s="56"/>
      <c r="T740" s="56"/>
      <c r="U740" s="56"/>
      <c r="V740" s="56"/>
      <c r="W740" s="56"/>
      <c r="X740" s="56"/>
      <c r="Y740" s="56"/>
      <c r="Z740" s="59"/>
    </row>
    <row r="741">
      <c r="A741" s="55"/>
      <c r="B741" s="55"/>
      <c r="C741" s="55"/>
      <c r="D741" s="55"/>
      <c r="E741" s="55"/>
      <c r="F741" s="55"/>
      <c r="G741" s="55"/>
      <c r="H741" s="55"/>
      <c r="I741" s="55"/>
      <c r="J741" s="55"/>
      <c r="K741" s="55"/>
      <c r="L741" s="55"/>
      <c r="M741" s="55"/>
      <c r="N741" s="55"/>
      <c r="O741" s="55"/>
      <c r="P741" s="55"/>
      <c r="Q741" s="56"/>
      <c r="R741" s="56"/>
      <c r="S741" s="56"/>
      <c r="T741" s="56"/>
      <c r="U741" s="56"/>
      <c r="V741" s="56"/>
      <c r="W741" s="56"/>
      <c r="X741" s="56"/>
      <c r="Y741" s="56"/>
      <c r="Z741" s="59"/>
    </row>
    <row r="742">
      <c r="A742" s="55"/>
      <c r="B742" s="55"/>
      <c r="C742" s="55"/>
      <c r="D742" s="55"/>
      <c r="E742" s="55"/>
      <c r="F742" s="55"/>
      <c r="G742" s="55"/>
      <c r="H742" s="55"/>
      <c r="I742" s="55"/>
      <c r="J742" s="55"/>
      <c r="K742" s="55"/>
      <c r="L742" s="55"/>
      <c r="M742" s="55"/>
      <c r="N742" s="55"/>
      <c r="O742" s="55"/>
      <c r="P742" s="55"/>
      <c r="Q742" s="56"/>
      <c r="R742" s="56"/>
      <c r="S742" s="56"/>
      <c r="T742" s="56"/>
      <c r="U742" s="56"/>
      <c r="V742" s="56"/>
      <c r="W742" s="56"/>
      <c r="X742" s="56"/>
      <c r="Y742" s="56"/>
      <c r="Z742" s="59"/>
    </row>
    <row r="743">
      <c r="A743" s="55"/>
      <c r="B743" s="55"/>
      <c r="C743" s="55"/>
      <c r="D743" s="55"/>
      <c r="E743" s="55"/>
      <c r="F743" s="55"/>
      <c r="G743" s="55"/>
      <c r="H743" s="55"/>
      <c r="I743" s="55"/>
      <c r="J743" s="55"/>
      <c r="K743" s="55"/>
      <c r="L743" s="55"/>
      <c r="M743" s="55"/>
      <c r="N743" s="55"/>
      <c r="O743" s="55"/>
      <c r="P743" s="55"/>
      <c r="Q743" s="56"/>
      <c r="R743" s="56"/>
      <c r="S743" s="56"/>
      <c r="T743" s="56"/>
      <c r="U743" s="56"/>
      <c r="V743" s="56"/>
      <c r="W743" s="56"/>
      <c r="X743" s="56"/>
      <c r="Y743" s="56"/>
      <c r="Z743" s="59"/>
    </row>
    <row r="744">
      <c r="A744" s="55"/>
      <c r="B744" s="55"/>
      <c r="C744" s="55"/>
      <c r="D744" s="55"/>
      <c r="E744" s="55"/>
      <c r="F744" s="55"/>
      <c r="G744" s="55"/>
      <c r="H744" s="55"/>
      <c r="I744" s="55"/>
      <c r="J744" s="55"/>
      <c r="K744" s="55"/>
      <c r="L744" s="55"/>
      <c r="M744" s="55"/>
      <c r="N744" s="55"/>
      <c r="O744" s="55"/>
      <c r="P744" s="55"/>
      <c r="Q744" s="56"/>
      <c r="R744" s="56"/>
      <c r="S744" s="56"/>
      <c r="T744" s="56"/>
      <c r="U744" s="56"/>
      <c r="V744" s="56"/>
      <c r="W744" s="56"/>
      <c r="X744" s="56"/>
      <c r="Y744" s="56"/>
      <c r="Z744" s="59"/>
    </row>
    <row r="745">
      <c r="A745" s="55"/>
      <c r="B745" s="55"/>
      <c r="C745" s="55"/>
      <c r="D745" s="55"/>
      <c r="E745" s="55"/>
      <c r="F745" s="55"/>
      <c r="G745" s="55"/>
      <c r="H745" s="55"/>
      <c r="I745" s="55"/>
      <c r="J745" s="55"/>
      <c r="K745" s="55"/>
      <c r="L745" s="55"/>
      <c r="M745" s="55"/>
      <c r="N745" s="55"/>
      <c r="O745" s="55"/>
      <c r="P745" s="55"/>
      <c r="Q745" s="56"/>
      <c r="R745" s="56"/>
      <c r="S745" s="56"/>
      <c r="T745" s="56"/>
      <c r="U745" s="56"/>
      <c r="V745" s="56"/>
      <c r="W745" s="56"/>
      <c r="X745" s="56"/>
      <c r="Y745" s="56"/>
      <c r="Z745" s="59"/>
    </row>
    <row r="746">
      <c r="A746" s="55"/>
      <c r="B746" s="55"/>
      <c r="C746" s="55"/>
      <c r="D746" s="55"/>
      <c r="E746" s="55"/>
      <c r="F746" s="55"/>
      <c r="G746" s="55"/>
      <c r="H746" s="55"/>
      <c r="I746" s="55"/>
      <c r="J746" s="55"/>
      <c r="K746" s="55"/>
      <c r="L746" s="55"/>
      <c r="M746" s="55"/>
      <c r="N746" s="55"/>
      <c r="O746" s="55"/>
      <c r="P746" s="55"/>
      <c r="Q746" s="56"/>
      <c r="R746" s="56"/>
      <c r="S746" s="56"/>
      <c r="T746" s="56"/>
      <c r="U746" s="56"/>
      <c r="V746" s="56"/>
      <c r="W746" s="56"/>
      <c r="X746" s="56"/>
      <c r="Y746" s="56"/>
      <c r="Z746" s="59"/>
    </row>
    <row r="747">
      <c r="A747" s="55"/>
      <c r="B747" s="55"/>
      <c r="C747" s="55"/>
      <c r="D747" s="55"/>
      <c r="E747" s="55"/>
      <c r="F747" s="55"/>
      <c r="G747" s="55"/>
      <c r="H747" s="55"/>
      <c r="I747" s="55"/>
      <c r="J747" s="55"/>
      <c r="K747" s="55"/>
      <c r="L747" s="55"/>
      <c r="M747" s="55"/>
      <c r="N747" s="55"/>
      <c r="O747" s="55"/>
      <c r="P747" s="55"/>
      <c r="Q747" s="56"/>
      <c r="R747" s="56"/>
      <c r="S747" s="56"/>
      <c r="T747" s="56"/>
      <c r="U747" s="56"/>
      <c r="V747" s="56"/>
      <c r="W747" s="56"/>
      <c r="X747" s="56"/>
      <c r="Y747" s="56"/>
      <c r="Z747" s="59"/>
    </row>
    <row r="748">
      <c r="A748" s="55"/>
      <c r="B748" s="55"/>
      <c r="C748" s="55"/>
      <c r="D748" s="55"/>
      <c r="E748" s="55"/>
      <c r="F748" s="55"/>
      <c r="G748" s="55"/>
      <c r="H748" s="55"/>
      <c r="I748" s="55"/>
      <c r="J748" s="55"/>
      <c r="K748" s="55"/>
      <c r="L748" s="55"/>
      <c r="M748" s="55"/>
      <c r="N748" s="55"/>
      <c r="O748" s="55"/>
      <c r="P748" s="55"/>
      <c r="Q748" s="56"/>
      <c r="R748" s="56"/>
      <c r="S748" s="56"/>
      <c r="T748" s="56"/>
      <c r="U748" s="56"/>
      <c r="V748" s="56"/>
      <c r="W748" s="56"/>
      <c r="X748" s="56"/>
      <c r="Y748" s="56"/>
      <c r="Z748" s="59"/>
    </row>
    <row r="749">
      <c r="A749" s="55"/>
      <c r="B749" s="55"/>
      <c r="C749" s="55"/>
      <c r="D749" s="55"/>
      <c r="E749" s="55"/>
      <c r="F749" s="55"/>
      <c r="G749" s="55"/>
      <c r="H749" s="55"/>
      <c r="I749" s="55"/>
      <c r="J749" s="55"/>
      <c r="K749" s="55"/>
      <c r="L749" s="55"/>
      <c r="M749" s="55"/>
      <c r="N749" s="55"/>
      <c r="O749" s="55"/>
      <c r="P749" s="55"/>
      <c r="Q749" s="56"/>
      <c r="R749" s="56"/>
      <c r="S749" s="56"/>
      <c r="T749" s="56"/>
      <c r="U749" s="56"/>
      <c r="V749" s="56"/>
      <c r="W749" s="56"/>
      <c r="X749" s="56"/>
      <c r="Y749" s="56"/>
      <c r="Z749" s="59"/>
    </row>
    <row r="750">
      <c r="A750" s="55"/>
      <c r="B750" s="55"/>
      <c r="C750" s="55"/>
      <c r="D750" s="55"/>
      <c r="E750" s="55"/>
      <c r="F750" s="55"/>
      <c r="G750" s="55"/>
      <c r="H750" s="55"/>
      <c r="I750" s="55"/>
      <c r="J750" s="55"/>
      <c r="K750" s="55"/>
      <c r="L750" s="55"/>
      <c r="M750" s="55"/>
      <c r="N750" s="55"/>
      <c r="O750" s="55"/>
      <c r="P750" s="55"/>
      <c r="Q750" s="56"/>
      <c r="R750" s="56"/>
      <c r="S750" s="56"/>
      <c r="T750" s="56"/>
      <c r="U750" s="56"/>
      <c r="V750" s="56"/>
      <c r="W750" s="56"/>
      <c r="X750" s="56"/>
      <c r="Y750" s="56"/>
      <c r="Z750" s="59"/>
    </row>
    <row r="751">
      <c r="A751" s="55"/>
      <c r="B751" s="55"/>
      <c r="C751" s="55"/>
      <c r="D751" s="55"/>
      <c r="E751" s="55"/>
      <c r="F751" s="55"/>
      <c r="G751" s="55"/>
      <c r="H751" s="55"/>
      <c r="I751" s="55"/>
      <c r="J751" s="55"/>
      <c r="K751" s="55"/>
      <c r="L751" s="55"/>
      <c r="M751" s="55"/>
      <c r="N751" s="55"/>
      <c r="O751" s="55"/>
      <c r="P751" s="55"/>
      <c r="Q751" s="56"/>
      <c r="R751" s="56"/>
      <c r="S751" s="56"/>
      <c r="T751" s="56"/>
      <c r="U751" s="56"/>
      <c r="V751" s="56"/>
      <c r="W751" s="56"/>
      <c r="X751" s="56"/>
      <c r="Y751" s="56"/>
      <c r="Z751" s="59"/>
    </row>
    <row r="752">
      <c r="A752" s="55"/>
      <c r="B752" s="55"/>
      <c r="C752" s="55"/>
      <c r="D752" s="55"/>
      <c r="E752" s="55"/>
      <c r="F752" s="55"/>
      <c r="G752" s="55"/>
      <c r="H752" s="55"/>
      <c r="I752" s="55"/>
      <c r="J752" s="55"/>
      <c r="K752" s="55"/>
      <c r="L752" s="55"/>
      <c r="M752" s="55"/>
      <c r="N752" s="55"/>
      <c r="O752" s="55"/>
      <c r="P752" s="55"/>
      <c r="Q752" s="56"/>
      <c r="R752" s="56"/>
      <c r="S752" s="56"/>
      <c r="T752" s="56"/>
      <c r="U752" s="56"/>
      <c r="V752" s="56"/>
      <c r="W752" s="56"/>
      <c r="X752" s="56"/>
      <c r="Y752" s="56"/>
      <c r="Z752" s="59"/>
    </row>
    <row r="753">
      <c r="A753" s="55"/>
      <c r="B753" s="55"/>
      <c r="C753" s="55"/>
      <c r="D753" s="55"/>
      <c r="E753" s="55"/>
      <c r="F753" s="55"/>
      <c r="G753" s="55"/>
      <c r="H753" s="55"/>
      <c r="I753" s="55"/>
      <c r="J753" s="55"/>
      <c r="K753" s="55"/>
      <c r="L753" s="55"/>
      <c r="M753" s="55"/>
      <c r="N753" s="55"/>
      <c r="O753" s="55"/>
      <c r="P753" s="55"/>
      <c r="Q753" s="56"/>
      <c r="R753" s="56"/>
      <c r="S753" s="56"/>
      <c r="T753" s="56"/>
      <c r="U753" s="56"/>
      <c r="V753" s="56"/>
      <c r="W753" s="56"/>
      <c r="X753" s="56"/>
      <c r="Y753" s="56"/>
      <c r="Z753" s="59"/>
    </row>
    <row r="754">
      <c r="A754" s="55"/>
      <c r="B754" s="55"/>
      <c r="C754" s="55"/>
      <c r="D754" s="55"/>
      <c r="E754" s="55"/>
      <c r="F754" s="55"/>
      <c r="G754" s="55"/>
      <c r="H754" s="55"/>
      <c r="I754" s="55"/>
      <c r="J754" s="55"/>
      <c r="K754" s="55"/>
      <c r="L754" s="55"/>
      <c r="M754" s="55"/>
      <c r="N754" s="55"/>
      <c r="O754" s="55"/>
      <c r="P754" s="55"/>
      <c r="Q754" s="56"/>
      <c r="R754" s="56"/>
      <c r="S754" s="56"/>
      <c r="T754" s="56"/>
      <c r="U754" s="56"/>
      <c r="V754" s="56"/>
      <c r="W754" s="56"/>
      <c r="X754" s="56"/>
      <c r="Y754" s="56"/>
      <c r="Z754" s="59"/>
    </row>
    <row r="755">
      <c r="A755" s="55"/>
      <c r="B755" s="55"/>
      <c r="C755" s="55"/>
      <c r="D755" s="55"/>
      <c r="E755" s="55"/>
      <c r="F755" s="55"/>
      <c r="G755" s="55"/>
      <c r="H755" s="55"/>
      <c r="I755" s="55"/>
      <c r="J755" s="55"/>
      <c r="K755" s="55"/>
      <c r="L755" s="55"/>
      <c r="M755" s="55"/>
      <c r="N755" s="55"/>
      <c r="O755" s="55"/>
      <c r="P755" s="55"/>
      <c r="Q755" s="56"/>
      <c r="R755" s="56"/>
      <c r="S755" s="56"/>
      <c r="T755" s="56"/>
      <c r="U755" s="56"/>
      <c r="V755" s="56"/>
      <c r="W755" s="56"/>
      <c r="X755" s="56"/>
      <c r="Y755" s="56"/>
      <c r="Z755" s="59"/>
    </row>
    <row r="756">
      <c r="A756" s="55"/>
      <c r="B756" s="55"/>
      <c r="C756" s="55"/>
      <c r="D756" s="55"/>
      <c r="E756" s="55"/>
      <c r="F756" s="55"/>
      <c r="G756" s="55"/>
      <c r="H756" s="55"/>
      <c r="I756" s="55"/>
      <c r="J756" s="55"/>
      <c r="K756" s="55"/>
      <c r="L756" s="55"/>
      <c r="M756" s="55"/>
      <c r="N756" s="55"/>
      <c r="O756" s="55"/>
      <c r="P756" s="55"/>
      <c r="Q756" s="56"/>
      <c r="R756" s="56"/>
      <c r="S756" s="56"/>
      <c r="T756" s="56"/>
      <c r="U756" s="56"/>
      <c r="V756" s="56"/>
      <c r="W756" s="56"/>
      <c r="X756" s="56"/>
      <c r="Y756" s="56"/>
      <c r="Z756" s="59"/>
    </row>
    <row r="757">
      <c r="A757" s="55"/>
      <c r="B757" s="55"/>
      <c r="C757" s="55"/>
      <c r="D757" s="55"/>
      <c r="E757" s="55"/>
      <c r="F757" s="55"/>
      <c r="G757" s="55"/>
      <c r="H757" s="55"/>
      <c r="I757" s="55"/>
      <c r="J757" s="55"/>
      <c r="K757" s="55"/>
      <c r="L757" s="55"/>
      <c r="M757" s="55"/>
      <c r="N757" s="55"/>
      <c r="O757" s="55"/>
      <c r="P757" s="55"/>
      <c r="Q757" s="56"/>
      <c r="R757" s="56"/>
      <c r="S757" s="56"/>
      <c r="T757" s="56"/>
      <c r="U757" s="56"/>
      <c r="V757" s="56"/>
      <c r="W757" s="56"/>
      <c r="X757" s="56"/>
      <c r="Y757" s="56"/>
      <c r="Z757" s="59"/>
    </row>
    <row r="758">
      <c r="A758" s="55"/>
      <c r="B758" s="55"/>
      <c r="C758" s="55"/>
      <c r="D758" s="55"/>
      <c r="E758" s="55"/>
      <c r="F758" s="55"/>
      <c r="G758" s="55"/>
      <c r="H758" s="55"/>
      <c r="I758" s="55"/>
      <c r="J758" s="55"/>
      <c r="K758" s="55"/>
      <c r="L758" s="55"/>
      <c r="M758" s="55"/>
      <c r="N758" s="55"/>
      <c r="O758" s="55"/>
      <c r="P758" s="55"/>
      <c r="Q758" s="56"/>
      <c r="R758" s="56"/>
      <c r="S758" s="56"/>
      <c r="T758" s="56"/>
      <c r="U758" s="56"/>
      <c r="V758" s="56"/>
      <c r="W758" s="56"/>
      <c r="X758" s="56"/>
      <c r="Y758" s="56"/>
      <c r="Z758" s="59"/>
    </row>
    <row r="759">
      <c r="A759" s="55"/>
      <c r="B759" s="55"/>
      <c r="C759" s="55"/>
      <c r="D759" s="55"/>
      <c r="E759" s="55"/>
      <c r="F759" s="55"/>
      <c r="G759" s="55"/>
      <c r="H759" s="55"/>
      <c r="I759" s="55"/>
      <c r="J759" s="55"/>
      <c r="K759" s="55"/>
      <c r="L759" s="55"/>
      <c r="M759" s="55"/>
      <c r="N759" s="55"/>
      <c r="O759" s="55"/>
      <c r="P759" s="55"/>
      <c r="Q759" s="56"/>
      <c r="R759" s="56"/>
      <c r="S759" s="56"/>
      <c r="T759" s="56"/>
      <c r="U759" s="56"/>
      <c r="V759" s="56"/>
      <c r="W759" s="56"/>
      <c r="X759" s="56"/>
      <c r="Y759" s="56"/>
      <c r="Z759" s="59"/>
    </row>
    <row r="760">
      <c r="A760" s="55"/>
      <c r="B760" s="55"/>
      <c r="C760" s="55"/>
      <c r="D760" s="55"/>
      <c r="E760" s="55"/>
      <c r="F760" s="55"/>
      <c r="G760" s="55"/>
      <c r="H760" s="55"/>
      <c r="I760" s="55"/>
      <c r="J760" s="55"/>
      <c r="K760" s="55"/>
      <c r="L760" s="55"/>
      <c r="M760" s="55"/>
      <c r="N760" s="55"/>
      <c r="O760" s="55"/>
      <c r="P760" s="55"/>
      <c r="Q760" s="56"/>
      <c r="R760" s="56"/>
      <c r="S760" s="56"/>
      <c r="T760" s="56"/>
      <c r="U760" s="56"/>
      <c r="V760" s="56"/>
      <c r="W760" s="56"/>
      <c r="X760" s="56"/>
      <c r="Y760" s="56"/>
      <c r="Z760" s="59"/>
    </row>
    <row r="761">
      <c r="A761" s="55"/>
      <c r="B761" s="55"/>
      <c r="C761" s="55"/>
      <c r="D761" s="55"/>
      <c r="E761" s="55"/>
      <c r="F761" s="55"/>
      <c r="G761" s="55"/>
      <c r="H761" s="55"/>
      <c r="I761" s="55"/>
      <c r="J761" s="55"/>
      <c r="K761" s="55"/>
      <c r="L761" s="55"/>
      <c r="M761" s="55"/>
      <c r="N761" s="55"/>
      <c r="O761" s="55"/>
      <c r="P761" s="55"/>
      <c r="Q761" s="56"/>
      <c r="R761" s="56"/>
      <c r="S761" s="56"/>
      <c r="T761" s="56"/>
      <c r="U761" s="56"/>
      <c r="V761" s="56"/>
      <c r="W761" s="56"/>
      <c r="X761" s="56"/>
      <c r="Y761" s="56"/>
      <c r="Z761" s="59"/>
    </row>
    <row r="762">
      <c r="A762" s="55"/>
      <c r="B762" s="55"/>
      <c r="C762" s="55"/>
      <c r="D762" s="55"/>
      <c r="E762" s="55"/>
      <c r="F762" s="55"/>
      <c r="G762" s="55"/>
      <c r="H762" s="55"/>
      <c r="I762" s="55"/>
      <c r="J762" s="55"/>
      <c r="K762" s="55"/>
      <c r="L762" s="55"/>
      <c r="M762" s="55"/>
      <c r="N762" s="55"/>
      <c r="O762" s="55"/>
      <c r="P762" s="55"/>
      <c r="Q762" s="56"/>
      <c r="R762" s="56"/>
      <c r="S762" s="56"/>
      <c r="T762" s="56"/>
      <c r="U762" s="56"/>
      <c r="V762" s="56"/>
      <c r="W762" s="56"/>
      <c r="X762" s="56"/>
      <c r="Y762" s="56"/>
      <c r="Z762" s="59"/>
    </row>
    <row r="763">
      <c r="A763" s="55"/>
      <c r="B763" s="55"/>
      <c r="C763" s="55"/>
      <c r="D763" s="55"/>
      <c r="E763" s="55"/>
      <c r="F763" s="55"/>
      <c r="G763" s="55"/>
      <c r="H763" s="55"/>
      <c r="I763" s="55"/>
      <c r="J763" s="55"/>
      <c r="K763" s="55"/>
      <c r="L763" s="55"/>
      <c r="M763" s="55"/>
      <c r="N763" s="55"/>
      <c r="O763" s="55"/>
      <c r="P763" s="55"/>
      <c r="Q763" s="56"/>
      <c r="R763" s="56"/>
      <c r="S763" s="56"/>
      <c r="T763" s="56"/>
      <c r="U763" s="56"/>
      <c r="V763" s="56"/>
      <c r="W763" s="56"/>
      <c r="X763" s="56"/>
      <c r="Y763" s="56"/>
      <c r="Z763" s="59"/>
    </row>
    <row r="764">
      <c r="A764" s="55"/>
      <c r="B764" s="55"/>
      <c r="C764" s="55"/>
      <c r="D764" s="55"/>
      <c r="E764" s="55"/>
      <c r="F764" s="55"/>
      <c r="G764" s="55"/>
      <c r="H764" s="55"/>
      <c r="I764" s="55"/>
      <c r="J764" s="55"/>
      <c r="K764" s="55"/>
      <c r="L764" s="55"/>
      <c r="M764" s="55"/>
      <c r="N764" s="55"/>
      <c r="O764" s="55"/>
      <c r="P764" s="55"/>
      <c r="Q764" s="56"/>
      <c r="R764" s="56"/>
      <c r="S764" s="56"/>
      <c r="T764" s="56"/>
      <c r="U764" s="56"/>
      <c r="V764" s="56"/>
      <c r="W764" s="56"/>
      <c r="X764" s="56"/>
      <c r="Y764" s="56"/>
      <c r="Z764" s="59"/>
    </row>
    <row r="765">
      <c r="A765" s="55"/>
      <c r="B765" s="55"/>
      <c r="C765" s="55"/>
      <c r="D765" s="55"/>
      <c r="E765" s="55"/>
      <c r="F765" s="55"/>
      <c r="G765" s="55"/>
      <c r="H765" s="55"/>
      <c r="I765" s="55"/>
      <c r="J765" s="55"/>
      <c r="K765" s="55"/>
      <c r="L765" s="55"/>
      <c r="M765" s="55"/>
      <c r="N765" s="55"/>
      <c r="O765" s="55"/>
      <c r="P765" s="55"/>
      <c r="Q765" s="56"/>
      <c r="R765" s="56"/>
      <c r="S765" s="56"/>
      <c r="T765" s="56"/>
      <c r="U765" s="56"/>
      <c r="V765" s="56"/>
      <c r="W765" s="56"/>
      <c r="X765" s="56"/>
      <c r="Y765" s="56"/>
      <c r="Z765" s="59"/>
    </row>
    <row r="766">
      <c r="A766" s="55"/>
      <c r="B766" s="55"/>
      <c r="C766" s="55"/>
      <c r="D766" s="55"/>
      <c r="E766" s="55"/>
      <c r="F766" s="55"/>
      <c r="G766" s="55"/>
      <c r="H766" s="55"/>
      <c r="I766" s="55"/>
      <c r="J766" s="55"/>
      <c r="K766" s="55"/>
      <c r="L766" s="55"/>
      <c r="M766" s="55"/>
      <c r="N766" s="55"/>
      <c r="O766" s="55"/>
      <c r="P766" s="55"/>
      <c r="Q766" s="56"/>
      <c r="R766" s="56"/>
      <c r="S766" s="56"/>
      <c r="T766" s="56"/>
      <c r="U766" s="56"/>
      <c r="V766" s="56"/>
      <c r="W766" s="56"/>
      <c r="X766" s="56"/>
      <c r="Y766" s="56"/>
      <c r="Z766" s="59"/>
    </row>
    <row r="767">
      <c r="A767" s="55"/>
      <c r="B767" s="55"/>
      <c r="C767" s="55"/>
      <c r="D767" s="55"/>
      <c r="E767" s="55"/>
      <c r="F767" s="55"/>
      <c r="G767" s="55"/>
      <c r="H767" s="55"/>
      <c r="I767" s="55"/>
      <c r="J767" s="55"/>
      <c r="K767" s="55"/>
      <c r="L767" s="55"/>
      <c r="M767" s="55"/>
      <c r="N767" s="55"/>
      <c r="O767" s="55"/>
      <c r="P767" s="55"/>
      <c r="Q767" s="56"/>
      <c r="R767" s="56"/>
      <c r="S767" s="56"/>
      <c r="T767" s="56"/>
      <c r="U767" s="56"/>
      <c r="V767" s="56"/>
      <c r="W767" s="56"/>
      <c r="X767" s="56"/>
      <c r="Y767" s="56"/>
      <c r="Z767" s="59"/>
    </row>
    <row r="768">
      <c r="A768" s="55"/>
      <c r="B768" s="55"/>
      <c r="C768" s="55"/>
      <c r="D768" s="55"/>
      <c r="E768" s="55"/>
      <c r="F768" s="55"/>
      <c r="G768" s="55"/>
      <c r="H768" s="55"/>
      <c r="I768" s="55"/>
      <c r="J768" s="55"/>
      <c r="K768" s="55"/>
      <c r="L768" s="55"/>
      <c r="M768" s="55"/>
      <c r="N768" s="55"/>
      <c r="O768" s="55"/>
      <c r="P768" s="55"/>
      <c r="Q768" s="56"/>
      <c r="R768" s="56"/>
      <c r="S768" s="56"/>
      <c r="T768" s="56"/>
      <c r="U768" s="56"/>
      <c r="V768" s="56"/>
      <c r="W768" s="56"/>
      <c r="X768" s="56"/>
      <c r="Y768" s="56"/>
      <c r="Z768" s="59"/>
    </row>
    <row r="769">
      <c r="A769" s="55"/>
      <c r="B769" s="55"/>
      <c r="C769" s="55"/>
      <c r="D769" s="55"/>
      <c r="E769" s="55"/>
      <c r="F769" s="55"/>
      <c r="G769" s="55"/>
      <c r="H769" s="55"/>
      <c r="I769" s="55"/>
      <c r="J769" s="55"/>
      <c r="K769" s="55"/>
      <c r="L769" s="55"/>
      <c r="M769" s="55"/>
      <c r="N769" s="55"/>
      <c r="O769" s="55"/>
      <c r="P769" s="55"/>
      <c r="Q769" s="56"/>
      <c r="R769" s="56"/>
      <c r="S769" s="56"/>
      <c r="T769" s="56"/>
      <c r="U769" s="56"/>
      <c r="V769" s="56"/>
      <c r="W769" s="56"/>
      <c r="X769" s="56"/>
      <c r="Y769" s="56"/>
      <c r="Z769" s="59"/>
    </row>
    <row r="770">
      <c r="A770" s="55"/>
      <c r="B770" s="55"/>
      <c r="C770" s="55"/>
      <c r="D770" s="55"/>
      <c r="E770" s="55"/>
      <c r="F770" s="55"/>
      <c r="G770" s="55"/>
      <c r="H770" s="55"/>
      <c r="I770" s="55"/>
      <c r="J770" s="55"/>
      <c r="K770" s="55"/>
      <c r="L770" s="55"/>
      <c r="M770" s="55"/>
      <c r="N770" s="55"/>
      <c r="O770" s="55"/>
      <c r="P770" s="55"/>
      <c r="Q770" s="56"/>
      <c r="R770" s="56"/>
      <c r="S770" s="56"/>
      <c r="T770" s="56"/>
      <c r="U770" s="56"/>
      <c r="V770" s="56"/>
      <c r="W770" s="56"/>
      <c r="X770" s="56"/>
      <c r="Y770" s="56"/>
      <c r="Z770" s="59"/>
    </row>
    <row r="771">
      <c r="A771" s="55"/>
      <c r="B771" s="55"/>
      <c r="C771" s="55"/>
      <c r="D771" s="55"/>
      <c r="E771" s="55"/>
      <c r="F771" s="55"/>
      <c r="G771" s="55"/>
      <c r="H771" s="55"/>
      <c r="I771" s="55"/>
      <c r="J771" s="55"/>
      <c r="K771" s="55"/>
      <c r="L771" s="55"/>
      <c r="M771" s="55"/>
      <c r="N771" s="55"/>
      <c r="O771" s="55"/>
      <c r="P771" s="55"/>
      <c r="Q771" s="56"/>
      <c r="R771" s="56"/>
      <c r="S771" s="56"/>
      <c r="T771" s="56"/>
      <c r="U771" s="56"/>
      <c r="V771" s="56"/>
      <c r="W771" s="56"/>
      <c r="X771" s="56"/>
      <c r="Y771" s="56"/>
      <c r="Z771" s="59"/>
    </row>
    <row r="772">
      <c r="A772" s="55"/>
      <c r="B772" s="55"/>
      <c r="C772" s="55"/>
      <c r="D772" s="55"/>
      <c r="E772" s="55"/>
      <c r="F772" s="55"/>
      <c r="G772" s="55"/>
      <c r="H772" s="55"/>
      <c r="I772" s="55"/>
      <c r="J772" s="55"/>
      <c r="K772" s="55"/>
      <c r="L772" s="55"/>
      <c r="M772" s="55"/>
      <c r="N772" s="55"/>
      <c r="O772" s="55"/>
      <c r="P772" s="55"/>
      <c r="Q772" s="56"/>
      <c r="R772" s="56"/>
      <c r="S772" s="56"/>
      <c r="T772" s="56"/>
      <c r="U772" s="56"/>
      <c r="V772" s="56"/>
      <c r="W772" s="56"/>
      <c r="X772" s="56"/>
      <c r="Y772" s="56"/>
      <c r="Z772" s="59"/>
    </row>
    <row r="773">
      <c r="A773" s="55"/>
      <c r="B773" s="55"/>
      <c r="C773" s="55"/>
      <c r="D773" s="55"/>
      <c r="E773" s="55"/>
      <c r="F773" s="55"/>
      <c r="G773" s="55"/>
      <c r="H773" s="55"/>
      <c r="I773" s="55"/>
      <c r="J773" s="55"/>
      <c r="K773" s="55"/>
      <c r="L773" s="55"/>
      <c r="M773" s="55"/>
      <c r="N773" s="55"/>
      <c r="O773" s="55"/>
      <c r="P773" s="55"/>
      <c r="Q773" s="56"/>
      <c r="R773" s="56"/>
      <c r="S773" s="56"/>
      <c r="T773" s="56"/>
      <c r="U773" s="56"/>
      <c r="V773" s="56"/>
      <c r="W773" s="56"/>
      <c r="X773" s="56"/>
      <c r="Y773" s="56"/>
      <c r="Z773" s="59"/>
    </row>
    <row r="774">
      <c r="A774" s="55"/>
      <c r="B774" s="55"/>
      <c r="C774" s="55"/>
      <c r="D774" s="55"/>
      <c r="E774" s="55"/>
      <c r="F774" s="55"/>
      <c r="G774" s="55"/>
      <c r="H774" s="55"/>
      <c r="I774" s="55"/>
      <c r="J774" s="55"/>
      <c r="K774" s="55"/>
      <c r="L774" s="55"/>
      <c r="M774" s="55"/>
      <c r="N774" s="55"/>
      <c r="O774" s="55"/>
      <c r="P774" s="55"/>
      <c r="Q774" s="56"/>
      <c r="R774" s="56"/>
      <c r="S774" s="56"/>
      <c r="T774" s="56"/>
      <c r="U774" s="56"/>
      <c r="V774" s="56"/>
      <c r="W774" s="56"/>
      <c r="X774" s="56"/>
      <c r="Y774" s="56"/>
      <c r="Z774" s="59"/>
    </row>
    <row r="775">
      <c r="A775" s="55"/>
      <c r="B775" s="55"/>
      <c r="C775" s="55"/>
      <c r="D775" s="55"/>
      <c r="E775" s="55"/>
      <c r="F775" s="55"/>
      <c r="G775" s="55"/>
      <c r="H775" s="55"/>
      <c r="I775" s="55"/>
      <c r="J775" s="55"/>
      <c r="K775" s="55"/>
      <c r="L775" s="55"/>
      <c r="M775" s="55"/>
      <c r="N775" s="55"/>
      <c r="O775" s="55"/>
      <c r="P775" s="55"/>
      <c r="Q775" s="56"/>
      <c r="R775" s="56"/>
      <c r="S775" s="56"/>
      <c r="T775" s="56"/>
      <c r="U775" s="56"/>
      <c r="V775" s="56"/>
      <c r="W775" s="56"/>
      <c r="X775" s="56"/>
      <c r="Y775" s="56"/>
      <c r="Z775" s="59"/>
    </row>
    <row r="776">
      <c r="A776" s="55"/>
      <c r="B776" s="55"/>
      <c r="C776" s="55"/>
      <c r="D776" s="55"/>
      <c r="E776" s="55"/>
      <c r="F776" s="55"/>
      <c r="G776" s="55"/>
      <c r="H776" s="55"/>
      <c r="I776" s="55"/>
      <c r="J776" s="55"/>
      <c r="K776" s="55"/>
      <c r="L776" s="55"/>
      <c r="M776" s="55"/>
      <c r="N776" s="55"/>
      <c r="O776" s="55"/>
      <c r="P776" s="55"/>
      <c r="Q776" s="56"/>
      <c r="R776" s="56"/>
      <c r="S776" s="56"/>
      <c r="T776" s="56"/>
      <c r="U776" s="56"/>
      <c r="V776" s="56"/>
      <c r="W776" s="56"/>
      <c r="X776" s="56"/>
      <c r="Y776" s="56"/>
      <c r="Z776" s="59"/>
    </row>
    <row r="777">
      <c r="A777" s="55"/>
      <c r="B777" s="55"/>
      <c r="C777" s="55"/>
      <c r="D777" s="55"/>
      <c r="E777" s="55"/>
      <c r="F777" s="55"/>
      <c r="G777" s="55"/>
      <c r="H777" s="55"/>
      <c r="I777" s="55"/>
      <c r="J777" s="55"/>
      <c r="K777" s="55"/>
      <c r="L777" s="55"/>
      <c r="M777" s="55"/>
      <c r="N777" s="55"/>
      <c r="O777" s="55"/>
      <c r="P777" s="55"/>
      <c r="Q777" s="56"/>
      <c r="R777" s="56"/>
      <c r="S777" s="56"/>
      <c r="T777" s="56"/>
      <c r="U777" s="56"/>
      <c r="V777" s="56"/>
      <c r="W777" s="56"/>
      <c r="X777" s="56"/>
      <c r="Y777" s="56"/>
      <c r="Z777" s="59"/>
    </row>
    <row r="778">
      <c r="A778" s="55"/>
      <c r="B778" s="55"/>
      <c r="C778" s="55"/>
      <c r="D778" s="55"/>
      <c r="E778" s="55"/>
      <c r="F778" s="55"/>
      <c r="G778" s="55"/>
      <c r="H778" s="55"/>
      <c r="I778" s="55"/>
      <c r="J778" s="55"/>
      <c r="K778" s="55"/>
      <c r="L778" s="55"/>
      <c r="M778" s="55"/>
      <c r="N778" s="55"/>
      <c r="O778" s="55"/>
      <c r="P778" s="55"/>
      <c r="Q778" s="56"/>
      <c r="R778" s="56"/>
      <c r="S778" s="56"/>
      <c r="T778" s="56"/>
      <c r="U778" s="56"/>
      <c r="V778" s="56"/>
      <c r="W778" s="56"/>
      <c r="X778" s="56"/>
      <c r="Y778" s="56"/>
      <c r="Z778" s="59"/>
    </row>
    <row r="779">
      <c r="A779" s="55"/>
      <c r="B779" s="55"/>
      <c r="C779" s="55"/>
      <c r="D779" s="55"/>
      <c r="E779" s="55"/>
      <c r="F779" s="55"/>
      <c r="G779" s="55"/>
      <c r="H779" s="55"/>
      <c r="I779" s="55"/>
      <c r="J779" s="55"/>
      <c r="K779" s="55"/>
      <c r="L779" s="55"/>
      <c r="M779" s="55"/>
      <c r="N779" s="55"/>
      <c r="O779" s="55"/>
      <c r="P779" s="55"/>
      <c r="Q779" s="56"/>
      <c r="R779" s="56"/>
      <c r="S779" s="56"/>
      <c r="T779" s="56"/>
      <c r="U779" s="56"/>
      <c r="V779" s="56"/>
      <c r="W779" s="56"/>
      <c r="X779" s="56"/>
      <c r="Y779" s="56"/>
      <c r="Z779" s="59"/>
    </row>
    <row r="780">
      <c r="A780" s="55"/>
      <c r="B780" s="55"/>
      <c r="C780" s="55"/>
      <c r="D780" s="55"/>
      <c r="E780" s="55"/>
      <c r="F780" s="55"/>
      <c r="G780" s="55"/>
      <c r="H780" s="55"/>
      <c r="I780" s="55"/>
      <c r="J780" s="55"/>
      <c r="K780" s="55"/>
      <c r="L780" s="55"/>
      <c r="M780" s="55"/>
      <c r="N780" s="55"/>
      <c r="O780" s="55"/>
      <c r="P780" s="55"/>
      <c r="Q780" s="56"/>
      <c r="R780" s="56"/>
      <c r="S780" s="56"/>
      <c r="T780" s="56"/>
      <c r="U780" s="56"/>
      <c r="V780" s="56"/>
      <c r="W780" s="56"/>
      <c r="X780" s="56"/>
      <c r="Y780" s="56"/>
      <c r="Z780" s="59"/>
    </row>
    <row r="781">
      <c r="A781" s="55"/>
      <c r="B781" s="55"/>
      <c r="C781" s="55"/>
      <c r="D781" s="55"/>
      <c r="E781" s="55"/>
      <c r="F781" s="55"/>
      <c r="G781" s="55"/>
      <c r="H781" s="55"/>
      <c r="I781" s="55"/>
      <c r="J781" s="55"/>
      <c r="K781" s="55"/>
      <c r="L781" s="55"/>
      <c r="M781" s="55"/>
      <c r="N781" s="55"/>
      <c r="O781" s="55"/>
      <c r="P781" s="55"/>
      <c r="Q781" s="56"/>
      <c r="R781" s="56"/>
      <c r="S781" s="56"/>
      <c r="T781" s="56"/>
      <c r="U781" s="56"/>
      <c r="V781" s="56"/>
      <c r="W781" s="56"/>
      <c r="X781" s="56"/>
      <c r="Y781" s="56"/>
      <c r="Z781" s="59"/>
    </row>
    <row r="782">
      <c r="A782" s="55"/>
      <c r="B782" s="55"/>
      <c r="C782" s="55"/>
      <c r="D782" s="55"/>
      <c r="E782" s="55"/>
      <c r="F782" s="55"/>
      <c r="G782" s="55"/>
      <c r="H782" s="55"/>
      <c r="I782" s="55"/>
      <c r="J782" s="55"/>
      <c r="K782" s="55"/>
      <c r="L782" s="55"/>
      <c r="M782" s="55"/>
      <c r="N782" s="55"/>
      <c r="O782" s="55"/>
      <c r="P782" s="55"/>
      <c r="Q782" s="56"/>
      <c r="R782" s="56"/>
      <c r="S782" s="56"/>
      <c r="T782" s="56"/>
      <c r="U782" s="56"/>
      <c r="V782" s="56"/>
      <c r="W782" s="56"/>
      <c r="X782" s="56"/>
      <c r="Y782" s="56"/>
      <c r="Z782" s="59"/>
    </row>
    <row r="783">
      <c r="A783" s="55"/>
      <c r="B783" s="55"/>
      <c r="C783" s="55"/>
      <c r="D783" s="55"/>
      <c r="E783" s="55"/>
      <c r="F783" s="55"/>
      <c r="G783" s="55"/>
      <c r="H783" s="55"/>
      <c r="I783" s="55"/>
      <c r="J783" s="55"/>
      <c r="K783" s="55"/>
      <c r="L783" s="55"/>
      <c r="M783" s="55"/>
      <c r="N783" s="55"/>
      <c r="O783" s="55"/>
      <c r="P783" s="55"/>
      <c r="Q783" s="56"/>
      <c r="R783" s="56"/>
      <c r="S783" s="56"/>
      <c r="T783" s="56"/>
      <c r="U783" s="56"/>
      <c r="V783" s="56"/>
      <c r="W783" s="56"/>
      <c r="X783" s="56"/>
      <c r="Y783" s="56"/>
      <c r="Z783" s="59"/>
    </row>
    <row r="784">
      <c r="A784" s="55"/>
      <c r="B784" s="55"/>
      <c r="C784" s="55"/>
      <c r="D784" s="55"/>
      <c r="E784" s="55"/>
      <c r="F784" s="55"/>
      <c r="G784" s="55"/>
      <c r="H784" s="55"/>
      <c r="I784" s="55"/>
      <c r="J784" s="55"/>
      <c r="K784" s="55"/>
      <c r="L784" s="55"/>
      <c r="M784" s="55"/>
      <c r="N784" s="55"/>
      <c r="O784" s="55"/>
      <c r="P784" s="55"/>
      <c r="Q784" s="56"/>
      <c r="R784" s="56"/>
      <c r="S784" s="56"/>
      <c r="T784" s="56"/>
      <c r="U784" s="56"/>
      <c r="V784" s="56"/>
      <c r="W784" s="56"/>
      <c r="X784" s="56"/>
      <c r="Y784" s="56"/>
      <c r="Z784" s="59"/>
    </row>
    <row r="785">
      <c r="A785" s="55"/>
      <c r="B785" s="55"/>
      <c r="C785" s="55"/>
      <c r="D785" s="55"/>
      <c r="E785" s="55"/>
      <c r="F785" s="55"/>
      <c r="G785" s="55"/>
      <c r="H785" s="55"/>
      <c r="I785" s="55"/>
      <c r="J785" s="55"/>
      <c r="K785" s="55"/>
      <c r="L785" s="55"/>
      <c r="M785" s="55"/>
      <c r="N785" s="55"/>
      <c r="O785" s="55"/>
      <c r="P785" s="55"/>
      <c r="Q785" s="56"/>
      <c r="R785" s="56"/>
      <c r="S785" s="56"/>
      <c r="T785" s="56"/>
      <c r="U785" s="56"/>
      <c r="V785" s="56"/>
      <c r="W785" s="56"/>
      <c r="X785" s="56"/>
      <c r="Y785" s="56"/>
      <c r="Z785" s="59"/>
    </row>
    <row r="786">
      <c r="A786" s="55"/>
      <c r="B786" s="55"/>
      <c r="C786" s="55"/>
      <c r="D786" s="55"/>
      <c r="E786" s="55"/>
      <c r="F786" s="55"/>
      <c r="G786" s="55"/>
      <c r="H786" s="55"/>
      <c r="I786" s="55"/>
      <c r="J786" s="55"/>
      <c r="K786" s="55"/>
      <c r="L786" s="55"/>
      <c r="M786" s="55"/>
      <c r="N786" s="55"/>
      <c r="O786" s="55"/>
      <c r="P786" s="55"/>
      <c r="Q786" s="56"/>
      <c r="R786" s="56"/>
      <c r="S786" s="56"/>
      <c r="T786" s="56"/>
      <c r="U786" s="56"/>
      <c r="V786" s="56"/>
      <c r="W786" s="56"/>
      <c r="X786" s="56"/>
      <c r="Y786" s="56"/>
      <c r="Z786" s="59"/>
    </row>
    <row r="787">
      <c r="A787" s="55"/>
      <c r="B787" s="55"/>
      <c r="C787" s="55"/>
      <c r="D787" s="55"/>
      <c r="E787" s="55"/>
      <c r="F787" s="55"/>
      <c r="G787" s="55"/>
      <c r="H787" s="55"/>
      <c r="I787" s="55"/>
      <c r="J787" s="55"/>
      <c r="K787" s="55"/>
      <c r="L787" s="55"/>
      <c r="M787" s="55"/>
      <c r="N787" s="55"/>
      <c r="O787" s="55"/>
      <c r="P787" s="55"/>
      <c r="Q787" s="56"/>
      <c r="R787" s="56"/>
      <c r="S787" s="56"/>
      <c r="T787" s="56"/>
      <c r="U787" s="56"/>
      <c r="V787" s="56"/>
      <c r="W787" s="56"/>
      <c r="X787" s="56"/>
      <c r="Y787" s="56"/>
      <c r="Z787" s="59"/>
    </row>
    <row r="788">
      <c r="A788" s="55"/>
      <c r="B788" s="55"/>
      <c r="C788" s="55"/>
      <c r="D788" s="55"/>
      <c r="E788" s="55"/>
      <c r="F788" s="55"/>
      <c r="G788" s="55"/>
      <c r="H788" s="55"/>
      <c r="I788" s="55"/>
      <c r="J788" s="55"/>
      <c r="K788" s="55"/>
      <c r="L788" s="55"/>
      <c r="M788" s="55"/>
      <c r="N788" s="55"/>
      <c r="O788" s="55"/>
      <c r="P788" s="55"/>
      <c r="Q788" s="56"/>
      <c r="R788" s="56"/>
      <c r="S788" s="56"/>
      <c r="T788" s="56"/>
      <c r="U788" s="56"/>
      <c r="V788" s="56"/>
      <c r="W788" s="56"/>
      <c r="X788" s="56"/>
      <c r="Y788" s="56"/>
      <c r="Z788" s="59"/>
    </row>
    <row r="789">
      <c r="A789" s="55"/>
      <c r="B789" s="55"/>
      <c r="C789" s="55"/>
      <c r="D789" s="55"/>
      <c r="E789" s="55"/>
      <c r="F789" s="55"/>
      <c r="G789" s="55"/>
      <c r="H789" s="55"/>
      <c r="I789" s="55"/>
      <c r="J789" s="55"/>
      <c r="K789" s="55"/>
      <c r="L789" s="55"/>
      <c r="M789" s="55"/>
      <c r="N789" s="55"/>
      <c r="O789" s="55"/>
      <c r="P789" s="55"/>
      <c r="Q789" s="56"/>
      <c r="R789" s="56"/>
      <c r="S789" s="56"/>
      <c r="T789" s="56"/>
      <c r="U789" s="56"/>
      <c r="V789" s="56"/>
      <c r="W789" s="56"/>
      <c r="X789" s="56"/>
      <c r="Y789" s="56"/>
      <c r="Z789" s="59"/>
    </row>
    <row r="790">
      <c r="A790" s="55"/>
      <c r="B790" s="55"/>
      <c r="C790" s="55"/>
      <c r="D790" s="55"/>
      <c r="E790" s="55"/>
      <c r="F790" s="55"/>
      <c r="G790" s="55"/>
      <c r="H790" s="55"/>
      <c r="I790" s="55"/>
      <c r="J790" s="55"/>
      <c r="K790" s="55"/>
      <c r="L790" s="55"/>
      <c r="M790" s="55"/>
      <c r="N790" s="55"/>
      <c r="O790" s="55"/>
      <c r="P790" s="55"/>
      <c r="Q790" s="56"/>
      <c r="R790" s="56"/>
      <c r="S790" s="56"/>
      <c r="T790" s="56"/>
      <c r="U790" s="56"/>
      <c r="V790" s="56"/>
      <c r="W790" s="56"/>
      <c r="X790" s="56"/>
      <c r="Y790" s="56"/>
      <c r="Z790" s="59"/>
    </row>
    <row r="791">
      <c r="A791" s="55"/>
      <c r="B791" s="55"/>
      <c r="C791" s="55"/>
      <c r="D791" s="55"/>
      <c r="E791" s="55"/>
      <c r="F791" s="55"/>
      <c r="G791" s="55"/>
      <c r="H791" s="55"/>
      <c r="I791" s="55"/>
      <c r="J791" s="55"/>
      <c r="K791" s="55"/>
      <c r="L791" s="55"/>
      <c r="M791" s="55"/>
      <c r="N791" s="55"/>
      <c r="O791" s="55"/>
      <c r="P791" s="55"/>
      <c r="Q791" s="56"/>
      <c r="R791" s="56"/>
      <c r="S791" s="56"/>
      <c r="T791" s="56"/>
      <c r="U791" s="56"/>
      <c r="V791" s="56"/>
      <c r="W791" s="56"/>
      <c r="X791" s="56"/>
      <c r="Y791" s="56"/>
      <c r="Z791" s="59"/>
    </row>
    <row r="792">
      <c r="A792" s="55"/>
      <c r="B792" s="55"/>
      <c r="C792" s="55"/>
      <c r="D792" s="55"/>
      <c r="E792" s="55"/>
      <c r="F792" s="55"/>
      <c r="G792" s="55"/>
      <c r="H792" s="55"/>
      <c r="I792" s="55"/>
      <c r="J792" s="55"/>
      <c r="K792" s="55"/>
      <c r="L792" s="55"/>
      <c r="M792" s="55"/>
      <c r="N792" s="55"/>
      <c r="O792" s="55"/>
      <c r="P792" s="55"/>
      <c r="Q792" s="56"/>
      <c r="R792" s="56"/>
      <c r="S792" s="56"/>
      <c r="T792" s="56"/>
      <c r="U792" s="56"/>
      <c r="V792" s="56"/>
      <c r="W792" s="56"/>
      <c r="X792" s="56"/>
      <c r="Y792" s="56"/>
      <c r="Z792" s="59"/>
    </row>
    <row r="793">
      <c r="A793" s="55"/>
      <c r="B793" s="55"/>
      <c r="C793" s="55"/>
      <c r="D793" s="55"/>
      <c r="E793" s="55"/>
      <c r="F793" s="55"/>
      <c r="G793" s="55"/>
      <c r="H793" s="55"/>
      <c r="I793" s="55"/>
      <c r="J793" s="55"/>
      <c r="K793" s="55"/>
      <c r="L793" s="55"/>
      <c r="M793" s="55"/>
      <c r="N793" s="55"/>
      <c r="O793" s="55"/>
      <c r="P793" s="55"/>
      <c r="Q793" s="56"/>
      <c r="R793" s="56"/>
      <c r="S793" s="56"/>
      <c r="T793" s="56"/>
      <c r="U793" s="56"/>
      <c r="V793" s="56"/>
      <c r="W793" s="56"/>
      <c r="X793" s="56"/>
      <c r="Y793" s="56"/>
      <c r="Z793" s="59"/>
    </row>
    <row r="794">
      <c r="A794" s="55"/>
      <c r="B794" s="55"/>
      <c r="C794" s="55"/>
      <c r="D794" s="55"/>
      <c r="E794" s="55"/>
      <c r="F794" s="55"/>
      <c r="G794" s="55"/>
      <c r="H794" s="55"/>
      <c r="I794" s="55"/>
      <c r="J794" s="55"/>
      <c r="K794" s="55"/>
      <c r="L794" s="55"/>
      <c r="M794" s="55"/>
      <c r="N794" s="55"/>
      <c r="O794" s="55"/>
      <c r="P794" s="55"/>
      <c r="Q794" s="56"/>
      <c r="R794" s="56"/>
      <c r="S794" s="56"/>
      <c r="T794" s="56"/>
      <c r="U794" s="56"/>
      <c r="V794" s="56"/>
      <c r="W794" s="56"/>
      <c r="X794" s="56"/>
      <c r="Y794" s="56"/>
      <c r="Z794" s="59"/>
    </row>
    <row r="795">
      <c r="A795" s="55"/>
      <c r="B795" s="55"/>
      <c r="C795" s="55"/>
      <c r="D795" s="55"/>
      <c r="E795" s="55"/>
      <c r="F795" s="55"/>
      <c r="G795" s="55"/>
      <c r="H795" s="55"/>
      <c r="I795" s="55"/>
      <c r="J795" s="55"/>
      <c r="K795" s="55"/>
      <c r="L795" s="55"/>
      <c r="M795" s="55"/>
      <c r="N795" s="55"/>
      <c r="O795" s="55"/>
      <c r="P795" s="55"/>
      <c r="Q795" s="56"/>
      <c r="R795" s="56"/>
      <c r="S795" s="56"/>
      <c r="T795" s="56"/>
      <c r="U795" s="56"/>
      <c r="V795" s="56"/>
      <c r="W795" s="56"/>
      <c r="X795" s="56"/>
      <c r="Y795" s="56"/>
      <c r="Z795" s="59"/>
    </row>
    <row r="796">
      <c r="A796" s="55"/>
      <c r="B796" s="55"/>
      <c r="C796" s="55"/>
      <c r="D796" s="55"/>
      <c r="E796" s="55"/>
      <c r="F796" s="55"/>
      <c r="G796" s="55"/>
      <c r="H796" s="55"/>
      <c r="I796" s="55"/>
      <c r="J796" s="55"/>
      <c r="K796" s="55"/>
      <c r="L796" s="55"/>
      <c r="M796" s="55"/>
      <c r="N796" s="55"/>
      <c r="O796" s="55"/>
      <c r="P796" s="55"/>
      <c r="Q796" s="56"/>
      <c r="R796" s="56"/>
      <c r="S796" s="56"/>
      <c r="T796" s="56"/>
      <c r="U796" s="56"/>
      <c r="V796" s="56"/>
      <c r="W796" s="56"/>
      <c r="X796" s="56"/>
      <c r="Y796" s="56"/>
      <c r="Z796" s="59"/>
    </row>
    <row r="797">
      <c r="A797" s="55"/>
      <c r="B797" s="55"/>
      <c r="C797" s="55"/>
      <c r="D797" s="55"/>
      <c r="E797" s="55"/>
      <c r="F797" s="55"/>
      <c r="G797" s="55"/>
      <c r="H797" s="55"/>
      <c r="I797" s="55"/>
      <c r="J797" s="55"/>
      <c r="K797" s="55"/>
      <c r="L797" s="55"/>
      <c r="M797" s="55"/>
      <c r="N797" s="55"/>
      <c r="O797" s="55"/>
      <c r="P797" s="55"/>
      <c r="Q797" s="56"/>
      <c r="R797" s="56"/>
      <c r="S797" s="56"/>
      <c r="T797" s="56"/>
      <c r="U797" s="56"/>
      <c r="V797" s="56"/>
      <c r="W797" s="56"/>
      <c r="X797" s="56"/>
      <c r="Y797" s="56"/>
      <c r="Z797" s="59"/>
    </row>
    <row r="798">
      <c r="A798" s="55"/>
      <c r="B798" s="55"/>
      <c r="C798" s="55"/>
      <c r="D798" s="55"/>
      <c r="E798" s="55"/>
      <c r="F798" s="55"/>
      <c r="G798" s="55"/>
      <c r="H798" s="55"/>
      <c r="I798" s="55"/>
      <c r="J798" s="55"/>
      <c r="K798" s="55"/>
      <c r="L798" s="55"/>
      <c r="M798" s="55"/>
      <c r="N798" s="55"/>
      <c r="O798" s="55"/>
      <c r="P798" s="55"/>
      <c r="Q798" s="56"/>
      <c r="R798" s="56"/>
      <c r="S798" s="56"/>
      <c r="T798" s="56"/>
      <c r="U798" s="56"/>
      <c r="V798" s="56"/>
      <c r="W798" s="56"/>
      <c r="X798" s="56"/>
      <c r="Y798" s="56"/>
      <c r="Z798" s="59"/>
    </row>
    <row r="799">
      <c r="A799" s="55"/>
      <c r="B799" s="55"/>
      <c r="C799" s="55"/>
      <c r="D799" s="55"/>
      <c r="E799" s="55"/>
      <c r="F799" s="55"/>
      <c r="G799" s="55"/>
      <c r="H799" s="55"/>
      <c r="I799" s="55"/>
      <c r="J799" s="55"/>
      <c r="K799" s="55"/>
      <c r="L799" s="55"/>
      <c r="M799" s="55"/>
      <c r="N799" s="55"/>
      <c r="O799" s="55"/>
      <c r="P799" s="55"/>
      <c r="Q799" s="56"/>
      <c r="R799" s="56"/>
      <c r="S799" s="56"/>
      <c r="T799" s="56"/>
      <c r="U799" s="56"/>
      <c r="V799" s="56"/>
      <c r="W799" s="56"/>
      <c r="X799" s="56"/>
      <c r="Y799" s="56"/>
      <c r="Z799" s="59"/>
    </row>
    <row r="800">
      <c r="A800" s="55"/>
      <c r="B800" s="55"/>
      <c r="C800" s="55"/>
      <c r="D800" s="55"/>
      <c r="E800" s="55"/>
      <c r="F800" s="55"/>
      <c r="G800" s="55"/>
      <c r="H800" s="55"/>
      <c r="I800" s="55"/>
      <c r="J800" s="55"/>
      <c r="K800" s="55"/>
      <c r="L800" s="55"/>
      <c r="M800" s="55"/>
      <c r="N800" s="55"/>
      <c r="O800" s="55"/>
      <c r="P800" s="55"/>
      <c r="Q800" s="56"/>
      <c r="R800" s="56"/>
      <c r="S800" s="56"/>
      <c r="T800" s="56"/>
      <c r="U800" s="56"/>
      <c r="V800" s="56"/>
      <c r="W800" s="56"/>
      <c r="X800" s="56"/>
      <c r="Y800" s="56"/>
      <c r="Z800" s="59"/>
    </row>
    <row r="801">
      <c r="A801" s="55"/>
      <c r="B801" s="55"/>
      <c r="C801" s="55"/>
      <c r="D801" s="55"/>
      <c r="E801" s="55"/>
      <c r="F801" s="55"/>
      <c r="G801" s="55"/>
      <c r="H801" s="55"/>
      <c r="I801" s="55"/>
      <c r="J801" s="55"/>
      <c r="K801" s="55"/>
      <c r="L801" s="55"/>
      <c r="M801" s="55"/>
      <c r="N801" s="55"/>
      <c r="O801" s="55"/>
      <c r="P801" s="55"/>
      <c r="Q801" s="56"/>
      <c r="R801" s="56"/>
      <c r="S801" s="56"/>
      <c r="T801" s="56"/>
      <c r="U801" s="56"/>
      <c r="V801" s="56"/>
      <c r="W801" s="56"/>
      <c r="X801" s="56"/>
      <c r="Y801" s="56"/>
      <c r="Z801" s="59"/>
    </row>
    <row r="802">
      <c r="A802" s="55"/>
      <c r="B802" s="55"/>
      <c r="C802" s="55"/>
      <c r="D802" s="55"/>
      <c r="E802" s="55"/>
      <c r="F802" s="55"/>
      <c r="G802" s="55"/>
      <c r="H802" s="55"/>
      <c r="I802" s="55"/>
      <c r="J802" s="55"/>
      <c r="K802" s="55"/>
      <c r="L802" s="55"/>
      <c r="M802" s="55"/>
      <c r="N802" s="55"/>
      <c r="O802" s="55"/>
      <c r="P802" s="55"/>
      <c r="Q802" s="56"/>
      <c r="R802" s="56"/>
      <c r="S802" s="56"/>
      <c r="T802" s="56"/>
      <c r="U802" s="56"/>
      <c r="V802" s="56"/>
      <c r="W802" s="56"/>
      <c r="X802" s="56"/>
      <c r="Y802" s="56"/>
      <c r="Z802" s="59"/>
    </row>
    <row r="803">
      <c r="A803" s="55"/>
      <c r="B803" s="55"/>
      <c r="C803" s="55"/>
      <c r="D803" s="55"/>
      <c r="E803" s="55"/>
      <c r="F803" s="55"/>
      <c r="G803" s="55"/>
      <c r="H803" s="55"/>
      <c r="I803" s="55"/>
      <c r="J803" s="55"/>
      <c r="K803" s="55"/>
      <c r="L803" s="55"/>
      <c r="M803" s="55"/>
      <c r="N803" s="55"/>
      <c r="O803" s="55"/>
      <c r="P803" s="55"/>
      <c r="Q803" s="56"/>
      <c r="R803" s="56"/>
      <c r="S803" s="56"/>
      <c r="T803" s="56"/>
      <c r="U803" s="56"/>
      <c r="V803" s="56"/>
      <c r="W803" s="56"/>
      <c r="X803" s="56"/>
      <c r="Y803" s="56"/>
      <c r="Z803" s="59"/>
    </row>
    <row r="804">
      <c r="A804" s="55"/>
      <c r="B804" s="55"/>
      <c r="C804" s="55"/>
      <c r="D804" s="55"/>
      <c r="E804" s="55"/>
      <c r="F804" s="55"/>
      <c r="G804" s="55"/>
      <c r="H804" s="55"/>
      <c r="I804" s="55"/>
      <c r="J804" s="55"/>
      <c r="K804" s="55"/>
      <c r="L804" s="55"/>
      <c r="M804" s="55"/>
      <c r="N804" s="55"/>
      <c r="O804" s="55"/>
      <c r="P804" s="55"/>
      <c r="Q804" s="56"/>
      <c r="R804" s="56"/>
      <c r="S804" s="56"/>
      <c r="T804" s="56"/>
      <c r="U804" s="56"/>
      <c r="V804" s="56"/>
      <c r="W804" s="56"/>
      <c r="X804" s="56"/>
      <c r="Y804" s="56"/>
      <c r="Z804" s="59"/>
    </row>
    <row r="805">
      <c r="A805" s="55"/>
      <c r="B805" s="55"/>
      <c r="C805" s="55"/>
      <c r="D805" s="55"/>
      <c r="E805" s="55"/>
      <c r="F805" s="55"/>
      <c r="G805" s="55"/>
      <c r="H805" s="55"/>
      <c r="I805" s="55"/>
      <c r="J805" s="55"/>
      <c r="K805" s="55"/>
      <c r="L805" s="55"/>
      <c r="M805" s="55"/>
      <c r="N805" s="55"/>
      <c r="O805" s="55"/>
      <c r="P805" s="55"/>
      <c r="Q805" s="56"/>
      <c r="R805" s="56"/>
      <c r="S805" s="56"/>
      <c r="T805" s="56"/>
      <c r="U805" s="56"/>
      <c r="V805" s="56"/>
      <c r="W805" s="56"/>
      <c r="X805" s="56"/>
      <c r="Y805" s="56"/>
      <c r="Z805" s="59"/>
    </row>
    <row r="806">
      <c r="A806" s="55"/>
      <c r="B806" s="55"/>
      <c r="C806" s="55"/>
      <c r="D806" s="55"/>
      <c r="E806" s="55"/>
      <c r="F806" s="55"/>
      <c r="G806" s="55"/>
      <c r="H806" s="55"/>
      <c r="I806" s="55"/>
      <c r="J806" s="55"/>
      <c r="K806" s="55"/>
      <c r="L806" s="55"/>
      <c r="M806" s="55"/>
      <c r="N806" s="55"/>
      <c r="O806" s="55"/>
      <c r="P806" s="55"/>
      <c r="Q806" s="56"/>
      <c r="R806" s="56"/>
      <c r="S806" s="56"/>
      <c r="T806" s="56"/>
      <c r="U806" s="56"/>
      <c r="V806" s="56"/>
      <c r="W806" s="56"/>
      <c r="X806" s="56"/>
      <c r="Y806" s="56"/>
      <c r="Z806" s="59"/>
    </row>
    <row r="807">
      <c r="A807" s="55"/>
      <c r="B807" s="55"/>
      <c r="C807" s="55"/>
      <c r="D807" s="55"/>
      <c r="E807" s="55"/>
      <c r="F807" s="55"/>
      <c r="G807" s="55"/>
      <c r="H807" s="55"/>
      <c r="I807" s="55"/>
      <c r="J807" s="55"/>
      <c r="K807" s="55"/>
      <c r="L807" s="55"/>
      <c r="M807" s="55"/>
      <c r="N807" s="55"/>
      <c r="O807" s="55"/>
      <c r="P807" s="55"/>
      <c r="Q807" s="56"/>
      <c r="R807" s="56"/>
      <c r="S807" s="56"/>
      <c r="T807" s="56"/>
      <c r="U807" s="56"/>
      <c r="V807" s="56"/>
      <c r="W807" s="56"/>
      <c r="X807" s="56"/>
      <c r="Y807" s="56"/>
      <c r="Z807" s="59"/>
    </row>
    <row r="808">
      <c r="A808" s="55"/>
      <c r="B808" s="55"/>
      <c r="C808" s="55"/>
      <c r="D808" s="55"/>
      <c r="E808" s="55"/>
      <c r="F808" s="55"/>
      <c r="G808" s="55"/>
      <c r="H808" s="55"/>
      <c r="I808" s="55"/>
      <c r="J808" s="55"/>
      <c r="K808" s="55"/>
      <c r="L808" s="55"/>
      <c r="M808" s="55"/>
      <c r="N808" s="55"/>
      <c r="O808" s="55"/>
      <c r="P808" s="55"/>
      <c r="Q808" s="56"/>
      <c r="R808" s="56"/>
      <c r="S808" s="56"/>
      <c r="T808" s="56"/>
      <c r="U808" s="56"/>
      <c r="V808" s="56"/>
      <c r="W808" s="56"/>
      <c r="X808" s="56"/>
      <c r="Y808" s="56"/>
      <c r="Z808" s="59"/>
    </row>
    <row r="809">
      <c r="A809" s="55"/>
      <c r="B809" s="55"/>
      <c r="C809" s="55"/>
      <c r="D809" s="55"/>
      <c r="E809" s="55"/>
      <c r="F809" s="55"/>
      <c r="G809" s="55"/>
      <c r="H809" s="55"/>
      <c r="I809" s="55"/>
      <c r="J809" s="55"/>
      <c r="K809" s="55"/>
      <c r="L809" s="55"/>
      <c r="M809" s="55"/>
      <c r="N809" s="55"/>
      <c r="O809" s="55"/>
      <c r="P809" s="55"/>
      <c r="Q809" s="56"/>
      <c r="R809" s="56"/>
      <c r="S809" s="56"/>
      <c r="T809" s="56"/>
      <c r="U809" s="56"/>
      <c r="V809" s="56"/>
      <c r="W809" s="56"/>
      <c r="X809" s="56"/>
      <c r="Y809" s="56"/>
      <c r="Z809" s="59"/>
    </row>
    <row r="810">
      <c r="A810" s="55"/>
      <c r="B810" s="55"/>
      <c r="C810" s="55"/>
      <c r="D810" s="55"/>
      <c r="E810" s="55"/>
      <c r="F810" s="55"/>
      <c r="G810" s="55"/>
      <c r="H810" s="55"/>
      <c r="I810" s="55"/>
      <c r="J810" s="55"/>
      <c r="K810" s="55"/>
      <c r="L810" s="55"/>
      <c r="M810" s="55"/>
      <c r="N810" s="55"/>
      <c r="O810" s="55"/>
      <c r="P810" s="55"/>
      <c r="Q810" s="56"/>
      <c r="R810" s="56"/>
      <c r="S810" s="56"/>
      <c r="T810" s="56"/>
      <c r="U810" s="56"/>
      <c r="V810" s="56"/>
      <c r="W810" s="56"/>
      <c r="X810" s="56"/>
      <c r="Y810" s="56"/>
      <c r="Z810" s="59"/>
    </row>
    <row r="811">
      <c r="A811" s="55"/>
      <c r="B811" s="55"/>
      <c r="C811" s="55"/>
      <c r="D811" s="55"/>
      <c r="E811" s="55"/>
      <c r="F811" s="55"/>
      <c r="G811" s="55"/>
      <c r="H811" s="55"/>
      <c r="I811" s="55"/>
      <c r="J811" s="55"/>
      <c r="K811" s="55"/>
      <c r="L811" s="55"/>
      <c r="M811" s="55"/>
      <c r="N811" s="55"/>
      <c r="O811" s="55"/>
      <c r="P811" s="55"/>
      <c r="Q811" s="56"/>
      <c r="R811" s="56"/>
      <c r="S811" s="56"/>
      <c r="T811" s="56"/>
      <c r="U811" s="56"/>
      <c r="V811" s="56"/>
      <c r="W811" s="56"/>
      <c r="X811" s="56"/>
      <c r="Y811" s="56"/>
      <c r="Z811" s="59"/>
    </row>
    <row r="812">
      <c r="A812" s="55"/>
      <c r="B812" s="55"/>
      <c r="C812" s="55"/>
      <c r="D812" s="55"/>
      <c r="E812" s="55"/>
      <c r="F812" s="55"/>
      <c r="G812" s="55"/>
      <c r="H812" s="55"/>
      <c r="I812" s="55"/>
      <c r="J812" s="55"/>
      <c r="K812" s="55"/>
      <c r="L812" s="55"/>
      <c r="M812" s="55"/>
      <c r="N812" s="55"/>
      <c r="O812" s="55"/>
      <c r="P812" s="55"/>
      <c r="Q812" s="56"/>
      <c r="R812" s="56"/>
      <c r="S812" s="56"/>
      <c r="T812" s="56"/>
      <c r="U812" s="56"/>
      <c r="V812" s="56"/>
      <c r="W812" s="56"/>
      <c r="X812" s="56"/>
      <c r="Y812" s="56"/>
      <c r="Z812" s="59"/>
    </row>
    <row r="813">
      <c r="A813" s="55"/>
      <c r="B813" s="55"/>
      <c r="C813" s="55"/>
      <c r="D813" s="55"/>
      <c r="E813" s="55"/>
      <c r="F813" s="55"/>
      <c r="G813" s="55"/>
      <c r="H813" s="55"/>
      <c r="I813" s="55"/>
      <c r="J813" s="55"/>
      <c r="K813" s="55"/>
      <c r="L813" s="55"/>
      <c r="M813" s="55"/>
      <c r="N813" s="55"/>
      <c r="O813" s="55"/>
      <c r="P813" s="55"/>
      <c r="Q813" s="56"/>
      <c r="R813" s="56"/>
      <c r="S813" s="56"/>
      <c r="T813" s="56"/>
      <c r="U813" s="56"/>
      <c r="V813" s="56"/>
      <c r="W813" s="56"/>
      <c r="X813" s="56"/>
      <c r="Y813" s="56"/>
      <c r="Z813" s="59"/>
    </row>
    <row r="814">
      <c r="A814" s="55"/>
      <c r="B814" s="55"/>
      <c r="C814" s="55"/>
      <c r="D814" s="55"/>
      <c r="E814" s="55"/>
      <c r="F814" s="55"/>
      <c r="G814" s="55"/>
      <c r="H814" s="55"/>
      <c r="I814" s="55"/>
      <c r="J814" s="55"/>
      <c r="K814" s="55"/>
      <c r="L814" s="55"/>
      <c r="M814" s="55"/>
      <c r="N814" s="55"/>
      <c r="O814" s="55"/>
      <c r="P814" s="55"/>
      <c r="Q814" s="56"/>
      <c r="R814" s="56"/>
      <c r="S814" s="56"/>
      <c r="T814" s="56"/>
      <c r="U814" s="56"/>
      <c r="V814" s="56"/>
      <c r="W814" s="56"/>
      <c r="X814" s="56"/>
      <c r="Y814" s="56"/>
      <c r="Z814" s="59"/>
    </row>
    <row r="815">
      <c r="A815" s="55"/>
      <c r="B815" s="55"/>
      <c r="C815" s="55"/>
      <c r="D815" s="55"/>
      <c r="E815" s="55"/>
      <c r="F815" s="55"/>
      <c r="G815" s="55"/>
      <c r="H815" s="55"/>
      <c r="I815" s="55"/>
      <c r="J815" s="55"/>
      <c r="K815" s="55"/>
      <c r="L815" s="55"/>
      <c r="M815" s="55"/>
      <c r="N815" s="55"/>
      <c r="O815" s="55"/>
      <c r="P815" s="55"/>
      <c r="Q815" s="56"/>
      <c r="R815" s="56"/>
      <c r="S815" s="56"/>
      <c r="T815" s="56"/>
      <c r="U815" s="56"/>
      <c r="V815" s="56"/>
      <c r="W815" s="56"/>
      <c r="X815" s="56"/>
      <c r="Y815" s="56"/>
      <c r="Z815" s="59"/>
    </row>
    <row r="816">
      <c r="A816" s="55"/>
      <c r="B816" s="55"/>
      <c r="C816" s="55"/>
      <c r="D816" s="55"/>
      <c r="E816" s="55"/>
      <c r="F816" s="55"/>
      <c r="G816" s="55"/>
      <c r="H816" s="55"/>
      <c r="I816" s="55"/>
      <c r="J816" s="55"/>
      <c r="K816" s="55"/>
      <c r="L816" s="55"/>
      <c r="M816" s="55"/>
      <c r="N816" s="55"/>
      <c r="O816" s="55"/>
      <c r="P816" s="55"/>
      <c r="Q816" s="56"/>
      <c r="R816" s="56"/>
      <c r="S816" s="56"/>
      <c r="T816" s="56"/>
      <c r="U816" s="56"/>
      <c r="V816" s="56"/>
      <c r="W816" s="56"/>
      <c r="X816" s="56"/>
      <c r="Y816" s="56"/>
      <c r="Z816" s="59"/>
    </row>
    <row r="817">
      <c r="A817" s="55"/>
      <c r="B817" s="55"/>
      <c r="C817" s="55"/>
      <c r="D817" s="55"/>
      <c r="E817" s="55"/>
      <c r="F817" s="55"/>
      <c r="G817" s="55"/>
      <c r="H817" s="55"/>
      <c r="I817" s="55"/>
      <c r="J817" s="55"/>
      <c r="K817" s="55"/>
      <c r="L817" s="55"/>
      <c r="M817" s="55"/>
      <c r="N817" s="55"/>
      <c r="O817" s="55"/>
      <c r="P817" s="55"/>
      <c r="Q817" s="56"/>
      <c r="R817" s="56"/>
      <c r="S817" s="56"/>
      <c r="T817" s="56"/>
      <c r="U817" s="56"/>
      <c r="V817" s="56"/>
      <c r="W817" s="56"/>
      <c r="X817" s="56"/>
      <c r="Y817" s="56"/>
      <c r="Z817" s="59"/>
    </row>
    <row r="818">
      <c r="A818" s="55"/>
      <c r="B818" s="55"/>
      <c r="C818" s="55"/>
      <c r="D818" s="55"/>
      <c r="E818" s="55"/>
      <c r="F818" s="55"/>
      <c r="G818" s="55"/>
      <c r="H818" s="55"/>
      <c r="I818" s="55"/>
      <c r="J818" s="55"/>
      <c r="K818" s="55"/>
      <c r="L818" s="55"/>
      <c r="M818" s="55"/>
      <c r="N818" s="55"/>
      <c r="O818" s="55"/>
      <c r="P818" s="55"/>
      <c r="Q818" s="56"/>
      <c r="R818" s="56"/>
      <c r="S818" s="56"/>
      <c r="T818" s="56"/>
      <c r="U818" s="56"/>
      <c r="V818" s="56"/>
      <c r="W818" s="56"/>
      <c r="X818" s="56"/>
      <c r="Y818" s="56"/>
      <c r="Z818" s="59"/>
    </row>
    <row r="819">
      <c r="A819" s="55"/>
      <c r="B819" s="55"/>
      <c r="C819" s="55"/>
      <c r="D819" s="55"/>
      <c r="E819" s="55"/>
      <c r="F819" s="55"/>
      <c r="G819" s="55"/>
      <c r="H819" s="55"/>
      <c r="I819" s="55"/>
      <c r="J819" s="55"/>
      <c r="K819" s="55"/>
      <c r="L819" s="55"/>
      <c r="M819" s="55"/>
      <c r="N819" s="55"/>
      <c r="O819" s="55"/>
      <c r="P819" s="55"/>
      <c r="Q819" s="56"/>
      <c r="R819" s="56"/>
      <c r="S819" s="56"/>
      <c r="T819" s="56"/>
      <c r="U819" s="56"/>
      <c r="V819" s="56"/>
      <c r="W819" s="56"/>
      <c r="X819" s="56"/>
      <c r="Y819" s="56"/>
      <c r="Z819" s="59"/>
    </row>
    <row r="820">
      <c r="A820" s="55"/>
      <c r="B820" s="55"/>
      <c r="C820" s="55"/>
      <c r="D820" s="55"/>
      <c r="E820" s="55"/>
      <c r="F820" s="55"/>
      <c r="G820" s="55"/>
      <c r="H820" s="55"/>
      <c r="I820" s="55"/>
      <c r="J820" s="55"/>
      <c r="K820" s="55"/>
      <c r="L820" s="55"/>
      <c r="M820" s="55"/>
      <c r="N820" s="55"/>
      <c r="O820" s="55"/>
      <c r="P820" s="55"/>
      <c r="Q820" s="56"/>
      <c r="R820" s="56"/>
      <c r="S820" s="56"/>
      <c r="T820" s="56"/>
      <c r="U820" s="56"/>
      <c r="V820" s="56"/>
      <c r="W820" s="56"/>
      <c r="X820" s="56"/>
      <c r="Y820" s="56"/>
      <c r="Z820" s="59"/>
    </row>
    <row r="821">
      <c r="A821" s="55"/>
      <c r="B821" s="55"/>
      <c r="C821" s="55"/>
      <c r="D821" s="55"/>
      <c r="E821" s="55"/>
      <c r="F821" s="55"/>
      <c r="G821" s="55"/>
      <c r="H821" s="55"/>
      <c r="I821" s="55"/>
      <c r="J821" s="55"/>
      <c r="K821" s="55"/>
      <c r="L821" s="55"/>
      <c r="M821" s="55"/>
      <c r="N821" s="55"/>
      <c r="O821" s="55"/>
      <c r="P821" s="55"/>
      <c r="Q821" s="56"/>
      <c r="R821" s="56"/>
      <c r="S821" s="56"/>
      <c r="T821" s="56"/>
      <c r="U821" s="56"/>
      <c r="V821" s="56"/>
      <c r="W821" s="56"/>
      <c r="X821" s="56"/>
      <c r="Y821" s="56"/>
      <c r="Z821" s="59"/>
    </row>
    <row r="822">
      <c r="A822" s="55"/>
      <c r="B822" s="55"/>
      <c r="C822" s="55"/>
      <c r="D822" s="55"/>
      <c r="E822" s="55"/>
      <c r="F822" s="55"/>
      <c r="G822" s="55"/>
      <c r="H822" s="55"/>
      <c r="I822" s="55"/>
      <c r="J822" s="55"/>
      <c r="K822" s="55"/>
      <c r="L822" s="55"/>
      <c r="M822" s="55"/>
      <c r="N822" s="55"/>
      <c r="O822" s="55"/>
      <c r="P822" s="55"/>
      <c r="Q822" s="56"/>
      <c r="R822" s="56"/>
      <c r="S822" s="56"/>
      <c r="T822" s="56"/>
      <c r="U822" s="56"/>
      <c r="V822" s="56"/>
      <c r="W822" s="56"/>
      <c r="X822" s="56"/>
      <c r="Y822" s="56"/>
      <c r="Z822" s="59"/>
    </row>
    <row r="823">
      <c r="A823" s="55"/>
      <c r="B823" s="55"/>
      <c r="C823" s="55"/>
      <c r="D823" s="55"/>
      <c r="E823" s="55"/>
      <c r="F823" s="55"/>
      <c r="G823" s="55"/>
      <c r="H823" s="55"/>
      <c r="I823" s="55"/>
      <c r="J823" s="55"/>
      <c r="K823" s="55"/>
      <c r="L823" s="55"/>
      <c r="M823" s="55"/>
      <c r="N823" s="55"/>
      <c r="O823" s="55"/>
      <c r="P823" s="55"/>
      <c r="Q823" s="56"/>
      <c r="R823" s="56"/>
      <c r="S823" s="56"/>
      <c r="T823" s="56"/>
      <c r="U823" s="56"/>
      <c r="V823" s="56"/>
      <c r="W823" s="56"/>
      <c r="X823" s="56"/>
      <c r="Y823" s="56"/>
      <c r="Z823" s="59"/>
    </row>
    <row r="824">
      <c r="A824" s="55"/>
      <c r="B824" s="55"/>
      <c r="C824" s="55"/>
      <c r="D824" s="55"/>
      <c r="E824" s="55"/>
      <c r="F824" s="55"/>
      <c r="G824" s="55"/>
      <c r="H824" s="55"/>
      <c r="I824" s="55"/>
      <c r="J824" s="55"/>
      <c r="K824" s="55"/>
      <c r="L824" s="55"/>
      <c r="M824" s="55"/>
      <c r="N824" s="55"/>
      <c r="O824" s="55"/>
      <c r="P824" s="55"/>
      <c r="Q824" s="56"/>
      <c r="R824" s="56"/>
      <c r="S824" s="56"/>
      <c r="T824" s="56"/>
      <c r="U824" s="56"/>
      <c r="V824" s="56"/>
      <c r="W824" s="56"/>
      <c r="X824" s="56"/>
      <c r="Y824" s="56"/>
      <c r="Z824" s="59"/>
    </row>
    <row r="825">
      <c r="A825" s="55"/>
      <c r="B825" s="55"/>
      <c r="C825" s="55"/>
      <c r="D825" s="55"/>
      <c r="E825" s="55"/>
      <c r="F825" s="55"/>
      <c r="G825" s="55"/>
      <c r="H825" s="55"/>
      <c r="I825" s="55"/>
      <c r="J825" s="55"/>
      <c r="K825" s="55"/>
      <c r="L825" s="55"/>
      <c r="M825" s="55"/>
      <c r="N825" s="55"/>
      <c r="O825" s="55"/>
      <c r="P825" s="55"/>
      <c r="Q825" s="56"/>
      <c r="R825" s="56"/>
      <c r="S825" s="56"/>
      <c r="T825" s="56"/>
      <c r="U825" s="56"/>
      <c r="V825" s="56"/>
      <c r="W825" s="56"/>
      <c r="X825" s="56"/>
      <c r="Y825" s="56"/>
      <c r="Z825" s="59"/>
    </row>
    <row r="826">
      <c r="A826" s="55"/>
      <c r="B826" s="55"/>
      <c r="C826" s="55"/>
      <c r="D826" s="55"/>
      <c r="E826" s="55"/>
      <c r="F826" s="55"/>
      <c r="G826" s="55"/>
      <c r="H826" s="55"/>
      <c r="I826" s="55"/>
      <c r="J826" s="55"/>
      <c r="K826" s="55"/>
      <c r="L826" s="55"/>
      <c r="M826" s="55"/>
      <c r="N826" s="55"/>
      <c r="O826" s="55"/>
      <c r="P826" s="55"/>
      <c r="Q826" s="56"/>
      <c r="R826" s="56"/>
      <c r="S826" s="56"/>
      <c r="T826" s="56"/>
      <c r="U826" s="56"/>
      <c r="V826" s="56"/>
      <c r="W826" s="56"/>
      <c r="X826" s="56"/>
      <c r="Y826" s="56"/>
      <c r="Z826" s="59"/>
    </row>
    <row r="827">
      <c r="A827" s="55"/>
      <c r="B827" s="55"/>
      <c r="C827" s="55"/>
      <c r="D827" s="55"/>
      <c r="E827" s="55"/>
      <c r="F827" s="55"/>
      <c r="G827" s="55"/>
      <c r="H827" s="55"/>
      <c r="I827" s="55"/>
      <c r="J827" s="55"/>
      <c r="K827" s="55"/>
      <c r="L827" s="55"/>
      <c r="M827" s="55"/>
      <c r="N827" s="55"/>
      <c r="O827" s="55"/>
      <c r="P827" s="55"/>
      <c r="Q827" s="56"/>
      <c r="R827" s="56"/>
      <c r="S827" s="56"/>
      <c r="T827" s="56"/>
      <c r="U827" s="56"/>
      <c r="V827" s="56"/>
      <c r="W827" s="56"/>
      <c r="X827" s="56"/>
      <c r="Y827" s="56"/>
      <c r="Z827" s="59"/>
    </row>
    <row r="828">
      <c r="A828" s="55"/>
      <c r="B828" s="55"/>
      <c r="C828" s="55"/>
      <c r="D828" s="55"/>
      <c r="E828" s="55"/>
      <c r="F828" s="55"/>
      <c r="G828" s="55"/>
      <c r="H828" s="55"/>
      <c r="I828" s="55"/>
      <c r="J828" s="55"/>
      <c r="K828" s="55"/>
      <c r="L828" s="55"/>
      <c r="M828" s="55"/>
      <c r="N828" s="55"/>
      <c r="O828" s="55"/>
      <c r="P828" s="55"/>
      <c r="Q828" s="56"/>
      <c r="R828" s="56"/>
      <c r="S828" s="56"/>
      <c r="T828" s="56"/>
      <c r="U828" s="56"/>
      <c r="V828" s="56"/>
      <c r="W828" s="56"/>
      <c r="X828" s="56"/>
      <c r="Y828" s="56"/>
      <c r="Z828" s="59"/>
    </row>
    <row r="829">
      <c r="A829" s="55"/>
      <c r="B829" s="55"/>
      <c r="C829" s="55"/>
      <c r="D829" s="55"/>
      <c r="E829" s="55"/>
      <c r="F829" s="55"/>
      <c r="G829" s="55"/>
      <c r="H829" s="55"/>
      <c r="I829" s="55"/>
      <c r="J829" s="55"/>
      <c r="K829" s="55"/>
      <c r="L829" s="55"/>
      <c r="M829" s="55"/>
      <c r="N829" s="55"/>
      <c r="O829" s="55"/>
      <c r="P829" s="55"/>
      <c r="Q829" s="56"/>
      <c r="R829" s="56"/>
      <c r="S829" s="56"/>
      <c r="T829" s="56"/>
      <c r="U829" s="56"/>
      <c r="V829" s="56"/>
      <c r="W829" s="56"/>
      <c r="X829" s="56"/>
      <c r="Y829" s="56"/>
      <c r="Z829" s="59"/>
    </row>
    <row r="830">
      <c r="A830" s="55"/>
      <c r="B830" s="55"/>
      <c r="C830" s="55"/>
      <c r="D830" s="55"/>
      <c r="E830" s="55"/>
      <c r="F830" s="55"/>
      <c r="G830" s="55"/>
      <c r="H830" s="55"/>
      <c r="I830" s="55"/>
      <c r="J830" s="55"/>
      <c r="K830" s="55"/>
      <c r="L830" s="55"/>
      <c r="M830" s="55"/>
      <c r="N830" s="55"/>
      <c r="O830" s="55"/>
      <c r="P830" s="55"/>
      <c r="Q830" s="56"/>
      <c r="R830" s="56"/>
      <c r="S830" s="56"/>
      <c r="T830" s="56"/>
      <c r="U830" s="56"/>
      <c r="V830" s="56"/>
      <c r="W830" s="56"/>
      <c r="X830" s="56"/>
      <c r="Y830" s="56"/>
      <c r="Z830" s="59"/>
    </row>
    <row r="831">
      <c r="A831" s="55"/>
      <c r="B831" s="55"/>
      <c r="C831" s="55"/>
      <c r="D831" s="55"/>
      <c r="E831" s="55"/>
      <c r="F831" s="55"/>
      <c r="G831" s="55"/>
      <c r="H831" s="55"/>
      <c r="I831" s="55"/>
      <c r="J831" s="55"/>
      <c r="K831" s="55"/>
      <c r="L831" s="55"/>
      <c r="M831" s="55"/>
      <c r="N831" s="55"/>
      <c r="O831" s="55"/>
      <c r="P831" s="55"/>
      <c r="Q831" s="56"/>
      <c r="R831" s="56"/>
      <c r="S831" s="56"/>
      <c r="T831" s="56"/>
      <c r="U831" s="56"/>
      <c r="V831" s="56"/>
      <c r="W831" s="56"/>
      <c r="X831" s="56"/>
      <c r="Y831" s="56"/>
      <c r="Z831" s="59"/>
    </row>
    <row r="832">
      <c r="A832" s="55"/>
      <c r="B832" s="55"/>
      <c r="C832" s="55"/>
      <c r="D832" s="55"/>
      <c r="E832" s="55"/>
      <c r="F832" s="55"/>
      <c r="G832" s="55"/>
      <c r="H832" s="55"/>
      <c r="I832" s="55"/>
      <c r="J832" s="55"/>
      <c r="K832" s="55"/>
      <c r="L832" s="55"/>
      <c r="M832" s="55"/>
      <c r="N832" s="55"/>
      <c r="O832" s="55"/>
      <c r="P832" s="55"/>
      <c r="Q832" s="56"/>
      <c r="R832" s="56"/>
      <c r="S832" s="56"/>
      <c r="T832" s="56"/>
      <c r="U832" s="56"/>
      <c r="V832" s="56"/>
      <c r="W832" s="56"/>
      <c r="X832" s="56"/>
      <c r="Y832" s="56"/>
      <c r="Z832" s="59"/>
    </row>
    <row r="833">
      <c r="A833" s="55"/>
      <c r="B833" s="55"/>
      <c r="C833" s="55"/>
      <c r="D833" s="55"/>
      <c r="E833" s="55"/>
      <c r="F833" s="55"/>
      <c r="G833" s="55"/>
      <c r="H833" s="55"/>
      <c r="I833" s="55"/>
      <c r="J833" s="55"/>
      <c r="K833" s="55"/>
      <c r="L833" s="55"/>
      <c r="M833" s="55"/>
      <c r="N833" s="55"/>
      <c r="O833" s="55"/>
      <c r="P833" s="55"/>
      <c r="Q833" s="56"/>
      <c r="R833" s="56"/>
      <c r="S833" s="56"/>
      <c r="T833" s="56"/>
      <c r="U833" s="56"/>
      <c r="V833" s="56"/>
      <c r="W833" s="56"/>
      <c r="X833" s="56"/>
      <c r="Y833" s="56"/>
      <c r="Z833" s="59"/>
    </row>
    <row r="834">
      <c r="A834" s="55"/>
      <c r="B834" s="55"/>
      <c r="C834" s="55"/>
      <c r="D834" s="55"/>
      <c r="E834" s="55"/>
      <c r="F834" s="55"/>
      <c r="G834" s="55"/>
      <c r="H834" s="55"/>
      <c r="I834" s="55"/>
      <c r="J834" s="55"/>
      <c r="K834" s="55"/>
      <c r="L834" s="55"/>
      <c r="M834" s="55"/>
      <c r="N834" s="55"/>
      <c r="O834" s="55"/>
      <c r="P834" s="55"/>
      <c r="Q834" s="56"/>
      <c r="R834" s="56"/>
      <c r="S834" s="56"/>
      <c r="T834" s="56"/>
      <c r="U834" s="56"/>
      <c r="V834" s="56"/>
      <c r="W834" s="56"/>
      <c r="X834" s="56"/>
      <c r="Y834" s="56"/>
      <c r="Z834" s="59"/>
    </row>
    <row r="835">
      <c r="A835" s="55"/>
      <c r="B835" s="55"/>
      <c r="C835" s="55"/>
      <c r="D835" s="55"/>
      <c r="E835" s="55"/>
      <c r="F835" s="55"/>
      <c r="G835" s="55"/>
      <c r="H835" s="55"/>
      <c r="I835" s="55"/>
      <c r="J835" s="55"/>
      <c r="K835" s="55"/>
      <c r="L835" s="55"/>
      <c r="M835" s="55"/>
      <c r="N835" s="55"/>
      <c r="O835" s="55"/>
      <c r="P835" s="55"/>
      <c r="Q835" s="56"/>
      <c r="R835" s="56"/>
      <c r="S835" s="56"/>
      <c r="T835" s="56"/>
      <c r="U835" s="56"/>
      <c r="V835" s="56"/>
      <c r="W835" s="56"/>
      <c r="X835" s="56"/>
      <c r="Y835" s="56"/>
      <c r="Z835" s="59"/>
    </row>
    <row r="836">
      <c r="A836" s="55"/>
      <c r="B836" s="55"/>
      <c r="C836" s="55"/>
      <c r="D836" s="55"/>
      <c r="E836" s="55"/>
      <c r="F836" s="55"/>
      <c r="G836" s="55"/>
      <c r="H836" s="55"/>
      <c r="I836" s="55"/>
      <c r="J836" s="55"/>
      <c r="K836" s="55"/>
      <c r="L836" s="55"/>
      <c r="M836" s="55"/>
      <c r="N836" s="55"/>
      <c r="O836" s="55"/>
      <c r="P836" s="55"/>
      <c r="Q836" s="56"/>
      <c r="R836" s="56"/>
      <c r="S836" s="56"/>
      <c r="T836" s="56"/>
      <c r="U836" s="56"/>
      <c r="V836" s="56"/>
      <c r="W836" s="56"/>
      <c r="X836" s="56"/>
      <c r="Y836" s="56"/>
      <c r="Z836" s="59"/>
    </row>
    <row r="837">
      <c r="A837" s="55"/>
      <c r="B837" s="55"/>
      <c r="C837" s="55"/>
      <c r="D837" s="55"/>
      <c r="E837" s="55"/>
      <c r="F837" s="55"/>
      <c r="G837" s="55"/>
      <c r="H837" s="55"/>
      <c r="I837" s="55"/>
      <c r="J837" s="55"/>
      <c r="K837" s="55"/>
      <c r="L837" s="55"/>
      <c r="M837" s="55"/>
      <c r="N837" s="55"/>
      <c r="O837" s="55"/>
      <c r="P837" s="55"/>
      <c r="Q837" s="56"/>
      <c r="R837" s="56"/>
      <c r="S837" s="56"/>
      <c r="T837" s="56"/>
      <c r="U837" s="56"/>
      <c r="V837" s="56"/>
      <c r="W837" s="56"/>
      <c r="X837" s="56"/>
      <c r="Y837" s="56"/>
      <c r="Z837" s="59"/>
    </row>
    <row r="838">
      <c r="A838" s="55"/>
      <c r="B838" s="55"/>
      <c r="C838" s="55"/>
      <c r="D838" s="55"/>
      <c r="E838" s="55"/>
      <c r="F838" s="55"/>
      <c r="G838" s="55"/>
      <c r="H838" s="55"/>
      <c r="I838" s="55"/>
      <c r="J838" s="55"/>
      <c r="K838" s="55"/>
      <c r="L838" s="55"/>
      <c r="M838" s="55"/>
      <c r="N838" s="55"/>
      <c r="O838" s="55"/>
      <c r="P838" s="55"/>
      <c r="Q838" s="56"/>
      <c r="R838" s="56"/>
      <c r="S838" s="56"/>
      <c r="T838" s="56"/>
      <c r="U838" s="56"/>
      <c r="V838" s="56"/>
      <c r="W838" s="56"/>
      <c r="X838" s="56"/>
      <c r="Y838" s="56"/>
      <c r="Z838" s="59"/>
    </row>
    <row r="839">
      <c r="A839" s="55"/>
      <c r="B839" s="55"/>
      <c r="C839" s="55"/>
      <c r="D839" s="55"/>
      <c r="E839" s="55"/>
      <c r="F839" s="55"/>
      <c r="G839" s="55"/>
      <c r="H839" s="55"/>
      <c r="I839" s="55"/>
      <c r="J839" s="55"/>
      <c r="K839" s="55"/>
      <c r="L839" s="55"/>
      <c r="M839" s="55"/>
      <c r="N839" s="55"/>
      <c r="O839" s="55"/>
      <c r="P839" s="55"/>
      <c r="Q839" s="56"/>
      <c r="R839" s="56"/>
      <c r="S839" s="56"/>
      <c r="T839" s="56"/>
      <c r="U839" s="56"/>
      <c r="V839" s="56"/>
      <c r="W839" s="56"/>
      <c r="X839" s="56"/>
      <c r="Y839" s="56"/>
      <c r="Z839" s="59"/>
    </row>
    <row r="840">
      <c r="A840" s="55"/>
      <c r="B840" s="55"/>
      <c r="C840" s="55"/>
      <c r="D840" s="55"/>
      <c r="E840" s="55"/>
      <c r="F840" s="55"/>
      <c r="G840" s="55"/>
      <c r="H840" s="55"/>
      <c r="I840" s="55"/>
      <c r="J840" s="55"/>
      <c r="K840" s="55"/>
      <c r="L840" s="55"/>
      <c r="M840" s="55"/>
      <c r="N840" s="55"/>
      <c r="O840" s="55"/>
      <c r="P840" s="55"/>
      <c r="Q840" s="56"/>
      <c r="R840" s="56"/>
      <c r="S840" s="56"/>
      <c r="T840" s="56"/>
      <c r="U840" s="56"/>
      <c r="V840" s="56"/>
      <c r="W840" s="56"/>
      <c r="X840" s="56"/>
      <c r="Y840" s="56"/>
      <c r="Z840" s="59"/>
    </row>
    <row r="841">
      <c r="A841" s="55"/>
      <c r="B841" s="55"/>
      <c r="C841" s="55"/>
      <c r="D841" s="55"/>
      <c r="E841" s="55"/>
      <c r="F841" s="55"/>
      <c r="G841" s="55"/>
      <c r="H841" s="55"/>
      <c r="I841" s="55"/>
      <c r="J841" s="55"/>
      <c r="K841" s="55"/>
      <c r="L841" s="55"/>
      <c r="M841" s="55"/>
      <c r="N841" s="55"/>
      <c r="O841" s="55"/>
      <c r="P841" s="55"/>
      <c r="Q841" s="56"/>
      <c r="R841" s="56"/>
      <c r="S841" s="56"/>
      <c r="T841" s="56"/>
      <c r="U841" s="56"/>
      <c r="V841" s="56"/>
      <c r="W841" s="56"/>
      <c r="X841" s="56"/>
      <c r="Y841" s="56"/>
      <c r="Z841" s="59"/>
    </row>
    <row r="842">
      <c r="A842" s="55"/>
      <c r="B842" s="55"/>
      <c r="C842" s="55"/>
      <c r="D842" s="55"/>
      <c r="E842" s="55"/>
      <c r="F842" s="55"/>
      <c r="G842" s="55"/>
      <c r="H842" s="55"/>
      <c r="I842" s="55"/>
      <c r="J842" s="55"/>
      <c r="K842" s="55"/>
      <c r="L842" s="55"/>
      <c r="M842" s="55"/>
      <c r="N842" s="55"/>
      <c r="O842" s="55"/>
      <c r="P842" s="55"/>
      <c r="Q842" s="56"/>
      <c r="R842" s="56"/>
      <c r="S842" s="56"/>
      <c r="T842" s="56"/>
      <c r="U842" s="56"/>
      <c r="V842" s="56"/>
      <c r="W842" s="56"/>
      <c r="X842" s="56"/>
      <c r="Y842" s="56"/>
      <c r="Z842" s="59"/>
    </row>
    <row r="843">
      <c r="A843" s="55"/>
      <c r="B843" s="55"/>
      <c r="C843" s="55"/>
      <c r="D843" s="55"/>
      <c r="E843" s="55"/>
      <c r="F843" s="55"/>
      <c r="G843" s="55"/>
      <c r="H843" s="55"/>
      <c r="I843" s="55"/>
      <c r="J843" s="55"/>
      <c r="K843" s="55"/>
      <c r="L843" s="55"/>
      <c r="M843" s="55"/>
      <c r="N843" s="55"/>
      <c r="O843" s="55"/>
      <c r="P843" s="55"/>
      <c r="Q843" s="56"/>
      <c r="R843" s="56"/>
      <c r="S843" s="56"/>
      <c r="T843" s="56"/>
      <c r="U843" s="56"/>
      <c r="V843" s="56"/>
      <c r="W843" s="56"/>
      <c r="X843" s="56"/>
      <c r="Y843" s="56"/>
      <c r="Z843" s="59"/>
    </row>
    <row r="844">
      <c r="A844" s="55"/>
      <c r="B844" s="55"/>
      <c r="C844" s="55"/>
      <c r="D844" s="55"/>
      <c r="E844" s="55"/>
      <c r="F844" s="55"/>
      <c r="G844" s="55"/>
      <c r="H844" s="55"/>
      <c r="I844" s="55"/>
      <c r="J844" s="55"/>
      <c r="K844" s="55"/>
      <c r="L844" s="55"/>
      <c r="M844" s="55"/>
      <c r="N844" s="55"/>
      <c r="O844" s="55"/>
      <c r="P844" s="55"/>
      <c r="Q844" s="56"/>
      <c r="R844" s="56"/>
      <c r="S844" s="56"/>
      <c r="T844" s="56"/>
      <c r="U844" s="56"/>
      <c r="V844" s="56"/>
      <c r="W844" s="56"/>
      <c r="X844" s="56"/>
      <c r="Y844" s="56"/>
      <c r="Z844" s="59"/>
    </row>
    <row r="845">
      <c r="A845" s="55"/>
      <c r="B845" s="55"/>
      <c r="C845" s="55"/>
      <c r="D845" s="55"/>
      <c r="E845" s="55"/>
      <c r="F845" s="55"/>
      <c r="G845" s="55"/>
      <c r="H845" s="55"/>
      <c r="I845" s="55"/>
      <c r="J845" s="55"/>
      <c r="K845" s="55"/>
      <c r="L845" s="55"/>
      <c r="M845" s="55"/>
      <c r="N845" s="55"/>
      <c r="O845" s="55"/>
      <c r="P845" s="55"/>
      <c r="Q845" s="56"/>
      <c r="R845" s="56"/>
      <c r="S845" s="56"/>
      <c r="T845" s="56"/>
      <c r="U845" s="56"/>
      <c r="V845" s="56"/>
      <c r="W845" s="56"/>
      <c r="X845" s="56"/>
      <c r="Y845" s="56"/>
      <c r="Z845" s="59"/>
    </row>
    <row r="846">
      <c r="A846" s="55"/>
      <c r="B846" s="55"/>
      <c r="C846" s="55"/>
      <c r="D846" s="55"/>
      <c r="E846" s="55"/>
      <c r="F846" s="55"/>
      <c r="G846" s="55"/>
      <c r="H846" s="55"/>
      <c r="I846" s="55"/>
      <c r="J846" s="55"/>
      <c r="K846" s="55"/>
      <c r="L846" s="55"/>
      <c r="M846" s="55"/>
      <c r="N846" s="55"/>
      <c r="O846" s="55"/>
      <c r="P846" s="55"/>
      <c r="Q846" s="56"/>
      <c r="R846" s="56"/>
      <c r="S846" s="56"/>
      <c r="T846" s="56"/>
      <c r="U846" s="56"/>
      <c r="V846" s="56"/>
      <c r="W846" s="56"/>
      <c r="X846" s="56"/>
      <c r="Y846" s="56"/>
      <c r="Z846" s="59"/>
    </row>
    <row r="847">
      <c r="A847" s="55"/>
      <c r="B847" s="55"/>
      <c r="C847" s="55"/>
      <c r="D847" s="55"/>
      <c r="E847" s="55"/>
      <c r="F847" s="55"/>
      <c r="G847" s="55"/>
      <c r="H847" s="55"/>
      <c r="I847" s="55"/>
      <c r="J847" s="55"/>
      <c r="K847" s="55"/>
      <c r="L847" s="55"/>
      <c r="M847" s="55"/>
      <c r="N847" s="55"/>
      <c r="O847" s="55"/>
      <c r="P847" s="55"/>
      <c r="Q847" s="56"/>
      <c r="R847" s="56"/>
      <c r="S847" s="56"/>
      <c r="T847" s="56"/>
      <c r="U847" s="56"/>
      <c r="V847" s="56"/>
      <c r="W847" s="56"/>
      <c r="X847" s="56"/>
      <c r="Y847" s="56"/>
      <c r="Z847" s="59"/>
    </row>
    <row r="848">
      <c r="A848" s="55"/>
      <c r="B848" s="55"/>
      <c r="C848" s="55"/>
      <c r="D848" s="55"/>
      <c r="E848" s="55"/>
      <c r="F848" s="55"/>
      <c r="G848" s="55"/>
      <c r="H848" s="55"/>
      <c r="I848" s="55"/>
      <c r="J848" s="55"/>
      <c r="K848" s="55"/>
      <c r="L848" s="55"/>
      <c r="M848" s="55"/>
      <c r="N848" s="55"/>
      <c r="O848" s="55"/>
      <c r="P848" s="55"/>
      <c r="Q848" s="56"/>
      <c r="R848" s="56"/>
      <c r="S848" s="56"/>
      <c r="T848" s="56"/>
      <c r="U848" s="56"/>
      <c r="V848" s="56"/>
      <c r="W848" s="56"/>
      <c r="X848" s="56"/>
      <c r="Y848" s="56"/>
      <c r="Z848" s="59"/>
    </row>
    <row r="849">
      <c r="A849" s="55"/>
      <c r="B849" s="55"/>
      <c r="C849" s="55"/>
      <c r="D849" s="55"/>
      <c r="E849" s="55"/>
      <c r="F849" s="55"/>
      <c r="G849" s="55"/>
      <c r="H849" s="55"/>
      <c r="I849" s="55"/>
      <c r="J849" s="55"/>
      <c r="K849" s="55"/>
      <c r="L849" s="55"/>
      <c r="M849" s="55"/>
      <c r="N849" s="55"/>
      <c r="O849" s="55"/>
      <c r="P849" s="55"/>
      <c r="Q849" s="56"/>
      <c r="R849" s="56"/>
      <c r="S849" s="56"/>
      <c r="T849" s="56"/>
      <c r="U849" s="56"/>
      <c r="V849" s="56"/>
      <c r="W849" s="56"/>
      <c r="X849" s="56"/>
      <c r="Y849" s="56"/>
      <c r="Z849" s="59"/>
    </row>
    <row r="850">
      <c r="A850" s="55"/>
      <c r="B850" s="55"/>
      <c r="C850" s="55"/>
      <c r="D850" s="55"/>
      <c r="E850" s="55"/>
      <c r="F850" s="55"/>
      <c r="G850" s="55"/>
      <c r="H850" s="55"/>
      <c r="I850" s="55"/>
      <c r="J850" s="55"/>
      <c r="K850" s="55"/>
      <c r="L850" s="55"/>
      <c r="M850" s="55"/>
      <c r="N850" s="55"/>
      <c r="O850" s="55"/>
      <c r="P850" s="55"/>
      <c r="Q850" s="56"/>
      <c r="R850" s="56"/>
      <c r="S850" s="56"/>
      <c r="T850" s="56"/>
      <c r="U850" s="56"/>
      <c r="V850" s="56"/>
      <c r="W850" s="56"/>
      <c r="X850" s="56"/>
      <c r="Y850" s="56"/>
      <c r="Z850" s="59"/>
    </row>
    <row r="851">
      <c r="A851" s="55"/>
      <c r="B851" s="55"/>
      <c r="C851" s="55"/>
      <c r="D851" s="55"/>
      <c r="E851" s="55"/>
      <c r="F851" s="55"/>
      <c r="G851" s="55"/>
      <c r="H851" s="55"/>
      <c r="I851" s="55"/>
      <c r="J851" s="55"/>
      <c r="K851" s="55"/>
      <c r="L851" s="55"/>
      <c r="M851" s="55"/>
      <c r="N851" s="55"/>
      <c r="O851" s="55"/>
      <c r="P851" s="55"/>
      <c r="Q851" s="56"/>
      <c r="R851" s="56"/>
      <c r="S851" s="56"/>
      <c r="T851" s="56"/>
      <c r="U851" s="56"/>
      <c r="V851" s="56"/>
      <c r="W851" s="56"/>
      <c r="X851" s="56"/>
      <c r="Y851" s="56"/>
      <c r="Z851" s="59"/>
    </row>
    <row r="852">
      <c r="A852" s="55"/>
      <c r="B852" s="55"/>
      <c r="C852" s="55"/>
      <c r="D852" s="55"/>
      <c r="E852" s="55"/>
      <c r="F852" s="55"/>
      <c r="G852" s="55"/>
      <c r="H852" s="55"/>
      <c r="I852" s="55"/>
      <c r="J852" s="55"/>
      <c r="K852" s="55"/>
      <c r="L852" s="55"/>
      <c r="M852" s="55"/>
      <c r="N852" s="55"/>
      <c r="O852" s="55"/>
      <c r="P852" s="55"/>
      <c r="Q852" s="56"/>
      <c r="R852" s="56"/>
      <c r="S852" s="56"/>
      <c r="T852" s="56"/>
      <c r="U852" s="56"/>
      <c r="V852" s="56"/>
      <c r="W852" s="56"/>
      <c r="X852" s="56"/>
      <c r="Y852" s="56"/>
      <c r="Z852" s="59"/>
    </row>
    <row r="853">
      <c r="A853" s="55"/>
      <c r="B853" s="55"/>
      <c r="C853" s="55"/>
      <c r="D853" s="55"/>
      <c r="E853" s="55"/>
      <c r="F853" s="55"/>
      <c r="G853" s="55"/>
      <c r="H853" s="55"/>
      <c r="I853" s="55"/>
      <c r="J853" s="55"/>
      <c r="K853" s="55"/>
      <c r="L853" s="55"/>
      <c r="M853" s="55"/>
      <c r="N853" s="55"/>
      <c r="O853" s="55"/>
      <c r="P853" s="55"/>
      <c r="Q853" s="56"/>
      <c r="R853" s="56"/>
      <c r="S853" s="56"/>
      <c r="T853" s="56"/>
      <c r="U853" s="56"/>
      <c r="V853" s="56"/>
      <c r="W853" s="56"/>
      <c r="X853" s="56"/>
      <c r="Y853" s="56"/>
      <c r="Z853" s="59"/>
    </row>
    <row r="854">
      <c r="A854" s="55"/>
      <c r="B854" s="55"/>
      <c r="C854" s="55"/>
      <c r="D854" s="55"/>
      <c r="E854" s="55"/>
      <c r="F854" s="55"/>
      <c r="G854" s="55"/>
      <c r="H854" s="55"/>
      <c r="I854" s="55"/>
      <c r="J854" s="55"/>
      <c r="K854" s="55"/>
      <c r="L854" s="55"/>
      <c r="M854" s="55"/>
      <c r="N854" s="55"/>
      <c r="O854" s="55"/>
      <c r="P854" s="55"/>
      <c r="Q854" s="56"/>
      <c r="R854" s="56"/>
      <c r="S854" s="56"/>
      <c r="T854" s="56"/>
      <c r="U854" s="56"/>
      <c r="V854" s="56"/>
      <c r="W854" s="56"/>
      <c r="X854" s="56"/>
      <c r="Y854" s="56"/>
      <c r="Z854" s="59"/>
    </row>
    <row r="855">
      <c r="A855" s="55"/>
      <c r="B855" s="55"/>
      <c r="C855" s="55"/>
      <c r="D855" s="55"/>
      <c r="E855" s="55"/>
      <c r="F855" s="55"/>
      <c r="G855" s="55"/>
      <c r="H855" s="55"/>
      <c r="I855" s="55"/>
      <c r="J855" s="55"/>
      <c r="K855" s="55"/>
      <c r="L855" s="55"/>
      <c r="M855" s="55"/>
      <c r="N855" s="55"/>
      <c r="O855" s="55"/>
      <c r="P855" s="55"/>
      <c r="Q855" s="56"/>
      <c r="R855" s="56"/>
      <c r="S855" s="56"/>
      <c r="T855" s="56"/>
      <c r="U855" s="56"/>
      <c r="V855" s="56"/>
      <c r="W855" s="56"/>
      <c r="X855" s="56"/>
      <c r="Y855" s="56"/>
      <c r="Z855" s="59"/>
    </row>
    <row r="856">
      <c r="A856" s="55"/>
      <c r="B856" s="55"/>
      <c r="C856" s="55"/>
      <c r="D856" s="55"/>
      <c r="E856" s="55"/>
      <c r="F856" s="55"/>
      <c r="G856" s="55"/>
      <c r="H856" s="55"/>
      <c r="I856" s="55"/>
      <c r="J856" s="55"/>
      <c r="K856" s="55"/>
      <c r="L856" s="55"/>
      <c r="M856" s="55"/>
      <c r="N856" s="55"/>
      <c r="O856" s="55"/>
      <c r="P856" s="55"/>
      <c r="Q856" s="56"/>
      <c r="R856" s="56"/>
      <c r="S856" s="56"/>
      <c r="T856" s="56"/>
      <c r="U856" s="56"/>
      <c r="V856" s="56"/>
      <c r="W856" s="56"/>
      <c r="X856" s="56"/>
      <c r="Y856" s="56"/>
      <c r="Z856" s="59"/>
    </row>
    <row r="857">
      <c r="A857" s="55"/>
      <c r="B857" s="55"/>
      <c r="C857" s="55"/>
      <c r="D857" s="55"/>
      <c r="E857" s="55"/>
      <c r="F857" s="55"/>
      <c r="G857" s="55"/>
      <c r="H857" s="55"/>
      <c r="I857" s="55"/>
      <c r="J857" s="55"/>
      <c r="K857" s="55"/>
      <c r="L857" s="55"/>
      <c r="M857" s="55"/>
      <c r="N857" s="55"/>
      <c r="O857" s="55"/>
      <c r="P857" s="55"/>
      <c r="Q857" s="56"/>
      <c r="R857" s="56"/>
      <c r="S857" s="56"/>
      <c r="T857" s="56"/>
      <c r="U857" s="56"/>
      <c r="V857" s="56"/>
      <c r="W857" s="56"/>
      <c r="X857" s="56"/>
      <c r="Y857" s="56"/>
      <c r="Z857" s="59"/>
    </row>
    <row r="858">
      <c r="A858" s="55"/>
      <c r="B858" s="55"/>
      <c r="C858" s="55"/>
      <c r="D858" s="55"/>
      <c r="E858" s="55"/>
      <c r="F858" s="55"/>
      <c r="G858" s="55"/>
      <c r="H858" s="55"/>
      <c r="I858" s="55"/>
      <c r="J858" s="55"/>
      <c r="K858" s="55"/>
      <c r="L858" s="55"/>
      <c r="M858" s="55"/>
      <c r="N858" s="55"/>
      <c r="O858" s="55"/>
      <c r="P858" s="55"/>
      <c r="Q858" s="56"/>
      <c r="R858" s="56"/>
      <c r="S858" s="56"/>
      <c r="T858" s="56"/>
      <c r="U858" s="56"/>
      <c r="V858" s="56"/>
      <c r="W858" s="56"/>
      <c r="X858" s="56"/>
      <c r="Y858" s="56"/>
      <c r="Z858" s="59"/>
    </row>
    <row r="859">
      <c r="A859" s="55"/>
      <c r="B859" s="55"/>
      <c r="C859" s="55"/>
      <c r="D859" s="55"/>
      <c r="E859" s="55"/>
      <c r="F859" s="55"/>
      <c r="G859" s="55"/>
      <c r="H859" s="55"/>
      <c r="I859" s="55"/>
      <c r="J859" s="55"/>
      <c r="K859" s="55"/>
      <c r="L859" s="55"/>
      <c r="M859" s="55"/>
      <c r="N859" s="55"/>
      <c r="O859" s="55"/>
      <c r="P859" s="55"/>
      <c r="Q859" s="56"/>
      <c r="R859" s="56"/>
      <c r="S859" s="56"/>
      <c r="T859" s="56"/>
      <c r="U859" s="56"/>
      <c r="V859" s="56"/>
      <c r="W859" s="56"/>
      <c r="X859" s="56"/>
      <c r="Y859" s="56"/>
      <c r="Z859" s="59"/>
    </row>
    <row r="860">
      <c r="A860" s="55"/>
      <c r="B860" s="55"/>
      <c r="C860" s="55"/>
      <c r="D860" s="55"/>
      <c r="E860" s="55"/>
      <c r="F860" s="55"/>
      <c r="G860" s="55"/>
      <c r="H860" s="55"/>
      <c r="I860" s="55"/>
      <c r="J860" s="55"/>
      <c r="K860" s="55"/>
      <c r="L860" s="55"/>
      <c r="M860" s="55"/>
      <c r="N860" s="55"/>
      <c r="O860" s="55"/>
      <c r="P860" s="55"/>
      <c r="Q860" s="56"/>
      <c r="R860" s="56"/>
      <c r="S860" s="56"/>
      <c r="T860" s="56"/>
      <c r="U860" s="56"/>
      <c r="V860" s="56"/>
      <c r="W860" s="56"/>
      <c r="X860" s="56"/>
      <c r="Y860" s="56"/>
      <c r="Z860" s="59"/>
    </row>
    <row r="861">
      <c r="A861" s="55"/>
      <c r="B861" s="55"/>
      <c r="C861" s="55"/>
      <c r="D861" s="55"/>
      <c r="E861" s="55"/>
      <c r="F861" s="55"/>
      <c r="G861" s="55"/>
      <c r="H861" s="55"/>
      <c r="I861" s="55"/>
      <c r="J861" s="55"/>
      <c r="K861" s="55"/>
      <c r="L861" s="55"/>
      <c r="M861" s="55"/>
      <c r="N861" s="55"/>
      <c r="O861" s="55"/>
      <c r="P861" s="55"/>
      <c r="Q861" s="56"/>
      <c r="R861" s="56"/>
      <c r="S861" s="56"/>
      <c r="T861" s="56"/>
      <c r="U861" s="56"/>
      <c r="V861" s="56"/>
      <c r="W861" s="56"/>
      <c r="X861" s="56"/>
      <c r="Y861" s="56"/>
      <c r="Z861" s="59"/>
    </row>
    <row r="862">
      <c r="A862" s="55"/>
      <c r="B862" s="55"/>
      <c r="C862" s="55"/>
      <c r="D862" s="55"/>
      <c r="E862" s="55"/>
      <c r="F862" s="55"/>
      <c r="G862" s="55"/>
      <c r="H862" s="55"/>
      <c r="I862" s="55"/>
      <c r="J862" s="55"/>
      <c r="K862" s="55"/>
      <c r="L862" s="55"/>
      <c r="M862" s="55"/>
      <c r="N862" s="55"/>
      <c r="O862" s="55"/>
      <c r="P862" s="55"/>
      <c r="Q862" s="56"/>
      <c r="R862" s="56"/>
      <c r="S862" s="56"/>
      <c r="T862" s="56"/>
      <c r="U862" s="56"/>
      <c r="V862" s="56"/>
      <c r="W862" s="56"/>
      <c r="X862" s="56"/>
      <c r="Y862" s="56"/>
      <c r="Z862" s="59"/>
    </row>
    <row r="863">
      <c r="A863" s="55"/>
      <c r="B863" s="55"/>
      <c r="C863" s="55"/>
      <c r="D863" s="55"/>
      <c r="E863" s="55"/>
      <c r="F863" s="55"/>
      <c r="G863" s="55"/>
      <c r="H863" s="55"/>
      <c r="I863" s="55"/>
      <c r="J863" s="55"/>
      <c r="K863" s="55"/>
      <c r="L863" s="55"/>
      <c r="M863" s="55"/>
      <c r="N863" s="55"/>
      <c r="O863" s="55"/>
      <c r="P863" s="55"/>
      <c r="Q863" s="56"/>
      <c r="R863" s="56"/>
      <c r="S863" s="56"/>
      <c r="T863" s="56"/>
      <c r="U863" s="56"/>
      <c r="V863" s="56"/>
      <c r="W863" s="56"/>
      <c r="X863" s="56"/>
      <c r="Y863" s="56"/>
      <c r="Z863" s="59"/>
    </row>
    <row r="864">
      <c r="A864" s="55"/>
      <c r="B864" s="55"/>
      <c r="C864" s="55"/>
      <c r="D864" s="55"/>
      <c r="E864" s="55"/>
      <c r="F864" s="55"/>
      <c r="G864" s="55"/>
      <c r="H864" s="55"/>
      <c r="I864" s="55"/>
      <c r="J864" s="55"/>
      <c r="K864" s="55"/>
      <c r="L864" s="55"/>
      <c r="M864" s="55"/>
      <c r="N864" s="55"/>
      <c r="O864" s="55"/>
      <c r="P864" s="55"/>
      <c r="Q864" s="56"/>
      <c r="R864" s="56"/>
      <c r="S864" s="56"/>
      <c r="T864" s="56"/>
      <c r="U864" s="56"/>
      <c r="V864" s="56"/>
      <c r="W864" s="56"/>
      <c r="X864" s="56"/>
      <c r="Y864" s="56"/>
      <c r="Z864" s="59"/>
    </row>
    <row r="865">
      <c r="A865" s="55"/>
      <c r="B865" s="55"/>
      <c r="C865" s="55"/>
      <c r="D865" s="55"/>
      <c r="E865" s="55"/>
      <c r="F865" s="55"/>
      <c r="G865" s="55"/>
      <c r="H865" s="55"/>
      <c r="I865" s="55"/>
      <c r="J865" s="55"/>
      <c r="K865" s="55"/>
      <c r="L865" s="55"/>
      <c r="M865" s="55"/>
      <c r="N865" s="55"/>
      <c r="O865" s="55"/>
      <c r="P865" s="55"/>
      <c r="Q865" s="56"/>
      <c r="R865" s="56"/>
      <c r="S865" s="56"/>
      <c r="T865" s="56"/>
      <c r="U865" s="56"/>
      <c r="V865" s="56"/>
      <c r="W865" s="56"/>
      <c r="X865" s="56"/>
      <c r="Y865" s="56"/>
      <c r="Z865" s="59"/>
    </row>
    <row r="866">
      <c r="A866" s="55"/>
      <c r="B866" s="55"/>
      <c r="C866" s="55"/>
      <c r="D866" s="55"/>
      <c r="E866" s="55"/>
      <c r="F866" s="55"/>
      <c r="G866" s="55"/>
      <c r="H866" s="55"/>
      <c r="I866" s="55"/>
      <c r="J866" s="55"/>
      <c r="K866" s="55"/>
      <c r="L866" s="55"/>
      <c r="M866" s="55"/>
      <c r="N866" s="55"/>
      <c r="O866" s="55"/>
      <c r="P866" s="55"/>
      <c r="Q866" s="56"/>
      <c r="R866" s="56"/>
      <c r="S866" s="56"/>
      <c r="T866" s="56"/>
      <c r="U866" s="56"/>
      <c r="V866" s="56"/>
      <c r="W866" s="56"/>
      <c r="X866" s="56"/>
      <c r="Y866" s="56"/>
      <c r="Z866" s="59"/>
    </row>
    <row r="867">
      <c r="A867" s="55"/>
      <c r="B867" s="55"/>
      <c r="C867" s="55"/>
      <c r="D867" s="55"/>
      <c r="E867" s="55"/>
      <c r="F867" s="55"/>
      <c r="G867" s="55"/>
      <c r="H867" s="55"/>
      <c r="I867" s="55"/>
      <c r="J867" s="55"/>
      <c r="K867" s="55"/>
      <c r="L867" s="55"/>
      <c r="M867" s="55"/>
      <c r="N867" s="55"/>
      <c r="O867" s="55"/>
      <c r="P867" s="55"/>
      <c r="Q867" s="56"/>
      <c r="R867" s="56"/>
      <c r="S867" s="56"/>
      <c r="T867" s="56"/>
      <c r="U867" s="56"/>
      <c r="V867" s="56"/>
      <c r="W867" s="56"/>
      <c r="X867" s="56"/>
      <c r="Y867" s="56"/>
      <c r="Z867" s="59"/>
    </row>
    <row r="868">
      <c r="A868" s="55"/>
      <c r="B868" s="55"/>
      <c r="C868" s="55"/>
      <c r="D868" s="55"/>
      <c r="E868" s="55"/>
      <c r="F868" s="55"/>
      <c r="G868" s="55"/>
      <c r="H868" s="55"/>
      <c r="I868" s="55"/>
      <c r="J868" s="55"/>
      <c r="K868" s="55"/>
      <c r="L868" s="55"/>
      <c r="M868" s="55"/>
      <c r="N868" s="55"/>
      <c r="O868" s="55"/>
      <c r="P868" s="55"/>
      <c r="Q868" s="56"/>
      <c r="R868" s="56"/>
      <c r="S868" s="56"/>
      <c r="T868" s="56"/>
      <c r="U868" s="56"/>
      <c r="V868" s="56"/>
      <c r="W868" s="56"/>
      <c r="X868" s="56"/>
      <c r="Y868" s="56"/>
      <c r="Z868" s="59"/>
    </row>
    <row r="869">
      <c r="A869" s="55"/>
      <c r="B869" s="55"/>
      <c r="C869" s="55"/>
      <c r="D869" s="55"/>
      <c r="E869" s="55"/>
      <c r="F869" s="55"/>
      <c r="G869" s="55"/>
      <c r="H869" s="55"/>
      <c r="I869" s="55"/>
      <c r="J869" s="55"/>
      <c r="K869" s="55"/>
      <c r="L869" s="55"/>
      <c r="M869" s="55"/>
      <c r="N869" s="55"/>
      <c r="O869" s="55"/>
      <c r="P869" s="55"/>
      <c r="Q869" s="56"/>
      <c r="R869" s="56"/>
      <c r="S869" s="56"/>
      <c r="T869" s="56"/>
      <c r="U869" s="56"/>
      <c r="V869" s="56"/>
      <c r="W869" s="56"/>
      <c r="X869" s="56"/>
      <c r="Y869" s="56"/>
      <c r="Z869" s="59"/>
    </row>
    <row r="870">
      <c r="A870" s="55"/>
      <c r="B870" s="55"/>
      <c r="C870" s="55"/>
      <c r="D870" s="55"/>
      <c r="E870" s="55"/>
      <c r="F870" s="55"/>
      <c r="G870" s="55"/>
      <c r="H870" s="55"/>
      <c r="I870" s="55"/>
      <c r="J870" s="55"/>
      <c r="K870" s="55"/>
      <c r="L870" s="55"/>
      <c r="M870" s="55"/>
      <c r="N870" s="55"/>
      <c r="O870" s="55"/>
      <c r="P870" s="55"/>
      <c r="Q870" s="56"/>
      <c r="R870" s="56"/>
      <c r="S870" s="56"/>
      <c r="T870" s="56"/>
      <c r="U870" s="56"/>
      <c r="V870" s="56"/>
      <c r="W870" s="56"/>
      <c r="X870" s="56"/>
      <c r="Y870" s="56"/>
      <c r="Z870" s="59"/>
    </row>
    <row r="871">
      <c r="A871" s="55"/>
      <c r="B871" s="55"/>
      <c r="C871" s="55"/>
      <c r="D871" s="55"/>
      <c r="E871" s="55"/>
      <c r="F871" s="55"/>
      <c r="G871" s="55"/>
      <c r="H871" s="55"/>
      <c r="I871" s="55"/>
      <c r="J871" s="55"/>
      <c r="K871" s="55"/>
      <c r="L871" s="55"/>
      <c r="M871" s="55"/>
      <c r="N871" s="55"/>
      <c r="O871" s="55"/>
      <c r="P871" s="55"/>
      <c r="Q871" s="56"/>
      <c r="R871" s="56"/>
      <c r="S871" s="56"/>
      <c r="T871" s="56"/>
      <c r="U871" s="56"/>
      <c r="V871" s="56"/>
      <c r="W871" s="56"/>
      <c r="X871" s="56"/>
      <c r="Y871" s="56"/>
      <c r="Z871" s="59"/>
    </row>
    <row r="872">
      <c r="A872" s="55"/>
      <c r="B872" s="55"/>
      <c r="C872" s="55"/>
      <c r="D872" s="55"/>
      <c r="E872" s="55"/>
      <c r="F872" s="55"/>
      <c r="G872" s="55"/>
      <c r="H872" s="55"/>
      <c r="I872" s="55"/>
      <c r="J872" s="55"/>
      <c r="K872" s="55"/>
      <c r="L872" s="55"/>
      <c r="M872" s="55"/>
      <c r="N872" s="55"/>
      <c r="O872" s="55"/>
      <c r="P872" s="55"/>
      <c r="Q872" s="56"/>
      <c r="R872" s="56"/>
      <c r="S872" s="56"/>
      <c r="T872" s="56"/>
      <c r="U872" s="56"/>
      <c r="V872" s="56"/>
      <c r="W872" s="56"/>
      <c r="X872" s="56"/>
      <c r="Y872" s="56"/>
      <c r="Z872" s="59"/>
    </row>
    <row r="873">
      <c r="A873" s="55"/>
      <c r="B873" s="55"/>
      <c r="C873" s="55"/>
      <c r="D873" s="55"/>
      <c r="E873" s="55"/>
      <c r="F873" s="55"/>
      <c r="G873" s="55"/>
      <c r="H873" s="55"/>
      <c r="I873" s="55"/>
      <c r="J873" s="55"/>
      <c r="K873" s="55"/>
      <c r="L873" s="55"/>
      <c r="M873" s="55"/>
      <c r="N873" s="55"/>
      <c r="O873" s="55"/>
      <c r="P873" s="55"/>
      <c r="Q873" s="56"/>
      <c r="R873" s="56"/>
      <c r="S873" s="56"/>
      <c r="T873" s="56"/>
      <c r="U873" s="56"/>
      <c r="V873" s="56"/>
      <c r="W873" s="56"/>
      <c r="X873" s="56"/>
      <c r="Y873" s="56"/>
      <c r="Z873" s="59"/>
    </row>
    <row r="874">
      <c r="A874" s="55"/>
      <c r="B874" s="55"/>
      <c r="C874" s="55"/>
      <c r="D874" s="55"/>
      <c r="E874" s="55"/>
      <c r="F874" s="55"/>
      <c r="G874" s="55"/>
      <c r="H874" s="55"/>
      <c r="I874" s="55"/>
      <c r="J874" s="55"/>
      <c r="K874" s="55"/>
      <c r="L874" s="55"/>
      <c r="M874" s="55"/>
      <c r="N874" s="55"/>
      <c r="O874" s="55"/>
      <c r="P874" s="55"/>
      <c r="Q874" s="56"/>
      <c r="R874" s="56"/>
      <c r="S874" s="56"/>
      <c r="T874" s="56"/>
      <c r="U874" s="56"/>
      <c r="V874" s="56"/>
      <c r="W874" s="56"/>
      <c r="X874" s="56"/>
      <c r="Y874" s="56"/>
      <c r="Z874" s="59"/>
    </row>
    <row r="875">
      <c r="A875" s="55"/>
      <c r="B875" s="55"/>
      <c r="C875" s="55"/>
      <c r="D875" s="55"/>
      <c r="E875" s="55"/>
      <c r="F875" s="55"/>
      <c r="G875" s="55"/>
      <c r="H875" s="55"/>
      <c r="I875" s="55"/>
      <c r="J875" s="55"/>
      <c r="K875" s="55"/>
      <c r="L875" s="55"/>
      <c r="M875" s="55"/>
      <c r="N875" s="55"/>
      <c r="O875" s="55"/>
      <c r="P875" s="55"/>
      <c r="Q875" s="56"/>
      <c r="R875" s="56"/>
      <c r="S875" s="56"/>
      <c r="T875" s="56"/>
      <c r="U875" s="56"/>
      <c r="V875" s="56"/>
      <c r="W875" s="56"/>
      <c r="X875" s="56"/>
      <c r="Y875" s="56"/>
      <c r="Z875" s="59"/>
    </row>
    <row r="876">
      <c r="A876" s="55"/>
      <c r="B876" s="55"/>
      <c r="C876" s="55"/>
      <c r="D876" s="55"/>
      <c r="E876" s="55"/>
      <c r="F876" s="55"/>
      <c r="G876" s="55"/>
      <c r="H876" s="55"/>
      <c r="I876" s="55"/>
      <c r="J876" s="55"/>
      <c r="K876" s="55"/>
      <c r="L876" s="55"/>
      <c r="M876" s="55"/>
      <c r="N876" s="55"/>
      <c r="O876" s="55"/>
      <c r="P876" s="55"/>
      <c r="Q876" s="56"/>
      <c r="R876" s="56"/>
      <c r="S876" s="56"/>
      <c r="T876" s="56"/>
      <c r="U876" s="56"/>
      <c r="V876" s="56"/>
      <c r="W876" s="56"/>
      <c r="X876" s="56"/>
      <c r="Y876" s="56"/>
      <c r="Z876" s="59"/>
    </row>
    <row r="877">
      <c r="A877" s="55"/>
      <c r="B877" s="55"/>
      <c r="C877" s="55"/>
      <c r="D877" s="55"/>
      <c r="E877" s="55"/>
      <c r="F877" s="55"/>
      <c r="G877" s="55"/>
      <c r="H877" s="55"/>
      <c r="I877" s="55"/>
      <c r="J877" s="55"/>
      <c r="K877" s="55"/>
      <c r="L877" s="55"/>
      <c r="M877" s="55"/>
      <c r="N877" s="55"/>
      <c r="O877" s="55"/>
      <c r="P877" s="55"/>
      <c r="Q877" s="56"/>
      <c r="R877" s="56"/>
      <c r="S877" s="56"/>
      <c r="T877" s="56"/>
      <c r="U877" s="56"/>
      <c r="V877" s="56"/>
      <c r="W877" s="56"/>
      <c r="X877" s="56"/>
      <c r="Y877" s="56"/>
      <c r="Z877" s="59"/>
    </row>
    <row r="878">
      <c r="A878" s="55"/>
      <c r="B878" s="55"/>
      <c r="C878" s="55"/>
      <c r="D878" s="55"/>
      <c r="E878" s="55"/>
      <c r="F878" s="55"/>
      <c r="G878" s="55"/>
      <c r="H878" s="55"/>
      <c r="I878" s="55"/>
      <c r="J878" s="55"/>
      <c r="K878" s="55"/>
      <c r="L878" s="55"/>
      <c r="M878" s="55"/>
      <c r="N878" s="55"/>
      <c r="O878" s="55"/>
      <c r="P878" s="55"/>
      <c r="Q878" s="56"/>
      <c r="R878" s="56"/>
      <c r="S878" s="56"/>
      <c r="T878" s="56"/>
      <c r="U878" s="56"/>
      <c r="V878" s="56"/>
      <c r="W878" s="56"/>
      <c r="X878" s="56"/>
      <c r="Y878" s="56"/>
      <c r="Z878" s="59"/>
    </row>
    <row r="879">
      <c r="A879" s="55"/>
      <c r="B879" s="55"/>
      <c r="C879" s="55"/>
      <c r="D879" s="55"/>
      <c r="E879" s="55"/>
      <c r="F879" s="55"/>
      <c r="G879" s="55"/>
      <c r="H879" s="55"/>
      <c r="I879" s="55"/>
      <c r="J879" s="55"/>
      <c r="K879" s="55"/>
      <c r="L879" s="55"/>
      <c r="M879" s="55"/>
      <c r="N879" s="55"/>
      <c r="O879" s="55"/>
      <c r="P879" s="55"/>
      <c r="Q879" s="56"/>
      <c r="R879" s="56"/>
      <c r="S879" s="56"/>
      <c r="T879" s="56"/>
      <c r="U879" s="56"/>
      <c r="V879" s="56"/>
      <c r="W879" s="56"/>
      <c r="X879" s="56"/>
      <c r="Y879" s="56"/>
      <c r="Z879" s="59"/>
    </row>
    <row r="880">
      <c r="A880" s="55"/>
      <c r="B880" s="55"/>
      <c r="C880" s="55"/>
      <c r="D880" s="55"/>
      <c r="E880" s="55"/>
      <c r="F880" s="55"/>
      <c r="G880" s="55"/>
      <c r="H880" s="55"/>
      <c r="I880" s="55"/>
      <c r="J880" s="55"/>
      <c r="K880" s="55"/>
      <c r="L880" s="55"/>
      <c r="M880" s="55"/>
      <c r="N880" s="55"/>
      <c r="O880" s="55"/>
      <c r="P880" s="55"/>
      <c r="Q880" s="56"/>
      <c r="R880" s="56"/>
      <c r="S880" s="56"/>
      <c r="T880" s="56"/>
      <c r="U880" s="56"/>
      <c r="V880" s="56"/>
      <c r="W880" s="56"/>
      <c r="X880" s="56"/>
      <c r="Y880" s="56"/>
      <c r="Z880" s="59"/>
    </row>
    <row r="881">
      <c r="A881" s="55"/>
      <c r="B881" s="55"/>
      <c r="C881" s="55"/>
      <c r="D881" s="55"/>
      <c r="E881" s="55"/>
      <c r="F881" s="55"/>
      <c r="G881" s="55"/>
      <c r="H881" s="55"/>
      <c r="I881" s="55"/>
      <c r="J881" s="55"/>
      <c r="K881" s="55"/>
      <c r="L881" s="55"/>
      <c r="M881" s="55"/>
      <c r="N881" s="55"/>
      <c r="O881" s="55"/>
      <c r="P881" s="55"/>
      <c r="Q881" s="56"/>
      <c r="R881" s="56"/>
      <c r="S881" s="56"/>
      <c r="T881" s="56"/>
      <c r="U881" s="56"/>
      <c r="V881" s="56"/>
      <c r="W881" s="56"/>
      <c r="X881" s="56"/>
      <c r="Y881" s="56"/>
      <c r="Z881" s="59"/>
    </row>
    <row r="882">
      <c r="A882" s="55"/>
      <c r="B882" s="55"/>
      <c r="C882" s="55"/>
      <c r="D882" s="55"/>
      <c r="E882" s="55"/>
      <c r="F882" s="55"/>
      <c r="G882" s="55"/>
      <c r="H882" s="55"/>
      <c r="I882" s="55"/>
      <c r="J882" s="55"/>
      <c r="K882" s="55"/>
      <c r="L882" s="55"/>
      <c r="M882" s="55"/>
      <c r="N882" s="55"/>
      <c r="O882" s="55"/>
      <c r="P882" s="55"/>
      <c r="Q882" s="56"/>
      <c r="R882" s="56"/>
      <c r="S882" s="56"/>
      <c r="T882" s="56"/>
      <c r="U882" s="56"/>
      <c r="V882" s="56"/>
      <c r="W882" s="56"/>
      <c r="X882" s="56"/>
      <c r="Y882" s="56"/>
      <c r="Z882" s="59"/>
    </row>
    <row r="883">
      <c r="A883" s="55"/>
      <c r="B883" s="55"/>
      <c r="C883" s="55"/>
      <c r="D883" s="55"/>
      <c r="E883" s="55"/>
      <c r="F883" s="55"/>
      <c r="G883" s="55"/>
      <c r="H883" s="55"/>
      <c r="I883" s="55"/>
      <c r="J883" s="55"/>
      <c r="K883" s="55"/>
      <c r="L883" s="55"/>
      <c r="M883" s="55"/>
      <c r="N883" s="55"/>
      <c r="O883" s="55"/>
      <c r="P883" s="55"/>
      <c r="Q883" s="56"/>
      <c r="R883" s="56"/>
      <c r="S883" s="56"/>
      <c r="T883" s="56"/>
      <c r="U883" s="56"/>
      <c r="V883" s="56"/>
      <c r="W883" s="56"/>
      <c r="X883" s="56"/>
      <c r="Y883" s="56"/>
      <c r="Z883" s="59"/>
    </row>
    <row r="884">
      <c r="A884" s="55"/>
      <c r="B884" s="55"/>
      <c r="C884" s="55"/>
      <c r="D884" s="55"/>
      <c r="E884" s="55"/>
      <c r="F884" s="55"/>
      <c r="G884" s="55"/>
      <c r="H884" s="55"/>
      <c r="I884" s="55"/>
      <c r="J884" s="55"/>
      <c r="K884" s="55"/>
      <c r="L884" s="55"/>
      <c r="M884" s="55"/>
      <c r="N884" s="55"/>
      <c r="O884" s="55"/>
      <c r="P884" s="55"/>
      <c r="Q884" s="56"/>
      <c r="R884" s="56"/>
      <c r="S884" s="56"/>
      <c r="T884" s="56"/>
      <c r="U884" s="56"/>
      <c r="V884" s="56"/>
      <c r="W884" s="56"/>
      <c r="X884" s="56"/>
      <c r="Y884" s="56"/>
      <c r="Z884" s="59"/>
    </row>
    <row r="885">
      <c r="A885" s="55"/>
      <c r="B885" s="55"/>
      <c r="C885" s="55"/>
      <c r="D885" s="55"/>
      <c r="E885" s="55"/>
      <c r="F885" s="55"/>
      <c r="G885" s="55"/>
      <c r="H885" s="55"/>
      <c r="I885" s="55"/>
      <c r="J885" s="55"/>
      <c r="K885" s="55"/>
      <c r="L885" s="55"/>
      <c r="M885" s="55"/>
      <c r="N885" s="55"/>
      <c r="O885" s="55"/>
      <c r="P885" s="55"/>
      <c r="Q885" s="56"/>
      <c r="R885" s="56"/>
      <c r="S885" s="56"/>
      <c r="T885" s="56"/>
      <c r="U885" s="56"/>
      <c r="V885" s="56"/>
      <c r="W885" s="56"/>
      <c r="X885" s="56"/>
      <c r="Y885" s="56"/>
      <c r="Z885" s="59"/>
    </row>
    <row r="886">
      <c r="A886" s="55"/>
      <c r="B886" s="55"/>
      <c r="C886" s="55"/>
      <c r="D886" s="55"/>
      <c r="E886" s="55"/>
      <c r="F886" s="55"/>
      <c r="G886" s="55"/>
      <c r="H886" s="55"/>
      <c r="I886" s="55"/>
      <c r="J886" s="55"/>
      <c r="K886" s="55"/>
      <c r="L886" s="55"/>
      <c r="M886" s="55"/>
      <c r="N886" s="55"/>
      <c r="O886" s="55"/>
      <c r="P886" s="55"/>
      <c r="Q886" s="56"/>
      <c r="R886" s="56"/>
      <c r="S886" s="56"/>
      <c r="T886" s="56"/>
      <c r="U886" s="56"/>
      <c r="V886" s="56"/>
      <c r="W886" s="56"/>
      <c r="X886" s="56"/>
      <c r="Y886" s="56"/>
      <c r="Z886" s="59"/>
    </row>
    <row r="887">
      <c r="A887" s="55"/>
      <c r="B887" s="55"/>
      <c r="C887" s="55"/>
      <c r="D887" s="55"/>
      <c r="E887" s="55"/>
      <c r="F887" s="55"/>
      <c r="G887" s="55"/>
      <c r="H887" s="55"/>
      <c r="I887" s="55"/>
      <c r="J887" s="55"/>
      <c r="K887" s="55"/>
      <c r="L887" s="55"/>
      <c r="M887" s="55"/>
      <c r="N887" s="55"/>
      <c r="O887" s="55"/>
      <c r="P887" s="55"/>
      <c r="Q887" s="56"/>
      <c r="R887" s="56"/>
      <c r="S887" s="56"/>
      <c r="T887" s="56"/>
      <c r="U887" s="56"/>
      <c r="V887" s="56"/>
      <c r="W887" s="56"/>
      <c r="X887" s="56"/>
      <c r="Y887" s="56"/>
      <c r="Z887" s="59"/>
    </row>
    <row r="888">
      <c r="A888" s="55"/>
      <c r="B888" s="55"/>
      <c r="C888" s="55"/>
      <c r="D888" s="55"/>
      <c r="E888" s="55"/>
      <c r="F888" s="55"/>
      <c r="G888" s="55"/>
      <c r="H888" s="55"/>
      <c r="I888" s="55"/>
      <c r="J888" s="55"/>
      <c r="K888" s="55"/>
      <c r="L888" s="55"/>
      <c r="M888" s="55"/>
      <c r="N888" s="55"/>
      <c r="O888" s="55"/>
      <c r="P888" s="55"/>
      <c r="Q888" s="56"/>
      <c r="R888" s="56"/>
      <c r="S888" s="56"/>
      <c r="T888" s="56"/>
      <c r="U888" s="56"/>
      <c r="V888" s="56"/>
      <c r="W888" s="56"/>
      <c r="X888" s="56"/>
      <c r="Y888" s="56"/>
      <c r="Z888" s="59"/>
    </row>
    <row r="889">
      <c r="A889" s="55"/>
      <c r="B889" s="55"/>
      <c r="C889" s="55"/>
      <c r="D889" s="55"/>
      <c r="E889" s="55"/>
      <c r="F889" s="55"/>
      <c r="G889" s="55"/>
      <c r="H889" s="55"/>
      <c r="I889" s="55"/>
      <c r="J889" s="55"/>
      <c r="K889" s="55"/>
      <c r="L889" s="55"/>
      <c r="M889" s="55"/>
      <c r="N889" s="55"/>
      <c r="O889" s="55"/>
      <c r="P889" s="55"/>
      <c r="Q889" s="56"/>
      <c r="R889" s="56"/>
      <c r="S889" s="56"/>
      <c r="T889" s="56"/>
      <c r="U889" s="56"/>
      <c r="V889" s="56"/>
      <c r="W889" s="56"/>
      <c r="X889" s="56"/>
      <c r="Y889" s="56"/>
      <c r="Z889" s="59"/>
    </row>
    <row r="890">
      <c r="A890" s="55"/>
      <c r="B890" s="55"/>
      <c r="C890" s="55"/>
      <c r="D890" s="55"/>
      <c r="E890" s="55"/>
      <c r="F890" s="55"/>
      <c r="G890" s="55"/>
      <c r="H890" s="55"/>
      <c r="I890" s="55"/>
      <c r="J890" s="55"/>
      <c r="K890" s="55"/>
      <c r="L890" s="55"/>
      <c r="M890" s="55"/>
      <c r="N890" s="55"/>
      <c r="O890" s="55"/>
      <c r="P890" s="55"/>
      <c r="Q890" s="56"/>
      <c r="R890" s="56"/>
      <c r="S890" s="56"/>
      <c r="T890" s="56"/>
      <c r="U890" s="56"/>
      <c r="V890" s="56"/>
      <c r="W890" s="56"/>
      <c r="X890" s="56"/>
      <c r="Y890" s="56"/>
      <c r="Z890" s="59"/>
    </row>
    <row r="891">
      <c r="A891" s="55"/>
      <c r="B891" s="55"/>
      <c r="C891" s="55"/>
      <c r="D891" s="55"/>
      <c r="E891" s="55"/>
      <c r="F891" s="55"/>
      <c r="G891" s="55"/>
      <c r="H891" s="55"/>
      <c r="I891" s="55"/>
      <c r="J891" s="55"/>
      <c r="K891" s="55"/>
      <c r="L891" s="55"/>
      <c r="M891" s="55"/>
      <c r="N891" s="55"/>
      <c r="O891" s="55"/>
      <c r="P891" s="55"/>
      <c r="Q891" s="56"/>
      <c r="R891" s="56"/>
      <c r="S891" s="56"/>
      <c r="T891" s="56"/>
      <c r="U891" s="56"/>
      <c r="V891" s="56"/>
      <c r="W891" s="56"/>
      <c r="X891" s="56"/>
      <c r="Y891" s="56"/>
      <c r="Z891" s="59"/>
    </row>
    <row r="892">
      <c r="A892" s="55"/>
      <c r="B892" s="55"/>
      <c r="C892" s="55"/>
      <c r="D892" s="55"/>
      <c r="E892" s="55"/>
      <c r="F892" s="55"/>
      <c r="G892" s="55"/>
      <c r="H892" s="55"/>
      <c r="I892" s="55"/>
      <c r="J892" s="55"/>
      <c r="K892" s="55"/>
      <c r="L892" s="55"/>
      <c r="M892" s="55"/>
      <c r="N892" s="55"/>
      <c r="O892" s="55"/>
      <c r="P892" s="55"/>
      <c r="Q892" s="56"/>
      <c r="R892" s="56"/>
      <c r="S892" s="56"/>
      <c r="T892" s="56"/>
      <c r="U892" s="56"/>
      <c r="V892" s="56"/>
      <c r="W892" s="56"/>
      <c r="X892" s="56"/>
      <c r="Y892" s="56"/>
      <c r="Z892" s="59"/>
    </row>
    <row r="893">
      <c r="A893" s="55"/>
      <c r="B893" s="55"/>
      <c r="C893" s="55"/>
      <c r="D893" s="55"/>
      <c r="E893" s="55"/>
      <c r="F893" s="55"/>
      <c r="G893" s="55"/>
      <c r="H893" s="55"/>
      <c r="I893" s="55"/>
      <c r="J893" s="55"/>
      <c r="K893" s="55"/>
      <c r="L893" s="55"/>
      <c r="M893" s="55"/>
      <c r="N893" s="55"/>
      <c r="O893" s="55"/>
      <c r="P893" s="55"/>
      <c r="Q893" s="56"/>
      <c r="R893" s="56"/>
      <c r="S893" s="56"/>
      <c r="T893" s="56"/>
      <c r="U893" s="56"/>
      <c r="V893" s="56"/>
      <c r="W893" s="56"/>
      <c r="X893" s="56"/>
      <c r="Y893" s="56"/>
      <c r="Z893" s="59"/>
    </row>
    <row r="894">
      <c r="A894" s="55"/>
      <c r="B894" s="55"/>
      <c r="C894" s="55"/>
      <c r="D894" s="55"/>
      <c r="E894" s="55"/>
      <c r="F894" s="55"/>
      <c r="G894" s="55"/>
      <c r="H894" s="55"/>
      <c r="I894" s="55"/>
      <c r="J894" s="55"/>
      <c r="K894" s="55"/>
      <c r="L894" s="55"/>
      <c r="M894" s="55"/>
      <c r="N894" s="55"/>
      <c r="O894" s="55"/>
      <c r="P894" s="55"/>
      <c r="Q894" s="56"/>
      <c r="R894" s="56"/>
      <c r="S894" s="56"/>
      <c r="T894" s="56"/>
      <c r="U894" s="56"/>
      <c r="V894" s="56"/>
      <c r="W894" s="56"/>
      <c r="X894" s="56"/>
      <c r="Y894" s="56"/>
      <c r="Z894" s="59"/>
    </row>
    <row r="895">
      <c r="A895" s="55"/>
      <c r="B895" s="55"/>
      <c r="C895" s="55"/>
      <c r="D895" s="55"/>
      <c r="E895" s="55"/>
      <c r="F895" s="55"/>
      <c r="G895" s="55"/>
      <c r="H895" s="55"/>
      <c r="I895" s="55"/>
      <c r="J895" s="55"/>
      <c r="K895" s="55"/>
      <c r="L895" s="55"/>
      <c r="M895" s="55"/>
      <c r="N895" s="55"/>
      <c r="O895" s="55"/>
      <c r="P895" s="55"/>
      <c r="Q895" s="56"/>
      <c r="R895" s="56"/>
      <c r="S895" s="56"/>
      <c r="T895" s="56"/>
      <c r="U895" s="56"/>
      <c r="V895" s="56"/>
      <c r="W895" s="56"/>
      <c r="X895" s="56"/>
      <c r="Y895" s="56"/>
      <c r="Z895" s="59"/>
    </row>
    <row r="896">
      <c r="A896" s="55"/>
      <c r="B896" s="55"/>
      <c r="C896" s="55"/>
      <c r="D896" s="55"/>
      <c r="E896" s="55"/>
      <c r="F896" s="55"/>
      <c r="G896" s="55"/>
      <c r="H896" s="55"/>
      <c r="I896" s="55"/>
      <c r="J896" s="55"/>
      <c r="K896" s="55"/>
      <c r="L896" s="55"/>
      <c r="M896" s="55"/>
      <c r="N896" s="55"/>
      <c r="O896" s="55"/>
      <c r="P896" s="55"/>
      <c r="Q896" s="56"/>
      <c r="R896" s="56"/>
      <c r="S896" s="56"/>
      <c r="T896" s="56"/>
      <c r="U896" s="56"/>
      <c r="V896" s="56"/>
      <c r="W896" s="56"/>
      <c r="X896" s="56"/>
      <c r="Y896" s="56"/>
      <c r="Z896" s="59"/>
    </row>
    <row r="897">
      <c r="A897" s="55"/>
      <c r="B897" s="55"/>
      <c r="C897" s="55"/>
      <c r="D897" s="55"/>
      <c r="E897" s="55"/>
      <c r="F897" s="55"/>
      <c r="G897" s="55"/>
      <c r="H897" s="55"/>
      <c r="I897" s="55"/>
      <c r="J897" s="55"/>
      <c r="K897" s="55"/>
      <c r="L897" s="55"/>
      <c r="M897" s="55"/>
      <c r="N897" s="55"/>
      <c r="O897" s="55"/>
      <c r="P897" s="55"/>
      <c r="Q897" s="56"/>
      <c r="R897" s="56"/>
      <c r="S897" s="56"/>
      <c r="T897" s="56"/>
      <c r="U897" s="56"/>
      <c r="V897" s="56"/>
      <c r="W897" s="56"/>
      <c r="X897" s="56"/>
      <c r="Y897" s="56"/>
      <c r="Z897" s="59"/>
    </row>
    <row r="898">
      <c r="A898" s="55"/>
      <c r="B898" s="55"/>
      <c r="C898" s="55"/>
      <c r="D898" s="55"/>
      <c r="E898" s="55"/>
      <c r="F898" s="55"/>
      <c r="G898" s="55"/>
      <c r="H898" s="55"/>
      <c r="I898" s="55"/>
      <c r="J898" s="55"/>
      <c r="K898" s="55"/>
      <c r="L898" s="55"/>
      <c r="M898" s="55"/>
      <c r="N898" s="55"/>
      <c r="O898" s="55"/>
      <c r="P898" s="55"/>
      <c r="Q898" s="56"/>
      <c r="R898" s="56"/>
      <c r="S898" s="56"/>
      <c r="T898" s="56"/>
      <c r="U898" s="56"/>
      <c r="V898" s="56"/>
      <c r="W898" s="56"/>
      <c r="X898" s="56"/>
      <c r="Y898" s="56"/>
      <c r="Z898" s="59"/>
    </row>
    <row r="899">
      <c r="A899" s="55"/>
      <c r="B899" s="55"/>
      <c r="C899" s="55"/>
      <c r="D899" s="55"/>
      <c r="E899" s="55"/>
      <c r="F899" s="55"/>
      <c r="G899" s="55"/>
      <c r="H899" s="55"/>
      <c r="I899" s="55"/>
      <c r="J899" s="55"/>
      <c r="K899" s="55"/>
      <c r="L899" s="55"/>
      <c r="M899" s="55"/>
      <c r="N899" s="55"/>
      <c r="O899" s="55"/>
      <c r="P899" s="55"/>
      <c r="Q899" s="56"/>
      <c r="R899" s="56"/>
      <c r="S899" s="56"/>
      <c r="T899" s="56"/>
      <c r="U899" s="56"/>
      <c r="V899" s="56"/>
      <c r="W899" s="56"/>
      <c r="X899" s="56"/>
      <c r="Y899" s="56"/>
      <c r="Z899" s="59"/>
    </row>
    <row r="900">
      <c r="A900" s="55"/>
      <c r="B900" s="55"/>
      <c r="C900" s="55"/>
      <c r="D900" s="55"/>
      <c r="E900" s="55"/>
      <c r="F900" s="55"/>
      <c r="G900" s="55"/>
      <c r="H900" s="55"/>
      <c r="I900" s="55"/>
      <c r="J900" s="55"/>
      <c r="K900" s="55"/>
      <c r="L900" s="55"/>
      <c r="M900" s="55"/>
      <c r="N900" s="55"/>
      <c r="O900" s="55"/>
      <c r="P900" s="55"/>
      <c r="Q900" s="56"/>
      <c r="R900" s="56"/>
      <c r="S900" s="56"/>
      <c r="T900" s="56"/>
      <c r="U900" s="56"/>
      <c r="V900" s="56"/>
      <c r="W900" s="56"/>
      <c r="X900" s="56"/>
      <c r="Y900" s="56"/>
      <c r="Z900" s="59"/>
    </row>
    <row r="901">
      <c r="A901" s="55"/>
      <c r="B901" s="55"/>
      <c r="C901" s="55"/>
      <c r="D901" s="55"/>
      <c r="E901" s="55"/>
      <c r="F901" s="55"/>
      <c r="G901" s="55"/>
      <c r="H901" s="55"/>
      <c r="I901" s="55"/>
      <c r="J901" s="55"/>
      <c r="K901" s="55"/>
      <c r="L901" s="55"/>
      <c r="M901" s="55"/>
      <c r="N901" s="55"/>
      <c r="O901" s="55"/>
      <c r="P901" s="55"/>
      <c r="Q901" s="56"/>
      <c r="R901" s="56"/>
      <c r="S901" s="56"/>
      <c r="T901" s="56"/>
      <c r="U901" s="56"/>
      <c r="V901" s="56"/>
      <c r="W901" s="56"/>
      <c r="X901" s="56"/>
      <c r="Y901" s="56"/>
      <c r="Z901" s="59"/>
    </row>
    <row r="902">
      <c r="A902" s="55"/>
      <c r="B902" s="55"/>
      <c r="C902" s="55"/>
      <c r="D902" s="55"/>
      <c r="E902" s="55"/>
      <c r="F902" s="55"/>
      <c r="G902" s="55"/>
      <c r="H902" s="55"/>
      <c r="I902" s="55"/>
      <c r="J902" s="55"/>
      <c r="K902" s="55"/>
      <c r="L902" s="55"/>
      <c r="M902" s="55"/>
      <c r="N902" s="55"/>
      <c r="O902" s="55"/>
      <c r="P902" s="55"/>
      <c r="Q902" s="56"/>
      <c r="R902" s="56"/>
      <c r="S902" s="56"/>
      <c r="T902" s="56"/>
      <c r="U902" s="56"/>
      <c r="V902" s="56"/>
      <c r="W902" s="56"/>
      <c r="X902" s="56"/>
      <c r="Y902" s="56"/>
      <c r="Z902" s="59"/>
    </row>
    <row r="903">
      <c r="A903" s="55"/>
      <c r="B903" s="55"/>
      <c r="C903" s="55"/>
      <c r="D903" s="55"/>
      <c r="E903" s="55"/>
      <c r="F903" s="55"/>
      <c r="G903" s="55"/>
      <c r="H903" s="55"/>
      <c r="I903" s="55"/>
      <c r="J903" s="55"/>
      <c r="K903" s="55"/>
      <c r="L903" s="55"/>
      <c r="M903" s="55"/>
      <c r="N903" s="55"/>
      <c r="O903" s="55"/>
      <c r="P903" s="55"/>
      <c r="Q903" s="56"/>
      <c r="R903" s="56"/>
      <c r="S903" s="56"/>
      <c r="T903" s="56"/>
      <c r="U903" s="56"/>
      <c r="V903" s="56"/>
      <c r="W903" s="56"/>
      <c r="X903" s="56"/>
      <c r="Y903" s="56"/>
      <c r="Z903" s="59"/>
    </row>
    <row r="904">
      <c r="A904" s="55"/>
      <c r="B904" s="55"/>
      <c r="C904" s="55"/>
      <c r="D904" s="55"/>
      <c r="E904" s="55"/>
      <c r="F904" s="55"/>
      <c r="G904" s="55"/>
      <c r="H904" s="55"/>
      <c r="I904" s="55"/>
      <c r="J904" s="55"/>
      <c r="K904" s="55"/>
      <c r="L904" s="55"/>
      <c r="M904" s="55"/>
      <c r="N904" s="55"/>
      <c r="O904" s="55"/>
      <c r="P904" s="55"/>
      <c r="Q904" s="56"/>
      <c r="R904" s="56"/>
      <c r="S904" s="56"/>
      <c r="T904" s="56"/>
      <c r="U904" s="56"/>
      <c r="V904" s="56"/>
      <c r="W904" s="56"/>
      <c r="X904" s="56"/>
      <c r="Y904" s="56"/>
      <c r="Z904" s="59"/>
    </row>
    <row r="905">
      <c r="A905" s="55"/>
      <c r="B905" s="55"/>
      <c r="C905" s="55"/>
      <c r="D905" s="55"/>
      <c r="E905" s="55"/>
      <c r="F905" s="55"/>
      <c r="G905" s="55"/>
      <c r="H905" s="55"/>
      <c r="I905" s="55"/>
      <c r="J905" s="55"/>
      <c r="K905" s="55"/>
      <c r="L905" s="55"/>
      <c r="M905" s="55"/>
      <c r="N905" s="55"/>
      <c r="O905" s="55"/>
      <c r="P905" s="55"/>
      <c r="Q905" s="56"/>
      <c r="R905" s="56"/>
      <c r="S905" s="56"/>
      <c r="T905" s="56"/>
      <c r="U905" s="56"/>
      <c r="V905" s="56"/>
      <c r="W905" s="56"/>
      <c r="X905" s="56"/>
      <c r="Y905" s="56"/>
      <c r="Z905" s="59"/>
    </row>
    <row r="906">
      <c r="A906" s="55"/>
      <c r="B906" s="55"/>
      <c r="C906" s="55"/>
      <c r="D906" s="55"/>
      <c r="E906" s="55"/>
      <c r="F906" s="55"/>
      <c r="G906" s="55"/>
      <c r="H906" s="55"/>
      <c r="I906" s="55"/>
      <c r="J906" s="55"/>
      <c r="K906" s="55"/>
      <c r="L906" s="55"/>
      <c r="M906" s="55"/>
      <c r="N906" s="55"/>
      <c r="O906" s="55"/>
      <c r="P906" s="55"/>
      <c r="Q906" s="56"/>
      <c r="R906" s="56"/>
      <c r="S906" s="56"/>
      <c r="T906" s="56"/>
      <c r="U906" s="56"/>
      <c r="V906" s="56"/>
      <c r="W906" s="56"/>
      <c r="X906" s="56"/>
      <c r="Y906" s="56"/>
      <c r="Z906" s="59"/>
    </row>
    <row r="907">
      <c r="A907" s="55"/>
      <c r="B907" s="55"/>
      <c r="C907" s="55"/>
      <c r="D907" s="55"/>
      <c r="E907" s="55"/>
      <c r="F907" s="55"/>
      <c r="G907" s="55"/>
      <c r="H907" s="55"/>
      <c r="I907" s="55"/>
      <c r="J907" s="55"/>
      <c r="K907" s="55"/>
      <c r="L907" s="55"/>
      <c r="M907" s="55"/>
      <c r="N907" s="55"/>
      <c r="O907" s="55"/>
      <c r="P907" s="55"/>
      <c r="Q907" s="56"/>
      <c r="R907" s="56"/>
      <c r="S907" s="56"/>
      <c r="T907" s="56"/>
      <c r="U907" s="56"/>
      <c r="V907" s="56"/>
      <c r="W907" s="56"/>
      <c r="X907" s="56"/>
      <c r="Y907" s="56"/>
      <c r="Z907" s="59"/>
    </row>
    <row r="908">
      <c r="A908" s="55"/>
      <c r="B908" s="55"/>
      <c r="C908" s="55"/>
      <c r="D908" s="55"/>
      <c r="E908" s="55"/>
      <c r="F908" s="55"/>
      <c r="G908" s="55"/>
      <c r="H908" s="55"/>
      <c r="I908" s="55"/>
      <c r="J908" s="55"/>
      <c r="K908" s="55"/>
      <c r="L908" s="55"/>
      <c r="M908" s="55"/>
      <c r="N908" s="55"/>
      <c r="O908" s="55"/>
      <c r="P908" s="55"/>
      <c r="Q908" s="56"/>
      <c r="R908" s="56"/>
      <c r="S908" s="56"/>
      <c r="T908" s="56"/>
      <c r="U908" s="56"/>
      <c r="V908" s="56"/>
      <c r="W908" s="56"/>
      <c r="X908" s="56"/>
      <c r="Y908" s="56"/>
      <c r="Z908" s="59"/>
    </row>
    <row r="909">
      <c r="A909" s="55"/>
      <c r="B909" s="55"/>
      <c r="C909" s="55"/>
      <c r="D909" s="55"/>
      <c r="E909" s="55"/>
      <c r="F909" s="55"/>
      <c r="G909" s="55"/>
      <c r="H909" s="55"/>
      <c r="I909" s="55"/>
      <c r="J909" s="55"/>
      <c r="K909" s="55"/>
      <c r="L909" s="55"/>
      <c r="M909" s="55"/>
      <c r="N909" s="55"/>
      <c r="O909" s="55"/>
      <c r="P909" s="55"/>
      <c r="Q909" s="56"/>
      <c r="R909" s="56"/>
      <c r="S909" s="56"/>
      <c r="T909" s="56"/>
      <c r="U909" s="56"/>
      <c r="V909" s="56"/>
      <c r="W909" s="56"/>
      <c r="X909" s="56"/>
      <c r="Y909" s="56"/>
      <c r="Z909" s="59"/>
    </row>
    <row r="910">
      <c r="A910" s="55"/>
      <c r="B910" s="55"/>
      <c r="C910" s="55"/>
      <c r="D910" s="55"/>
      <c r="E910" s="55"/>
      <c r="F910" s="55"/>
      <c r="G910" s="55"/>
      <c r="H910" s="55"/>
      <c r="I910" s="55"/>
      <c r="J910" s="55"/>
      <c r="K910" s="55"/>
      <c r="L910" s="55"/>
      <c r="M910" s="55"/>
      <c r="N910" s="55"/>
      <c r="O910" s="55"/>
      <c r="P910" s="55"/>
      <c r="Q910" s="56"/>
      <c r="R910" s="56"/>
      <c r="S910" s="56"/>
      <c r="T910" s="56"/>
      <c r="U910" s="56"/>
      <c r="V910" s="56"/>
      <c r="W910" s="56"/>
      <c r="X910" s="56"/>
      <c r="Y910" s="56"/>
      <c r="Z910" s="59"/>
    </row>
    <row r="911">
      <c r="A911" s="55"/>
      <c r="B911" s="55"/>
      <c r="C911" s="55"/>
      <c r="D911" s="55"/>
      <c r="E911" s="55"/>
      <c r="F911" s="55"/>
      <c r="G911" s="55"/>
      <c r="H911" s="55"/>
      <c r="I911" s="55"/>
      <c r="J911" s="55"/>
      <c r="K911" s="55"/>
      <c r="L911" s="55"/>
      <c r="M911" s="55"/>
      <c r="N911" s="55"/>
      <c r="O911" s="55"/>
      <c r="P911" s="55"/>
      <c r="Q911" s="56"/>
      <c r="R911" s="56"/>
      <c r="S911" s="56"/>
      <c r="T911" s="56"/>
      <c r="U911" s="56"/>
      <c r="V911" s="56"/>
      <c r="W911" s="56"/>
      <c r="X911" s="56"/>
      <c r="Y911" s="56"/>
      <c r="Z911" s="59"/>
    </row>
    <row r="912">
      <c r="A912" s="55"/>
      <c r="B912" s="55"/>
      <c r="C912" s="55"/>
      <c r="D912" s="55"/>
      <c r="E912" s="55"/>
      <c r="F912" s="55"/>
      <c r="G912" s="55"/>
      <c r="H912" s="55"/>
      <c r="I912" s="55"/>
      <c r="J912" s="55"/>
      <c r="K912" s="55"/>
      <c r="L912" s="55"/>
      <c r="M912" s="55"/>
      <c r="N912" s="55"/>
      <c r="O912" s="55"/>
      <c r="P912" s="55"/>
      <c r="Q912" s="56"/>
      <c r="R912" s="56"/>
      <c r="S912" s="56"/>
      <c r="T912" s="56"/>
      <c r="U912" s="56"/>
      <c r="V912" s="56"/>
      <c r="W912" s="56"/>
      <c r="X912" s="56"/>
      <c r="Y912" s="56"/>
      <c r="Z912" s="59"/>
    </row>
    <row r="913">
      <c r="A913" s="55"/>
      <c r="B913" s="55"/>
      <c r="C913" s="55"/>
      <c r="D913" s="55"/>
      <c r="E913" s="55"/>
      <c r="F913" s="55"/>
      <c r="G913" s="55"/>
      <c r="H913" s="55"/>
      <c r="I913" s="55"/>
      <c r="J913" s="55"/>
      <c r="K913" s="55"/>
      <c r="L913" s="55"/>
      <c r="M913" s="55"/>
      <c r="N913" s="55"/>
      <c r="O913" s="55"/>
      <c r="P913" s="55"/>
      <c r="Q913" s="56"/>
      <c r="R913" s="56"/>
      <c r="S913" s="56"/>
      <c r="T913" s="56"/>
      <c r="U913" s="56"/>
      <c r="V913" s="56"/>
      <c r="W913" s="56"/>
      <c r="X913" s="56"/>
      <c r="Y913" s="56"/>
      <c r="Z913" s="59"/>
    </row>
    <row r="914">
      <c r="A914" s="55"/>
      <c r="B914" s="55"/>
      <c r="C914" s="55"/>
      <c r="D914" s="55"/>
      <c r="E914" s="55"/>
      <c r="F914" s="55"/>
      <c r="G914" s="55"/>
      <c r="H914" s="55"/>
      <c r="I914" s="55"/>
      <c r="J914" s="55"/>
      <c r="K914" s="55"/>
      <c r="L914" s="55"/>
      <c r="M914" s="55"/>
      <c r="N914" s="55"/>
      <c r="O914" s="55"/>
      <c r="P914" s="55"/>
      <c r="Q914" s="56"/>
      <c r="R914" s="56"/>
      <c r="S914" s="56"/>
      <c r="T914" s="56"/>
      <c r="U914" s="56"/>
      <c r="V914" s="56"/>
      <c r="W914" s="56"/>
      <c r="X914" s="56"/>
      <c r="Y914" s="56"/>
      <c r="Z914" s="59"/>
    </row>
    <row r="915">
      <c r="A915" s="55"/>
      <c r="B915" s="55"/>
      <c r="C915" s="55"/>
      <c r="D915" s="55"/>
      <c r="E915" s="55"/>
      <c r="F915" s="55"/>
      <c r="G915" s="55"/>
      <c r="H915" s="55"/>
      <c r="I915" s="55"/>
      <c r="J915" s="55"/>
      <c r="K915" s="55"/>
      <c r="L915" s="55"/>
      <c r="M915" s="55"/>
      <c r="N915" s="55"/>
      <c r="O915" s="55"/>
      <c r="P915" s="55"/>
      <c r="Q915" s="56"/>
      <c r="R915" s="56"/>
      <c r="S915" s="56"/>
      <c r="T915" s="56"/>
      <c r="U915" s="56"/>
      <c r="V915" s="56"/>
      <c r="W915" s="56"/>
      <c r="X915" s="56"/>
      <c r="Y915" s="56"/>
      <c r="Z915" s="59"/>
    </row>
    <row r="916">
      <c r="A916" s="55"/>
      <c r="B916" s="55"/>
      <c r="C916" s="55"/>
      <c r="D916" s="55"/>
      <c r="E916" s="55"/>
      <c r="F916" s="55"/>
      <c r="G916" s="55"/>
      <c r="H916" s="55"/>
      <c r="I916" s="55"/>
      <c r="J916" s="55"/>
      <c r="K916" s="55"/>
      <c r="L916" s="55"/>
      <c r="M916" s="55"/>
      <c r="N916" s="55"/>
      <c r="O916" s="55"/>
      <c r="P916" s="55"/>
      <c r="Q916" s="56"/>
      <c r="R916" s="56"/>
      <c r="S916" s="56"/>
      <c r="T916" s="56"/>
      <c r="U916" s="56"/>
      <c r="V916" s="56"/>
      <c r="W916" s="56"/>
      <c r="X916" s="56"/>
      <c r="Y916" s="56"/>
      <c r="Z916" s="59"/>
    </row>
    <row r="917">
      <c r="A917" s="55"/>
      <c r="B917" s="55"/>
      <c r="C917" s="55"/>
      <c r="D917" s="55"/>
      <c r="E917" s="55"/>
      <c r="F917" s="55"/>
      <c r="G917" s="55"/>
      <c r="H917" s="55"/>
      <c r="I917" s="55"/>
      <c r="J917" s="55"/>
      <c r="K917" s="55"/>
      <c r="L917" s="55"/>
      <c r="M917" s="55"/>
      <c r="N917" s="55"/>
      <c r="O917" s="55"/>
      <c r="P917" s="55"/>
      <c r="Q917" s="56"/>
      <c r="R917" s="56"/>
      <c r="S917" s="56"/>
      <c r="T917" s="56"/>
      <c r="U917" s="56"/>
      <c r="V917" s="56"/>
      <c r="W917" s="56"/>
      <c r="X917" s="56"/>
      <c r="Y917" s="56"/>
      <c r="Z917" s="59"/>
    </row>
    <row r="918">
      <c r="A918" s="55"/>
      <c r="B918" s="55"/>
      <c r="C918" s="55"/>
      <c r="D918" s="55"/>
      <c r="E918" s="55"/>
      <c r="F918" s="55"/>
      <c r="G918" s="55"/>
      <c r="H918" s="55"/>
      <c r="I918" s="55"/>
      <c r="J918" s="55"/>
      <c r="K918" s="55"/>
      <c r="L918" s="55"/>
      <c r="M918" s="55"/>
      <c r="N918" s="55"/>
      <c r="O918" s="55"/>
      <c r="P918" s="55"/>
      <c r="Q918" s="56"/>
      <c r="R918" s="56"/>
      <c r="S918" s="56"/>
      <c r="T918" s="56"/>
      <c r="U918" s="56"/>
      <c r="V918" s="56"/>
      <c r="W918" s="56"/>
      <c r="X918" s="56"/>
      <c r="Y918" s="56"/>
      <c r="Z918" s="59"/>
    </row>
    <row r="919">
      <c r="A919" s="55"/>
      <c r="B919" s="55"/>
      <c r="C919" s="55"/>
      <c r="D919" s="55"/>
      <c r="E919" s="55"/>
      <c r="F919" s="55"/>
      <c r="G919" s="55"/>
      <c r="H919" s="55"/>
      <c r="I919" s="55"/>
      <c r="J919" s="55"/>
      <c r="K919" s="55"/>
      <c r="L919" s="55"/>
      <c r="M919" s="55"/>
      <c r="N919" s="55"/>
      <c r="O919" s="55"/>
      <c r="P919" s="55"/>
      <c r="Q919" s="56"/>
      <c r="R919" s="56"/>
      <c r="S919" s="56"/>
      <c r="T919" s="56"/>
      <c r="U919" s="56"/>
      <c r="V919" s="56"/>
      <c r="W919" s="56"/>
      <c r="X919" s="56"/>
      <c r="Y919" s="56"/>
      <c r="Z919" s="59"/>
    </row>
    <row r="920">
      <c r="A920" s="55"/>
      <c r="B920" s="55"/>
      <c r="C920" s="55"/>
      <c r="D920" s="55"/>
      <c r="E920" s="55"/>
      <c r="F920" s="55"/>
      <c r="G920" s="55"/>
      <c r="H920" s="55"/>
      <c r="I920" s="55"/>
      <c r="J920" s="55"/>
      <c r="K920" s="55"/>
      <c r="L920" s="55"/>
      <c r="M920" s="55"/>
      <c r="N920" s="55"/>
      <c r="O920" s="55"/>
      <c r="P920" s="55"/>
      <c r="Q920" s="56"/>
      <c r="R920" s="56"/>
      <c r="S920" s="56"/>
      <c r="T920" s="56"/>
      <c r="U920" s="56"/>
      <c r="V920" s="56"/>
      <c r="W920" s="56"/>
      <c r="X920" s="56"/>
      <c r="Y920" s="56"/>
      <c r="Z920" s="59"/>
    </row>
    <row r="921">
      <c r="A921" s="55"/>
      <c r="B921" s="55"/>
      <c r="C921" s="55"/>
      <c r="D921" s="55"/>
      <c r="E921" s="55"/>
      <c r="F921" s="55"/>
      <c r="G921" s="55"/>
      <c r="H921" s="55"/>
      <c r="I921" s="55"/>
      <c r="J921" s="55"/>
      <c r="K921" s="55"/>
      <c r="L921" s="55"/>
      <c r="M921" s="55"/>
      <c r="N921" s="55"/>
      <c r="O921" s="55"/>
      <c r="P921" s="55"/>
      <c r="Q921" s="56"/>
      <c r="R921" s="56"/>
      <c r="S921" s="56"/>
      <c r="T921" s="56"/>
      <c r="U921" s="56"/>
      <c r="V921" s="56"/>
      <c r="W921" s="56"/>
      <c r="X921" s="56"/>
      <c r="Y921" s="56"/>
      <c r="Z921" s="59"/>
    </row>
    <row r="922">
      <c r="A922" s="55"/>
      <c r="B922" s="55"/>
      <c r="C922" s="55"/>
      <c r="D922" s="55"/>
      <c r="E922" s="55"/>
      <c r="F922" s="55"/>
      <c r="G922" s="55"/>
      <c r="H922" s="55"/>
      <c r="I922" s="55"/>
      <c r="J922" s="55"/>
      <c r="K922" s="55"/>
      <c r="L922" s="55"/>
      <c r="M922" s="55"/>
      <c r="N922" s="55"/>
      <c r="O922" s="55"/>
      <c r="P922" s="55"/>
      <c r="Q922" s="56"/>
      <c r="R922" s="56"/>
      <c r="S922" s="56"/>
      <c r="T922" s="56"/>
      <c r="U922" s="56"/>
      <c r="V922" s="56"/>
      <c r="W922" s="56"/>
      <c r="X922" s="56"/>
      <c r="Y922" s="56"/>
      <c r="Z922" s="59"/>
    </row>
    <row r="923">
      <c r="A923" s="55"/>
      <c r="B923" s="55"/>
      <c r="C923" s="55"/>
      <c r="D923" s="55"/>
      <c r="E923" s="55"/>
      <c r="F923" s="55"/>
      <c r="G923" s="55"/>
      <c r="H923" s="55"/>
      <c r="I923" s="55"/>
      <c r="J923" s="55"/>
      <c r="K923" s="55"/>
      <c r="L923" s="55"/>
      <c r="M923" s="55"/>
      <c r="N923" s="55"/>
      <c r="O923" s="55"/>
      <c r="P923" s="55"/>
      <c r="Q923" s="56"/>
      <c r="R923" s="56"/>
      <c r="S923" s="56"/>
      <c r="T923" s="56"/>
      <c r="U923" s="56"/>
      <c r="V923" s="56"/>
      <c r="W923" s="56"/>
      <c r="X923" s="56"/>
      <c r="Y923" s="56"/>
      <c r="Z923" s="59"/>
    </row>
    <row r="924">
      <c r="A924" s="55"/>
      <c r="B924" s="55"/>
      <c r="C924" s="55"/>
      <c r="D924" s="55"/>
      <c r="E924" s="55"/>
      <c r="F924" s="55"/>
      <c r="G924" s="55"/>
      <c r="H924" s="55"/>
      <c r="I924" s="55"/>
      <c r="J924" s="55"/>
      <c r="K924" s="55"/>
      <c r="L924" s="55"/>
      <c r="M924" s="55"/>
      <c r="N924" s="55"/>
      <c r="O924" s="55"/>
      <c r="P924" s="55"/>
      <c r="Q924" s="56"/>
      <c r="R924" s="56"/>
      <c r="S924" s="56"/>
      <c r="T924" s="56"/>
      <c r="U924" s="56"/>
      <c r="V924" s="56"/>
      <c r="W924" s="56"/>
      <c r="X924" s="56"/>
      <c r="Y924" s="56"/>
      <c r="Z924" s="59"/>
    </row>
    <row r="925">
      <c r="A925" s="55"/>
      <c r="B925" s="55"/>
      <c r="C925" s="55"/>
      <c r="D925" s="55"/>
      <c r="E925" s="55"/>
      <c r="F925" s="55"/>
      <c r="G925" s="55"/>
      <c r="H925" s="55"/>
      <c r="I925" s="55"/>
      <c r="J925" s="55"/>
      <c r="K925" s="55"/>
      <c r="L925" s="55"/>
      <c r="M925" s="55"/>
      <c r="N925" s="55"/>
      <c r="O925" s="55"/>
      <c r="P925" s="55"/>
      <c r="Q925" s="56"/>
      <c r="R925" s="56"/>
      <c r="S925" s="56"/>
      <c r="T925" s="56"/>
      <c r="U925" s="56"/>
      <c r="V925" s="56"/>
      <c r="W925" s="56"/>
      <c r="X925" s="56"/>
      <c r="Y925" s="56"/>
      <c r="Z925" s="59"/>
    </row>
    <row r="926">
      <c r="A926" s="55"/>
      <c r="B926" s="55"/>
      <c r="C926" s="55"/>
      <c r="D926" s="55"/>
      <c r="E926" s="55"/>
      <c r="F926" s="55"/>
      <c r="G926" s="55"/>
      <c r="H926" s="55"/>
      <c r="I926" s="55"/>
      <c r="J926" s="55"/>
      <c r="K926" s="55"/>
      <c r="L926" s="55"/>
      <c r="M926" s="55"/>
      <c r="N926" s="55"/>
      <c r="O926" s="55"/>
      <c r="P926" s="55"/>
      <c r="Q926" s="56"/>
      <c r="R926" s="56"/>
      <c r="S926" s="56"/>
      <c r="T926" s="56"/>
      <c r="U926" s="56"/>
      <c r="V926" s="56"/>
      <c r="W926" s="56"/>
      <c r="X926" s="56"/>
      <c r="Y926" s="56"/>
      <c r="Z926" s="59"/>
    </row>
    <row r="927">
      <c r="A927" s="55"/>
      <c r="B927" s="55"/>
      <c r="C927" s="55"/>
      <c r="D927" s="55"/>
      <c r="E927" s="55"/>
      <c r="F927" s="55"/>
      <c r="G927" s="55"/>
      <c r="H927" s="55"/>
      <c r="I927" s="55"/>
      <c r="J927" s="55"/>
      <c r="K927" s="55"/>
      <c r="L927" s="55"/>
      <c r="M927" s="55"/>
      <c r="N927" s="55"/>
      <c r="O927" s="55"/>
      <c r="P927" s="55"/>
      <c r="Q927" s="56"/>
      <c r="R927" s="56"/>
      <c r="S927" s="56"/>
      <c r="T927" s="56"/>
      <c r="U927" s="56"/>
      <c r="V927" s="56"/>
      <c r="W927" s="56"/>
      <c r="X927" s="56"/>
      <c r="Y927" s="56"/>
      <c r="Z927" s="59"/>
    </row>
    <row r="928">
      <c r="A928" s="55"/>
      <c r="B928" s="55"/>
      <c r="C928" s="55"/>
      <c r="D928" s="55"/>
      <c r="E928" s="55"/>
      <c r="F928" s="55"/>
      <c r="G928" s="55"/>
      <c r="H928" s="55"/>
      <c r="I928" s="55"/>
      <c r="J928" s="55"/>
      <c r="K928" s="55"/>
      <c r="L928" s="55"/>
      <c r="M928" s="55"/>
      <c r="N928" s="55"/>
      <c r="O928" s="55"/>
      <c r="P928" s="55"/>
      <c r="Q928" s="56"/>
      <c r="R928" s="56"/>
      <c r="S928" s="56"/>
      <c r="T928" s="56"/>
      <c r="U928" s="56"/>
      <c r="V928" s="56"/>
      <c r="W928" s="56"/>
      <c r="X928" s="56"/>
      <c r="Y928" s="56"/>
      <c r="Z928" s="59"/>
    </row>
    <row r="929">
      <c r="A929" s="55"/>
      <c r="B929" s="55"/>
      <c r="C929" s="55"/>
      <c r="D929" s="55"/>
      <c r="E929" s="55"/>
      <c r="F929" s="55"/>
      <c r="G929" s="55"/>
      <c r="H929" s="55"/>
      <c r="I929" s="55"/>
      <c r="J929" s="55"/>
      <c r="K929" s="55"/>
      <c r="L929" s="55"/>
      <c r="M929" s="55"/>
      <c r="N929" s="55"/>
      <c r="O929" s="55"/>
      <c r="P929" s="55"/>
      <c r="Q929" s="56"/>
      <c r="R929" s="56"/>
      <c r="S929" s="56"/>
      <c r="T929" s="56"/>
      <c r="U929" s="56"/>
      <c r="V929" s="56"/>
      <c r="W929" s="56"/>
      <c r="X929" s="56"/>
      <c r="Y929" s="56"/>
      <c r="Z929" s="59"/>
    </row>
    <row r="930">
      <c r="A930" s="55"/>
      <c r="B930" s="55"/>
      <c r="C930" s="55"/>
      <c r="D930" s="55"/>
      <c r="E930" s="55"/>
      <c r="F930" s="55"/>
      <c r="G930" s="55"/>
      <c r="H930" s="55"/>
      <c r="I930" s="55"/>
      <c r="J930" s="55"/>
      <c r="K930" s="55"/>
      <c r="L930" s="55"/>
      <c r="M930" s="55"/>
      <c r="N930" s="55"/>
      <c r="O930" s="55"/>
      <c r="P930" s="55"/>
      <c r="Q930" s="56"/>
      <c r="R930" s="56"/>
      <c r="S930" s="56"/>
      <c r="T930" s="56"/>
      <c r="U930" s="56"/>
      <c r="V930" s="56"/>
      <c r="W930" s="56"/>
      <c r="X930" s="56"/>
      <c r="Y930" s="56"/>
      <c r="Z930" s="59"/>
    </row>
    <row r="931">
      <c r="A931" s="55"/>
      <c r="B931" s="55"/>
      <c r="C931" s="55"/>
      <c r="D931" s="55"/>
      <c r="E931" s="55"/>
      <c r="F931" s="55"/>
      <c r="G931" s="55"/>
      <c r="H931" s="55"/>
      <c r="I931" s="55"/>
      <c r="J931" s="55"/>
      <c r="K931" s="55"/>
      <c r="L931" s="55"/>
      <c r="M931" s="55"/>
      <c r="N931" s="55"/>
      <c r="O931" s="55"/>
      <c r="P931" s="55"/>
      <c r="Q931" s="56"/>
      <c r="R931" s="56"/>
      <c r="S931" s="56"/>
      <c r="T931" s="56"/>
      <c r="U931" s="56"/>
      <c r="V931" s="56"/>
      <c r="W931" s="56"/>
      <c r="X931" s="56"/>
      <c r="Y931" s="56"/>
      <c r="Z931" s="59"/>
    </row>
    <row r="932">
      <c r="A932" s="55"/>
      <c r="B932" s="55"/>
      <c r="C932" s="55"/>
      <c r="D932" s="55"/>
      <c r="E932" s="55"/>
      <c r="F932" s="55"/>
      <c r="G932" s="55"/>
      <c r="H932" s="55"/>
      <c r="I932" s="55"/>
      <c r="J932" s="55"/>
      <c r="K932" s="55"/>
      <c r="L932" s="55"/>
      <c r="M932" s="55"/>
      <c r="N932" s="55"/>
      <c r="O932" s="55"/>
      <c r="P932" s="55"/>
      <c r="Q932" s="56"/>
      <c r="R932" s="56"/>
      <c r="S932" s="56"/>
      <c r="T932" s="56"/>
      <c r="U932" s="56"/>
      <c r="V932" s="56"/>
      <c r="W932" s="56"/>
      <c r="X932" s="56"/>
      <c r="Y932" s="56"/>
      <c r="Z932" s="59"/>
    </row>
    <row r="933">
      <c r="A933" s="55"/>
      <c r="B933" s="55"/>
      <c r="C933" s="55"/>
      <c r="D933" s="55"/>
      <c r="E933" s="55"/>
      <c r="F933" s="55"/>
      <c r="G933" s="55"/>
      <c r="H933" s="55"/>
      <c r="I933" s="55"/>
      <c r="J933" s="55"/>
      <c r="K933" s="55"/>
      <c r="L933" s="55"/>
      <c r="M933" s="55"/>
      <c r="N933" s="55"/>
      <c r="O933" s="55"/>
      <c r="P933" s="55"/>
      <c r="Q933" s="56"/>
      <c r="R933" s="56"/>
      <c r="S933" s="56"/>
      <c r="T933" s="56"/>
      <c r="U933" s="56"/>
      <c r="V933" s="56"/>
      <c r="W933" s="56"/>
      <c r="X933" s="56"/>
      <c r="Y933" s="56"/>
      <c r="Z933" s="59"/>
    </row>
    <row r="934">
      <c r="A934" s="55"/>
      <c r="B934" s="55"/>
      <c r="C934" s="55"/>
      <c r="D934" s="55"/>
      <c r="E934" s="55"/>
      <c r="F934" s="55"/>
      <c r="G934" s="55"/>
      <c r="H934" s="55"/>
      <c r="I934" s="55"/>
      <c r="J934" s="55"/>
      <c r="K934" s="55"/>
      <c r="L934" s="55"/>
      <c r="M934" s="55"/>
      <c r="N934" s="55"/>
      <c r="O934" s="55"/>
      <c r="P934" s="55"/>
      <c r="Q934" s="56"/>
      <c r="R934" s="56"/>
      <c r="S934" s="56"/>
      <c r="T934" s="56"/>
      <c r="U934" s="56"/>
      <c r="V934" s="56"/>
      <c r="W934" s="56"/>
      <c r="X934" s="56"/>
      <c r="Y934" s="56"/>
      <c r="Z934" s="59"/>
    </row>
    <row r="935">
      <c r="A935" s="55"/>
      <c r="B935" s="55"/>
      <c r="C935" s="55"/>
      <c r="D935" s="55"/>
      <c r="E935" s="55"/>
      <c r="F935" s="55"/>
      <c r="G935" s="55"/>
      <c r="H935" s="55"/>
      <c r="I935" s="55"/>
      <c r="J935" s="55"/>
      <c r="K935" s="55"/>
      <c r="L935" s="55"/>
      <c r="M935" s="55"/>
      <c r="N935" s="55"/>
      <c r="O935" s="55"/>
      <c r="P935" s="55"/>
      <c r="Q935" s="56"/>
      <c r="R935" s="56"/>
      <c r="S935" s="56"/>
      <c r="T935" s="56"/>
      <c r="U935" s="56"/>
      <c r="V935" s="56"/>
      <c r="W935" s="56"/>
      <c r="X935" s="56"/>
      <c r="Y935" s="56"/>
      <c r="Z935" s="59"/>
    </row>
    <row r="936">
      <c r="A936" s="55"/>
      <c r="B936" s="55"/>
      <c r="C936" s="55"/>
      <c r="D936" s="55"/>
      <c r="E936" s="55"/>
      <c r="F936" s="55"/>
      <c r="G936" s="55"/>
      <c r="H936" s="55"/>
      <c r="I936" s="55"/>
      <c r="J936" s="55"/>
      <c r="K936" s="55"/>
      <c r="L936" s="55"/>
      <c r="M936" s="55"/>
      <c r="N936" s="55"/>
      <c r="O936" s="55"/>
      <c r="P936" s="55"/>
      <c r="Q936" s="56"/>
      <c r="R936" s="56"/>
      <c r="S936" s="56"/>
      <c r="T936" s="56"/>
      <c r="U936" s="56"/>
      <c r="V936" s="56"/>
      <c r="W936" s="56"/>
      <c r="X936" s="56"/>
      <c r="Y936" s="56"/>
      <c r="Z936" s="59"/>
    </row>
    <row r="937">
      <c r="A937" s="55"/>
      <c r="B937" s="55"/>
      <c r="C937" s="55"/>
      <c r="D937" s="55"/>
      <c r="E937" s="55"/>
      <c r="F937" s="55"/>
      <c r="G937" s="55"/>
      <c r="H937" s="55"/>
      <c r="I937" s="55"/>
      <c r="J937" s="55"/>
      <c r="K937" s="55"/>
      <c r="L937" s="55"/>
      <c r="M937" s="55"/>
      <c r="N937" s="55"/>
      <c r="O937" s="55"/>
      <c r="P937" s="55"/>
      <c r="Q937" s="56"/>
      <c r="R937" s="56"/>
      <c r="S937" s="56"/>
      <c r="T937" s="56"/>
      <c r="U937" s="56"/>
      <c r="V937" s="56"/>
      <c r="W937" s="56"/>
      <c r="X937" s="56"/>
      <c r="Y937" s="56"/>
      <c r="Z937" s="59"/>
    </row>
    <row r="938">
      <c r="A938" s="55"/>
      <c r="B938" s="55"/>
      <c r="C938" s="55"/>
      <c r="D938" s="55"/>
      <c r="E938" s="55"/>
      <c r="F938" s="55"/>
      <c r="G938" s="55"/>
      <c r="H938" s="55"/>
      <c r="I938" s="55"/>
      <c r="J938" s="55"/>
      <c r="K938" s="55"/>
      <c r="L938" s="55"/>
      <c r="M938" s="55"/>
      <c r="N938" s="55"/>
      <c r="O938" s="55"/>
      <c r="P938" s="55"/>
      <c r="Q938" s="56"/>
      <c r="R938" s="56"/>
      <c r="S938" s="56"/>
      <c r="T938" s="56"/>
      <c r="U938" s="56"/>
      <c r="V938" s="56"/>
      <c r="W938" s="56"/>
      <c r="X938" s="56"/>
      <c r="Y938" s="56"/>
      <c r="Z938" s="59"/>
    </row>
    <row r="939">
      <c r="A939" s="55"/>
      <c r="B939" s="55"/>
      <c r="C939" s="55"/>
      <c r="D939" s="55"/>
      <c r="E939" s="55"/>
      <c r="F939" s="55"/>
      <c r="G939" s="55"/>
      <c r="H939" s="55"/>
      <c r="I939" s="55"/>
      <c r="J939" s="55"/>
      <c r="K939" s="55"/>
      <c r="L939" s="55"/>
      <c r="M939" s="55"/>
      <c r="N939" s="55"/>
      <c r="O939" s="55"/>
      <c r="P939" s="55"/>
      <c r="Q939" s="56"/>
      <c r="R939" s="56"/>
      <c r="S939" s="56"/>
      <c r="T939" s="56"/>
      <c r="U939" s="56"/>
      <c r="V939" s="56"/>
      <c r="W939" s="56"/>
      <c r="X939" s="56"/>
      <c r="Y939" s="56"/>
      <c r="Z939" s="59"/>
    </row>
    <row r="940">
      <c r="A940" s="55"/>
      <c r="B940" s="55"/>
      <c r="C940" s="55"/>
      <c r="D940" s="55"/>
      <c r="E940" s="55"/>
      <c r="F940" s="55"/>
      <c r="G940" s="55"/>
      <c r="H940" s="55"/>
      <c r="I940" s="55"/>
      <c r="J940" s="55"/>
      <c r="K940" s="55"/>
      <c r="L940" s="55"/>
      <c r="M940" s="55"/>
      <c r="N940" s="55"/>
      <c r="O940" s="55"/>
      <c r="P940" s="55"/>
      <c r="Q940" s="56"/>
      <c r="R940" s="56"/>
      <c r="S940" s="56"/>
      <c r="T940" s="56"/>
      <c r="U940" s="56"/>
      <c r="V940" s="56"/>
      <c r="W940" s="56"/>
      <c r="X940" s="56"/>
      <c r="Y940" s="56"/>
      <c r="Z940" s="59"/>
    </row>
    <row r="941">
      <c r="A941" s="55"/>
      <c r="B941" s="55"/>
      <c r="C941" s="55"/>
      <c r="D941" s="55"/>
      <c r="E941" s="55"/>
      <c r="F941" s="55"/>
      <c r="G941" s="55"/>
      <c r="H941" s="55"/>
      <c r="I941" s="55"/>
      <c r="J941" s="55"/>
      <c r="K941" s="55"/>
      <c r="L941" s="55"/>
      <c r="M941" s="55"/>
      <c r="N941" s="55"/>
      <c r="O941" s="55"/>
      <c r="P941" s="55"/>
      <c r="Q941" s="56"/>
      <c r="R941" s="56"/>
      <c r="S941" s="56"/>
      <c r="T941" s="56"/>
      <c r="U941" s="56"/>
      <c r="V941" s="56"/>
      <c r="W941" s="56"/>
      <c r="X941" s="56"/>
      <c r="Y941" s="56"/>
      <c r="Z941" s="59"/>
    </row>
    <row r="942">
      <c r="A942" s="55"/>
      <c r="B942" s="55"/>
      <c r="C942" s="55"/>
      <c r="D942" s="55"/>
      <c r="E942" s="55"/>
      <c r="F942" s="55"/>
      <c r="G942" s="55"/>
      <c r="H942" s="55"/>
      <c r="I942" s="55"/>
      <c r="J942" s="55"/>
      <c r="K942" s="55"/>
      <c r="L942" s="55"/>
      <c r="M942" s="55"/>
      <c r="N942" s="55"/>
      <c r="O942" s="55"/>
      <c r="P942" s="55"/>
      <c r="Q942" s="56"/>
      <c r="R942" s="56"/>
      <c r="S942" s="56"/>
      <c r="T942" s="56"/>
      <c r="U942" s="56"/>
      <c r="V942" s="56"/>
      <c r="W942" s="56"/>
      <c r="X942" s="56"/>
      <c r="Y942" s="56"/>
      <c r="Z942" s="59"/>
    </row>
    <row r="943">
      <c r="A943" s="55"/>
      <c r="B943" s="55"/>
      <c r="C943" s="55"/>
      <c r="D943" s="55"/>
      <c r="E943" s="55"/>
      <c r="F943" s="55"/>
      <c r="G943" s="55"/>
      <c r="H943" s="55"/>
      <c r="I943" s="55"/>
      <c r="J943" s="55"/>
      <c r="K943" s="55"/>
      <c r="L943" s="55"/>
      <c r="M943" s="55"/>
      <c r="N943" s="55"/>
      <c r="O943" s="55"/>
      <c r="P943" s="55"/>
      <c r="Q943" s="56"/>
      <c r="R943" s="56"/>
      <c r="S943" s="56"/>
      <c r="T943" s="56"/>
      <c r="U943" s="56"/>
      <c r="V943" s="56"/>
      <c r="W943" s="56"/>
      <c r="X943" s="56"/>
      <c r="Y943" s="56"/>
      <c r="Z943" s="59"/>
    </row>
    <row r="944">
      <c r="A944" s="55"/>
      <c r="B944" s="55"/>
      <c r="C944" s="55"/>
      <c r="D944" s="55"/>
      <c r="E944" s="55"/>
      <c r="F944" s="55"/>
      <c r="G944" s="55"/>
      <c r="H944" s="55"/>
      <c r="I944" s="55"/>
      <c r="J944" s="55"/>
      <c r="K944" s="55"/>
      <c r="L944" s="55"/>
      <c r="M944" s="55"/>
      <c r="N944" s="55"/>
      <c r="O944" s="55"/>
      <c r="P944" s="55"/>
      <c r="Q944" s="56"/>
      <c r="R944" s="56"/>
      <c r="S944" s="56"/>
      <c r="T944" s="56"/>
      <c r="U944" s="56"/>
      <c r="V944" s="56"/>
      <c r="W944" s="56"/>
      <c r="X944" s="56"/>
      <c r="Y944" s="56"/>
      <c r="Z944" s="59"/>
    </row>
    <row r="945">
      <c r="A945" s="55"/>
      <c r="B945" s="55"/>
      <c r="C945" s="55"/>
      <c r="D945" s="55"/>
      <c r="E945" s="55"/>
      <c r="F945" s="55"/>
      <c r="G945" s="55"/>
      <c r="H945" s="55"/>
      <c r="I945" s="55"/>
      <c r="J945" s="55"/>
      <c r="K945" s="55"/>
      <c r="L945" s="55"/>
      <c r="M945" s="55"/>
      <c r="N945" s="55"/>
      <c r="O945" s="55"/>
      <c r="P945" s="55"/>
      <c r="Q945" s="56"/>
      <c r="R945" s="56"/>
      <c r="S945" s="56"/>
      <c r="T945" s="56"/>
      <c r="U945" s="56"/>
      <c r="V945" s="56"/>
      <c r="W945" s="56"/>
      <c r="X945" s="56"/>
      <c r="Y945" s="56"/>
      <c r="Z945" s="59"/>
    </row>
    <row r="946">
      <c r="A946" s="55"/>
      <c r="B946" s="55"/>
      <c r="C946" s="55"/>
      <c r="D946" s="55"/>
      <c r="E946" s="55"/>
      <c r="F946" s="55"/>
      <c r="G946" s="55"/>
      <c r="H946" s="55"/>
      <c r="I946" s="55"/>
      <c r="J946" s="55"/>
      <c r="K946" s="55"/>
      <c r="L946" s="55"/>
      <c r="M946" s="55"/>
      <c r="N946" s="55"/>
      <c r="O946" s="55"/>
      <c r="P946" s="55"/>
      <c r="Q946" s="56"/>
      <c r="R946" s="56"/>
      <c r="S946" s="56"/>
      <c r="T946" s="56"/>
      <c r="U946" s="56"/>
      <c r="V946" s="56"/>
      <c r="W946" s="56"/>
      <c r="X946" s="56"/>
      <c r="Y946" s="56"/>
      <c r="Z946" s="59"/>
    </row>
    <row r="947">
      <c r="A947" s="55"/>
      <c r="B947" s="55"/>
      <c r="C947" s="55"/>
      <c r="D947" s="55"/>
      <c r="E947" s="55"/>
      <c r="F947" s="55"/>
      <c r="G947" s="55"/>
      <c r="H947" s="55"/>
      <c r="I947" s="55"/>
      <c r="J947" s="55"/>
      <c r="K947" s="55"/>
      <c r="L947" s="55"/>
      <c r="M947" s="55"/>
      <c r="N947" s="55"/>
      <c r="O947" s="55"/>
      <c r="P947" s="55"/>
      <c r="Q947" s="56"/>
      <c r="R947" s="56"/>
      <c r="S947" s="56"/>
      <c r="T947" s="56"/>
      <c r="U947" s="56"/>
      <c r="V947" s="56"/>
      <c r="W947" s="56"/>
      <c r="X947" s="56"/>
      <c r="Y947" s="56"/>
      <c r="Z947" s="59"/>
    </row>
    <row r="948">
      <c r="A948" s="55"/>
      <c r="B948" s="55"/>
      <c r="C948" s="55"/>
      <c r="D948" s="55"/>
      <c r="E948" s="55"/>
      <c r="F948" s="55"/>
      <c r="G948" s="55"/>
      <c r="H948" s="55"/>
      <c r="I948" s="55"/>
      <c r="J948" s="55"/>
      <c r="K948" s="55"/>
      <c r="L948" s="55"/>
      <c r="M948" s="55"/>
      <c r="N948" s="55"/>
      <c r="O948" s="55"/>
      <c r="P948" s="55"/>
      <c r="Q948" s="56"/>
      <c r="R948" s="56"/>
      <c r="S948" s="56"/>
      <c r="T948" s="56"/>
      <c r="U948" s="56"/>
      <c r="V948" s="56"/>
      <c r="W948" s="56"/>
      <c r="X948" s="56"/>
      <c r="Y948" s="56"/>
      <c r="Z948" s="59"/>
    </row>
    <row r="949">
      <c r="A949" s="55"/>
      <c r="B949" s="55"/>
      <c r="C949" s="55"/>
      <c r="D949" s="55"/>
      <c r="E949" s="55"/>
      <c r="F949" s="55"/>
      <c r="G949" s="55"/>
      <c r="H949" s="55"/>
      <c r="I949" s="55"/>
      <c r="J949" s="55"/>
      <c r="K949" s="55"/>
      <c r="L949" s="55"/>
      <c r="M949" s="55"/>
      <c r="N949" s="55"/>
      <c r="O949" s="55"/>
      <c r="P949" s="55"/>
      <c r="Q949" s="56"/>
      <c r="R949" s="56"/>
      <c r="S949" s="56"/>
      <c r="T949" s="56"/>
      <c r="U949" s="56"/>
      <c r="V949" s="56"/>
      <c r="W949" s="56"/>
      <c r="X949" s="56"/>
      <c r="Y949" s="56"/>
      <c r="Z949" s="59"/>
    </row>
    <row r="950">
      <c r="A950" s="55"/>
      <c r="B950" s="55"/>
      <c r="C950" s="55"/>
      <c r="D950" s="55"/>
      <c r="E950" s="55"/>
      <c r="F950" s="55"/>
      <c r="G950" s="55"/>
      <c r="H950" s="55"/>
      <c r="I950" s="55"/>
      <c r="J950" s="55"/>
      <c r="K950" s="55"/>
      <c r="L950" s="55"/>
      <c r="M950" s="55"/>
      <c r="N950" s="55"/>
      <c r="O950" s="55"/>
      <c r="P950" s="55"/>
      <c r="Q950" s="56"/>
      <c r="R950" s="56"/>
      <c r="S950" s="56"/>
      <c r="T950" s="56"/>
      <c r="U950" s="56"/>
      <c r="V950" s="56"/>
      <c r="W950" s="56"/>
      <c r="X950" s="56"/>
      <c r="Y950" s="56"/>
      <c r="Z950" s="59"/>
    </row>
    <row r="951">
      <c r="A951" s="55"/>
      <c r="B951" s="55"/>
      <c r="C951" s="55"/>
      <c r="D951" s="55"/>
      <c r="E951" s="55"/>
      <c r="F951" s="55"/>
      <c r="G951" s="55"/>
      <c r="H951" s="55"/>
      <c r="I951" s="55"/>
      <c r="J951" s="55"/>
      <c r="K951" s="55"/>
      <c r="L951" s="55"/>
      <c r="M951" s="55"/>
      <c r="N951" s="55"/>
      <c r="O951" s="55"/>
      <c r="P951" s="55"/>
      <c r="Q951" s="56"/>
      <c r="R951" s="56"/>
      <c r="S951" s="56"/>
      <c r="T951" s="56"/>
      <c r="U951" s="56"/>
      <c r="V951" s="56"/>
      <c r="W951" s="56"/>
      <c r="X951" s="56"/>
      <c r="Y951" s="56"/>
      <c r="Z951" s="59"/>
    </row>
    <row r="952">
      <c r="A952" s="55"/>
      <c r="B952" s="55"/>
      <c r="C952" s="55"/>
      <c r="D952" s="55"/>
      <c r="E952" s="55"/>
      <c r="F952" s="55"/>
      <c r="G952" s="55"/>
      <c r="H952" s="55"/>
      <c r="I952" s="55"/>
      <c r="J952" s="55"/>
      <c r="K952" s="55"/>
      <c r="L952" s="55"/>
      <c r="M952" s="55"/>
      <c r="N952" s="55"/>
      <c r="O952" s="55"/>
      <c r="P952" s="55"/>
      <c r="Q952" s="56"/>
      <c r="R952" s="56"/>
      <c r="S952" s="56"/>
      <c r="T952" s="56"/>
      <c r="U952" s="56"/>
      <c r="V952" s="56"/>
      <c r="W952" s="56"/>
      <c r="X952" s="56"/>
      <c r="Y952" s="56"/>
      <c r="Z952" s="59"/>
    </row>
    <row r="953">
      <c r="A953" s="55"/>
      <c r="B953" s="55"/>
      <c r="C953" s="55"/>
      <c r="D953" s="55"/>
      <c r="E953" s="55"/>
      <c r="F953" s="55"/>
      <c r="G953" s="55"/>
      <c r="H953" s="55"/>
      <c r="I953" s="55"/>
      <c r="J953" s="55"/>
      <c r="K953" s="55"/>
      <c r="L953" s="55"/>
      <c r="M953" s="55"/>
      <c r="N953" s="55"/>
      <c r="O953" s="55"/>
      <c r="P953" s="55"/>
      <c r="Q953" s="56"/>
      <c r="R953" s="56"/>
      <c r="S953" s="56"/>
      <c r="T953" s="56"/>
      <c r="U953" s="56"/>
      <c r="V953" s="56"/>
      <c r="W953" s="56"/>
      <c r="X953" s="56"/>
      <c r="Y953" s="56"/>
      <c r="Z953" s="59"/>
    </row>
    <row r="954">
      <c r="A954" s="55"/>
      <c r="B954" s="55"/>
      <c r="C954" s="55"/>
      <c r="D954" s="55"/>
      <c r="E954" s="55"/>
      <c r="F954" s="55"/>
      <c r="G954" s="55"/>
      <c r="H954" s="55"/>
      <c r="I954" s="55"/>
      <c r="J954" s="55"/>
      <c r="K954" s="55"/>
      <c r="L954" s="55"/>
      <c r="M954" s="55"/>
      <c r="N954" s="55"/>
      <c r="O954" s="55"/>
      <c r="P954" s="55"/>
      <c r="Q954" s="56"/>
      <c r="R954" s="56"/>
      <c r="S954" s="56"/>
      <c r="T954" s="56"/>
      <c r="U954" s="56"/>
      <c r="V954" s="56"/>
      <c r="W954" s="56"/>
      <c r="X954" s="56"/>
      <c r="Y954" s="56"/>
      <c r="Z954" s="59"/>
    </row>
    <row r="955">
      <c r="A955" s="55"/>
      <c r="B955" s="55"/>
      <c r="C955" s="55"/>
      <c r="D955" s="55"/>
      <c r="E955" s="55"/>
      <c r="F955" s="55"/>
      <c r="G955" s="55"/>
      <c r="H955" s="55"/>
      <c r="I955" s="55"/>
      <c r="J955" s="55"/>
      <c r="K955" s="55"/>
      <c r="L955" s="55"/>
      <c r="M955" s="55"/>
      <c r="N955" s="55"/>
      <c r="O955" s="55"/>
      <c r="P955" s="55"/>
      <c r="Q955" s="56"/>
      <c r="R955" s="56"/>
      <c r="S955" s="56"/>
      <c r="T955" s="56"/>
      <c r="U955" s="56"/>
      <c r="V955" s="56"/>
      <c r="W955" s="56"/>
      <c r="X955" s="56"/>
      <c r="Y955" s="56"/>
      <c r="Z955" s="59"/>
    </row>
    <row r="956">
      <c r="A956" s="55"/>
      <c r="B956" s="55"/>
      <c r="C956" s="55"/>
      <c r="D956" s="55"/>
      <c r="E956" s="55"/>
      <c r="F956" s="55"/>
      <c r="G956" s="55"/>
      <c r="H956" s="55"/>
      <c r="I956" s="55"/>
      <c r="J956" s="55"/>
      <c r="K956" s="55"/>
      <c r="L956" s="55"/>
      <c r="M956" s="55"/>
      <c r="N956" s="55"/>
      <c r="O956" s="55"/>
      <c r="P956" s="55"/>
      <c r="Q956" s="56"/>
      <c r="R956" s="56"/>
      <c r="S956" s="56"/>
      <c r="T956" s="56"/>
      <c r="U956" s="56"/>
      <c r="V956" s="56"/>
      <c r="W956" s="56"/>
      <c r="X956" s="56"/>
      <c r="Y956" s="56"/>
      <c r="Z956" s="59"/>
    </row>
    <row r="957">
      <c r="A957" s="55"/>
      <c r="B957" s="55"/>
      <c r="C957" s="55"/>
      <c r="D957" s="55"/>
      <c r="E957" s="55"/>
      <c r="F957" s="55"/>
      <c r="G957" s="55"/>
      <c r="H957" s="55"/>
      <c r="I957" s="55"/>
      <c r="J957" s="55"/>
      <c r="K957" s="55"/>
      <c r="L957" s="55"/>
      <c r="M957" s="55"/>
      <c r="N957" s="55"/>
      <c r="O957" s="55"/>
      <c r="P957" s="55"/>
      <c r="Q957" s="56"/>
      <c r="R957" s="56"/>
      <c r="S957" s="56"/>
      <c r="T957" s="56"/>
      <c r="U957" s="56"/>
      <c r="V957" s="56"/>
      <c r="W957" s="56"/>
      <c r="X957" s="56"/>
      <c r="Y957" s="56"/>
      <c r="Z957" s="59"/>
    </row>
    <row r="958">
      <c r="A958" s="55"/>
      <c r="B958" s="55"/>
      <c r="C958" s="55"/>
      <c r="D958" s="55"/>
      <c r="E958" s="55"/>
      <c r="F958" s="55"/>
      <c r="G958" s="55"/>
      <c r="H958" s="55"/>
      <c r="I958" s="55"/>
      <c r="J958" s="55"/>
      <c r="K958" s="55"/>
      <c r="L958" s="55"/>
      <c r="M958" s="55"/>
      <c r="N958" s="55"/>
      <c r="O958" s="55"/>
      <c r="P958" s="55"/>
      <c r="Q958" s="56"/>
      <c r="R958" s="56"/>
      <c r="S958" s="56"/>
      <c r="T958" s="56"/>
      <c r="U958" s="56"/>
      <c r="V958" s="56"/>
      <c r="W958" s="56"/>
      <c r="X958" s="56"/>
      <c r="Y958" s="56"/>
      <c r="Z958" s="59"/>
    </row>
    <row r="959">
      <c r="A959" s="55"/>
      <c r="B959" s="55"/>
      <c r="C959" s="55"/>
      <c r="D959" s="55"/>
      <c r="E959" s="55"/>
      <c r="F959" s="55"/>
      <c r="G959" s="55"/>
      <c r="H959" s="55"/>
      <c r="I959" s="55"/>
      <c r="J959" s="55"/>
      <c r="K959" s="55"/>
      <c r="L959" s="55"/>
      <c r="M959" s="55"/>
      <c r="N959" s="55"/>
      <c r="O959" s="55"/>
      <c r="P959" s="55"/>
      <c r="Q959" s="56"/>
      <c r="R959" s="56"/>
      <c r="S959" s="56"/>
      <c r="T959" s="56"/>
      <c r="U959" s="56"/>
      <c r="V959" s="56"/>
      <c r="W959" s="56"/>
      <c r="X959" s="56"/>
      <c r="Y959" s="56"/>
      <c r="Z959" s="59"/>
    </row>
    <row r="960">
      <c r="A960" s="55"/>
      <c r="B960" s="55"/>
      <c r="C960" s="55"/>
      <c r="D960" s="55"/>
      <c r="E960" s="55"/>
      <c r="F960" s="55"/>
      <c r="G960" s="55"/>
      <c r="H960" s="55"/>
      <c r="I960" s="55"/>
      <c r="J960" s="55"/>
      <c r="K960" s="55"/>
      <c r="L960" s="55"/>
      <c r="M960" s="55"/>
      <c r="N960" s="55"/>
      <c r="O960" s="55"/>
      <c r="P960" s="55"/>
      <c r="Q960" s="56"/>
      <c r="R960" s="56"/>
      <c r="S960" s="56"/>
      <c r="T960" s="56"/>
      <c r="U960" s="56"/>
      <c r="V960" s="56"/>
      <c r="W960" s="56"/>
      <c r="X960" s="56"/>
      <c r="Y960" s="56"/>
      <c r="Z960" s="59"/>
    </row>
    <row r="961">
      <c r="A961" s="55"/>
      <c r="B961" s="55"/>
      <c r="C961" s="55"/>
      <c r="D961" s="55"/>
      <c r="E961" s="55"/>
      <c r="F961" s="55"/>
      <c r="G961" s="55"/>
      <c r="H961" s="55"/>
      <c r="I961" s="55"/>
      <c r="J961" s="55"/>
      <c r="K961" s="55"/>
      <c r="L961" s="55"/>
      <c r="M961" s="55"/>
      <c r="N961" s="55"/>
      <c r="O961" s="55"/>
      <c r="P961" s="55"/>
      <c r="Q961" s="56"/>
      <c r="R961" s="56"/>
      <c r="S961" s="56"/>
      <c r="T961" s="56"/>
      <c r="U961" s="56"/>
      <c r="V961" s="56"/>
      <c r="W961" s="56"/>
      <c r="X961" s="56"/>
      <c r="Y961" s="56"/>
      <c r="Z961" s="59"/>
    </row>
    <row r="962">
      <c r="A962" s="55"/>
      <c r="B962" s="55"/>
      <c r="C962" s="55"/>
      <c r="D962" s="55"/>
      <c r="E962" s="55"/>
      <c r="F962" s="55"/>
      <c r="G962" s="55"/>
      <c r="H962" s="55"/>
      <c r="I962" s="55"/>
      <c r="J962" s="55"/>
      <c r="K962" s="55"/>
      <c r="L962" s="55"/>
      <c r="M962" s="55"/>
      <c r="N962" s="55"/>
      <c r="O962" s="55"/>
      <c r="P962" s="55"/>
      <c r="Q962" s="56"/>
      <c r="R962" s="56"/>
      <c r="S962" s="56"/>
      <c r="T962" s="56"/>
      <c r="U962" s="56"/>
      <c r="V962" s="56"/>
      <c r="W962" s="56"/>
      <c r="X962" s="56"/>
      <c r="Y962" s="56"/>
      <c r="Z962" s="59"/>
    </row>
    <row r="963">
      <c r="A963" s="55"/>
      <c r="B963" s="55"/>
      <c r="C963" s="55"/>
      <c r="D963" s="55"/>
      <c r="E963" s="55"/>
      <c r="F963" s="55"/>
      <c r="G963" s="55"/>
      <c r="H963" s="55"/>
      <c r="I963" s="55"/>
      <c r="J963" s="55"/>
      <c r="K963" s="55"/>
      <c r="L963" s="55"/>
      <c r="M963" s="55"/>
      <c r="N963" s="55"/>
      <c r="O963" s="55"/>
      <c r="P963" s="55"/>
      <c r="Q963" s="56"/>
      <c r="R963" s="56"/>
      <c r="S963" s="56"/>
      <c r="T963" s="56"/>
      <c r="U963" s="56"/>
      <c r="V963" s="56"/>
      <c r="W963" s="56"/>
      <c r="X963" s="56"/>
      <c r="Y963" s="56"/>
      <c r="Z963" s="59"/>
    </row>
    <row r="964">
      <c r="A964" s="55"/>
      <c r="B964" s="55"/>
      <c r="C964" s="55"/>
      <c r="D964" s="55"/>
      <c r="E964" s="55"/>
      <c r="F964" s="55"/>
      <c r="G964" s="55"/>
      <c r="H964" s="55"/>
      <c r="I964" s="55"/>
      <c r="J964" s="55"/>
      <c r="K964" s="55"/>
      <c r="L964" s="55"/>
      <c r="M964" s="55"/>
      <c r="N964" s="55"/>
      <c r="O964" s="55"/>
      <c r="P964" s="55"/>
      <c r="Q964" s="56"/>
      <c r="R964" s="56"/>
      <c r="S964" s="56"/>
      <c r="T964" s="56"/>
      <c r="U964" s="56"/>
      <c r="V964" s="56"/>
      <c r="W964" s="56"/>
      <c r="X964" s="56"/>
      <c r="Y964" s="56"/>
      <c r="Z964" s="59"/>
    </row>
    <row r="965">
      <c r="A965" s="55"/>
      <c r="B965" s="55"/>
      <c r="C965" s="55"/>
      <c r="D965" s="55"/>
      <c r="E965" s="55"/>
      <c r="F965" s="55"/>
      <c r="G965" s="55"/>
      <c r="H965" s="55"/>
      <c r="I965" s="55"/>
      <c r="J965" s="55"/>
      <c r="K965" s="55"/>
      <c r="L965" s="55"/>
      <c r="M965" s="55"/>
      <c r="N965" s="55"/>
      <c r="O965" s="55"/>
      <c r="P965" s="55"/>
      <c r="Q965" s="56"/>
      <c r="R965" s="56"/>
      <c r="S965" s="56"/>
      <c r="T965" s="56"/>
      <c r="U965" s="56"/>
      <c r="V965" s="56"/>
      <c r="W965" s="56"/>
      <c r="X965" s="56"/>
      <c r="Y965" s="56"/>
      <c r="Z965" s="59"/>
    </row>
    <row r="966">
      <c r="A966" s="55"/>
      <c r="B966" s="55"/>
      <c r="C966" s="55"/>
      <c r="D966" s="55"/>
      <c r="E966" s="55"/>
      <c r="F966" s="55"/>
      <c r="G966" s="55"/>
      <c r="H966" s="55"/>
      <c r="I966" s="55"/>
      <c r="J966" s="55"/>
      <c r="K966" s="55"/>
      <c r="L966" s="55"/>
      <c r="M966" s="55"/>
      <c r="N966" s="55"/>
      <c r="O966" s="55"/>
      <c r="P966" s="55"/>
      <c r="Q966" s="56"/>
      <c r="R966" s="56"/>
      <c r="S966" s="56"/>
      <c r="T966" s="56"/>
      <c r="U966" s="56"/>
      <c r="V966" s="56"/>
      <c r="W966" s="56"/>
      <c r="X966" s="56"/>
      <c r="Y966" s="56"/>
      <c r="Z966" s="59"/>
    </row>
    <row r="967">
      <c r="A967" s="55"/>
      <c r="B967" s="55"/>
      <c r="C967" s="55"/>
      <c r="D967" s="55"/>
      <c r="E967" s="55"/>
      <c r="F967" s="55"/>
      <c r="G967" s="55"/>
      <c r="H967" s="55"/>
      <c r="I967" s="55"/>
      <c r="J967" s="55"/>
      <c r="K967" s="55"/>
      <c r="L967" s="55"/>
      <c r="M967" s="55"/>
      <c r="N967" s="55"/>
      <c r="O967" s="55"/>
      <c r="P967" s="55"/>
      <c r="Q967" s="56"/>
      <c r="R967" s="56"/>
      <c r="S967" s="56"/>
      <c r="T967" s="56"/>
      <c r="U967" s="56"/>
      <c r="V967" s="56"/>
      <c r="W967" s="56"/>
      <c r="X967" s="56"/>
      <c r="Y967" s="56"/>
      <c r="Z967" s="59"/>
    </row>
    <row r="968">
      <c r="A968" s="55"/>
      <c r="B968" s="55"/>
      <c r="C968" s="55"/>
      <c r="D968" s="55"/>
      <c r="E968" s="55"/>
      <c r="F968" s="55"/>
      <c r="G968" s="55"/>
      <c r="H968" s="55"/>
      <c r="I968" s="55"/>
      <c r="J968" s="55"/>
      <c r="K968" s="55"/>
      <c r="L968" s="55"/>
      <c r="M968" s="55"/>
      <c r="N968" s="55"/>
      <c r="O968" s="55"/>
      <c r="P968" s="55"/>
      <c r="Q968" s="56"/>
      <c r="R968" s="56"/>
      <c r="S968" s="56"/>
      <c r="T968" s="56"/>
      <c r="U968" s="56"/>
      <c r="V968" s="56"/>
      <c r="W968" s="56"/>
      <c r="X968" s="56"/>
      <c r="Y968" s="56"/>
      <c r="Z968" s="59"/>
    </row>
    <row r="969">
      <c r="A969" s="55"/>
      <c r="B969" s="55"/>
      <c r="C969" s="55"/>
      <c r="D969" s="55"/>
      <c r="E969" s="55"/>
      <c r="F969" s="55"/>
      <c r="G969" s="55"/>
      <c r="H969" s="55"/>
      <c r="I969" s="55"/>
      <c r="J969" s="55"/>
      <c r="K969" s="55"/>
      <c r="L969" s="55"/>
      <c r="M969" s="55"/>
      <c r="N969" s="55"/>
      <c r="O969" s="55"/>
      <c r="P969" s="55"/>
      <c r="Q969" s="56"/>
      <c r="R969" s="56"/>
      <c r="S969" s="56"/>
      <c r="T969" s="56"/>
      <c r="U969" s="56"/>
      <c r="V969" s="56"/>
      <c r="W969" s="56"/>
      <c r="X969" s="56"/>
      <c r="Y969" s="56"/>
      <c r="Z969" s="59"/>
    </row>
    <row r="970">
      <c r="A970" s="55"/>
      <c r="B970" s="55"/>
      <c r="C970" s="55"/>
      <c r="D970" s="55"/>
      <c r="E970" s="55"/>
      <c r="F970" s="55"/>
      <c r="G970" s="55"/>
      <c r="H970" s="55"/>
      <c r="I970" s="55"/>
      <c r="J970" s="55"/>
      <c r="K970" s="55"/>
      <c r="L970" s="55"/>
      <c r="M970" s="55"/>
      <c r="N970" s="55"/>
      <c r="O970" s="55"/>
      <c r="P970" s="55"/>
      <c r="Q970" s="56"/>
      <c r="R970" s="56"/>
      <c r="S970" s="56"/>
      <c r="T970" s="56"/>
      <c r="U970" s="56"/>
      <c r="V970" s="56"/>
      <c r="W970" s="56"/>
      <c r="X970" s="56"/>
      <c r="Y970" s="56"/>
      <c r="Z970" s="59"/>
    </row>
    <row r="971">
      <c r="A971" s="55"/>
      <c r="B971" s="55"/>
      <c r="C971" s="55"/>
      <c r="D971" s="55"/>
      <c r="E971" s="55"/>
      <c r="F971" s="55"/>
      <c r="G971" s="55"/>
      <c r="H971" s="55"/>
      <c r="I971" s="55"/>
      <c r="J971" s="55"/>
      <c r="K971" s="55"/>
      <c r="L971" s="55"/>
      <c r="M971" s="55"/>
      <c r="N971" s="55"/>
      <c r="O971" s="55"/>
      <c r="P971" s="55"/>
      <c r="Q971" s="56"/>
      <c r="R971" s="56"/>
      <c r="S971" s="56"/>
      <c r="T971" s="56"/>
      <c r="U971" s="56"/>
      <c r="V971" s="56"/>
      <c r="W971" s="56"/>
      <c r="X971" s="56"/>
      <c r="Y971" s="56"/>
      <c r="Z971" s="59"/>
    </row>
    <row r="972">
      <c r="A972" s="55"/>
      <c r="B972" s="55"/>
      <c r="C972" s="55"/>
      <c r="D972" s="55"/>
      <c r="E972" s="55"/>
      <c r="F972" s="55"/>
      <c r="G972" s="55"/>
      <c r="H972" s="55"/>
      <c r="I972" s="55"/>
      <c r="J972" s="55"/>
      <c r="K972" s="55"/>
      <c r="L972" s="55"/>
      <c r="M972" s="55"/>
      <c r="N972" s="55"/>
      <c r="O972" s="55"/>
      <c r="P972" s="55"/>
      <c r="Q972" s="56"/>
      <c r="R972" s="56"/>
      <c r="S972" s="56"/>
      <c r="T972" s="56"/>
      <c r="U972" s="56"/>
      <c r="V972" s="56"/>
      <c r="W972" s="56"/>
      <c r="X972" s="56"/>
      <c r="Y972" s="56"/>
      <c r="Z972" s="59"/>
    </row>
    <row r="973">
      <c r="A973" s="55"/>
      <c r="B973" s="55"/>
      <c r="C973" s="55"/>
      <c r="D973" s="55"/>
      <c r="E973" s="55"/>
      <c r="F973" s="55"/>
      <c r="G973" s="55"/>
      <c r="H973" s="55"/>
      <c r="I973" s="55"/>
      <c r="J973" s="55"/>
      <c r="K973" s="55"/>
      <c r="L973" s="55"/>
      <c r="M973" s="55"/>
      <c r="N973" s="55"/>
      <c r="O973" s="55"/>
      <c r="P973" s="55"/>
      <c r="Q973" s="56"/>
      <c r="R973" s="56"/>
      <c r="S973" s="56"/>
      <c r="T973" s="56"/>
      <c r="U973" s="56"/>
      <c r="V973" s="56"/>
      <c r="W973" s="56"/>
      <c r="X973" s="56"/>
      <c r="Y973" s="56"/>
      <c r="Z973" s="59"/>
    </row>
    <row r="974">
      <c r="A974" s="55"/>
      <c r="B974" s="55"/>
      <c r="C974" s="55"/>
      <c r="D974" s="55"/>
      <c r="E974" s="55"/>
      <c r="F974" s="55"/>
      <c r="G974" s="55"/>
      <c r="H974" s="55"/>
      <c r="I974" s="55"/>
      <c r="J974" s="55"/>
      <c r="K974" s="55"/>
      <c r="L974" s="55"/>
      <c r="M974" s="55"/>
      <c r="N974" s="55"/>
      <c r="O974" s="55"/>
      <c r="P974" s="55"/>
      <c r="Q974" s="56"/>
      <c r="R974" s="56"/>
      <c r="S974" s="56"/>
      <c r="T974" s="56"/>
      <c r="U974" s="56"/>
      <c r="V974" s="56"/>
      <c r="W974" s="56"/>
      <c r="X974" s="56"/>
      <c r="Y974" s="56"/>
      <c r="Z974" s="59"/>
    </row>
    <row r="975">
      <c r="A975" s="55"/>
      <c r="B975" s="55"/>
      <c r="C975" s="55"/>
      <c r="D975" s="55"/>
      <c r="E975" s="55"/>
      <c r="F975" s="55"/>
      <c r="G975" s="55"/>
      <c r="H975" s="55"/>
      <c r="I975" s="55"/>
      <c r="J975" s="55"/>
      <c r="K975" s="55"/>
      <c r="L975" s="55"/>
      <c r="M975" s="55"/>
      <c r="N975" s="55"/>
      <c r="O975" s="55"/>
      <c r="P975" s="55"/>
      <c r="Q975" s="56"/>
      <c r="R975" s="56"/>
      <c r="S975" s="56"/>
      <c r="T975" s="56"/>
      <c r="U975" s="56"/>
      <c r="V975" s="56"/>
      <c r="W975" s="56"/>
      <c r="X975" s="56"/>
      <c r="Y975" s="56"/>
      <c r="Z975" s="59"/>
    </row>
    <row r="976">
      <c r="A976" s="55"/>
      <c r="B976" s="55"/>
      <c r="C976" s="55"/>
      <c r="D976" s="55"/>
      <c r="E976" s="55"/>
      <c r="F976" s="55"/>
      <c r="G976" s="55"/>
      <c r="H976" s="55"/>
      <c r="I976" s="55"/>
      <c r="J976" s="55"/>
      <c r="K976" s="55"/>
      <c r="L976" s="55"/>
      <c r="M976" s="55"/>
      <c r="N976" s="55"/>
      <c r="O976" s="55"/>
      <c r="P976" s="55"/>
      <c r="Q976" s="56"/>
      <c r="R976" s="56"/>
      <c r="S976" s="56"/>
      <c r="T976" s="56"/>
      <c r="U976" s="56"/>
      <c r="V976" s="56"/>
      <c r="W976" s="56"/>
      <c r="X976" s="56"/>
      <c r="Y976" s="56"/>
      <c r="Z976" s="59"/>
    </row>
    <row r="977">
      <c r="A977" s="55"/>
      <c r="B977" s="55"/>
      <c r="C977" s="55"/>
      <c r="D977" s="55"/>
      <c r="E977" s="55"/>
      <c r="F977" s="55"/>
      <c r="G977" s="55"/>
      <c r="H977" s="55"/>
      <c r="I977" s="55"/>
      <c r="J977" s="55"/>
      <c r="K977" s="55"/>
      <c r="L977" s="55"/>
      <c r="M977" s="55"/>
      <c r="N977" s="55"/>
      <c r="O977" s="55"/>
      <c r="P977" s="55"/>
      <c r="Q977" s="56"/>
      <c r="R977" s="56"/>
      <c r="S977" s="56"/>
      <c r="T977" s="56"/>
      <c r="U977" s="56"/>
      <c r="V977" s="56"/>
      <c r="W977" s="56"/>
      <c r="X977" s="56"/>
      <c r="Y977" s="56"/>
      <c r="Z977" s="59"/>
    </row>
    <row r="978">
      <c r="A978" s="55"/>
      <c r="B978" s="55"/>
      <c r="C978" s="55"/>
      <c r="D978" s="55"/>
      <c r="E978" s="55"/>
      <c r="F978" s="55"/>
      <c r="G978" s="55"/>
      <c r="H978" s="55"/>
      <c r="I978" s="55"/>
      <c r="J978" s="55"/>
      <c r="K978" s="55"/>
      <c r="L978" s="55"/>
      <c r="M978" s="55"/>
      <c r="N978" s="55"/>
      <c r="O978" s="55"/>
      <c r="P978" s="55"/>
      <c r="Q978" s="56"/>
      <c r="R978" s="56"/>
      <c r="S978" s="56"/>
      <c r="T978" s="56"/>
      <c r="U978" s="56"/>
      <c r="V978" s="56"/>
      <c r="W978" s="56"/>
      <c r="X978" s="56"/>
      <c r="Y978" s="56"/>
      <c r="Z978" s="59"/>
    </row>
    <row r="979">
      <c r="A979" s="55"/>
      <c r="B979" s="55"/>
      <c r="C979" s="55"/>
      <c r="D979" s="55"/>
      <c r="E979" s="55"/>
      <c r="F979" s="55"/>
      <c r="G979" s="55"/>
      <c r="H979" s="55"/>
      <c r="I979" s="55"/>
      <c r="J979" s="55"/>
      <c r="K979" s="55"/>
      <c r="L979" s="55"/>
      <c r="M979" s="55"/>
      <c r="N979" s="55"/>
      <c r="O979" s="55"/>
      <c r="P979" s="55"/>
      <c r="Q979" s="56"/>
      <c r="R979" s="56"/>
      <c r="S979" s="56"/>
      <c r="T979" s="56"/>
      <c r="U979" s="56"/>
      <c r="V979" s="56"/>
      <c r="W979" s="56"/>
      <c r="X979" s="56"/>
      <c r="Y979" s="56"/>
      <c r="Z979" s="59"/>
    </row>
    <row r="980">
      <c r="A980" s="55"/>
      <c r="B980" s="55"/>
      <c r="C980" s="55"/>
      <c r="D980" s="55"/>
      <c r="E980" s="55"/>
      <c r="F980" s="55"/>
      <c r="G980" s="55"/>
      <c r="H980" s="55"/>
      <c r="I980" s="55"/>
      <c r="J980" s="55"/>
      <c r="K980" s="55"/>
      <c r="L980" s="55"/>
      <c r="M980" s="55"/>
      <c r="N980" s="55"/>
      <c r="O980" s="55"/>
      <c r="P980" s="55"/>
      <c r="Q980" s="56"/>
      <c r="R980" s="56"/>
      <c r="S980" s="56"/>
      <c r="T980" s="56"/>
      <c r="U980" s="56"/>
      <c r="V980" s="56"/>
      <c r="W980" s="56"/>
      <c r="X980" s="56"/>
      <c r="Y980" s="56"/>
      <c r="Z980" s="59"/>
    </row>
    <row r="981">
      <c r="A981" s="55"/>
      <c r="B981" s="55"/>
      <c r="C981" s="55"/>
      <c r="D981" s="55"/>
      <c r="E981" s="55"/>
      <c r="F981" s="55"/>
      <c r="G981" s="55"/>
      <c r="H981" s="55"/>
      <c r="I981" s="55"/>
      <c r="J981" s="55"/>
      <c r="K981" s="55"/>
      <c r="L981" s="55"/>
      <c r="M981" s="55"/>
      <c r="N981" s="55"/>
      <c r="O981" s="55"/>
      <c r="P981" s="55"/>
      <c r="Q981" s="56"/>
      <c r="R981" s="56"/>
      <c r="S981" s="56"/>
      <c r="T981" s="56"/>
      <c r="U981" s="56"/>
      <c r="V981" s="56"/>
      <c r="W981" s="56"/>
      <c r="X981" s="56"/>
      <c r="Y981" s="56"/>
      <c r="Z981" s="59"/>
    </row>
    <row r="982">
      <c r="A982" s="55"/>
      <c r="B982" s="55"/>
      <c r="C982" s="55"/>
      <c r="D982" s="55"/>
      <c r="E982" s="55"/>
      <c r="F982" s="55"/>
      <c r="G982" s="55"/>
      <c r="H982" s="55"/>
      <c r="I982" s="55"/>
      <c r="J982" s="55"/>
      <c r="K982" s="55"/>
      <c r="L982" s="55"/>
      <c r="M982" s="55"/>
      <c r="N982" s="55"/>
      <c r="O982" s="55"/>
      <c r="P982" s="55"/>
      <c r="Q982" s="56"/>
      <c r="R982" s="56"/>
      <c r="S982" s="56"/>
      <c r="T982" s="56"/>
      <c r="U982" s="56"/>
      <c r="V982" s="56"/>
      <c r="W982" s="56"/>
      <c r="X982" s="56"/>
      <c r="Y982" s="56"/>
      <c r="Z982" s="59"/>
    </row>
    <row r="983">
      <c r="A983" s="55"/>
      <c r="B983" s="55"/>
      <c r="C983" s="55"/>
      <c r="D983" s="55"/>
      <c r="E983" s="55"/>
      <c r="F983" s="55"/>
      <c r="G983" s="55"/>
      <c r="H983" s="55"/>
      <c r="I983" s="55"/>
      <c r="J983" s="55"/>
      <c r="K983" s="55"/>
      <c r="L983" s="55"/>
      <c r="M983" s="55"/>
      <c r="N983" s="55"/>
      <c r="O983" s="55"/>
      <c r="P983" s="55"/>
      <c r="Q983" s="56"/>
      <c r="R983" s="56"/>
      <c r="S983" s="56"/>
      <c r="T983" s="56"/>
      <c r="U983" s="56"/>
      <c r="V983" s="56"/>
      <c r="W983" s="56"/>
      <c r="X983" s="56"/>
      <c r="Y983" s="56"/>
      <c r="Z983" s="59"/>
    </row>
    <row r="984">
      <c r="A984" s="55"/>
      <c r="B984" s="55"/>
      <c r="C984" s="55"/>
      <c r="D984" s="55"/>
      <c r="E984" s="55"/>
      <c r="F984" s="55"/>
      <c r="G984" s="55"/>
      <c r="H984" s="55"/>
      <c r="I984" s="55"/>
      <c r="J984" s="55"/>
      <c r="K984" s="55"/>
      <c r="L984" s="55"/>
      <c r="M984" s="55"/>
      <c r="N984" s="55"/>
      <c r="O984" s="55"/>
      <c r="P984" s="55"/>
      <c r="Q984" s="56"/>
      <c r="R984" s="56"/>
      <c r="S984" s="56"/>
      <c r="T984" s="56"/>
      <c r="U984" s="56"/>
      <c r="V984" s="56"/>
      <c r="W984" s="56"/>
      <c r="X984" s="56"/>
      <c r="Y984" s="56"/>
      <c r="Z984" s="59"/>
    </row>
    <row r="985">
      <c r="A985" s="55"/>
      <c r="B985" s="55"/>
      <c r="C985" s="55"/>
      <c r="D985" s="55"/>
      <c r="E985" s="55"/>
      <c r="F985" s="55"/>
      <c r="G985" s="55"/>
      <c r="H985" s="55"/>
      <c r="I985" s="55"/>
      <c r="J985" s="55"/>
      <c r="K985" s="55"/>
      <c r="L985" s="55"/>
      <c r="M985" s="55"/>
      <c r="N985" s="55"/>
      <c r="O985" s="55"/>
      <c r="P985" s="55"/>
      <c r="Q985" s="56"/>
      <c r="R985" s="56"/>
      <c r="S985" s="56"/>
      <c r="T985" s="56"/>
      <c r="U985" s="56"/>
      <c r="V985" s="56"/>
      <c r="W985" s="56"/>
      <c r="X985" s="56"/>
      <c r="Y985" s="56"/>
      <c r="Z985" s="59"/>
    </row>
    <row r="986">
      <c r="A986" s="55"/>
      <c r="B986" s="55"/>
      <c r="C986" s="55"/>
      <c r="D986" s="55"/>
      <c r="E986" s="55"/>
      <c r="F986" s="55"/>
      <c r="G986" s="55"/>
      <c r="H986" s="55"/>
      <c r="I986" s="55"/>
      <c r="J986" s="55"/>
      <c r="K986" s="55"/>
      <c r="L986" s="55"/>
      <c r="M986" s="55"/>
      <c r="N986" s="55"/>
      <c r="O986" s="55"/>
      <c r="P986" s="55"/>
      <c r="Q986" s="56"/>
      <c r="R986" s="56"/>
      <c r="S986" s="56"/>
      <c r="T986" s="56"/>
      <c r="U986" s="56"/>
      <c r="V986" s="56"/>
      <c r="W986" s="56"/>
      <c r="X986" s="56"/>
      <c r="Y986" s="56"/>
      <c r="Z986" s="59"/>
    </row>
    <row r="987">
      <c r="A987" s="55"/>
      <c r="B987" s="55"/>
      <c r="C987" s="55"/>
      <c r="D987" s="55"/>
      <c r="E987" s="55"/>
      <c r="F987" s="55"/>
      <c r="G987" s="55"/>
      <c r="H987" s="55"/>
      <c r="I987" s="55"/>
      <c r="J987" s="55"/>
      <c r="K987" s="55"/>
      <c r="L987" s="55"/>
      <c r="M987" s="55"/>
      <c r="N987" s="55"/>
      <c r="O987" s="55"/>
      <c r="P987" s="55"/>
      <c r="Q987" s="56"/>
      <c r="R987" s="56"/>
      <c r="S987" s="56"/>
      <c r="T987" s="56"/>
      <c r="U987" s="56"/>
      <c r="V987" s="56"/>
      <c r="W987" s="56"/>
      <c r="X987" s="56"/>
      <c r="Y987" s="56"/>
      <c r="Z987" s="59"/>
    </row>
    <row r="988">
      <c r="A988" s="55"/>
      <c r="B988" s="55"/>
      <c r="C988" s="55"/>
      <c r="D988" s="55"/>
      <c r="E988" s="55"/>
      <c r="F988" s="55"/>
      <c r="G988" s="55"/>
      <c r="H988" s="55"/>
      <c r="I988" s="55"/>
      <c r="J988" s="55"/>
      <c r="K988" s="55"/>
      <c r="L988" s="55"/>
      <c r="M988" s="55"/>
      <c r="N988" s="55"/>
      <c r="O988" s="55"/>
      <c r="P988" s="55"/>
      <c r="Q988" s="56"/>
      <c r="R988" s="56"/>
      <c r="S988" s="56"/>
      <c r="T988" s="56"/>
      <c r="U988" s="56"/>
      <c r="V988" s="56"/>
      <c r="W988" s="56"/>
      <c r="X988" s="56"/>
      <c r="Y988" s="56"/>
      <c r="Z988" s="59"/>
    </row>
    <row r="989">
      <c r="A989" s="55"/>
      <c r="B989" s="55"/>
      <c r="C989" s="55"/>
      <c r="D989" s="55"/>
      <c r="E989" s="55"/>
      <c r="F989" s="55"/>
      <c r="G989" s="55"/>
      <c r="H989" s="55"/>
      <c r="I989" s="55"/>
      <c r="J989" s="55"/>
      <c r="K989" s="55"/>
      <c r="L989" s="55"/>
      <c r="M989" s="55"/>
      <c r="N989" s="55"/>
      <c r="O989" s="55"/>
      <c r="P989" s="55"/>
      <c r="Q989" s="56"/>
      <c r="R989" s="56"/>
      <c r="S989" s="56"/>
      <c r="T989" s="56"/>
      <c r="U989" s="56"/>
      <c r="V989" s="56"/>
      <c r="W989" s="56"/>
      <c r="X989" s="56"/>
      <c r="Y989" s="56"/>
      <c r="Z989" s="59"/>
    </row>
    <row r="990">
      <c r="A990" s="55"/>
      <c r="B990" s="55"/>
      <c r="C990" s="55"/>
      <c r="D990" s="55"/>
      <c r="E990" s="55"/>
      <c r="F990" s="55"/>
      <c r="G990" s="55"/>
      <c r="H990" s="55"/>
      <c r="I990" s="55"/>
      <c r="J990" s="55"/>
      <c r="K990" s="55"/>
      <c r="L990" s="55"/>
      <c r="M990" s="55"/>
      <c r="N990" s="55"/>
      <c r="O990" s="55"/>
      <c r="P990" s="55"/>
      <c r="Q990" s="56"/>
      <c r="R990" s="56"/>
      <c r="S990" s="56"/>
      <c r="T990" s="56"/>
      <c r="U990" s="56"/>
      <c r="V990" s="56"/>
      <c r="W990" s="56"/>
      <c r="X990" s="56"/>
      <c r="Y990" s="56"/>
      <c r="Z990" s="59"/>
    </row>
    <row r="991">
      <c r="A991" s="55"/>
      <c r="B991" s="55"/>
      <c r="C991" s="55"/>
      <c r="D991" s="55"/>
      <c r="E991" s="55"/>
      <c r="F991" s="55"/>
      <c r="G991" s="55"/>
      <c r="H991" s="55"/>
      <c r="I991" s="55"/>
      <c r="J991" s="55"/>
      <c r="K991" s="55"/>
      <c r="L991" s="55"/>
      <c r="M991" s="55"/>
      <c r="N991" s="55"/>
      <c r="O991" s="55"/>
      <c r="P991" s="55"/>
      <c r="Q991" s="56"/>
      <c r="R991" s="56"/>
      <c r="S991" s="56"/>
      <c r="T991" s="56"/>
      <c r="U991" s="56"/>
      <c r="V991" s="56"/>
      <c r="W991" s="56"/>
      <c r="X991" s="56"/>
      <c r="Y991" s="56"/>
      <c r="Z991" s="59"/>
    </row>
    <row r="992">
      <c r="A992" s="55"/>
      <c r="B992" s="55"/>
      <c r="C992" s="55"/>
      <c r="D992" s="55"/>
      <c r="E992" s="55"/>
      <c r="F992" s="55"/>
      <c r="G992" s="55"/>
      <c r="H992" s="55"/>
      <c r="I992" s="55"/>
      <c r="J992" s="55"/>
      <c r="K992" s="55"/>
      <c r="L992" s="55"/>
      <c r="M992" s="55"/>
      <c r="N992" s="55"/>
      <c r="O992" s="55"/>
      <c r="P992" s="55"/>
      <c r="Q992" s="56"/>
      <c r="R992" s="56"/>
      <c r="S992" s="56"/>
      <c r="T992" s="56"/>
      <c r="U992" s="56"/>
      <c r="V992" s="56"/>
      <c r="W992" s="56"/>
      <c r="X992" s="56"/>
      <c r="Y992" s="56"/>
      <c r="Z992" s="59"/>
    </row>
    <row r="993">
      <c r="A993" s="55"/>
      <c r="B993" s="55"/>
      <c r="C993" s="55"/>
      <c r="D993" s="55"/>
      <c r="E993" s="55"/>
      <c r="F993" s="55"/>
      <c r="G993" s="55"/>
      <c r="H993" s="55"/>
      <c r="I993" s="55"/>
      <c r="J993" s="55"/>
      <c r="K993" s="55"/>
      <c r="L993" s="55"/>
      <c r="M993" s="55"/>
      <c r="N993" s="55"/>
      <c r="O993" s="55"/>
      <c r="P993" s="55"/>
      <c r="Q993" s="56"/>
      <c r="R993" s="56"/>
      <c r="S993" s="56"/>
      <c r="T993" s="56"/>
      <c r="U993" s="56"/>
      <c r="V993" s="56"/>
      <c r="W993" s="56"/>
      <c r="X993" s="56"/>
      <c r="Y993" s="56"/>
      <c r="Z993" s="59"/>
    </row>
    <row r="994">
      <c r="A994" s="55"/>
      <c r="B994" s="55"/>
      <c r="C994" s="55"/>
      <c r="D994" s="55"/>
      <c r="E994" s="55"/>
      <c r="F994" s="55"/>
      <c r="G994" s="55"/>
      <c r="H994" s="55"/>
      <c r="I994" s="55"/>
      <c r="J994" s="55"/>
      <c r="K994" s="55"/>
      <c r="L994" s="55"/>
      <c r="M994" s="55"/>
      <c r="N994" s="55"/>
      <c r="O994" s="55"/>
      <c r="P994" s="55"/>
      <c r="Q994" s="56"/>
      <c r="R994" s="56"/>
      <c r="S994" s="56"/>
      <c r="T994" s="56"/>
      <c r="U994" s="56"/>
      <c r="V994" s="56"/>
      <c r="W994" s="56"/>
      <c r="X994" s="56"/>
      <c r="Y994" s="56"/>
      <c r="Z994" s="59"/>
    </row>
    <row r="995">
      <c r="A995" s="55"/>
      <c r="B995" s="55"/>
      <c r="C995" s="55"/>
      <c r="D995" s="55"/>
      <c r="E995" s="55"/>
      <c r="F995" s="55"/>
      <c r="G995" s="55"/>
      <c r="H995" s="55"/>
      <c r="I995" s="55"/>
      <c r="J995" s="55"/>
      <c r="K995" s="55"/>
      <c r="L995" s="55"/>
      <c r="M995" s="55"/>
      <c r="N995" s="55"/>
      <c r="O995" s="55"/>
      <c r="P995" s="55"/>
      <c r="Q995" s="56"/>
      <c r="R995" s="56"/>
      <c r="S995" s="56"/>
      <c r="T995" s="56"/>
      <c r="U995" s="56"/>
      <c r="V995" s="56"/>
      <c r="W995" s="56"/>
      <c r="X995" s="56"/>
      <c r="Y995" s="56"/>
      <c r="Z995" s="59"/>
    </row>
    <row r="996">
      <c r="A996" s="55"/>
      <c r="B996" s="55"/>
      <c r="C996" s="55"/>
      <c r="D996" s="55"/>
      <c r="E996" s="55"/>
      <c r="F996" s="55"/>
      <c r="G996" s="55"/>
      <c r="H996" s="55"/>
      <c r="I996" s="55"/>
      <c r="J996" s="55"/>
      <c r="K996" s="55"/>
      <c r="L996" s="55"/>
      <c r="M996" s="55"/>
      <c r="N996" s="55"/>
      <c r="O996" s="55"/>
      <c r="P996" s="55"/>
      <c r="Q996" s="56"/>
      <c r="R996" s="56"/>
      <c r="S996" s="56"/>
      <c r="T996" s="56"/>
      <c r="U996" s="56"/>
      <c r="V996" s="56"/>
      <c r="W996" s="56"/>
      <c r="X996" s="56"/>
      <c r="Y996" s="56"/>
      <c r="Z996" s="59"/>
    </row>
    <row r="997">
      <c r="A997" s="55"/>
      <c r="B997" s="55"/>
      <c r="C997" s="55"/>
      <c r="D997" s="55"/>
      <c r="E997" s="55"/>
      <c r="F997" s="55"/>
      <c r="G997" s="55"/>
      <c r="H997" s="55"/>
      <c r="I997" s="55"/>
      <c r="J997" s="55"/>
      <c r="K997" s="55"/>
      <c r="L997" s="55"/>
      <c r="M997" s="55"/>
      <c r="N997" s="55"/>
      <c r="O997" s="55"/>
      <c r="P997" s="55"/>
      <c r="Q997" s="56"/>
      <c r="R997" s="56"/>
      <c r="S997" s="56"/>
      <c r="T997" s="56"/>
      <c r="U997" s="56"/>
      <c r="V997" s="56"/>
      <c r="W997" s="56"/>
      <c r="X997" s="56"/>
      <c r="Y997" s="56"/>
      <c r="Z997" s="59"/>
    </row>
    <row r="998">
      <c r="A998" s="55"/>
      <c r="B998" s="55"/>
      <c r="C998" s="55"/>
      <c r="D998" s="55"/>
      <c r="E998" s="55"/>
      <c r="F998" s="55"/>
      <c r="G998" s="55"/>
      <c r="H998" s="55"/>
      <c r="I998" s="55"/>
      <c r="J998" s="55"/>
      <c r="K998" s="55"/>
      <c r="L998" s="55"/>
      <c r="M998" s="55"/>
      <c r="N998" s="55"/>
      <c r="O998" s="55"/>
      <c r="P998" s="55"/>
      <c r="Q998" s="56"/>
      <c r="R998" s="56"/>
      <c r="S998" s="56"/>
      <c r="T998" s="56"/>
      <c r="U998" s="56"/>
      <c r="V998" s="56"/>
      <c r="W998" s="56"/>
      <c r="X998" s="56"/>
      <c r="Y998" s="56"/>
      <c r="Z998" s="59"/>
    </row>
    <row r="999">
      <c r="A999" s="55"/>
      <c r="B999" s="55"/>
      <c r="C999" s="55"/>
      <c r="D999" s="55"/>
      <c r="E999" s="55"/>
      <c r="F999" s="55"/>
      <c r="G999" s="55"/>
      <c r="H999" s="55"/>
      <c r="I999" s="55"/>
      <c r="J999" s="55"/>
      <c r="K999" s="55"/>
      <c r="L999" s="55"/>
      <c r="M999" s="55"/>
      <c r="N999" s="55"/>
      <c r="O999" s="55"/>
      <c r="P999" s="55"/>
      <c r="Q999" s="56"/>
      <c r="R999" s="56"/>
      <c r="S999" s="56"/>
      <c r="T999" s="56"/>
      <c r="U999" s="56"/>
      <c r="V999" s="56"/>
      <c r="W999" s="56"/>
      <c r="X999" s="56"/>
      <c r="Y999" s="56"/>
      <c r="Z999" s="59"/>
    </row>
    <row r="1000">
      <c r="A1000" s="181"/>
      <c r="B1000" s="181"/>
      <c r="C1000" s="181"/>
      <c r="D1000" s="181"/>
      <c r="E1000" s="181"/>
      <c r="F1000" s="181"/>
      <c r="G1000" s="181"/>
      <c r="H1000" s="181"/>
      <c r="I1000" s="181"/>
      <c r="J1000" s="181"/>
      <c r="K1000" s="181"/>
      <c r="L1000" s="181"/>
      <c r="M1000" s="181"/>
      <c r="N1000" s="181"/>
      <c r="O1000" s="181"/>
      <c r="P1000" s="181"/>
      <c r="Q1000" s="59"/>
      <c r="R1000" s="59"/>
      <c r="S1000" s="59"/>
      <c r="T1000" s="59"/>
      <c r="U1000" s="59"/>
      <c r="V1000" s="59"/>
      <c r="W1000" s="59"/>
      <c r="X1000" s="59"/>
      <c r="Y1000" s="59"/>
      <c r="Z1000" s="59"/>
    </row>
  </sheetData>
  <hyperlinks>
    <hyperlink r:id="rId1" ref="F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2.33"/>
    <col customWidth="1" min="2" max="2" width="52.22"/>
    <col customWidth="1" min="3" max="3" width="27.0"/>
    <col customWidth="1" min="4" max="4" width="35.78"/>
    <col customWidth="1" min="5" max="5" width="70.0"/>
    <col customWidth="1" min="6" max="6" width="47.78"/>
    <col customWidth="1" min="7" max="26" width="13.44"/>
  </cols>
  <sheetData>
    <row r="1" ht="75.0" customHeight="1">
      <c r="A1" s="6"/>
      <c r="B1" s="8" t="s">
        <v>13</v>
      </c>
      <c r="C1" s="8"/>
      <c r="D1" s="11" t="s">
        <v>27</v>
      </c>
      <c r="E1" s="14" t="s">
        <v>30</v>
      </c>
      <c r="F1" s="17" t="s">
        <v>31</v>
      </c>
      <c r="G1" s="18"/>
      <c r="H1" s="18"/>
      <c r="I1" s="18"/>
      <c r="J1" s="18"/>
      <c r="K1" s="18"/>
      <c r="L1" s="18"/>
      <c r="M1" s="18"/>
      <c r="N1" s="18"/>
      <c r="O1" s="18"/>
      <c r="P1" s="18"/>
      <c r="Q1" s="18"/>
      <c r="R1" s="18"/>
      <c r="S1" s="18"/>
      <c r="T1" s="18"/>
      <c r="U1" s="18"/>
      <c r="V1" s="18"/>
      <c r="W1" s="18"/>
      <c r="X1" s="18"/>
      <c r="Y1" s="18"/>
      <c r="Z1" s="18"/>
    </row>
    <row r="2" ht="40.5" customHeight="1">
      <c r="A2" s="21"/>
      <c r="B2" s="21" t="s">
        <v>36</v>
      </c>
      <c r="C2" s="21" t="s">
        <v>37</v>
      </c>
      <c r="D2" s="21" t="s">
        <v>38</v>
      </c>
      <c r="E2" s="21" t="s">
        <v>40</v>
      </c>
      <c r="F2" s="21" t="s">
        <v>41</v>
      </c>
      <c r="G2" s="24"/>
      <c r="H2" s="25"/>
      <c r="I2" s="25"/>
      <c r="J2" s="25"/>
      <c r="K2" s="25"/>
      <c r="L2" s="25"/>
      <c r="M2" s="25"/>
      <c r="N2" s="25"/>
      <c r="O2" s="25"/>
      <c r="P2" s="25"/>
      <c r="Q2" s="25"/>
      <c r="R2" s="25"/>
      <c r="S2" s="25"/>
      <c r="T2" s="25"/>
      <c r="U2" s="25"/>
      <c r="V2" s="25"/>
      <c r="W2" s="25"/>
      <c r="X2" s="25"/>
      <c r="Y2" s="25"/>
      <c r="Z2" s="25"/>
    </row>
    <row r="3" ht="34.5" customHeight="1">
      <c r="A3" s="30"/>
      <c r="B3" s="32" t="s">
        <v>44</v>
      </c>
      <c r="C3" s="32"/>
      <c r="D3" s="30"/>
      <c r="E3" s="34"/>
      <c r="F3" s="30"/>
      <c r="G3" s="36"/>
      <c r="H3" s="37"/>
      <c r="I3" s="37"/>
      <c r="J3" s="37"/>
      <c r="K3" s="37"/>
      <c r="L3" s="37"/>
      <c r="M3" s="37"/>
      <c r="N3" s="37"/>
      <c r="O3" s="37"/>
      <c r="P3" s="37"/>
      <c r="Q3" s="37"/>
      <c r="R3" s="37"/>
      <c r="S3" s="37"/>
      <c r="T3" s="37"/>
      <c r="U3" s="37"/>
      <c r="V3" s="37"/>
      <c r="W3" s="37"/>
      <c r="X3" s="37"/>
      <c r="Y3" s="37"/>
      <c r="Z3" s="37"/>
    </row>
    <row r="4" ht="390.0" customHeight="1">
      <c r="A4" s="39"/>
      <c r="B4" s="39" t="s">
        <v>54</v>
      </c>
      <c r="C4" s="42" t="s">
        <v>56</v>
      </c>
      <c r="D4" s="45" t="s">
        <v>59</v>
      </c>
      <c r="E4" s="49" t="s">
        <v>65</v>
      </c>
      <c r="F4" s="52" t="s">
        <v>66</v>
      </c>
      <c r="G4" s="53"/>
    </row>
    <row r="5" ht="386.25" customHeight="1">
      <c r="A5" s="45"/>
      <c r="B5" s="45" t="s">
        <v>67</v>
      </c>
      <c r="C5" s="42" t="s">
        <v>56</v>
      </c>
      <c r="D5" s="45" t="s">
        <v>68</v>
      </c>
      <c r="E5" s="49" t="s">
        <v>70</v>
      </c>
      <c r="F5" s="52" t="s">
        <v>66</v>
      </c>
      <c r="G5" s="57" t="s">
        <v>73</v>
      </c>
    </row>
    <row r="6" ht="362.25" customHeight="1">
      <c r="A6" s="45"/>
      <c r="B6" s="45" t="s">
        <v>76</v>
      </c>
      <c r="C6" s="42" t="s">
        <v>56</v>
      </c>
      <c r="D6" s="45" t="s">
        <v>68</v>
      </c>
      <c r="E6" s="49" t="s">
        <v>77</v>
      </c>
      <c r="F6" s="52" t="s">
        <v>66</v>
      </c>
      <c r="G6" s="53"/>
    </row>
    <row r="7" ht="300.0" customHeight="1">
      <c r="A7" s="45"/>
      <c r="B7" s="45" t="s">
        <v>79</v>
      </c>
      <c r="C7" s="42" t="s">
        <v>56</v>
      </c>
      <c r="D7" s="45" t="s">
        <v>68</v>
      </c>
      <c r="E7" s="60" t="s">
        <v>80</v>
      </c>
      <c r="F7" s="52" t="s">
        <v>66</v>
      </c>
      <c r="G7" s="53"/>
    </row>
    <row r="8" ht="402.75" customHeight="1">
      <c r="A8" s="45"/>
      <c r="B8" s="45" t="s">
        <v>84</v>
      </c>
      <c r="C8" s="42" t="s">
        <v>56</v>
      </c>
      <c r="D8" s="45" t="s">
        <v>85</v>
      </c>
      <c r="E8" s="60" t="s">
        <v>87</v>
      </c>
      <c r="F8" s="52" t="s">
        <v>66</v>
      </c>
      <c r="G8" s="53"/>
    </row>
    <row r="9" ht="356.25" customHeight="1">
      <c r="A9" s="45"/>
      <c r="B9" s="45" t="s">
        <v>90</v>
      </c>
      <c r="C9" s="42" t="s">
        <v>56</v>
      </c>
      <c r="D9" s="45" t="s">
        <v>68</v>
      </c>
      <c r="E9" s="49" t="s">
        <v>92</v>
      </c>
      <c r="F9" s="52" t="s">
        <v>66</v>
      </c>
      <c r="G9" s="53"/>
    </row>
    <row r="10" ht="34.5" customHeight="1">
      <c r="A10" s="30"/>
      <c r="B10" s="32" t="s">
        <v>94</v>
      </c>
      <c r="C10" s="32"/>
      <c r="D10" s="30"/>
      <c r="E10" s="34"/>
      <c r="F10" s="30"/>
      <c r="G10" s="36"/>
      <c r="H10" s="37"/>
      <c r="I10" s="37"/>
      <c r="J10" s="37"/>
      <c r="K10" s="37"/>
      <c r="L10" s="37"/>
      <c r="M10" s="37"/>
      <c r="N10" s="37"/>
      <c r="O10" s="37"/>
      <c r="P10" s="37"/>
      <c r="Q10" s="37"/>
      <c r="R10" s="37"/>
      <c r="S10" s="37"/>
      <c r="T10" s="37"/>
      <c r="U10" s="37"/>
      <c r="V10" s="37"/>
      <c r="W10" s="37"/>
      <c r="X10" s="37"/>
      <c r="Y10" s="37"/>
      <c r="Z10" s="37"/>
    </row>
    <row r="11" ht="76.5" customHeight="1">
      <c r="A11" s="45"/>
      <c r="B11" s="45" t="s">
        <v>100</v>
      </c>
      <c r="C11" s="42" t="s">
        <v>56</v>
      </c>
      <c r="D11" s="45" t="s">
        <v>102</v>
      </c>
      <c r="E11" s="69" t="s">
        <v>103</v>
      </c>
      <c r="F11" s="52" t="s">
        <v>107</v>
      </c>
      <c r="G11" s="53"/>
    </row>
    <row r="12" ht="76.5" customHeight="1">
      <c r="A12" s="45"/>
      <c r="B12" s="72" t="s">
        <v>110</v>
      </c>
      <c r="C12" s="42" t="s">
        <v>56</v>
      </c>
      <c r="D12" s="45" t="s">
        <v>112</v>
      </c>
      <c r="E12" s="76" t="s">
        <v>114</v>
      </c>
      <c r="F12" s="52" t="s">
        <v>66</v>
      </c>
      <c r="G12" s="53"/>
    </row>
    <row r="13" ht="34.5" customHeight="1">
      <c r="A13" s="30"/>
      <c r="B13" s="32" t="s">
        <v>116</v>
      </c>
      <c r="C13" s="32"/>
      <c r="D13" s="30"/>
      <c r="E13" s="34"/>
      <c r="F13" s="30"/>
      <c r="G13" s="36"/>
      <c r="H13" s="37"/>
      <c r="I13" s="37"/>
      <c r="J13" s="37"/>
      <c r="K13" s="37"/>
      <c r="L13" s="37"/>
      <c r="M13" s="37"/>
      <c r="N13" s="37"/>
      <c r="O13" s="37"/>
      <c r="P13" s="37"/>
      <c r="Q13" s="37"/>
      <c r="R13" s="37"/>
      <c r="S13" s="37"/>
      <c r="T13" s="37"/>
      <c r="U13" s="37"/>
      <c r="V13" s="37"/>
      <c r="W13" s="37"/>
      <c r="X13" s="37"/>
      <c r="Y13" s="37"/>
      <c r="Z13" s="37"/>
    </row>
    <row r="14" ht="211.5" customHeight="1">
      <c r="A14" s="45"/>
      <c r="B14" s="45" t="s">
        <v>120</v>
      </c>
      <c r="C14" s="42" t="s">
        <v>56</v>
      </c>
      <c r="D14" s="45" t="s">
        <v>102</v>
      </c>
      <c r="E14" s="49" t="s">
        <v>123</v>
      </c>
      <c r="F14" s="52" t="s">
        <v>66</v>
      </c>
      <c r="G14" s="53"/>
    </row>
    <row r="15" ht="82.5" customHeight="1">
      <c r="A15" s="45"/>
      <c r="B15" s="45" t="s">
        <v>124</v>
      </c>
      <c r="C15" s="42" t="s">
        <v>56</v>
      </c>
      <c r="D15" s="45" t="s">
        <v>102</v>
      </c>
      <c r="E15" s="49" t="s">
        <v>128</v>
      </c>
      <c r="F15" s="52" t="s">
        <v>66</v>
      </c>
      <c r="G15" s="53"/>
    </row>
    <row r="16" ht="82.5" customHeight="1">
      <c r="A16" s="45"/>
      <c r="B16" s="45" t="s">
        <v>131</v>
      </c>
      <c r="C16" s="42" t="s">
        <v>56</v>
      </c>
      <c r="D16" s="45" t="s">
        <v>102</v>
      </c>
      <c r="E16" s="76" t="s">
        <v>133</v>
      </c>
      <c r="F16" s="52" t="s">
        <v>66</v>
      </c>
      <c r="G16" s="53"/>
    </row>
    <row r="17" ht="82.5" customHeight="1">
      <c r="A17" s="45"/>
      <c r="B17" s="45" t="s">
        <v>137</v>
      </c>
      <c r="C17" s="42" t="s">
        <v>56</v>
      </c>
      <c r="D17" s="45" t="s">
        <v>102</v>
      </c>
      <c r="E17" s="76" t="s">
        <v>140</v>
      </c>
      <c r="F17" s="52" t="s">
        <v>66</v>
      </c>
      <c r="G17" s="53"/>
    </row>
    <row r="18" ht="175.5" customHeight="1">
      <c r="A18" s="45"/>
      <c r="B18" s="72" t="s">
        <v>142</v>
      </c>
      <c r="C18" s="42" t="s">
        <v>56</v>
      </c>
      <c r="D18" s="45" t="s">
        <v>102</v>
      </c>
      <c r="E18" s="89" t="s">
        <v>147</v>
      </c>
      <c r="F18" s="52" t="s">
        <v>66</v>
      </c>
      <c r="G18" s="53"/>
    </row>
    <row r="19" ht="34.5" customHeight="1">
      <c r="A19" s="30"/>
      <c r="B19" s="32" t="s">
        <v>150</v>
      </c>
      <c r="C19" s="32"/>
      <c r="D19" s="30"/>
      <c r="E19" s="34"/>
      <c r="F19" s="30"/>
      <c r="G19" s="36"/>
      <c r="H19" s="37"/>
      <c r="I19" s="37"/>
      <c r="J19" s="37"/>
      <c r="K19" s="37"/>
      <c r="L19" s="37"/>
      <c r="M19" s="37"/>
      <c r="N19" s="37"/>
      <c r="O19" s="37"/>
      <c r="P19" s="37"/>
      <c r="Q19" s="37"/>
      <c r="R19" s="37"/>
      <c r="S19" s="37"/>
      <c r="T19" s="37"/>
      <c r="U19" s="37"/>
      <c r="V19" s="37"/>
      <c r="W19" s="37"/>
      <c r="X19" s="37"/>
      <c r="Y19" s="37"/>
      <c r="Z19" s="37"/>
    </row>
    <row r="20" ht="105.0" customHeight="1">
      <c r="A20" s="45"/>
      <c r="B20" s="45" t="s">
        <v>154</v>
      </c>
      <c r="C20" s="42" t="s">
        <v>56</v>
      </c>
      <c r="D20" s="42" t="s">
        <v>155</v>
      </c>
      <c r="E20" s="49" t="s">
        <v>157</v>
      </c>
      <c r="F20" s="52" t="s">
        <v>66</v>
      </c>
      <c r="G20" s="53"/>
    </row>
    <row r="21" ht="147.0" customHeight="1">
      <c r="A21" s="45"/>
      <c r="B21" s="45" t="s">
        <v>159</v>
      </c>
      <c r="C21" s="42" t="s">
        <v>56</v>
      </c>
      <c r="D21" s="45" t="s">
        <v>155</v>
      </c>
      <c r="E21" s="49" t="s">
        <v>160</v>
      </c>
      <c r="F21" s="52" t="s">
        <v>66</v>
      </c>
      <c r="G21" s="53"/>
    </row>
    <row r="22" ht="105.0" customHeight="1">
      <c r="A22" s="45"/>
      <c r="B22" s="45" t="s">
        <v>162</v>
      </c>
      <c r="C22" s="42" t="s">
        <v>56</v>
      </c>
      <c r="D22" s="45" t="s">
        <v>155</v>
      </c>
      <c r="E22" s="91" t="s">
        <v>164</v>
      </c>
      <c r="F22" s="52" t="s">
        <v>66</v>
      </c>
      <c r="G22" s="53"/>
    </row>
    <row r="23" ht="105.0" customHeight="1">
      <c r="A23" s="45"/>
      <c r="B23" s="45" t="s">
        <v>165</v>
      </c>
      <c r="C23" s="42" t="s">
        <v>56</v>
      </c>
      <c r="D23" s="45" t="s">
        <v>155</v>
      </c>
      <c r="E23" s="91" t="s">
        <v>168</v>
      </c>
      <c r="F23" s="52" t="s">
        <v>66</v>
      </c>
      <c r="G23" s="53"/>
    </row>
    <row r="24" ht="105.0" customHeight="1">
      <c r="A24" s="45"/>
      <c r="B24" s="45" t="s">
        <v>169</v>
      </c>
      <c r="C24" s="42" t="s">
        <v>56</v>
      </c>
      <c r="D24" s="45" t="s">
        <v>59</v>
      </c>
      <c r="E24" s="49" t="s">
        <v>172</v>
      </c>
      <c r="F24" s="52" t="s">
        <v>66</v>
      </c>
      <c r="G24" s="53"/>
    </row>
    <row r="25" ht="142.5" customHeight="1">
      <c r="A25" s="45"/>
      <c r="B25" s="45" t="s">
        <v>175</v>
      </c>
      <c r="C25" s="42" t="s">
        <v>56</v>
      </c>
      <c r="D25" s="45" t="s">
        <v>59</v>
      </c>
      <c r="E25" s="49" t="s">
        <v>176</v>
      </c>
      <c r="F25" s="52" t="s">
        <v>66</v>
      </c>
      <c r="G25" s="53"/>
    </row>
    <row r="26" ht="105.0" customHeight="1">
      <c r="A26" s="45"/>
      <c r="B26" s="72" t="s">
        <v>177</v>
      </c>
      <c r="C26" s="42" t="s">
        <v>56</v>
      </c>
      <c r="D26" s="45" t="s">
        <v>155</v>
      </c>
      <c r="E26" s="49" t="s">
        <v>180</v>
      </c>
      <c r="F26" s="52" t="s">
        <v>66</v>
      </c>
      <c r="G26" s="53"/>
    </row>
    <row r="27" ht="105.0" customHeight="1">
      <c r="A27" s="45"/>
      <c r="B27" s="45" t="s">
        <v>184</v>
      </c>
      <c r="C27" s="42" t="s">
        <v>56</v>
      </c>
      <c r="D27" s="45" t="s">
        <v>102</v>
      </c>
      <c r="E27" s="49" t="s">
        <v>186</v>
      </c>
      <c r="F27" s="52" t="s">
        <v>66</v>
      </c>
      <c r="G27" s="53"/>
    </row>
    <row r="28" ht="105.0" customHeight="1">
      <c r="A28" s="45"/>
      <c r="B28" s="72" t="s">
        <v>187</v>
      </c>
      <c r="C28" s="42" t="s">
        <v>56</v>
      </c>
      <c r="D28" s="45" t="s">
        <v>59</v>
      </c>
      <c r="E28" s="89" t="s">
        <v>190</v>
      </c>
      <c r="F28" s="52" t="s">
        <v>66</v>
      </c>
      <c r="G28" s="53"/>
    </row>
    <row r="29" ht="253.5" customHeight="1">
      <c r="A29" s="45"/>
      <c r="B29" s="45" t="s">
        <v>193</v>
      </c>
      <c r="C29" s="42" t="s">
        <v>56</v>
      </c>
      <c r="D29" s="45" t="s">
        <v>59</v>
      </c>
      <c r="E29" s="49" t="s">
        <v>196</v>
      </c>
      <c r="F29" s="52" t="s">
        <v>66</v>
      </c>
      <c r="G29" s="53"/>
    </row>
    <row r="30" ht="105.0" customHeight="1">
      <c r="A30" s="45"/>
      <c r="B30" s="72" t="s">
        <v>197</v>
      </c>
      <c r="C30" s="42" t="s">
        <v>56</v>
      </c>
      <c r="D30" s="45" t="s">
        <v>85</v>
      </c>
      <c r="E30" s="49" t="s">
        <v>200</v>
      </c>
      <c r="F30" s="52" t="s">
        <v>66</v>
      </c>
      <c r="G30" s="53"/>
    </row>
  </sheetData>
  <dataValidations>
    <dataValidation type="list" allowBlank="1" showErrorMessage="1" sqref="C4:C9 C11:C12 C14:C18 C20:C30">
      <formula1>"Pass,Needs Improvement,Not Applicable To Us"</formula1>
    </dataValidation>
    <dataValidation type="list" allowBlank="1" showErrorMessage="1" sqref="D4:D9 D11:D12 D14:D18 D20:D30">
      <formula1>"Development/Coding,Editing/Proofreading,Research &amp; Data Entry,Outreach,Content Creation,Strategy Discussion"</formula1>
    </dataValidation>
    <dataValidation type="list" allowBlank="1" showErrorMessage="1" sqref="F4:F9 F11:F12 F14:F18 F20:F30">
      <formula1>"Not Started,In Progress,Needs Review,Staged,Published"</formula1>
    </dataValidation>
  </dataValidations>
  <hyperlinks>
    <hyperlink r:id="rId1" ref="E11"/>
    <hyperlink r:id="rId2" ref="B12"/>
    <hyperlink r:id="rId3" ref="E12"/>
    <hyperlink r:id="rId4" ref="E16"/>
    <hyperlink r:id="rId5" ref="E17"/>
    <hyperlink r:id="rId6" ref="B18"/>
    <hyperlink r:id="rId7" ref="B26"/>
    <hyperlink r:id="rId8" ref="B28"/>
    <hyperlink r:id="rId9" ref="B30"/>
  </hyperlinks>
  <printOptions gridLines="1" horizontalCentered="1"/>
  <pageMargins bottom="0.75" footer="0.0" header="0.0" left="0.7" right="0.7" top="0.75"/>
  <pageSetup fitToHeight="0" cellComments="atEnd" orientation="landscape" pageOrder="overThenDown"/>
  <drawing r:id="rId10"/>
  <tableParts count="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56"/>
    <col customWidth="1" min="2" max="2" width="106.89"/>
    <col customWidth="1" min="3" max="3" width="56.78"/>
    <col customWidth="1" hidden="1" min="4" max="4" width="13.44"/>
    <col customWidth="1" min="5" max="26" width="13.44"/>
  </cols>
  <sheetData>
    <row r="1">
      <c r="A1" s="2" t="s">
        <v>0</v>
      </c>
      <c r="B1" s="4" t="s">
        <v>4</v>
      </c>
      <c r="C1" s="5" t="s">
        <v>8</v>
      </c>
      <c r="D1" s="15" t="s">
        <v>12</v>
      </c>
      <c r="E1" s="13"/>
      <c r="F1" s="13"/>
      <c r="G1" s="13"/>
      <c r="H1" s="13"/>
      <c r="I1" s="13"/>
      <c r="J1" s="13"/>
      <c r="K1" s="13"/>
      <c r="L1" s="13"/>
      <c r="M1" s="13"/>
      <c r="N1" s="13"/>
      <c r="O1" s="13"/>
      <c r="P1" s="13"/>
      <c r="Q1" s="13"/>
      <c r="R1" s="13"/>
      <c r="S1" s="13"/>
      <c r="T1" s="13"/>
      <c r="U1" s="13"/>
      <c r="V1" s="13"/>
      <c r="W1" s="13"/>
      <c r="X1" s="13"/>
      <c r="Y1" s="13"/>
      <c r="Z1" s="13"/>
    </row>
    <row r="2" ht="102.75" customHeight="1">
      <c r="A2" s="26" t="s">
        <v>34</v>
      </c>
      <c r="B2" s="29" t="s">
        <v>39</v>
      </c>
      <c r="C2" s="31" t="s">
        <v>43</v>
      </c>
      <c r="D2" s="33"/>
      <c r="E2" s="33"/>
      <c r="F2" s="33"/>
      <c r="G2" s="33"/>
      <c r="H2" s="33"/>
      <c r="I2" s="33"/>
      <c r="J2" s="33"/>
      <c r="K2" s="33"/>
      <c r="L2" s="33"/>
      <c r="M2" s="33"/>
      <c r="N2" s="33"/>
      <c r="O2" s="33"/>
      <c r="P2" s="33"/>
      <c r="Q2" s="33"/>
      <c r="R2" s="33"/>
      <c r="S2" s="33"/>
      <c r="T2" s="33"/>
      <c r="U2" s="33"/>
      <c r="V2" s="33"/>
      <c r="W2" s="33"/>
      <c r="X2" s="33"/>
      <c r="Y2" s="33"/>
      <c r="Z2" s="33"/>
    </row>
    <row r="3" ht="102.75" customHeight="1">
      <c r="A3" s="38" t="s">
        <v>51</v>
      </c>
      <c r="B3" s="46" t="s">
        <v>62</v>
      </c>
      <c r="C3" s="54" t="s">
        <v>64</v>
      </c>
      <c r="D3" s="58" t="s">
        <v>72</v>
      </c>
      <c r="E3" s="58"/>
      <c r="F3" s="58"/>
      <c r="G3" s="58"/>
      <c r="H3" s="58"/>
      <c r="I3" s="58"/>
      <c r="J3" s="58"/>
      <c r="K3" s="58"/>
      <c r="L3" s="58"/>
      <c r="M3" s="58"/>
      <c r="N3" s="58"/>
      <c r="O3" s="58"/>
      <c r="P3" s="58"/>
      <c r="Q3" s="58"/>
      <c r="R3" s="58"/>
      <c r="S3" s="58"/>
      <c r="T3" s="58"/>
      <c r="U3" s="58"/>
      <c r="V3" s="58"/>
      <c r="W3" s="58"/>
      <c r="X3" s="58"/>
      <c r="Y3" s="58"/>
      <c r="Z3" s="58"/>
    </row>
    <row r="4" ht="102.75" customHeight="1">
      <c r="A4" s="61" t="s">
        <v>81</v>
      </c>
      <c r="B4" s="62" t="s">
        <v>86</v>
      </c>
      <c r="C4" s="63" t="s">
        <v>88</v>
      </c>
      <c r="D4" s="64" t="s">
        <v>89</v>
      </c>
      <c r="E4" s="64"/>
      <c r="F4" s="64"/>
      <c r="G4" s="64"/>
      <c r="H4" s="64"/>
      <c r="I4" s="64"/>
      <c r="J4" s="64"/>
      <c r="K4" s="64"/>
      <c r="L4" s="64"/>
      <c r="M4" s="64"/>
      <c r="N4" s="64"/>
      <c r="O4" s="64"/>
      <c r="P4" s="64"/>
      <c r="Q4" s="64"/>
      <c r="R4" s="64"/>
      <c r="S4" s="64"/>
      <c r="T4" s="64"/>
      <c r="U4" s="64"/>
      <c r="V4" s="64"/>
      <c r="W4" s="64"/>
      <c r="X4" s="64"/>
      <c r="Y4" s="64"/>
      <c r="Z4" s="64"/>
    </row>
    <row r="5" ht="102.75" customHeight="1">
      <c r="A5" s="65" t="s">
        <v>97</v>
      </c>
      <c r="B5" s="66" t="s">
        <v>98</v>
      </c>
      <c r="C5" s="67" t="s">
        <v>99</v>
      </c>
      <c r="D5" s="68" t="s">
        <v>104</v>
      </c>
      <c r="E5" s="68"/>
      <c r="F5" s="68"/>
      <c r="G5" s="68"/>
      <c r="H5" s="68"/>
      <c r="I5" s="68"/>
      <c r="J5" s="68"/>
      <c r="K5" s="68"/>
      <c r="L5" s="68"/>
      <c r="M5" s="68"/>
      <c r="N5" s="68"/>
      <c r="O5" s="68"/>
      <c r="P5" s="68"/>
      <c r="Q5" s="68"/>
      <c r="R5" s="68"/>
      <c r="S5" s="68"/>
      <c r="T5" s="68"/>
      <c r="U5" s="68"/>
      <c r="V5" s="68"/>
      <c r="W5" s="68"/>
      <c r="X5" s="68"/>
      <c r="Y5" s="68"/>
      <c r="Z5" s="68"/>
    </row>
    <row r="6" ht="102.75" customHeight="1">
      <c r="A6" s="71" t="s">
        <v>108</v>
      </c>
      <c r="B6" s="73" t="s">
        <v>111</v>
      </c>
      <c r="C6" s="74" t="s">
        <v>88</v>
      </c>
      <c r="D6" s="75" t="s">
        <v>115</v>
      </c>
      <c r="E6" s="75"/>
      <c r="F6" s="75"/>
      <c r="G6" s="75"/>
      <c r="H6" s="75"/>
      <c r="I6" s="75"/>
      <c r="J6" s="75"/>
      <c r="K6" s="75"/>
      <c r="L6" s="75"/>
      <c r="M6" s="75"/>
      <c r="N6" s="75"/>
      <c r="O6" s="75"/>
      <c r="P6" s="75"/>
      <c r="Q6" s="75"/>
      <c r="R6" s="75"/>
      <c r="S6" s="75"/>
      <c r="T6" s="75"/>
      <c r="U6" s="75"/>
      <c r="V6" s="75"/>
      <c r="W6" s="75"/>
      <c r="X6" s="75"/>
      <c r="Y6" s="75"/>
      <c r="Z6" s="75"/>
    </row>
    <row r="7" ht="102.75" customHeight="1">
      <c r="A7" s="78" t="s">
        <v>118</v>
      </c>
      <c r="B7" s="79" t="s">
        <v>121</v>
      </c>
      <c r="C7" s="80" t="s">
        <v>122</v>
      </c>
      <c r="D7" s="81" t="s">
        <v>125</v>
      </c>
      <c r="E7" s="81"/>
      <c r="F7" s="81"/>
      <c r="G7" s="81"/>
      <c r="H7" s="81"/>
      <c r="I7" s="81"/>
      <c r="J7" s="81"/>
      <c r="K7" s="81"/>
      <c r="L7" s="81"/>
      <c r="M7" s="81"/>
      <c r="N7" s="81"/>
      <c r="O7" s="81"/>
      <c r="P7" s="81"/>
      <c r="Q7" s="81"/>
      <c r="R7" s="81"/>
      <c r="S7" s="81"/>
      <c r="T7" s="81"/>
      <c r="U7" s="81"/>
      <c r="V7" s="81"/>
      <c r="W7" s="81"/>
      <c r="X7" s="81"/>
      <c r="Y7" s="81"/>
      <c r="Z7" s="81"/>
    </row>
    <row r="8" ht="102.75" customHeight="1">
      <c r="A8" s="82" t="s">
        <v>132</v>
      </c>
      <c r="B8" s="83" t="s">
        <v>135</v>
      </c>
      <c r="C8" s="84" t="s">
        <v>122</v>
      </c>
      <c r="D8" s="85" t="s">
        <v>139</v>
      </c>
      <c r="E8" s="85"/>
      <c r="F8" s="85"/>
      <c r="G8" s="85"/>
      <c r="H8" s="85"/>
      <c r="I8" s="85"/>
      <c r="J8" s="85"/>
      <c r="K8" s="85"/>
      <c r="L8" s="85"/>
      <c r="M8" s="85"/>
      <c r="N8" s="85"/>
      <c r="O8" s="85"/>
      <c r="P8" s="85"/>
      <c r="Q8" s="85"/>
      <c r="R8" s="85"/>
      <c r="S8" s="85"/>
      <c r="T8" s="85"/>
      <c r="U8" s="85"/>
      <c r="V8" s="85"/>
      <c r="W8" s="85"/>
      <c r="X8" s="85"/>
      <c r="Y8" s="85"/>
      <c r="Z8" s="85"/>
    </row>
    <row r="9" ht="102.75" customHeight="1">
      <c r="A9" s="86" t="s">
        <v>143</v>
      </c>
      <c r="B9" s="87" t="s">
        <v>146</v>
      </c>
      <c r="C9" s="88" t="s">
        <v>148</v>
      </c>
      <c r="D9" s="90"/>
      <c r="E9" s="90"/>
      <c r="F9" s="90"/>
      <c r="G9" s="90"/>
      <c r="H9" s="90"/>
      <c r="I9" s="90"/>
      <c r="J9" s="90"/>
      <c r="K9" s="90"/>
      <c r="L9" s="90"/>
      <c r="M9" s="90"/>
      <c r="N9" s="90"/>
      <c r="O9" s="90"/>
      <c r="P9" s="90"/>
      <c r="Q9" s="90"/>
      <c r="R9" s="90"/>
      <c r="S9" s="90"/>
      <c r="T9" s="90"/>
      <c r="U9" s="90"/>
      <c r="V9" s="90"/>
      <c r="W9" s="90"/>
      <c r="X9" s="90"/>
      <c r="Y9" s="90"/>
      <c r="Z9" s="90"/>
    </row>
    <row r="10" ht="102.75" customHeight="1">
      <c r="A10" s="71" t="s">
        <v>153</v>
      </c>
      <c r="B10" s="73" t="s">
        <v>156</v>
      </c>
      <c r="C10" s="74" t="s">
        <v>148</v>
      </c>
      <c r="D10" s="75"/>
      <c r="E10" s="75"/>
      <c r="F10" s="75"/>
      <c r="G10" s="75"/>
      <c r="H10" s="75"/>
      <c r="I10" s="75"/>
      <c r="J10" s="75"/>
      <c r="K10" s="75"/>
      <c r="L10" s="75"/>
      <c r="M10" s="75"/>
      <c r="N10" s="75"/>
      <c r="O10" s="75"/>
      <c r="P10" s="75"/>
      <c r="Q10" s="75"/>
      <c r="R10" s="75"/>
      <c r="S10" s="75"/>
      <c r="T10" s="75"/>
      <c r="U10" s="75"/>
      <c r="V10" s="75"/>
      <c r="W10" s="75"/>
      <c r="X10" s="75"/>
      <c r="Y10" s="75"/>
      <c r="Z10" s="75"/>
    </row>
    <row r="11">
      <c r="A11" s="92"/>
      <c r="B11" s="93"/>
      <c r="C11" s="92"/>
      <c r="D11" s="56"/>
      <c r="E11" s="56"/>
      <c r="F11" s="56"/>
      <c r="G11" s="56"/>
      <c r="H11" s="56"/>
      <c r="I11" s="56"/>
      <c r="J11" s="56"/>
      <c r="K11" s="56"/>
      <c r="L11" s="56"/>
      <c r="M11" s="56"/>
      <c r="N11" s="56"/>
      <c r="O11" s="56"/>
      <c r="P11" s="56"/>
      <c r="Q11" s="56"/>
      <c r="R11" s="56"/>
      <c r="S11" s="56"/>
      <c r="T11" s="56"/>
      <c r="U11" s="56"/>
      <c r="V11" s="56"/>
      <c r="W11" s="56"/>
      <c r="X11" s="56"/>
      <c r="Y11" s="56"/>
      <c r="Z11" s="56"/>
    </row>
    <row r="12">
      <c r="A12" s="92"/>
      <c r="B12" s="93"/>
      <c r="C12" s="92"/>
      <c r="D12" s="56"/>
      <c r="E12" s="56"/>
      <c r="F12" s="56"/>
      <c r="G12" s="56"/>
      <c r="H12" s="56"/>
      <c r="I12" s="56"/>
      <c r="J12" s="56"/>
      <c r="K12" s="56"/>
      <c r="L12" s="56"/>
      <c r="M12" s="56"/>
      <c r="N12" s="56"/>
      <c r="O12" s="56"/>
      <c r="P12" s="56"/>
      <c r="Q12" s="56"/>
      <c r="R12" s="56"/>
      <c r="S12" s="56"/>
      <c r="T12" s="56"/>
      <c r="U12" s="56"/>
      <c r="V12" s="56"/>
      <c r="W12" s="56"/>
      <c r="X12" s="56"/>
      <c r="Y12" s="56"/>
      <c r="Z12" s="56"/>
    </row>
    <row r="13">
      <c r="A13" s="92"/>
      <c r="B13" s="93"/>
      <c r="C13" s="92"/>
      <c r="D13" s="56"/>
      <c r="E13" s="56"/>
      <c r="F13" s="56"/>
      <c r="G13" s="56"/>
      <c r="H13" s="56"/>
      <c r="I13" s="56"/>
      <c r="J13" s="56"/>
      <c r="K13" s="56"/>
      <c r="L13" s="56"/>
      <c r="M13" s="56"/>
      <c r="N13" s="56"/>
      <c r="O13" s="56"/>
      <c r="P13" s="56"/>
      <c r="Q13" s="56"/>
      <c r="R13" s="56"/>
      <c r="S13" s="56"/>
      <c r="T13" s="56"/>
      <c r="U13" s="56"/>
      <c r="V13" s="56"/>
      <c r="W13" s="56"/>
      <c r="X13" s="56"/>
      <c r="Y13" s="56"/>
      <c r="Z13" s="56"/>
    </row>
    <row r="14">
      <c r="A14" s="92"/>
      <c r="B14" s="93"/>
      <c r="C14" s="92"/>
      <c r="D14" s="56"/>
      <c r="E14" s="56"/>
      <c r="F14" s="56"/>
      <c r="G14" s="56"/>
      <c r="H14" s="56"/>
      <c r="I14" s="56"/>
      <c r="J14" s="56"/>
      <c r="K14" s="56"/>
      <c r="L14" s="56"/>
      <c r="M14" s="56"/>
      <c r="N14" s="56"/>
      <c r="O14" s="56"/>
      <c r="P14" s="56"/>
      <c r="Q14" s="56"/>
      <c r="R14" s="56"/>
      <c r="S14" s="56"/>
      <c r="T14" s="56"/>
      <c r="U14" s="56"/>
      <c r="V14" s="56"/>
      <c r="W14" s="56"/>
      <c r="X14" s="56"/>
      <c r="Y14" s="56"/>
      <c r="Z14" s="56"/>
    </row>
    <row r="15">
      <c r="A15" s="92"/>
      <c r="B15" s="93"/>
      <c r="C15" s="92"/>
      <c r="D15" s="56"/>
      <c r="E15" s="56"/>
      <c r="F15" s="56"/>
      <c r="G15" s="56"/>
      <c r="H15" s="56"/>
      <c r="I15" s="56"/>
      <c r="J15" s="56"/>
      <c r="K15" s="56"/>
      <c r="L15" s="56"/>
      <c r="M15" s="56"/>
      <c r="N15" s="56"/>
      <c r="O15" s="56"/>
      <c r="P15" s="56"/>
      <c r="Q15" s="56"/>
      <c r="R15" s="56"/>
      <c r="S15" s="56"/>
      <c r="T15" s="56"/>
      <c r="U15" s="56"/>
      <c r="V15" s="56"/>
      <c r="W15" s="56"/>
      <c r="X15" s="56"/>
      <c r="Y15" s="56"/>
      <c r="Z15" s="56"/>
    </row>
    <row r="16">
      <c r="A16" s="92"/>
      <c r="B16" s="93"/>
      <c r="C16" s="92"/>
      <c r="D16" s="56"/>
      <c r="E16" s="56"/>
      <c r="F16" s="56"/>
      <c r="G16" s="56"/>
      <c r="H16" s="56"/>
      <c r="I16" s="56"/>
      <c r="J16" s="56"/>
      <c r="K16" s="56"/>
      <c r="L16" s="56"/>
      <c r="M16" s="56"/>
      <c r="N16" s="56"/>
      <c r="O16" s="56"/>
      <c r="P16" s="56"/>
      <c r="Q16" s="56"/>
      <c r="R16" s="56"/>
      <c r="S16" s="56"/>
      <c r="T16" s="56"/>
      <c r="U16" s="56"/>
      <c r="V16" s="56"/>
      <c r="W16" s="56"/>
      <c r="X16" s="56"/>
      <c r="Y16" s="56"/>
      <c r="Z16" s="56"/>
    </row>
    <row r="17">
      <c r="A17" s="92"/>
      <c r="B17" s="93"/>
      <c r="C17" s="92"/>
      <c r="D17" s="56"/>
      <c r="E17" s="56"/>
      <c r="F17" s="56"/>
      <c r="G17" s="56"/>
      <c r="H17" s="56"/>
      <c r="I17" s="56"/>
      <c r="J17" s="56"/>
      <c r="K17" s="56"/>
      <c r="L17" s="56"/>
      <c r="M17" s="56"/>
      <c r="N17" s="56"/>
      <c r="O17" s="56"/>
      <c r="P17" s="56"/>
      <c r="Q17" s="56"/>
      <c r="R17" s="56"/>
      <c r="S17" s="56"/>
      <c r="T17" s="56"/>
      <c r="U17" s="56"/>
      <c r="V17" s="56"/>
      <c r="W17" s="56"/>
      <c r="X17" s="56"/>
      <c r="Y17" s="56"/>
      <c r="Z17" s="56"/>
    </row>
    <row r="18">
      <c r="A18" s="92"/>
      <c r="B18" s="93"/>
      <c r="C18" s="92"/>
      <c r="D18" s="56"/>
      <c r="E18" s="56"/>
      <c r="F18" s="56"/>
      <c r="G18" s="56"/>
      <c r="H18" s="56"/>
      <c r="I18" s="56"/>
      <c r="J18" s="56"/>
      <c r="K18" s="56"/>
      <c r="L18" s="56"/>
      <c r="M18" s="56"/>
      <c r="N18" s="56"/>
      <c r="O18" s="56"/>
      <c r="P18" s="56"/>
      <c r="Q18" s="56"/>
      <c r="R18" s="56"/>
      <c r="S18" s="56"/>
      <c r="T18" s="56"/>
      <c r="U18" s="56"/>
      <c r="V18" s="56"/>
      <c r="W18" s="56"/>
      <c r="X18" s="56"/>
      <c r="Y18" s="56"/>
      <c r="Z18" s="56"/>
    </row>
    <row r="19" ht="18.0" customHeight="1">
      <c r="A19" s="92"/>
      <c r="B19" s="93"/>
      <c r="C19" s="92"/>
      <c r="D19" s="56"/>
      <c r="E19" s="56"/>
      <c r="F19" s="56"/>
      <c r="G19" s="56"/>
      <c r="H19" s="56"/>
      <c r="I19" s="56"/>
      <c r="J19" s="56"/>
      <c r="K19" s="56"/>
      <c r="L19" s="56"/>
      <c r="M19" s="56"/>
      <c r="N19" s="56"/>
      <c r="O19" s="56"/>
      <c r="P19" s="56"/>
      <c r="Q19" s="56"/>
      <c r="R19" s="56"/>
      <c r="S19" s="56"/>
      <c r="T19" s="56"/>
      <c r="U19" s="56"/>
      <c r="V19" s="56"/>
      <c r="W19" s="56"/>
      <c r="X19" s="56"/>
      <c r="Y19" s="56"/>
      <c r="Z19" s="56"/>
    </row>
    <row r="20" ht="15.75" customHeight="1">
      <c r="A20" s="92"/>
      <c r="B20" s="93"/>
      <c r="C20" s="92"/>
      <c r="D20" s="56"/>
      <c r="E20" s="56"/>
      <c r="F20" s="56"/>
      <c r="G20" s="56"/>
      <c r="H20" s="56"/>
      <c r="I20" s="56"/>
      <c r="J20" s="56"/>
      <c r="K20" s="56"/>
      <c r="L20" s="56"/>
      <c r="M20" s="56"/>
      <c r="N20" s="56"/>
      <c r="O20" s="56"/>
      <c r="P20" s="56"/>
      <c r="Q20" s="56"/>
      <c r="R20" s="56"/>
      <c r="S20" s="56"/>
      <c r="T20" s="56"/>
      <c r="U20" s="56"/>
      <c r="V20" s="56"/>
      <c r="W20" s="56"/>
      <c r="X20" s="56"/>
      <c r="Y20" s="56"/>
      <c r="Z20" s="56"/>
    </row>
    <row r="21" ht="15.75" customHeight="1">
      <c r="A21" s="92"/>
      <c r="B21" s="93"/>
      <c r="C21" s="92"/>
      <c r="D21" s="56"/>
      <c r="E21" s="56"/>
      <c r="F21" s="56"/>
      <c r="G21" s="56"/>
      <c r="H21" s="56"/>
      <c r="I21" s="56"/>
      <c r="J21" s="56"/>
      <c r="K21" s="56"/>
      <c r="L21" s="56"/>
      <c r="M21" s="56"/>
      <c r="N21" s="56"/>
      <c r="O21" s="56"/>
      <c r="P21" s="56"/>
      <c r="Q21" s="56"/>
      <c r="R21" s="56"/>
      <c r="S21" s="56"/>
      <c r="T21" s="56"/>
      <c r="U21" s="56"/>
      <c r="V21" s="56"/>
      <c r="W21" s="56"/>
      <c r="X21" s="56"/>
      <c r="Y21" s="56"/>
      <c r="Z21" s="56"/>
    </row>
    <row r="22" ht="15.75" customHeight="1">
      <c r="A22" s="92"/>
      <c r="B22" s="93"/>
      <c r="C22" s="92"/>
      <c r="D22" s="56"/>
      <c r="E22" s="56"/>
      <c r="F22" s="56"/>
      <c r="G22" s="56"/>
      <c r="H22" s="56"/>
      <c r="I22" s="56"/>
      <c r="J22" s="56"/>
      <c r="K22" s="56"/>
      <c r="L22" s="56"/>
      <c r="M22" s="56"/>
      <c r="N22" s="56"/>
      <c r="O22" s="56"/>
      <c r="P22" s="56"/>
      <c r="Q22" s="56"/>
      <c r="R22" s="56"/>
      <c r="S22" s="56"/>
      <c r="T22" s="56"/>
      <c r="U22" s="56"/>
      <c r="V22" s="56"/>
      <c r="W22" s="56"/>
      <c r="X22" s="56"/>
      <c r="Y22" s="56"/>
      <c r="Z22" s="56"/>
    </row>
    <row r="23" ht="15.75" customHeight="1">
      <c r="A23" s="92"/>
      <c r="B23" s="93"/>
      <c r="C23" s="92"/>
      <c r="D23" s="56"/>
      <c r="E23" s="56"/>
      <c r="F23" s="56"/>
      <c r="G23" s="56"/>
      <c r="H23" s="56"/>
      <c r="I23" s="56"/>
      <c r="J23" s="56"/>
      <c r="K23" s="56"/>
      <c r="L23" s="56"/>
      <c r="M23" s="56"/>
      <c r="N23" s="56"/>
      <c r="O23" s="56"/>
      <c r="P23" s="56"/>
      <c r="Q23" s="56"/>
      <c r="R23" s="56"/>
      <c r="S23" s="56"/>
      <c r="T23" s="56"/>
      <c r="U23" s="56"/>
      <c r="V23" s="56"/>
      <c r="W23" s="56"/>
      <c r="X23" s="56"/>
      <c r="Y23" s="56"/>
      <c r="Z23" s="56"/>
    </row>
    <row r="24" ht="15.75" customHeight="1">
      <c r="A24" s="92"/>
      <c r="B24" s="93"/>
      <c r="C24" s="92"/>
      <c r="D24" s="56"/>
      <c r="E24" s="56"/>
      <c r="F24" s="56"/>
      <c r="G24" s="56"/>
      <c r="H24" s="56"/>
      <c r="I24" s="56"/>
      <c r="J24" s="56"/>
      <c r="K24" s="56"/>
      <c r="L24" s="56"/>
      <c r="M24" s="56"/>
      <c r="N24" s="56"/>
      <c r="O24" s="56"/>
      <c r="P24" s="56"/>
      <c r="Q24" s="56"/>
      <c r="R24" s="56"/>
      <c r="S24" s="56"/>
      <c r="T24" s="56"/>
      <c r="U24" s="56"/>
      <c r="V24" s="56"/>
      <c r="W24" s="56"/>
      <c r="X24" s="56"/>
      <c r="Y24" s="56"/>
      <c r="Z24" s="56"/>
    </row>
    <row r="25" ht="15.75" customHeight="1">
      <c r="A25" s="92"/>
      <c r="B25" s="93"/>
      <c r="C25" s="92"/>
      <c r="D25" s="56"/>
      <c r="E25" s="56"/>
      <c r="F25" s="56"/>
      <c r="G25" s="56"/>
      <c r="H25" s="56"/>
      <c r="I25" s="56"/>
      <c r="J25" s="56"/>
      <c r="K25" s="56"/>
      <c r="L25" s="56"/>
      <c r="M25" s="56"/>
      <c r="N25" s="56"/>
      <c r="O25" s="56"/>
      <c r="P25" s="56"/>
      <c r="Q25" s="56"/>
      <c r="R25" s="56"/>
      <c r="S25" s="56"/>
      <c r="T25" s="56"/>
      <c r="U25" s="56"/>
      <c r="V25" s="56"/>
      <c r="W25" s="56"/>
      <c r="X25" s="56"/>
      <c r="Y25" s="56"/>
      <c r="Z25" s="56"/>
    </row>
    <row r="26" ht="15.75" customHeight="1">
      <c r="A26" s="92"/>
      <c r="B26" s="93"/>
      <c r="C26" s="92"/>
      <c r="D26" s="56"/>
      <c r="E26" s="56"/>
      <c r="F26" s="56"/>
      <c r="G26" s="56"/>
      <c r="H26" s="56"/>
      <c r="I26" s="56"/>
      <c r="J26" s="56"/>
      <c r="K26" s="56"/>
      <c r="L26" s="56"/>
      <c r="M26" s="56"/>
      <c r="N26" s="56"/>
      <c r="O26" s="56"/>
      <c r="P26" s="56"/>
      <c r="Q26" s="56"/>
      <c r="R26" s="56"/>
      <c r="S26" s="56"/>
      <c r="T26" s="56"/>
      <c r="U26" s="56"/>
      <c r="V26" s="56"/>
      <c r="W26" s="56"/>
      <c r="X26" s="56"/>
      <c r="Y26" s="56"/>
      <c r="Z26" s="56"/>
    </row>
    <row r="27" ht="15.75" customHeight="1">
      <c r="A27" s="92"/>
      <c r="B27" s="93"/>
      <c r="C27" s="92"/>
      <c r="D27" s="56"/>
      <c r="E27" s="56"/>
      <c r="F27" s="56"/>
      <c r="G27" s="56"/>
      <c r="H27" s="56"/>
      <c r="I27" s="56"/>
      <c r="J27" s="56"/>
      <c r="K27" s="56"/>
      <c r="L27" s="56"/>
      <c r="M27" s="56"/>
      <c r="N27" s="56"/>
      <c r="O27" s="56"/>
      <c r="P27" s="56"/>
      <c r="Q27" s="56"/>
      <c r="R27" s="56"/>
      <c r="S27" s="56"/>
      <c r="T27" s="56"/>
      <c r="U27" s="56"/>
      <c r="V27" s="56"/>
      <c r="W27" s="56"/>
      <c r="X27" s="56"/>
      <c r="Y27" s="56"/>
      <c r="Z27" s="56"/>
    </row>
    <row r="28" ht="15.75" customHeight="1">
      <c r="A28" s="92"/>
      <c r="B28" s="93"/>
      <c r="C28" s="92"/>
      <c r="D28" s="56"/>
      <c r="E28" s="56"/>
      <c r="F28" s="56"/>
      <c r="G28" s="56"/>
      <c r="H28" s="56"/>
      <c r="I28" s="56"/>
      <c r="J28" s="56"/>
      <c r="K28" s="56"/>
      <c r="L28" s="56"/>
      <c r="M28" s="56"/>
      <c r="N28" s="56"/>
      <c r="O28" s="56"/>
      <c r="P28" s="56"/>
      <c r="Q28" s="56"/>
      <c r="R28" s="56"/>
      <c r="S28" s="56"/>
      <c r="T28" s="56"/>
      <c r="U28" s="56"/>
      <c r="V28" s="56"/>
      <c r="W28" s="56"/>
      <c r="X28" s="56"/>
      <c r="Y28" s="56"/>
      <c r="Z28" s="56"/>
    </row>
    <row r="29" ht="15.75" customHeight="1">
      <c r="A29" s="92"/>
      <c r="B29" s="93"/>
      <c r="C29" s="92"/>
      <c r="D29" s="56"/>
      <c r="E29" s="56"/>
      <c r="F29" s="56"/>
      <c r="G29" s="56"/>
      <c r="H29" s="56"/>
      <c r="I29" s="56"/>
      <c r="J29" s="56"/>
      <c r="K29" s="56"/>
      <c r="L29" s="56"/>
      <c r="M29" s="56"/>
      <c r="N29" s="56"/>
      <c r="O29" s="56"/>
      <c r="P29" s="56"/>
      <c r="Q29" s="56"/>
      <c r="R29" s="56"/>
      <c r="S29" s="56"/>
      <c r="T29" s="56"/>
      <c r="U29" s="56"/>
      <c r="V29" s="56"/>
      <c r="W29" s="56"/>
      <c r="X29" s="56"/>
      <c r="Y29" s="56"/>
      <c r="Z29" s="56"/>
    </row>
    <row r="30" ht="15.75" customHeight="1">
      <c r="A30" s="92"/>
      <c r="B30" s="93"/>
      <c r="C30" s="92"/>
      <c r="D30" s="56"/>
      <c r="E30" s="56"/>
      <c r="F30" s="56"/>
      <c r="G30" s="56"/>
      <c r="H30" s="56"/>
      <c r="I30" s="56"/>
      <c r="J30" s="56"/>
      <c r="K30" s="56"/>
      <c r="L30" s="56"/>
      <c r="M30" s="56"/>
      <c r="N30" s="56"/>
      <c r="O30" s="56"/>
      <c r="P30" s="56"/>
      <c r="Q30" s="56"/>
      <c r="R30" s="56"/>
      <c r="S30" s="56"/>
      <c r="T30" s="56"/>
      <c r="U30" s="56"/>
      <c r="V30" s="56"/>
      <c r="W30" s="56"/>
      <c r="X30" s="56"/>
      <c r="Y30" s="56"/>
      <c r="Z30" s="56"/>
    </row>
    <row r="31" ht="15.75" customHeight="1">
      <c r="A31" s="92"/>
      <c r="B31" s="93"/>
      <c r="C31" s="92"/>
      <c r="D31" s="56"/>
      <c r="E31" s="56"/>
      <c r="F31" s="56"/>
      <c r="G31" s="56"/>
      <c r="H31" s="56"/>
      <c r="I31" s="56"/>
      <c r="J31" s="56"/>
      <c r="K31" s="56"/>
      <c r="L31" s="56"/>
      <c r="M31" s="56"/>
      <c r="N31" s="56"/>
      <c r="O31" s="56"/>
      <c r="P31" s="56"/>
      <c r="Q31" s="56"/>
      <c r="R31" s="56"/>
      <c r="S31" s="56"/>
      <c r="T31" s="56"/>
      <c r="U31" s="56"/>
      <c r="V31" s="56"/>
      <c r="W31" s="56"/>
      <c r="X31" s="56"/>
      <c r="Y31" s="56"/>
      <c r="Z31" s="56"/>
    </row>
    <row r="32" ht="15.75" customHeight="1">
      <c r="A32" s="92"/>
      <c r="B32" s="93"/>
      <c r="C32" s="92"/>
      <c r="D32" s="56"/>
      <c r="E32" s="56"/>
      <c r="F32" s="56"/>
      <c r="G32" s="56"/>
      <c r="H32" s="56"/>
      <c r="I32" s="56"/>
      <c r="J32" s="56"/>
      <c r="K32" s="56"/>
      <c r="L32" s="56"/>
      <c r="M32" s="56"/>
      <c r="N32" s="56"/>
      <c r="O32" s="56"/>
      <c r="P32" s="56"/>
      <c r="Q32" s="56"/>
      <c r="R32" s="56"/>
      <c r="S32" s="56"/>
      <c r="T32" s="56"/>
      <c r="U32" s="56"/>
      <c r="V32" s="56"/>
      <c r="W32" s="56"/>
      <c r="X32" s="56"/>
      <c r="Y32" s="56"/>
      <c r="Z32" s="56"/>
    </row>
    <row r="33" ht="15.75" customHeight="1">
      <c r="A33" s="92"/>
      <c r="B33" s="93"/>
      <c r="C33" s="92"/>
      <c r="D33" s="56"/>
      <c r="E33" s="56"/>
      <c r="F33" s="56"/>
      <c r="G33" s="56"/>
      <c r="H33" s="56"/>
      <c r="I33" s="56"/>
      <c r="J33" s="56"/>
      <c r="K33" s="56"/>
      <c r="L33" s="56"/>
      <c r="M33" s="56"/>
      <c r="N33" s="56"/>
      <c r="O33" s="56"/>
      <c r="P33" s="56"/>
      <c r="Q33" s="56"/>
      <c r="R33" s="56"/>
      <c r="S33" s="56"/>
      <c r="T33" s="56"/>
      <c r="U33" s="56"/>
      <c r="V33" s="56"/>
      <c r="W33" s="56"/>
      <c r="X33" s="56"/>
      <c r="Y33" s="56"/>
      <c r="Z33" s="56"/>
    </row>
    <row r="34" ht="15.75" customHeight="1">
      <c r="A34" s="92"/>
      <c r="B34" s="93"/>
      <c r="C34" s="92"/>
      <c r="D34" s="56"/>
      <c r="E34" s="56"/>
      <c r="F34" s="56"/>
      <c r="G34" s="56"/>
      <c r="H34" s="56"/>
      <c r="I34" s="56"/>
      <c r="J34" s="56"/>
      <c r="K34" s="56"/>
      <c r="L34" s="56"/>
      <c r="M34" s="56"/>
      <c r="N34" s="56"/>
      <c r="O34" s="56"/>
      <c r="P34" s="56"/>
      <c r="Q34" s="56"/>
      <c r="R34" s="56"/>
      <c r="S34" s="56"/>
      <c r="T34" s="56"/>
      <c r="U34" s="56"/>
      <c r="V34" s="56"/>
      <c r="W34" s="56"/>
      <c r="X34" s="56"/>
      <c r="Y34" s="56"/>
      <c r="Z34" s="56"/>
    </row>
    <row r="35" ht="15.75" customHeight="1">
      <c r="A35" s="92"/>
      <c r="B35" s="93"/>
      <c r="C35" s="92"/>
      <c r="D35" s="56"/>
      <c r="E35" s="56"/>
      <c r="F35" s="56"/>
      <c r="G35" s="56"/>
      <c r="H35" s="56"/>
      <c r="I35" s="56"/>
      <c r="J35" s="56"/>
      <c r="K35" s="56"/>
      <c r="L35" s="56"/>
      <c r="M35" s="56"/>
      <c r="N35" s="56"/>
      <c r="O35" s="56"/>
      <c r="P35" s="56"/>
      <c r="Q35" s="56"/>
      <c r="R35" s="56"/>
      <c r="S35" s="56"/>
      <c r="T35" s="56"/>
      <c r="U35" s="56"/>
      <c r="V35" s="56"/>
      <c r="W35" s="56"/>
      <c r="X35" s="56"/>
      <c r="Y35" s="56"/>
      <c r="Z35" s="56"/>
    </row>
    <row r="36" ht="15.75" customHeight="1">
      <c r="A36" s="92"/>
      <c r="B36" s="93"/>
      <c r="C36" s="92"/>
      <c r="D36" s="56"/>
      <c r="E36" s="56"/>
      <c r="F36" s="56"/>
      <c r="G36" s="56"/>
      <c r="H36" s="56"/>
      <c r="I36" s="56"/>
      <c r="J36" s="56"/>
      <c r="K36" s="56"/>
      <c r="L36" s="56"/>
      <c r="M36" s="56"/>
      <c r="N36" s="56"/>
      <c r="O36" s="56"/>
      <c r="P36" s="56"/>
      <c r="Q36" s="56"/>
      <c r="R36" s="56"/>
      <c r="S36" s="56"/>
      <c r="T36" s="56"/>
      <c r="U36" s="56"/>
      <c r="V36" s="56"/>
      <c r="W36" s="56"/>
      <c r="X36" s="56"/>
      <c r="Y36" s="56"/>
      <c r="Z36" s="56"/>
    </row>
    <row r="37" ht="15.75" customHeight="1">
      <c r="A37" s="92"/>
      <c r="B37" s="93"/>
      <c r="C37" s="92"/>
      <c r="D37" s="56"/>
      <c r="E37" s="56"/>
      <c r="F37" s="56"/>
      <c r="G37" s="56"/>
      <c r="H37" s="56"/>
      <c r="I37" s="56"/>
      <c r="J37" s="56"/>
      <c r="K37" s="56"/>
      <c r="L37" s="56"/>
      <c r="M37" s="56"/>
      <c r="N37" s="56"/>
      <c r="O37" s="56"/>
      <c r="P37" s="56"/>
      <c r="Q37" s="56"/>
      <c r="R37" s="56"/>
      <c r="S37" s="56"/>
      <c r="T37" s="56"/>
      <c r="U37" s="56"/>
      <c r="V37" s="56"/>
      <c r="W37" s="56"/>
      <c r="X37" s="56"/>
      <c r="Y37" s="56"/>
      <c r="Z37" s="56"/>
    </row>
    <row r="38" ht="15.75" customHeight="1">
      <c r="A38" s="92"/>
      <c r="B38" s="93"/>
      <c r="C38" s="92"/>
      <c r="D38" s="56"/>
      <c r="E38" s="56"/>
      <c r="F38" s="56"/>
      <c r="G38" s="56"/>
      <c r="H38" s="56"/>
      <c r="I38" s="56"/>
      <c r="J38" s="56"/>
      <c r="K38" s="56"/>
      <c r="L38" s="56"/>
      <c r="M38" s="56"/>
      <c r="N38" s="56"/>
      <c r="O38" s="56"/>
      <c r="P38" s="56"/>
      <c r="Q38" s="56"/>
      <c r="R38" s="56"/>
      <c r="S38" s="56"/>
      <c r="T38" s="56"/>
      <c r="U38" s="56"/>
      <c r="V38" s="56"/>
      <c r="W38" s="56"/>
      <c r="X38" s="56"/>
      <c r="Y38" s="56"/>
      <c r="Z38" s="56"/>
    </row>
    <row r="39" ht="15.75" customHeight="1">
      <c r="A39" s="92"/>
      <c r="B39" s="93"/>
      <c r="C39" s="92"/>
      <c r="D39" s="56"/>
      <c r="E39" s="56"/>
      <c r="F39" s="56"/>
      <c r="G39" s="56"/>
      <c r="H39" s="56"/>
      <c r="I39" s="56"/>
      <c r="J39" s="56"/>
      <c r="K39" s="56"/>
      <c r="L39" s="56"/>
      <c r="M39" s="56"/>
      <c r="N39" s="56"/>
      <c r="O39" s="56"/>
      <c r="P39" s="56"/>
      <c r="Q39" s="56"/>
      <c r="R39" s="56"/>
      <c r="S39" s="56"/>
      <c r="T39" s="56"/>
      <c r="U39" s="56"/>
      <c r="V39" s="56"/>
      <c r="W39" s="56"/>
      <c r="X39" s="56"/>
      <c r="Y39" s="56"/>
      <c r="Z39" s="56"/>
    </row>
    <row r="40" ht="15.75" customHeight="1">
      <c r="A40" s="92"/>
      <c r="B40" s="93"/>
      <c r="C40" s="92"/>
      <c r="D40" s="56"/>
      <c r="E40" s="56"/>
      <c r="F40" s="56"/>
      <c r="G40" s="56"/>
      <c r="H40" s="56"/>
      <c r="I40" s="56"/>
      <c r="J40" s="56"/>
      <c r="K40" s="56"/>
      <c r="L40" s="56"/>
      <c r="M40" s="56"/>
      <c r="N40" s="56"/>
      <c r="O40" s="56"/>
      <c r="P40" s="56"/>
      <c r="Q40" s="56"/>
      <c r="R40" s="56"/>
      <c r="S40" s="56"/>
      <c r="T40" s="56"/>
      <c r="U40" s="56"/>
      <c r="V40" s="56"/>
      <c r="W40" s="56"/>
      <c r="X40" s="56"/>
      <c r="Y40" s="56"/>
      <c r="Z40" s="56"/>
    </row>
    <row r="41" ht="15.75" customHeight="1">
      <c r="A41" s="92"/>
      <c r="B41" s="93"/>
      <c r="C41" s="92"/>
      <c r="D41" s="56"/>
      <c r="E41" s="56"/>
      <c r="F41" s="56"/>
      <c r="G41" s="56"/>
      <c r="H41" s="56"/>
      <c r="I41" s="56"/>
      <c r="J41" s="56"/>
      <c r="K41" s="56"/>
      <c r="L41" s="56"/>
      <c r="M41" s="56"/>
      <c r="N41" s="56"/>
      <c r="O41" s="56"/>
      <c r="P41" s="56"/>
      <c r="Q41" s="56"/>
      <c r="R41" s="56"/>
      <c r="S41" s="56"/>
      <c r="T41" s="56"/>
      <c r="U41" s="56"/>
      <c r="V41" s="56"/>
      <c r="W41" s="56"/>
      <c r="X41" s="56"/>
      <c r="Y41" s="56"/>
      <c r="Z41" s="56"/>
    </row>
    <row r="42" ht="15.75" customHeight="1">
      <c r="A42" s="92"/>
      <c r="B42" s="93"/>
      <c r="C42" s="92"/>
      <c r="D42" s="56"/>
      <c r="E42" s="56"/>
      <c r="F42" s="56"/>
      <c r="G42" s="56"/>
      <c r="H42" s="56"/>
      <c r="I42" s="56"/>
      <c r="J42" s="56"/>
      <c r="K42" s="56"/>
      <c r="L42" s="56"/>
      <c r="M42" s="56"/>
      <c r="N42" s="56"/>
      <c r="O42" s="56"/>
      <c r="P42" s="56"/>
      <c r="Q42" s="56"/>
      <c r="R42" s="56"/>
      <c r="S42" s="56"/>
      <c r="T42" s="56"/>
      <c r="U42" s="56"/>
      <c r="V42" s="56"/>
      <c r="W42" s="56"/>
      <c r="X42" s="56"/>
      <c r="Y42" s="56"/>
      <c r="Z42" s="56"/>
    </row>
    <row r="43" ht="15.75" customHeight="1">
      <c r="A43" s="92"/>
      <c r="B43" s="93"/>
      <c r="C43" s="92"/>
      <c r="D43" s="56"/>
      <c r="E43" s="56"/>
      <c r="F43" s="56"/>
      <c r="G43" s="56"/>
      <c r="H43" s="56"/>
      <c r="I43" s="56"/>
      <c r="J43" s="56"/>
      <c r="K43" s="56"/>
      <c r="L43" s="56"/>
      <c r="M43" s="56"/>
      <c r="N43" s="56"/>
      <c r="O43" s="56"/>
      <c r="P43" s="56"/>
      <c r="Q43" s="56"/>
      <c r="R43" s="56"/>
      <c r="S43" s="56"/>
      <c r="T43" s="56"/>
      <c r="U43" s="56"/>
      <c r="V43" s="56"/>
      <c r="W43" s="56"/>
      <c r="X43" s="56"/>
      <c r="Y43" s="56"/>
      <c r="Z43" s="56"/>
    </row>
    <row r="44" ht="15.75" customHeight="1">
      <c r="A44" s="92"/>
      <c r="B44" s="93"/>
      <c r="C44" s="92"/>
      <c r="D44" s="56"/>
      <c r="E44" s="56"/>
      <c r="F44" s="56"/>
      <c r="G44" s="56"/>
      <c r="H44" s="56"/>
      <c r="I44" s="56"/>
      <c r="J44" s="56"/>
      <c r="K44" s="56"/>
      <c r="L44" s="56"/>
      <c r="M44" s="56"/>
      <c r="N44" s="56"/>
      <c r="O44" s="56"/>
      <c r="P44" s="56"/>
      <c r="Q44" s="56"/>
      <c r="R44" s="56"/>
      <c r="S44" s="56"/>
      <c r="T44" s="56"/>
      <c r="U44" s="56"/>
      <c r="V44" s="56"/>
      <c r="W44" s="56"/>
      <c r="X44" s="56"/>
      <c r="Y44" s="56"/>
      <c r="Z44" s="56"/>
    </row>
    <row r="45" ht="15.75" customHeight="1">
      <c r="A45" s="92"/>
      <c r="B45" s="93"/>
      <c r="C45" s="92"/>
      <c r="D45" s="56"/>
      <c r="E45" s="56"/>
      <c r="F45" s="56"/>
      <c r="G45" s="56"/>
      <c r="H45" s="56"/>
      <c r="I45" s="56"/>
      <c r="J45" s="56"/>
      <c r="K45" s="56"/>
      <c r="L45" s="56"/>
      <c r="M45" s="56"/>
      <c r="N45" s="56"/>
      <c r="O45" s="56"/>
      <c r="P45" s="56"/>
      <c r="Q45" s="56"/>
      <c r="R45" s="56"/>
      <c r="S45" s="56"/>
      <c r="T45" s="56"/>
      <c r="U45" s="56"/>
      <c r="V45" s="56"/>
      <c r="W45" s="56"/>
      <c r="X45" s="56"/>
      <c r="Y45" s="56"/>
      <c r="Z45" s="56"/>
    </row>
    <row r="46" ht="15.75" customHeight="1">
      <c r="A46" s="92"/>
      <c r="B46" s="93"/>
      <c r="C46" s="92"/>
      <c r="D46" s="56"/>
      <c r="E46" s="56"/>
      <c r="F46" s="56"/>
      <c r="G46" s="56"/>
      <c r="H46" s="56"/>
      <c r="I46" s="56"/>
      <c r="J46" s="56"/>
      <c r="K46" s="56"/>
      <c r="L46" s="56"/>
      <c r="M46" s="56"/>
      <c r="N46" s="56"/>
      <c r="O46" s="56"/>
      <c r="P46" s="56"/>
      <c r="Q46" s="56"/>
      <c r="R46" s="56"/>
      <c r="S46" s="56"/>
      <c r="T46" s="56"/>
      <c r="U46" s="56"/>
      <c r="V46" s="56"/>
      <c r="W46" s="56"/>
      <c r="X46" s="56"/>
      <c r="Y46" s="56"/>
      <c r="Z46" s="56"/>
    </row>
    <row r="47" ht="15.75" customHeight="1">
      <c r="A47" s="92"/>
      <c r="B47" s="93"/>
      <c r="C47" s="92"/>
      <c r="D47" s="56"/>
      <c r="E47" s="56"/>
      <c r="F47" s="56"/>
      <c r="G47" s="56"/>
      <c r="H47" s="56"/>
      <c r="I47" s="56"/>
      <c r="J47" s="56"/>
      <c r="K47" s="56"/>
      <c r="L47" s="56"/>
      <c r="M47" s="56"/>
      <c r="N47" s="56"/>
      <c r="O47" s="56"/>
      <c r="P47" s="56"/>
      <c r="Q47" s="56"/>
      <c r="R47" s="56"/>
      <c r="S47" s="56"/>
      <c r="T47" s="56"/>
      <c r="U47" s="56"/>
      <c r="V47" s="56"/>
      <c r="W47" s="56"/>
      <c r="X47" s="56"/>
      <c r="Y47" s="56"/>
      <c r="Z47" s="56"/>
    </row>
    <row r="48" ht="15.75" customHeight="1">
      <c r="A48" s="92"/>
      <c r="B48" s="93"/>
      <c r="C48" s="92"/>
      <c r="D48" s="56"/>
      <c r="E48" s="56"/>
      <c r="F48" s="56"/>
      <c r="G48" s="56"/>
      <c r="H48" s="56"/>
      <c r="I48" s="56"/>
      <c r="J48" s="56"/>
      <c r="K48" s="56"/>
      <c r="L48" s="56"/>
      <c r="M48" s="56"/>
      <c r="N48" s="56"/>
      <c r="O48" s="56"/>
      <c r="P48" s="56"/>
      <c r="Q48" s="56"/>
      <c r="R48" s="56"/>
      <c r="S48" s="56"/>
      <c r="T48" s="56"/>
      <c r="U48" s="56"/>
      <c r="V48" s="56"/>
      <c r="W48" s="56"/>
      <c r="X48" s="56"/>
      <c r="Y48" s="56"/>
      <c r="Z48" s="56"/>
    </row>
    <row r="49" ht="15.75" customHeight="1">
      <c r="A49" s="92"/>
      <c r="B49" s="93"/>
      <c r="C49" s="92"/>
      <c r="D49" s="56"/>
      <c r="E49" s="56"/>
      <c r="F49" s="56"/>
      <c r="G49" s="56"/>
      <c r="H49" s="56"/>
      <c r="I49" s="56"/>
      <c r="J49" s="56"/>
      <c r="K49" s="56"/>
      <c r="L49" s="56"/>
      <c r="M49" s="56"/>
      <c r="N49" s="56"/>
      <c r="O49" s="56"/>
      <c r="P49" s="56"/>
      <c r="Q49" s="56"/>
      <c r="R49" s="56"/>
      <c r="S49" s="56"/>
      <c r="T49" s="56"/>
      <c r="U49" s="56"/>
      <c r="V49" s="56"/>
      <c r="W49" s="56"/>
      <c r="X49" s="56"/>
      <c r="Y49" s="56"/>
      <c r="Z49" s="56"/>
    </row>
    <row r="50" ht="15.75" customHeight="1">
      <c r="A50" s="92"/>
      <c r="B50" s="93"/>
      <c r="C50" s="92"/>
      <c r="D50" s="56"/>
      <c r="E50" s="56"/>
      <c r="F50" s="56"/>
      <c r="G50" s="56"/>
      <c r="H50" s="56"/>
      <c r="I50" s="56"/>
      <c r="J50" s="56"/>
      <c r="K50" s="56"/>
      <c r="L50" s="56"/>
      <c r="M50" s="56"/>
      <c r="N50" s="56"/>
      <c r="O50" s="56"/>
      <c r="P50" s="56"/>
      <c r="Q50" s="56"/>
      <c r="R50" s="56"/>
      <c r="S50" s="56"/>
      <c r="T50" s="56"/>
      <c r="U50" s="56"/>
      <c r="V50" s="56"/>
      <c r="W50" s="56"/>
      <c r="X50" s="56"/>
      <c r="Y50" s="56"/>
      <c r="Z50" s="56"/>
    </row>
    <row r="51" ht="15.75" customHeight="1">
      <c r="A51" s="92"/>
      <c r="B51" s="93"/>
      <c r="C51" s="92"/>
      <c r="D51" s="56"/>
      <c r="E51" s="56"/>
      <c r="F51" s="56"/>
      <c r="G51" s="56"/>
      <c r="H51" s="56"/>
      <c r="I51" s="56"/>
      <c r="J51" s="56"/>
      <c r="K51" s="56"/>
      <c r="L51" s="56"/>
      <c r="M51" s="56"/>
      <c r="N51" s="56"/>
      <c r="O51" s="56"/>
      <c r="P51" s="56"/>
      <c r="Q51" s="56"/>
      <c r="R51" s="56"/>
      <c r="S51" s="56"/>
      <c r="T51" s="56"/>
      <c r="U51" s="56"/>
      <c r="V51" s="56"/>
      <c r="W51" s="56"/>
      <c r="X51" s="56"/>
      <c r="Y51" s="56"/>
      <c r="Z51" s="56"/>
    </row>
    <row r="52" ht="15.75" customHeight="1">
      <c r="A52" s="92"/>
      <c r="B52" s="93"/>
      <c r="C52" s="92"/>
      <c r="D52" s="56"/>
      <c r="E52" s="56"/>
      <c r="F52" s="56"/>
      <c r="G52" s="56"/>
      <c r="H52" s="56"/>
      <c r="I52" s="56"/>
      <c r="J52" s="56"/>
      <c r="K52" s="56"/>
      <c r="L52" s="56"/>
      <c r="M52" s="56"/>
      <c r="N52" s="56"/>
      <c r="O52" s="56"/>
      <c r="P52" s="56"/>
      <c r="Q52" s="56"/>
      <c r="R52" s="56"/>
      <c r="S52" s="56"/>
      <c r="T52" s="56"/>
      <c r="U52" s="56"/>
      <c r="V52" s="56"/>
      <c r="W52" s="56"/>
      <c r="X52" s="56"/>
      <c r="Y52" s="56"/>
      <c r="Z52" s="56"/>
    </row>
    <row r="53" ht="15.75" customHeight="1">
      <c r="A53" s="92"/>
      <c r="B53" s="93"/>
      <c r="C53" s="92"/>
      <c r="D53" s="56"/>
      <c r="E53" s="56"/>
      <c r="F53" s="56"/>
      <c r="G53" s="56"/>
      <c r="H53" s="56"/>
      <c r="I53" s="56"/>
      <c r="J53" s="56"/>
      <c r="K53" s="56"/>
      <c r="L53" s="56"/>
      <c r="M53" s="56"/>
      <c r="N53" s="56"/>
      <c r="O53" s="56"/>
      <c r="P53" s="56"/>
      <c r="Q53" s="56"/>
      <c r="R53" s="56"/>
      <c r="S53" s="56"/>
      <c r="T53" s="56"/>
      <c r="U53" s="56"/>
      <c r="V53" s="56"/>
      <c r="W53" s="56"/>
      <c r="X53" s="56"/>
      <c r="Y53" s="56"/>
      <c r="Z53" s="56"/>
    </row>
    <row r="54" ht="15.75" customHeight="1">
      <c r="A54" s="92"/>
      <c r="B54" s="93"/>
      <c r="C54" s="92"/>
      <c r="D54" s="56"/>
      <c r="E54" s="56"/>
      <c r="F54" s="56"/>
      <c r="G54" s="56"/>
      <c r="H54" s="56"/>
      <c r="I54" s="56"/>
      <c r="J54" s="56"/>
      <c r="K54" s="56"/>
      <c r="L54" s="56"/>
      <c r="M54" s="56"/>
      <c r="N54" s="56"/>
      <c r="O54" s="56"/>
      <c r="P54" s="56"/>
      <c r="Q54" s="56"/>
      <c r="R54" s="56"/>
      <c r="S54" s="56"/>
      <c r="T54" s="56"/>
      <c r="U54" s="56"/>
      <c r="V54" s="56"/>
      <c r="W54" s="56"/>
      <c r="X54" s="56"/>
      <c r="Y54" s="56"/>
      <c r="Z54" s="56"/>
    </row>
    <row r="55" ht="15.75" customHeight="1">
      <c r="A55" s="92"/>
      <c r="B55" s="93"/>
      <c r="C55" s="92"/>
      <c r="D55" s="56"/>
      <c r="E55" s="56"/>
      <c r="F55" s="56"/>
      <c r="G55" s="56"/>
      <c r="H55" s="56"/>
      <c r="I55" s="56"/>
      <c r="J55" s="56"/>
      <c r="K55" s="56"/>
      <c r="L55" s="56"/>
      <c r="M55" s="56"/>
      <c r="N55" s="56"/>
      <c r="O55" s="56"/>
      <c r="P55" s="56"/>
      <c r="Q55" s="56"/>
      <c r="R55" s="56"/>
      <c r="S55" s="56"/>
      <c r="T55" s="56"/>
      <c r="U55" s="56"/>
      <c r="V55" s="56"/>
      <c r="W55" s="56"/>
      <c r="X55" s="56"/>
      <c r="Y55" s="56"/>
      <c r="Z55" s="56"/>
    </row>
    <row r="56" ht="15.75" customHeight="1">
      <c r="A56" s="92"/>
      <c r="B56" s="93"/>
      <c r="C56" s="92"/>
      <c r="D56" s="56"/>
      <c r="E56" s="56"/>
      <c r="F56" s="56"/>
      <c r="G56" s="56"/>
      <c r="H56" s="56"/>
      <c r="I56" s="56"/>
      <c r="J56" s="56"/>
      <c r="K56" s="56"/>
      <c r="L56" s="56"/>
      <c r="M56" s="56"/>
      <c r="N56" s="56"/>
      <c r="O56" s="56"/>
      <c r="P56" s="56"/>
      <c r="Q56" s="56"/>
      <c r="R56" s="56"/>
      <c r="S56" s="56"/>
      <c r="T56" s="56"/>
      <c r="U56" s="56"/>
      <c r="V56" s="56"/>
      <c r="W56" s="56"/>
      <c r="X56" s="56"/>
      <c r="Y56" s="56"/>
      <c r="Z56" s="56"/>
    </row>
    <row r="57" ht="15.75" customHeight="1">
      <c r="A57" s="92"/>
      <c r="B57" s="93"/>
      <c r="C57" s="92"/>
      <c r="D57" s="56"/>
      <c r="E57" s="56"/>
      <c r="F57" s="56"/>
      <c r="G57" s="56"/>
      <c r="H57" s="56"/>
      <c r="I57" s="56"/>
      <c r="J57" s="56"/>
      <c r="K57" s="56"/>
      <c r="L57" s="56"/>
      <c r="M57" s="56"/>
      <c r="N57" s="56"/>
      <c r="O57" s="56"/>
      <c r="P57" s="56"/>
      <c r="Q57" s="56"/>
      <c r="R57" s="56"/>
      <c r="S57" s="56"/>
      <c r="T57" s="56"/>
      <c r="U57" s="56"/>
      <c r="V57" s="56"/>
      <c r="W57" s="56"/>
      <c r="X57" s="56"/>
      <c r="Y57" s="56"/>
      <c r="Z57" s="56"/>
    </row>
    <row r="58" ht="15.75" customHeight="1">
      <c r="A58" s="92"/>
      <c r="B58" s="93"/>
      <c r="C58" s="92"/>
      <c r="D58" s="56"/>
      <c r="E58" s="56"/>
      <c r="F58" s="56"/>
      <c r="G58" s="56"/>
      <c r="H58" s="56"/>
      <c r="I58" s="56"/>
      <c r="J58" s="56"/>
      <c r="K58" s="56"/>
      <c r="L58" s="56"/>
      <c r="M58" s="56"/>
      <c r="N58" s="56"/>
      <c r="O58" s="56"/>
      <c r="P58" s="56"/>
      <c r="Q58" s="56"/>
      <c r="R58" s="56"/>
      <c r="S58" s="56"/>
      <c r="T58" s="56"/>
      <c r="U58" s="56"/>
      <c r="V58" s="56"/>
      <c r="W58" s="56"/>
      <c r="X58" s="56"/>
      <c r="Y58" s="56"/>
      <c r="Z58" s="56"/>
    </row>
    <row r="59" ht="15.75" customHeight="1">
      <c r="A59" s="92"/>
      <c r="B59" s="93"/>
      <c r="C59" s="92"/>
      <c r="D59" s="56"/>
      <c r="E59" s="56"/>
      <c r="F59" s="56"/>
      <c r="G59" s="56"/>
      <c r="H59" s="56"/>
      <c r="I59" s="56"/>
      <c r="J59" s="56"/>
      <c r="K59" s="56"/>
      <c r="L59" s="56"/>
      <c r="M59" s="56"/>
      <c r="N59" s="56"/>
      <c r="O59" s="56"/>
      <c r="P59" s="56"/>
      <c r="Q59" s="56"/>
      <c r="R59" s="56"/>
      <c r="S59" s="56"/>
      <c r="T59" s="56"/>
      <c r="U59" s="56"/>
      <c r="V59" s="56"/>
      <c r="W59" s="56"/>
      <c r="X59" s="56"/>
      <c r="Y59" s="56"/>
      <c r="Z59" s="56"/>
    </row>
    <row r="60" ht="15.75" customHeight="1">
      <c r="A60" s="92"/>
      <c r="B60" s="93"/>
      <c r="C60" s="92"/>
      <c r="D60" s="56"/>
      <c r="E60" s="56"/>
      <c r="F60" s="56"/>
      <c r="G60" s="56"/>
      <c r="H60" s="56"/>
      <c r="I60" s="56"/>
      <c r="J60" s="56"/>
      <c r="K60" s="56"/>
      <c r="L60" s="56"/>
      <c r="M60" s="56"/>
      <c r="N60" s="56"/>
      <c r="O60" s="56"/>
      <c r="P60" s="56"/>
      <c r="Q60" s="56"/>
      <c r="R60" s="56"/>
      <c r="S60" s="56"/>
      <c r="T60" s="56"/>
      <c r="U60" s="56"/>
      <c r="V60" s="56"/>
      <c r="W60" s="56"/>
      <c r="X60" s="56"/>
      <c r="Y60" s="56"/>
      <c r="Z60" s="56"/>
    </row>
    <row r="61" ht="15.75" customHeight="1">
      <c r="A61" s="92"/>
      <c r="B61" s="93"/>
      <c r="C61" s="92"/>
      <c r="D61" s="56"/>
      <c r="E61" s="56"/>
      <c r="F61" s="56"/>
      <c r="G61" s="56"/>
      <c r="H61" s="56"/>
      <c r="I61" s="56"/>
      <c r="J61" s="56"/>
      <c r="K61" s="56"/>
      <c r="L61" s="56"/>
      <c r="M61" s="56"/>
      <c r="N61" s="56"/>
      <c r="O61" s="56"/>
      <c r="P61" s="56"/>
      <c r="Q61" s="56"/>
      <c r="R61" s="56"/>
      <c r="S61" s="56"/>
      <c r="T61" s="56"/>
      <c r="U61" s="56"/>
      <c r="V61" s="56"/>
      <c r="W61" s="56"/>
      <c r="X61" s="56"/>
      <c r="Y61" s="56"/>
      <c r="Z61" s="56"/>
    </row>
    <row r="62" ht="15.75" customHeight="1">
      <c r="A62" s="92"/>
      <c r="B62" s="93"/>
      <c r="C62" s="92"/>
      <c r="D62" s="56"/>
      <c r="E62" s="56"/>
      <c r="F62" s="56"/>
      <c r="G62" s="56"/>
      <c r="H62" s="56"/>
      <c r="I62" s="56"/>
      <c r="J62" s="56"/>
      <c r="K62" s="56"/>
      <c r="L62" s="56"/>
      <c r="M62" s="56"/>
      <c r="N62" s="56"/>
      <c r="O62" s="56"/>
      <c r="P62" s="56"/>
      <c r="Q62" s="56"/>
      <c r="R62" s="56"/>
      <c r="S62" s="56"/>
      <c r="T62" s="56"/>
      <c r="U62" s="56"/>
      <c r="V62" s="56"/>
      <c r="W62" s="56"/>
      <c r="X62" s="56"/>
      <c r="Y62" s="56"/>
      <c r="Z62" s="56"/>
    </row>
    <row r="63" ht="15.75" customHeight="1">
      <c r="A63" s="92"/>
      <c r="B63" s="93"/>
      <c r="C63" s="92"/>
      <c r="D63" s="56"/>
      <c r="E63" s="56"/>
      <c r="F63" s="56"/>
      <c r="G63" s="56"/>
      <c r="H63" s="56"/>
      <c r="I63" s="56"/>
      <c r="J63" s="56"/>
      <c r="K63" s="56"/>
      <c r="L63" s="56"/>
      <c r="M63" s="56"/>
      <c r="N63" s="56"/>
      <c r="O63" s="56"/>
      <c r="P63" s="56"/>
      <c r="Q63" s="56"/>
      <c r="R63" s="56"/>
      <c r="S63" s="56"/>
      <c r="T63" s="56"/>
      <c r="U63" s="56"/>
      <c r="V63" s="56"/>
      <c r="W63" s="56"/>
      <c r="X63" s="56"/>
      <c r="Y63" s="56"/>
      <c r="Z63" s="56"/>
    </row>
    <row r="64" ht="15.75" customHeight="1">
      <c r="A64" s="92"/>
      <c r="B64" s="93"/>
      <c r="C64" s="92"/>
      <c r="D64" s="56"/>
      <c r="E64" s="56"/>
      <c r="F64" s="56"/>
      <c r="G64" s="56"/>
      <c r="H64" s="56"/>
      <c r="I64" s="56"/>
      <c r="J64" s="56"/>
      <c r="K64" s="56"/>
      <c r="L64" s="56"/>
      <c r="M64" s="56"/>
      <c r="N64" s="56"/>
      <c r="O64" s="56"/>
      <c r="P64" s="56"/>
      <c r="Q64" s="56"/>
      <c r="R64" s="56"/>
      <c r="S64" s="56"/>
      <c r="T64" s="56"/>
      <c r="U64" s="56"/>
      <c r="V64" s="56"/>
      <c r="W64" s="56"/>
      <c r="X64" s="56"/>
      <c r="Y64" s="56"/>
      <c r="Z64" s="56"/>
    </row>
    <row r="65" ht="15.75" customHeight="1">
      <c r="A65" s="92"/>
      <c r="B65" s="93"/>
      <c r="C65" s="92"/>
      <c r="D65" s="56"/>
      <c r="E65" s="56"/>
      <c r="F65" s="56"/>
      <c r="G65" s="56"/>
      <c r="H65" s="56"/>
      <c r="I65" s="56"/>
      <c r="J65" s="56"/>
      <c r="K65" s="56"/>
      <c r="L65" s="56"/>
      <c r="M65" s="56"/>
      <c r="N65" s="56"/>
      <c r="O65" s="56"/>
      <c r="P65" s="56"/>
      <c r="Q65" s="56"/>
      <c r="R65" s="56"/>
      <c r="S65" s="56"/>
      <c r="T65" s="56"/>
      <c r="U65" s="56"/>
      <c r="V65" s="56"/>
      <c r="W65" s="56"/>
      <c r="X65" s="56"/>
      <c r="Y65" s="56"/>
      <c r="Z65" s="56"/>
    </row>
    <row r="66" ht="15.75" customHeight="1">
      <c r="A66" s="92"/>
      <c r="B66" s="93"/>
      <c r="C66" s="92"/>
      <c r="D66" s="56"/>
      <c r="E66" s="56"/>
      <c r="F66" s="56"/>
      <c r="G66" s="56"/>
      <c r="H66" s="56"/>
      <c r="I66" s="56"/>
      <c r="J66" s="56"/>
      <c r="K66" s="56"/>
      <c r="L66" s="56"/>
      <c r="M66" s="56"/>
      <c r="N66" s="56"/>
      <c r="O66" s="56"/>
      <c r="P66" s="56"/>
      <c r="Q66" s="56"/>
      <c r="R66" s="56"/>
      <c r="S66" s="56"/>
      <c r="T66" s="56"/>
      <c r="U66" s="56"/>
      <c r="V66" s="56"/>
      <c r="W66" s="56"/>
      <c r="X66" s="56"/>
      <c r="Y66" s="56"/>
      <c r="Z66" s="56"/>
    </row>
    <row r="67" ht="15.75" customHeight="1">
      <c r="A67" s="92"/>
      <c r="B67" s="93"/>
      <c r="C67" s="92"/>
      <c r="D67" s="56"/>
      <c r="E67" s="56"/>
      <c r="F67" s="56"/>
      <c r="G67" s="56"/>
      <c r="H67" s="56"/>
      <c r="I67" s="56"/>
      <c r="J67" s="56"/>
      <c r="K67" s="56"/>
      <c r="L67" s="56"/>
      <c r="M67" s="56"/>
      <c r="N67" s="56"/>
      <c r="O67" s="56"/>
      <c r="P67" s="56"/>
      <c r="Q67" s="56"/>
      <c r="R67" s="56"/>
      <c r="S67" s="56"/>
      <c r="T67" s="56"/>
      <c r="U67" s="56"/>
      <c r="V67" s="56"/>
      <c r="W67" s="56"/>
      <c r="X67" s="56"/>
      <c r="Y67" s="56"/>
      <c r="Z67" s="56"/>
    </row>
    <row r="68" ht="15.75" customHeight="1">
      <c r="A68" s="92"/>
      <c r="B68" s="93"/>
      <c r="C68" s="92"/>
      <c r="D68" s="56"/>
      <c r="E68" s="56"/>
      <c r="F68" s="56"/>
      <c r="G68" s="56"/>
      <c r="H68" s="56"/>
      <c r="I68" s="56"/>
      <c r="J68" s="56"/>
      <c r="K68" s="56"/>
      <c r="L68" s="56"/>
      <c r="M68" s="56"/>
      <c r="N68" s="56"/>
      <c r="O68" s="56"/>
      <c r="P68" s="56"/>
      <c r="Q68" s="56"/>
      <c r="R68" s="56"/>
      <c r="S68" s="56"/>
      <c r="T68" s="56"/>
      <c r="U68" s="56"/>
      <c r="V68" s="56"/>
      <c r="W68" s="56"/>
      <c r="X68" s="56"/>
      <c r="Y68" s="56"/>
      <c r="Z68" s="56"/>
    </row>
    <row r="69" ht="15.75" customHeight="1">
      <c r="A69" s="92"/>
      <c r="B69" s="93"/>
      <c r="C69" s="92"/>
      <c r="D69" s="56"/>
      <c r="E69" s="56"/>
      <c r="F69" s="56"/>
      <c r="G69" s="56"/>
      <c r="H69" s="56"/>
      <c r="I69" s="56"/>
      <c r="J69" s="56"/>
      <c r="K69" s="56"/>
      <c r="L69" s="56"/>
      <c r="M69" s="56"/>
      <c r="N69" s="56"/>
      <c r="O69" s="56"/>
      <c r="P69" s="56"/>
      <c r="Q69" s="56"/>
      <c r="R69" s="56"/>
      <c r="S69" s="56"/>
      <c r="T69" s="56"/>
      <c r="U69" s="56"/>
      <c r="V69" s="56"/>
      <c r="W69" s="56"/>
      <c r="X69" s="56"/>
      <c r="Y69" s="56"/>
      <c r="Z69" s="56"/>
    </row>
    <row r="70" ht="15.75" customHeight="1">
      <c r="A70" s="92"/>
      <c r="B70" s="93"/>
      <c r="C70" s="92"/>
      <c r="D70" s="56"/>
      <c r="E70" s="56"/>
      <c r="F70" s="56"/>
      <c r="G70" s="56"/>
      <c r="H70" s="56"/>
      <c r="I70" s="56"/>
      <c r="J70" s="56"/>
      <c r="K70" s="56"/>
      <c r="L70" s="56"/>
      <c r="M70" s="56"/>
      <c r="N70" s="56"/>
      <c r="O70" s="56"/>
      <c r="P70" s="56"/>
      <c r="Q70" s="56"/>
      <c r="R70" s="56"/>
      <c r="S70" s="56"/>
      <c r="T70" s="56"/>
      <c r="U70" s="56"/>
      <c r="V70" s="56"/>
      <c r="W70" s="56"/>
      <c r="X70" s="56"/>
      <c r="Y70" s="56"/>
      <c r="Z70" s="56"/>
    </row>
    <row r="71" ht="15.75" customHeight="1">
      <c r="A71" s="92"/>
      <c r="B71" s="93"/>
      <c r="C71" s="92"/>
      <c r="D71" s="56"/>
      <c r="E71" s="56"/>
      <c r="F71" s="56"/>
      <c r="G71" s="56"/>
      <c r="H71" s="56"/>
      <c r="I71" s="56"/>
      <c r="J71" s="56"/>
      <c r="K71" s="56"/>
      <c r="L71" s="56"/>
      <c r="M71" s="56"/>
      <c r="N71" s="56"/>
      <c r="O71" s="56"/>
      <c r="P71" s="56"/>
      <c r="Q71" s="56"/>
      <c r="R71" s="56"/>
      <c r="S71" s="56"/>
      <c r="T71" s="56"/>
      <c r="U71" s="56"/>
      <c r="V71" s="56"/>
      <c r="W71" s="56"/>
      <c r="X71" s="56"/>
      <c r="Y71" s="56"/>
      <c r="Z71" s="56"/>
    </row>
    <row r="72" ht="15.75" customHeight="1">
      <c r="A72" s="92"/>
      <c r="B72" s="93"/>
      <c r="C72" s="92"/>
      <c r="D72" s="56"/>
      <c r="E72" s="56"/>
      <c r="F72" s="56"/>
      <c r="G72" s="56"/>
      <c r="H72" s="56"/>
      <c r="I72" s="56"/>
      <c r="J72" s="56"/>
      <c r="K72" s="56"/>
      <c r="L72" s="56"/>
      <c r="M72" s="56"/>
      <c r="N72" s="56"/>
      <c r="O72" s="56"/>
      <c r="P72" s="56"/>
      <c r="Q72" s="56"/>
      <c r="R72" s="56"/>
      <c r="S72" s="56"/>
      <c r="T72" s="56"/>
      <c r="U72" s="56"/>
      <c r="V72" s="56"/>
      <c r="W72" s="56"/>
      <c r="X72" s="56"/>
      <c r="Y72" s="56"/>
      <c r="Z72" s="56"/>
    </row>
    <row r="73" ht="15.75" customHeight="1">
      <c r="A73" s="92"/>
      <c r="B73" s="93"/>
      <c r="C73" s="92"/>
      <c r="D73" s="56"/>
      <c r="E73" s="56"/>
      <c r="F73" s="56"/>
      <c r="G73" s="56"/>
      <c r="H73" s="56"/>
      <c r="I73" s="56"/>
      <c r="J73" s="56"/>
      <c r="K73" s="56"/>
      <c r="L73" s="56"/>
      <c r="M73" s="56"/>
      <c r="N73" s="56"/>
      <c r="O73" s="56"/>
      <c r="P73" s="56"/>
      <c r="Q73" s="56"/>
      <c r="R73" s="56"/>
      <c r="S73" s="56"/>
      <c r="T73" s="56"/>
      <c r="U73" s="56"/>
      <c r="V73" s="56"/>
      <c r="W73" s="56"/>
      <c r="X73" s="56"/>
      <c r="Y73" s="56"/>
      <c r="Z73" s="56"/>
    </row>
    <row r="74" ht="15.75" customHeight="1">
      <c r="A74" s="92"/>
      <c r="B74" s="93"/>
      <c r="C74" s="92"/>
      <c r="D74" s="56"/>
      <c r="E74" s="56"/>
      <c r="F74" s="56"/>
      <c r="G74" s="56"/>
      <c r="H74" s="56"/>
      <c r="I74" s="56"/>
      <c r="J74" s="56"/>
      <c r="K74" s="56"/>
      <c r="L74" s="56"/>
      <c r="M74" s="56"/>
      <c r="N74" s="56"/>
      <c r="O74" s="56"/>
      <c r="P74" s="56"/>
      <c r="Q74" s="56"/>
      <c r="R74" s="56"/>
      <c r="S74" s="56"/>
      <c r="T74" s="56"/>
      <c r="U74" s="56"/>
      <c r="V74" s="56"/>
      <c r="W74" s="56"/>
      <c r="X74" s="56"/>
      <c r="Y74" s="56"/>
      <c r="Z74" s="56"/>
    </row>
    <row r="75" ht="15.75" customHeight="1">
      <c r="A75" s="92"/>
      <c r="B75" s="93"/>
      <c r="C75" s="92"/>
      <c r="D75" s="56"/>
      <c r="E75" s="56"/>
      <c r="F75" s="56"/>
      <c r="G75" s="56"/>
      <c r="H75" s="56"/>
      <c r="I75" s="56"/>
      <c r="J75" s="56"/>
      <c r="K75" s="56"/>
      <c r="L75" s="56"/>
      <c r="M75" s="56"/>
      <c r="N75" s="56"/>
      <c r="O75" s="56"/>
      <c r="P75" s="56"/>
      <c r="Q75" s="56"/>
      <c r="R75" s="56"/>
      <c r="S75" s="56"/>
      <c r="T75" s="56"/>
      <c r="U75" s="56"/>
      <c r="V75" s="56"/>
      <c r="W75" s="56"/>
      <c r="X75" s="56"/>
      <c r="Y75" s="56"/>
      <c r="Z75" s="56"/>
    </row>
    <row r="76" ht="15.75" customHeight="1">
      <c r="A76" s="92"/>
      <c r="B76" s="93"/>
      <c r="C76" s="92"/>
      <c r="D76" s="56"/>
      <c r="E76" s="56"/>
      <c r="F76" s="56"/>
      <c r="G76" s="56"/>
      <c r="H76" s="56"/>
      <c r="I76" s="56"/>
      <c r="J76" s="56"/>
      <c r="K76" s="56"/>
      <c r="L76" s="56"/>
      <c r="M76" s="56"/>
      <c r="N76" s="56"/>
      <c r="O76" s="56"/>
      <c r="P76" s="56"/>
      <c r="Q76" s="56"/>
      <c r="R76" s="56"/>
      <c r="S76" s="56"/>
      <c r="T76" s="56"/>
      <c r="U76" s="56"/>
      <c r="V76" s="56"/>
      <c r="W76" s="56"/>
      <c r="X76" s="56"/>
      <c r="Y76" s="56"/>
      <c r="Z76" s="56"/>
    </row>
    <row r="77" ht="15.75" customHeight="1">
      <c r="A77" s="92"/>
      <c r="B77" s="93"/>
      <c r="C77" s="92"/>
      <c r="D77" s="56"/>
      <c r="E77" s="56"/>
      <c r="F77" s="56"/>
      <c r="G77" s="56"/>
      <c r="H77" s="56"/>
      <c r="I77" s="56"/>
      <c r="J77" s="56"/>
      <c r="K77" s="56"/>
      <c r="L77" s="56"/>
      <c r="M77" s="56"/>
      <c r="N77" s="56"/>
      <c r="O77" s="56"/>
      <c r="P77" s="56"/>
      <c r="Q77" s="56"/>
      <c r="R77" s="56"/>
      <c r="S77" s="56"/>
      <c r="T77" s="56"/>
      <c r="U77" s="56"/>
      <c r="V77" s="56"/>
      <c r="W77" s="56"/>
      <c r="X77" s="56"/>
      <c r="Y77" s="56"/>
      <c r="Z77" s="56"/>
    </row>
    <row r="78" ht="15.75" customHeight="1">
      <c r="A78" s="92"/>
      <c r="B78" s="93"/>
      <c r="C78" s="92"/>
      <c r="D78" s="56"/>
      <c r="E78" s="56"/>
      <c r="F78" s="56"/>
      <c r="G78" s="56"/>
      <c r="H78" s="56"/>
      <c r="I78" s="56"/>
      <c r="J78" s="56"/>
      <c r="K78" s="56"/>
      <c r="L78" s="56"/>
      <c r="M78" s="56"/>
      <c r="N78" s="56"/>
      <c r="O78" s="56"/>
      <c r="P78" s="56"/>
      <c r="Q78" s="56"/>
      <c r="R78" s="56"/>
      <c r="S78" s="56"/>
      <c r="T78" s="56"/>
      <c r="U78" s="56"/>
      <c r="V78" s="56"/>
      <c r="W78" s="56"/>
      <c r="X78" s="56"/>
      <c r="Y78" s="56"/>
      <c r="Z78" s="56"/>
    </row>
    <row r="79" ht="15.75" customHeight="1">
      <c r="A79" s="92"/>
      <c r="B79" s="93"/>
      <c r="C79" s="92"/>
      <c r="D79" s="56"/>
      <c r="E79" s="56"/>
      <c r="F79" s="56"/>
      <c r="G79" s="56"/>
      <c r="H79" s="56"/>
      <c r="I79" s="56"/>
      <c r="J79" s="56"/>
      <c r="K79" s="56"/>
      <c r="L79" s="56"/>
      <c r="M79" s="56"/>
      <c r="N79" s="56"/>
      <c r="O79" s="56"/>
      <c r="P79" s="56"/>
      <c r="Q79" s="56"/>
      <c r="R79" s="56"/>
      <c r="S79" s="56"/>
      <c r="T79" s="56"/>
      <c r="U79" s="56"/>
      <c r="V79" s="56"/>
      <c r="W79" s="56"/>
      <c r="X79" s="56"/>
      <c r="Y79" s="56"/>
      <c r="Z79" s="56"/>
    </row>
    <row r="80" ht="15.75" customHeight="1">
      <c r="A80" s="92"/>
      <c r="B80" s="93"/>
      <c r="C80" s="92"/>
      <c r="D80" s="56"/>
      <c r="E80" s="56"/>
      <c r="F80" s="56"/>
      <c r="G80" s="56"/>
      <c r="H80" s="56"/>
      <c r="I80" s="56"/>
      <c r="J80" s="56"/>
      <c r="K80" s="56"/>
      <c r="L80" s="56"/>
      <c r="M80" s="56"/>
      <c r="N80" s="56"/>
      <c r="O80" s="56"/>
      <c r="P80" s="56"/>
      <c r="Q80" s="56"/>
      <c r="R80" s="56"/>
      <c r="S80" s="56"/>
      <c r="T80" s="56"/>
      <c r="U80" s="56"/>
      <c r="V80" s="56"/>
      <c r="W80" s="56"/>
      <c r="X80" s="56"/>
      <c r="Y80" s="56"/>
      <c r="Z80" s="56"/>
    </row>
    <row r="81" ht="15.75" customHeight="1">
      <c r="A81" s="92"/>
      <c r="B81" s="93"/>
      <c r="C81" s="92"/>
      <c r="D81" s="56"/>
      <c r="E81" s="56"/>
      <c r="F81" s="56"/>
      <c r="G81" s="56"/>
      <c r="H81" s="56"/>
      <c r="I81" s="56"/>
      <c r="J81" s="56"/>
      <c r="K81" s="56"/>
      <c r="L81" s="56"/>
      <c r="M81" s="56"/>
      <c r="N81" s="56"/>
      <c r="O81" s="56"/>
      <c r="P81" s="56"/>
      <c r="Q81" s="56"/>
      <c r="R81" s="56"/>
      <c r="S81" s="56"/>
      <c r="T81" s="56"/>
      <c r="U81" s="56"/>
      <c r="V81" s="56"/>
      <c r="W81" s="56"/>
      <c r="X81" s="56"/>
      <c r="Y81" s="56"/>
      <c r="Z81" s="56"/>
    </row>
    <row r="82" ht="15.75" customHeight="1">
      <c r="A82" s="92"/>
      <c r="B82" s="93"/>
      <c r="C82" s="92"/>
      <c r="D82" s="56"/>
      <c r="E82" s="56"/>
      <c r="F82" s="56"/>
      <c r="G82" s="56"/>
      <c r="H82" s="56"/>
      <c r="I82" s="56"/>
      <c r="J82" s="56"/>
      <c r="K82" s="56"/>
      <c r="L82" s="56"/>
      <c r="M82" s="56"/>
      <c r="N82" s="56"/>
      <c r="O82" s="56"/>
      <c r="P82" s="56"/>
      <c r="Q82" s="56"/>
      <c r="R82" s="56"/>
      <c r="S82" s="56"/>
      <c r="T82" s="56"/>
      <c r="U82" s="56"/>
      <c r="V82" s="56"/>
      <c r="W82" s="56"/>
      <c r="X82" s="56"/>
      <c r="Y82" s="56"/>
      <c r="Z82" s="56"/>
    </row>
    <row r="83" ht="15.75" customHeight="1">
      <c r="A83" s="92"/>
      <c r="B83" s="93"/>
      <c r="C83" s="92"/>
      <c r="D83" s="56"/>
      <c r="E83" s="56"/>
      <c r="F83" s="56"/>
      <c r="G83" s="56"/>
      <c r="H83" s="56"/>
      <c r="I83" s="56"/>
      <c r="J83" s="56"/>
      <c r="K83" s="56"/>
      <c r="L83" s="56"/>
      <c r="M83" s="56"/>
      <c r="N83" s="56"/>
      <c r="O83" s="56"/>
      <c r="P83" s="56"/>
      <c r="Q83" s="56"/>
      <c r="R83" s="56"/>
      <c r="S83" s="56"/>
      <c r="T83" s="56"/>
      <c r="U83" s="56"/>
      <c r="V83" s="56"/>
      <c r="W83" s="56"/>
      <c r="X83" s="56"/>
      <c r="Y83" s="56"/>
      <c r="Z83" s="56"/>
    </row>
    <row r="84" ht="15.75" customHeight="1">
      <c r="A84" s="92"/>
      <c r="B84" s="93"/>
      <c r="C84" s="92"/>
      <c r="D84" s="56"/>
      <c r="E84" s="56"/>
      <c r="F84" s="56"/>
      <c r="G84" s="56"/>
      <c r="H84" s="56"/>
      <c r="I84" s="56"/>
      <c r="J84" s="56"/>
      <c r="K84" s="56"/>
      <c r="L84" s="56"/>
      <c r="M84" s="56"/>
      <c r="N84" s="56"/>
      <c r="O84" s="56"/>
      <c r="P84" s="56"/>
      <c r="Q84" s="56"/>
      <c r="R84" s="56"/>
      <c r="S84" s="56"/>
      <c r="T84" s="56"/>
      <c r="U84" s="56"/>
      <c r="V84" s="56"/>
      <c r="W84" s="56"/>
      <c r="X84" s="56"/>
      <c r="Y84" s="56"/>
      <c r="Z84" s="56"/>
    </row>
    <row r="85" ht="15.75" customHeight="1">
      <c r="A85" s="92"/>
      <c r="B85" s="93"/>
      <c r="C85" s="92"/>
      <c r="D85" s="56"/>
      <c r="E85" s="56"/>
      <c r="F85" s="56"/>
      <c r="G85" s="56"/>
      <c r="H85" s="56"/>
      <c r="I85" s="56"/>
      <c r="J85" s="56"/>
      <c r="K85" s="56"/>
      <c r="L85" s="56"/>
      <c r="M85" s="56"/>
      <c r="N85" s="56"/>
      <c r="O85" s="56"/>
      <c r="P85" s="56"/>
      <c r="Q85" s="56"/>
      <c r="R85" s="56"/>
      <c r="S85" s="56"/>
      <c r="T85" s="56"/>
      <c r="U85" s="56"/>
      <c r="V85" s="56"/>
      <c r="W85" s="56"/>
      <c r="X85" s="56"/>
      <c r="Y85" s="56"/>
      <c r="Z85" s="56"/>
    </row>
    <row r="86" ht="15.75" customHeight="1">
      <c r="A86" s="92"/>
      <c r="B86" s="93"/>
      <c r="C86" s="92"/>
      <c r="D86" s="56"/>
      <c r="E86" s="56"/>
      <c r="F86" s="56"/>
      <c r="G86" s="56"/>
      <c r="H86" s="56"/>
      <c r="I86" s="56"/>
      <c r="J86" s="56"/>
      <c r="K86" s="56"/>
      <c r="L86" s="56"/>
      <c r="M86" s="56"/>
      <c r="N86" s="56"/>
      <c r="O86" s="56"/>
      <c r="P86" s="56"/>
      <c r="Q86" s="56"/>
      <c r="R86" s="56"/>
      <c r="S86" s="56"/>
      <c r="T86" s="56"/>
      <c r="U86" s="56"/>
      <c r="V86" s="56"/>
      <c r="W86" s="56"/>
      <c r="X86" s="56"/>
      <c r="Y86" s="56"/>
      <c r="Z86" s="56"/>
    </row>
    <row r="87" ht="15.75" customHeight="1">
      <c r="A87" s="92"/>
      <c r="B87" s="93"/>
      <c r="C87" s="92"/>
      <c r="D87" s="56"/>
      <c r="E87" s="56"/>
      <c r="F87" s="56"/>
      <c r="G87" s="56"/>
      <c r="H87" s="56"/>
      <c r="I87" s="56"/>
      <c r="J87" s="56"/>
      <c r="K87" s="56"/>
      <c r="L87" s="56"/>
      <c r="M87" s="56"/>
      <c r="N87" s="56"/>
      <c r="O87" s="56"/>
      <c r="P87" s="56"/>
      <c r="Q87" s="56"/>
      <c r="R87" s="56"/>
      <c r="S87" s="56"/>
      <c r="T87" s="56"/>
      <c r="U87" s="56"/>
      <c r="V87" s="56"/>
      <c r="W87" s="56"/>
      <c r="X87" s="56"/>
      <c r="Y87" s="56"/>
      <c r="Z87" s="56"/>
    </row>
    <row r="88" ht="15.75" customHeight="1">
      <c r="A88" s="92"/>
      <c r="B88" s="93"/>
      <c r="C88" s="92"/>
      <c r="D88" s="56"/>
      <c r="E88" s="56"/>
      <c r="F88" s="56"/>
      <c r="G88" s="56"/>
      <c r="H88" s="56"/>
      <c r="I88" s="56"/>
      <c r="J88" s="56"/>
      <c r="K88" s="56"/>
      <c r="L88" s="56"/>
      <c r="M88" s="56"/>
      <c r="N88" s="56"/>
      <c r="O88" s="56"/>
      <c r="P88" s="56"/>
      <c r="Q88" s="56"/>
      <c r="R88" s="56"/>
      <c r="S88" s="56"/>
      <c r="T88" s="56"/>
      <c r="U88" s="56"/>
      <c r="V88" s="56"/>
      <c r="W88" s="56"/>
      <c r="X88" s="56"/>
      <c r="Y88" s="56"/>
      <c r="Z88" s="56"/>
    </row>
    <row r="89" ht="15.75" customHeight="1">
      <c r="A89" s="92"/>
      <c r="B89" s="93"/>
      <c r="C89" s="92"/>
      <c r="D89" s="56"/>
      <c r="E89" s="56"/>
      <c r="F89" s="56"/>
      <c r="G89" s="56"/>
      <c r="H89" s="56"/>
      <c r="I89" s="56"/>
      <c r="J89" s="56"/>
      <c r="K89" s="56"/>
      <c r="L89" s="56"/>
      <c r="M89" s="56"/>
      <c r="N89" s="56"/>
      <c r="O89" s="56"/>
      <c r="P89" s="56"/>
      <c r="Q89" s="56"/>
      <c r="R89" s="56"/>
      <c r="S89" s="56"/>
      <c r="T89" s="56"/>
      <c r="U89" s="56"/>
      <c r="V89" s="56"/>
      <c r="W89" s="56"/>
      <c r="X89" s="56"/>
      <c r="Y89" s="56"/>
      <c r="Z89" s="56"/>
    </row>
    <row r="90" ht="15.75" customHeight="1">
      <c r="A90" s="92"/>
      <c r="B90" s="93"/>
      <c r="C90" s="92"/>
      <c r="D90" s="56"/>
      <c r="E90" s="56"/>
      <c r="F90" s="56"/>
      <c r="G90" s="56"/>
      <c r="H90" s="56"/>
      <c r="I90" s="56"/>
      <c r="J90" s="56"/>
      <c r="K90" s="56"/>
      <c r="L90" s="56"/>
      <c r="M90" s="56"/>
      <c r="N90" s="56"/>
      <c r="O90" s="56"/>
      <c r="P90" s="56"/>
      <c r="Q90" s="56"/>
      <c r="R90" s="56"/>
      <c r="S90" s="56"/>
      <c r="T90" s="56"/>
      <c r="U90" s="56"/>
      <c r="V90" s="56"/>
      <c r="W90" s="56"/>
      <c r="X90" s="56"/>
      <c r="Y90" s="56"/>
      <c r="Z90" s="56"/>
    </row>
    <row r="91" ht="15.75" customHeight="1">
      <c r="A91" s="92"/>
      <c r="B91" s="93"/>
      <c r="C91" s="92"/>
      <c r="D91" s="56"/>
      <c r="E91" s="56"/>
      <c r="F91" s="56"/>
      <c r="G91" s="56"/>
      <c r="H91" s="56"/>
      <c r="I91" s="56"/>
      <c r="J91" s="56"/>
      <c r="K91" s="56"/>
      <c r="L91" s="56"/>
      <c r="M91" s="56"/>
      <c r="N91" s="56"/>
      <c r="O91" s="56"/>
      <c r="P91" s="56"/>
      <c r="Q91" s="56"/>
      <c r="R91" s="56"/>
      <c r="S91" s="56"/>
      <c r="T91" s="56"/>
      <c r="U91" s="56"/>
      <c r="V91" s="56"/>
      <c r="W91" s="56"/>
      <c r="X91" s="56"/>
      <c r="Y91" s="56"/>
      <c r="Z91" s="56"/>
    </row>
    <row r="92" ht="15.75" customHeight="1">
      <c r="A92" s="92"/>
      <c r="B92" s="93"/>
      <c r="C92" s="92"/>
      <c r="D92" s="56"/>
      <c r="E92" s="56"/>
      <c r="F92" s="56"/>
      <c r="G92" s="56"/>
      <c r="H92" s="56"/>
      <c r="I92" s="56"/>
      <c r="J92" s="56"/>
      <c r="K92" s="56"/>
      <c r="L92" s="56"/>
      <c r="M92" s="56"/>
      <c r="N92" s="56"/>
      <c r="O92" s="56"/>
      <c r="P92" s="56"/>
      <c r="Q92" s="56"/>
      <c r="R92" s="56"/>
      <c r="S92" s="56"/>
      <c r="T92" s="56"/>
      <c r="U92" s="56"/>
      <c r="V92" s="56"/>
      <c r="W92" s="56"/>
      <c r="X92" s="56"/>
      <c r="Y92" s="56"/>
      <c r="Z92" s="56"/>
    </row>
    <row r="93" ht="15.75" customHeight="1">
      <c r="A93" s="92"/>
      <c r="B93" s="93"/>
      <c r="C93" s="92"/>
      <c r="D93" s="56"/>
      <c r="E93" s="56"/>
      <c r="F93" s="56"/>
      <c r="G93" s="56"/>
      <c r="H93" s="56"/>
      <c r="I93" s="56"/>
      <c r="J93" s="56"/>
      <c r="K93" s="56"/>
      <c r="L93" s="56"/>
      <c r="M93" s="56"/>
      <c r="N93" s="56"/>
      <c r="O93" s="56"/>
      <c r="P93" s="56"/>
      <c r="Q93" s="56"/>
      <c r="R93" s="56"/>
      <c r="S93" s="56"/>
      <c r="T93" s="56"/>
      <c r="U93" s="56"/>
      <c r="V93" s="56"/>
      <c r="W93" s="56"/>
      <c r="X93" s="56"/>
      <c r="Y93" s="56"/>
      <c r="Z93" s="56"/>
    </row>
    <row r="94" ht="15.75" customHeight="1">
      <c r="A94" s="92"/>
      <c r="B94" s="93"/>
      <c r="C94" s="92"/>
      <c r="D94" s="56"/>
      <c r="E94" s="56"/>
      <c r="F94" s="56"/>
      <c r="G94" s="56"/>
      <c r="H94" s="56"/>
      <c r="I94" s="56"/>
      <c r="J94" s="56"/>
      <c r="K94" s="56"/>
      <c r="L94" s="56"/>
      <c r="M94" s="56"/>
      <c r="N94" s="56"/>
      <c r="O94" s="56"/>
      <c r="P94" s="56"/>
      <c r="Q94" s="56"/>
      <c r="R94" s="56"/>
      <c r="S94" s="56"/>
      <c r="T94" s="56"/>
      <c r="U94" s="56"/>
      <c r="V94" s="56"/>
      <c r="W94" s="56"/>
      <c r="X94" s="56"/>
      <c r="Y94" s="56"/>
      <c r="Z94" s="56"/>
    </row>
    <row r="95" ht="15.75" customHeight="1">
      <c r="A95" s="92"/>
      <c r="B95" s="93"/>
      <c r="C95" s="92"/>
      <c r="D95" s="56"/>
      <c r="E95" s="56"/>
      <c r="F95" s="56"/>
      <c r="G95" s="56"/>
      <c r="H95" s="56"/>
      <c r="I95" s="56"/>
      <c r="J95" s="56"/>
      <c r="K95" s="56"/>
      <c r="L95" s="56"/>
      <c r="M95" s="56"/>
      <c r="N95" s="56"/>
      <c r="O95" s="56"/>
      <c r="P95" s="56"/>
      <c r="Q95" s="56"/>
      <c r="R95" s="56"/>
      <c r="S95" s="56"/>
      <c r="T95" s="56"/>
      <c r="U95" s="56"/>
      <c r="V95" s="56"/>
      <c r="W95" s="56"/>
      <c r="X95" s="56"/>
      <c r="Y95" s="56"/>
      <c r="Z95" s="56"/>
    </row>
    <row r="96" ht="15.75" customHeight="1">
      <c r="A96" s="92"/>
      <c r="B96" s="93"/>
      <c r="C96" s="92"/>
      <c r="D96" s="56"/>
      <c r="E96" s="56"/>
      <c r="F96" s="56"/>
      <c r="G96" s="56"/>
      <c r="H96" s="56"/>
      <c r="I96" s="56"/>
      <c r="J96" s="56"/>
      <c r="K96" s="56"/>
      <c r="L96" s="56"/>
      <c r="M96" s="56"/>
      <c r="N96" s="56"/>
      <c r="O96" s="56"/>
      <c r="P96" s="56"/>
      <c r="Q96" s="56"/>
      <c r="R96" s="56"/>
      <c r="S96" s="56"/>
      <c r="T96" s="56"/>
      <c r="U96" s="56"/>
      <c r="V96" s="56"/>
      <c r="W96" s="56"/>
      <c r="X96" s="56"/>
      <c r="Y96" s="56"/>
      <c r="Z96" s="56"/>
    </row>
    <row r="97" ht="15.75" customHeight="1">
      <c r="A97" s="92"/>
      <c r="B97" s="93"/>
      <c r="C97" s="92"/>
      <c r="D97" s="56"/>
      <c r="E97" s="56"/>
      <c r="F97" s="56"/>
      <c r="G97" s="56"/>
      <c r="H97" s="56"/>
      <c r="I97" s="56"/>
      <c r="J97" s="56"/>
      <c r="K97" s="56"/>
      <c r="L97" s="56"/>
      <c r="M97" s="56"/>
      <c r="N97" s="56"/>
      <c r="O97" s="56"/>
      <c r="P97" s="56"/>
      <c r="Q97" s="56"/>
      <c r="R97" s="56"/>
      <c r="S97" s="56"/>
      <c r="T97" s="56"/>
      <c r="U97" s="56"/>
      <c r="V97" s="56"/>
      <c r="W97" s="56"/>
      <c r="X97" s="56"/>
      <c r="Y97" s="56"/>
      <c r="Z97" s="56"/>
    </row>
    <row r="98" ht="15.75" customHeight="1">
      <c r="A98" s="92"/>
      <c r="B98" s="93"/>
      <c r="C98" s="92"/>
      <c r="D98" s="56"/>
      <c r="E98" s="56"/>
      <c r="F98" s="56"/>
      <c r="G98" s="56"/>
      <c r="H98" s="56"/>
      <c r="I98" s="56"/>
      <c r="J98" s="56"/>
      <c r="K98" s="56"/>
      <c r="L98" s="56"/>
      <c r="M98" s="56"/>
      <c r="N98" s="56"/>
      <c r="O98" s="56"/>
      <c r="P98" s="56"/>
      <c r="Q98" s="56"/>
      <c r="R98" s="56"/>
      <c r="S98" s="56"/>
      <c r="T98" s="56"/>
      <c r="U98" s="56"/>
      <c r="V98" s="56"/>
      <c r="W98" s="56"/>
      <c r="X98" s="56"/>
      <c r="Y98" s="56"/>
      <c r="Z98" s="56"/>
    </row>
    <row r="99" ht="15.75" customHeight="1">
      <c r="A99" s="92"/>
      <c r="B99" s="93"/>
      <c r="C99" s="92"/>
      <c r="D99" s="56"/>
      <c r="E99" s="56"/>
      <c r="F99" s="56"/>
      <c r="G99" s="56"/>
      <c r="H99" s="56"/>
      <c r="I99" s="56"/>
      <c r="J99" s="56"/>
      <c r="K99" s="56"/>
      <c r="L99" s="56"/>
      <c r="M99" s="56"/>
      <c r="N99" s="56"/>
      <c r="O99" s="56"/>
      <c r="P99" s="56"/>
      <c r="Q99" s="56"/>
      <c r="R99" s="56"/>
      <c r="S99" s="56"/>
      <c r="T99" s="56"/>
      <c r="U99" s="56"/>
      <c r="V99" s="56"/>
      <c r="W99" s="56"/>
      <c r="X99" s="56"/>
      <c r="Y99" s="56"/>
      <c r="Z99" s="56"/>
    </row>
    <row r="100" ht="15.75" customHeight="1">
      <c r="A100" s="92"/>
      <c r="B100" s="93"/>
      <c r="C100" s="92"/>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ht="15.75" customHeight="1">
      <c r="A101" s="92"/>
      <c r="B101" s="93"/>
      <c r="C101" s="92"/>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ht="15.75" customHeight="1">
      <c r="A102" s="92"/>
      <c r="B102" s="93"/>
      <c r="C102" s="92"/>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ht="15.75" customHeight="1">
      <c r="A103" s="92"/>
      <c r="B103" s="93"/>
      <c r="C103" s="92"/>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ht="15.75" customHeight="1">
      <c r="A104" s="92"/>
      <c r="B104" s="93"/>
      <c r="C104" s="92"/>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ht="15.75" customHeight="1">
      <c r="A105" s="92"/>
      <c r="B105" s="93"/>
      <c r="C105" s="92"/>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ht="15.75" customHeight="1">
      <c r="A106" s="92"/>
      <c r="B106" s="93"/>
      <c r="C106" s="92"/>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ht="15.75" customHeight="1">
      <c r="A107" s="92"/>
      <c r="B107" s="93"/>
      <c r="C107" s="92"/>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ht="15.75" customHeight="1">
      <c r="A108" s="92"/>
      <c r="B108" s="93"/>
      <c r="C108" s="92"/>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ht="15.75" customHeight="1">
      <c r="A109" s="92"/>
      <c r="B109" s="93"/>
      <c r="C109" s="92"/>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ht="15.75" customHeight="1">
      <c r="A110" s="92"/>
      <c r="B110" s="93"/>
      <c r="C110" s="92"/>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ht="15.75" customHeight="1">
      <c r="A111" s="92"/>
      <c r="B111" s="93"/>
      <c r="C111" s="92"/>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ht="15.75" customHeight="1">
      <c r="A112" s="92"/>
      <c r="B112" s="93"/>
      <c r="C112" s="92"/>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ht="15.75" customHeight="1">
      <c r="A113" s="92"/>
      <c r="B113" s="93"/>
      <c r="C113" s="92"/>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ht="15.75" customHeight="1">
      <c r="A114" s="92"/>
      <c r="B114" s="93"/>
      <c r="C114" s="92"/>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ht="15.75" customHeight="1">
      <c r="A115" s="92"/>
      <c r="B115" s="93"/>
      <c r="C115" s="92"/>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ht="15.75" customHeight="1">
      <c r="A116" s="92"/>
      <c r="B116" s="93"/>
      <c r="C116" s="92"/>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ht="15.75" customHeight="1">
      <c r="A117" s="92"/>
      <c r="B117" s="93"/>
      <c r="C117" s="92"/>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ht="15.75" customHeight="1">
      <c r="A118" s="92"/>
      <c r="B118" s="93"/>
      <c r="C118" s="92"/>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ht="15.75" customHeight="1">
      <c r="A119" s="92"/>
      <c r="B119" s="93"/>
      <c r="C119" s="92"/>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ht="15.75" customHeight="1">
      <c r="A120" s="92"/>
      <c r="B120" s="93"/>
      <c r="C120" s="92"/>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ht="15.75" customHeight="1">
      <c r="A121" s="92"/>
      <c r="B121" s="93"/>
      <c r="C121" s="92"/>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ht="15.75" customHeight="1">
      <c r="A122" s="92"/>
      <c r="B122" s="93"/>
      <c r="C122" s="92"/>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ht="15.75" customHeight="1">
      <c r="A123" s="92"/>
      <c r="B123" s="93"/>
      <c r="C123" s="92"/>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ht="15.75" customHeight="1">
      <c r="A124" s="92"/>
      <c r="B124" s="93"/>
      <c r="C124" s="92"/>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ht="15.75" customHeight="1">
      <c r="A125" s="92"/>
      <c r="B125" s="93"/>
      <c r="C125" s="92"/>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ht="15.75" customHeight="1">
      <c r="A126" s="92"/>
      <c r="B126" s="93"/>
      <c r="C126" s="92"/>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ht="15.75" customHeight="1">
      <c r="A127" s="92"/>
      <c r="B127" s="93"/>
      <c r="C127" s="92"/>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ht="15.75" customHeight="1">
      <c r="A128" s="92"/>
      <c r="B128" s="93"/>
      <c r="C128" s="92"/>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ht="15.75" customHeight="1">
      <c r="A129" s="92"/>
      <c r="B129" s="93"/>
      <c r="C129" s="92"/>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ht="15.75" customHeight="1">
      <c r="A130" s="92"/>
      <c r="B130" s="93"/>
      <c r="C130" s="92"/>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ht="15.75" customHeight="1">
      <c r="A131" s="92"/>
      <c r="B131" s="93"/>
      <c r="C131" s="92"/>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ht="15.75" customHeight="1">
      <c r="A132" s="92"/>
      <c r="B132" s="93"/>
      <c r="C132" s="92"/>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ht="15.75" customHeight="1">
      <c r="A133" s="92"/>
      <c r="B133" s="93"/>
      <c r="C133" s="92"/>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ht="15.75" customHeight="1">
      <c r="A134" s="92"/>
      <c r="B134" s="93"/>
      <c r="C134" s="92"/>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ht="15.75" customHeight="1">
      <c r="A135" s="92"/>
      <c r="B135" s="93"/>
      <c r="C135" s="92"/>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ht="15.75" customHeight="1">
      <c r="A136" s="92"/>
      <c r="B136" s="93"/>
      <c r="C136" s="92"/>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ht="15.75" customHeight="1">
      <c r="A137" s="92"/>
      <c r="B137" s="93"/>
      <c r="C137" s="92"/>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ht="15.75" customHeight="1">
      <c r="A138" s="92"/>
      <c r="B138" s="93"/>
      <c r="C138" s="92"/>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ht="15.75" customHeight="1">
      <c r="A139" s="92"/>
      <c r="B139" s="93"/>
      <c r="C139" s="92"/>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ht="15.75" customHeight="1">
      <c r="A140" s="92"/>
      <c r="B140" s="93"/>
      <c r="C140" s="92"/>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ht="15.75" customHeight="1">
      <c r="A141" s="92"/>
      <c r="B141" s="93"/>
      <c r="C141" s="92"/>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ht="15.75" customHeight="1">
      <c r="A142" s="92"/>
      <c r="B142" s="93"/>
      <c r="C142" s="92"/>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ht="15.75" customHeight="1">
      <c r="A143" s="92"/>
      <c r="B143" s="93"/>
      <c r="C143" s="92"/>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ht="15.75" customHeight="1">
      <c r="A144" s="92"/>
      <c r="B144" s="93"/>
      <c r="C144" s="92"/>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ht="15.75" customHeight="1">
      <c r="A145" s="92"/>
      <c r="B145" s="93"/>
      <c r="C145" s="92"/>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ht="15.75" customHeight="1">
      <c r="A146" s="92"/>
      <c r="B146" s="93"/>
      <c r="C146" s="92"/>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ht="15.75" customHeight="1">
      <c r="A147" s="92"/>
      <c r="B147" s="93"/>
      <c r="C147" s="92"/>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ht="15.75" customHeight="1">
      <c r="A148" s="92"/>
      <c r="B148" s="93"/>
      <c r="C148" s="92"/>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ht="15.75" customHeight="1">
      <c r="A149" s="92"/>
      <c r="B149" s="93"/>
      <c r="C149" s="92"/>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ht="15.75" customHeight="1">
      <c r="A150" s="92"/>
      <c r="B150" s="93"/>
      <c r="C150" s="92"/>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ht="15.75" customHeight="1">
      <c r="A151" s="92"/>
      <c r="B151" s="93"/>
      <c r="C151" s="92"/>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ht="15.75" customHeight="1">
      <c r="A152" s="92"/>
      <c r="B152" s="93"/>
      <c r="C152" s="92"/>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ht="15.75" customHeight="1">
      <c r="A153" s="92"/>
      <c r="B153" s="93"/>
      <c r="C153" s="92"/>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ht="15.75" customHeight="1">
      <c r="A154" s="92"/>
      <c r="B154" s="93"/>
      <c r="C154" s="92"/>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ht="15.75" customHeight="1">
      <c r="A155" s="92"/>
      <c r="B155" s="93"/>
      <c r="C155" s="92"/>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ht="15.75" customHeight="1">
      <c r="A156" s="92"/>
      <c r="B156" s="93"/>
      <c r="C156" s="92"/>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ht="15.75" customHeight="1">
      <c r="A157" s="92"/>
      <c r="B157" s="93"/>
      <c r="C157" s="92"/>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ht="15.75" customHeight="1">
      <c r="A158" s="92"/>
      <c r="B158" s="93"/>
      <c r="C158" s="92"/>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ht="15.75" customHeight="1">
      <c r="A159" s="92"/>
      <c r="B159" s="93"/>
      <c r="C159" s="92"/>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ht="15.75" customHeight="1">
      <c r="A160" s="92"/>
      <c r="B160" s="93"/>
      <c r="C160" s="92"/>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ht="15.75" customHeight="1">
      <c r="A161" s="92"/>
      <c r="B161" s="93"/>
      <c r="C161" s="92"/>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ht="15.75" customHeight="1">
      <c r="A162" s="92"/>
      <c r="B162" s="93"/>
      <c r="C162" s="92"/>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ht="15.75" customHeight="1">
      <c r="A163" s="92"/>
      <c r="B163" s="93"/>
      <c r="C163" s="92"/>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ht="15.75" customHeight="1">
      <c r="A164" s="92"/>
      <c r="B164" s="93"/>
      <c r="C164" s="92"/>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ht="15.75" customHeight="1">
      <c r="A165" s="92"/>
      <c r="B165" s="93"/>
      <c r="C165" s="92"/>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ht="15.75" customHeight="1">
      <c r="A166" s="92"/>
      <c r="B166" s="93"/>
      <c r="C166" s="92"/>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ht="15.75" customHeight="1">
      <c r="A167" s="92"/>
      <c r="B167" s="93"/>
      <c r="C167" s="92"/>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ht="15.75" customHeight="1">
      <c r="A168" s="92"/>
      <c r="B168" s="93"/>
      <c r="C168" s="92"/>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ht="15.75" customHeight="1">
      <c r="A169" s="92"/>
      <c r="B169" s="93"/>
      <c r="C169" s="92"/>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ht="15.75" customHeight="1">
      <c r="A170" s="92"/>
      <c r="B170" s="93"/>
      <c r="C170" s="92"/>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ht="15.75" customHeight="1">
      <c r="A171" s="92"/>
      <c r="B171" s="93"/>
      <c r="C171" s="92"/>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ht="15.75" customHeight="1">
      <c r="A172" s="92"/>
      <c r="B172" s="93"/>
      <c r="C172" s="92"/>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ht="15.75" customHeight="1">
      <c r="A173" s="92"/>
      <c r="B173" s="93"/>
      <c r="C173" s="92"/>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ht="15.75" customHeight="1">
      <c r="A174" s="92"/>
      <c r="B174" s="93"/>
      <c r="C174" s="92"/>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ht="15.75" customHeight="1">
      <c r="A175" s="92"/>
      <c r="B175" s="93"/>
      <c r="C175" s="92"/>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ht="15.75" customHeight="1">
      <c r="A176" s="92"/>
      <c r="B176" s="93"/>
      <c r="C176" s="92"/>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ht="15.75" customHeight="1">
      <c r="A177" s="92"/>
      <c r="B177" s="93"/>
      <c r="C177" s="92"/>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ht="15.75" customHeight="1">
      <c r="A178" s="92"/>
      <c r="B178" s="93"/>
      <c r="C178" s="92"/>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ht="15.75" customHeight="1">
      <c r="A179" s="92"/>
      <c r="B179" s="93"/>
      <c r="C179" s="92"/>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ht="15.75" customHeight="1">
      <c r="A180" s="92"/>
      <c r="B180" s="93"/>
      <c r="C180" s="92"/>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ht="15.75" customHeight="1">
      <c r="A181" s="92"/>
      <c r="B181" s="93"/>
      <c r="C181" s="92"/>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ht="15.75" customHeight="1">
      <c r="A182" s="92"/>
      <c r="B182" s="93"/>
      <c r="C182" s="92"/>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ht="15.75" customHeight="1">
      <c r="A183" s="92"/>
      <c r="B183" s="93"/>
      <c r="C183" s="92"/>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ht="15.75" customHeight="1">
      <c r="A184" s="92"/>
      <c r="B184" s="93"/>
      <c r="C184" s="92"/>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ht="15.75" customHeight="1">
      <c r="A185" s="92"/>
      <c r="B185" s="93"/>
      <c r="C185" s="92"/>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ht="15.75" customHeight="1">
      <c r="A186" s="92"/>
      <c r="B186" s="93"/>
      <c r="C186" s="92"/>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ht="15.75" customHeight="1">
      <c r="A187" s="92"/>
      <c r="B187" s="93"/>
      <c r="C187" s="92"/>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ht="15.75" customHeight="1">
      <c r="A188" s="92"/>
      <c r="B188" s="93"/>
      <c r="C188" s="92"/>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ht="15.75" customHeight="1">
      <c r="A189" s="92"/>
      <c r="B189" s="93"/>
      <c r="C189" s="92"/>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ht="15.75" customHeight="1">
      <c r="A190" s="92"/>
      <c r="B190" s="93"/>
      <c r="C190" s="92"/>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ht="15.75" customHeight="1">
      <c r="A191" s="92"/>
      <c r="B191" s="93"/>
      <c r="C191" s="92"/>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ht="15.75" customHeight="1">
      <c r="A192" s="92"/>
      <c r="B192" s="93"/>
      <c r="C192" s="92"/>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ht="15.75" customHeight="1">
      <c r="A193" s="92"/>
      <c r="B193" s="93"/>
      <c r="C193" s="92"/>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ht="15.75" customHeight="1">
      <c r="A194" s="92"/>
      <c r="B194" s="93"/>
      <c r="C194" s="92"/>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ht="15.75" customHeight="1">
      <c r="A195" s="92"/>
      <c r="B195" s="93"/>
      <c r="C195" s="92"/>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ht="15.75" customHeight="1">
      <c r="A196" s="92"/>
      <c r="B196" s="93"/>
      <c r="C196" s="92"/>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ht="15.75" customHeight="1">
      <c r="A197" s="92"/>
      <c r="B197" s="93"/>
      <c r="C197" s="92"/>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ht="15.75" customHeight="1">
      <c r="A198" s="92"/>
      <c r="B198" s="93"/>
      <c r="C198" s="92"/>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ht="15.75" customHeight="1">
      <c r="A199" s="92"/>
      <c r="B199" s="93"/>
      <c r="C199" s="92"/>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ht="15.75" customHeight="1">
      <c r="A200" s="92"/>
      <c r="B200" s="93"/>
      <c r="C200" s="92"/>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ht="15.75" customHeight="1">
      <c r="A201" s="92"/>
      <c r="B201" s="93"/>
      <c r="C201" s="92"/>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ht="15.75" customHeight="1">
      <c r="A202" s="92"/>
      <c r="B202" s="93"/>
      <c r="C202" s="92"/>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ht="15.75" customHeight="1">
      <c r="A203" s="92"/>
      <c r="B203" s="93"/>
      <c r="C203" s="92"/>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ht="15.75" customHeight="1">
      <c r="A204" s="92"/>
      <c r="B204" s="93"/>
      <c r="C204" s="92"/>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ht="15.75" customHeight="1">
      <c r="A205" s="92"/>
      <c r="B205" s="93"/>
      <c r="C205" s="92"/>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ht="15.75" customHeight="1">
      <c r="A206" s="92"/>
      <c r="B206" s="93"/>
      <c r="C206" s="92"/>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ht="15.75" customHeight="1">
      <c r="A207" s="92"/>
      <c r="B207" s="93"/>
      <c r="C207" s="92"/>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ht="15.75" customHeight="1">
      <c r="A208" s="92"/>
      <c r="B208" s="93"/>
      <c r="C208" s="92"/>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ht="15.75" customHeight="1">
      <c r="A209" s="92"/>
      <c r="B209" s="93"/>
      <c r="C209" s="92"/>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ht="15.75" customHeight="1">
      <c r="A210" s="92"/>
      <c r="B210" s="93"/>
      <c r="C210" s="92"/>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ht="15.75" customHeight="1">
      <c r="A211" s="92"/>
      <c r="B211" s="93"/>
      <c r="C211" s="92"/>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ht="15.75" customHeight="1">
      <c r="A212" s="92"/>
      <c r="B212" s="93"/>
      <c r="C212" s="92"/>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ht="15.75" customHeight="1">
      <c r="A213" s="92"/>
      <c r="B213" s="93"/>
      <c r="C213" s="92"/>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ht="15.75" customHeight="1">
      <c r="A214" s="92"/>
      <c r="B214" s="93"/>
      <c r="C214" s="92"/>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ht="15.75" customHeight="1">
      <c r="A215" s="92"/>
      <c r="B215" s="93"/>
      <c r="C215" s="92"/>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ht="15.75" customHeight="1">
      <c r="A216" s="92"/>
      <c r="B216" s="93"/>
      <c r="C216" s="92"/>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ht="15.75" customHeight="1">
      <c r="A217" s="92"/>
      <c r="B217" s="93"/>
      <c r="C217" s="92"/>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ht="15.75" customHeight="1">
      <c r="A218" s="92"/>
      <c r="B218" s="93"/>
      <c r="C218" s="92"/>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ht="15.75" customHeight="1">
      <c r="A219" s="92"/>
      <c r="B219" s="93"/>
      <c r="C219" s="92"/>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ht="15.75"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ht="15.75"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ht="15.75"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ht="15.75"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ht="15.75"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ht="15.75"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ht="15.75"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ht="15.75"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ht="15.75"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ht="15.75"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ht="15.75"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5.67"/>
    <col customWidth="1" min="2" max="2" width="29.0"/>
    <col customWidth="1" min="3" max="3" width="77.0"/>
    <col customWidth="1" min="4" max="4" width="38.56"/>
    <col customWidth="1" min="5" max="5" width="39.0"/>
    <col customWidth="1" min="6" max="8" width="57.89"/>
    <col customWidth="1" min="9" max="27" width="13.44"/>
  </cols>
  <sheetData>
    <row r="1">
      <c r="A1" s="1" t="s">
        <v>1</v>
      </c>
      <c r="B1" s="1" t="s">
        <v>2</v>
      </c>
      <c r="C1" s="3" t="s">
        <v>3</v>
      </c>
      <c r="D1" s="3" t="s">
        <v>5</v>
      </c>
      <c r="E1" s="3" t="s">
        <v>6</v>
      </c>
      <c r="F1" s="3" t="s">
        <v>7</v>
      </c>
      <c r="G1" s="1" t="s">
        <v>9</v>
      </c>
      <c r="H1" s="1" t="s">
        <v>10</v>
      </c>
      <c r="I1" s="10"/>
      <c r="J1" s="10"/>
      <c r="K1" s="10"/>
      <c r="L1" s="10"/>
      <c r="M1" s="10"/>
      <c r="N1" s="10"/>
      <c r="O1" s="10"/>
      <c r="P1" s="10"/>
      <c r="Q1" s="10"/>
      <c r="R1" s="10"/>
      <c r="S1" s="10"/>
      <c r="T1" s="10"/>
      <c r="U1" s="10"/>
      <c r="V1" s="10"/>
      <c r="W1" s="10"/>
      <c r="X1" s="10"/>
      <c r="Y1" s="10"/>
      <c r="Z1" s="10"/>
      <c r="AA1" s="10"/>
    </row>
    <row r="2">
      <c r="A2" s="20" t="s">
        <v>34</v>
      </c>
      <c r="B2" s="22"/>
      <c r="C2" s="23" t="s">
        <v>39</v>
      </c>
      <c r="D2" s="23" t="s">
        <v>42</v>
      </c>
      <c r="E2" s="23"/>
      <c r="F2" s="23"/>
      <c r="G2" s="23"/>
      <c r="H2" s="23"/>
      <c r="I2" s="28"/>
      <c r="J2" s="28"/>
      <c r="K2" s="28"/>
      <c r="L2" s="28"/>
      <c r="M2" s="28"/>
      <c r="N2" s="28"/>
      <c r="O2" s="28"/>
      <c r="P2" s="28"/>
      <c r="Q2" s="28"/>
      <c r="R2" s="28"/>
      <c r="S2" s="28"/>
      <c r="T2" s="28"/>
      <c r="U2" s="28"/>
      <c r="V2" s="28"/>
      <c r="W2" s="28"/>
      <c r="X2" s="28"/>
      <c r="Y2" s="28"/>
      <c r="Z2" s="28"/>
      <c r="AA2" s="28"/>
    </row>
    <row r="3">
      <c r="A3" s="35" t="s">
        <v>45</v>
      </c>
      <c r="B3" s="41" t="s">
        <v>48</v>
      </c>
      <c r="C3" s="35" t="s">
        <v>58</v>
      </c>
      <c r="D3" s="35" t="s">
        <v>43</v>
      </c>
      <c r="E3" s="35" t="s">
        <v>60</v>
      </c>
      <c r="F3" s="35" t="s">
        <v>61</v>
      </c>
      <c r="G3" s="35" t="s">
        <v>63</v>
      </c>
      <c r="H3" s="48"/>
      <c r="I3" s="50"/>
      <c r="J3" s="50"/>
      <c r="K3" s="50"/>
      <c r="L3" s="50"/>
      <c r="M3" s="50"/>
      <c r="N3" s="50"/>
      <c r="O3" s="50"/>
      <c r="P3" s="50"/>
      <c r="Q3" s="50"/>
      <c r="R3" s="50"/>
      <c r="S3" s="50"/>
      <c r="T3" s="50"/>
      <c r="U3" s="50"/>
      <c r="V3" s="50"/>
      <c r="W3" s="50"/>
      <c r="X3" s="50"/>
      <c r="Y3" s="50"/>
      <c r="Z3" s="50"/>
      <c r="AA3" s="50"/>
    </row>
    <row r="4" ht="137.25" customHeight="1">
      <c r="A4" s="35" t="s">
        <v>45</v>
      </c>
      <c r="B4" s="41" t="s">
        <v>69</v>
      </c>
      <c r="C4" s="35" t="s">
        <v>71</v>
      </c>
      <c r="D4" s="35" t="s">
        <v>43</v>
      </c>
      <c r="E4" s="35" t="s">
        <v>60</v>
      </c>
      <c r="F4" s="35" t="s">
        <v>74</v>
      </c>
      <c r="G4" s="35" t="s">
        <v>75</v>
      </c>
      <c r="H4" s="48"/>
      <c r="I4" s="50"/>
      <c r="J4" s="50"/>
      <c r="K4" s="50"/>
      <c r="L4" s="50"/>
      <c r="M4" s="50"/>
      <c r="N4" s="50"/>
      <c r="O4" s="50"/>
      <c r="P4" s="50"/>
      <c r="Q4" s="50"/>
      <c r="R4" s="50"/>
      <c r="S4" s="50"/>
      <c r="T4" s="50"/>
      <c r="U4" s="50"/>
      <c r="V4" s="50"/>
      <c r="W4" s="50"/>
      <c r="X4" s="50"/>
      <c r="Y4" s="50"/>
      <c r="Z4" s="50"/>
      <c r="AA4" s="50"/>
    </row>
    <row r="5" ht="137.25" customHeight="1">
      <c r="A5" s="35" t="s">
        <v>45</v>
      </c>
      <c r="B5" s="41" t="s">
        <v>78</v>
      </c>
      <c r="C5" s="35" t="s">
        <v>71</v>
      </c>
      <c r="D5" s="35" t="s">
        <v>43</v>
      </c>
      <c r="E5" s="35" t="s">
        <v>60</v>
      </c>
      <c r="F5" s="35" t="s">
        <v>82</v>
      </c>
      <c r="G5" s="35" t="s">
        <v>83</v>
      </c>
      <c r="H5" s="48"/>
      <c r="I5" s="50"/>
      <c r="J5" s="50"/>
      <c r="K5" s="50"/>
      <c r="L5" s="50"/>
      <c r="M5" s="50"/>
      <c r="N5" s="50"/>
      <c r="O5" s="50"/>
      <c r="P5" s="50"/>
      <c r="Q5" s="50"/>
      <c r="R5" s="50"/>
      <c r="S5" s="50"/>
      <c r="T5" s="50"/>
      <c r="U5" s="50"/>
      <c r="V5" s="50"/>
      <c r="W5" s="50"/>
      <c r="X5" s="50"/>
      <c r="Y5" s="50"/>
      <c r="Z5" s="50"/>
      <c r="AA5" s="50"/>
    </row>
    <row r="6" ht="137.25" customHeight="1">
      <c r="A6" s="35" t="s">
        <v>45</v>
      </c>
      <c r="B6" s="41" t="s">
        <v>91</v>
      </c>
      <c r="C6" s="35" t="s">
        <v>93</v>
      </c>
      <c r="D6" s="35" t="s">
        <v>43</v>
      </c>
      <c r="E6" s="35" t="s">
        <v>60</v>
      </c>
      <c r="F6" s="35" t="s">
        <v>95</v>
      </c>
      <c r="G6" s="35" t="s">
        <v>96</v>
      </c>
      <c r="H6" s="48"/>
      <c r="I6" s="50"/>
      <c r="J6" s="50"/>
      <c r="K6" s="50"/>
      <c r="L6" s="50"/>
      <c r="M6" s="50"/>
      <c r="N6" s="50"/>
      <c r="O6" s="50"/>
      <c r="P6" s="50"/>
      <c r="Q6" s="50"/>
      <c r="R6" s="50"/>
      <c r="S6" s="50"/>
      <c r="T6" s="50"/>
      <c r="U6" s="50"/>
      <c r="V6" s="50"/>
      <c r="W6" s="50"/>
      <c r="X6" s="50"/>
      <c r="Y6" s="50"/>
      <c r="Z6" s="50"/>
      <c r="AA6" s="50"/>
    </row>
    <row r="7" ht="137.25" customHeight="1">
      <c r="A7" s="35" t="s">
        <v>45</v>
      </c>
      <c r="B7" s="41" t="s">
        <v>101</v>
      </c>
      <c r="C7" s="35" t="s">
        <v>71</v>
      </c>
      <c r="D7" s="35" t="s">
        <v>43</v>
      </c>
      <c r="E7" s="35" t="s">
        <v>60</v>
      </c>
      <c r="F7" s="35" t="s">
        <v>105</v>
      </c>
      <c r="G7" s="35" t="s">
        <v>106</v>
      </c>
      <c r="H7" s="48"/>
      <c r="I7" s="50"/>
      <c r="J7" s="50"/>
      <c r="K7" s="50"/>
      <c r="L7" s="50"/>
      <c r="M7" s="50"/>
      <c r="N7" s="50"/>
      <c r="O7" s="50"/>
      <c r="P7" s="50"/>
      <c r="Q7" s="50"/>
      <c r="R7" s="50"/>
      <c r="S7" s="50"/>
      <c r="T7" s="50"/>
      <c r="U7" s="50"/>
      <c r="V7" s="50"/>
      <c r="W7" s="50"/>
      <c r="X7" s="50"/>
      <c r="Y7" s="50"/>
      <c r="Z7" s="50"/>
      <c r="AA7" s="50"/>
    </row>
    <row r="8" ht="137.25" customHeight="1">
      <c r="A8" s="35" t="s">
        <v>45</v>
      </c>
      <c r="B8" s="41" t="s">
        <v>109</v>
      </c>
      <c r="C8" s="35" t="s">
        <v>71</v>
      </c>
      <c r="D8" s="35" t="s">
        <v>43</v>
      </c>
      <c r="E8" s="35" t="s">
        <v>60</v>
      </c>
      <c r="F8" s="35" t="s">
        <v>113</v>
      </c>
      <c r="G8" s="35" t="s">
        <v>106</v>
      </c>
      <c r="H8" s="48"/>
      <c r="I8" s="50"/>
      <c r="J8" s="50"/>
      <c r="K8" s="50"/>
      <c r="L8" s="50"/>
      <c r="M8" s="50"/>
      <c r="N8" s="50"/>
      <c r="O8" s="50"/>
      <c r="P8" s="50"/>
      <c r="Q8" s="50"/>
      <c r="R8" s="50"/>
      <c r="S8" s="50"/>
      <c r="T8" s="50"/>
      <c r="U8" s="50"/>
      <c r="V8" s="50"/>
      <c r="W8" s="50"/>
      <c r="X8" s="50"/>
      <c r="Y8" s="50"/>
      <c r="Z8" s="50"/>
      <c r="AA8" s="50"/>
    </row>
    <row r="9" ht="137.25" customHeight="1">
      <c r="A9" s="35" t="s">
        <v>45</v>
      </c>
      <c r="B9" s="77" t="s">
        <v>117</v>
      </c>
      <c r="C9" s="35" t="s">
        <v>71</v>
      </c>
      <c r="D9" s="35" t="s">
        <v>43</v>
      </c>
      <c r="E9" s="35" t="s">
        <v>60</v>
      </c>
      <c r="F9" s="35" t="s">
        <v>119</v>
      </c>
      <c r="G9" s="35" t="s">
        <v>106</v>
      </c>
      <c r="H9" s="48"/>
      <c r="I9" s="50"/>
      <c r="J9" s="50"/>
      <c r="K9" s="50"/>
      <c r="L9" s="50"/>
      <c r="M9" s="50"/>
      <c r="N9" s="50"/>
      <c r="O9" s="50"/>
      <c r="P9" s="50"/>
      <c r="Q9" s="50"/>
      <c r="R9" s="50"/>
      <c r="S9" s="50"/>
      <c r="T9" s="50"/>
      <c r="U9" s="50"/>
      <c r="V9" s="50"/>
      <c r="W9" s="50"/>
      <c r="X9" s="50"/>
      <c r="Y9" s="50"/>
      <c r="Z9" s="50"/>
      <c r="AA9" s="50"/>
    </row>
    <row r="10" ht="137.25" customHeight="1">
      <c r="A10" s="35" t="s">
        <v>45</v>
      </c>
      <c r="B10" s="41" t="s">
        <v>126</v>
      </c>
      <c r="C10" s="35" t="s">
        <v>127</v>
      </c>
      <c r="D10" s="35" t="s">
        <v>43</v>
      </c>
      <c r="E10" s="35" t="s">
        <v>60</v>
      </c>
      <c r="F10" s="35" t="s">
        <v>129</v>
      </c>
      <c r="G10" s="35" t="s">
        <v>130</v>
      </c>
      <c r="H10" s="48"/>
      <c r="I10" s="50"/>
      <c r="J10" s="50"/>
      <c r="K10" s="50"/>
      <c r="L10" s="50"/>
      <c r="M10" s="50"/>
      <c r="N10" s="50"/>
      <c r="O10" s="50"/>
      <c r="P10" s="50"/>
      <c r="Q10" s="50"/>
      <c r="R10" s="50"/>
      <c r="S10" s="50"/>
      <c r="T10" s="50"/>
      <c r="U10" s="50"/>
      <c r="V10" s="50"/>
      <c r="W10" s="50"/>
      <c r="X10" s="50"/>
      <c r="Y10" s="50"/>
      <c r="Z10" s="50"/>
      <c r="AA10" s="50"/>
    </row>
    <row r="11" ht="137.25" customHeight="1">
      <c r="A11" s="35" t="s">
        <v>45</v>
      </c>
      <c r="B11" s="77" t="s">
        <v>134</v>
      </c>
      <c r="C11" s="35" t="s">
        <v>71</v>
      </c>
      <c r="D11" s="35" t="s">
        <v>43</v>
      </c>
      <c r="E11" s="35" t="s">
        <v>60</v>
      </c>
      <c r="F11" s="35" t="s">
        <v>136</v>
      </c>
      <c r="G11" s="35" t="s">
        <v>138</v>
      </c>
      <c r="H11" s="48"/>
      <c r="I11" s="50"/>
      <c r="J11" s="50"/>
      <c r="K11" s="50"/>
      <c r="L11" s="50"/>
      <c r="M11" s="50"/>
      <c r="N11" s="50"/>
      <c r="O11" s="50"/>
      <c r="P11" s="50"/>
      <c r="Q11" s="50"/>
      <c r="R11" s="50"/>
      <c r="S11" s="50"/>
      <c r="T11" s="50"/>
      <c r="U11" s="50"/>
      <c r="V11" s="50"/>
      <c r="W11" s="50"/>
      <c r="X11" s="50"/>
      <c r="Y11" s="50"/>
      <c r="Z11" s="50"/>
      <c r="AA11" s="50"/>
    </row>
    <row r="12" ht="137.25" customHeight="1">
      <c r="A12" s="35" t="s">
        <v>45</v>
      </c>
      <c r="B12" s="41" t="s">
        <v>141</v>
      </c>
      <c r="C12" s="35" t="s">
        <v>71</v>
      </c>
      <c r="D12" s="35" t="s">
        <v>43</v>
      </c>
      <c r="E12" s="35" t="s">
        <v>60</v>
      </c>
      <c r="F12" s="35" t="s">
        <v>144</v>
      </c>
      <c r="G12" s="35" t="s">
        <v>145</v>
      </c>
      <c r="H12" s="48"/>
      <c r="I12" s="50"/>
      <c r="J12" s="50"/>
      <c r="K12" s="50"/>
      <c r="L12" s="50"/>
      <c r="M12" s="50"/>
      <c r="N12" s="50"/>
      <c r="O12" s="50"/>
      <c r="P12" s="50"/>
      <c r="Q12" s="50"/>
      <c r="R12" s="50"/>
      <c r="S12" s="50"/>
      <c r="T12" s="50"/>
      <c r="U12" s="50"/>
      <c r="V12" s="50"/>
      <c r="W12" s="50"/>
      <c r="X12" s="50"/>
      <c r="Y12" s="50"/>
      <c r="Z12" s="50"/>
      <c r="AA12" s="50"/>
    </row>
    <row r="13" ht="137.25" customHeight="1">
      <c r="A13" s="35" t="s">
        <v>45</v>
      </c>
      <c r="B13" s="77" t="s">
        <v>149</v>
      </c>
      <c r="C13" s="35" t="s">
        <v>71</v>
      </c>
      <c r="D13" s="35" t="s">
        <v>43</v>
      </c>
      <c r="E13" s="35" t="s">
        <v>60</v>
      </c>
      <c r="F13" s="35" t="s">
        <v>151</v>
      </c>
      <c r="G13" s="35" t="s">
        <v>152</v>
      </c>
      <c r="H13" s="48"/>
      <c r="I13" s="50"/>
      <c r="J13" s="50"/>
      <c r="K13" s="50"/>
      <c r="L13" s="50"/>
      <c r="M13" s="50"/>
      <c r="N13" s="50"/>
      <c r="O13" s="50"/>
      <c r="P13" s="50"/>
      <c r="Q13" s="50"/>
      <c r="R13" s="50"/>
      <c r="S13" s="50"/>
      <c r="T13" s="50"/>
      <c r="U13" s="50"/>
      <c r="V13" s="50"/>
      <c r="W13" s="50"/>
      <c r="X13" s="50"/>
      <c r="Y13" s="50"/>
      <c r="Z13" s="50"/>
      <c r="AA13" s="50"/>
    </row>
    <row r="14" ht="137.25" customHeight="1">
      <c r="A14" s="35" t="s">
        <v>45</v>
      </c>
      <c r="B14" s="77" t="s">
        <v>158</v>
      </c>
      <c r="C14" s="35" t="s">
        <v>161</v>
      </c>
      <c r="D14" s="35" t="s">
        <v>43</v>
      </c>
      <c r="E14" s="35" t="s">
        <v>60</v>
      </c>
      <c r="F14" s="35" t="s">
        <v>144</v>
      </c>
      <c r="G14" s="35" t="s">
        <v>163</v>
      </c>
      <c r="H14" s="48"/>
      <c r="I14" s="50"/>
      <c r="J14" s="50"/>
      <c r="K14" s="50"/>
      <c r="L14" s="50"/>
      <c r="M14" s="50"/>
      <c r="N14" s="50"/>
      <c r="O14" s="50"/>
      <c r="P14" s="50"/>
      <c r="Q14" s="50"/>
      <c r="R14" s="50"/>
      <c r="S14" s="50"/>
      <c r="T14" s="50"/>
      <c r="U14" s="50"/>
      <c r="V14" s="50"/>
      <c r="W14" s="50"/>
      <c r="X14" s="50"/>
      <c r="Y14" s="50"/>
      <c r="Z14" s="50"/>
      <c r="AA14" s="50"/>
    </row>
    <row r="15">
      <c r="A15" s="35" t="s">
        <v>166</v>
      </c>
      <c r="B15" s="41" t="s">
        <v>167</v>
      </c>
      <c r="C15" s="35" t="s">
        <v>170</v>
      </c>
      <c r="D15" s="35" t="s">
        <v>171</v>
      </c>
      <c r="E15" s="35" t="s">
        <v>173</v>
      </c>
      <c r="F15" s="35" t="s">
        <v>43</v>
      </c>
      <c r="G15" s="35" t="s">
        <v>174</v>
      </c>
      <c r="H15" s="48"/>
      <c r="I15" s="50"/>
      <c r="J15" s="50"/>
      <c r="K15" s="50"/>
      <c r="L15" s="50"/>
      <c r="M15" s="50"/>
      <c r="N15" s="50"/>
      <c r="O15" s="50"/>
      <c r="P15" s="50"/>
      <c r="Q15" s="50"/>
      <c r="R15" s="50"/>
      <c r="S15" s="50"/>
      <c r="T15" s="50"/>
      <c r="U15" s="50"/>
      <c r="V15" s="50"/>
      <c r="W15" s="50"/>
      <c r="X15" s="50"/>
      <c r="Y15" s="50"/>
      <c r="Z15" s="50"/>
      <c r="AA15" s="50"/>
    </row>
    <row r="16">
      <c r="A16" s="35" t="s">
        <v>178</v>
      </c>
      <c r="B16" s="41" t="s">
        <v>179</v>
      </c>
      <c r="C16" s="35" t="s">
        <v>181</v>
      </c>
      <c r="D16" s="35" t="s">
        <v>182</v>
      </c>
      <c r="E16" s="35" t="s">
        <v>183</v>
      </c>
      <c r="F16" s="35" t="s">
        <v>43</v>
      </c>
      <c r="G16" s="94" t="s">
        <v>185</v>
      </c>
      <c r="H16" s="48"/>
      <c r="I16" s="50"/>
      <c r="J16" s="50"/>
      <c r="K16" s="50"/>
      <c r="L16" s="50"/>
      <c r="M16" s="50"/>
      <c r="N16" s="50"/>
      <c r="O16" s="50"/>
      <c r="P16" s="50"/>
      <c r="Q16" s="50"/>
      <c r="R16" s="50"/>
      <c r="S16" s="50"/>
      <c r="T16" s="50"/>
      <c r="U16" s="50"/>
      <c r="V16" s="50"/>
      <c r="W16" s="50"/>
      <c r="X16" s="50"/>
      <c r="Y16" s="50"/>
      <c r="Z16" s="50"/>
      <c r="AA16" s="50"/>
    </row>
    <row r="17">
      <c r="A17" s="35" t="s">
        <v>188</v>
      </c>
      <c r="B17" s="41" t="s">
        <v>189</v>
      </c>
      <c r="C17" s="35" t="s">
        <v>191</v>
      </c>
      <c r="D17" s="35" t="s">
        <v>192</v>
      </c>
      <c r="E17" s="35" t="s">
        <v>194</v>
      </c>
      <c r="F17" s="35" t="s">
        <v>43</v>
      </c>
      <c r="G17" s="35" t="s">
        <v>195</v>
      </c>
      <c r="H17" s="48"/>
      <c r="I17" s="50"/>
      <c r="J17" s="50"/>
      <c r="K17" s="50"/>
      <c r="L17" s="50"/>
      <c r="M17" s="50"/>
      <c r="N17" s="50"/>
      <c r="O17" s="50"/>
      <c r="P17" s="50"/>
      <c r="Q17" s="50"/>
      <c r="R17" s="50"/>
      <c r="S17" s="50"/>
      <c r="T17" s="50"/>
      <c r="U17" s="50"/>
      <c r="V17" s="50"/>
      <c r="W17" s="50"/>
      <c r="X17" s="50"/>
      <c r="Y17" s="50"/>
      <c r="Z17" s="50"/>
      <c r="AA17" s="50"/>
    </row>
    <row r="18">
      <c r="A18" s="35" t="s">
        <v>198</v>
      </c>
      <c r="B18" s="77" t="s">
        <v>199</v>
      </c>
      <c r="C18" s="35" t="s">
        <v>201</v>
      </c>
      <c r="D18" s="35" t="s">
        <v>202</v>
      </c>
      <c r="E18" s="35" t="s">
        <v>203</v>
      </c>
      <c r="F18" s="35" t="s">
        <v>43</v>
      </c>
      <c r="G18" s="35" t="s">
        <v>204</v>
      </c>
      <c r="H18" s="48"/>
      <c r="I18" s="50"/>
      <c r="J18" s="50"/>
      <c r="K18" s="50"/>
      <c r="L18" s="50"/>
      <c r="M18" s="50"/>
      <c r="N18" s="50"/>
      <c r="O18" s="50"/>
      <c r="P18" s="50"/>
      <c r="Q18" s="50"/>
      <c r="R18" s="50"/>
      <c r="S18" s="50"/>
      <c r="T18" s="50"/>
      <c r="U18" s="50"/>
      <c r="V18" s="50"/>
      <c r="W18" s="50"/>
      <c r="X18" s="50"/>
      <c r="Y18" s="50"/>
      <c r="Z18" s="50"/>
      <c r="AA18" s="50"/>
    </row>
    <row r="19">
      <c r="A19" s="35" t="s">
        <v>205</v>
      </c>
      <c r="B19" s="77" t="s">
        <v>206</v>
      </c>
      <c r="C19" s="35" t="s">
        <v>207</v>
      </c>
      <c r="D19" s="35" t="s">
        <v>208</v>
      </c>
      <c r="E19" s="35" t="s">
        <v>209</v>
      </c>
      <c r="F19" s="35" t="s">
        <v>210</v>
      </c>
      <c r="G19" s="35" t="s">
        <v>211</v>
      </c>
      <c r="H19" s="48"/>
      <c r="I19" s="50"/>
      <c r="J19" s="50"/>
      <c r="K19" s="50"/>
      <c r="L19" s="50"/>
      <c r="M19" s="50"/>
      <c r="N19" s="50"/>
      <c r="O19" s="50"/>
      <c r="P19" s="50"/>
      <c r="Q19" s="50"/>
      <c r="R19" s="50"/>
      <c r="S19" s="50"/>
      <c r="T19" s="50"/>
      <c r="U19" s="50"/>
      <c r="V19" s="50"/>
      <c r="W19" s="50"/>
      <c r="X19" s="50"/>
      <c r="Y19" s="50"/>
      <c r="Z19" s="50"/>
      <c r="AA19" s="50"/>
    </row>
    <row r="20">
      <c r="A20" s="35" t="s">
        <v>212</v>
      </c>
      <c r="B20" s="97" t="s">
        <v>213</v>
      </c>
      <c r="C20" s="35" t="s">
        <v>218</v>
      </c>
      <c r="D20" s="35" t="s">
        <v>220</v>
      </c>
      <c r="E20" s="35" t="s">
        <v>221</v>
      </c>
      <c r="F20" s="35" t="s">
        <v>43</v>
      </c>
      <c r="G20" s="35" t="s">
        <v>222</v>
      </c>
      <c r="H20" s="35"/>
      <c r="I20" s="50"/>
      <c r="J20" s="50"/>
      <c r="K20" s="50"/>
      <c r="L20" s="50"/>
      <c r="M20" s="50"/>
      <c r="N20" s="50"/>
      <c r="O20" s="50"/>
      <c r="P20" s="50"/>
      <c r="Q20" s="50"/>
      <c r="R20" s="50"/>
      <c r="S20" s="50"/>
      <c r="T20" s="50"/>
      <c r="U20" s="50"/>
      <c r="V20" s="50"/>
      <c r="W20" s="50"/>
      <c r="X20" s="50"/>
      <c r="Y20" s="50"/>
      <c r="Z20" s="50"/>
      <c r="AA20" s="50"/>
    </row>
    <row r="21">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row>
    <row r="22">
      <c r="A22" s="100"/>
      <c r="B22" s="100"/>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row>
    <row r="23">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row>
    <row r="24">
      <c r="A24" s="100"/>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row>
    <row r="25">
      <c r="A25" s="100"/>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row>
    <row r="26">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row>
    <row r="27">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row>
    <row r="28">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row>
    <row r="29">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row>
    <row r="30">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row>
    <row r="31" ht="15.75" customHeight="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row>
    <row r="32" ht="15.75" customHeight="1">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c r="AA32" s="100"/>
    </row>
    <row r="33" ht="15.75" customHeight="1">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row>
    <row r="34" ht="15.75" customHeight="1">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c r="AA34" s="100"/>
    </row>
    <row r="35" ht="15.75" customHeight="1">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row>
    <row r="36" ht="15.75" customHeight="1">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c r="AA36" s="100"/>
    </row>
    <row r="37" ht="15.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c r="AA37" s="100"/>
    </row>
    <row r="38" ht="15.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row>
    <row r="39" ht="15.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row>
    <row r="40" ht="15.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row>
    <row r="41" ht="15.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0"/>
    </row>
    <row r="42" ht="15.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row>
    <row r="43" ht="15.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row>
    <row r="44" ht="15.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0"/>
    </row>
    <row r="45" ht="15.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row>
    <row r="46" ht="15.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row>
    <row r="47" ht="15.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row>
    <row r="48" ht="15.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100"/>
    </row>
    <row r="49" ht="15.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row>
    <row r="50" ht="15.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row>
    <row r="51" ht="15.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row>
    <row r="52" ht="15.75" customHeight="1">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0"/>
    </row>
    <row r="53" ht="15.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row>
    <row r="54" ht="15.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row>
    <row r="55" ht="15.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row>
    <row r="56" ht="15.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row>
    <row r="57" ht="15.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c r="AA57" s="100"/>
    </row>
    <row r="58" ht="15.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row>
    <row r="59" ht="15.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row>
    <row r="60" ht="15.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row>
    <row r="61" ht="15.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row>
    <row r="62" ht="15.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row>
    <row r="63" ht="15.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row>
    <row r="64" ht="15.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row>
    <row r="65" ht="15.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row>
    <row r="66" ht="15.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row>
    <row r="67" ht="15.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row>
    <row r="68" ht="15.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row>
    <row r="69" ht="15.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row>
    <row r="70" ht="15.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row>
    <row r="71" ht="15.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row>
    <row r="72" ht="15.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row>
    <row r="73" ht="15.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row>
    <row r="74" ht="15.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row>
    <row r="75" ht="15.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row>
    <row r="76" ht="15.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row>
    <row r="77" ht="15.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row>
    <row r="78" ht="15.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row>
    <row r="79" ht="15.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row>
    <row r="80" ht="15.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row>
    <row r="81" ht="15.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row>
    <row r="82" ht="15.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row>
    <row r="83" ht="15.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row>
    <row r="84" ht="15.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row>
    <row r="85" ht="15.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row>
    <row r="86" ht="15.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row>
    <row r="87" ht="15.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row>
    <row r="88" ht="15.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row>
    <row r="89" ht="15.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row>
    <row r="90" ht="15.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row>
    <row r="91" ht="15.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row>
    <row r="92" ht="15.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row>
    <row r="93" ht="15.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row>
    <row r="94" ht="15.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row>
    <row r="95" ht="15.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row>
    <row r="96" ht="15.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row>
    <row r="97" ht="15.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row>
    <row r="98" ht="15.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row>
    <row r="99" ht="15.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row>
    <row r="100" ht="15.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row>
    <row r="101" ht="15.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row>
    <row r="102" ht="15.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row>
    <row r="103" ht="15.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row>
    <row r="104" ht="15.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row>
    <row r="105" ht="15.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row>
    <row r="106" ht="15.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row>
    <row r="107" ht="15.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row>
    <row r="108" ht="15.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row>
    <row r="109" ht="15.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row>
    <row r="110" ht="15.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row>
    <row r="111" ht="15.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row>
    <row r="112" ht="15.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row>
    <row r="113"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row>
    <row r="11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row>
    <row r="115"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row>
    <row r="116"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row>
    <row r="117"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row>
    <row r="118"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row>
    <row r="119"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row>
    <row r="120"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row>
    <row r="121"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row>
    <row r="122"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row>
    <row r="123"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row>
    <row r="12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row>
    <row r="125"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row>
    <row r="126"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row>
    <row r="127"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row>
    <row r="128"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row>
    <row r="129"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row>
    <row r="130"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row>
    <row r="131"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row>
    <row r="132"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row>
    <row r="133"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row>
    <row r="13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row>
    <row r="135"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row>
    <row r="136"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row>
    <row r="137"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row>
    <row r="138"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row>
    <row r="139"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row>
    <row r="140"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row>
    <row r="141"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row>
    <row r="142"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row>
    <row r="143"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row>
    <row r="14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row>
    <row r="145"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row>
    <row r="146"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row>
    <row r="147"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row>
    <row r="148"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row>
    <row r="149"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row>
    <row r="150"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row>
    <row r="151"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row>
    <row r="152"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row>
    <row r="153"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row>
    <row r="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row>
    <row r="155"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row>
    <row r="156"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row>
    <row r="157"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row>
    <row r="158"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row>
    <row r="159"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row>
    <row r="160"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row>
    <row r="161"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row>
    <row r="162"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row>
    <row r="163"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row>
    <row r="16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row>
    <row r="165"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row>
    <row r="166"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row>
    <row r="167"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row>
    <row r="168"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row>
    <row r="169"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row>
    <row r="170"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row>
    <row r="171"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row>
    <row r="172"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row>
    <row r="173"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row>
    <row r="17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row>
    <row r="175"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row>
    <row r="176"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row>
    <row r="177"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row>
    <row r="178"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row>
    <row r="179"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row>
    <row r="180"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row>
    <row r="181"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row>
    <row r="182"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row>
    <row r="183"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row>
    <row r="18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row>
    <row r="185"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row>
    <row r="186"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row>
    <row r="187"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row>
    <row r="188"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row>
    <row r="189"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row>
    <row r="190"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row>
    <row r="191"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row>
    <row r="192"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row>
    <row r="193"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row>
    <row r="19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row>
    <row r="195"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row>
    <row r="196"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row>
    <row r="197"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row>
    <row r="198"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row>
    <row r="199"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row>
    <row r="200"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row>
    <row r="20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row>
    <row r="202"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row>
    <row r="203"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row>
    <row r="20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row>
    <row r="205"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row>
    <row r="206"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row>
    <row r="207"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row>
    <row r="208"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row>
    <row r="209"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row>
    <row r="210"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row>
    <row r="211"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row>
    <row r="212"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row>
    <row r="213"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row>
    <row r="21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row>
    <row r="215" ht="15.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row>
    <row r="216" ht="15.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row>
    <row r="217" ht="15.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row>
    <row r="218" ht="15.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row>
    <row r="219" ht="15.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row>
    <row r="220" ht="15.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row>
    <row r="221" ht="15.7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row>
    <row r="222" ht="15.7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row>
    <row r="223" ht="15.7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row>
    <row r="224" ht="15.7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row>
    <row r="225" ht="15.7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row>
    <row r="226" ht="15.7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row>
    <row r="227" ht="15.7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row>
    <row r="228" ht="15.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row>
    <row r="229" ht="15.7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row>
    <row r="230" ht="15.7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row>
    <row r="231" ht="15.75"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row>
    <row r="232" ht="15.75"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row>
    <row r="233" ht="15.75"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row>
    <row r="234" ht="15.75"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row>
    <row r="235" ht="15.75"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row>
    <row r="236" ht="15.75"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row>
    <row r="237" ht="15.75"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row>
    <row r="238" ht="15.75"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row>
    <row r="239" ht="15.75"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row>
    <row r="240" ht="15.75"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row>
    <row r="241" ht="15.75"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row>
    <row r="242" ht="15.75"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row>
    <row r="243" ht="15.75"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row>
    <row r="244" ht="15.75"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row>
    <row r="245" ht="15.75"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row>
    <row r="246" ht="15.75"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row>
    <row r="247" ht="15.75"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row>
    <row r="248" ht="15.75"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row>
    <row r="249" ht="15.75"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row>
    <row r="250" ht="15.75"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row>
    <row r="251" ht="15.75"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row>
    <row r="252" ht="15.75"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row>
    <row r="253" ht="15.75"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row>
    <row r="254" ht="15.75"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row>
    <row r="255" ht="15.75"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row>
    <row r="256" ht="15.75"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row>
    <row r="257" ht="15.75"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row>
    <row r="258" ht="15.75"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row>
    <row r="259" ht="15.75"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row>
    <row r="260" ht="15.75"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row>
    <row r="261" ht="15.75"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row>
    <row r="262" ht="15.75"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row>
    <row r="263" ht="15.75"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row>
    <row r="264" ht="15.75"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row>
    <row r="265" ht="15.75"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row>
    <row r="266" ht="15.75"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row>
    <row r="267" ht="15.75"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row>
    <row r="268" ht="15.75"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row>
    <row r="269" ht="15.75"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row>
    <row r="270" ht="15.75"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row>
    <row r="271" ht="15.75"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row>
    <row r="272" ht="15.75"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row>
    <row r="273" ht="15.75"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row>
    <row r="274" ht="15.75"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row>
    <row r="275" ht="15.75"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row>
    <row r="276" ht="15.75"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row>
    <row r="277" ht="15.75"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row>
    <row r="278" ht="15.75"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row>
    <row r="279" ht="15.75"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row>
    <row r="280" ht="15.75"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row>
    <row r="281" ht="15.75"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row>
    <row r="282" ht="15.75"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row>
    <row r="283" ht="15.75"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row>
    <row r="284" ht="15.75"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row>
    <row r="285" ht="15.75"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row>
    <row r="286" ht="15.75"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row>
    <row r="287" ht="15.75"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row>
    <row r="288" ht="15.75"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row>
    <row r="289" ht="15.75"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row>
    <row r="290" ht="15.75"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row>
    <row r="291" ht="15.75"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row>
    <row r="292" ht="15.75"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row>
    <row r="293" ht="15.75"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row>
    <row r="294" ht="15.75"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row>
    <row r="295" ht="15.75"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row>
    <row r="296" ht="15.75"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row>
    <row r="297" ht="15.75"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row>
    <row r="298" ht="15.75"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row>
    <row r="299" ht="15.75"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row>
    <row r="300" ht="15.75"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row>
    <row r="301" ht="15.75"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row>
    <row r="302" ht="15.75"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row>
    <row r="303" ht="15.75"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row>
    <row r="304" ht="15.75"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row>
    <row r="305" ht="15.75"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row>
    <row r="306" ht="15.75"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row>
    <row r="307" ht="15.75"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row>
    <row r="308" ht="15.75"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row>
    <row r="309" ht="15.75"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row>
    <row r="310" ht="15.75"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row>
    <row r="311" ht="15.75"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row>
    <row r="312" ht="15.75"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row>
    <row r="313" ht="15.75"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row>
    <row r="314" ht="15.75"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row>
    <row r="315" ht="15.75"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row>
    <row r="316" ht="15.75"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row>
    <row r="317" ht="15.75"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row>
    <row r="318" ht="15.75"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row>
    <row r="319" ht="15.75"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row>
    <row r="320" ht="15.75"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row>
    <row r="321" ht="15.75"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row>
    <row r="322" ht="15.75"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row>
    <row r="323" ht="15.75"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row>
    <row r="324" ht="15.75"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row>
    <row r="325" ht="15.75"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row>
    <row r="326" ht="15.75"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row>
    <row r="327" ht="15.75"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row>
    <row r="328" ht="15.75"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row>
    <row r="329" ht="15.75"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row>
    <row r="330" ht="15.75"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row>
    <row r="331" ht="15.75"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row>
    <row r="332" ht="15.75"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row>
    <row r="333" ht="15.75"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row>
    <row r="334" ht="15.75"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row>
    <row r="335" ht="15.75"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row>
    <row r="336" ht="15.75"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row>
    <row r="337" ht="15.75"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row>
    <row r="338" ht="15.75"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row>
    <row r="339" ht="15.75"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row>
    <row r="340" ht="15.75"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row>
    <row r="341" ht="15.75"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row>
    <row r="342" ht="15.75"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row>
    <row r="343" ht="15.75"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row>
    <row r="344" ht="15.75"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row>
    <row r="345" ht="15.75"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row>
    <row r="346" ht="15.75"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row>
    <row r="347" ht="15.75"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row>
    <row r="348" ht="15.75"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row>
    <row r="349" ht="15.75"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row>
    <row r="350" ht="15.75"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row>
    <row r="351" ht="15.75"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row>
    <row r="352" ht="15.75"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row>
    <row r="353" ht="15.75"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row>
    <row r="354" ht="15.75"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row>
    <row r="355" ht="15.75"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row>
    <row r="356" ht="15.75"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row>
    <row r="357" ht="15.75"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row>
    <row r="358" ht="15.75"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row>
    <row r="359" ht="15.75"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row>
    <row r="360" ht="15.75"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row>
    <row r="361" ht="15.75"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row>
    <row r="362" ht="15.75"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row>
    <row r="363" ht="15.75"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row>
    <row r="364" ht="15.75"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row>
    <row r="365" ht="15.75"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row>
    <row r="366" ht="15.75"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row>
    <row r="367" ht="15.75"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row>
    <row r="368" ht="15.75"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row>
    <row r="369" ht="15.75"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row>
    <row r="370" ht="15.75"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row>
    <row r="371" ht="15.75"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row>
    <row r="372" ht="15.75"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row>
    <row r="373" ht="15.75"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row>
    <row r="374" ht="15.75"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row>
    <row r="375" ht="15.75"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row>
    <row r="376" ht="15.75"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row>
    <row r="377" ht="15.75"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row>
    <row r="378" ht="15.75"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row>
    <row r="379" ht="15.75"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row>
    <row r="380" ht="15.75"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row>
    <row r="381" ht="15.75"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row>
    <row r="382" ht="15.75"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row>
    <row r="383" ht="15.75"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row>
    <row r="384" ht="15.75"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row>
    <row r="385" ht="15.75"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row>
    <row r="386" ht="15.75"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row>
    <row r="387" ht="15.75"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row>
    <row r="388" ht="15.75"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row>
    <row r="389" ht="15.75"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row>
    <row r="390" ht="15.75"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row>
    <row r="391" ht="15.75"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row>
    <row r="392" ht="15.75"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row>
    <row r="393" ht="15.75"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row>
    <row r="394" ht="15.75"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row>
    <row r="395" ht="15.75"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row>
    <row r="396" ht="15.75"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row>
    <row r="397" ht="15.75"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row>
    <row r="398" ht="15.75"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row>
    <row r="399" ht="15.75"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row>
    <row r="400" ht="15.75"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row>
    <row r="401" ht="15.75"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row>
    <row r="402" ht="15.75"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row>
    <row r="403" ht="15.75"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row>
    <row r="404" ht="15.75"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row>
    <row r="405" ht="15.75"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row>
    <row r="406" ht="15.75"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row>
    <row r="407" ht="15.75"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row>
    <row r="408" ht="15.75"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row>
    <row r="409" ht="15.75"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row>
    <row r="410" ht="15.75"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row>
    <row r="411" ht="15.75"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row>
    <row r="412" ht="15.75"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row>
    <row r="413" ht="15.75"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row>
    <row r="414" ht="15.75"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row>
    <row r="415" ht="15.75"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row>
    <row r="416" ht="15.75"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row>
    <row r="417" ht="15.75"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row>
    <row r="418" ht="15.75"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row>
    <row r="419" ht="15.75"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row>
    <row r="420" ht="15.75"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row>
    <row r="421" ht="15.75"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row>
    <row r="422" ht="15.75"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row>
    <row r="423" ht="15.75"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row>
    <row r="424" ht="15.75"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row>
    <row r="425" ht="15.75"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row>
    <row r="426" ht="15.75"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row>
    <row r="427" ht="15.75"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row>
    <row r="428" ht="15.75"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row>
    <row r="429" ht="15.75"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row>
    <row r="430" ht="15.75"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row>
    <row r="431" ht="15.75"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row>
    <row r="432" ht="15.75"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row>
    <row r="433" ht="15.75"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row>
    <row r="434" ht="15.75"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row>
    <row r="435" ht="15.75"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row>
    <row r="436" ht="15.75"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row>
    <row r="437" ht="15.75"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row>
    <row r="438" ht="15.75"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row>
    <row r="439" ht="15.75"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row>
    <row r="440" ht="15.75"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row>
    <row r="441" ht="15.75"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row>
    <row r="442" ht="15.75"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row>
    <row r="443" ht="15.75"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row>
    <row r="444" ht="15.75"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row>
    <row r="445" ht="15.75"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row>
    <row r="446" ht="15.75"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row>
    <row r="447" ht="15.75"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row>
    <row r="448" ht="15.75"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row>
    <row r="449" ht="15.75"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row>
    <row r="450" ht="15.75"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row>
    <row r="451" ht="15.75"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row>
    <row r="452" ht="15.75"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row>
    <row r="453" ht="15.75"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row>
    <row r="454" ht="15.75"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row>
    <row r="455" ht="15.75"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row>
    <row r="456" ht="15.75"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row>
    <row r="457" ht="15.75"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row>
    <row r="458" ht="15.75"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row>
    <row r="459" ht="15.75"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row>
    <row r="460" ht="15.75"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row>
    <row r="461" ht="15.75"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row>
    <row r="462" ht="15.75"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row>
    <row r="463" ht="15.75"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row>
    <row r="464" ht="15.75"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row>
    <row r="465" ht="15.75"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row>
    <row r="466" ht="15.75"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row>
    <row r="467" ht="15.75"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row>
    <row r="468" ht="15.75"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row>
    <row r="469" ht="15.75"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row>
    <row r="470" ht="15.75"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row>
    <row r="471" ht="15.75"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row>
    <row r="472" ht="15.75"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row>
    <row r="473" ht="15.75"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row>
    <row r="474" ht="15.75"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row>
    <row r="475" ht="15.75"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row>
    <row r="476" ht="15.75"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row>
    <row r="477" ht="15.75"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row>
    <row r="478" ht="15.75"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row>
    <row r="479" ht="15.75"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row>
    <row r="480" ht="15.75"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row>
    <row r="481" ht="15.75"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row>
    <row r="482" ht="15.75"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row>
    <row r="483" ht="15.75"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row>
    <row r="484" ht="15.75"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row>
    <row r="485" ht="15.75"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row>
    <row r="486" ht="15.75"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row>
    <row r="487" ht="15.75"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row>
    <row r="488" ht="15.75"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row>
    <row r="489" ht="15.75"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row>
    <row r="490" ht="15.75"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row>
    <row r="491" ht="15.75"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row>
    <row r="492" ht="15.75"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row>
    <row r="493" ht="15.75"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row>
    <row r="494" ht="15.75"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row>
    <row r="495" ht="15.75"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row>
    <row r="496" ht="15.75"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row>
    <row r="497" ht="15.75"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row>
    <row r="498" ht="15.75"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row>
    <row r="499" ht="15.75"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row>
    <row r="500" ht="15.75"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row>
    <row r="501" ht="15.75"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row>
    <row r="502" ht="15.75"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row>
    <row r="503" ht="15.75"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row>
    <row r="504" ht="15.75"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row>
    <row r="505" ht="15.75"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row>
    <row r="506" ht="15.75"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row>
    <row r="507" ht="15.75"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row>
    <row r="508" ht="15.75"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row>
    <row r="509" ht="15.75"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row>
    <row r="510" ht="15.75"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row>
    <row r="511" ht="15.75"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row>
    <row r="512" ht="15.75"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row>
    <row r="513" ht="15.75"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row>
    <row r="514" ht="15.75"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row>
    <row r="515" ht="15.75"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row>
    <row r="516" ht="15.75"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row>
    <row r="517" ht="15.75"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row>
    <row r="518" ht="15.75"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row>
    <row r="519" ht="15.75"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row>
    <row r="520" ht="15.75"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row>
    <row r="521" ht="15.75"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row>
    <row r="522" ht="15.75"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row>
    <row r="523" ht="15.75"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row>
    <row r="524" ht="15.75"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row>
    <row r="525" ht="15.75"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row>
    <row r="526" ht="15.75"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row>
    <row r="527" ht="15.75"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row>
    <row r="528" ht="15.75"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row>
    <row r="529" ht="15.75"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row>
    <row r="530" ht="15.75"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row>
    <row r="531" ht="15.75"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row>
    <row r="532" ht="15.75"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row>
    <row r="533" ht="15.75"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row>
    <row r="534" ht="15.75"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row>
    <row r="535" ht="15.75"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row>
    <row r="536" ht="15.75"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row>
    <row r="537" ht="15.75"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row>
    <row r="538" ht="15.75"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row>
    <row r="539" ht="15.75"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row>
    <row r="540" ht="15.75"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row>
    <row r="541" ht="15.75"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row>
    <row r="542" ht="15.75"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row>
    <row r="543" ht="15.75"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row>
    <row r="544" ht="15.75"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row>
    <row r="545" ht="15.75"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row>
    <row r="546" ht="15.75"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row>
    <row r="547" ht="15.75"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row>
    <row r="548" ht="15.75"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row>
    <row r="549" ht="15.75"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row>
    <row r="550" ht="15.75"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row>
    <row r="551" ht="15.75"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row>
    <row r="552" ht="15.75"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row>
    <row r="553" ht="15.75"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row>
    <row r="554" ht="15.75"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row>
    <row r="555" ht="15.75"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row>
    <row r="556" ht="15.75"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row>
    <row r="557" ht="15.75"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row>
    <row r="558" ht="15.75"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row>
    <row r="559" ht="15.75"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row>
    <row r="560" ht="15.75"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row>
    <row r="561" ht="15.75"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row>
    <row r="562" ht="15.75"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row>
    <row r="563" ht="15.75"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row>
    <row r="564" ht="15.75"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row>
    <row r="565" ht="15.75"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row>
    <row r="566" ht="15.75"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row>
    <row r="567" ht="15.75"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row>
    <row r="568" ht="15.75"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row>
    <row r="569" ht="15.75"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row>
    <row r="570" ht="15.75"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row>
    <row r="571" ht="15.75"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row>
    <row r="572" ht="15.75"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row>
    <row r="573" ht="15.75"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row>
    <row r="574" ht="15.75"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row>
    <row r="575" ht="15.75"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row>
    <row r="576" ht="15.75"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row>
    <row r="577" ht="15.75"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row>
    <row r="578" ht="15.75"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row>
    <row r="579" ht="15.75"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row>
    <row r="580" ht="15.75"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row>
    <row r="581" ht="15.75"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row>
    <row r="582" ht="15.75"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row>
    <row r="583" ht="15.75"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row>
    <row r="584" ht="15.75"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row>
    <row r="585" ht="15.75"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row>
    <row r="586" ht="15.75"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row>
    <row r="587" ht="15.75"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row>
    <row r="588" ht="15.75"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row>
    <row r="589" ht="15.75"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row>
    <row r="590" ht="15.75"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row>
    <row r="591" ht="15.75"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row>
    <row r="592" ht="15.75"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row>
    <row r="593" ht="15.75"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row>
    <row r="594" ht="15.75"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row>
    <row r="595" ht="15.75"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row>
    <row r="596" ht="15.75"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row>
    <row r="597" ht="15.75"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row>
    <row r="598" ht="15.75"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row>
    <row r="599" ht="15.75"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row>
    <row r="600" ht="15.75"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row>
    <row r="601" ht="15.75"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row>
    <row r="602" ht="15.75"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row>
    <row r="603" ht="15.75"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row>
    <row r="604" ht="15.75"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row>
    <row r="605" ht="15.75"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row>
    <row r="606" ht="15.75"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row>
    <row r="607" ht="15.75"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row>
    <row r="608" ht="15.75"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row>
    <row r="609" ht="15.75"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row>
    <row r="610" ht="15.75"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row>
    <row r="611" ht="15.75"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row>
    <row r="612" ht="15.75"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row>
    <row r="613" ht="15.75"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row>
    <row r="614" ht="15.75"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row>
    <row r="615" ht="15.75"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row>
    <row r="616" ht="15.75"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row>
    <row r="617" ht="15.75"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row>
    <row r="618" ht="15.75"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row>
    <row r="619" ht="15.75"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row>
    <row r="620" ht="15.75"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row>
    <row r="621" ht="15.75"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row>
    <row r="622" ht="15.75"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row>
    <row r="623" ht="15.75"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row>
    <row r="624" ht="15.75"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row>
    <row r="625" ht="15.75"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row>
    <row r="626" ht="15.75"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row>
    <row r="627" ht="15.75"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row>
    <row r="628" ht="15.75"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row>
    <row r="629" ht="15.75"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row>
    <row r="630" ht="15.75"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row>
    <row r="631" ht="15.75"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row>
    <row r="632" ht="15.75"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row>
    <row r="633" ht="15.75"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row>
    <row r="634" ht="15.75"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row>
    <row r="635" ht="15.75"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row>
    <row r="636" ht="15.75"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row>
    <row r="637" ht="15.75"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row>
    <row r="638" ht="15.75"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row>
    <row r="639" ht="15.75"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row>
    <row r="640" ht="15.75"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row>
    <row r="641" ht="15.75"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row>
    <row r="642" ht="15.75"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row>
    <row r="643" ht="15.75"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row>
    <row r="644" ht="15.75"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row>
    <row r="645" ht="15.75"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row>
    <row r="646" ht="15.75"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row>
    <row r="647" ht="15.75"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row>
    <row r="648" ht="15.75"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row>
    <row r="649" ht="15.75"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row>
    <row r="650" ht="15.75"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row>
    <row r="651" ht="15.75"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row>
    <row r="652" ht="15.75"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row>
    <row r="653" ht="15.75"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row>
    <row r="654" ht="15.75"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row>
    <row r="655" ht="15.75"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row>
    <row r="656" ht="15.75"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row>
    <row r="657" ht="15.75"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row>
    <row r="658" ht="15.75"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row>
    <row r="659" ht="15.75"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row>
    <row r="660" ht="15.75"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row>
    <row r="661" ht="15.75"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row>
    <row r="662" ht="15.75"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row>
    <row r="663" ht="15.75"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row>
    <row r="664" ht="15.75"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row>
    <row r="665" ht="15.75"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row>
    <row r="666" ht="15.75"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row>
    <row r="667" ht="15.75"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row>
    <row r="668" ht="15.75"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row>
    <row r="669" ht="15.75"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row>
    <row r="670" ht="15.75"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row>
    <row r="671" ht="15.75"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row>
    <row r="672" ht="15.75"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row>
    <row r="673" ht="15.75"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row>
    <row r="674" ht="15.75"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row>
    <row r="675" ht="15.75"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row>
    <row r="676" ht="15.75"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row>
    <row r="677" ht="15.75"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row>
    <row r="678" ht="15.75"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row>
    <row r="679" ht="15.75"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row>
    <row r="680" ht="15.75"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row>
    <row r="681" ht="15.75"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row>
    <row r="682" ht="15.75"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row>
    <row r="683" ht="15.75"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row>
    <row r="684" ht="15.75"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row>
    <row r="685" ht="15.75"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row>
    <row r="686" ht="15.75"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row>
    <row r="687" ht="15.75"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row>
    <row r="688" ht="15.75"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row>
    <row r="689" ht="15.75"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row>
    <row r="690" ht="15.75"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row>
    <row r="691" ht="15.75"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row>
    <row r="692" ht="15.75"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row>
    <row r="693" ht="15.75"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row>
    <row r="694" ht="15.75"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row>
    <row r="695" ht="15.75"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row>
    <row r="696" ht="15.75"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row>
    <row r="697" ht="15.75"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row>
    <row r="698" ht="15.75"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row>
    <row r="699" ht="15.75"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row>
    <row r="700" ht="15.75"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row>
    <row r="701" ht="15.75"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row>
    <row r="702" ht="15.75"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row>
    <row r="703" ht="15.75"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row>
    <row r="704" ht="15.75"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row>
    <row r="705" ht="15.75"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row>
    <row r="706" ht="15.75"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row>
    <row r="707" ht="15.75"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row>
    <row r="708" ht="15.75"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row>
    <row r="709" ht="15.75"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row>
    <row r="710" ht="15.75"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row>
    <row r="711" ht="15.75"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row>
    <row r="712" ht="15.75"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row>
    <row r="713" ht="15.75"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row>
    <row r="714" ht="15.75"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row>
    <row r="715" ht="15.75"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row>
    <row r="716" ht="15.75"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row>
    <row r="717" ht="15.75"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row>
    <row r="718" ht="15.75"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row>
    <row r="719" ht="15.75"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row>
    <row r="720" ht="15.75"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row>
    <row r="721" ht="15.75"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row>
    <row r="722" ht="15.75"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row>
    <row r="723" ht="15.75"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row>
    <row r="724" ht="15.75"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row>
    <row r="725" ht="15.75"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row>
    <row r="726" ht="15.75"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row>
    <row r="727" ht="15.75"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row>
    <row r="728" ht="15.75"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row>
    <row r="729" ht="15.75"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row>
    <row r="730" ht="15.75"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row>
    <row r="731" ht="15.75"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row>
    <row r="732" ht="15.75"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row>
    <row r="733" ht="15.75"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row>
    <row r="734" ht="15.75"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row>
    <row r="735" ht="15.75"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row>
    <row r="736" ht="15.75"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row>
    <row r="737" ht="15.75"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row>
    <row r="738" ht="15.75"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row>
    <row r="739" ht="15.75"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row>
    <row r="740" ht="15.75"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row>
    <row r="741" ht="15.75"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row>
    <row r="742" ht="15.75"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row>
    <row r="743" ht="15.75"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row>
    <row r="744" ht="15.75"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row>
    <row r="745" ht="15.75"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row>
    <row r="746" ht="15.75"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row>
    <row r="747" ht="15.75"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row>
    <row r="748" ht="15.75"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row>
    <row r="749" ht="15.75"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row>
    <row r="750" ht="15.75"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row>
    <row r="751" ht="15.75"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row>
    <row r="752" ht="15.75"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row>
    <row r="753" ht="15.75"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row>
    <row r="754" ht="15.75"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row>
    <row r="755" ht="15.75"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row>
    <row r="756" ht="15.75"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row>
    <row r="757" ht="15.75"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row>
    <row r="758" ht="15.75"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row>
    <row r="759" ht="15.75"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row>
    <row r="760" ht="15.75"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row>
    <row r="761" ht="15.75"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row>
    <row r="762" ht="15.75"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row>
    <row r="763" ht="15.75"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row>
    <row r="764" ht="15.75"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row>
    <row r="765" ht="15.75"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row>
    <row r="766" ht="15.75"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row>
    <row r="767" ht="15.75"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row>
    <row r="768" ht="15.75"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row>
    <row r="769" ht="15.75"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row>
    <row r="770" ht="15.75"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row>
    <row r="771" ht="15.75"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row>
    <row r="772" ht="15.75"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row>
    <row r="773" ht="15.75"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row>
    <row r="774" ht="15.75"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row>
    <row r="775" ht="15.75"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row>
    <row r="776" ht="15.75"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row>
    <row r="777" ht="15.75"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row>
    <row r="778" ht="15.75"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row>
    <row r="779" ht="15.75"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row>
    <row r="780" ht="15.75"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row>
    <row r="781" ht="15.75"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row>
    <row r="782" ht="15.75"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row>
    <row r="783" ht="15.75"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row>
    <row r="784" ht="15.75"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row>
    <row r="785" ht="15.75"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row>
    <row r="786" ht="15.75"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row>
    <row r="787" ht="15.75"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row>
    <row r="788" ht="15.75"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row>
    <row r="789" ht="15.75"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row>
    <row r="790" ht="15.75"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row>
    <row r="791" ht="15.75"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row>
    <row r="792" ht="15.75"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row>
    <row r="793" ht="15.75"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row>
    <row r="794" ht="15.75"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row>
    <row r="795" ht="15.75"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row>
    <row r="796" ht="15.75"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row>
    <row r="797" ht="15.75"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row>
    <row r="798" ht="15.75"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row>
    <row r="799" ht="15.75"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row>
    <row r="800" ht="15.75"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row>
    <row r="801" ht="15.75"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row>
    <row r="802" ht="15.75"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row>
    <row r="803" ht="15.75"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row>
    <row r="804" ht="15.75"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row>
    <row r="805" ht="15.75"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row>
    <row r="806" ht="15.75"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row>
    <row r="807" ht="15.75"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row>
    <row r="808" ht="15.75"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row>
    <row r="809" ht="15.75"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row>
    <row r="810" ht="15.75"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row>
    <row r="811" ht="15.75"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row>
    <row r="812" ht="15.75"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row>
    <row r="813" ht="15.75"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row>
    <row r="814" ht="15.75"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row>
    <row r="815" ht="15.75"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row>
    <row r="816" ht="15.75"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row>
    <row r="817" ht="15.75"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row>
    <row r="818" ht="15.75"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row>
    <row r="819" ht="15.75"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row>
    <row r="820" ht="15.75"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row>
    <row r="821" ht="15.75"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row>
    <row r="822" ht="15.75"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row>
    <row r="823" ht="15.75"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row>
    <row r="824" ht="15.75"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row>
    <row r="825" ht="15.75"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row>
    <row r="826" ht="15.75"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row>
    <row r="827" ht="15.75"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row>
    <row r="828" ht="15.75"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row>
    <row r="829" ht="15.75"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row>
    <row r="830" ht="15.75"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row>
    <row r="831" ht="15.75"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row>
    <row r="832" ht="15.75"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row>
    <row r="833" ht="15.75"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row>
    <row r="834" ht="15.75"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row>
    <row r="835" ht="15.75"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row>
    <row r="836" ht="15.75"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row>
    <row r="837" ht="15.75"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row>
    <row r="838" ht="15.75"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row>
    <row r="839" ht="15.75"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row>
    <row r="840" ht="15.75"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row>
    <row r="841" ht="15.75"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row>
    <row r="842" ht="15.75"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row>
    <row r="843" ht="15.75"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row>
    <row r="844" ht="15.75"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row>
    <row r="845" ht="15.75"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row>
    <row r="846" ht="15.75"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row>
    <row r="847" ht="15.75"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row>
    <row r="848" ht="15.75"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row>
    <row r="849" ht="15.75"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row>
    <row r="850" ht="15.75"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row>
    <row r="851" ht="15.75"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row>
    <row r="852" ht="15.75"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row>
    <row r="853" ht="15.75"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row>
    <row r="854" ht="15.75"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row>
    <row r="855" ht="15.75"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row>
    <row r="856" ht="15.75"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row>
    <row r="857" ht="15.75"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row>
    <row r="858" ht="15.75"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row>
    <row r="859" ht="15.75"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row>
    <row r="860" ht="15.75"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row>
    <row r="861" ht="15.75"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row>
    <row r="862" ht="15.75"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row>
    <row r="863" ht="15.75"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row>
    <row r="864" ht="15.75"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row>
    <row r="865" ht="15.75"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row>
    <row r="866" ht="15.75"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row>
    <row r="867" ht="15.75"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row>
    <row r="868" ht="15.75"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row>
    <row r="869" ht="15.75"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row>
    <row r="870" ht="15.75"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row>
    <row r="871" ht="15.75"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row>
    <row r="872" ht="15.75"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row>
    <row r="873" ht="15.75"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row>
    <row r="874" ht="15.75"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row>
    <row r="875" ht="15.75"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row>
    <row r="876" ht="15.75"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row>
    <row r="877" ht="15.75"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row>
    <row r="878" ht="15.75"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row>
    <row r="879" ht="15.75"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row>
    <row r="880" ht="15.75"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row>
    <row r="881" ht="15.75"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row>
    <row r="882" ht="15.75"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row>
    <row r="883" ht="15.75"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row>
    <row r="884" ht="15.75"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row>
    <row r="885" ht="15.75"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row>
    <row r="886" ht="15.75"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row>
    <row r="887" ht="15.75"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row>
    <row r="888" ht="15.75"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row>
    <row r="889" ht="15.75"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row>
    <row r="890" ht="15.75"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row>
    <row r="891" ht="15.75"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row>
    <row r="892" ht="15.75"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row>
    <row r="893" ht="15.75"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row>
    <row r="894" ht="15.75"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row>
    <row r="895" ht="15.75"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row>
    <row r="896" ht="15.75"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row>
    <row r="897" ht="15.75"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row>
    <row r="898" ht="15.75"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row>
    <row r="899" ht="15.75"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row>
    <row r="900" ht="15.75"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row>
    <row r="901" ht="15.75"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row>
    <row r="902" ht="15.75"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row>
    <row r="903" ht="15.75"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row>
    <row r="904" ht="15.75"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row>
    <row r="905" ht="15.75"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row>
    <row r="906" ht="15.75"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row>
    <row r="907" ht="15.75"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row>
    <row r="908" ht="15.75"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row>
    <row r="909" ht="15.75"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row>
    <row r="910" ht="15.75"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row>
    <row r="911" ht="15.75"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row>
    <row r="912" ht="15.75"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row>
    <row r="913" ht="15.75"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row>
    <row r="914" ht="15.75"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row>
    <row r="915" ht="15.75"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row>
    <row r="916" ht="15.75"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row>
    <row r="917" ht="15.75"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row>
    <row r="918" ht="15.75"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row>
    <row r="919" ht="15.75"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row>
    <row r="920" ht="15.75"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row>
    <row r="921" ht="15.75"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row>
    <row r="922" ht="15.75"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row>
    <row r="923" ht="15.75"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row>
    <row r="924" ht="15.75"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row>
    <row r="925" ht="15.75"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row>
    <row r="926" ht="15.75"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row>
    <row r="927" ht="15.75"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row>
    <row r="928" ht="15.75"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row>
    <row r="929" ht="15.75"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row>
    <row r="930" ht="15.75"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row>
    <row r="931" ht="15.75"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row>
    <row r="932" ht="15.75"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row>
    <row r="933" ht="15.75"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row>
    <row r="934" ht="15.75"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row>
    <row r="935" ht="15.75"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row>
    <row r="936" ht="15.75"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row>
    <row r="937" ht="15.75"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row>
    <row r="938" ht="15.75"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row>
    <row r="939" ht="15.75"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row>
    <row r="940" ht="15.75"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row>
    <row r="941" ht="15.75"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row>
    <row r="942" ht="15.75"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row>
    <row r="943" ht="15.75"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row>
    <row r="944" ht="15.75"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row>
    <row r="945" ht="15.75"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row>
    <row r="946" ht="15.75"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row>
    <row r="947" ht="15.75"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row>
    <row r="948" ht="15.75"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row>
    <row r="949" ht="15.75"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row>
    <row r="950" ht="15.75"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row>
    <row r="951" ht="15.75"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row>
    <row r="952" ht="15.75"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row>
    <row r="953" ht="15.75"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row>
    <row r="954" ht="15.75"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row>
    <row r="955" ht="15.75"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row>
    <row r="956" ht="15.75"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row>
    <row r="957" ht="15.75"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row>
    <row r="958" ht="15.75"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row>
    <row r="959" ht="15.75"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row>
    <row r="960" ht="15.75"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row>
    <row r="961" ht="15.75"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row>
    <row r="962" ht="15.75"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row>
    <row r="963" ht="15.75"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row>
    <row r="964" ht="15.75"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row>
    <row r="965" ht="15.75"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row>
    <row r="966" ht="15.75"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row>
    <row r="967" ht="15.75"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row>
    <row r="968" ht="15.75"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row>
    <row r="969" ht="15.75"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row>
    <row r="970" ht="15.75"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row>
    <row r="971" ht="15.75"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row>
    <row r="972" ht="15.75"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row>
    <row r="973" ht="15.75"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row>
    <row r="974" ht="15.75"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row>
    <row r="975" ht="15.75"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row>
    <row r="976" ht="15.75"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row>
    <row r="977" ht="15.75"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row>
    <row r="978" ht="15.75"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row>
    <row r="979" ht="15.75"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row>
    <row r="980" ht="15.75"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row>
    <row r="981" ht="15.75"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row>
    <row r="982" ht="15.75"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row>
    <row r="983" ht="15.75"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row>
    <row r="984" ht="15.75"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row>
    <row r="985" ht="15.75"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row>
    <row r="986" ht="15.75"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row>
    <row r="987" ht="15.75"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row>
    <row r="988" ht="15.75"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row>
    <row r="989" ht="15.75"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row>
    <row r="990" ht="15.75"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row>
    <row r="991" ht="15.75"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row>
    <row r="992" ht="15.75"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row>
    <row r="993" ht="15.75"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row>
    <row r="994" ht="15.75"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row>
    <row r="995" ht="15.75"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row>
    <row r="996" ht="15.75"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c r="AA996" s="56"/>
    </row>
    <row r="997" ht="15.75"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c r="AA997" s="56"/>
    </row>
    <row r="998" ht="15.75"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c r="AA998" s="56"/>
    </row>
    <row r="999" ht="15.75"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c r="AA999" s="56"/>
    </row>
    <row r="1000" ht="15.75"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row>
    <row r="1001" ht="15.75" customHeight="1">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c r="Y1001" s="56"/>
      <c r="Z1001" s="56"/>
      <c r="AA1001" s="56"/>
    </row>
    <row r="1002" ht="15.75" customHeight="1">
      <c r="A1002" s="56"/>
      <c r="B1002" s="56"/>
      <c r="C1002" s="56"/>
      <c r="D1002" s="56"/>
      <c r="E1002" s="56"/>
      <c r="F1002" s="56"/>
      <c r="G1002" s="56"/>
      <c r="H1002" s="56"/>
      <c r="I1002" s="56"/>
      <c r="J1002" s="56"/>
      <c r="K1002" s="56"/>
      <c r="L1002" s="56"/>
      <c r="M1002" s="56"/>
      <c r="N1002" s="56"/>
      <c r="O1002" s="56"/>
      <c r="P1002" s="56"/>
      <c r="Q1002" s="56"/>
      <c r="R1002" s="56"/>
      <c r="S1002" s="56"/>
      <c r="T1002" s="56"/>
      <c r="U1002" s="56"/>
      <c r="V1002" s="56"/>
      <c r="W1002" s="56"/>
      <c r="X1002" s="56"/>
      <c r="Y1002" s="56"/>
      <c r="Z1002" s="56"/>
      <c r="AA1002" s="56"/>
    </row>
    <row r="1003" ht="15.75" customHeight="1">
      <c r="A1003" s="56"/>
      <c r="B1003" s="56"/>
      <c r="C1003" s="56"/>
      <c r="D1003" s="56"/>
      <c r="E1003" s="56"/>
      <c r="F1003" s="56"/>
      <c r="G1003" s="56"/>
      <c r="H1003" s="56"/>
      <c r="I1003" s="56"/>
      <c r="J1003" s="56"/>
      <c r="K1003" s="56"/>
      <c r="L1003" s="56"/>
      <c r="M1003" s="56"/>
      <c r="N1003" s="56"/>
      <c r="O1003" s="56"/>
      <c r="P1003" s="56"/>
      <c r="Q1003" s="56"/>
      <c r="R1003" s="56"/>
      <c r="S1003" s="56"/>
      <c r="T1003" s="56"/>
      <c r="U1003" s="56"/>
      <c r="V1003" s="56"/>
      <c r="W1003" s="56"/>
      <c r="X1003" s="56"/>
      <c r="Y1003" s="56"/>
      <c r="Z1003" s="56"/>
      <c r="AA1003" s="56"/>
    </row>
    <row r="1004" ht="15.75" customHeight="1">
      <c r="A1004" s="56"/>
      <c r="B1004" s="56"/>
      <c r="C1004" s="56"/>
      <c r="D1004" s="56"/>
      <c r="E1004" s="56"/>
      <c r="F1004" s="56"/>
      <c r="G1004" s="56"/>
      <c r="H1004" s="56"/>
      <c r="I1004" s="56"/>
      <c r="J1004" s="56"/>
      <c r="K1004" s="56"/>
      <c r="L1004" s="56"/>
      <c r="M1004" s="56"/>
      <c r="N1004" s="56"/>
      <c r="O1004" s="56"/>
      <c r="P1004" s="56"/>
      <c r="Q1004" s="56"/>
      <c r="R1004" s="56"/>
      <c r="S1004" s="56"/>
      <c r="T1004" s="56"/>
      <c r="U1004" s="56"/>
      <c r="V1004" s="56"/>
      <c r="W1004" s="56"/>
      <c r="X1004" s="56"/>
      <c r="Y1004" s="56"/>
      <c r="Z1004" s="56"/>
      <c r="AA1004" s="56"/>
    </row>
    <row r="1005" ht="15.75" customHeight="1">
      <c r="A1005" s="56"/>
      <c r="B1005" s="56"/>
      <c r="C1005" s="56"/>
      <c r="D1005" s="56"/>
      <c r="E1005" s="56"/>
      <c r="F1005" s="56"/>
      <c r="G1005" s="56"/>
      <c r="H1005" s="56"/>
      <c r="I1005" s="56"/>
      <c r="J1005" s="56"/>
      <c r="K1005" s="56"/>
      <c r="L1005" s="56"/>
      <c r="M1005" s="56"/>
      <c r="N1005" s="56"/>
      <c r="O1005" s="56"/>
      <c r="P1005" s="56"/>
      <c r="Q1005" s="56"/>
      <c r="R1005" s="56"/>
      <c r="S1005" s="56"/>
      <c r="T1005" s="56"/>
      <c r="U1005" s="56"/>
      <c r="V1005" s="56"/>
      <c r="W1005" s="56"/>
      <c r="X1005" s="56"/>
      <c r="Y1005" s="56"/>
      <c r="Z1005" s="56"/>
      <c r="AA1005" s="56"/>
    </row>
    <row r="1006" ht="15.75" customHeight="1">
      <c r="A1006" s="56"/>
      <c r="B1006" s="56"/>
      <c r="C1006" s="56"/>
      <c r="D1006" s="56"/>
      <c r="E1006" s="56"/>
      <c r="F1006" s="56"/>
      <c r="G1006" s="56"/>
      <c r="H1006" s="56"/>
      <c r="I1006" s="56"/>
      <c r="J1006" s="56"/>
      <c r="K1006" s="56"/>
      <c r="L1006" s="56"/>
      <c r="M1006" s="56"/>
      <c r="N1006" s="56"/>
      <c r="O1006" s="56"/>
      <c r="P1006" s="56"/>
      <c r="Q1006" s="56"/>
      <c r="R1006" s="56"/>
      <c r="S1006" s="56"/>
      <c r="T1006" s="56"/>
      <c r="U1006" s="56"/>
      <c r="V1006" s="56"/>
      <c r="W1006" s="56"/>
      <c r="X1006" s="56"/>
      <c r="Y1006" s="56"/>
      <c r="Z1006" s="56"/>
      <c r="AA1006" s="56"/>
    </row>
    <row r="1007" ht="15.75" customHeight="1">
      <c r="A1007" s="56"/>
      <c r="B1007" s="56"/>
      <c r="C1007" s="56"/>
      <c r="D1007" s="56"/>
      <c r="E1007" s="56"/>
      <c r="F1007" s="56"/>
      <c r="G1007" s="56"/>
      <c r="H1007" s="56"/>
      <c r="I1007" s="56"/>
      <c r="J1007" s="56"/>
      <c r="K1007" s="56"/>
      <c r="L1007" s="56"/>
      <c r="M1007" s="56"/>
      <c r="N1007" s="56"/>
      <c r="O1007" s="56"/>
      <c r="P1007" s="56"/>
      <c r="Q1007" s="56"/>
      <c r="R1007" s="56"/>
      <c r="S1007" s="56"/>
      <c r="T1007" s="56"/>
      <c r="U1007" s="56"/>
      <c r="V1007" s="56"/>
      <c r="W1007" s="56"/>
      <c r="X1007" s="56"/>
      <c r="Y1007" s="56"/>
      <c r="Z1007" s="56"/>
      <c r="AA1007" s="56"/>
    </row>
    <row r="1008" ht="15.75" customHeight="1">
      <c r="A1008" s="56"/>
      <c r="B1008" s="56"/>
      <c r="C1008" s="56"/>
      <c r="D1008" s="56"/>
      <c r="E1008" s="56"/>
      <c r="F1008" s="56"/>
      <c r="G1008" s="56"/>
      <c r="H1008" s="56"/>
      <c r="I1008" s="56"/>
      <c r="J1008" s="56"/>
      <c r="K1008" s="56"/>
      <c r="L1008" s="56"/>
      <c r="M1008" s="56"/>
      <c r="N1008" s="56"/>
      <c r="O1008" s="56"/>
      <c r="P1008" s="56"/>
      <c r="Q1008" s="56"/>
      <c r="R1008" s="56"/>
      <c r="S1008" s="56"/>
      <c r="T1008" s="56"/>
      <c r="U1008" s="56"/>
      <c r="V1008" s="56"/>
      <c r="W1008" s="56"/>
      <c r="X1008" s="56"/>
      <c r="Y1008" s="56"/>
      <c r="Z1008" s="56"/>
      <c r="AA1008" s="56"/>
    </row>
    <row r="1009" ht="15.75" customHeight="1">
      <c r="A1009" s="56"/>
      <c r="B1009" s="56"/>
      <c r="C1009" s="56"/>
      <c r="D1009" s="56"/>
      <c r="E1009" s="56"/>
      <c r="F1009" s="56"/>
      <c r="G1009" s="56"/>
      <c r="H1009" s="56"/>
      <c r="I1009" s="56"/>
      <c r="J1009" s="56"/>
      <c r="K1009" s="56"/>
      <c r="L1009" s="56"/>
      <c r="M1009" s="56"/>
      <c r="N1009" s="56"/>
      <c r="O1009" s="56"/>
      <c r="P1009" s="56"/>
      <c r="Q1009" s="56"/>
      <c r="R1009" s="56"/>
      <c r="S1009" s="56"/>
      <c r="T1009" s="56"/>
      <c r="U1009" s="56"/>
      <c r="V1009" s="56"/>
      <c r="W1009" s="56"/>
      <c r="X1009" s="56"/>
      <c r="Y1009" s="56"/>
      <c r="Z1009" s="56"/>
      <c r="AA1009" s="56"/>
    </row>
    <row r="1010" ht="15.75" customHeight="1">
      <c r="A1010" s="56"/>
      <c r="B1010" s="56"/>
      <c r="C1010" s="56"/>
      <c r="D1010" s="56"/>
      <c r="E1010" s="56"/>
      <c r="F1010" s="56"/>
      <c r="G1010" s="56"/>
      <c r="H1010" s="56"/>
      <c r="I1010" s="56"/>
      <c r="J1010" s="56"/>
      <c r="K1010" s="56"/>
      <c r="L1010" s="56"/>
      <c r="M1010" s="56"/>
      <c r="N1010" s="56"/>
      <c r="O1010" s="56"/>
      <c r="P1010" s="56"/>
      <c r="Q1010" s="56"/>
      <c r="R1010" s="56"/>
      <c r="S1010" s="56"/>
      <c r="T1010" s="56"/>
      <c r="U1010" s="56"/>
      <c r="V1010" s="56"/>
      <c r="W1010" s="56"/>
      <c r="X1010" s="56"/>
      <c r="Y1010" s="56"/>
      <c r="Z1010" s="56"/>
      <c r="AA1010" s="56"/>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s>
  <drawing r:id="rId1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3" width="21.22"/>
    <col customWidth="1" min="4" max="4" width="14.33"/>
    <col customWidth="1" min="5" max="7" width="42.33"/>
    <col customWidth="1" min="8" max="27" width="13.44"/>
  </cols>
  <sheetData>
    <row r="1">
      <c r="A1" s="95" t="s">
        <v>1</v>
      </c>
      <c r="B1" s="95" t="s">
        <v>214</v>
      </c>
      <c r="C1" s="96" t="s">
        <v>215</v>
      </c>
      <c r="D1" s="96" t="s">
        <v>216</v>
      </c>
      <c r="E1" s="98" t="s">
        <v>217</v>
      </c>
      <c r="F1" s="96" t="s">
        <v>219</v>
      </c>
      <c r="G1" s="96" t="s">
        <v>9</v>
      </c>
      <c r="H1" s="96"/>
      <c r="I1" s="96"/>
      <c r="J1" s="96"/>
      <c r="K1" s="96"/>
      <c r="L1" s="96"/>
      <c r="M1" s="96"/>
      <c r="N1" s="96"/>
      <c r="O1" s="96"/>
      <c r="P1" s="96"/>
      <c r="Q1" s="96"/>
      <c r="R1" s="96"/>
      <c r="S1" s="96"/>
      <c r="T1" s="96"/>
      <c r="U1" s="96"/>
      <c r="V1" s="96"/>
      <c r="W1" s="96"/>
      <c r="X1" s="96"/>
      <c r="Y1" s="96"/>
      <c r="Z1" s="96"/>
      <c r="AA1" s="96"/>
    </row>
    <row r="2" ht="66.75" customHeight="1">
      <c r="A2" s="99" t="s">
        <v>45</v>
      </c>
      <c r="B2" s="101" t="s">
        <v>48</v>
      </c>
      <c r="C2" s="102" t="s">
        <v>223</v>
      </c>
      <c r="D2" s="101">
        <v>5.0</v>
      </c>
      <c r="E2" s="101" t="s">
        <v>58</v>
      </c>
      <c r="F2" s="101" t="s">
        <v>224</v>
      </c>
      <c r="G2" s="101" t="s">
        <v>63</v>
      </c>
      <c r="H2" s="100"/>
      <c r="I2" s="100"/>
      <c r="J2" s="100"/>
      <c r="K2" s="100"/>
      <c r="L2" s="100"/>
      <c r="M2" s="100"/>
      <c r="N2" s="100"/>
      <c r="O2" s="100"/>
      <c r="P2" s="100"/>
      <c r="Q2" s="100"/>
      <c r="R2" s="100"/>
      <c r="S2" s="100"/>
      <c r="T2" s="100"/>
      <c r="U2" s="100"/>
      <c r="V2" s="100"/>
      <c r="W2" s="100"/>
      <c r="X2" s="100"/>
      <c r="Y2" s="100"/>
      <c r="Z2" s="100"/>
      <c r="AA2" s="100"/>
    </row>
    <row r="3" ht="66.75" customHeight="1">
      <c r="A3" s="99" t="s">
        <v>45</v>
      </c>
      <c r="B3" s="101" t="s">
        <v>69</v>
      </c>
      <c r="C3" s="102" t="s">
        <v>74</v>
      </c>
      <c r="D3" s="101">
        <v>0.0</v>
      </c>
      <c r="E3" s="101" t="s">
        <v>71</v>
      </c>
      <c r="F3" s="101"/>
      <c r="G3" s="101" t="s">
        <v>225</v>
      </c>
      <c r="H3" s="100"/>
      <c r="I3" s="100"/>
      <c r="J3" s="100"/>
      <c r="K3" s="100"/>
      <c r="L3" s="100"/>
      <c r="M3" s="100"/>
      <c r="N3" s="100"/>
      <c r="O3" s="100"/>
      <c r="P3" s="100"/>
      <c r="Q3" s="100"/>
      <c r="R3" s="100"/>
      <c r="S3" s="100"/>
      <c r="T3" s="100"/>
      <c r="U3" s="100"/>
      <c r="V3" s="100"/>
      <c r="W3" s="100"/>
      <c r="X3" s="100"/>
      <c r="Y3" s="100"/>
      <c r="Z3" s="100"/>
      <c r="AA3" s="100"/>
    </row>
    <row r="4" ht="66.75" customHeight="1">
      <c r="A4" s="99" t="s">
        <v>45</v>
      </c>
      <c r="B4" s="101" t="s">
        <v>78</v>
      </c>
      <c r="C4" s="102" t="s">
        <v>226</v>
      </c>
      <c r="D4" s="101">
        <v>4.3</v>
      </c>
      <c r="E4" s="101" t="s">
        <v>71</v>
      </c>
      <c r="F4" s="101"/>
      <c r="G4" s="101" t="s">
        <v>83</v>
      </c>
      <c r="H4" s="100"/>
      <c r="I4" s="100"/>
      <c r="J4" s="100"/>
      <c r="K4" s="100"/>
      <c r="L4" s="100"/>
      <c r="M4" s="100"/>
      <c r="N4" s="100"/>
      <c r="O4" s="100"/>
      <c r="P4" s="100"/>
      <c r="Q4" s="100"/>
      <c r="R4" s="100"/>
      <c r="S4" s="100"/>
      <c r="T4" s="100"/>
      <c r="U4" s="100"/>
      <c r="V4" s="100"/>
      <c r="W4" s="100"/>
      <c r="X4" s="100"/>
      <c r="Y4" s="100"/>
      <c r="Z4" s="100"/>
      <c r="AA4" s="100"/>
    </row>
    <row r="5" ht="66.75" customHeight="1">
      <c r="A5" s="99" t="s">
        <v>45</v>
      </c>
      <c r="B5" s="101" t="s">
        <v>91</v>
      </c>
      <c r="C5" s="102" t="s">
        <v>227</v>
      </c>
      <c r="D5" s="101">
        <v>5.0</v>
      </c>
      <c r="E5" s="101" t="s">
        <v>93</v>
      </c>
      <c r="F5" s="101"/>
      <c r="G5" s="101" t="s">
        <v>96</v>
      </c>
      <c r="H5" s="100"/>
      <c r="I5" s="100"/>
      <c r="J5" s="100"/>
      <c r="K5" s="100"/>
      <c r="L5" s="100"/>
      <c r="M5" s="100"/>
      <c r="N5" s="100"/>
      <c r="O5" s="100"/>
      <c r="P5" s="100"/>
      <c r="Q5" s="100"/>
      <c r="R5" s="100"/>
      <c r="S5" s="100"/>
      <c r="T5" s="100"/>
      <c r="U5" s="100"/>
      <c r="V5" s="100"/>
      <c r="W5" s="100"/>
      <c r="X5" s="100"/>
      <c r="Y5" s="100"/>
      <c r="Z5" s="100"/>
      <c r="AA5" s="100"/>
    </row>
    <row r="6" ht="66.75" customHeight="1">
      <c r="A6" s="99" t="s">
        <v>45</v>
      </c>
      <c r="B6" s="101" t="s">
        <v>101</v>
      </c>
      <c r="C6" s="102" t="s">
        <v>223</v>
      </c>
      <c r="D6" s="101">
        <v>5.0</v>
      </c>
      <c r="E6" s="101" t="s">
        <v>71</v>
      </c>
      <c r="F6" s="101"/>
      <c r="G6" s="101" t="s">
        <v>106</v>
      </c>
      <c r="H6" s="100"/>
      <c r="I6" s="100"/>
      <c r="J6" s="100"/>
      <c r="K6" s="100"/>
      <c r="L6" s="100"/>
      <c r="M6" s="100"/>
      <c r="N6" s="100"/>
      <c r="O6" s="100"/>
      <c r="P6" s="100"/>
      <c r="Q6" s="100"/>
      <c r="R6" s="100"/>
      <c r="S6" s="100"/>
      <c r="T6" s="100"/>
      <c r="U6" s="100"/>
      <c r="V6" s="100"/>
      <c r="W6" s="100"/>
      <c r="X6" s="100"/>
      <c r="Y6" s="100"/>
      <c r="Z6" s="100"/>
      <c r="AA6" s="100"/>
    </row>
    <row r="7" ht="66.75" customHeight="1">
      <c r="A7" s="99" t="s">
        <v>45</v>
      </c>
      <c r="B7" s="101" t="s">
        <v>109</v>
      </c>
      <c r="C7" s="102" t="s">
        <v>228</v>
      </c>
      <c r="D7" s="101">
        <v>4.0</v>
      </c>
      <c r="E7" s="101" t="s">
        <v>71</v>
      </c>
      <c r="F7" s="101"/>
      <c r="G7" s="101" t="s">
        <v>106</v>
      </c>
      <c r="H7" s="100"/>
      <c r="I7" s="100"/>
      <c r="J7" s="100"/>
      <c r="K7" s="100"/>
      <c r="L7" s="100"/>
      <c r="M7" s="100"/>
      <c r="N7" s="100"/>
      <c r="O7" s="100"/>
      <c r="P7" s="100"/>
      <c r="Q7" s="100"/>
      <c r="R7" s="100"/>
      <c r="S7" s="100"/>
      <c r="T7" s="100"/>
      <c r="U7" s="100"/>
      <c r="V7" s="100"/>
      <c r="W7" s="100"/>
      <c r="X7" s="100"/>
      <c r="Y7" s="100"/>
      <c r="Z7" s="100"/>
      <c r="AA7" s="100"/>
    </row>
    <row r="8" ht="66.75" customHeight="1">
      <c r="A8" s="99" t="s">
        <v>45</v>
      </c>
      <c r="B8" s="101" t="s">
        <v>117</v>
      </c>
      <c r="C8" s="102" t="s">
        <v>229</v>
      </c>
      <c r="D8" s="101">
        <v>4.3</v>
      </c>
      <c r="E8" s="101" t="s">
        <v>71</v>
      </c>
      <c r="F8" s="101"/>
      <c r="G8" s="101" t="s">
        <v>106</v>
      </c>
      <c r="H8" s="100"/>
      <c r="I8" s="100"/>
      <c r="J8" s="100"/>
      <c r="K8" s="100"/>
      <c r="L8" s="100"/>
      <c r="M8" s="100"/>
      <c r="N8" s="100"/>
      <c r="O8" s="100"/>
      <c r="P8" s="100"/>
      <c r="Q8" s="100"/>
      <c r="R8" s="100"/>
      <c r="S8" s="100"/>
      <c r="T8" s="100"/>
      <c r="U8" s="100"/>
      <c r="V8" s="100"/>
      <c r="W8" s="100"/>
      <c r="X8" s="100"/>
      <c r="Y8" s="100"/>
      <c r="Z8" s="100"/>
      <c r="AA8" s="100"/>
    </row>
    <row r="9" ht="66.75" customHeight="1">
      <c r="A9" s="99" t="s">
        <v>45</v>
      </c>
      <c r="B9" s="101" t="s">
        <v>126</v>
      </c>
      <c r="C9" s="102" t="s">
        <v>228</v>
      </c>
      <c r="D9" s="101">
        <v>5.0</v>
      </c>
      <c r="E9" s="101" t="s">
        <v>127</v>
      </c>
      <c r="F9" s="101"/>
      <c r="G9" s="101" t="s">
        <v>130</v>
      </c>
      <c r="H9" s="100"/>
      <c r="I9" s="100"/>
      <c r="J9" s="100"/>
      <c r="K9" s="100"/>
      <c r="L9" s="100"/>
      <c r="M9" s="100"/>
      <c r="N9" s="100"/>
      <c r="O9" s="100"/>
      <c r="P9" s="100"/>
      <c r="Q9" s="100"/>
      <c r="R9" s="100"/>
      <c r="S9" s="100"/>
      <c r="T9" s="100"/>
      <c r="U9" s="100"/>
      <c r="V9" s="100"/>
      <c r="W9" s="100"/>
      <c r="X9" s="100"/>
      <c r="Y9" s="100"/>
      <c r="Z9" s="100"/>
      <c r="AA9" s="100"/>
    </row>
    <row r="10" ht="66.75" customHeight="1">
      <c r="A10" s="99" t="s">
        <v>45</v>
      </c>
      <c r="B10" s="101" t="s">
        <v>134</v>
      </c>
      <c r="C10" s="102" t="s">
        <v>230</v>
      </c>
      <c r="D10" s="101">
        <v>4.8</v>
      </c>
      <c r="E10" s="101" t="s">
        <v>71</v>
      </c>
      <c r="F10" s="101"/>
      <c r="G10" s="101" t="s">
        <v>138</v>
      </c>
      <c r="H10" s="100"/>
      <c r="I10" s="100"/>
      <c r="J10" s="100"/>
      <c r="K10" s="100"/>
      <c r="L10" s="100"/>
      <c r="M10" s="100"/>
      <c r="N10" s="100"/>
      <c r="O10" s="100"/>
      <c r="P10" s="100"/>
      <c r="Q10" s="100"/>
      <c r="R10" s="100"/>
      <c r="S10" s="100"/>
      <c r="T10" s="100"/>
      <c r="U10" s="100"/>
      <c r="V10" s="100"/>
      <c r="W10" s="100"/>
      <c r="X10" s="100"/>
      <c r="Y10" s="100"/>
      <c r="Z10" s="100"/>
      <c r="AA10" s="100"/>
    </row>
    <row r="11" ht="66.75" customHeight="1">
      <c r="A11" s="99" t="s">
        <v>45</v>
      </c>
      <c r="B11" s="101" t="s">
        <v>141</v>
      </c>
      <c r="C11" s="102">
        <v>0.0</v>
      </c>
      <c r="D11" s="101">
        <v>0.0</v>
      </c>
      <c r="E11" s="101" t="s">
        <v>71</v>
      </c>
      <c r="F11" s="101"/>
      <c r="G11" s="101" t="s">
        <v>145</v>
      </c>
      <c r="H11" s="100"/>
      <c r="I11" s="100"/>
      <c r="J11" s="100"/>
      <c r="K11" s="100"/>
      <c r="L11" s="100"/>
      <c r="M11" s="100"/>
      <c r="N11" s="100"/>
      <c r="O11" s="100"/>
      <c r="P11" s="100"/>
      <c r="Q11" s="100"/>
      <c r="R11" s="100"/>
      <c r="S11" s="100"/>
      <c r="T11" s="100"/>
      <c r="U11" s="100"/>
      <c r="V11" s="100"/>
      <c r="W11" s="100"/>
      <c r="X11" s="100"/>
      <c r="Y11" s="100"/>
      <c r="Z11" s="100"/>
      <c r="AA11" s="100"/>
    </row>
    <row r="12" ht="66.75" customHeight="1">
      <c r="A12" s="99" t="s">
        <v>45</v>
      </c>
      <c r="B12" s="101" t="s">
        <v>149</v>
      </c>
      <c r="C12" s="102">
        <v>7.0</v>
      </c>
      <c r="D12" s="101">
        <v>4.7</v>
      </c>
      <c r="E12" s="101" t="s">
        <v>71</v>
      </c>
      <c r="F12" s="101"/>
      <c r="G12" s="101" t="s">
        <v>152</v>
      </c>
      <c r="H12" s="100"/>
      <c r="I12" s="100"/>
      <c r="J12" s="100"/>
      <c r="K12" s="100"/>
      <c r="L12" s="100"/>
      <c r="M12" s="100"/>
      <c r="N12" s="100"/>
      <c r="O12" s="100"/>
      <c r="P12" s="100"/>
      <c r="Q12" s="100"/>
      <c r="R12" s="100"/>
      <c r="S12" s="100"/>
      <c r="T12" s="100"/>
      <c r="U12" s="100"/>
      <c r="V12" s="100"/>
      <c r="W12" s="100"/>
      <c r="X12" s="100"/>
      <c r="Y12" s="100"/>
      <c r="Z12" s="100"/>
      <c r="AA12" s="100"/>
    </row>
    <row r="13" ht="66.75" customHeight="1">
      <c r="A13" s="99" t="s">
        <v>45</v>
      </c>
      <c r="B13" s="101" t="s">
        <v>158</v>
      </c>
      <c r="C13" s="102">
        <v>0.0</v>
      </c>
      <c r="D13" s="101">
        <v>0.0</v>
      </c>
      <c r="E13" s="101" t="s">
        <v>161</v>
      </c>
      <c r="F13" s="101"/>
      <c r="G13" s="101" t="s">
        <v>163</v>
      </c>
      <c r="H13" s="100"/>
      <c r="I13" s="100"/>
      <c r="J13" s="100"/>
      <c r="K13" s="100"/>
      <c r="L13" s="100"/>
      <c r="M13" s="100"/>
      <c r="N13" s="100"/>
      <c r="O13" s="100"/>
      <c r="P13" s="100"/>
      <c r="Q13" s="100"/>
      <c r="R13" s="100"/>
      <c r="S13" s="100"/>
      <c r="T13" s="100"/>
      <c r="U13" s="100"/>
      <c r="V13" s="100"/>
      <c r="W13" s="100"/>
      <c r="X13" s="100"/>
      <c r="Y13" s="100"/>
      <c r="Z13" s="100"/>
      <c r="AA13" s="100"/>
    </row>
    <row r="14" ht="66.75" customHeight="1">
      <c r="A14" s="99" t="s">
        <v>198</v>
      </c>
      <c r="B14" s="103" t="s">
        <v>199</v>
      </c>
      <c r="C14" s="102" t="s">
        <v>43</v>
      </c>
      <c r="D14" s="101" t="s">
        <v>43</v>
      </c>
      <c r="E14" s="101" t="s">
        <v>231</v>
      </c>
      <c r="F14" s="101" t="s">
        <v>232</v>
      </c>
      <c r="G14" s="101" t="s">
        <v>233</v>
      </c>
      <c r="H14" s="100"/>
      <c r="I14" s="100"/>
      <c r="J14" s="100"/>
      <c r="K14" s="100"/>
      <c r="L14" s="100"/>
      <c r="M14" s="100"/>
      <c r="N14" s="100"/>
      <c r="O14" s="100"/>
      <c r="P14" s="100"/>
      <c r="Q14" s="100"/>
      <c r="R14" s="100"/>
      <c r="S14" s="100"/>
      <c r="T14" s="100"/>
      <c r="U14" s="100"/>
      <c r="V14" s="100"/>
      <c r="W14" s="100"/>
      <c r="X14" s="100"/>
      <c r="Y14" s="100"/>
      <c r="Z14" s="100"/>
      <c r="AA14" s="100"/>
    </row>
    <row r="15" ht="66.75" customHeight="1">
      <c r="A15" s="101" t="s">
        <v>205</v>
      </c>
      <c r="B15" s="103" t="s">
        <v>206</v>
      </c>
      <c r="C15" s="99" t="s">
        <v>43</v>
      </c>
      <c r="D15" s="99" t="s">
        <v>43</v>
      </c>
      <c r="E15" s="101" t="s">
        <v>207</v>
      </c>
      <c r="F15" s="101" t="s">
        <v>234</v>
      </c>
      <c r="G15" s="101" t="s">
        <v>235</v>
      </c>
      <c r="H15" s="100"/>
      <c r="I15" s="100"/>
      <c r="J15" s="100"/>
      <c r="K15" s="100"/>
      <c r="L15" s="100"/>
      <c r="M15" s="100"/>
      <c r="N15" s="100"/>
      <c r="O15" s="100"/>
      <c r="P15" s="100"/>
      <c r="Q15" s="100"/>
      <c r="R15" s="100"/>
      <c r="S15" s="100"/>
      <c r="T15" s="100"/>
      <c r="U15" s="100"/>
      <c r="V15" s="100"/>
      <c r="W15" s="100"/>
      <c r="X15" s="100"/>
      <c r="Y15" s="100"/>
      <c r="Z15" s="100"/>
      <c r="AA15" s="100"/>
    </row>
    <row r="16" ht="132.75" customHeight="1">
      <c r="A16" s="101" t="s">
        <v>236</v>
      </c>
      <c r="B16" s="104" t="s">
        <v>237</v>
      </c>
      <c r="C16" s="105" t="s">
        <v>238</v>
      </c>
      <c r="D16" s="105" t="s">
        <v>239</v>
      </c>
      <c r="E16" s="101" t="s">
        <v>240</v>
      </c>
      <c r="F16" s="101" t="s">
        <v>241</v>
      </c>
      <c r="G16" s="101" t="s">
        <v>242</v>
      </c>
      <c r="H16" s="100"/>
      <c r="I16" s="100"/>
      <c r="J16" s="100"/>
      <c r="K16" s="100"/>
      <c r="L16" s="100"/>
      <c r="M16" s="100"/>
      <c r="N16" s="100"/>
      <c r="O16" s="100"/>
      <c r="P16" s="100"/>
      <c r="Q16" s="100"/>
      <c r="R16" s="100"/>
      <c r="S16" s="100"/>
      <c r="T16" s="100"/>
      <c r="U16" s="100"/>
      <c r="V16" s="100"/>
      <c r="W16" s="100"/>
      <c r="X16" s="100"/>
      <c r="Y16" s="100"/>
      <c r="Z16" s="100"/>
      <c r="AA16" s="100"/>
    </row>
    <row r="17" ht="66.75" customHeight="1">
      <c r="A17" s="101" t="s">
        <v>243</v>
      </c>
      <c r="B17" s="103" t="s">
        <v>244</v>
      </c>
      <c r="C17" s="105" t="s">
        <v>245</v>
      </c>
      <c r="D17" s="105" t="s">
        <v>246</v>
      </c>
      <c r="E17" s="101" t="s">
        <v>247</v>
      </c>
      <c r="F17" s="101" t="s">
        <v>248</v>
      </c>
      <c r="G17" s="101" t="s">
        <v>249</v>
      </c>
      <c r="H17" s="100"/>
      <c r="I17" s="100"/>
      <c r="J17" s="100"/>
      <c r="K17" s="100"/>
      <c r="L17" s="100"/>
      <c r="M17" s="100"/>
      <c r="N17" s="100"/>
      <c r="O17" s="100"/>
      <c r="P17" s="100"/>
      <c r="Q17" s="100"/>
      <c r="R17" s="100"/>
      <c r="S17" s="100"/>
      <c r="T17" s="100"/>
      <c r="U17" s="100"/>
      <c r="V17" s="100"/>
      <c r="W17" s="100"/>
      <c r="X17" s="100"/>
      <c r="Y17" s="100"/>
      <c r="Z17" s="100"/>
      <c r="AA17" s="100"/>
    </row>
    <row r="18" ht="66.75" customHeight="1">
      <c r="A18" s="101" t="s">
        <v>250</v>
      </c>
      <c r="B18" s="104" t="s">
        <v>251</v>
      </c>
      <c r="C18" s="106" t="s">
        <v>245</v>
      </c>
      <c r="D18" s="106" t="s">
        <v>246</v>
      </c>
      <c r="E18" s="101" t="s">
        <v>247</v>
      </c>
      <c r="F18" s="101" t="s">
        <v>252</v>
      </c>
      <c r="G18" s="101" t="s">
        <v>253</v>
      </c>
      <c r="H18" s="100"/>
      <c r="I18" s="100"/>
      <c r="J18" s="100"/>
      <c r="K18" s="100"/>
      <c r="L18" s="100"/>
      <c r="M18" s="100"/>
      <c r="N18" s="100"/>
      <c r="O18" s="100"/>
      <c r="P18" s="100"/>
      <c r="Q18" s="100"/>
      <c r="R18" s="100"/>
      <c r="S18" s="100"/>
      <c r="T18" s="100"/>
      <c r="U18" s="100"/>
      <c r="V18" s="100"/>
      <c r="W18" s="100"/>
      <c r="X18" s="100"/>
      <c r="Y18" s="100"/>
      <c r="Z18" s="100"/>
      <c r="AA18" s="100"/>
    </row>
    <row r="19" ht="66.75" customHeight="1">
      <c r="A19" s="101" t="s">
        <v>254</v>
      </c>
      <c r="B19" s="103" t="s">
        <v>255</v>
      </c>
      <c r="C19" s="106" t="s">
        <v>256</v>
      </c>
      <c r="D19" s="101" t="s">
        <v>144</v>
      </c>
      <c r="E19" s="101" t="s">
        <v>257</v>
      </c>
      <c r="F19" s="101" t="s">
        <v>258</v>
      </c>
      <c r="G19" s="101" t="s">
        <v>259</v>
      </c>
      <c r="H19" s="100"/>
      <c r="I19" s="100"/>
      <c r="J19" s="100"/>
      <c r="K19" s="100"/>
      <c r="L19" s="100"/>
      <c r="M19" s="100"/>
      <c r="N19" s="100"/>
      <c r="O19" s="100"/>
      <c r="P19" s="100"/>
      <c r="Q19" s="100"/>
      <c r="R19" s="100"/>
      <c r="S19" s="100"/>
      <c r="T19" s="100"/>
      <c r="U19" s="100"/>
      <c r="V19" s="100"/>
      <c r="W19" s="100"/>
      <c r="X19" s="100"/>
      <c r="Y19" s="100"/>
      <c r="Z19" s="100"/>
      <c r="AA19" s="100"/>
    </row>
    <row r="20" ht="66.75" customHeight="1">
      <c r="A20" s="101" t="s">
        <v>260</v>
      </c>
      <c r="B20" s="103" t="s">
        <v>261</v>
      </c>
      <c r="C20" s="99" t="s">
        <v>43</v>
      </c>
      <c r="D20" s="99" t="s">
        <v>43</v>
      </c>
      <c r="E20" s="101" t="s">
        <v>262</v>
      </c>
      <c r="F20" s="101" t="s">
        <v>263</v>
      </c>
      <c r="G20" s="107" t="s">
        <v>264</v>
      </c>
      <c r="H20" s="100"/>
      <c r="I20" s="100"/>
      <c r="J20" s="100"/>
      <c r="K20" s="100"/>
      <c r="L20" s="100"/>
      <c r="M20" s="100"/>
      <c r="N20" s="100"/>
      <c r="O20" s="100"/>
      <c r="P20" s="100"/>
      <c r="Q20" s="100"/>
      <c r="R20" s="100"/>
      <c r="S20" s="100"/>
      <c r="T20" s="100"/>
      <c r="U20" s="100"/>
      <c r="V20" s="100"/>
      <c r="W20" s="100"/>
      <c r="X20" s="100"/>
      <c r="Y20" s="100"/>
      <c r="Z20" s="100"/>
      <c r="AA20" s="100"/>
    </row>
    <row r="21" ht="35.25" customHeight="1">
      <c r="A21" s="108" t="s">
        <v>265</v>
      </c>
      <c r="B21" s="101" t="s">
        <v>266</v>
      </c>
      <c r="C21" s="101" t="s">
        <v>266</v>
      </c>
      <c r="D21" s="101" t="s">
        <v>266</v>
      </c>
      <c r="E21" s="101" t="s">
        <v>267</v>
      </c>
      <c r="F21" s="99" t="s">
        <v>268</v>
      </c>
      <c r="G21" s="109" t="s">
        <v>269</v>
      </c>
      <c r="H21" s="100"/>
      <c r="I21" s="100"/>
      <c r="J21" s="100"/>
      <c r="K21" s="100"/>
      <c r="L21" s="100"/>
      <c r="M21" s="100"/>
      <c r="N21" s="100"/>
      <c r="O21" s="100"/>
      <c r="P21" s="100"/>
      <c r="Q21" s="100"/>
      <c r="R21" s="100"/>
      <c r="S21" s="100"/>
      <c r="T21" s="100"/>
      <c r="U21" s="100"/>
      <c r="V21" s="100"/>
      <c r="W21" s="100"/>
      <c r="X21" s="100"/>
      <c r="Y21" s="100"/>
      <c r="Z21" s="100"/>
      <c r="AA21" s="100"/>
    </row>
    <row r="22" ht="35.25" customHeight="1">
      <c r="A22" s="108" t="s">
        <v>270</v>
      </c>
      <c r="B22" s="103" t="s">
        <v>271</v>
      </c>
      <c r="C22" s="101" t="s">
        <v>272</v>
      </c>
      <c r="D22" s="101" t="s">
        <v>272</v>
      </c>
      <c r="E22" s="101" t="s">
        <v>273</v>
      </c>
      <c r="F22" s="101" t="s">
        <v>274</v>
      </c>
      <c r="G22" s="110" t="s">
        <v>275</v>
      </c>
      <c r="H22" s="100"/>
      <c r="I22" s="100"/>
      <c r="J22" s="100"/>
      <c r="K22" s="100"/>
      <c r="L22" s="100"/>
      <c r="M22" s="100"/>
      <c r="N22" s="100"/>
      <c r="O22" s="100"/>
      <c r="P22" s="100"/>
      <c r="Q22" s="100"/>
      <c r="R22" s="100"/>
      <c r="S22" s="100"/>
      <c r="T22" s="100"/>
      <c r="U22" s="100"/>
      <c r="V22" s="100"/>
      <c r="W22" s="100"/>
      <c r="X22" s="100"/>
      <c r="Y22" s="100"/>
      <c r="Z22" s="100"/>
      <c r="AA22" s="100"/>
    </row>
    <row r="23" ht="35.25" customHeight="1">
      <c r="A23" s="108" t="s">
        <v>276</v>
      </c>
      <c r="B23" s="103" t="s">
        <v>277</v>
      </c>
      <c r="C23" s="101" t="s">
        <v>43</v>
      </c>
      <c r="D23" s="101" t="s">
        <v>43</v>
      </c>
      <c r="E23" s="101" t="s">
        <v>278</v>
      </c>
      <c r="F23" s="101" t="s">
        <v>279</v>
      </c>
      <c r="G23" s="110" t="s">
        <v>280</v>
      </c>
      <c r="H23" s="100"/>
      <c r="I23" s="100"/>
      <c r="J23" s="100"/>
      <c r="K23" s="100"/>
      <c r="L23" s="100"/>
      <c r="M23" s="100"/>
      <c r="N23" s="100"/>
      <c r="O23" s="100"/>
      <c r="P23" s="100"/>
      <c r="Q23" s="100"/>
      <c r="R23" s="100"/>
      <c r="S23" s="100"/>
      <c r="T23" s="100"/>
      <c r="U23" s="100"/>
      <c r="V23" s="100"/>
      <c r="W23" s="100"/>
      <c r="X23" s="100"/>
      <c r="Y23" s="100"/>
      <c r="Z23" s="100"/>
      <c r="AA23" s="100"/>
    </row>
    <row r="24" ht="35.25" customHeight="1">
      <c r="A24" s="108" t="s">
        <v>281</v>
      </c>
      <c r="B24" s="101" t="s">
        <v>266</v>
      </c>
      <c r="C24" s="101" t="s">
        <v>266</v>
      </c>
      <c r="D24" s="101" t="s">
        <v>266</v>
      </c>
      <c r="E24" s="101" t="s">
        <v>282</v>
      </c>
      <c r="F24" s="101" t="s">
        <v>283</v>
      </c>
      <c r="G24" s="110" t="s">
        <v>144</v>
      </c>
      <c r="H24" s="100"/>
      <c r="I24" s="100"/>
      <c r="J24" s="100"/>
      <c r="K24" s="100"/>
      <c r="L24" s="100"/>
      <c r="M24" s="100"/>
      <c r="N24" s="100"/>
      <c r="O24" s="100"/>
      <c r="P24" s="100"/>
      <c r="Q24" s="100"/>
      <c r="R24" s="100"/>
      <c r="S24" s="100"/>
      <c r="T24" s="100"/>
      <c r="U24" s="100"/>
      <c r="V24" s="100"/>
      <c r="W24" s="100"/>
      <c r="X24" s="100"/>
      <c r="Y24" s="100"/>
      <c r="Z24" s="100"/>
      <c r="AA24" s="100"/>
    </row>
    <row r="25" ht="35.25" customHeight="1">
      <c r="A25" s="108" t="s">
        <v>284</v>
      </c>
      <c r="B25" s="101" t="s">
        <v>266</v>
      </c>
      <c r="C25" s="101" t="s">
        <v>266</v>
      </c>
      <c r="D25" s="101" t="s">
        <v>266</v>
      </c>
      <c r="E25" s="101" t="s">
        <v>282</v>
      </c>
      <c r="F25" s="101" t="s">
        <v>285</v>
      </c>
      <c r="G25" s="110" t="s">
        <v>144</v>
      </c>
      <c r="H25" s="100"/>
      <c r="I25" s="100"/>
      <c r="J25" s="100"/>
      <c r="K25" s="100"/>
      <c r="L25" s="100"/>
      <c r="M25" s="100"/>
      <c r="N25" s="100"/>
      <c r="O25" s="100"/>
      <c r="P25" s="100"/>
      <c r="Q25" s="100"/>
      <c r="R25" s="100"/>
      <c r="S25" s="100"/>
      <c r="T25" s="100"/>
      <c r="U25" s="100"/>
      <c r="V25" s="100"/>
      <c r="W25" s="100"/>
      <c r="X25" s="100"/>
      <c r="Y25" s="100"/>
      <c r="Z25" s="100"/>
      <c r="AA25" s="100"/>
    </row>
    <row r="26" ht="35.25" customHeight="1">
      <c r="A26" s="108" t="s">
        <v>286</v>
      </c>
      <c r="B26" s="101" t="s">
        <v>266</v>
      </c>
      <c r="C26" s="101" t="s">
        <v>266</v>
      </c>
      <c r="D26" s="101" t="s">
        <v>266</v>
      </c>
      <c r="E26" s="101" t="s">
        <v>282</v>
      </c>
      <c r="F26" s="101" t="s">
        <v>285</v>
      </c>
      <c r="G26" s="110" t="s">
        <v>144</v>
      </c>
      <c r="H26" s="100"/>
      <c r="I26" s="100"/>
      <c r="J26" s="100"/>
      <c r="K26" s="100"/>
      <c r="L26" s="100"/>
      <c r="M26" s="100"/>
      <c r="N26" s="100"/>
      <c r="O26" s="100"/>
      <c r="P26" s="100"/>
      <c r="Q26" s="100"/>
      <c r="R26" s="100"/>
      <c r="S26" s="100"/>
      <c r="T26" s="100"/>
      <c r="U26" s="100"/>
      <c r="V26" s="100"/>
      <c r="W26" s="100"/>
      <c r="X26" s="100"/>
      <c r="Y26" s="100"/>
      <c r="Z26" s="100"/>
      <c r="AA26" s="100"/>
    </row>
    <row r="27" ht="15.75" customHeight="1">
      <c r="A27" s="111"/>
      <c r="B27" s="7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row>
    <row r="28" ht="15.75" customHeight="1">
      <c r="A28" s="112"/>
      <c r="B28" s="7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row>
    <row r="29" ht="15.75" customHeight="1">
      <c r="A29" s="111"/>
      <c r="B29" s="7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row>
    <row r="30" ht="15.75" customHeight="1">
      <c r="A30" s="111"/>
      <c r="B30" s="7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row>
    <row r="31" ht="15.75" customHeight="1">
      <c r="A31" s="111"/>
      <c r="B31" s="7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row>
    <row r="32" ht="15.75" customHeight="1">
      <c r="A32" s="113"/>
      <c r="B32" s="7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c r="AA32" s="100"/>
    </row>
    <row r="33" ht="15.75" customHeight="1">
      <c r="A33" s="113"/>
      <c r="B33" s="7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row>
    <row r="34" ht="15.75" customHeight="1">
      <c r="A34" s="113"/>
      <c r="B34" s="7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c r="AA34" s="100"/>
    </row>
    <row r="35" ht="15.75" customHeight="1">
      <c r="A35" s="113"/>
      <c r="B35" s="7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c r="AA35" s="100"/>
    </row>
    <row r="36" ht="15.75" customHeight="1">
      <c r="A36" s="113"/>
      <c r="B36" s="7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c r="AA36" s="100"/>
    </row>
    <row r="37" ht="15.75" customHeight="1">
      <c r="A37" s="113"/>
      <c r="B37" s="7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c r="AA37" s="100"/>
    </row>
    <row r="38" ht="15.75" customHeight="1">
      <c r="A38" s="113"/>
      <c r="B38" s="7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row>
    <row r="39" ht="15.75" customHeight="1">
      <c r="A39" s="113"/>
      <c r="B39" s="7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row>
    <row r="40" ht="15.75" customHeight="1">
      <c r="A40" s="113"/>
      <c r="B40" s="7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c r="AA40" s="100"/>
    </row>
    <row r="41" ht="15.75" customHeight="1">
      <c r="A41" s="113"/>
      <c r="B41" s="7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c r="AA41" s="100"/>
    </row>
    <row r="42" ht="15.75" customHeight="1">
      <c r="A42" s="113"/>
      <c r="B42" s="7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row>
    <row r="43" ht="15.75" customHeight="1">
      <c r="A43" s="113"/>
      <c r="B43" s="7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row>
    <row r="44" ht="15.75" customHeight="1">
      <c r="A44" s="113"/>
      <c r="B44" s="7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00"/>
    </row>
    <row r="45" ht="15.75" customHeight="1">
      <c r="A45" s="113"/>
      <c r="B45" s="7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c r="AA45" s="100"/>
    </row>
    <row r="46" ht="15.75" customHeight="1">
      <c r="A46" s="113"/>
      <c r="B46" s="7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c r="AA46" s="100"/>
    </row>
    <row r="47" ht="15.75" customHeight="1">
      <c r="A47" s="113"/>
      <c r="B47" s="7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c r="AA47" s="100"/>
    </row>
    <row r="48" ht="15.75" customHeight="1">
      <c r="A48" s="113"/>
      <c r="B48" s="7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c r="AA48" s="100"/>
    </row>
    <row r="49" ht="15.75" customHeight="1">
      <c r="A49" s="113"/>
      <c r="B49" s="7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c r="AA49" s="100"/>
    </row>
    <row r="50" ht="15.75" customHeight="1">
      <c r="A50" s="113"/>
      <c r="B50" s="7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row>
    <row r="51" ht="15.75" customHeight="1">
      <c r="A51" s="113"/>
      <c r="B51" s="7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c r="AA51" s="100"/>
    </row>
    <row r="52" ht="15.75" customHeight="1">
      <c r="A52" s="113"/>
      <c r="B52" s="7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c r="AA52" s="100"/>
    </row>
    <row r="53" ht="15.75" customHeight="1">
      <c r="A53" s="113"/>
      <c r="B53" s="7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row>
    <row r="54" ht="15.75" customHeight="1">
      <c r="A54" s="113"/>
      <c r="B54" s="7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c r="AA54" s="100"/>
    </row>
    <row r="55" ht="15.75" customHeight="1">
      <c r="A55" s="113"/>
      <c r="B55" s="7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row>
    <row r="56" ht="15.75" customHeight="1">
      <c r="A56" s="113"/>
      <c r="B56" s="7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c r="AA56" s="100"/>
    </row>
    <row r="57" ht="15.75" customHeight="1">
      <c r="A57" s="113"/>
      <c r="B57" s="7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c r="AA57" s="100"/>
    </row>
    <row r="58" ht="15.75" customHeight="1">
      <c r="A58" s="113"/>
      <c r="B58" s="7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c r="AA58" s="100"/>
    </row>
    <row r="59" ht="15.75" customHeight="1">
      <c r="A59" s="113"/>
      <c r="B59" s="7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row>
    <row r="60" ht="15.75" customHeight="1">
      <c r="A60" s="113"/>
      <c r="B60" s="7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c r="AA60" s="100"/>
    </row>
    <row r="61" ht="15.75" customHeight="1">
      <c r="A61" s="113"/>
      <c r="B61" s="7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c r="AA61" s="100"/>
    </row>
    <row r="62" ht="15.75" customHeight="1">
      <c r="A62" s="113"/>
      <c r="B62" s="7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row>
    <row r="63" ht="15.75" customHeight="1">
      <c r="A63" s="113"/>
      <c r="B63" s="7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c r="AA63" s="100"/>
    </row>
    <row r="64" ht="15.75" customHeight="1">
      <c r="A64" s="113"/>
      <c r="B64" s="7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c r="AA64" s="100"/>
    </row>
    <row r="65" ht="15.75" customHeight="1">
      <c r="A65" s="113"/>
      <c r="B65" s="7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row>
    <row r="66" ht="15.75" customHeight="1">
      <c r="A66" s="113"/>
      <c r="B66" s="7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c r="AA66" s="100"/>
    </row>
    <row r="67" ht="15.75" customHeight="1">
      <c r="A67" s="113"/>
      <c r="B67" s="7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c r="AA67" s="100"/>
    </row>
    <row r="68" ht="15.75" customHeight="1">
      <c r="A68" s="113"/>
      <c r="B68" s="7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row>
    <row r="69" ht="15.75" customHeight="1">
      <c r="A69" s="113"/>
      <c r="B69" s="7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c r="AA69" s="100"/>
    </row>
    <row r="70" ht="15.75" customHeight="1">
      <c r="A70" s="113"/>
      <c r="B70" s="7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row>
    <row r="71" ht="15.75" customHeight="1">
      <c r="A71" s="113"/>
      <c r="B71" s="7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c r="AA71" s="100"/>
    </row>
    <row r="72" ht="15.75" customHeight="1">
      <c r="A72" s="113"/>
      <c r="B72" s="7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c r="AA72" s="100"/>
    </row>
    <row r="73" ht="15.75" customHeight="1">
      <c r="A73" s="113"/>
      <c r="B73" s="7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c r="AA73" s="100"/>
    </row>
    <row r="74" ht="15.75" customHeight="1">
      <c r="A74" s="113"/>
      <c r="B74" s="7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c r="AA74" s="100"/>
    </row>
    <row r="75" ht="15.75" customHeight="1">
      <c r="A75" s="113"/>
      <c r="B75" s="7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row>
    <row r="76" ht="15.75" customHeight="1">
      <c r="A76" s="113"/>
      <c r="B76" s="7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row>
    <row r="77" ht="15.75" customHeight="1">
      <c r="A77" s="113"/>
      <c r="B77" s="7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c r="AA77" s="100"/>
    </row>
    <row r="78" ht="15.75" customHeight="1">
      <c r="A78" s="113"/>
      <c r="B78" s="7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c r="AA78" s="100"/>
    </row>
    <row r="79" ht="15.75" customHeight="1">
      <c r="A79" s="113"/>
      <c r="B79" s="7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c r="AA79" s="100"/>
    </row>
    <row r="80" ht="15.75" customHeight="1">
      <c r="A80" s="113"/>
      <c r="B80" s="7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row>
    <row r="81" ht="15.75" customHeight="1">
      <c r="A81" s="113"/>
      <c r="B81" s="7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row>
    <row r="82" ht="15.75" customHeight="1">
      <c r="A82" s="113"/>
      <c r="B82" s="7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row>
    <row r="83" ht="15.75" customHeight="1">
      <c r="A83" s="113"/>
      <c r="B83" s="7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row>
    <row r="84" ht="15.75" customHeight="1">
      <c r="A84" s="113"/>
      <c r="B84" s="7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row>
    <row r="85" ht="15.75" customHeight="1">
      <c r="A85" s="113"/>
      <c r="B85" s="7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row>
    <row r="86" ht="15.75" customHeight="1">
      <c r="A86" s="113"/>
      <c r="B86" s="7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row>
    <row r="87" ht="15.75" customHeight="1">
      <c r="A87" s="113"/>
      <c r="B87" s="7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row>
    <row r="88" ht="15.75" customHeight="1">
      <c r="A88" s="113"/>
      <c r="B88" s="7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row>
    <row r="89" ht="15.75" customHeight="1">
      <c r="A89" s="113"/>
      <c r="B89" s="7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row>
    <row r="90" ht="15.75" customHeight="1">
      <c r="A90" s="113"/>
      <c r="B90" s="7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row>
    <row r="91" ht="15.75" customHeight="1">
      <c r="A91" s="113"/>
      <c r="B91" s="7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row>
    <row r="92" ht="15.75" customHeight="1">
      <c r="A92" s="113"/>
      <c r="B92" s="7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row>
    <row r="93" ht="15.75" customHeight="1">
      <c r="A93" s="113"/>
      <c r="B93" s="7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row>
    <row r="94" ht="15.75" customHeight="1">
      <c r="A94" s="113"/>
      <c r="B94" s="7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row>
    <row r="95" ht="15.75" customHeight="1">
      <c r="A95" s="113"/>
      <c r="B95" s="7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row>
    <row r="96" ht="15.75" customHeight="1">
      <c r="A96" s="113"/>
      <c r="B96" s="7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row>
    <row r="97" ht="15.75" customHeight="1">
      <c r="A97" s="113"/>
      <c r="B97" s="7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row>
    <row r="98" ht="15.75" customHeight="1">
      <c r="A98" s="113"/>
      <c r="B98" s="7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row>
    <row r="99" ht="15.75" customHeight="1">
      <c r="A99" s="113"/>
      <c r="B99" s="7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row>
    <row r="100" ht="15.75" customHeight="1">
      <c r="A100" s="113"/>
      <c r="B100" s="7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row>
    <row r="101" ht="15.75" customHeight="1">
      <c r="A101" s="113"/>
      <c r="B101" s="7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row>
    <row r="102" ht="15.75" customHeight="1">
      <c r="A102" s="113"/>
      <c r="B102" s="7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row>
    <row r="103" ht="15.75" customHeight="1">
      <c r="A103" s="113"/>
      <c r="B103" s="7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row>
    <row r="104" ht="15.75" customHeight="1">
      <c r="A104" s="113"/>
      <c r="B104" s="7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row>
    <row r="105" ht="15.75" customHeight="1">
      <c r="A105" s="113"/>
      <c r="B105" s="7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row>
    <row r="106" ht="15.75" customHeight="1">
      <c r="A106" s="113"/>
      <c r="B106" s="7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row>
    <row r="107" ht="15.75" customHeight="1">
      <c r="A107" s="113"/>
      <c r="B107" s="7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row>
    <row r="108" ht="15.75" customHeight="1">
      <c r="A108" s="100"/>
      <c r="B108" s="114"/>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row>
    <row r="109" ht="15.75" customHeight="1">
      <c r="A109" s="100"/>
      <c r="B109" s="114"/>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row>
    <row r="110" ht="15.75" customHeight="1">
      <c r="A110" s="100"/>
      <c r="B110" s="114"/>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row>
    <row r="111" ht="15.75" customHeight="1">
      <c r="A111" s="100"/>
      <c r="B111" s="114"/>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row>
    <row r="112" ht="15.75" customHeight="1">
      <c r="A112" s="100"/>
      <c r="B112" s="114"/>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row>
    <row r="113" ht="15.75" customHeight="1">
      <c r="A113" s="100"/>
      <c r="B113" s="114"/>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row>
    <row r="114" ht="15.75" customHeight="1">
      <c r="A114" s="100"/>
      <c r="B114" s="114"/>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row>
    <row r="115" ht="15.75" customHeight="1">
      <c r="A115" s="100"/>
      <c r="B115" s="114"/>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row>
    <row r="116" ht="15.75" customHeight="1">
      <c r="A116" s="100"/>
      <c r="B116" s="114"/>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row>
    <row r="117" ht="15.75" customHeight="1">
      <c r="A117" s="100"/>
      <c r="B117" s="114"/>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row>
    <row r="118" ht="15.75" customHeight="1">
      <c r="A118" s="100"/>
      <c r="B118" s="114"/>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row>
    <row r="119" ht="15.75" customHeight="1">
      <c r="A119" s="100"/>
      <c r="B119" s="114"/>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row>
    <row r="120" ht="15.75" customHeight="1">
      <c r="A120" s="100"/>
      <c r="B120" s="114"/>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row>
    <row r="121" ht="15.75" customHeight="1">
      <c r="A121" s="100"/>
      <c r="B121" s="114"/>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row>
    <row r="122" ht="15.75" customHeight="1">
      <c r="A122" s="100"/>
      <c r="B122" s="114"/>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row>
    <row r="123" ht="15.75" customHeight="1">
      <c r="A123" s="100"/>
      <c r="B123" s="114"/>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row>
    <row r="124" ht="15.75" customHeight="1">
      <c r="A124" s="100"/>
      <c r="B124" s="114"/>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row>
    <row r="125" ht="15.75" customHeight="1">
      <c r="A125" s="100"/>
      <c r="B125" s="114"/>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row>
    <row r="126" ht="15.75" customHeight="1">
      <c r="A126" s="100"/>
      <c r="B126" s="114"/>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row>
    <row r="127" ht="15.75" customHeight="1">
      <c r="A127" s="100"/>
      <c r="B127" s="114"/>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row>
    <row r="128" ht="15.75" customHeight="1">
      <c r="A128" s="100"/>
      <c r="B128" s="114"/>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row>
    <row r="129" ht="15.75" customHeight="1">
      <c r="A129" s="100"/>
      <c r="B129" s="114"/>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row>
    <row r="130" ht="15.75" customHeight="1">
      <c r="A130" s="100"/>
      <c r="B130" s="114"/>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row>
    <row r="131" ht="15.75" customHeight="1">
      <c r="A131" s="100"/>
      <c r="B131" s="114"/>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row>
    <row r="132" ht="15.75" customHeight="1">
      <c r="A132" s="100"/>
      <c r="B132" s="114"/>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row>
    <row r="133" ht="15.75" customHeight="1">
      <c r="A133" s="100"/>
      <c r="B133" s="114"/>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row>
    <row r="134" ht="15.75" customHeight="1">
      <c r="A134" s="100"/>
      <c r="B134" s="114"/>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row>
    <row r="135" ht="15.75" customHeight="1">
      <c r="A135" s="100"/>
      <c r="B135" s="114"/>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row>
    <row r="136" ht="15.75" customHeight="1">
      <c r="A136" s="100"/>
      <c r="B136" s="114"/>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row>
    <row r="137" ht="15.75" customHeight="1">
      <c r="A137" s="100"/>
      <c r="B137" s="114"/>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row>
    <row r="138" ht="15.75" customHeight="1">
      <c r="A138" s="100"/>
      <c r="B138" s="114"/>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row>
    <row r="139" ht="15.75" customHeight="1">
      <c r="A139" s="100"/>
      <c r="B139" s="114"/>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row>
    <row r="140" ht="15.75" customHeight="1">
      <c r="A140" s="100"/>
      <c r="B140" s="114"/>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row>
    <row r="141" ht="15.75" customHeight="1">
      <c r="A141" s="100"/>
      <c r="B141" s="114"/>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row>
    <row r="142" ht="15.75" customHeight="1">
      <c r="A142" s="100"/>
      <c r="B142" s="114"/>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row>
    <row r="143" ht="15.75" customHeight="1">
      <c r="A143" s="100"/>
      <c r="B143" s="114"/>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row>
    <row r="144" ht="15.75" customHeight="1">
      <c r="A144" s="100"/>
      <c r="B144" s="114"/>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row>
    <row r="145" ht="15.75" customHeight="1">
      <c r="A145" s="100"/>
      <c r="B145" s="114"/>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row>
    <row r="146" ht="15.75" customHeight="1">
      <c r="A146" s="100"/>
      <c r="B146" s="114"/>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row>
    <row r="147" ht="15.75" customHeight="1">
      <c r="A147" s="100"/>
      <c r="B147" s="114"/>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row>
    <row r="148" ht="15.75" customHeight="1">
      <c r="A148" s="100"/>
      <c r="B148" s="114"/>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row>
    <row r="149" ht="15.75" customHeight="1">
      <c r="A149" s="100"/>
      <c r="B149" s="114"/>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row>
    <row r="150" ht="15.75" customHeight="1">
      <c r="A150" s="100"/>
      <c r="B150" s="114"/>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row>
    <row r="151" ht="15.75" customHeight="1">
      <c r="A151" s="100"/>
      <c r="B151" s="114"/>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row>
    <row r="152" ht="15.75" customHeight="1">
      <c r="A152" s="100"/>
      <c r="B152" s="114"/>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row>
    <row r="153" ht="15.75" customHeight="1">
      <c r="A153" s="100"/>
      <c r="B153" s="114"/>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row>
    <row r="154" ht="15.75" customHeight="1">
      <c r="A154" s="100"/>
      <c r="B154" s="114"/>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row>
    <row r="155" ht="15.75" customHeight="1">
      <c r="A155" s="100"/>
      <c r="B155" s="114"/>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row>
    <row r="156" ht="15.75" customHeight="1">
      <c r="A156" s="100"/>
      <c r="B156" s="114"/>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row>
    <row r="157" ht="15.75" customHeight="1">
      <c r="A157" s="100"/>
      <c r="B157" s="114"/>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row>
    <row r="158" ht="15.75" customHeight="1">
      <c r="A158" s="100"/>
      <c r="B158" s="114"/>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row>
    <row r="159" ht="15.75" customHeight="1">
      <c r="A159" s="100"/>
      <c r="B159" s="114"/>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row>
    <row r="160" ht="15.75" customHeight="1">
      <c r="A160" s="100"/>
      <c r="B160" s="114"/>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row>
    <row r="161" ht="15.75" customHeight="1">
      <c r="A161" s="100"/>
      <c r="B161" s="114"/>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row>
    <row r="162" ht="15.75" customHeight="1">
      <c r="A162" s="100"/>
      <c r="B162" s="114"/>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row>
    <row r="163" ht="15.75" customHeight="1">
      <c r="A163" s="100"/>
      <c r="B163" s="114"/>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row>
    <row r="164" ht="15.75" customHeight="1">
      <c r="A164" s="100"/>
      <c r="B164" s="114"/>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row>
    <row r="165" ht="15.75" customHeight="1">
      <c r="A165" s="100"/>
      <c r="B165" s="114"/>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row>
    <row r="166" ht="15.75" customHeight="1">
      <c r="A166" s="100"/>
      <c r="B166" s="114"/>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row>
    <row r="167" ht="15.75" customHeight="1">
      <c r="A167" s="100"/>
      <c r="B167" s="114"/>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row>
    <row r="168" ht="15.75" customHeight="1">
      <c r="A168" s="100"/>
      <c r="B168" s="114"/>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row>
    <row r="169" ht="15.75" customHeight="1">
      <c r="A169" s="100"/>
      <c r="B169" s="114"/>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row>
    <row r="170" ht="15.75" customHeight="1">
      <c r="A170" s="100"/>
      <c r="B170" s="114"/>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row>
    <row r="171" ht="15.75" customHeight="1">
      <c r="A171" s="100"/>
      <c r="B171" s="114"/>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row>
    <row r="172" ht="15.75" customHeight="1">
      <c r="A172" s="100"/>
      <c r="B172" s="114"/>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row>
    <row r="173" ht="15.75" customHeight="1">
      <c r="A173" s="100"/>
      <c r="B173" s="114"/>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row>
    <row r="174" ht="15.75" customHeight="1">
      <c r="A174" s="100"/>
      <c r="B174" s="114"/>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row>
    <row r="175" ht="15.75" customHeight="1">
      <c r="A175" s="100"/>
      <c r="B175" s="114"/>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row>
    <row r="176" ht="15.75" customHeight="1">
      <c r="A176" s="100"/>
      <c r="B176" s="114"/>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row>
    <row r="177" ht="15.75" customHeight="1">
      <c r="A177" s="100"/>
      <c r="B177" s="114"/>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row>
    <row r="178" ht="15.75" customHeight="1">
      <c r="A178" s="100"/>
      <c r="B178" s="114"/>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row>
    <row r="179" ht="15.75" customHeight="1">
      <c r="A179" s="100"/>
      <c r="B179" s="114"/>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row>
    <row r="180" ht="15.75" customHeight="1">
      <c r="A180" s="100"/>
      <c r="B180" s="114"/>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row>
    <row r="181" ht="15.75" customHeight="1">
      <c r="A181" s="100"/>
      <c r="B181" s="114"/>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row>
    <row r="182" ht="15.75" customHeight="1">
      <c r="A182" s="100"/>
      <c r="B182" s="114"/>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row>
    <row r="183" ht="15.75" customHeight="1">
      <c r="A183" s="100"/>
      <c r="B183" s="114"/>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row>
    <row r="184" ht="15.75" customHeight="1">
      <c r="A184" s="100"/>
      <c r="B184" s="114"/>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row>
    <row r="185" ht="15.75" customHeight="1">
      <c r="A185" s="100"/>
      <c r="B185" s="114"/>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row>
    <row r="186" ht="15.75" customHeight="1">
      <c r="A186" s="100"/>
      <c r="B186" s="114"/>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row>
    <row r="187" ht="15.75" customHeight="1">
      <c r="A187" s="100"/>
      <c r="B187" s="114"/>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row>
    <row r="188" ht="15.75" customHeight="1">
      <c r="A188" s="100"/>
      <c r="B188" s="114"/>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row>
    <row r="189" ht="15.75" customHeight="1">
      <c r="A189" s="100"/>
      <c r="B189" s="114"/>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row>
    <row r="190" ht="15.75" customHeight="1">
      <c r="A190" s="100"/>
      <c r="B190" s="114"/>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row>
    <row r="191" ht="15.75" customHeight="1">
      <c r="A191" s="100"/>
      <c r="B191" s="114"/>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row>
    <row r="192" ht="15.75" customHeight="1">
      <c r="A192" s="100"/>
      <c r="B192" s="114"/>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row>
    <row r="193" ht="15.75" customHeight="1">
      <c r="A193" s="100"/>
      <c r="B193" s="114"/>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row>
    <row r="194" ht="15.75" customHeight="1">
      <c r="A194" s="100"/>
      <c r="B194" s="114"/>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row>
    <row r="195" ht="15.75" customHeight="1">
      <c r="A195" s="100"/>
      <c r="B195" s="114"/>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row>
    <row r="196" ht="15.75" customHeight="1">
      <c r="A196" s="100"/>
      <c r="B196" s="114"/>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row>
    <row r="197" ht="15.75" customHeight="1">
      <c r="A197" s="100"/>
      <c r="B197" s="114"/>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row>
    <row r="198" ht="15.75" customHeight="1">
      <c r="A198" s="100"/>
      <c r="B198" s="114"/>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row>
    <row r="199" ht="15.75" customHeight="1">
      <c r="A199" s="100"/>
      <c r="B199" s="114"/>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row>
    <row r="200" ht="15.75" customHeight="1">
      <c r="A200" s="100"/>
      <c r="B200" s="114"/>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row>
    <row r="201" ht="15.75" customHeight="1">
      <c r="A201" s="100"/>
      <c r="B201" s="114"/>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row>
    <row r="202" ht="15.75" customHeight="1">
      <c r="A202" s="100"/>
      <c r="B202" s="114"/>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row>
    <row r="203" ht="15.75" customHeight="1">
      <c r="A203" s="100"/>
      <c r="B203" s="114"/>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row>
    <row r="204" ht="15.75" customHeight="1">
      <c r="A204" s="100"/>
      <c r="B204" s="114"/>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row>
    <row r="205" ht="15.75" customHeight="1">
      <c r="A205" s="100"/>
      <c r="B205" s="114"/>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row>
    <row r="206" ht="15.75" customHeight="1">
      <c r="A206" s="100"/>
      <c r="B206" s="114"/>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row>
    <row r="207" ht="15.75" customHeight="1">
      <c r="A207" s="100"/>
      <c r="B207" s="114"/>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row>
    <row r="208" ht="15.75" customHeight="1">
      <c r="A208" s="100"/>
      <c r="B208" s="114"/>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row>
    <row r="209" ht="15.75" customHeight="1">
      <c r="A209" s="100"/>
      <c r="B209" s="114"/>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row>
    <row r="210" ht="15.75" customHeight="1">
      <c r="A210" s="100"/>
      <c r="B210" s="114"/>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row>
    <row r="211" ht="15.75" customHeight="1">
      <c r="A211" s="100"/>
      <c r="B211" s="114"/>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row>
    <row r="212" ht="15.75" customHeight="1">
      <c r="A212" s="100"/>
      <c r="B212" s="114"/>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row>
    <row r="213" ht="15.75" customHeight="1">
      <c r="A213" s="100"/>
      <c r="B213" s="114"/>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row>
    <row r="214" ht="15.75" customHeight="1">
      <c r="A214" s="100"/>
      <c r="B214" s="114"/>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row>
    <row r="215" ht="15.75" customHeight="1">
      <c r="A215" s="100"/>
      <c r="B215" s="114"/>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row>
    <row r="216" ht="15.75" customHeight="1">
      <c r="A216" s="100"/>
      <c r="B216" s="114"/>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row>
    <row r="217" ht="15.75" customHeight="1">
      <c r="A217" s="100"/>
      <c r="B217" s="114"/>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row>
    <row r="218" ht="15.75" customHeight="1">
      <c r="A218" s="100"/>
      <c r="B218" s="114"/>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row>
    <row r="219" ht="15.75" customHeight="1">
      <c r="A219" s="100"/>
      <c r="B219" s="114"/>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row>
    <row r="220" ht="15.75" customHeight="1">
      <c r="A220" s="100"/>
      <c r="B220" s="114"/>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row>
    <row r="221" ht="15.75" customHeight="1">
      <c r="A221" s="100"/>
      <c r="B221" s="114"/>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row>
    <row r="222" ht="15.75" customHeight="1">
      <c r="A222" s="100"/>
      <c r="B222" s="114"/>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row>
    <row r="223" ht="15.75" customHeight="1">
      <c r="A223" s="100"/>
      <c r="B223" s="114"/>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row>
    <row r="224" ht="15.75" customHeight="1">
      <c r="A224" s="100"/>
      <c r="B224" s="114"/>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row>
    <row r="225" ht="15.75" customHeight="1">
      <c r="A225" s="100"/>
      <c r="B225" s="114"/>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row>
    <row r="226" ht="15.75" customHeight="1">
      <c r="A226" s="100"/>
      <c r="B226" s="114"/>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row>
    <row r="227" ht="15.75" customHeight="1">
      <c r="A227" s="100"/>
      <c r="B227" s="114"/>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row>
    <row r="228" ht="15.75" customHeight="1">
      <c r="A228" s="100"/>
      <c r="B228" s="114"/>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row>
    <row r="229" ht="15.75" customHeight="1">
      <c r="A229" s="100"/>
      <c r="B229" s="114"/>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row>
    <row r="230" ht="15.75" customHeight="1">
      <c r="A230" s="100"/>
      <c r="B230" s="114"/>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row>
    <row r="231" ht="15.75" customHeight="1">
      <c r="A231" s="100"/>
      <c r="B231" s="114"/>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row>
    <row r="232" ht="15.75" customHeight="1">
      <c r="A232" s="100"/>
      <c r="B232" s="114"/>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row>
    <row r="233" ht="15.75" customHeight="1">
      <c r="A233" s="100"/>
      <c r="B233" s="114"/>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row>
    <row r="234" ht="15.75" customHeight="1">
      <c r="A234" s="100"/>
      <c r="B234" s="114"/>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row>
    <row r="235" ht="15.75" customHeight="1">
      <c r="A235" s="100"/>
      <c r="B235" s="114"/>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row>
    <row r="236" ht="15.75" customHeight="1">
      <c r="A236" s="100"/>
      <c r="B236" s="114"/>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row>
    <row r="237" ht="15.75" customHeight="1">
      <c r="A237" s="100"/>
      <c r="B237" s="114"/>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row>
    <row r="238" ht="15.75" customHeight="1">
      <c r="A238" s="100"/>
      <c r="B238" s="114"/>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row>
    <row r="239" ht="15.75" customHeight="1">
      <c r="A239" s="100"/>
      <c r="B239" s="114"/>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row>
    <row r="240" ht="15.75" customHeight="1">
      <c r="A240" s="100"/>
      <c r="B240" s="114"/>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row>
    <row r="241" ht="15.75" customHeight="1">
      <c r="A241" s="100"/>
      <c r="B241" s="114"/>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row>
    <row r="242" ht="15.75" customHeight="1">
      <c r="A242" s="56"/>
      <c r="B242" s="55"/>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row>
    <row r="243" ht="15.75" customHeight="1">
      <c r="A243" s="56"/>
      <c r="B243" s="55"/>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row>
    <row r="244" ht="15.75" customHeight="1">
      <c r="A244" s="56"/>
      <c r="B244" s="55"/>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row>
    <row r="245" ht="15.75" customHeight="1">
      <c r="A245" s="56"/>
      <c r="B245" s="55"/>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row>
    <row r="246" ht="15.75" customHeight="1">
      <c r="A246" s="56"/>
      <c r="B246" s="55"/>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row>
    <row r="247" ht="15.75" customHeight="1">
      <c r="A247" s="56"/>
      <c r="B247" s="55"/>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row>
    <row r="248" ht="15.75" customHeight="1">
      <c r="A248" s="56"/>
      <c r="B248" s="55"/>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row>
    <row r="249" ht="15.75" customHeight="1">
      <c r="A249" s="56"/>
      <c r="B249" s="55"/>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row>
    <row r="250" ht="15.75" customHeight="1">
      <c r="A250" s="56"/>
      <c r="B250" s="55"/>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row>
    <row r="251" ht="15.75" customHeight="1">
      <c r="A251" s="56"/>
      <c r="B251" s="55"/>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row>
    <row r="252" ht="15.75" customHeight="1">
      <c r="A252" s="56"/>
      <c r="B252" s="55"/>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row>
    <row r="253" ht="15.75" customHeight="1">
      <c r="A253" s="56"/>
      <c r="B253" s="55"/>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row>
    <row r="254" ht="15.75" customHeight="1">
      <c r="A254" s="56"/>
      <c r="B254" s="55"/>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row>
    <row r="255" ht="15.75" customHeight="1">
      <c r="A255" s="56"/>
      <c r="B255" s="55"/>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row>
    <row r="256" ht="15.75" customHeight="1">
      <c r="A256" s="56"/>
      <c r="B256" s="55"/>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row>
    <row r="257" ht="15.75" customHeight="1">
      <c r="A257" s="56"/>
      <c r="B257" s="55"/>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row>
    <row r="258" ht="15.75" customHeight="1">
      <c r="A258" s="56"/>
      <c r="B258" s="55"/>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row>
    <row r="259" ht="15.75" customHeight="1">
      <c r="A259" s="56"/>
      <c r="B259" s="55"/>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row>
    <row r="260" ht="15.75" customHeight="1">
      <c r="A260" s="56"/>
      <c r="B260" s="55"/>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row>
    <row r="261" ht="15.75" customHeight="1">
      <c r="A261" s="56"/>
      <c r="B261" s="55"/>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row>
    <row r="262" ht="15.75" customHeight="1">
      <c r="A262" s="56"/>
      <c r="B262" s="55"/>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row>
    <row r="263" ht="15.75" customHeight="1">
      <c r="A263" s="56"/>
      <c r="B263" s="55"/>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row>
    <row r="264" ht="15.75" customHeight="1">
      <c r="A264" s="56"/>
      <c r="B264" s="55"/>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row>
    <row r="265" ht="15.75" customHeight="1">
      <c r="A265" s="56"/>
      <c r="B265" s="55"/>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row>
    <row r="266" ht="15.75" customHeight="1">
      <c r="A266" s="56"/>
      <c r="B266" s="55"/>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row>
    <row r="267" ht="15.75" customHeight="1">
      <c r="A267" s="56"/>
      <c r="B267" s="55"/>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row>
    <row r="268" ht="15.75" customHeight="1">
      <c r="A268" s="56"/>
      <c r="B268" s="55"/>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row>
    <row r="269" ht="15.75" customHeight="1">
      <c r="A269" s="56"/>
      <c r="B269" s="55"/>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row>
    <row r="270" ht="15.75" customHeight="1">
      <c r="A270" s="56"/>
      <c r="B270" s="55"/>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row>
    <row r="271" ht="15.75" customHeight="1">
      <c r="A271" s="56"/>
      <c r="B271" s="55"/>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row>
    <row r="272" ht="15.75" customHeight="1">
      <c r="A272" s="56"/>
      <c r="B272" s="55"/>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row>
    <row r="273" ht="15.75" customHeight="1">
      <c r="A273" s="56"/>
      <c r="B273" s="55"/>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row>
    <row r="274" ht="15.75" customHeight="1">
      <c r="A274" s="56"/>
      <c r="B274" s="55"/>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row>
    <row r="275" ht="15.75" customHeight="1">
      <c r="A275" s="56"/>
      <c r="B275" s="55"/>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row>
    <row r="276" ht="15.75" customHeight="1">
      <c r="A276" s="56"/>
      <c r="B276" s="55"/>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row>
    <row r="277" ht="15.75" customHeight="1">
      <c r="A277" s="56"/>
      <c r="B277" s="55"/>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row>
    <row r="278" ht="15.75" customHeight="1">
      <c r="A278" s="56"/>
      <c r="B278" s="55"/>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row>
    <row r="279" ht="15.75" customHeight="1">
      <c r="A279" s="56"/>
      <c r="B279" s="55"/>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row>
    <row r="280" ht="15.75" customHeight="1">
      <c r="A280" s="56"/>
      <c r="B280" s="55"/>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row>
    <row r="281" ht="15.75" customHeight="1">
      <c r="A281" s="56"/>
      <c r="B281" s="55"/>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row>
    <row r="282" ht="15.75" customHeight="1">
      <c r="A282" s="56"/>
      <c r="B282" s="55"/>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row>
    <row r="283" ht="15.75" customHeight="1">
      <c r="A283" s="56"/>
      <c r="B283" s="55"/>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row>
    <row r="284" ht="15.75" customHeight="1">
      <c r="A284" s="56"/>
      <c r="B284" s="55"/>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row>
    <row r="285" ht="15.75" customHeight="1">
      <c r="A285" s="56"/>
      <c r="B285" s="55"/>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row>
    <row r="286" ht="15.75" customHeight="1">
      <c r="A286" s="56"/>
      <c r="B286" s="55"/>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row>
    <row r="287" ht="15.75" customHeight="1">
      <c r="A287" s="56"/>
      <c r="B287" s="55"/>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row>
    <row r="288" ht="15.75" customHeight="1">
      <c r="A288" s="56"/>
      <c r="B288" s="55"/>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row>
    <row r="289" ht="15.75" customHeight="1">
      <c r="A289" s="56"/>
      <c r="B289" s="55"/>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row>
    <row r="290" ht="15.75" customHeight="1">
      <c r="A290" s="56"/>
      <c r="B290" s="55"/>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row>
    <row r="291" ht="15.75" customHeight="1">
      <c r="A291" s="56"/>
      <c r="B291" s="55"/>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row>
    <row r="292" ht="15.75" customHeight="1">
      <c r="A292" s="56"/>
      <c r="B292" s="55"/>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row>
    <row r="293" ht="15.75" customHeight="1">
      <c r="A293" s="56"/>
      <c r="B293" s="55"/>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row>
    <row r="294" ht="15.75" customHeight="1">
      <c r="A294" s="56"/>
      <c r="B294" s="55"/>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row>
    <row r="295" ht="15.75" customHeight="1">
      <c r="A295" s="56"/>
      <c r="B295" s="55"/>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row>
    <row r="296" ht="15.75" customHeight="1">
      <c r="A296" s="56"/>
      <c r="B296" s="55"/>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row>
    <row r="297" ht="15.75" customHeight="1">
      <c r="A297" s="56"/>
      <c r="B297" s="55"/>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row>
    <row r="298" ht="15.75" customHeight="1">
      <c r="A298" s="56"/>
      <c r="B298" s="55"/>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row>
    <row r="299" ht="15.75" customHeight="1">
      <c r="A299" s="56"/>
      <c r="B299" s="55"/>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row>
    <row r="300" ht="15.75" customHeight="1">
      <c r="A300" s="56"/>
      <c r="B300" s="55"/>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row>
    <row r="301" ht="15.75" customHeight="1">
      <c r="A301" s="56"/>
      <c r="B301" s="55"/>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row>
    <row r="302" ht="15.75" customHeight="1">
      <c r="A302" s="56"/>
      <c r="B302" s="55"/>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row>
    <row r="303" ht="15.75" customHeight="1">
      <c r="A303" s="56"/>
      <c r="B303" s="55"/>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row>
    <row r="304" ht="15.75" customHeight="1">
      <c r="A304" s="56"/>
      <c r="B304" s="55"/>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row>
    <row r="305" ht="15.75" customHeight="1">
      <c r="A305" s="56"/>
      <c r="B305" s="55"/>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row>
    <row r="306" ht="15.75" customHeight="1">
      <c r="A306" s="56"/>
      <c r="B306" s="55"/>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row>
    <row r="307" ht="15.75" customHeight="1">
      <c r="A307" s="56"/>
      <c r="B307" s="55"/>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row>
    <row r="308" ht="15.75" customHeight="1">
      <c r="A308" s="56"/>
      <c r="B308" s="55"/>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row>
    <row r="309" ht="15.75" customHeight="1">
      <c r="A309" s="56"/>
      <c r="B309" s="55"/>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row>
    <row r="310" ht="15.75" customHeight="1">
      <c r="A310" s="56"/>
      <c r="B310" s="55"/>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row>
    <row r="311" ht="15.75" customHeight="1">
      <c r="A311" s="56"/>
      <c r="B311" s="55"/>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row>
    <row r="312" ht="15.75" customHeight="1">
      <c r="A312" s="56"/>
      <c r="B312" s="55"/>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row>
    <row r="313" ht="15.75" customHeight="1">
      <c r="A313" s="56"/>
      <c r="B313" s="55"/>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row>
    <row r="314" ht="15.75" customHeight="1">
      <c r="A314" s="56"/>
      <c r="B314" s="55"/>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row>
    <row r="315" ht="15.75" customHeight="1">
      <c r="A315" s="56"/>
      <c r="B315" s="55"/>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row>
    <row r="316" ht="15.75" customHeight="1">
      <c r="A316" s="56"/>
      <c r="B316" s="55"/>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row>
    <row r="317" ht="15.75" customHeight="1">
      <c r="A317" s="56"/>
      <c r="B317" s="55"/>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row>
    <row r="318" ht="15.75" customHeight="1">
      <c r="A318" s="56"/>
      <c r="B318" s="55"/>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row>
    <row r="319" ht="15.75" customHeight="1">
      <c r="A319" s="56"/>
      <c r="B319" s="55"/>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row>
    <row r="320" ht="15.75" customHeight="1">
      <c r="A320" s="56"/>
      <c r="B320" s="55"/>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row>
    <row r="321" ht="15.75" customHeight="1">
      <c r="A321" s="56"/>
      <c r="B321" s="55"/>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row>
    <row r="322" ht="15.75" customHeight="1">
      <c r="A322" s="56"/>
      <c r="B322" s="55"/>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row>
    <row r="323" ht="15.75" customHeight="1">
      <c r="A323" s="56"/>
      <c r="B323" s="55"/>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row>
    <row r="324" ht="15.75" customHeight="1">
      <c r="A324" s="56"/>
      <c r="B324" s="55"/>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row>
    <row r="325" ht="15.75" customHeight="1">
      <c r="A325" s="56"/>
      <c r="B325" s="55"/>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row>
    <row r="326" ht="15.75" customHeight="1">
      <c r="A326" s="56"/>
      <c r="B326" s="55"/>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row>
    <row r="327" ht="15.75" customHeight="1">
      <c r="A327" s="56"/>
      <c r="B327" s="55"/>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row>
    <row r="328" ht="15.75" customHeight="1">
      <c r="A328" s="56"/>
      <c r="B328" s="55"/>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row>
    <row r="329" ht="15.75" customHeight="1">
      <c r="A329" s="56"/>
      <c r="B329" s="55"/>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row>
    <row r="330" ht="15.75" customHeight="1">
      <c r="A330" s="56"/>
      <c r="B330" s="55"/>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row>
    <row r="331" ht="15.75" customHeight="1">
      <c r="A331" s="56"/>
      <c r="B331" s="55"/>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row>
    <row r="332" ht="15.75" customHeight="1">
      <c r="A332" s="56"/>
      <c r="B332" s="55"/>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row>
    <row r="333" ht="15.75" customHeight="1">
      <c r="A333" s="56"/>
      <c r="B333" s="55"/>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row>
    <row r="334" ht="15.75" customHeight="1">
      <c r="A334" s="56"/>
      <c r="B334" s="55"/>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row>
    <row r="335" ht="15.75" customHeight="1">
      <c r="A335" s="56"/>
      <c r="B335" s="55"/>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row>
    <row r="336" ht="15.75" customHeight="1">
      <c r="A336" s="56"/>
      <c r="B336" s="55"/>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row>
    <row r="337" ht="15.75" customHeight="1">
      <c r="A337" s="56"/>
      <c r="B337" s="55"/>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row>
    <row r="338" ht="15.75" customHeight="1">
      <c r="A338" s="56"/>
      <c r="B338" s="55"/>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row>
    <row r="339" ht="15.75" customHeight="1">
      <c r="A339" s="56"/>
      <c r="B339" s="55"/>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row>
    <row r="340" ht="15.75" customHeight="1">
      <c r="A340" s="56"/>
      <c r="B340" s="55"/>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row>
    <row r="341" ht="15.75" customHeight="1">
      <c r="A341" s="56"/>
      <c r="B341" s="55"/>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row>
    <row r="342" ht="15.75" customHeight="1">
      <c r="A342" s="56"/>
      <c r="B342" s="55"/>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row>
    <row r="343" ht="15.75" customHeight="1">
      <c r="A343" s="56"/>
      <c r="B343" s="55"/>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row>
    <row r="344" ht="15.75" customHeight="1">
      <c r="A344" s="56"/>
      <c r="B344" s="55"/>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row>
    <row r="345" ht="15.75" customHeight="1">
      <c r="A345" s="56"/>
      <c r="B345" s="55"/>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row>
    <row r="346" ht="15.75" customHeight="1">
      <c r="A346" s="56"/>
      <c r="B346" s="55"/>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row>
    <row r="347" ht="15.75" customHeight="1">
      <c r="A347" s="56"/>
      <c r="B347" s="55"/>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row>
    <row r="348" ht="15.75" customHeight="1">
      <c r="A348" s="56"/>
      <c r="B348" s="55"/>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row>
    <row r="349" ht="15.75" customHeight="1">
      <c r="A349" s="56"/>
      <c r="B349" s="55"/>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row>
    <row r="350" ht="15.75" customHeight="1">
      <c r="A350" s="56"/>
      <c r="B350" s="55"/>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row>
    <row r="351" ht="15.75" customHeight="1">
      <c r="A351" s="56"/>
      <c r="B351" s="55"/>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row>
    <row r="352" ht="15.75" customHeight="1">
      <c r="A352" s="56"/>
      <c r="B352" s="55"/>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row>
    <row r="353" ht="15.75" customHeight="1">
      <c r="A353" s="56"/>
      <c r="B353" s="55"/>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row>
    <row r="354" ht="15.75" customHeight="1">
      <c r="A354" s="56"/>
      <c r="B354" s="55"/>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row>
    <row r="355" ht="15.75" customHeight="1">
      <c r="A355" s="56"/>
      <c r="B355" s="55"/>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row>
    <row r="356" ht="15.75" customHeight="1">
      <c r="A356" s="56"/>
      <c r="B356" s="55"/>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row>
    <row r="357" ht="15.75" customHeight="1">
      <c r="A357" s="56"/>
      <c r="B357" s="55"/>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row>
    <row r="358" ht="15.75" customHeight="1">
      <c r="A358" s="56"/>
      <c r="B358" s="55"/>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row>
    <row r="359" ht="15.75" customHeight="1">
      <c r="A359" s="56"/>
      <c r="B359" s="55"/>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row>
    <row r="360" ht="15.75" customHeight="1">
      <c r="A360" s="56"/>
      <c r="B360" s="55"/>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row>
    <row r="361" ht="15.75" customHeight="1">
      <c r="A361" s="56"/>
      <c r="B361" s="55"/>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row>
    <row r="362" ht="15.75" customHeight="1">
      <c r="A362" s="56"/>
      <c r="B362" s="55"/>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row>
    <row r="363" ht="15.75" customHeight="1">
      <c r="A363" s="56"/>
      <c r="B363" s="55"/>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row>
    <row r="364" ht="15.75" customHeight="1">
      <c r="A364" s="56"/>
      <c r="B364" s="55"/>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row>
    <row r="365" ht="15.75" customHeight="1">
      <c r="A365" s="56"/>
      <c r="B365" s="55"/>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row>
    <row r="366" ht="15.75" customHeight="1">
      <c r="A366" s="56"/>
      <c r="B366" s="55"/>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row>
    <row r="367" ht="15.75" customHeight="1">
      <c r="A367" s="56"/>
      <c r="B367" s="55"/>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row>
    <row r="368" ht="15.75" customHeight="1">
      <c r="A368" s="56"/>
      <c r="B368" s="55"/>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row>
    <row r="369" ht="15.75" customHeight="1">
      <c r="A369" s="56"/>
      <c r="B369" s="55"/>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row>
    <row r="370" ht="15.75" customHeight="1">
      <c r="A370" s="56"/>
      <c r="B370" s="55"/>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row>
    <row r="371" ht="15.75" customHeight="1">
      <c r="A371" s="56"/>
      <c r="B371" s="55"/>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row>
    <row r="372" ht="15.75" customHeight="1">
      <c r="A372" s="56"/>
      <c r="B372" s="55"/>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row>
    <row r="373" ht="15.75" customHeight="1">
      <c r="A373" s="56"/>
      <c r="B373" s="55"/>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row>
    <row r="374" ht="15.75" customHeight="1">
      <c r="A374" s="56"/>
      <c r="B374" s="55"/>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row>
    <row r="375" ht="15.75" customHeight="1">
      <c r="A375" s="56"/>
      <c r="B375" s="55"/>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row>
    <row r="376" ht="15.75" customHeight="1">
      <c r="A376" s="56"/>
      <c r="B376" s="55"/>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row>
    <row r="377" ht="15.75" customHeight="1">
      <c r="A377" s="56"/>
      <c r="B377" s="55"/>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row>
    <row r="378" ht="15.75" customHeight="1">
      <c r="A378" s="56"/>
      <c r="B378" s="55"/>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row>
    <row r="379" ht="15.75" customHeight="1">
      <c r="A379" s="56"/>
      <c r="B379" s="55"/>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row>
    <row r="380" ht="15.75" customHeight="1">
      <c r="A380" s="56"/>
      <c r="B380" s="55"/>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row>
    <row r="381" ht="15.75" customHeight="1">
      <c r="A381" s="56"/>
      <c r="B381" s="55"/>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row>
    <row r="382" ht="15.75" customHeight="1">
      <c r="A382" s="56"/>
      <c r="B382" s="55"/>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row>
    <row r="383" ht="15.75" customHeight="1">
      <c r="A383" s="56"/>
      <c r="B383" s="55"/>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row>
    <row r="384" ht="15.75" customHeight="1">
      <c r="A384" s="56"/>
      <c r="B384" s="55"/>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row>
    <row r="385" ht="15.75" customHeight="1">
      <c r="A385" s="56"/>
      <c r="B385" s="55"/>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row>
    <row r="386" ht="15.75" customHeight="1">
      <c r="A386" s="56"/>
      <c r="B386" s="55"/>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row>
    <row r="387" ht="15.75" customHeight="1">
      <c r="A387" s="56"/>
      <c r="B387" s="55"/>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row>
    <row r="388" ht="15.75" customHeight="1">
      <c r="A388" s="56"/>
      <c r="B388" s="55"/>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row>
    <row r="389" ht="15.75" customHeight="1">
      <c r="A389" s="56"/>
      <c r="B389" s="55"/>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row>
    <row r="390" ht="15.75" customHeight="1">
      <c r="A390" s="56"/>
      <c r="B390" s="55"/>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row>
    <row r="391" ht="15.75" customHeight="1">
      <c r="A391" s="56"/>
      <c r="B391" s="55"/>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row>
    <row r="392" ht="15.75" customHeight="1">
      <c r="A392" s="56"/>
      <c r="B392" s="55"/>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row>
    <row r="393" ht="15.75" customHeight="1">
      <c r="A393" s="56"/>
      <c r="B393" s="55"/>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row>
    <row r="394" ht="15.75" customHeight="1">
      <c r="A394" s="56"/>
      <c r="B394" s="55"/>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row>
    <row r="395" ht="15.75" customHeight="1">
      <c r="A395" s="56"/>
      <c r="B395" s="55"/>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row>
    <row r="396" ht="15.75" customHeight="1">
      <c r="A396" s="56"/>
      <c r="B396" s="55"/>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row>
    <row r="397" ht="15.75" customHeight="1">
      <c r="A397" s="56"/>
      <c r="B397" s="55"/>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row>
    <row r="398" ht="15.75" customHeight="1">
      <c r="A398" s="56"/>
      <c r="B398" s="55"/>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row>
    <row r="399" ht="15.75" customHeight="1">
      <c r="A399" s="56"/>
      <c r="B399" s="55"/>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row>
    <row r="400" ht="15.75" customHeight="1">
      <c r="A400" s="56"/>
      <c r="B400" s="55"/>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row>
    <row r="401" ht="15.75" customHeight="1">
      <c r="A401" s="56"/>
      <c r="B401" s="55"/>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row>
    <row r="402" ht="15.75" customHeight="1">
      <c r="A402" s="56"/>
      <c r="B402" s="55"/>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row>
    <row r="403" ht="15.75" customHeight="1">
      <c r="A403" s="56"/>
      <c r="B403" s="55"/>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row>
    <row r="404" ht="15.75" customHeight="1">
      <c r="A404" s="56"/>
      <c r="B404" s="55"/>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row>
    <row r="405" ht="15.75" customHeight="1">
      <c r="A405" s="56"/>
      <c r="B405" s="55"/>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row>
    <row r="406" ht="15.75" customHeight="1">
      <c r="A406" s="56"/>
      <c r="B406" s="55"/>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row>
    <row r="407" ht="15.75" customHeight="1">
      <c r="A407" s="56"/>
      <c r="B407" s="55"/>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row>
    <row r="408" ht="15.75" customHeight="1">
      <c r="A408" s="56"/>
      <c r="B408" s="55"/>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row>
    <row r="409" ht="15.75" customHeight="1">
      <c r="A409" s="56"/>
      <c r="B409" s="55"/>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row>
    <row r="410" ht="15.75" customHeight="1">
      <c r="A410" s="56"/>
      <c r="B410" s="55"/>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row>
    <row r="411" ht="15.75" customHeight="1">
      <c r="A411" s="56"/>
      <c r="B411" s="55"/>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row>
    <row r="412" ht="15.75" customHeight="1">
      <c r="A412" s="56"/>
      <c r="B412" s="55"/>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row>
    <row r="413" ht="15.75" customHeight="1">
      <c r="A413" s="56"/>
      <c r="B413" s="55"/>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row>
    <row r="414" ht="15.75" customHeight="1">
      <c r="A414" s="56"/>
      <c r="B414" s="55"/>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row>
    <row r="415" ht="15.75" customHeight="1">
      <c r="A415" s="56"/>
      <c r="B415" s="55"/>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row>
    <row r="416" ht="15.75" customHeight="1">
      <c r="A416" s="56"/>
      <c r="B416" s="55"/>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row>
    <row r="417" ht="15.75" customHeight="1">
      <c r="A417" s="56"/>
      <c r="B417" s="55"/>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row>
    <row r="418" ht="15.75" customHeight="1">
      <c r="A418" s="56"/>
      <c r="B418" s="55"/>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row>
    <row r="419" ht="15.75" customHeight="1">
      <c r="A419" s="56"/>
      <c r="B419" s="55"/>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row>
    <row r="420" ht="15.75" customHeight="1">
      <c r="A420" s="56"/>
      <c r="B420" s="55"/>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row>
    <row r="421" ht="15.75" customHeight="1">
      <c r="A421" s="56"/>
      <c r="B421" s="55"/>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row>
    <row r="422" ht="15.75" customHeight="1">
      <c r="A422" s="56"/>
      <c r="B422" s="55"/>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row>
    <row r="423" ht="15.75" customHeight="1">
      <c r="A423" s="56"/>
      <c r="B423" s="55"/>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row>
    <row r="424" ht="15.75" customHeight="1">
      <c r="A424" s="56"/>
      <c r="B424" s="55"/>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row>
    <row r="425" ht="15.75" customHeight="1">
      <c r="A425" s="56"/>
      <c r="B425" s="55"/>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row>
    <row r="426" ht="15.75" customHeight="1">
      <c r="A426" s="56"/>
      <c r="B426" s="55"/>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row>
    <row r="427" ht="15.75" customHeight="1">
      <c r="A427" s="56"/>
      <c r="B427" s="55"/>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row>
    <row r="428" ht="15.75" customHeight="1">
      <c r="A428" s="56"/>
      <c r="B428" s="55"/>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row>
    <row r="429" ht="15.75" customHeight="1">
      <c r="A429" s="56"/>
      <c r="B429" s="55"/>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row>
    <row r="430" ht="15.75" customHeight="1">
      <c r="A430" s="56"/>
      <c r="B430" s="55"/>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row>
    <row r="431" ht="15.75" customHeight="1">
      <c r="A431" s="56"/>
      <c r="B431" s="55"/>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row>
    <row r="432" ht="15.75" customHeight="1">
      <c r="A432" s="56"/>
      <c r="B432" s="55"/>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row>
    <row r="433" ht="15.75" customHeight="1">
      <c r="A433" s="56"/>
      <c r="B433" s="55"/>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row>
    <row r="434" ht="15.75" customHeight="1">
      <c r="A434" s="56"/>
      <c r="B434" s="55"/>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row>
    <row r="435" ht="15.75" customHeight="1">
      <c r="A435" s="56"/>
      <c r="B435" s="55"/>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row>
    <row r="436" ht="15.75" customHeight="1">
      <c r="A436" s="56"/>
      <c r="B436" s="55"/>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row>
    <row r="437" ht="15.75" customHeight="1">
      <c r="A437" s="56"/>
      <c r="B437" s="55"/>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row>
    <row r="438" ht="15.75" customHeight="1">
      <c r="A438" s="56"/>
      <c r="B438" s="55"/>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row>
    <row r="439" ht="15.75" customHeight="1">
      <c r="A439" s="56"/>
      <c r="B439" s="55"/>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row>
    <row r="440" ht="15.75" customHeight="1">
      <c r="A440" s="56"/>
      <c r="B440" s="55"/>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row>
    <row r="441" ht="15.75" customHeight="1">
      <c r="A441" s="56"/>
      <c r="B441" s="55"/>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row>
    <row r="442" ht="15.75" customHeight="1">
      <c r="A442" s="56"/>
      <c r="B442" s="55"/>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row>
    <row r="443" ht="15.75" customHeight="1">
      <c r="A443" s="56"/>
      <c r="B443" s="55"/>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row>
    <row r="444" ht="15.75" customHeight="1">
      <c r="A444" s="56"/>
      <c r="B444" s="55"/>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row>
    <row r="445" ht="15.75" customHeight="1">
      <c r="A445" s="56"/>
      <c r="B445" s="55"/>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row>
    <row r="446" ht="15.75" customHeight="1">
      <c r="A446" s="56"/>
      <c r="B446" s="55"/>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row>
    <row r="447" ht="15.75" customHeight="1">
      <c r="A447" s="56"/>
      <c r="B447" s="55"/>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row>
    <row r="448" ht="15.75" customHeight="1">
      <c r="A448" s="56"/>
      <c r="B448" s="55"/>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row>
    <row r="449" ht="15.75" customHeight="1">
      <c r="A449" s="56"/>
      <c r="B449" s="55"/>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row>
    <row r="450" ht="15.75" customHeight="1">
      <c r="A450" s="56"/>
      <c r="B450" s="55"/>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row>
    <row r="451" ht="15.75" customHeight="1">
      <c r="A451" s="56"/>
      <c r="B451" s="55"/>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row>
    <row r="452" ht="15.75" customHeight="1">
      <c r="A452" s="56"/>
      <c r="B452" s="55"/>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row>
    <row r="453" ht="15.75" customHeight="1">
      <c r="A453" s="56"/>
      <c r="B453" s="55"/>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row>
    <row r="454" ht="15.75" customHeight="1">
      <c r="A454" s="56"/>
      <c r="B454" s="55"/>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row>
    <row r="455" ht="15.75" customHeight="1">
      <c r="A455" s="56"/>
      <c r="B455" s="55"/>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row>
    <row r="456" ht="15.75" customHeight="1">
      <c r="A456" s="56"/>
      <c r="B456" s="55"/>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row>
    <row r="457" ht="15.75" customHeight="1">
      <c r="A457" s="56"/>
      <c r="B457" s="55"/>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row>
    <row r="458" ht="15.75" customHeight="1">
      <c r="A458" s="56"/>
      <c r="B458" s="55"/>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row>
    <row r="459" ht="15.75" customHeight="1">
      <c r="A459" s="56"/>
      <c r="B459" s="55"/>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row>
    <row r="460" ht="15.75" customHeight="1">
      <c r="A460" s="56"/>
      <c r="B460" s="55"/>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row>
    <row r="461" ht="15.75" customHeight="1">
      <c r="A461" s="56"/>
      <c r="B461" s="55"/>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row>
    <row r="462" ht="15.75" customHeight="1">
      <c r="A462" s="56"/>
      <c r="B462" s="55"/>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row>
    <row r="463" ht="15.75" customHeight="1">
      <c r="A463" s="56"/>
      <c r="B463" s="55"/>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row>
    <row r="464" ht="15.75" customHeight="1">
      <c r="A464" s="56"/>
      <c r="B464" s="55"/>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row>
    <row r="465" ht="15.75" customHeight="1">
      <c r="A465" s="56"/>
      <c r="B465" s="55"/>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row>
    <row r="466" ht="15.75" customHeight="1">
      <c r="A466" s="56"/>
      <c r="B466" s="55"/>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row>
    <row r="467" ht="15.75" customHeight="1">
      <c r="A467" s="56"/>
      <c r="B467" s="55"/>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row>
    <row r="468" ht="15.75" customHeight="1">
      <c r="A468" s="56"/>
      <c r="B468" s="55"/>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row>
    <row r="469" ht="15.75" customHeight="1">
      <c r="A469" s="56"/>
      <c r="B469" s="55"/>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row>
    <row r="470" ht="15.75" customHeight="1">
      <c r="A470" s="56"/>
      <c r="B470" s="55"/>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row>
    <row r="471" ht="15.75" customHeight="1">
      <c r="A471" s="56"/>
      <c r="B471" s="55"/>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row>
    <row r="472" ht="15.75" customHeight="1">
      <c r="A472" s="56"/>
      <c r="B472" s="55"/>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row>
    <row r="473" ht="15.75" customHeight="1">
      <c r="A473" s="56"/>
      <c r="B473" s="55"/>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row>
    <row r="474" ht="15.75" customHeight="1">
      <c r="A474" s="56"/>
      <c r="B474" s="55"/>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row>
    <row r="475" ht="15.75" customHeight="1">
      <c r="A475" s="56"/>
      <c r="B475" s="55"/>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row>
    <row r="476" ht="15.75" customHeight="1">
      <c r="A476" s="56"/>
      <c r="B476" s="55"/>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row>
    <row r="477" ht="15.75" customHeight="1">
      <c r="A477" s="56"/>
      <c r="B477" s="55"/>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row>
    <row r="478" ht="15.75" customHeight="1">
      <c r="A478" s="56"/>
      <c r="B478" s="55"/>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row>
    <row r="479" ht="15.75" customHeight="1">
      <c r="A479" s="56"/>
      <c r="B479" s="55"/>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row>
    <row r="480" ht="15.75" customHeight="1">
      <c r="A480" s="56"/>
      <c r="B480" s="55"/>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row>
    <row r="481" ht="15.75" customHeight="1">
      <c r="A481" s="56"/>
      <c r="B481" s="55"/>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row>
    <row r="482" ht="15.75" customHeight="1">
      <c r="A482" s="56"/>
      <c r="B482" s="55"/>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row>
    <row r="483" ht="15.75" customHeight="1">
      <c r="A483" s="56"/>
      <c r="B483" s="55"/>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row>
    <row r="484" ht="15.75" customHeight="1">
      <c r="A484" s="56"/>
      <c r="B484" s="55"/>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row>
    <row r="485" ht="15.75" customHeight="1">
      <c r="A485" s="56"/>
      <c r="B485" s="55"/>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row>
    <row r="486" ht="15.75" customHeight="1">
      <c r="A486" s="56"/>
      <c r="B486" s="55"/>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row>
    <row r="487" ht="15.75" customHeight="1">
      <c r="A487" s="56"/>
      <c r="B487" s="55"/>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row>
    <row r="488" ht="15.75" customHeight="1">
      <c r="A488" s="56"/>
      <c r="B488" s="55"/>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row>
    <row r="489" ht="15.75" customHeight="1">
      <c r="A489" s="56"/>
      <c r="B489" s="55"/>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row>
    <row r="490" ht="15.75" customHeight="1">
      <c r="A490" s="56"/>
      <c r="B490" s="55"/>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row>
    <row r="491" ht="15.75" customHeight="1">
      <c r="A491" s="56"/>
      <c r="B491" s="55"/>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row>
    <row r="492" ht="15.75" customHeight="1">
      <c r="A492" s="56"/>
      <c r="B492" s="55"/>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row>
    <row r="493" ht="15.75" customHeight="1">
      <c r="A493" s="56"/>
      <c r="B493" s="55"/>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row>
    <row r="494" ht="15.75" customHeight="1">
      <c r="A494" s="56"/>
      <c r="B494" s="55"/>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row>
    <row r="495" ht="15.75" customHeight="1">
      <c r="A495" s="56"/>
      <c r="B495" s="55"/>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row>
    <row r="496" ht="15.75" customHeight="1">
      <c r="A496" s="56"/>
      <c r="B496" s="55"/>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row>
    <row r="497" ht="15.75" customHeight="1">
      <c r="A497" s="56"/>
      <c r="B497" s="55"/>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row>
    <row r="498" ht="15.75" customHeight="1">
      <c r="A498" s="56"/>
      <c r="B498" s="55"/>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row>
    <row r="499" ht="15.75" customHeight="1">
      <c r="A499" s="56"/>
      <c r="B499" s="55"/>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row>
    <row r="500" ht="15.75" customHeight="1">
      <c r="A500" s="56"/>
      <c r="B500" s="55"/>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row>
    <row r="501" ht="15.75" customHeight="1">
      <c r="A501" s="56"/>
      <c r="B501" s="55"/>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row>
    <row r="502" ht="15.75" customHeight="1">
      <c r="A502" s="56"/>
      <c r="B502" s="55"/>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row>
    <row r="503" ht="15.75" customHeight="1">
      <c r="A503" s="56"/>
      <c r="B503" s="55"/>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row>
    <row r="504" ht="15.75" customHeight="1">
      <c r="A504" s="56"/>
      <c r="B504" s="55"/>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row>
    <row r="505" ht="15.75" customHeight="1">
      <c r="A505" s="56"/>
      <c r="B505" s="55"/>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row>
    <row r="506" ht="15.75" customHeight="1">
      <c r="A506" s="56"/>
      <c r="B506" s="55"/>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row>
    <row r="507" ht="15.75" customHeight="1">
      <c r="A507" s="56"/>
      <c r="B507" s="55"/>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row>
    <row r="508" ht="15.75" customHeight="1">
      <c r="A508" s="56"/>
      <c r="B508" s="55"/>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row>
    <row r="509" ht="15.75" customHeight="1">
      <c r="A509" s="56"/>
      <c r="B509" s="55"/>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row>
    <row r="510" ht="15.75" customHeight="1">
      <c r="A510" s="56"/>
      <c r="B510" s="55"/>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row>
    <row r="511" ht="15.75" customHeight="1">
      <c r="A511" s="56"/>
      <c r="B511" s="55"/>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row>
    <row r="512" ht="15.75" customHeight="1">
      <c r="A512" s="56"/>
      <c r="B512" s="55"/>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row>
    <row r="513" ht="15.75" customHeight="1">
      <c r="A513" s="56"/>
      <c r="B513" s="55"/>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row>
    <row r="514" ht="15.75" customHeight="1">
      <c r="A514" s="56"/>
      <c r="B514" s="55"/>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row>
    <row r="515" ht="15.75" customHeight="1">
      <c r="A515" s="56"/>
      <c r="B515" s="55"/>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row>
    <row r="516" ht="15.75" customHeight="1">
      <c r="A516" s="56"/>
      <c r="B516" s="55"/>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row>
    <row r="517" ht="15.75" customHeight="1">
      <c r="A517" s="56"/>
      <c r="B517" s="55"/>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row>
    <row r="518" ht="15.75" customHeight="1">
      <c r="A518" s="56"/>
      <c r="B518" s="55"/>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row>
    <row r="519" ht="15.75" customHeight="1">
      <c r="A519" s="56"/>
      <c r="B519" s="55"/>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row>
    <row r="520" ht="15.75" customHeight="1">
      <c r="A520" s="56"/>
      <c r="B520" s="55"/>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row>
    <row r="521" ht="15.75" customHeight="1">
      <c r="A521" s="56"/>
      <c r="B521" s="55"/>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row>
    <row r="522" ht="15.75" customHeight="1">
      <c r="A522" s="56"/>
      <c r="B522" s="55"/>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row>
    <row r="523" ht="15.75" customHeight="1">
      <c r="A523" s="56"/>
      <c r="B523" s="55"/>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row>
    <row r="524" ht="15.75" customHeight="1">
      <c r="A524" s="56"/>
      <c r="B524" s="55"/>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row>
    <row r="525" ht="15.75" customHeight="1">
      <c r="A525" s="56"/>
      <c r="B525" s="55"/>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row>
    <row r="526" ht="15.75" customHeight="1">
      <c r="A526" s="56"/>
      <c r="B526" s="55"/>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row>
    <row r="527" ht="15.75" customHeight="1">
      <c r="A527" s="56"/>
      <c r="B527" s="55"/>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row>
    <row r="528" ht="15.75" customHeight="1">
      <c r="A528" s="56"/>
      <c r="B528" s="55"/>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row>
    <row r="529" ht="15.75" customHeight="1">
      <c r="A529" s="56"/>
      <c r="B529" s="55"/>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row>
    <row r="530" ht="15.75" customHeight="1">
      <c r="A530" s="56"/>
      <c r="B530" s="55"/>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row>
    <row r="531" ht="15.75" customHeight="1">
      <c r="A531" s="56"/>
      <c r="B531" s="55"/>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row>
    <row r="532" ht="15.75" customHeight="1">
      <c r="A532" s="56"/>
      <c r="B532" s="55"/>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row>
    <row r="533" ht="15.75" customHeight="1">
      <c r="A533" s="56"/>
      <c r="B533" s="55"/>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row>
    <row r="534" ht="15.75" customHeight="1">
      <c r="A534" s="56"/>
      <c r="B534" s="55"/>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row>
    <row r="535" ht="15.75" customHeight="1">
      <c r="A535" s="56"/>
      <c r="B535" s="55"/>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row>
    <row r="536" ht="15.75" customHeight="1">
      <c r="A536" s="56"/>
      <c r="B536" s="55"/>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row>
    <row r="537" ht="15.75" customHeight="1">
      <c r="A537" s="56"/>
      <c r="B537" s="55"/>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row>
    <row r="538" ht="15.75" customHeight="1">
      <c r="A538" s="56"/>
      <c r="B538" s="55"/>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row>
    <row r="539" ht="15.75" customHeight="1">
      <c r="A539" s="56"/>
      <c r="B539" s="55"/>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row>
    <row r="540" ht="15.75" customHeight="1">
      <c r="A540" s="56"/>
      <c r="B540" s="55"/>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row>
    <row r="541" ht="15.75" customHeight="1">
      <c r="A541" s="56"/>
      <c r="B541" s="55"/>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row>
    <row r="542" ht="15.75" customHeight="1">
      <c r="A542" s="56"/>
      <c r="B542" s="55"/>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row>
    <row r="543" ht="15.75" customHeight="1">
      <c r="A543" s="56"/>
      <c r="B543" s="55"/>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row>
    <row r="544" ht="15.75" customHeight="1">
      <c r="A544" s="56"/>
      <c r="B544" s="55"/>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row>
    <row r="545" ht="15.75" customHeight="1">
      <c r="A545" s="56"/>
      <c r="B545" s="55"/>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row>
    <row r="546" ht="15.75" customHeight="1">
      <c r="A546" s="56"/>
      <c r="B546" s="55"/>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row>
    <row r="547" ht="15.75" customHeight="1">
      <c r="A547" s="56"/>
      <c r="B547" s="55"/>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row>
    <row r="548" ht="15.75" customHeight="1">
      <c r="A548" s="56"/>
      <c r="B548" s="55"/>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row>
    <row r="549" ht="15.75" customHeight="1">
      <c r="A549" s="56"/>
      <c r="B549" s="55"/>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row>
    <row r="550" ht="15.75" customHeight="1">
      <c r="A550" s="56"/>
      <c r="B550" s="55"/>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row>
    <row r="551" ht="15.75" customHeight="1">
      <c r="A551" s="56"/>
      <c r="B551" s="55"/>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row>
    <row r="552" ht="15.75" customHeight="1">
      <c r="A552" s="56"/>
      <c r="B552" s="55"/>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row>
    <row r="553" ht="15.75" customHeight="1">
      <c r="A553" s="56"/>
      <c r="B553" s="55"/>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row>
    <row r="554" ht="15.75" customHeight="1">
      <c r="A554" s="56"/>
      <c r="B554" s="55"/>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row>
    <row r="555" ht="15.75" customHeight="1">
      <c r="A555" s="56"/>
      <c r="B555" s="55"/>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row>
    <row r="556" ht="15.75" customHeight="1">
      <c r="A556" s="56"/>
      <c r="B556" s="55"/>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row>
    <row r="557" ht="15.75" customHeight="1">
      <c r="A557" s="56"/>
      <c r="B557" s="55"/>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row>
    <row r="558" ht="15.75" customHeight="1">
      <c r="A558" s="56"/>
      <c r="B558" s="55"/>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row>
    <row r="559" ht="15.75" customHeight="1">
      <c r="A559" s="56"/>
      <c r="B559" s="55"/>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row>
    <row r="560" ht="15.75" customHeight="1">
      <c r="A560" s="56"/>
      <c r="B560" s="55"/>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row>
    <row r="561" ht="15.75" customHeight="1">
      <c r="A561" s="56"/>
      <c r="B561" s="55"/>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row>
    <row r="562" ht="15.75" customHeight="1">
      <c r="A562" s="56"/>
      <c r="B562" s="55"/>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row>
    <row r="563" ht="15.75" customHeight="1">
      <c r="A563" s="56"/>
      <c r="B563" s="55"/>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row>
    <row r="564" ht="15.75" customHeight="1">
      <c r="A564" s="56"/>
      <c r="B564" s="55"/>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row>
    <row r="565" ht="15.75" customHeight="1">
      <c r="A565" s="56"/>
      <c r="B565" s="55"/>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row>
    <row r="566" ht="15.75" customHeight="1">
      <c r="A566" s="56"/>
      <c r="B566" s="55"/>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row>
    <row r="567" ht="15.75" customHeight="1">
      <c r="A567" s="56"/>
      <c r="B567" s="55"/>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row>
    <row r="568" ht="15.75" customHeight="1">
      <c r="A568" s="56"/>
      <c r="B568" s="55"/>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row>
    <row r="569" ht="15.75" customHeight="1">
      <c r="A569" s="56"/>
      <c r="B569" s="55"/>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row>
    <row r="570" ht="15.75" customHeight="1">
      <c r="A570" s="56"/>
      <c r="B570" s="55"/>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row>
    <row r="571" ht="15.75" customHeight="1">
      <c r="A571" s="56"/>
      <c r="B571" s="55"/>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row>
    <row r="572" ht="15.75" customHeight="1">
      <c r="A572" s="56"/>
      <c r="B572" s="55"/>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row>
    <row r="573" ht="15.75" customHeight="1">
      <c r="A573" s="56"/>
      <c r="B573" s="55"/>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row>
    <row r="574" ht="15.75" customHeight="1">
      <c r="A574" s="56"/>
      <c r="B574" s="55"/>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row>
    <row r="575" ht="15.75" customHeight="1">
      <c r="A575" s="56"/>
      <c r="B575" s="55"/>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row>
    <row r="576" ht="15.75" customHeight="1">
      <c r="A576" s="56"/>
      <c r="B576" s="55"/>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row>
    <row r="577" ht="15.75" customHeight="1">
      <c r="A577" s="56"/>
      <c r="B577" s="55"/>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row>
    <row r="578" ht="15.75" customHeight="1">
      <c r="A578" s="56"/>
      <c r="B578" s="55"/>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row>
    <row r="579" ht="15.75" customHeight="1">
      <c r="A579" s="56"/>
      <c r="B579" s="55"/>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row>
    <row r="580" ht="15.75" customHeight="1">
      <c r="A580" s="56"/>
      <c r="B580" s="55"/>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row>
    <row r="581" ht="15.75" customHeight="1">
      <c r="A581" s="56"/>
      <c r="B581" s="55"/>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row>
    <row r="582" ht="15.75" customHeight="1">
      <c r="A582" s="56"/>
      <c r="B582" s="55"/>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row>
    <row r="583" ht="15.75" customHeight="1">
      <c r="A583" s="56"/>
      <c r="B583" s="55"/>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row>
    <row r="584" ht="15.75" customHeight="1">
      <c r="A584" s="56"/>
      <c r="B584" s="55"/>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row>
    <row r="585" ht="15.75" customHeight="1">
      <c r="A585" s="56"/>
      <c r="B585" s="55"/>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row>
    <row r="586" ht="15.75" customHeight="1">
      <c r="A586" s="56"/>
      <c r="B586" s="55"/>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row>
    <row r="587" ht="15.75" customHeight="1">
      <c r="A587" s="56"/>
      <c r="B587" s="55"/>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row>
    <row r="588" ht="15.75" customHeight="1">
      <c r="A588" s="56"/>
      <c r="B588" s="55"/>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row>
    <row r="589" ht="15.75" customHeight="1">
      <c r="A589" s="56"/>
      <c r="B589" s="55"/>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row>
    <row r="590" ht="15.75" customHeight="1">
      <c r="A590" s="56"/>
      <c r="B590" s="55"/>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row>
    <row r="591" ht="15.75" customHeight="1">
      <c r="A591" s="56"/>
      <c r="B591" s="55"/>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row>
    <row r="592" ht="15.75" customHeight="1">
      <c r="A592" s="56"/>
      <c r="B592" s="55"/>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row>
    <row r="593" ht="15.75" customHeight="1">
      <c r="A593" s="56"/>
      <c r="B593" s="55"/>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row>
    <row r="594" ht="15.75" customHeight="1">
      <c r="A594" s="56"/>
      <c r="B594" s="55"/>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row>
    <row r="595" ht="15.75" customHeight="1">
      <c r="A595" s="56"/>
      <c r="B595" s="55"/>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row>
    <row r="596" ht="15.75" customHeight="1">
      <c r="A596" s="56"/>
      <c r="B596" s="55"/>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row>
    <row r="597" ht="15.75" customHeight="1">
      <c r="A597" s="56"/>
      <c r="B597" s="55"/>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row>
    <row r="598" ht="15.75" customHeight="1">
      <c r="A598" s="56"/>
      <c r="B598" s="55"/>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row>
    <row r="599" ht="15.75" customHeight="1">
      <c r="A599" s="56"/>
      <c r="B599" s="55"/>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row>
    <row r="600" ht="15.75" customHeight="1">
      <c r="A600" s="56"/>
      <c r="B600" s="55"/>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row>
    <row r="601" ht="15.75" customHeight="1">
      <c r="A601" s="56"/>
      <c r="B601" s="55"/>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row>
    <row r="602" ht="15.75" customHeight="1">
      <c r="A602" s="56"/>
      <c r="B602" s="55"/>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row>
    <row r="603" ht="15.75" customHeight="1">
      <c r="A603" s="56"/>
      <c r="B603" s="55"/>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row>
    <row r="604" ht="15.75" customHeight="1">
      <c r="A604" s="56"/>
      <c r="B604" s="55"/>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row>
    <row r="605" ht="15.75" customHeight="1">
      <c r="A605" s="56"/>
      <c r="B605" s="55"/>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row>
    <row r="606" ht="15.75" customHeight="1">
      <c r="A606" s="56"/>
      <c r="B606" s="55"/>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row>
    <row r="607" ht="15.75" customHeight="1">
      <c r="A607" s="56"/>
      <c r="B607" s="55"/>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row>
    <row r="608" ht="15.75" customHeight="1">
      <c r="A608" s="56"/>
      <c r="B608" s="55"/>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row>
    <row r="609" ht="15.75" customHeight="1">
      <c r="A609" s="56"/>
      <c r="B609" s="55"/>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row>
    <row r="610" ht="15.75" customHeight="1">
      <c r="A610" s="56"/>
      <c r="B610" s="55"/>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row>
    <row r="611" ht="15.75" customHeight="1">
      <c r="A611" s="56"/>
      <c r="B611" s="55"/>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row>
    <row r="612" ht="15.75" customHeight="1">
      <c r="A612" s="56"/>
      <c r="B612" s="55"/>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row>
    <row r="613" ht="15.75" customHeight="1">
      <c r="A613" s="56"/>
      <c r="B613" s="55"/>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row>
    <row r="614" ht="15.75" customHeight="1">
      <c r="A614" s="56"/>
      <c r="B614" s="55"/>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row>
    <row r="615" ht="15.75" customHeight="1">
      <c r="A615" s="56"/>
      <c r="B615" s="55"/>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row>
    <row r="616" ht="15.75" customHeight="1">
      <c r="A616" s="56"/>
      <c r="B616" s="55"/>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row>
    <row r="617" ht="15.75" customHeight="1">
      <c r="A617" s="56"/>
      <c r="B617" s="55"/>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row>
    <row r="618" ht="15.75" customHeight="1">
      <c r="A618" s="56"/>
      <c r="B618" s="55"/>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row>
    <row r="619" ht="15.75" customHeight="1">
      <c r="A619" s="56"/>
      <c r="B619" s="55"/>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row>
    <row r="620" ht="15.75" customHeight="1">
      <c r="A620" s="56"/>
      <c r="B620" s="55"/>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row>
    <row r="621" ht="15.75" customHeight="1">
      <c r="A621" s="56"/>
      <c r="B621" s="55"/>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row>
    <row r="622" ht="15.75" customHeight="1">
      <c r="A622" s="56"/>
      <c r="B622" s="55"/>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row>
    <row r="623" ht="15.75" customHeight="1">
      <c r="A623" s="56"/>
      <c r="B623" s="55"/>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row>
    <row r="624" ht="15.75" customHeight="1">
      <c r="A624" s="56"/>
      <c r="B624" s="55"/>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row>
    <row r="625" ht="15.75" customHeight="1">
      <c r="A625" s="56"/>
      <c r="B625" s="55"/>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row>
    <row r="626" ht="15.75" customHeight="1">
      <c r="A626" s="56"/>
      <c r="B626" s="55"/>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row>
    <row r="627" ht="15.75" customHeight="1">
      <c r="A627" s="56"/>
      <c r="B627" s="55"/>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row>
    <row r="628" ht="15.75" customHeight="1">
      <c r="A628" s="56"/>
      <c r="B628" s="55"/>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row>
    <row r="629" ht="15.75" customHeight="1">
      <c r="A629" s="56"/>
      <c r="B629" s="55"/>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row>
    <row r="630" ht="15.75" customHeight="1">
      <c r="A630" s="56"/>
      <c r="B630" s="55"/>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row>
    <row r="631" ht="15.75" customHeight="1">
      <c r="A631" s="56"/>
      <c r="B631" s="55"/>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row>
    <row r="632" ht="15.75" customHeight="1">
      <c r="A632" s="56"/>
      <c r="B632" s="55"/>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row>
    <row r="633" ht="15.75" customHeight="1">
      <c r="A633" s="56"/>
      <c r="B633" s="55"/>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row>
    <row r="634" ht="15.75" customHeight="1">
      <c r="A634" s="56"/>
      <c r="B634" s="55"/>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row>
    <row r="635" ht="15.75" customHeight="1">
      <c r="A635" s="56"/>
      <c r="B635" s="55"/>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row>
    <row r="636" ht="15.75" customHeight="1">
      <c r="A636" s="56"/>
      <c r="B636" s="55"/>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row>
    <row r="637" ht="15.75" customHeight="1">
      <c r="A637" s="56"/>
      <c r="B637" s="55"/>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row>
    <row r="638" ht="15.75" customHeight="1">
      <c r="A638" s="56"/>
      <c r="B638" s="55"/>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row>
    <row r="639" ht="15.75" customHeight="1">
      <c r="A639" s="56"/>
      <c r="B639" s="55"/>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row>
    <row r="640" ht="15.75" customHeight="1">
      <c r="A640" s="56"/>
      <c r="B640" s="55"/>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row>
    <row r="641" ht="15.75" customHeight="1">
      <c r="A641" s="56"/>
      <c r="B641" s="55"/>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row>
    <row r="642" ht="15.75" customHeight="1">
      <c r="A642" s="56"/>
      <c r="B642" s="55"/>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row>
    <row r="643" ht="15.75" customHeight="1">
      <c r="A643" s="56"/>
      <c r="B643" s="55"/>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row>
    <row r="644" ht="15.75" customHeight="1">
      <c r="A644" s="56"/>
      <c r="B644" s="55"/>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row>
    <row r="645" ht="15.75" customHeight="1">
      <c r="A645" s="56"/>
      <c r="B645" s="55"/>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row>
    <row r="646" ht="15.75" customHeight="1">
      <c r="A646" s="56"/>
      <c r="B646" s="55"/>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row>
    <row r="647" ht="15.75" customHeight="1">
      <c r="A647" s="56"/>
      <c r="B647" s="55"/>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row>
    <row r="648" ht="15.75" customHeight="1">
      <c r="A648" s="56"/>
      <c r="B648" s="55"/>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row>
    <row r="649" ht="15.75" customHeight="1">
      <c r="A649" s="56"/>
      <c r="B649" s="55"/>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row>
    <row r="650" ht="15.75" customHeight="1">
      <c r="A650" s="56"/>
      <c r="B650" s="55"/>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row>
    <row r="651" ht="15.75" customHeight="1">
      <c r="A651" s="56"/>
      <c r="B651" s="55"/>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row>
    <row r="652" ht="15.75" customHeight="1">
      <c r="A652" s="56"/>
      <c r="B652" s="55"/>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row>
    <row r="653" ht="15.75" customHeight="1">
      <c r="A653" s="56"/>
      <c r="B653" s="55"/>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row>
    <row r="654" ht="15.75" customHeight="1">
      <c r="A654" s="56"/>
      <c r="B654" s="55"/>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row>
    <row r="655" ht="15.75" customHeight="1">
      <c r="A655" s="56"/>
      <c r="B655" s="55"/>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row>
    <row r="656" ht="15.75" customHeight="1">
      <c r="A656" s="56"/>
      <c r="B656" s="55"/>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row>
    <row r="657" ht="15.75" customHeight="1">
      <c r="A657" s="56"/>
      <c r="B657" s="55"/>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row>
    <row r="658" ht="15.75" customHeight="1">
      <c r="A658" s="56"/>
      <c r="B658" s="55"/>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row>
    <row r="659" ht="15.75" customHeight="1">
      <c r="A659" s="56"/>
      <c r="B659" s="55"/>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row>
    <row r="660" ht="15.75" customHeight="1">
      <c r="A660" s="56"/>
      <c r="B660" s="55"/>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row>
    <row r="661" ht="15.75" customHeight="1">
      <c r="A661" s="56"/>
      <c r="B661" s="55"/>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row>
    <row r="662" ht="15.75" customHeight="1">
      <c r="A662" s="56"/>
      <c r="B662" s="55"/>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row>
    <row r="663" ht="15.75" customHeight="1">
      <c r="A663" s="56"/>
      <c r="B663" s="55"/>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row>
    <row r="664" ht="15.75" customHeight="1">
      <c r="A664" s="56"/>
      <c r="B664" s="55"/>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row>
    <row r="665" ht="15.75" customHeight="1">
      <c r="A665" s="56"/>
      <c r="B665" s="55"/>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row>
    <row r="666" ht="15.75" customHeight="1">
      <c r="A666" s="56"/>
      <c r="B666" s="55"/>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row>
    <row r="667" ht="15.75" customHeight="1">
      <c r="A667" s="56"/>
      <c r="B667" s="55"/>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row>
    <row r="668" ht="15.75" customHeight="1">
      <c r="A668" s="56"/>
      <c r="B668" s="55"/>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row>
    <row r="669" ht="15.75" customHeight="1">
      <c r="A669" s="56"/>
      <c r="B669" s="55"/>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row>
    <row r="670" ht="15.75" customHeight="1">
      <c r="A670" s="56"/>
      <c r="B670" s="55"/>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row>
    <row r="671" ht="15.75" customHeight="1">
      <c r="A671" s="56"/>
      <c r="B671" s="55"/>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row>
    <row r="672" ht="15.75" customHeight="1">
      <c r="A672" s="56"/>
      <c r="B672" s="55"/>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row>
    <row r="673" ht="15.75" customHeight="1">
      <c r="A673" s="56"/>
      <c r="B673" s="55"/>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row>
    <row r="674" ht="15.75" customHeight="1">
      <c r="A674" s="56"/>
      <c r="B674" s="55"/>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row>
    <row r="675" ht="15.75" customHeight="1">
      <c r="A675" s="56"/>
      <c r="B675" s="55"/>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row>
    <row r="676" ht="15.75" customHeight="1">
      <c r="A676" s="56"/>
      <c r="B676" s="55"/>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row>
    <row r="677" ht="15.75" customHeight="1">
      <c r="A677" s="56"/>
      <c r="B677" s="55"/>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row>
    <row r="678" ht="15.75" customHeight="1">
      <c r="A678" s="56"/>
      <c r="B678" s="55"/>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row>
    <row r="679" ht="15.75" customHeight="1">
      <c r="A679" s="56"/>
      <c r="B679" s="55"/>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row>
    <row r="680" ht="15.75" customHeight="1">
      <c r="A680" s="56"/>
      <c r="B680" s="55"/>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row>
    <row r="681" ht="15.75" customHeight="1">
      <c r="A681" s="56"/>
      <c r="B681" s="55"/>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row>
    <row r="682" ht="15.75" customHeight="1">
      <c r="A682" s="56"/>
      <c r="B682" s="55"/>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row>
    <row r="683" ht="15.75" customHeight="1">
      <c r="A683" s="56"/>
      <c r="B683" s="55"/>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row>
    <row r="684" ht="15.75" customHeight="1">
      <c r="A684" s="56"/>
      <c r="B684" s="55"/>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row>
    <row r="685" ht="15.75" customHeight="1">
      <c r="A685" s="56"/>
      <c r="B685" s="55"/>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row>
    <row r="686" ht="15.75" customHeight="1">
      <c r="A686" s="56"/>
      <c r="B686" s="55"/>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row>
    <row r="687" ht="15.75" customHeight="1">
      <c r="A687" s="56"/>
      <c r="B687" s="55"/>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row>
    <row r="688" ht="15.75" customHeight="1">
      <c r="A688" s="56"/>
      <c r="B688" s="55"/>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row>
    <row r="689" ht="15.75" customHeight="1">
      <c r="A689" s="56"/>
      <c r="B689" s="55"/>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row>
    <row r="690" ht="15.75" customHeight="1">
      <c r="A690" s="56"/>
      <c r="B690" s="55"/>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row>
    <row r="691" ht="15.75" customHeight="1">
      <c r="A691" s="56"/>
      <c r="B691" s="55"/>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row>
    <row r="692" ht="15.75" customHeight="1">
      <c r="A692" s="56"/>
      <c r="B692" s="55"/>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row>
    <row r="693" ht="15.75" customHeight="1">
      <c r="A693" s="56"/>
      <c r="B693" s="55"/>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row>
    <row r="694" ht="15.75" customHeight="1">
      <c r="A694" s="56"/>
      <c r="B694" s="55"/>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row>
    <row r="695" ht="15.75" customHeight="1">
      <c r="A695" s="56"/>
      <c r="B695" s="55"/>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row>
    <row r="696" ht="15.75" customHeight="1">
      <c r="A696" s="56"/>
      <c r="B696" s="55"/>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row>
    <row r="697" ht="15.75" customHeight="1">
      <c r="A697" s="56"/>
      <c r="B697" s="55"/>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row>
    <row r="698" ht="15.75" customHeight="1">
      <c r="A698" s="56"/>
      <c r="B698" s="55"/>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row>
    <row r="699" ht="15.75" customHeight="1">
      <c r="A699" s="56"/>
      <c r="B699" s="55"/>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row>
    <row r="700" ht="15.75" customHeight="1">
      <c r="A700" s="56"/>
      <c r="B700" s="55"/>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row>
    <row r="701" ht="15.75" customHeight="1">
      <c r="A701" s="56"/>
      <c r="B701" s="55"/>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row>
    <row r="702" ht="15.75" customHeight="1">
      <c r="A702" s="56"/>
      <c r="B702" s="55"/>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row>
    <row r="703" ht="15.75" customHeight="1">
      <c r="A703" s="56"/>
      <c r="B703" s="55"/>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row>
    <row r="704" ht="15.75" customHeight="1">
      <c r="A704" s="56"/>
      <c r="B704" s="55"/>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row>
    <row r="705" ht="15.75" customHeight="1">
      <c r="A705" s="56"/>
      <c r="B705" s="55"/>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row>
    <row r="706" ht="15.75" customHeight="1">
      <c r="A706" s="56"/>
      <c r="B706" s="55"/>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row>
    <row r="707" ht="15.75" customHeight="1">
      <c r="A707" s="56"/>
      <c r="B707" s="55"/>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row>
    <row r="708" ht="15.75" customHeight="1">
      <c r="A708" s="56"/>
      <c r="B708" s="55"/>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row>
    <row r="709" ht="15.75" customHeight="1">
      <c r="A709" s="56"/>
      <c r="B709" s="55"/>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row>
    <row r="710" ht="15.75" customHeight="1">
      <c r="A710" s="56"/>
      <c r="B710" s="55"/>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row>
    <row r="711" ht="15.75" customHeight="1">
      <c r="A711" s="56"/>
      <c r="B711" s="55"/>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row>
    <row r="712" ht="15.75" customHeight="1">
      <c r="A712" s="56"/>
      <c r="B712" s="55"/>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row>
    <row r="713" ht="15.75" customHeight="1">
      <c r="A713" s="56"/>
      <c r="B713" s="55"/>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row>
    <row r="714" ht="15.75" customHeight="1">
      <c r="A714" s="56"/>
      <c r="B714" s="55"/>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row>
    <row r="715" ht="15.75" customHeight="1">
      <c r="A715" s="56"/>
      <c r="B715" s="55"/>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row>
    <row r="716" ht="15.75" customHeight="1">
      <c r="A716" s="56"/>
      <c r="B716" s="55"/>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row>
    <row r="717" ht="15.75" customHeight="1">
      <c r="A717" s="56"/>
      <c r="B717" s="55"/>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row>
    <row r="718" ht="15.75" customHeight="1">
      <c r="A718" s="56"/>
      <c r="B718" s="55"/>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row>
    <row r="719" ht="15.75" customHeight="1">
      <c r="A719" s="56"/>
      <c r="B719" s="55"/>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row>
    <row r="720" ht="15.75" customHeight="1">
      <c r="A720" s="56"/>
      <c r="B720" s="55"/>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row>
    <row r="721" ht="15.75" customHeight="1">
      <c r="A721" s="56"/>
      <c r="B721" s="55"/>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row>
    <row r="722" ht="15.75" customHeight="1">
      <c r="A722" s="56"/>
      <c r="B722" s="55"/>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row>
    <row r="723" ht="15.75" customHeight="1">
      <c r="A723" s="56"/>
      <c r="B723" s="55"/>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row>
    <row r="724" ht="15.75" customHeight="1">
      <c r="A724" s="56"/>
      <c r="B724" s="55"/>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row>
    <row r="725" ht="15.75" customHeight="1">
      <c r="A725" s="56"/>
      <c r="B725" s="55"/>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row>
    <row r="726" ht="15.75" customHeight="1">
      <c r="A726" s="56"/>
      <c r="B726" s="55"/>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row>
    <row r="727" ht="15.75" customHeight="1">
      <c r="A727" s="56"/>
      <c r="B727" s="55"/>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row>
    <row r="728" ht="15.75" customHeight="1">
      <c r="A728" s="56"/>
      <c r="B728" s="55"/>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row>
    <row r="729" ht="15.75" customHeight="1">
      <c r="A729" s="56"/>
      <c r="B729" s="55"/>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row>
    <row r="730" ht="15.75" customHeight="1">
      <c r="A730" s="56"/>
      <c r="B730" s="55"/>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row>
    <row r="731" ht="15.75" customHeight="1">
      <c r="A731" s="56"/>
      <c r="B731" s="55"/>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row>
    <row r="732" ht="15.75" customHeight="1">
      <c r="A732" s="56"/>
      <c r="B732" s="55"/>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row>
    <row r="733" ht="15.75" customHeight="1">
      <c r="A733" s="56"/>
      <c r="B733" s="55"/>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row>
    <row r="734" ht="15.75" customHeight="1">
      <c r="A734" s="56"/>
      <c r="B734" s="55"/>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row>
    <row r="735" ht="15.75" customHeight="1">
      <c r="A735" s="56"/>
      <c r="B735" s="55"/>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row>
    <row r="736" ht="15.75" customHeight="1">
      <c r="A736" s="56"/>
      <c r="B736" s="55"/>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row>
    <row r="737" ht="15.75" customHeight="1">
      <c r="A737" s="56"/>
      <c r="B737" s="55"/>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row>
    <row r="738" ht="15.75" customHeight="1">
      <c r="A738" s="56"/>
      <c r="B738" s="55"/>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row>
    <row r="739" ht="15.75" customHeight="1">
      <c r="A739" s="56"/>
      <c r="B739" s="55"/>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row>
    <row r="740" ht="15.75" customHeight="1">
      <c r="A740" s="56"/>
      <c r="B740" s="55"/>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row>
    <row r="741" ht="15.75" customHeight="1">
      <c r="A741" s="56"/>
      <c r="B741" s="55"/>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row>
    <row r="742" ht="15.75" customHeight="1">
      <c r="A742" s="56"/>
      <c r="B742" s="55"/>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row>
    <row r="743" ht="15.75" customHeight="1">
      <c r="A743" s="56"/>
      <c r="B743" s="55"/>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row>
    <row r="744" ht="15.75" customHeight="1">
      <c r="A744" s="56"/>
      <c r="B744" s="55"/>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row>
    <row r="745" ht="15.75" customHeight="1">
      <c r="A745" s="56"/>
      <c r="B745" s="55"/>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row>
    <row r="746" ht="15.75" customHeight="1">
      <c r="A746" s="56"/>
      <c r="B746" s="55"/>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row>
    <row r="747" ht="15.75" customHeight="1">
      <c r="A747" s="56"/>
      <c r="B747" s="55"/>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row>
    <row r="748" ht="15.75" customHeight="1">
      <c r="A748" s="56"/>
      <c r="B748" s="55"/>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row>
    <row r="749" ht="15.75" customHeight="1">
      <c r="A749" s="56"/>
      <c r="B749" s="55"/>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row>
    <row r="750" ht="15.75" customHeight="1">
      <c r="A750" s="56"/>
      <c r="B750" s="55"/>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row>
    <row r="751" ht="15.75" customHeight="1">
      <c r="A751" s="56"/>
      <c r="B751" s="55"/>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row>
    <row r="752" ht="15.75" customHeight="1">
      <c r="A752" s="56"/>
      <c r="B752" s="55"/>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row>
    <row r="753" ht="15.75" customHeight="1">
      <c r="A753" s="56"/>
      <c r="B753" s="55"/>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row>
    <row r="754" ht="15.75" customHeight="1">
      <c r="A754" s="56"/>
      <c r="B754" s="55"/>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row>
    <row r="755" ht="15.75" customHeight="1">
      <c r="A755" s="56"/>
      <c r="B755" s="55"/>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row>
    <row r="756" ht="15.75" customHeight="1">
      <c r="A756" s="56"/>
      <c r="B756" s="55"/>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row>
    <row r="757" ht="15.75" customHeight="1">
      <c r="A757" s="56"/>
      <c r="B757" s="55"/>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row>
    <row r="758" ht="15.75" customHeight="1">
      <c r="A758" s="56"/>
      <c r="B758" s="55"/>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row>
    <row r="759" ht="15.75" customHeight="1">
      <c r="A759" s="56"/>
      <c r="B759" s="55"/>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row>
    <row r="760" ht="15.75" customHeight="1">
      <c r="A760" s="56"/>
      <c r="B760" s="55"/>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row>
    <row r="761" ht="15.75" customHeight="1">
      <c r="A761" s="56"/>
      <c r="B761" s="55"/>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row>
    <row r="762" ht="15.75" customHeight="1">
      <c r="A762" s="56"/>
      <c r="B762" s="55"/>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row>
    <row r="763" ht="15.75" customHeight="1">
      <c r="A763" s="56"/>
      <c r="B763" s="55"/>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row>
    <row r="764" ht="15.75" customHeight="1">
      <c r="A764" s="56"/>
      <c r="B764" s="55"/>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row>
    <row r="765" ht="15.75" customHeight="1">
      <c r="A765" s="56"/>
      <c r="B765" s="55"/>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row>
    <row r="766" ht="15.75" customHeight="1">
      <c r="A766" s="56"/>
      <c r="B766" s="55"/>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row>
    <row r="767" ht="15.75" customHeight="1">
      <c r="A767" s="56"/>
      <c r="B767" s="55"/>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row>
    <row r="768" ht="15.75" customHeight="1">
      <c r="A768" s="56"/>
      <c r="B768" s="55"/>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row>
    <row r="769" ht="15.75" customHeight="1">
      <c r="A769" s="56"/>
      <c r="B769" s="55"/>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row>
    <row r="770" ht="15.75" customHeight="1">
      <c r="A770" s="56"/>
      <c r="B770" s="55"/>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row>
    <row r="771" ht="15.75" customHeight="1">
      <c r="A771" s="56"/>
      <c r="B771" s="55"/>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row>
    <row r="772" ht="15.75" customHeight="1">
      <c r="A772" s="56"/>
      <c r="B772" s="55"/>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row>
    <row r="773" ht="15.75" customHeight="1">
      <c r="A773" s="56"/>
      <c r="B773" s="55"/>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row>
    <row r="774" ht="15.75" customHeight="1">
      <c r="A774" s="56"/>
      <c r="B774" s="55"/>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row>
    <row r="775" ht="15.75" customHeight="1">
      <c r="A775" s="56"/>
      <c r="B775" s="55"/>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row>
    <row r="776" ht="15.75" customHeight="1">
      <c r="A776" s="56"/>
      <c r="B776" s="55"/>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row>
    <row r="777" ht="15.75" customHeight="1">
      <c r="A777" s="56"/>
      <c r="B777" s="55"/>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row>
    <row r="778" ht="15.75" customHeight="1">
      <c r="A778" s="56"/>
      <c r="B778" s="55"/>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row>
    <row r="779" ht="15.75" customHeight="1">
      <c r="A779" s="56"/>
      <c r="B779" s="55"/>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row>
    <row r="780" ht="15.75" customHeight="1">
      <c r="A780" s="56"/>
      <c r="B780" s="55"/>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row>
    <row r="781" ht="15.75" customHeight="1">
      <c r="A781" s="56"/>
      <c r="B781" s="55"/>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row>
    <row r="782" ht="15.75" customHeight="1">
      <c r="A782" s="56"/>
      <c r="B782" s="55"/>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row>
    <row r="783" ht="15.75" customHeight="1">
      <c r="A783" s="56"/>
      <c r="B783" s="55"/>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row>
    <row r="784" ht="15.75" customHeight="1">
      <c r="A784" s="56"/>
      <c r="B784" s="55"/>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row>
    <row r="785" ht="15.75" customHeight="1">
      <c r="A785" s="56"/>
      <c r="B785" s="55"/>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row>
    <row r="786" ht="15.75" customHeight="1">
      <c r="A786" s="56"/>
      <c r="B786" s="55"/>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row>
    <row r="787" ht="15.75" customHeight="1">
      <c r="A787" s="56"/>
      <c r="B787" s="55"/>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row>
    <row r="788" ht="15.75" customHeight="1">
      <c r="A788" s="56"/>
      <c r="B788" s="55"/>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row>
    <row r="789" ht="15.75" customHeight="1">
      <c r="A789" s="56"/>
      <c r="B789" s="55"/>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row>
    <row r="790" ht="15.75" customHeight="1">
      <c r="A790" s="56"/>
      <c r="B790" s="55"/>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row>
    <row r="791" ht="15.75" customHeight="1">
      <c r="A791" s="56"/>
      <c r="B791" s="55"/>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row>
    <row r="792" ht="15.75" customHeight="1">
      <c r="A792" s="56"/>
      <c r="B792" s="55"/>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row>
    <row r="793" ht="15.75" customHeight="1">
      <c r="A793" s="56"/>
      <c r="B793" s="55"/>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row>
    <row r="794" ht="15.75" customHeight="1">
      <c r="A794" s="56"/>
      <c r="B794" s="55"/>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row>
    <row r="795" ht="15.75" customHeight="1">
      <c r="A795" s="56"/>
      <c r="B795" s="55"/>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row>
    <row r="796" ht="15.75" customHeight="1">
      <c r="A796" s="56"/>
      <c r="B796" s="55"/>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row>
    <row r="797" ht="15.75" customHeight="1">
      <c r="A797" s="56"/>
      <c r="B797" s="55"/>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row>
    <row r="798" ht="15.75" customHeight="1">
      <c r="A798" s="56"/>
      <c r="B798" s="55"/>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row>
    <row r="799" ht="15.75" customHeight="1">
      <c r="A799" s="56"/>
      <c r="B799" s="55"/>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row>
    <row r="800" ht="15.75" customHeight="1">
      <c r="A800" s="56"/>
      <c r="B800" s="55"/>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row>
    <row r="801" ht="15.75" customHeight="1">
      <c r="A801" s="56"/>
      <c r="B801" s="55"/>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row>
    <row r="802" ht="15.75" customHeight="1">
      <c r="A802" s="56"/>
      <c r="B802" s="55"/>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row>
    <row r="803" ht="15.75" customHeight="1">
      <c r="A803" s="56"/>
      <c r="B803" s="55"/>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row>
    <row r="804" ht="15.75" customHeight="1">
      <c r="A804" s="56"/>
      <c r="B804" s="55"/>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row>
    <row r="805" ht="15.75" customHeight="1">
      <c r="A805" s="56"/>
      <c r="B805" s="55"/>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row>
    <row r="806" ht="15.75" customHeight="1">
      <c r="A806" s="56"/>
      <c r="B806" s="55"/>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row>
    <row r="807" ht="15.75" customHeight="1">
      <c r="A807" s="56"/>
      <c r="B807" s="55"/>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row>
    <row r="808" ht="15.75" customHeight="1">
      <c r="A808" s="56"/>
      <c r="B808" s="55"/>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row>
    <row r="809" ht="15.75" customHeight="1">
      <c r="A809" s="56"/>
      <c r="B809" s="55"/>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row>
    <row r="810" ht="15.75" customHeight="1">
      <c r="A810" s="56"/>
      <c r="B810" s="55"/>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row>
    <row r="811" ht="15.75" customHeight="1">
      <c r="A811" s="56"/>
      <c r="B811" s="55"/>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row>
    <row r="812" ht="15.75" customHeight="1">
      <c r="A812" s="56"/>
      <c r="B812" s="55"/>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row>
    <row r="813" ht="15.75" customHeight="1">
      <c r="A813" s="56"/>
      <c r="B813" s="55"/>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row>
    <row r="814" ht="15.75" customHeight="1">
      <c r="A814" s="56"/>
      <c r="B814" s="55"/>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row>
    <row r="815" ht="15.75" customHeight="1">
      <c r="A815" s="56"/>
      <c r="B815" s="55"/>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row>
    <row r="816" ht="15.75" customHeight="1">
      <c r="A816" s="56"/>
      <c r="B816" s="55"/>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row>
    <row r="817" ht="15.75" customHeight="1">
      <c r="A817" s="56"/>
      <c r="B817" s="55"/>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row>
    <row r="818" ht="15.75" customHeight="1">
      <c r="A818" s="56"/>
      <c r="B818" s="55"/>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row>
    <row r="819" ht="15.75" customHeight="1">
      <c r="A819" s="56"/>
      <c r="B819" s="55"/>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row>
    <row r="820" ht="15.75" customHeight="1">
      <c r="A820" s="56"/>
      <c r="B820" s="55"/>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row>
    <row r="821" ht="15.75" customHeight="1">
      <c r="A821" s="56"/>
      <c r="B821" s="55"/>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row>
    <row r="822" ht="15.75" customHeight="1">
      <c r="A822" s="56"/>
      <c r="B822" s="55"/>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row>
    <row r="823" ht="15.75" customHeight="1">
      <c r="A823" s="56"/>
      <c r="B823" s="55"/>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row>
    <row r="824" ht="15.75" customHeight="1">
      <c r="A824" s="56"/>
      <c r="B824" s="55"/>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row>
    <row r="825" ht="15.75" customHeight="1">
      <c r="A825" s="56"/>
      <c r="B825" s="55"/>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row>
    <row r="826" ht="15.75" customHeight="1">
      <c r="A826" s="56"/>
      <c r="B826" s="55"/>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row>
    <row r="827" ht="15.75" customHeight="1">
      <c r="A827" s="56"/>
      <c r="B827" s="55"/>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row>
    <row r="828" ht="15.75" customHeight="1">
      <c r="A828" s="56"/>
      <c r="B828" s="55"/>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row>
    <row r="829" ht="15.75" customHeight="1">
      <c r="A829" s="56"/>
      <c r="B829" s="55"/>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row>
    <row r="830" ht="15.75" customHeight="1">
      <c r="A830" s="56"/>
      <c r="B830" s="55"/>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row>
    <row r="831" ht="15.75" customHeight="1">
      <c r="A831" s="56"/>
      <c r="B831" s="55"/>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row>
    <row r="832" ht="15.75" customHeight="1">
      <c r="A832" s="56"/>
      <c r="B832" s="55"/>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row>
    <row r="833" ht="15.75" customHeight="1">
      <c r="A833" s="56"/>
      <c r="B833" s="55"/>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row>
    <row r="834" ht="15.75" customHeight="1">
      <c r="A834" s="56"/>
      <c r="B834" s="55"/>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row>
    <row r="835" ht="15.75" customHeight="1">
      <c r="A835" s="56"/>
      <c r="B835" s="55"/>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row>
    <row r="836" ht="15.75" customHeight="1">
      <c r="A836" s="56"/>
      <c r="B836" s="55"/>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row>
    <row r="837" ht="15.75" customHeight="1">
      <c r="A837" s="56"/>
      <c r="B837" s="55"/>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row>
    <row r="838" ht="15.75" customHeight="1">
      <c r="A838" s="56"/>
      <c r="B838" s="55"/>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row>
    <row r="839" ht="15.75" customHeight="1">
      <c r="A839" s="56"/>
      <c r="B839" s="55"/>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row>
    <row r="840" ht="15.75" customHeight="1">
      <c r="A840" s="56"/>
      <c r="B840" s="55"/>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row>
    <row r="841" ht="15.75" customHeight="1">
      <c r="A841" s="56"/>
      <c r="B841" s="55"/>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row>
    <row r="842" ht="15.75" customHeight="1">
      <c r="A842" s="56"/>
      <c r="B842" s="55"/>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row>
    <row r="843" ht="15.75" customHeight="1">
      <c r="A843" s="56"/>
      <c r="B843" s="55"/>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row>
    <row r="844" ht="15.75" customHeight="1">
      <c r="A844" s="56"/>
      <c r="B844" s="55"/>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row>
    <row r="845" ht="15.75" customHeight="1">
      <c r="A845" s="56"/>
      <c r="B845" s="55"/>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row>
    <row r="846" ht="15.75" customHeight="1">
      <c r="A846" s="56"/>
      <c r="B846" s="55"/>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row>
    <row r="847" ht="15.75" customHeight="1">
      <c r="A847" s="56"/>
      <c r="B847" s="55"/>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row>
    <row r="848" ht="15.75" customHeight="1">
      <c r="A848" s="56"/>
      <c r="B848" s="55"/>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row>
    <row r="849" ht="15.75" customHeight="1">
      <c r="A849" s="56"/>
      <c r="B849" s="55"/>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row>
    <row r="850" ht="15.75" customHeight="1">
      <c r="A850" s="56"/>
      <c r="B850" s="55"/>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row>
    <row r="851" ht="15.75" customHeight="1">
      <c r="A851" s="56"/>
      <c r="B851" s="55"/>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row>
    <row r="852" ht="15.75" customHeight="1">
      <c r="A852" s="56"/>
      <c r="B852" s="55"/>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row>
    <row r="853" ht="15.75" customHeight="1">
      <c r="A853" s="56"/>
      <c r="B853" s="55"/>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row>
    <row r="854" ht="15.75" customHeight="1">
      <c r="A854" s="56"/>
      <c r="B854" s="55"/>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row>
    <row r="855" ht="15.75" customHeight="1">
      <c r="A855" s="56"/>
      <c r="B855" s="55"/>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row>
    <row r="856" ht="15.75" customHeight="1">
      <c r="A856" s="56"/>
      <c r="B856" s="55"/>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row>
    <row r="857" ht="15.75" customHeight="1">
      <c r="A857" s="56"/>
      <c r="B857" s="55"/>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row>
    <row r="858" ht="15.75" customHeight="1">
      <c r="A858" s="56"/>
      <c r="B858" s="55"/>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row>
    <row r="859" ht="15.75" customHeight="1">
      <c r="A859" s="56"/>
      <c r="B859" s="55"/>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row>
    <row r="860" ht="15.75" customHeight="1">
      <c r="A860" s="56"/>
      <c r="B860" s="55"/>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row>
    <row r="861" ht="15.75" customHeight="1">
      <c r="A861" s="56"/>
      <c r="B861" s="55"/>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row>
    <row r="862" ht="15.75" customHeight="1">
      <c r="A862" s="56"/>
      <c r="B862" s="55"/>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row>
    <row r="863" ht="15.75" customHeight="1">
      <c r="A863" s="56"/>
      <c r="B863" s="55"/>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row>
    <row r="864" ht="15.75" customHeight="1">
      <c r="A864" s="56"/>
      <c r="B864" s="55"/>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row>
    <row r="865" ht="15.75" customHeight="1">
      <c r="A865" s="56"/>
      <c r="B865" s="55"/>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row>
    <row r="866" ht="15.75" customHeight="1">
      <c r="A866" s="56"/>
      <c r="B866" s="55"/>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row>
    <row r="867" ht="15.75" customHeight="1">
      <c r="A867" s="56"/>
      <c r="B867" s="55"/>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row>
    <row r="868" ht="15.75" customHeight="1">
      <c r="A868" s="56"/>
      <c r="B868" s="55"/>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row>
    <row r="869" ht="15.75" customHeight="1">
      <c r="A869" s="56"/>
      <c r="B869" s="55"/>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row>
    <row r="870" ht="15.75" customHeight="1">
      <c r="A870" s="56"/>
      <c r="B870" s="55"/>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row>
    <row r="871" ht="15.75" customHeight="1">
      <c r="A871" s="56"/>
      <c r="B871" s="55"/>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row>
    <row r="872" ht="15.75" customHeight="1">
      <c r="A872" s="56"/>
      <c r="B872" s="55"/>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row>
    <row r="873" ht="15.75" customHeight="1">
      <c r="A873" s="56"/>
      <c r="B873" s="55"/>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row>
    <row r="874" ht="15.75" customHeight="1">
      <c r="A874" s="56"/>
      <c r="B874" s="55"/>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row>
    <row r="875" ht="15.75" customHeight="1">
      <c r="A875" s="56"/>
      <c r="B875" s="55"/>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row>
    <row r="876" ht="15.75" customHeight="1">
      <c r="A876" s="56"/>
      <c r="B876" s="55"/>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row>
    <row r="877" ht="15.75" customHeight="1">
      <c r="A877" s="56"/>
      <c r="B877" s="55"/>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row>
    <row r="878" ht="15.75" customHeight="1">
      <c r="A878" s="56"/>
      <c r="B878" s="55"/>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row>
    <row r="879" ht="15.75" customHeight="1">
      <c r="A879" s="56"/>
      <c r="B879" s="55"/>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row>
    <row r="880" ht="15.75" customHeight="1">
      <c r="A880" s="56"/>
      <c r="B880" s="55"/>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row>
    <row r="881" ht="15.75" customHeight="1">
      <c r="A881" s="56"/>
      <c r="B881" s="55"/>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row>
    <row r="882" ht="15.75" customHeight="1">
      <c r="A882" s="56"/>
      <c r="B882" s="55"/>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row>
    <row r="883" ht="15.75" customHeight="1">
      <c r="A883" s="56"/>
      <c r="B883" s="55"/>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row>
    <row r="884" ht="15.75" customHeight="1">
      <c r="A884" s="56"/>
      <c r="B884" s="55"/>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row>
    <row r="885" ht="15.75" customHeight="1">
      <c r="A885" s="56"/>
      <c r="B885" s="55"/>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row>
    <row r="886" ht="15.75" customHeight="1">
      <c r="A886" s="56"/>
      <c r="B886" s="55"/>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row>
    <row r="887" ht="15.75" customHeight="1">
      <c r="A887" s="56"/>
      <c r="B887" s="55"/>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row>
    <row r="888" ht="15.75" customHeight="1">
      <c r="A888" s="56"/>
      <c r="B888" s="55"/>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row>
    <row r="889" ht="15.75" customHeight="1">
      <c r="A889" s="56"/>
      <c r="B889" s="55"/>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row>
    <row r="890" ht="15.75" customHeight="1">
      <c r="A890" s="56"/>
      <c r="B890" s="55"/>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row>
    <row r="891" ht="15.75" customHeight="1">
      <c r="A891" s="56"/>
      <c r="B891" s="55"/>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row>
    <row r="892" ht="15.75" customHeight="1">
      <c r="A892" s="56"/>
      <c r="B892" s="55"/>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row>
    <row r="893" ht="15.75" customHeight="1">
      <c r="A893" s="56"/>
      <c r="B893" s="55"/>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row>
    <row r="894" ht="15.75" customHeight="1">
      <c r="A894" s="56"/>
      <c r="B894" s="55"/>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row>
    <row r="895" ht="15.75" customHeight="1">
      <c r="A895" s="56"/>
      <c r="B895" s="55"/>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row>
    <row r="896" ht="15.75" customHeight="1">
      <c r="A896" s="56"/>
      <c r="B896" s="55"/>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row>
    <row r="897" ht="15.75" customHeight="1">
      <c r="A897" s="56"/>
      <c r="B897" s="55"/>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row>
    <row r="898" ht="15.75" customHeight="1">
      <c r="A898" s="56"/>
      <c r="B898" s="55"/>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row>
    <row r="899" ht="15.75" customHeight="1">
      <c r="A899" s="56"/>
      <c r="B899" s="55"/>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row>
    <row r="900" ht="15.75" customHeight="1">
      <c r="A900" s="56"/>
      <c r="B900" s="55"/>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row>
    <row r="901" ht="15.75" customHeight="1">
      <c r="A901" s="56"/>
      <c r="B901" s="55"/>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row>
    <row r="902" ht="15.75" customHeight="1">
      <c r="A902" s="56"/>
      <c r="B902" s="55"/>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row>
    <row r="903" ht="15.75" customHeight="1">
      <c r="A903" s="56"/>
      <c r="B903" s="55"/>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row>
    <row r="904" ht="15.75" customHeight="1">
      <c r="A904" s="56"/>
      <c r="B904" s="55"/>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row>
    <row r="905" ht="15.75" customHeight="1">
      <c r="A905" s="56"/>
      <c r="B905" s="55"/>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row>
    <row r="906" ht="15.75" customHeight="1">
      <c r="A906" s="56"/>
      <c r="B906" s="55"/>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row>
    <row r="907" ht="15.75" customHeight="1">
      <c r="A907" s="56"/>
      <c r="B907" s="55"/>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row>
    <row r="908" ht="15.75" customHeight="1">
      <c r="A908" s="56"/>
      <c r="B908" s="55"/>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row>
    <row r="909" ht="15.75" customHeight="1">
      <c r="A909" s="56"/>
      <c r="B909" s="55"/>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row>
    <row r="910" ht="15.75" customHeight="1">
      <c r="A910" s="56"/>
      <c r="B910" s="55"/>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row>
    <row r="911" ht="15.75" customHeight="1">
      <c r="A911" s="56"/>
      <c r="B911" s="55"/>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row>
    <row r="912" ht="15.75" customHeight="1">
      <c r="A912" s="56"/>
      <c r="B912" s="55"/>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row>
    <row r="913" ht="15.75" customHeight="1">
      <c r="A913" s="56"/>
      <c r="B913" s="55"/>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row>
    <row r="914" ht="15.75" customHeight="1">
      <c r="A914" s="56"/>
      <c r="B914" s="55"/>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row>
    <row r="915" ht="15.75" customHeight="1">
      <c r="A915" s="56"/>
      <c r="B915" s="55"/>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row>
    <row r="916" ht="15.75" customHeight="1">
      <c r="A916" s="56"/>
      <c r="B916" s="55"/>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row>
    <row r="917" ht="15.75" customHeight="1">
      <c r="A917" s="56"/>
      <c r="B917" s="55"/>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row>
    <row r="918" ht="15.75" customHeight="1">
      <c r="A918" s="56"/>
      <c r="B918" s="55"/>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row>
    <row r="919" ht="15.75" customHeight="1">
      <c r="A919" s="56"/>
      <c r="B919" s="55"/>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row>
    <row r="920" ht="15.75" customHeight="1">
      <c r="A920" s="56"/>
      <c r="B920" s="55"/>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row>
    <row r="921" ht="15.75" customHeight="1">
      <c r="A921" s="56"/>
      <c r="B921" s="55"/>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row>
    <row r="922" ht="15.75" customHeight="1">
      <c r="A922" s="56"/>
      <c r="B922" s="55"/>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row>
    <row r="923" ht="15.75" customHeight="1">
      <c r="A923" s="56"/>
      <c r="B923" s="55"/>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row>
    <row r="924" ht="15.75" customHeight="1">
      <c r="A924" s="56"/>
      <c r="B924" s="55"/>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row>
    <row r="925" ht="15.75" customHeight="1">
      <c r="A925" s="56"/>
      <c r="B925" s="55"/>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row>
    <row r="926" ht="15.75" customHeight="1">
      <c r="A926" s="56"/>
      <c r="B926" s="55"/>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row>
    <row r="927" ht="15.75" customHeight="1">
      <c r="A927" s="56"/>
      <c r="B927" s="55"/>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row>
    <row r="928" ht="15.75" customHeight="1">
      <c r="A928" s="56"/>
      <c r="B928" s="55"/>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row>
    <row r="929" ht="15.75" customHeight="1">
      <c r="A929" s="56"/>
      <c r="B929" s="55"/>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row>
    <row r="930" ht="15.75" customHeight="1">
      <c r="A930" s="56"/>
      <c r="B930" s="55"/>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row>
    <row r="931" ht="15.75" customHeight="1">
      <c r="A931" s="56"/>
      <c r="B931" s="55"/>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row>
    <row r="932" ht="15.75" customHeight="1">
      <c r="A932" s="56"/>
      <c r="B932" s="55"/>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row>
    <row r="933" ht="15.75" customHeight="1">
      <c r="A933" s="56"/>
      <c r="B933" s="55"/>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row>
    <row r="934" ht="15.75" customHeight="1">
      <c r="A934" s="56"/>
      <c r="B934" s="55"/>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row>
    <row r="935" ht="15.75" customHeight="1">
      <c r="A935" s="56"/>
      <c r="B935" s="55"/>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row>
    <row r="936" ht="15.75" customHeight="1">
      <c r="A936" s="56"/>
      <c r="B936" s="55"/>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row>
    <row r="937" ht="15.75" customHeight="1">
      <c r="A937" s="56"/>
      <c r="B937" s="55"/>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row>
    <row r="938" ht="15.75" customHeight="1">
      <c r="A938" s="56"/>
      <c r="B938" s="55"/>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row>
    <row r="939" ht="15.75" customHeight="1">
      <c r="A939" s="56"/>
      <c r="B939" s="55"/>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row>
    <row r="940" ht="15.75" customHeight="1">
      <c r="A940" s="56"/>
      <c r="B940" s="55"/>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row>
    <row r="941" ht="15.75" customHeight="1">
      <c r="A941" s="56"/>
      <c r="B941" s="55"/>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row>
    <row r="942" ht="15.75" customHeight="1">
      <c r="A942" s="56"/>
      <c r="B942" s="55"/>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row>
    <row r="943" ht="15.75" customHeight="1">
      <c r="A943" s="56"/>
      <c r="B943" s="55"/>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row>
    <row r="944" ht="15.75" customHeight="1">
      <c r="A944" s="56"/>
      <c r="B944" s="55"/>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row>
    <row r="945" ht="15.75" customHeight="1">
      <c r="A945" s="56"/>
      <c r="B945" s="55"/>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row>
    <row r="946" ht="15.75" customHeight="1">
      <c r="A946" s="56"/>
      <c r="B946" s="55"/>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row>
    <row r="947" ht="15.75" customHeight="1">
      <c r="A947" s="56"/>
      <c r="B947" s="55"/>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row>
    <row r="948" ht="15.75" customHeight="1">
      <c r="A948" s="56"/>
      <c r="B948" s="55"/>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row>
    <row r="949" ht="15.75" customHeight="1">
      <c r="A949" s="56"/>
      <c r="B949" s="55"/>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row>
    <row r="950" ht="15.75" customHeight="1">
      <c r="A950" s="56"/>
      <c r="B950" s="55"/>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row>
    <row r="951" ht="15.75" customHeight="1">
      <c r="A951" s="56"/>
      <c r="B951" s="55"/>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row>
    <row r="952" ht="15.75" customHeight="1">
      <c r="A952" s="56"/>
      <c r="B952" s="55"/>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row>
    <row r="953" ht="15.75" customHeight="1">
      <c r="A953" s="56"/>
      <c r="B953" s="55"/>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row>
    <row r="954" ht="15.75" customHeight="1">
      <c r="A954" s="56"/>
      <c r="B954" s="55"/>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row>
    <row r="955" ht="15.75" customHeight="1">
      <c r="A955" s="56"/>
      <c r="B955" s="55"/>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row>
    <row r="956" ht="15.75" customHeight="1">
      <c r="A956" s="56"/>
      <c r="B956" s="55"/>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row>
    <row r="957" ht="15.75" customHeight="1">
      <c r="A957" s="56"/>
      <c r="B957" s="55"/>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row>
    <row r="958" ht="15.75" customHeight="1">
      <c r="A958" s="56"/>
      <c r="B958" s="55"/>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row>
    <row r="959" ht="15.75" customHeight="1">
      <c r="A959" s="56"/>
      <c r="B959" s="55"/>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row>
    <row r="960" ht="15.75" customHeight="1">
      <c r="A960" s="56"/>
      <c r="B960" s="55"/>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row>
    <row r="961" ht="15.75" customHeight="1">
      <c r="A961" s="56"/>
      <c r="B961" s="55"/>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row>
    <row r="962" ht="15.75" customHeight="1">
      <c r="A962" s="56"/>
      <c r="B962" s="55"/>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row>
    <row r="963" ht="15.75" customHeight="1">
      <c r="A963" s="56"/>
      <c r="B963" s="55"/>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row>
    <row r="964" ht="15.75" customHeight="1">
      <c r="A964" s="56"/>
      <c r="B964" s="55"/>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row>
    <row r="965" ht="15.75" customHeight="1">
      <c r="A965" s="56"/>
      <c r="B965" s="55"/>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row>
    <row r="966" ht="15.75" customHeight="1">
      <c r="A966" s="56"/>
      <c r="B966" s="55"/>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row>
    <row r="967" ht="15.75" customHeight="1">
      <c r="A967" s="56"/>
      <c r="B967" s="55"/>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row>
    <row r="968" ht="15.75" customHeight="1">
      <c r="A968" s="56"/>
      <c r="B968" s="55"/>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row>
    <row r="969" ht="15.75" customHeight="1">
      <c r="A969" s="56"/>
      <c r="B969" s="55"/>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row>
    <row r="970" ht="15.75" customHeight="1">
      <c r="A970" s="56"/>
      <c r="B970" s="55"/>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row>
    <row r="971" ht="15.75" customHeight="1">
      <c r="A971" s="56"/>
      <c r="B971" s="55"/>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row>
    <row r="972" ht="15.75" customHeight="1">
      <c r="A972" s="56"/>
      <c r="B972" s="55"/>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row>
    <row r="973" ht="15.75" customHeight="1">
      <c r="A973" s="56"/>
      <c r="B973" s="55"/>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row>
    <row r="974" ht="15.75" customHeight="1">
      <c r="A974" s="56"/>
      <c r="B974" s="55"/>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row>
    <row r="975" ht="15.75" customHeight="1">
      <c r="A975" s="56"/>
      <c r="B975" s="55"/>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row>
    <row r="976" ht="15.75" customHeight="1">
      <c r="A976" s="56"/>
      <c r="B976" s="55"/>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row>
    <row r="977" ht="15.75" customHeight="1">
      <c r="A977" s="56"/>
      <c r="B977" s="55"/>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row>
    <row r="978" ht="15.75" customHeight="1">
      <c r="A978" s="56"/>
      <c r="B978" s="55"/>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row>
    <row r="979" ht="15.75" customHeight="1">
      <c r="A979" s="117"/>
      <c r="B979" s="142"/>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c r="AA979" s="117"/>
    </row>
    <row r="980" ht="15.75" customHeight="1">
      <c r="A980" s="117"/>
      <c r="B980" s="142"/>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c r="AA980" s="117"/>
    </row>
  </sheetData>
  <hyperlinks>
    <hyperlink r:id="rId1" ref="B14"/>
    <hyperlink r:id="rId2" ref="B15"/>
    <hyperlink r:id="rId3" ref="B16"/>
    <hyperlink r:id="rId4" ref="B17"/>
    <hyperlink r:id="rId5" ref="B18"/>
    <hyperlink r:id="rId6" ref="B19"/>
    <hyperlink r:id="rId7" ref="B20"/>
    <hyperlink r:id="rId8" ref="B22"/>
    <hyperlink r:id="rId9" ref="B23"/>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 width="40.11"/>
    <col customWidth="1" min="3" max="6" width="13.44"/>
    <col customWidth="1" min="7" max="7" width="46.78"/>
    <col customWidth="1" min="8" max="10" width="14.56"/>
    <col customWidth="1" min="11" max="26" width="13.44"/>
  </cols>
  <sheetData>
    <row r="1">
      <c r="A1" s="115" t="s">
        <v>287</v>
      </c>
      <c r="B1" s="115" t="s">
        <v>288</v>
      </c>
      <c r="C1" s="116" t="s">
        <v>289</v>
      </c>
      <c r="D1" s="116" t="s">
        <v>290</v>
      </c>
      <c r="E1" s="116" t="s">
        <v>291</v>
      </c>
      <c r="F1" s="116" t="s">
        <v>292</v>
      </c>
      <c r="G1" s="116" t="s">
        <v>293</v>
      </c>
      <c r="H1" s="116" t="s">
        <v>294</v>
      </c>
      <c r="I1" s="116" t="s">
        <v>295</v>
      </c>
      <c r="J1" s="116" t="s">
        <v>296</v>
      </c>
      <c r="K1" s="117"/>
    </row>
    <row r="2">
      <c r="A2" s="118" t="s">
        <v>297</v>
      </c>
      <c r="B2" s="119" t="s">
        <v>298</v>
      </c>
      <c r="C2" s="120" t="s">
        <v>298</v>
      </c>
      <c r="D2" s="120" t="s">
        <v>298</v>
      </c>
      <c r="E2" s="120" t="s">
        <v>298</v>
      </c>
      <c r="F2" s="120" t="s">
        <v>298</v>
      </c>
      <c r="G2" s="120" t="s">
        <v>298</v>
      </c>
      <c r="H2" s="120" t="s">
        <v>298</v>
      </c>
      <c r="I2" s="121" t="s">
        <v>298</v>
      </c>
      <c r="J2" s="121" t="s">
        <v>298</v>
      </c>
      <c r="K2" s="117"/>
    </row>
    <row r="3">
      <c r="A3" s="122" t="s">
        <v>299</v>
      </c>
      <c r="B3" s="119" t="s">
        <v>298</v>
      </c>
      <c r="C3" s="120" t="s">
        <v>298</v>
      </c>
      <c r="D3" s="120" t="s">
        <v>298</v>
      </c>
      <c r="E3" s="120" t="s">
        <v>298</v>
      </c>
      <c r="F3" s="120" t="s">
        <v>298</v>
      </c>
      <c r="G3" s="120" t="s">
        <v>298</v>
      </c>
      <c r="H3" s="120" t="s">
        <v>298</v>
      </c>
      <c r="I3" s="121" t="s">
        <v>298</v>
      </c>
      <c r="J3" s="121" t="s">
        <v>298</v>
      </c>
      <c r="K3" s="117"/>
    </row>
    <row r="4" ht="15.75" customHeight="1">
      <c r="A4" s="118" t="s">
        <v>144</v>
      </c>
      <c r="B4" s="119" t="s">
        <v>298</v>
      </c>
      <c r="C4" s="120" t="s">
        <v>298</v>
      </c>
      <c r="D4" s="120" t="s">
        <v>298</v>
      </c>
      <c r="E4" s="120" t="s">
        <v>298</v>
      </c>
      <c r="F4" s="120" t="s">
        <v>298</v>
      </c>
      <c r="G4" s="120" t="s">
        <v>298</v>
      </c>
      <c r="H4" s="120" t="s">
        <v>298</v>
      </c>
      <c r="I4" s="121" t="s">
        <v>298</v>
      </c>
      <c r="J4" s="121" t="s">
        <v>298</v>
      </c>
      <c r="K4" s="117"/>
    </row>
    <row r="5">
      <c r="A5" s="123" t="s">
        <v>300</v>
      </c>
      <c r="B5" s="124" t="s">
        <v>298</v>
      </c>
      <c r="C5" s="125" t="s">
        <v>298</v>
      </c>
      <c r="D5" s="125" t="s">
        <v>298</v>
      </c>
      <c r="E5" s="125" t="s">
        <v>298</v>
      </c>
      <c r="F5" s="125" t="s">
        <v>298</v>
      </c>
      <c r="G5" s="125" t="s">
        <v>298</v>
      </c>
      <c r="H5" s="125" t="s">
        <v>298</v>
      </c>
      <c r="I5" s="126" t="s">
        <v>298</v>
      </c>
      <c r="J5" s="126" t="s">
        <v>298</v>
      </c>
      <c r="K5" s="127"/>
      <c r="L5" s="128"/>
      <c r="M5" s="128"/>
      <c r="N5" s="128"/>
      <c r="O5" s="128"/>
      <c r="P5" s="128"/>
      <c r="Q5" s="128"/>
      <c r="R5" s="128"/>
      <c r="S5" s="128"/>
      <c r="T5" s="128"/>
      <c r="U5" s="128"/>
      <c r="V5" s="128"/>
      <c r="W5" s="128"/>
      <c r="X5" s="128"/>
      <c r="Y5" s="128"/>
      <c r="Z5" s="128"/>
    </row>
    <row r="6" ht="15.75" customHeight="1">
      <c r="A6" s="129" t="s">
        <v>301</v>
      </c>
      <c r="B6" s="119" t="s">
        <v>302</v>
      </c>
      <c r="C6" s="130" t="s">
        <v>303</v>
      </c>
      <c r="D6" s="130" t="s">
        <v>304</v>
      </c>
      <c r="E6" s="130" t="s">
        <v>305</v>
      </c>
      <c r="F6" s="130" t="s">
        <v>306</v>
      </c>
      <c r="G6" s="130" t="s">
        <v>307</v>
      </c>
      <c r="H6" s="130">
        <v>7.0</v>
      </c>
      <c r="I6" s="121">
        <v>0.01</v>
      </c>
      <c r="J6" s="121">
        <v>1.14</v>
      </c>
      <c r="K6" s="131"/>
    </row>
    <row r="7" ht="15.75" customHeight="1">
      <c r="A7" s="132" t="s">
        <v>308</v>
      </c>
      <c r="B7" s="119" t="s">
        <v>309</v>
      </c>
      <c r="C7" s="130" t="s">
        <v>303</v>
      </c>
      <c r="D7" s="130" t="s">
        <v>304</v>
      </c>
      <c r="E7" s="130" t="s">
        <v>305</v>
      </c>
      <c r="F7" s="130" t="s">
        <v>306</v>
      </c>
      <c r="G7" s="130" t="s">
        <v>310</v>
      </c>
      <c r="H7" s="130">
        <v>5.0</v>
      </c>
      <c r="I7" s="121">
        <v>0.0</v>
      </c>
      <c r="J7" s="121">
        <v>0.0</v>
      </c>
      <c r="K7" s="131"/>
    </row>
    <row r="8" ht="15.75" customHeight="1">
      <c r="A8" s="118" t="s">
        <v>308</v>
      </c>
      <c r="B8" s="119" t="s">
        <v>309</v>
      </c>
      <c r="C8" s="130" t="s">
        <v>311</v>
      </c>
      <c r="D8" s="130" t="s">
        <v>304</v>
      </c>
      <c r="E8" s="130" t="s">
        <v>305</v>
      </c>
      <c r="F8" s="130" t="s">
        <v>306</v>
      </c>
      <c r="G8" s="130" t="s">
        <v>312</v>
      </c>
      <c r="H8" s="130">
        <v>1.0</v>
      </c>
      <c r="I8" s="121">
        <v>0.0</v>
      </c>
      <c r="J8" s="121">
        <v>0.0</v>
      </c>
      <c r="K8" s="131"/>
    </row>
    <row r="9" ht="15.75" customHeight="1">
      <c r="A9" s="122" t="s">
        <v>313</v>
      </c>
      <c r="B9" s="133" t="s">
        <v>314</v>
      </c>
      <c r="C9" s="120" t="s">
        <v>315</v>
      </c>
      <c r="D9" s="120" t="s">
        <v>304</v>
      </c>
      <c r="E9" s="120" t="s">
        <v>305</v>
      </c>
      <c r="F9" s="120" t="s">
        <v>306</v>
      </c>
      <c r="G9" s="120" t="s">
        <v>316</v>
      </c>
      <c r="H9" s="120">
        <v>4.0</v>
      </c>
      <c r="I9" s="121">
        <v>0.0</v>
      </c>
      <c r="J9" s="121">
        <v>0.75</v>
      </c>
      <c r="K9" s="117"/>
    </row>
    <row r="10" ht="15.75" customHeight="1">
      <c r="A10" s="122" t="s">
        <v>301</v>
      </c>
      <c r="B10" s="133" t="s">
        <v>302</v>
      </c>
      <c r="C10" s="120" t="s">
        <v>315</v>
      </c>
      <c r="D10" s="120" t="s">
        <v>304</v>
      </c>
      <c r="E10" s="120" t="s">
        <v>305</v>
      </c>
      <c r="F10" s="120" t="s">
        <v>306</v>
      </c>
      <c r="G10" s="120" t="s">
        <v>317</v>
      </c>
      <c r="H10" s="120">
        <v>2.0</v>
      </c>
      <c r="I10" s="121">
        <v>0.0</v>
      </c>
      <c r="J10" s="121">
        <v>0.0</v>
      </c>
      <c r="K10" s="117"/>
    </row>
    <row r="11" ht="15.75" customHeight="1">
      <c r="A11" s="118" t="s">
        <v>308</v>
      </c>
      <c r="B11" s="119" t="s">
        <v>309</v>
      </c>
      <c r="C11" s="130" t="s">
        <v>315</v>
      </c>
      <c r="D11" s="130" t="s">
        <v>304</v>
      </c>
      <c r="E11" s="130" t="s">
        <v>305</v>
      </c>
      <c r="F11" s="130" t="s">
        <v>306</v>
      </c>
      <c r="G11" s="130" t="s">
        <v>310</v>
      </c>
      <c r="H11" s="130">
        <v>2.0</v>
      </c>
      <c r="I11" s="121">
        <v>0.0</v>
      </c>
      <c r="J11" s="121">
        <v>0.0</v>
      </c>
      <c r="K11" s="131"/>
    </row>
    <row r="12" ht="15.75" customHeight="1">
      <c r="A12" s="134" t="s">
        <v>318</v>
      </c>
      <c r="B12" s="135" t="s">
        <v>319</v>
      </c>
      <c r="C12" s="120" t="s">
        <v>315</v>
      </c>
      <c r="D12" s="120" t="s">
        <v>304</v>
      </c>
      <c r="E12" s="120" t="s">
        <v>305</v>
      </c>
      <c r="F12" s="120" t="s">
        <v>306</v>
      </c>
      <c r="G12" s="120" t="s">
        <v>320</v>
      </c>
      <c r="H12" s="120">
        <v>1.0</v>
      </c>
      <c r="I12" s="121">
        <v>0.0</v>
      </c>
      <c r="J12" s="121">
        <v>1.0</v>
      </c>
      <c r="K12" s="117"/>
    </row>
    <row r="13">
      <c r="A13" s="136" t="s">
        <v>313</v>
      </c>
      <c r="B13" s="119" t="s">
        <v>314</v>
      </c>
      <c r="C13" s="130" t="s">
        <v>321</v>
      </c>
      <c r="D13" s="130" t="s">
        <v>304</v>
      </c>
      <c r="E13" s="130" t="s">
        <v>305</v>
      </c>
      <c r="F13" s="130" t="s">
        <v>306</v>
      </c>
      <c r="G13" s="130" t="s">
        <v>316</v>
      </c>
      <c r="H13" s="130">
        <v>4.0</v>
      </c>
      <c r="I13" s="121">
        <v>0.0</v>
      </c>
      <c r="J13" s="121">
        <v>0.75</v>
      </c>
      <c r="K13" s="137"/>
    </row>
    <row r="14" ht="15.75" customHeight="1">
      <c r="A14" s="136" t="s">
        <v>301</v>
      </c>
      <c r="B14" s="133" t="s">
        <v>302</v>
      </c>
      <c r="C14" s="120" t="s">
        <v>321</v>
      </c>
      <c r="D14" s="120" t="s">
        <v>304</v>
      </c>
      <c r="E14" s="120" t="s">
        <v>305</v>
      </c>
      <c r="F14" s="120" t="s">
        <v>306</v>
      </c>
      <c r="G14" s="120" t="s">
        <v>317</v>
      </c>
      <c r="H14" s="120">
        <v>2.0</v>
      </c>
      <c r="I14" s="121">
        <v>0.0</v>
      </c>
      <c r="J14" s="121">
        <v>0.0</v>
      </c>
      <c r="K14" s="117"/>
    </row>
    <row r="15" ht="15.75" customHeight="1">
      <c r="A15" s="136" t="s">
        <v>308</v>
      </c>
      <c r="B15" s="133" t="s">
        <v>309</v>
      </c>
      <c r="C15" s="120" t="s">
        <v>321</v>
      </c>
      <c r="D15" s="120" t="s">
        <v>304</v>
      </c>
      <c r="E15" s="120" t="s">
        <v>305</v>
      </c>
      <c r="F15" s="120" t="s">
        <v>306</v>
      </c>
      <c r="G15" s="120" t="s">
        <v>310</v>
      </c>
      <c r="H15" s="120">
        <v>2.0</v>
      </c>
      <c r="I15" s="121">
        <v>0.0</v>
      </c>
      <c r="J15" s="121">
        <v>0.0</v>
      </c>
      <c r="K15" s="117"/>
    </row>
    <row r="16" ht="15.75" customHeight="1">
      <c r="A16" s="136" t="s">
        <v>318</v>
      </c>
      <c r="B16" s="133" t="s">
        <v>319</v>
      </c>
      <c r="C16" s="120" t="s">
        <v>321</v>
      </c>
      <c r="D16" s="120" t="s">
        <v>304</v>
      </c>
      <c r="E16" s="120" t="s">
        <v>305</v>
      </c>
      <c r="F16" s="120" t="s">
        <v>306</v>
      </c>
      <c r="G16" s="120" t="s">
        <v>320</v>
      </c>
      <c r="H16" s="120">
        <v>1.0</v>
      </c>
      <c r="I16" s="121">
        <v>0.0</v>
      </c>
      <c r="J16" s="121">
        <v>1.0</v>
      </c>
      <c r="K16" s="117"/>
    </row>
    <row r="17" ht="15.75" customHeight="1">
      <c r="A17" s="136" t="s">
        <v>298</v>
      </c>
      <c r="B17" s="133" t="s">
        <v>298</v>
      </c>
      <c r="C17" s="120" t="s">
        <v>298</v>
      </c>
      <c r="D17" s="120" t="s">
        <v>298</v>
      </c>
      <c r="E17" s="120" t="s">
        <v>298</v>
      </c>
      <c r="F17" s="120" t="s">
        <v>298</v>
      </c>
      <c r="G17" s="120" t="s">
        <v>298</v>
      </c>
      <c r="H17" s="120" t="s">
        <v>298</v>
      </c>
      <c r="I17" s="121" t="s">
        <v>298</v>
      </c>
      <c r="J17" s="121" t="s">
        <v>298</v>
      </c>
      <c r="K17" s="117"/>
    </row>
    <row r="18" ht="15.75" customHeight="1">
      <c r="A18" s="136" t="s">
        <v>322</v>
      </c>
      <c r="B18" s="133" t="s">
        <v>298</v>
      </c>
      <c r="C18" s="120" t="s">
        <v>298</v>
      </c>
      <c r="D18" s="120" t="s">
        <v>298</v>
      </c>
      <c r="E18" s="120" t="s">
        <v>298</v>
      </c>
      <c r="F18" s="120" t="s">
        <v>298</v>
      </c>
      <c r="G18" s="120" t="s">
        <v>298</v>
      </c>
      <c r="H18" s="120" t="s">
        <v>298</v>
      </c>
      <c r="I18" s="121" t="s">
        <v>298</v>
      </c>
      <c r="J18" s="121" t="s">
        <v>298</v>
      </c>
      <c r="K18" s="117"/>
    </row>
    <row r="19" ht="15.75" customHeight="1">
      <c r="A19" s="136" t="s">
        <v>299</v>
      </c>
      <c r="B19" s="133" t="s">
        <v>298</v>
      </c>
      <c r="C19" s="120" t="s">
        <v>298</v>
      </c>
      <c r="D19" s="120" t="s">
        <v>298</v>
      </c>
      <c r="E19" s="120" t="s">
        <v>298</v>
      </c>
      <c r="F19" s="120" t="s">
        <v>298</v>
      </c>
      <c r="G19" s="120" t="s">
        <v>298</v>
      </c>
      <c r="H19" s="120" t="s">
        <v>298</v>
      </c>
      <c r="I19" s="121" t="s">
        <v>298</v>
      </c>
      <c r="J19" s="121" t="s">
        <v>298</v>
      </c>
      <c r="K19" s="117"/>
    </row>
    <row r="20" ht="15.75" customHeight="1">
      <c r="A20" s="136" t="s">
        <v>144</v>
      </c>
      <c r="B20" s="133" t="s">
        <v>298</v>
      </c>
      <c r="C20" s="120" t="s">
        <v>298</v>
      </c>
      <c r="D20" s="120" t="s">
        <v>298</v>
      </c>
      <c r="E20" s="120" t="s">
        <v>298</v>
      </c>
      <c r="F20" s="120" t="s">
        <v>298</v>
      </c>
      <c r="G20" s="120" t="s">
        <v>298</v>
      </c>
      <c r="H20" s="120" t="s">
        <v>298</v>
      </c>
      <c r="I20" s="121" t="s">
        <v>298</v>
      </c>
      <c r="J20" s="121" t="s">
        <v>298</v>
      </c>
      <c r="K20" s="117"/>
    </row>
    <row r="21" ht="15.75" customHeight="1">
      <c r="A21" s="122" t="s">
        <v>300</v>
      </c>
      <c r="B21" s="133" t="s">
        <v>298</v>
      </c>
      <c r="C21" s="120" t="s">
        <v>298</v>
      </c>
      <c r="D21" s="120" t="s">
        <v>298</v>
      </c>
      <c r="E21" s="120" t="s">
        <v>298</v>
      </c>
      <c r="F21" s="120" t="s">
        <v>298</v>
      </c>
      <c r="G21" s="120" t="s">
        <v>298</v>
      </c>
      <c r="H21" s="120" t="s">
        <v>298</v>
      </c>
      <c r="I21" s="121" t="s">
        <v>298</v>
      </c>
      <c r="J21" s="121" t="s">
        <v>298</v>
      </c>
      <c r="K21" s="117"/>
    </row>
    <row r="22" ht="15.75" customHeight="1">
      <c r="A22" s="122" t="s">
        <v>323</v>
      </c>
      <c r="B22" s="133" t="s">
        <v>324</v>
      </c>
      <c r="C22" s="120" t="s">
        <v>303</v>
      </c>
      <c r="D22" s="120" t="s">
        <v>325</v>
      </c>
      <c r="E22" s="120" t="s">
        <v>326</v>
      </c>
      <c r="F22" s="120" t="s">
        <v>306</v>
      </c>
      <c r="G22" s="120" t="s">
        <v>327</v>
      </c>
      <c r="H22" s="120">
        <v>41.0</v>
      </c>
      <c r="I22" s="121">
        <v>0.04</v>
      </c>
      <c r="J22" s="121">
        <v>0.83</v>
      </c>
      <c r="K22" s="117"/>
    </row>
    <row r="23" ht="15.75" customHeight="1">
      <c r="A23" s="122" t="s">
        <v>328</v>
      </c>
      <c r="B23" s="133" t="s">
        <v>329</v>
      </c>
      <c r="C23" s="120" t="s">
        <v>303</v>
      </c>
      <c r="D23" s="120" t="s">
        <v>330</v>
      </c>
      <c r="E23" s="120" t="s">
        <v>326</v>
      </c>
      <c r="F23" s="120" t="s">
        <v>306</v>
      </c>
      <c r="G23" s="120" t="s">
        <v>331</v>
      </c>
      <c r="H23" s="120">
        <v>30.0</v>
      </c>
      <c r="I23" s="121">
        <v>0.03</v>
      </c>
      <c r="J23" s="121">
        <v>1.27</v>
      </c>
      <c r="K23" s="117"/>
    </row>
    <row r="24" ht="15.75" customHeight="1">
      <c r="A24" s="122" t="s">
        <v>332</v>
      </c>
      <c r="B24" s="133" t="s">
        <v>333</v>
      </c>
      <c r="C24" s="120" t="s">
        <v>303</v>
      </c>
      <c r="D24" s="120" t="s">
        <v>334</v>
      </c>
      <c r="E24" s="120" t="s">
        <v>326</v>
      </c>
      <c r="F24" s="120" t="s">
        <v>306</v>
      </c>
      <c r="G24" s="120" t="s">
        <v>335</v>
      </c>
      <c r="H24" s="120">
        <v>8.0</v>
      </c>
      <c r="I24" s="121">
        <v>0.01</v>
      </c>
      <c r="J24" s="121">
        <v>0.5</v>
      </c>
      <c r="K24" s="117"/>
    </row>
    <row r="25" ht="15.75" customHeight="1">
      <c r="A25" s="122" t="s">
        <v>336</v>
      </c>
      <c r="B25" s="133" t="s">
        <v>337</v>
      </c>
      <c r="C25" s="120" t="s">
        <v>303</v>
      </c>
      <c r="D25" s="120" t="s">
        <v>334</v>
      </c>
      <c r="E25" s="120" t="s">
        <v>326</v>
      </c>
      <c r="F25" s="120" t="s">
        <v>306</v>
      </c>
      <c r="G25" s="120" t="s">
        <v>338</v>
      </c>
      <c r="H25" s="120">
        <v>2.0</v>
      </c>
      <c r="I25" s="121">
        <v>0.0</v>
      </c>
      <c r="J25" s="121">
        <v>1.0</v>
      </c>
      <c r="K25" s="117"/>
    </row>
    <row r="26" ht="15.75" customHeight="1">
      <c r="A26" s="122" t="s">
        <v>339</v>
      </c>
      <c r="B26" s="119" t="s">
        <v>340</v>
      </c>
      <c r="C26" s="130" t="s">
        <v>303</v>
      </c>
      <c r="D26" s="130" t="s">
        <v>330</v>
      </c>
      <c r="E26" s="130" t="s">
        <v>326</v>
      </c>
      <c r="F26" s="130" t="s">
        <v>306</v>
      </c>
      <c r="G26" s="130" t="s">
        <v>341</v>
      </c>
      <c r="H26" s="130">
        <v>2.0</v>
      </c>
      <c r="I26" s="121">
        <v>0.0</v>
      </c>
      <c r="J26" s="121">
        <v>0.0</v>
      </c>
      <c r="K26" s="137"/>
    </row>
    <row r="27" ht="15.75" customHeight="1">
      <c r="A27" s="122" t="s">
        <v>342</v>
      </c>
      <c r="B27" s="133" t="s">
        <v>343</v>
      </c>
      <c r="C27" s="120" t="s">
        <v>303</v>
      </c>
      <c r="D27" s="120" t="s">
        <v>344</v>
      </c>
      <c r="E27" s="120" t="s">
        <v>326</v>
      </c>
      <c r="F27" s="120" t="s">
        <v>306</v>
      </c>
      <c r="G27" s="120" t="s">
        <v>345</v>
      </c>
      <c r="H27" s="120">
        <v>1.0</v>
      </c>
      <c r="I27" s="121">
        <v>0.0</v>
      </c>
      <c r="J27" s="121">
        <v>2.0</v>
      </c>
      <c r="K27" s="117"/>
    </row>
    <row r="28" ht="15.75" customHeight="1">
      <c r="A28" s="122" t="s">
        <v>346</v>
      </c>
      <c r="B28" s="133" t="s">
        <v>347</v>
      </c>
      <c r="C28" s="120" t="s">
        <v>303</v>
      </c>
      <c r="D28" s="120" t="s">
        <v>325</v>
      </c>
      <c r="E28" s="120" t="s">
        <v>326</v>
      </c>
      <c r="F28" s="120" t="s">
        <v>306</v>
      </c>
      <c r="G28" s="120" t="s">
        <v>348</v>
      </c>
      <c r="H28" s="120">
        <v>1.0</v>
      </c>
      <c r="I28" s="121">
        <v>0.0</v>
      </c>
      <c r="J28" s="121">
        <v>0.0</v>
      </c>
      <c r="K28" s="117"/>
    </row>
    <row r="29" ht="15.75" customHeight="1">
      <c r="A29" s="122" t="s">
        <v>323</v>
      </c>
      <c r="B29" s="133" t="s">
        <v>324</v>
      </c>
      <c r="C29" s="120" t="s">
        <v>311</v>
      </c>
      <c r="D29" s="120" t="s">
        <v>325</v>
      </c>
      <c r="E29" s="120" t="s">
        <v>326</v>
      </c>
      <c r="F29" s="120" t="s">
        <v>306</v>
      </c>
      <c r="G29" s="120" t="s">
        <v>349</v>
      </c>
      <c r="H29" s="120">
        <v>28.0</v>
      </c>
      <c r="I29" s="121">
        <v>0.03</v>
      </c>
      <c r="J29" s="121">
        <v>0.46</v>
      </c>
      <c r="K29" s="117"/>
    </row>
    <row r="30" ht="15.75" customHeight="1">
      <c r="A30" s="122" t="s">
        <v>328</v>
      </c>
      <c r="B30" s="133" t="s">
        <v>329</v>
      </c>
      <c r="C30" s="120" t="s">
        <v>311</v>
      </c>
      <c r="D30" s="120" t="s">
        <v>330</v>
      </c>
      <c r="E30" s="120" t="s">
        <v>326</v>
      </c>
      <c r="F30" s="120" t="s">
        <v>306</v>
      </c>
      <c r="G30" s="120" t="s">
        <v>350</v>
      </c>
      <c r="H30" s="120">
        <v>21.0</v>
      </c>
      <c r="I30" s="121">
        <v>0.02</v>
      </c>
      <c r="J30" s="121">
        <v>0.95</v>
      </c>
      <c r="K30" s="117"/>
    </row>
    <row r="31" ht="15.75" customHeight="1">
      <c r="A31" s="122" t="s">
        <v>351</v>
      </c>
      <c r="B31" s="133" t="s">
        <v>352</v>
      </c>
      <c r="C31" s="120" t="s">
        <v>311</v>
      </c>
      <c r="D31" s="120" t="s">
        <v>353</v>
      </c>
      <c r="E31" s="120" t="s">
        <v>326</v>
      </c>
      <c r="F31" s="120" t="s">
        <v>306</v>
      </c>
      <c r="G31" s="120" t="s">
        <v>354</v>
      </c>
      <c r="H31" s="120">
        <v>2.0</v>
      </c>
      <c r="I31" s="121">
        <v>0.0</v>
      </c>
      <c r="J31" s="121">
        <v>1.5</v>
      </c>
      <c r="K31" s="117"/>
    </row>
    <row r="32" ht="15.75" customHeight="1">
      <c r="A32" s="136" t="s">
        <v>355</v>
      </c>
      <c r="B32" s="133" t="s">
        <v>356</v>
      </c>
      <c r="C32" s="120" t="s">
        <v>311</v>
      </c>
      <c r="D32" s="120" t="s">
        <v>353</v>
      </c>
      <c r="E32" s="120" t="s">
        <v>326</v>
      </c>
      <c r="F32" s="120" t="s">
        <v>306</v>
      </c>
      <c r="G32" s="120" t="s">
        <v>357</v>
      </c>
      <c r="H32" s="120">
        <v>1.0</v>
      </c>
      <c r="I32" s="121">
        <v>0.0</v>
      </c>
      <c r="J32" s="121">
        <v>4.0</v>
      </c>
      <c r="K32" s="117"/>
    </row>
    <row r="33" ht="15.75" customHeight="1">
      <c r="A33" s="136" t="s">
        <v>358</v>
      </c>
      <c r="B33" s="133" t="s">
        <v>359</v>
      </c>
      <c r="C33" s="120" t="s">
        <v>311</v>
      </c>
      <c r="D33" s="120" t="s">
        <v>353</v>
      </c>
      <c r="E33" s="120" t="s">
        <v>326</v>
      </c>
      <c r="F33" s="120" t="s">
        <v>306</v>
      </c>
      <c r="G33" s="120" t="s">
        <v>360</v>
      </c>
      <c r="H33" s="120">
        <v>1.0</v>
      </c>
      <c r="I33" s="121">
        <v>0.0</v>
      </c>
      <c r="J33" s="121">
        <v>0.0</v>
      </c>
      <c r="K33" s="117"/>
    </row>
    <row r="34" ht="15.75" customHeight="1">
      <c r="A34" s="136" t="s">
        <v>361</v>
      </c>
      <c r="B34" s="133" t="s">
        <v>362</v>
      </c>
      <c r="C34" s="120" t="s">
        <v>311</v>
      </c>
      <c r="D34" s="120" t="s">
        <v>363</v>
      </c>
      <c r="E34" s="120" t="s">
        <v>326</v>
      </c>
      <c r="F34" s="120" t="s">
        <v>306</v>
      </c>
      <c r="G34" s="120" t="s">
        <v>364</v>
      </c>
      <c r="H34" s="120">
        <v>1.0</v>
      </c>
      <c r="I34" s="121">
        <v>0.0</v>
      </c>
      <c r="J34" s="121">
        <v>1.0</v>
      </c>
      <c r="K34" s="117"/>
    </row>
    <row r="35" ht="15.75" customHeight="1">
      <c r="A35" s="136" t="s">
        <v>328</v>
      </c>
      <c r="B35" s="133" t="s">
        <v>329</v>
      </c>
      <c r="C35" s="120" t="s">
        <v>315</v>
      </c>
      <c r="D35" s="120" t="s">
        <v>330</v>
      </c>
      <c r="E35" s="120" t="s">
        <v>326</v>
      </c>
      <c r="F35" s="120" t="s">
        <v>306</v>
      </c>
      <c r="G35" s="120" t="s">
        <v>365</v>
      </c>
      <c r="H35" s="120">
        <v>19.0</v>
      </c>
      <c r="I35" s="121">
        <v>0.02</v>
      </c>
      <c r="J35" s="121">
        <v>1.05</v>
      </c>
      <c r="K35" s="117"/>
    </row>
    <row r="36" ht="15.75" customHeight="1">
      <c r="A36" s="136" t="s">
        <v>323</v>
      </c>
      <c r="B36" s="133" t="s">
        <v>324</v>
      </c>
      <c r="C36" s="120" t="s">
        <v>315</v>
      </c>
      <c r="D36" s="120" t="s">
        <v>325</v>
      </c>
      <c r="E36" s="120" t="s">
        <v>326</v>
      </c>
      <c r="F36" s="120" t="s">
        <v>306</v>
      </c>
      <c r="G36" s="120" t="s">
        <v>327</v>
      </c>
      <c r="H36" s="120">
        <v>17.0</v>
      </c>
      <c r="I36" s="121">
        <v>0.02</v>
      </c>
      <c r="J36" s="121">
        <v>0.18</v>
      </c>
      <c r="K36" s="117"/>
    </row>
    <row r="37" ht="15.75" customHeight="1">
      <c r="A37" s="136" t="s">
        <v>366</v>
      </c>
      <c r="B37" s="133" t="s">
        <v>367</v>
      </c>
      <c r="C37" s="120" t="s">
        <v>315</v>
      </c>
      <c r="D37" s="120" t="s">
        <v>368</v>
      </c>
      <c r="E37" s="120" t="s">
        <v>326</v>
      </c>
      <c r="F37" s="120" t="s">
        <v>306</v>
      </c>
      <c r="G37" s="120" t="s">
        <v>369</v>
      </c>
      <c r="H37" s="120">
        <v>3.0</v>
      </c>
      <c r="I37" s="121">
        <v>0.0</v>
      </c>
      <c r="J37" s="121">
        <v>1.33</v>
      </c>
      <c r="K37" s="117"/>
    </row>
    <row r="38" ht="15.75" customHeight="1">
      <c r="A38" s="136" t="s">
        <v>370</v>
      </c>
      <c r="B38" s="133" t="s">
        <v>371</v>
      </c>
      <c r="C38" s="120" t="s">
        <v>315</v>
      </c>
      <c r="D38" s="120" t="s">
        <v>330</v>
      </c>
      <c r="E38" s="120" t="s">
        <v>326</v>
      </c>
      <c r="F38" s="120" t="s">
        <v>306</v>
      </c>
      <c r="G38" s="120" t="s">
        <v>372</v>
      </c>
      <c r="H38" s="120">
        <v>2.0</v>
      </c>
      <c r="I38" s="121">
        <v>0.0</v>
      </c>
      <c r="J38" s="121">
        <v>1.0</v>
      </c>
      <c r="K38" s="117"/>
    </row>
    <row r="39" ht="15.75" customHeight="1">
      <c r="A39" s="136" t="s">
        <v>373</v>
      </c>
      <c r="B39" s="133" t="s">
        <v>374</v>
      </c>
      <c r="C39" s="120" t="s">
        <v>315</v>
      </c>
      <c r="D39" s="120" t="s">
        <v>375</v>
      </c>
      <c r="E39" s="120" t="s">
        <v>326</v>
      </c>
      <c r="F39" s="120" t="s">
        <v>306</v>
      </c>
      <c r="G39" s="120" t="s">
        <v>376</v>
      </c>
      <c r="H39" s="120">
        <v>1.0</v>
      </c>
      <c r="I39" s="121">
        <v>0.0</v>
      </c>
      <c r="J39" s="121">
        <v>1.0</v>
      </c>
      <c r="K39" s="117"/>
    </row>
    <row r="40" ht="15.75" customHeight="1">
      <c r="A40" s="136" t="s">
        <v>377</v>
      </c>
      <c r="B40" s="133" t="s">
        <v>378</v>
      </c>
      <c r="C40" s="120" t="s">
        <v>315</v>
      </c>
      <c r="D40" s="120" t="s">
        <v>379</v>
      </c>
      <c r="E40" s="120" t="s">
        <v>326</v>
      </c>
      <c r="F40" s="120" t="s">
        <v>306</v>
      </c>
      <c r="G40" s="120" t="s">
        <v>380</v>
      </c>
      <c r="H40" s="120">
        <v>1.0</v>
      </c>
      <c r="I40" s="121">
        <v>0.0</v>
      </c>
      <c r="J40" s="121">
        <v>1.0</v>
      </c>
      <c r="K40" s="117"/>
    </row>
    <row r="41" ht="15.75" customHeight="1">
      <c r="A41" s="136" t="s">
        <v>328</v>
      </c>
      <c r="B41" s="133" t="s">
        <v>329</v>
      </c>
      <c r="C41" s="120" t="s">
        <v>321</v>
      </c>
      <c r="D41" s="120" t="s">
        <v>330</v>
      </c>
      <c r="E41" s="120" t="s">
        <v>326</v>
      </c>
      <c r="F41" s="120" t="s">
        <v>306</v>
      </c>
      <c r="G41" s="120" t="s">
        <v>365</v>
      </c>
      <c r="H41" s="120">
        <v>19.0</v>
      </c>
      <c r="I41" s="121">
        <v>0.02</v>
      </c>
      <c r="J41" s="121">
        <v>1.05</v>
      </c>
      <c r="K41" s="117"/>
    </row>
    <row r="42" ht="15.75" customHeight="1">
      <c r="A42" s="136" t="s">
        <v>323</v>
      </c>
      <c r="B42" s="133" t="s">
        <v>324</v>
      </c>
      <c r="C42" s="120" t="s">
        <v>321</v>
      </c>
      <c r="D42" s="120" t="s">
        <v>325</v>
      </c>
      <c r="E42" s="120" t="s">
        <v>326</v>
      </c>
      <c r="F42" s="120" t="s">
        <v>306</v>
      </c>
      <c r="G42" s="120" t="s">
        <v>327</v>
      </c>
      <c r="H42" s="120">
        <v>17.0</v>
      </c>
      <c r="I42" s="121">
        <v>0.02</v>
      </c>
      <c r="J42" s="121">
        <v>0.18</v>
      </c>
      <c r="K42" s="117"/>
    </row>
    <row r="43" ht="15.75" customHeight="1">
      <c r="A43" s="136" t="s">
        <v>366</v>
      </c>
      <c r="B43" s="133" t="s">
        <v>367</v>
      </c>
      <c r="C43" s="120" t="s">
        <v>321</v>
      </c>
      <c r="D43" s="120" t="s">
        <v>368</v>
      </c>
      <c r="E43" s="120" t="s">
        <v>326</v>
      </c>
      <c r="F43" s="120" t="s">
        <v>306</v>
      </c>
      <c r="G43" s="120" t="s">
        <v>369</v>
      </c>
      <c r="H43" s="120">
        <v>3.0</v>
      </c>
      <c r="I43" s="121">
        <v>0.0</v>
      </c>
      <c r="J43" s="121">
        <v>1.33</v>
      </c>
      <c r="K43" s="117"/>
    </row>
    <row r="44" ht="15.75" customHeight="1">
      <c r="A44" s="136" t="s">
        <v>370</v>
      </c>
      <c r="B44" s="133" t="s">
        <v>371</v>
      </c>
      <c r="C44" s="120" t="s">
        <v>321</v>
      </c>
      <c r="D44" s="120" t="s">
        <v>330</v>
      </c>
      <c r="E44" s="120" t="s">
        <v>326</v>
      </c>
      <c r="F44" s="120" t="s">
        <v>306</v>
      </c>
      <c r="G44" s="120" t="s">
        <v>372</v>
      </c>
      <c r="H44" s="120">
        <v>2.0</v>
      </c>
      <c r="I44" s="121">
        <v>0.0</v>
      </c>
      <c r="J44" s="121">
        <v>1.0</v>
      </c>
      <c r="K44" s="117"/>
    </row>
    <row r="45" ht="15.75" customHeight="1">
      <c r="A45" s="136" t="s">
        <v>373</v>
      </c>
      <c r="B45" s="133" t="s">
        <v>374</v>
      </c>
      <c r="C45" s="120" t="s">
        <v>321</v>
      </c>
      <c r="D45" s="120" t="s">
        <v>375</v>
      </c>
      <c r="E45" s="120" t="s">
        <v>326</v>
      </c>
      <c r="F45" s="120" t="s">
        <v>306</v>
      </c>
      <c r="G45" s="120" t="s">
        <v>376</v>
      </c>
      <c r="H45" s="120">
        <v>1.0</v>
      </c>
      <c r="I45" s="121">
        <v>0.0</v>
      </c>
      <c r="J45" s="121">
        <v>1.0</v>
      </c>
      <c r="K45" s="117"/>
    </row>
    <row r="46" ht="15.75" customHeight="1">
      <c r="A46" s="136" t="s">
        <v>377</v>
      </c>
      <c r="B46" s="133" t="s">
        <v>378</v>
      </c>
      <c r="C46" s="120" t="s">
        <v>321</v>
      </c>
      <c r="D46" s="120" t="s">
        <v>379</v>
      </c>
      <c r="E46" s="120" t="s">
        <v>326</v>
      </c>
      <c r="F46" s="120" t="s">
        <v>306</v>
      </c>
      <c r="G46" s="120" t="s">
        <v>380</v>
      </c>
      <c r="H46" s="120">
        <v>1.0</v>
      </c>
      <c r="I46" s="121">
        <v>0.0</v>
      </c>
      <c r="J46" s="121">
        <v>1.0</v>
      </c>
      <c r="K46" s="117"/>
    </row>
    <row r="47" ht="15.75" customHeight="1">
      <c r="A47" s="136" t="s">
        <v>298</v>
      </c>
      <c r="B47" s="133" t="s">
        <v>298</v>
      </c>
      <c r="C47" s="120" t="s">
        <v>298</v>
      </c>
      <c r="D47" s="120" t="s">
        <v>298</v>
      </c>
      <c r="E47" s="120" t="s">
        <v>298</v>
      </c>
      <c r="F47" s="120" t="s">
        <v>298</v>
      </c>
      <c r="G47" s="120" t="s">
        <v>298</v>
      </c>
      <c r="H47" s="120" t="s">
        <v>298</v>
      </c>
      <c r="I47" s="121" t="s">
        <v>298</v>
      </c>
      <c r="J47" s="121" t="s">
        <v>298</v>
      </c>
      <c r="K47" s="117"/>
    </row>
    <row r="48" ht="15.75" customHeight="1">
      <c r="A48" s="136" t="s">
        <v>381</v>
      </c>
      <c r="B48" s="133" t="s">
        <v>298</v>
      </c>
      <c r="C48" s="120" t="s">
        <v>298</v>
      </c>
      <c r="D48" s="120" t="s">
        <v>298</v>
      </c>
      <c r="E48" s="120" t="s">
        <v>298</v>
      </c>
      <c r="F48" s="120" t="s">
        <v>298</v>
      </c>
      <c r="G48" s="120" t="s">
        <v>298</v>
      </c>
      <c r="H48" s="120" t="s">
        <v>298</v>
      </c>
      <c r="I48" s="121" t="s">
        <v>298</v>
      </c>
      <c r="J48" s="121" t="s">
        <v>298</v>
      </c>
      <c r="K48" s="117"/>
    </row>
    <row r="49" ht="15.75" customHeight="1">
      <c r="A49" s="136" t="s">
        <v>299</v>
      </c>
      <c r="B49" s="133" t="s">
        <v>298</v>
      </c>
      <c r="C49" s="120" t="s">
        <v>298</v>
      </c>
      <c r="D49" s="120" t="s">
        <v>298</v>
      </c>
      <c r="E49" s="120" t="s">
        <v>298</v>
      </c>
      <c r="F49" s="120" t="s">
        <v>298</v>
      </c>
      <c r="G49" s="120" t="s">
        <v>298</v>
      </c>
      <c r="H49" s="120" t="s">
        <v>298</v>
      </c>
      <c r="I49" s="121" t="s">
        <v>298</v>
      </c>
      <c r="J49" s="121" t="s">
        <v>298</v>
      </c>
      <c r="K49" s="117"/>
    </row>
    <row r="50" ht="15.75" customHeight="1">
      <c r="A50" s="136" t="s">
        <v>144</v>
      </c>
      <c r="B50" s="133" t="s">
        <v>298</v>
      </c>
      <c r="C50" s="120" t="s">
        <v>298</v>
      </c>
      <c r="D50" s="120" t="s">
        <v>298</v>
      </c>
      <c r="E50" s="120" t="s">
        <v>298</v>
      </c>
      <c r="F50" s="120" t="s">
        <v>298</v>
      </c>
      <c r="G50" s="120" t="s">
        <v>298</v>
      </c>
      <c r="H50" s="120" t="s">
        <v>298</v>
      </c>
      <c r="I50" s="121" t="s">
        <v>298</v>
      </c>
      <c r="J50" s="121" t="s">
        <v>298</v>
      </c>
      <c r="K50" s="117"/>
    </row>
    <row r="51" ht="15.75" customHeight="1">
      <c r="A51" s="136" t="s">
        <v>300</v>
      </c>
      <c r="B51" s="133" t="s">
        <v>298</v>
      </c>
      <c r="C51" s="120" t="s">
        <v>298</v>
      </c>
      <c r="D51" s="120" t="s">
        <v>298</v>
      </c>
      <c r="E51" s="120" t="s">
        <v>298</v>
      </c>
      <c r="F51" s="120" t="s">
        <v>298</v>
      </c>
      <c r="G51" s="120" t="s">
        <v>298</v>
      </c>
      <c r="H51" s="120" t="s">
        <v>298</v>
      </c>
      <c r="I51" s="121" t="s">
        <v>298</v>
      </c>
      <c r="J51" s="121" t="s">
        <v>298</v>
      </c>
      <c r="K51" s="117"/>
    </row>
    <row r="52" ht="15.75" customHeight="1">
      <c r="A52" s="136" t="s">
        <v>382</v>
      </c>
      <c r="B52" s="133" t="s">
        <v>383</v>
      </c>
      <c r="C52" s="120" t="s">
        <v>303</v>
      </c>
      <c r="D52" s="120" t="s">
        <v>384</v>
      </c>
      <c r="E52" s="120" t="s">
        <v>385</v>
      </c>
      <c r="F52" s="120" t="s">
        <v>306</v>
      </c>
      <c r="G52" s="120" t="s">
        <v>386</v>
      </c>
      <c r="H52" s="120">
        <v>87.0</v>
      </c>
      <c r="I52" s="121">
        <v>0.09</v>
      </c>
      <c r="J52" s="121">
        <v>0.26</v>
      </c>
      <c r="K52" s="117"/>
    </row>
    <row r="53" ht="15.75" customHeight="1">
      <c r="A53" s="136" t="s">
        <v>387</v>
      </c>
      <c r="B53" s="133" t="s">
        <v>388</v>
      </c>
      <c r="C53" s="120" t="s">
        <v>303</v>
      </c>
      <c r="D53" s="120" t="s">
        <v>384</v>
      </c>
      <c r="E53" s="120" t="s">
        <v>385</v>
      </c>
      <c r="F53" s="120" t="s">
        <v>306</v>
      </c>
      <c r="G53" s="120" t="s">
        <v>389</v>
      </c>
      <c r="H53" s="120">
        <v>86.0</v>
      </c>
      <c r="I53" s="121">
        <v>0.08</v>
      </c>
      <c r="J53" s="121">
        <v>0.78</v>
      </c>
      <c r="K53" s="117"/>
    </row>
    <row r="54" ht="15.75" customHeight="1">
      <c r="A54" s="136" t="s">
        <v>390</v>
      </c>
      <c r="B54" s="133" t="s">
        <v>391</v>
      </c>
      <c r="C54" s="120" t="s">
        <v>303</v>
      </c>
      <c r="D54" s="120" t="s">
        <v>384</v>
      </c>
      <c r="E54" s="120" t="s">
        <v>385</v>
      </c>
      <c r="F54" s="120" t="s">
        <v>306</v>
      </c>
      <c r="G54" s="120" t="s">
        <v>392</v>
      </c>
      <c r="H54" s="120">
        <v>39.0</v>
      </c>
      <c r="I54" s="121">
        <v>0.04</v>
      </c>
      <c r="J54" s="121">
        <v>0.54</v>
      </c>
      <c r="K54" s="117"/>
    </row>
    <row r="55" ht="15.75" customHeight="1">
      <c r="A55" s="136" t="s">
        <v>393</v>
      </c>
      <c r="B55" s="133" t="s">
        <v>394</v>
      </c>
      <c r="C55" s="120" t="s">
        <v>303</v>
      </c>
      <c r="D55" s="120" t="s">
        <v>384</v>
      </c>
      <c r="E55" s="120" t="s">
        <v>385</v>
      </c>
      <c r="F55" s="120" t="s">
        <v>306</v>
      </c>
      <c r="G55" s="120" t="s">
        <v>395</v>
      </c>
      <c r="H55" s="120">
        <v>31.0</v>
      </c>
      <c r="I55" s="121">
        <v>0.03</v>
      </c>
      <c r="J55" s="121">
        <v>1.03</v>
      </c>
      <c r="K55" s="117"/>
    </row>
    <row r="56" ht="15.75" customHeight="1">
      <c r="A56" s="136" t="s">
        <v>396</v>
      </c>
      <c r="B56" s="133" t="s">
        <v>397</v>
      </c>
      <c r="C56" s="120" t="s">
        <v>303</v>
      </c>
      <c r="D56" s="120" t="s">
        <v>384</v>
      </c>
      <c r="E56" s="120" t="s">
        <v>385</v>
      </c>
      <c r="F56" s="120" t="s">
        <v>306</v>
      </c>
      <c r="G56" s="120" t="s">
        <v>398</v>
      </c>
      <c r="H56" s="120">
        <v>29.0</v>
      </c>
      <c r="I56" s="121">
        <v>0.03</v>
      </c>
      <c r="J56" s="121">
        <v>0.93</v>
      </c>
      <c r="K56" s="117"/>
    </row>
    <row r="57" ht="15.75" customHeight="1">
      <c r="A57" s="136" t="s">
        <v>399</v>
      </c>
      <c r="B57" s="133" t="s">
        <v>400</v>
      </c>
      <c r="C57" s="120" t="s">
        <v>303</v>
      </c>
      <c r="D57" s="120" t="s">
        <v>384</v>
      </c>
      <c r="E57" s="120" t="s">
        <v>385</v>
      </c>
      <c r="F57" s="120" t="s">
        <v>306</v>
      </c>
      <c r="G57" s="120" t="s">
        <v>401</v>
      </c>
      <c r="H57" s="120">
        <v>28.0</v>
      </c>
      <c r="I57" s="121">
        <v>0.03</v>
      </c>
      <c r="J57" s="121">
        <v>0.21</v>
      </c>
      <c r="K57" s="117"/>
    </row>
    <row r="58" ht="15.75" customHeight="1">
      <c r="A58" s="136" t="s">
        <v>402</v>
      </c>
      <c r="B58" s="133" t="s">
        <v>403</v>
      </c>
      <c r="C58" s="120" t="s">
        <v>303</v>
      </c>
      <c r="D58" s="120" t="s">
        <v>384</v>
      </c>
      <c r="E58" s="120" t="s">
        <v>385</v>
      </c>
      <c r="F58" s="120" t="s">
        <v>306</v>
      </c>
      <c r="G58" s="120" t="s">
        <v>404</v>
      </c>
      <c r="H58" s="120">
        <v>26.0</v>
      </c>
      <c r="I58" s="121">
        <v>0.03</v>
      </c>
      <c r="J58" s="121">
        <v>0.12</v>
      </c>
      <c r="K58" s="117"/>
    </row>
    <row r="59" ht="15.75" customHeight="1">
      <c r="A59" s="136" t="s">
        <v>405</v>
      </c>
      <c r="B59" s="133" t="s">
        <v>406</v>
      </c>
      <c r="C59" s="120" t="s">
        <v>303</v>
      </c>
      <c r="D59" s="120" t="s">
        <v>384</v>
      </c>
      <c r="E59" s="120" t="s">
        <v>385</v>
      </c>
      <c r="F59" s="120" t="s">
        <v>306</v>
      </c>
      <c r="G59" s="120" t="s">
        <v>407</v>
      </c>
      <c r="H59" s="120">
        <v>25.0</v>
      </c>
      <c r="I59" s="121">
        <v>0.02</v>
      </c>
      <c r="J59" s="121">
        <v>0.4</v>
      </c>
      <c r="K59" s="117"/>
    </row>
    <row r="60" ht="15.75" customHeight="1">
      <c r="A60" s="136" t="s">
        <v>408</v>
      </c>
      <c r="B60" s="133" t="s">
        <v>409</v>
      </c>
      <c r="C60" s="120" t="s">
        <v>303</v>
      </c>
      <c r="D60" s="120" t="s">
        <v>384</v>
      </c>
      <c r="E60" s="120" t="s">
        <v>385</v>
      </c>
      <c r="F60" s="120" t="s">
        <v>306</v>
      </c>
      <c r="G60" s="120" t="s">
        <v>410</v>
      </c>
      <c r="H60" s="120">
        <v>24.0</v>
      </c>
      <c r="I60" s="121">
        <v>0.02</v>
      </c>
      <c r="J60" s="121">
        <v>1.54</v>
      </c>
      <c r="K60" s="117"/>
    </row>
    <row r="61" ht="15.75" customHeight="1">
      <c r="A61" s="122" t="s">
        <v>411</v>
      </c>
      <c r="B61" s="133" t="s">
        <v>412</v>
      </c>
      <c r="C61" s="120" t="s">
        <v>303</v>
      </c>
      <c r="D61" s="120" t="s">
        <v>384</v>
      </c>
      <c r="E61" s="120" t="s">
        <v>385</v>
      </c>
      <c r="F61" s="120" t="s">
        <v>306</v>
      </c>
      <c r="G61" s="120" t="s">
        <v>413</v>
      </c>
      <c r="H61" s="120">
        <v>22.0</v>
      </c>
      <c r="I61" s="121">
        <v>0.02</v>
      </c>
      <c r="J61" s="121">
        <v>2.09</v>
      </c>
      <c r="K61" s="117"/>
    </row>
    <row r="62" ht="15.75" customHeight="1">
      <c r="A62" s="122" t="s">
        <v>414</v>
      </c>
      <c r="B62" s="133" t="s">
        <v>415</v>
      </c>
      <c r="C62" s="120" t="s">
        <v>303</v>
      </c>
      <c r="D62" s="120" t="s">
        <v>384</v>
      </c>
      <c r="E62" s="120" t="s">
        <v>385</v>
      </c>
      <c r="F62" s="120" t="s">
        <v>306</v>
      </c>
      <c r="G62" s="120" t="s">
        <v>416</v>
      </c>
      <c r="H62" s="120">
        <v>19.0</v>
      </c>
      <c r="I62" s="121">
        <v>0.02</v>
      </c>
      <c r="J62" s="121">
        <v>0.26</v>
      </c>
      <c r="K62" s="117"/>
    </row>
    <row r="63" ht="15.75" customHeight="1">
      <c r="A63" s="122" t="s">
        <v>417</v>
      </c>
      <c r="B63" s="133" t="s">
        <v>418</v>
      </c>
      <c r="C63" s="120" t="s">
        <v>303</v>
      </c>
      <c r="D63" s="120" t="s">
        <v>384</v>
      </c>
      <c r="E63" s="120" t="s">
        <v>385</v>
      </c>
      <c r="F63" s="120" t="s">
        <v>306</v>
      </c>
      <c r="G63" s="120" t="s">
        <v>419</v>
      </c>
      <c r="H63" s="120">
        <v>18.0</v>
      </c>
      <c r="I63" s="121">
        <v>0.02</v>
      </c>
      <c r="J63" s="121">
        <v>0.22</v>
      </c>
      <c r="K63" s="117"/>
    </row>
    <row r="64" ht="15.75" customHeight="1">
      <c r="A64" s="122" t="s">
        <v>420</v>
      </c>
      <c r="B64" s="133" t="s">
        <v>421</v>
      </c>
      <c r="C64" s="120" t="s">
        <v>303</v>
      </c>
      <c r="D64" s="120" t="s">
        <v>384</v>
      </c>
      <c r="E64" s="120" t="s">
        <v>385</v>
      </c>
      <c r="F64" s="120" t="s">
        <v>306</v>
      </c>
      <c r="G64" s="120" t="s">
        <v>422</v>
      </c>
      <c r="H64" s="120">
        <v>17.0</v>
      </c>
      <c r="I64" s="121">
        <v>0.02</v>
      </c>
      <c r="J64" s="121">
        <v>0.12</v>
      </c>
      <c r="K64" s="117"/>
    </row>
    <row r="65" ht="15.75" customHeight="1">
      <c r="A65" s="122" t="s">
        <v>423</v>
      </c>
      <c r="B65" s="133" t="s">
        <v>424</v>
      </c>
      <c r="C65" s="120" t="s">
        <v>303</v>
      </c>
      <c r="D65" s="120" t="s">
        <v>384</v>
      </c>
      <c r="E65" s="120" t="s">
        <v>385</v>
      </c>
      <c r="F65" s="120" t="s">
        <v>306</v>
      </c>
      <c r="G65" s="120" t="s">
        <v>425</v>
      </c>
      <c r="H65" s="120">
        <v>16.0</v>
      </c>
      <c r="I65" s="121">
        <v>0.02</v>
      </c>
      <c r="J65" s="121">
        <v>0.19</v>
      </c>
      <c r="K65" s="117"/>
    </row>
    <row r="66" ht="15.75" customHeight="1">
      <c r="A66" s="122" t="s">
        <v>426</v>
      </c>
      <c r="B66" s="133" t="s">
        <v>427</v>
      </c>
      <c r="C66" s="120" t="s">
        <v>303</v>
      </c>
      <c r="D66" s="120" t="s">
        <v>384</v>
      </c>
      <c r="E66" s="120" t="s">
        <v>385</v>
      </c>
      <c r="F66" s="120" t="s">
        <v>306</v>
      </c>
      <c r="G66" s="120" t="s">
        <v>428</v>
      </c>
      <c r="H66" s="120">
        <v>15.0</v>
      </c>
      <c r="I66" s="121">
        <v>0.01</v>
      </c>
      <c r="J66" s="121">
        <v>0.47</v>
      </c>
      <c r="K66" s="117"/>
    </row>
    <row r="67" ht="15.75" hidden="1" customHeight="1">
      <c r="A67" s="122" t="s">
        <v>429</v>
      </c>
      <c r="B67" s="133" t="s">
        <v>430</v>
      </c>
      <c r="C67" s="120" t="s">
        <v>303</v>
      </c>
      <c r="D67" s="120" t="s">
        <v>384</v>
      </c>
      <c r="E67" s="120" t="s">
        <v>385</v>
      </c>
      <c r="F67" s="120" t="s">
        <v>306</v>
      </c>
      <c r="G67" s="120" t="s">
        <v>431</v>
      </c>
      <c r="H67" s="120">
        <v>14.0</v>
      </c>
      <c r="I67" s="121">
        <v>0.01</v>
      </c>
      <c r="J67" s="121">
        <v>0.21</v>
      </c>
      <c r="K67" s="117"/>
    </row>
    <row r="68" ht="15.75" hidden="1" customHeight="1">
      <c r="A68" s="122" t="s">
        <v>432</v>
      </c>
      <c r="B68" s="133" t="s">
        <v>433</v>
      </c>
      <c r="C68" s="120" t="s">
        <v>303</v>
      </c>
      <c r="D68" s="120" t="s">
        <v>384</v>
      </c>
      <c r="E68" s="120" t="s">
        <v>385</v>
      </c>
      <c r="F68" s="120" t="s">
        <v>306</v>
      </c>
      <c r="G68" s="120" t="s">
        <v>434</v>
      </c>
      <c r="H68" s="120">
        <v>14.0</v>
      </c>
      <c r="I68" s="121">
        <v>0.01</v>
      </c>
      <c r="J68" s="121">
        <v>1.5</v>
      </c>
      <c r="K68" s="117"/>
    </row>
    <row r="69" ht="15.75" hidden="1" customHeight="1">
      <c r="A69" s="122" t="s">
        <v>435</v>
      </c>
      <c r="B69" s="133" t="s">
        <v>436</v>
      </c>
      <c r="C69" s="120" t="s">
        <v>303</v>
      </c>
      <c r="D69" s="120" t="s">
        <v>384</v>
      </c>
      <c r="E69" s="120" t="s">
        <v>385</v>
      </c>
      <c r="F69" s="120" t="s">
        <v>306</v>
      </c>
      <c r="G69" s="120" t="s">
        <v>437</v>
      </c>
      <c r="H69" s="120">
        <v>13.0</v>
      </c>
      <c r="I69" s="121">
        <v>0.01</v>
      </c>
      <c r="J69" s="121">
        <v>0.23</v>
      </c>
      <c r="K69" s="117"/>
    </row>
    <row r="70" ht="15.75" hidden="1" customHeight="1">
      <c r="A70" s="122" t="s">
        <v>438</v>
      </c>
      <c r="B70" s="133" t="s">
        <v>439</v>
      </c>
      <c r="C70" s="120" t="s">
        <v>303</v>
      </c>
      <c r="D70" s="120" t="s">
        <v>384</v>
      </c>
      <c r="E70" s="120" t="s">
        <v>385</v>
      </c>
      <c r="F70" s="120" t="s">
        <v>306</v>
      </c>
      <c r="G70" s="120" t="s">
        <v>440</v>
      </c>
      <c r="H70" s="120">
        <v>13.0</v>
      </c>
      <c r="I70" s="121">
        <v>0.01</v>
      </c>
      <c r="J70" s="121">
        <v>0.0</v>
      </c>
      <c r="K70" s="117"/>
    </row>
    <row r="71" ht="15.75" hidden="1" customHeight="1">
      <c r="A71" s="136" t="s">
        <v>441</v>
      </c>
      <c r="B71" s="133" t="s">
        <v>442</v>
      </c>
      <c r="C71" s="120" t="s">
        <v>303</v>
      </c>
      <c r="D71" s="120" t="s">
        <v>384</v>
      </c>
      <c r="E71" s="120" t="s">
        <v>385</v>
      </c>
      <c r="F71" s="120" t="s">
        <v>306</v>
      </c>
      <c r="G71" s="120" t="s">
        <v>443</v>
      </c>
      <c r="H71" s="120">
        <v>13.0</v>
      </c>
      <c r="I71" s="121">
        <v>0.01</v>
      </c>
      <c r="J71" s="121">
        <v>1.0</v>
      </c>
      <c r="K71" s="117"/>
    </row>
    <row r="72" ht="15.75" hidden="1" customHeight="1">
      <c r="A72" s="136" t="s">
        <v>444</v>
      </c>
      <c r="B72" s="133" t="s">
        <v>445</v>
      </c>
      <c r="C72" s="120" t="s">
        <v>303</v>
      </c>
      <c r="D72" s="120" t="s">
        <v>384</v>
      </c>
      <c r="E72" s="120" t="s">
        <v>385</v>
      </c>
      <c r="F72" s="120" t="s">
        <v>306</v>
      </c>
      <c r="G72" s="120" t="s">
        <v>254</v>
      </c>
      <c r="H72" s="120">
        <v>9.0</v>
      </c>
      <c r="I72" s="121">
        <v>0.01</v>
      </c>
      <c r="J72" s="121">
        <v>0.11</v>
      </c>
      <c r="K72" s="117"/>
    </row>
    <row r="73" ht="15.75" hidden="1" customHeight="1">
      <c r="A73" s="136" t="s">
        <v>446</v>
      </c>
      <c r="B73" s="133" t="s">
        <v>447</v>
      </c>
      <c r="C73" s="120" t="s">
        <v>303</v>
      </c>
      <c r="D73" s="120" t="s">
        <v>384</v>
      </c>
      <c r="E73" s="120" t="s">
        <v>385</v>
      </c>
      <c r="F73" s="120" t="s">
        <v>306</v>
      </c>
      <c r="G73" s="120" t="s">
        <v>448</v>
      </c>
      <c r="H73" s="120">
        <v>9.0</v>
      </c>
      <c r="I73" s="121">
        <v>0.01</v>
      </c>
      <c r="J73" s="121">
        <v>0.11</v>
      </c>
      <c r="K73" s="117"/>
    </row>
    <row r="74" ht="15.75" hidden="1" customHeight="1">
      <c r="A74" s="136" t="s">
        <v>449</v>
      </c>
      <c r="B74" s="133" t="s">
        <v>450</v>
      </c>
      <c r="C74" s="120" t="s">
        <v>303</v>
      </c>
      <c r="D74" s="120" t="s">
        <v>384</v>
      </c>
      <c r="E74" s="120" t="s">
        <v>385</v>
      </c>
      <c r="F74" s="120" t="s">
        <v>306</v>
      </c>
      <c r="G74" s="120" t="s">
        <v>451</v>
      </c>
      <c r="H74" s="120">
        <v>8.0</v>
      </c>
      <c r="I74" s="121">
        <v>0.01</v>
      </c>
      <c r="J74" s="121">
        <v>0.13</v>
      </c>
      <c r="K74" s="117"/>
    </row>
    <row r="75" ht="15.75" hidden="1" customHeight="1">
      <c r="A75" s="136" t="s">
        <v>452</v>
      </c>
      <c r="B75" s="133" t="s">
        <v>412</v>
      </c>
      <c r="C75" s="120" t="s">
        <v>303</v>
      </c>
      <c r="D75" s="120" t="s">
        <v>384</v>
      </c>
      <c r="E75" s="120" t="s">
        <v>385</v>
      </c>
      <c r="F75" s="120" t="s">
        <v>306</v>
      </c>
      <c r="G75" s="120" t="s">
        <v>453</v>
      </c>
      <c r="H75" s="120">
        <v>7.0</v>
      </c>
      <c r="I75" s="121">
        <v>0.01</v>
      </c>
      <c r="J75" s="121">
        <v>0.0</v>
      </c>
      <c r="K75" s="117"/>
    </row>
    <row r="76" ht="15.75" hidden="1" customHeight="1">
      <c r="A76" s="136" t="s">
        <v>454</v>
      </c>
      <c r="B76" s="133" t="s">
        <v>412</v>
      </c>
      <c r="C76" s="120" t="s">
        <v>303</v>
      </c>
      <c r="D76" s="120" t="s">
        <v>384</v>
      </c>
      <c r="E76" s="120" t="s">
        <v>385</v>
      </c>
      <c r="F76" s="120" t="s">
        <v>306</v>
      </c>
      <c r="G76" s="120" t="s">
        <v>455</v>
      </c>
      <c r="H76" s="120">
        <v>7.0</v>
      </c>
      <c r="I76" s="121">
        <v>0.01</v>
      </c>
      <c r="J76" s="121">
        <v>0.43</v>
      </c>
      <c r="K76" s="117"/>
    </row>
    <row r="77" ht="15.75" hidden="1" customHeight="1">
      <c r="A77" s="136" t="s">
        <v>456</v>
      </c>
      <c r="B77" s="133" t="s">
        <v>457</v>
      </c>
      <c r="C77" s="120" t="s">
        <v>303</v>
      </c>
      <c r="D77" s="120" t="s">
        <v>384</v>
      </c>
      <c r="E77" s="120" t="s">
        <v>385</v>
      </c>
      <c r="F77" s="120" t="s">
        <v>306</v>
      </c>
      <c r="G77" s="120" t="s">
        <v>458</v>
      </c>
      <c r="H77" s="120">
        <v>6.0</v>
      </c>
      <c r="I77" s="121">
        <v>0.01</v>
      </c>
      <c r="J77" s="121">
        <v>0.0</v>
      </c>
      <c r="K77" s="117"/>
    </row>
    <row r="78" ht="15.75" hidden="1" customHeight="1">
      <c r="A78" s="136" t="s">
        <v>459</v>
      </c>
      <c r="B78" s="133" t="s">
        <v>460</v>
      </c>
      <c r="C78" s="120" t="s">
        <v>303</v>
      </c>
      <c r="D78" s="120" t="s">
        <v>384</v>
      </c>
      <c r="E78" s="120" t="s">
        <v>385</v>
      </c>
      <c r="F78" s="120" t="s">
        <v>306</v>
      </c>
      <c r="G78" s="120" t="s">
        <v>461</v>
      </c>
      <c r="H78" s="120">
        <v>5.0</v>
      </c>
      <c r="I78" s="121">
        <v>0.0</v>
      </c>
      <c r="J78" s="121">
        <v>0.2</v>
      </c>
      <c r="K78" s="117"/>
    </row>
    <row r="79" ht="15.75" hidden="1" customHeight="1">
      <c r="A79" s="136" t="s">
        <v>462</v>
      </c>
      <c r="B79" s="133" t="s">
        <v>463</v>
      </c>
      <c r="C79" s="120" t="s">
        <v>303</v>
      </c>
      <c r="D79" s="120" t="s">
        <v>384</v>
      </c>
      <c r="E79" s="120" t="s">
        <v>385</v>
      </c>
      <c r="F79" s="120" t="s">
        <v>306</v>
      </c>
      <c r="G79" s="120" t="s">
        <v>464</v>
      </c>
      <c r="H79" s="120">
        <v>5.0</v>
      </c>
      <c r="I79" s="121">
        <v>0.0</v>
      </c>
      <c r="J79" s="121">
        <v>0.0</v>
      </c>
      <c r="K79" s="117"/>
    </row>
    <row r="80" ht="15.75" hidden="1" customHeight="1">
      <c r="A80" s="136" t="s">
        <v>465</v>
      </c>
      <c r="B80" s="133" t="s">
        <v>466</v>
      </c>
      <c r="C80" s="120" t="s">
        <v>303</v>
      </c>
      <c r="D80" s="120" t="s">
        <v>384</v>
      </c>
      <c r="E80" s="120" t="s">
        <v>385</v>
      </c>
      <c r="F80" s="120" t="s">
        <v>306</v>
      </c>
      <c r="G80" s="120" t="s">
        <v>443</v>
      </c>
      <c r="H80" s="120">
        <v>5.0</v>
      </c>
      <c r="I80" s="121">
        <v>0.0</v>
      </c>
      <c r="J80" s="121">
        <v>0.4</v>
      </c>
      <c r="K80" s="117"/>
    </row>
    <row r="81" ht="15.75" hidden="1" customHeight="1">
      <c r="A81" s="136" t="s">
        <v>467</v>
      </c>
      <c r="B81" s="133" t="s">
        <v>468</v>
      </c>
      <c r="C81" s="120" t="s">
        <v>303</v>
      </c>
      <c r="D81" s="120" t="s">
        <v>384</v>
      </c>
      <c r="E81" s="120" t="s">
        <v>385</v>
      </c>
      <c r="F81" s="120" t="s">
        <v>306</v>
      </c>
      <c r="G81" s="120" t="s">
        <v>469</v>
      </c>
      <c r="H81" s="120">
        <v>5.0</v>
      </c>
      <c r="I81" s="121">
        <v>0.0</v>
      </c>
      <c r="J81" s="121">
        <v>0.0</v>
      </c>
      <c r="K81" s="117"/>
    </row>
    <row r="82" ht="15.75" hidden="1" customHeight="1">
      <c r="A82" s="136" t="s">
        <v>470</v>
      </c>
      <c r="B82" s="133" t="s">
        <v>471</v>
      </c>
      <c r="C82" s="120" t="s">
        <v>303</v>
      </c>
      <c r="D82" s="120" t="s">
        <v>384</v>
      </c>
      <c r="E82" s="120" t="s">
        <v>385</v>
      </c>
      <c r="F82" s="120" t="s">
        <v>306</v>
      </c>
      <c r="G82" s="120" t="s">
        <v>428</v>
      </c>
      <c r="H82" s="120">
        <v>5.0</v>
      </c>
      <c r="I82" s="121">
        <v>0.0</v>
      </c>
      <c r="J82" s="121">
        <v>0.0</v>
      </c>
      <c r="K82" s="117"/>
    </row>
    <row r="83" ht="15.75" hidden="1" customHeight="1">
      <c r="A83" s="136" t="s">
        <v>472</v>
      </c>
      <c r="B83" s="133" t="s">
        <v>473</v>
      </c>
      <c r="C83" s="120" t="s">
        <v>303</v>
      </c>
      <c r="D83" s="120" t="s">
        <v>384</v>
      </c>
      <c r="E83" s="120" t="s">
        <v>385</v>
      </c>
      <c r="F83" s="120" t="s">
        <v>306</v>
      </c>
      <c r="G83" s="120" t="s">
        <v>474</v>
      </c>
      <c r="H83" s="120">
        <v>4.0</v>
      </c>
      <c r="I83" s="121">
        <v>0.0</v>
      </c>
      <c r="J83" s="121">
        <v>0.0</v>
      </c>
      <c r="K83" s="117"/>
    </row>
    <row r="84" ht="15.75" hidden="1" customHeight="1">
      <c r="A84" s="136" t="s">
        <v>475</v>
      </c>
      <c r="B84" s="133" t="s">
        <v>457</v>
      </c>
      <c r="C84" s="120" t="s">
        <v>303</v>
      </c>
      <c r="D84" s="120" t="s">
        <v>384</v>
      </c>
      <c r="E84" s="120" t="s">
        <v>385</v>
      </c>
      <c r="F84" s="120" t="s">
        <v>306</v>
      </c>
      <c r="G84" s="120" t="s">
        <v>458</v>
      </c>
      <c r="H84" s="120">
        <v>3.0</v>
      </c>
      <c r="I84" s="121">
        <v>0.0</v>
      </c>
      <c r="J84" s="121">
        <v>0.0</v>
      </c>
      <c r="K84" s="117"/>
    </row>
    <row r="85" ht="15.75" hidden="1" customHeight="1">
      <c r="A85" s="136" t="s">
        <v>476</v>
      </c>
      <c r="B85" s="133" t="s">
        <v>477</v>
      </c>
      <c r="C85" s="120" t="s">
        <v>303</v>
      </c>
      <c r="D85" s="120" t="s">
        <v>384</v>
      </c>
      <c r="E85" s="120" t="s">
        <v>385</v>
      </c>
      <c r="F85" s="120" t="s">
        <v>306</v>
      </c>
      <c r="G85" s="120" t="s">
        <v>478</v>
      </c>
      <c r="H85" s="120">
        <v>3.0</v>
      </c>
      <c r="I85" s="121">
        <v>0.0</v>
      </c>
      <c r="J85" s="121">
        <v>0.67</v>
      </c>
      <c r="K85" s="117"/>
    </row>
    <row r="86" ht="15.75" hidden="1" customHeight="1">
      <c r="A86" s="136" t="s">
        <v>479</v>
      </c>
      <c r="B86" s="133" t="s">
        <v>480</v>
      </c>
      <c r="C86" s="120" t="s">
        <v>303</v>
      </c>
      <c r="D86" s="120" t="s">
        <v>384</v>
      </c>
      <c r="E86" s="120" t="s">
        <v>385</v>
      </c>
      <c r="F86" s="120" t="s">
        <v>306</v>
      </c>
      <c r="G86" s="120" t="s">
        <v>481</v>
      </c>
      <c r="H86" s="120">
        <v>3.0</v>
      </c>
      <c r="I86" s="121">
        <v>0.0</v>
      </c>
      <c r="J86" s="121">
        <v>0.0</v>
      </c>
      <c r="K86" s="117"/>
    </row>
    <row r="87" ht="15.75" hidden="1" customHeight="1">
      <c r="A87" s="136" t="s">
        <v>482</v>
      </c>
      <c r="B87" s="133" t="s">
        <v>483</v>
      </c>
      <c r="C87" s="120" t="s">
        <v>303</v>
      </c>
      <c r="D87" s="120" t="s">
        <v>384</v>
      </c>
      <c r="E87" s="120" t="s">
        <v>385</v>
      </c>
      <c r="F87" s="120" t="s">
        <v>306</v>
      </c>
      <c r="G87" s="120" t="s">
        <v>443</v>
      </c>
      <c r="H87" s="120">
        <v>3.0</v>
      </c>
      <c r="I87" s="121">
        <v>0.0</v>
      </c>
      <c r="J87" s="121">
        <v>0.0</v>
      </c>
      <c r="K87" s="117"/>
    </row>
    <row r="88" ht="15.75" customHeight="1">
      <c r="A88" s="122" t="s">
        <v>484</v>
      </c>
      <c r="B88" s="133" t="s">
        <v>485</v>
      </c>
      <c r="C88" s="120" t="s">
        <v>303</v>
      </c>
      <c r="D88" s="120" t="s">
        <v>384</v>
      </c>
      <c r="E88" s="120" t="s">
        <v>385</v>
      </c>
      <c r="F88" s="120" t="s">
        <v>306</v>
      </c>
      <c r="G88" s="120" t="s">
        <v>486</v>
      </c>
      <c r="H88" s="120">
        <v>2.0</v>
      </c>
      <c r="I88" s="121">
        <v>0.0</v>
      </c>
      <c r="J88" s="121">
        <v>0.0</v>
      </c>
      <c r="K88" s="117"/>
    </row>
    <row r="89" ht="15.75" customHeight="1">
      <c r="A89" s="122" t="s">
        <v>487</v>
      </c>
      <c r="B89" s="133" t="s">
        <v>488</v>
      </c>
      <c r="C89" s="120" t="s">
        <v>303</v>
      </c>
      <c r="D89" s="120" t="s">
        <v>384</v>
      </c>
      <c r="E89" s="120" t="s">
        <v>385</v>
      </c>
      <c r="F89" s="120" t="s">
        <v>306</v>
      </c>
      <c r="G89" s="120" t="s">
        <v>489</v>
      </c>
      <c r="H89" s="120">
        <v>2.0</v>
      </c>
      <c r="I89" s="121">
        <v>0.0</v>
      </c>
      <c r="J89" s="121">
        <v>0.0</v>
      </c>
      <c r="K89" s="117"/>
    </row>
    <row r="90" ht="15.75" customHeight="1">
      <c r="A90" s="122" t="s">
        <v>490</v>
      </c>
      <c r="B90" s="133" t="s">
        <v>388</v>
      </c>
      <c r="C90" s="120" t="s">
        <v>303</v>
      </c>
      <c r="D90" s="120" t="s">
        <v>384</v>
      </c>
      <c r="E90" s="120" t="s">
        <v>385</v>
      </c>
      <c r="F90" s="120" t="s">
        <v>306</v>
      </c>
      <c r="G90" s="120" t="s">
        <v>389</v>
      </c>
      <c r="H90" s="120">
        <v>2.0</v>
      </c>
      <c r="I90" s="121">
        <v>0.0</v>
      </c>
      <c r="J90" s="121">
        <v>0.0</v>
      </c>
      <c r="K90" s="117"/>
    </row>
    <row r="91" ht="15.75" customHeight="1">
      <c r="A91" s="122" t="s">
        <v>491</v>
      </c>
      <c r="B91" s="133" t="s">
        <v>492</v>
      </c>
      <c r="C91" s="120" t="s">
        <v>303</v>
      </c>
      <c r="D91" s="120" t="s">
        <v>384</v>
      </c>
      <c r="E91" s="120" t="s">
        <v>385</v>
      </c>
      <c r="F91" s="120" t="s">
        <v>306</v>
      </c>
      <c r="G91" s="120" t="s">
        <v>493</v>
      </c>
      <c r="H91" s="120">
        <v>2.0</v>
      </c>
      <c r="I91" s="121">
        <v>0.0</v>
      </c>
      <c r="J91" s="121">
        <v>0.0</v>
      </c>
      <c r="K91" s="117"/>
    </row>
    <row r="92" ht="15.75" customHeight="1">
      <c r="A92" s="122" t="s">
        <v>494</v>
      </c>
      <c r="B92" s="133" t="s">
        <v>495</v>
      </c>
      <c r="C92" s="120" t="s">
        <v>303</v>
      </c>
      <c r="D92" s="120" t="s">
        <v>384</v>
      </c>
      <c r="E92" s="120" t="s">
        <v>385</v>
      </c>
      <c r="F92" s="120" t="s">
        <v>306</v>
      </c>
      <c r="G92" s="120" t="s">
        <v>496</v>
      </c>
      <c r="H92" s="120">
        <v>2.0</v>
      </c>
      <c r="I92" s="121">
        <v>0.0</v>
      </c>
      <c r="J92" s="121">
        <v>0.0</v>
      </c>
      <c r="K92" s="117"/>
    </row>
    <row r="93" ht="15.75" customHeight="1">
      <c r="A93" s="122" t="s">
        <v>497</v>
      </c>
      <c r="B93" s="133" t="s">
        <v>498</v>
      </c>
      <c r="C93" s="120" t="s">
        <v>303</v>
      </c>
      <c r="D93" s="120" t="s">
        <v>499</v>
      </c>
      <c r="E93" s="120" t="s">
        <v>385</v>
      </c>
      <c r="F93" s="120" t="s">
        <v>306</v>
      </c>
      <c r="G93" s="120" t="s">
        <v>500</v>
      </c>
      <c r="H93" s="120">
        <v>2.0</v>
      </c>
      <c r="I93" s="121">
        <v>0.0</v>
      </c>
      <c r="J93" s="121">
        <v>1.0</v>
      </c>
      <c r="K93" s="117"/>
    </row>
    <row r="94" ht="15.75" customHeight="1">
      <c r="A94" s="122" t="s">
        <v>501</v>
      </c>
      <c r="B94" s="133" t="s">
        <v>502</v>
      </c>
      <c r="C94" s="120" t="s">
        <v>303</v>
      </c>
      <c r="D94" s="120" t="s">
        <v>503</v>
      </c>
      <c r="E94" s="120" t="s">
        <v>385</v>
      </c>
      <c r="F94" s="120" t="s">
        <v>306</v>
      </c>
      <c r="G94" s="120" t="s">
        <v>504</v>
      </c>
      <c r="H94" s="120">
        <v>2.0</v>
      </c>
      <c r="I94" s="121">
        <v>0.0</v>
      </c>
      <c r="J94" s="121">
        <v>1.5</v>
      </c>
      <c r="K94" s="117"/>
    </row>
    <row r="95" ht="15.75" customHeight="1">
      <c r="A95" s="122" t="s">
        <v>505</v>
      </c>
      <c r="B95" s="133" t="s">
        <v>506</v>
      </c>
      <c r="C95" s="120" t="s">
        <v>303</v>
      </c>
      <c r="D95" s="120" t="s">
        <v>384</v>
      </c>
      <c r="E95" s="120" t="s">
        <v>385</v>
      </c>
      <c r="F95" s="120" t="s">
        <v>306</v>
      </c>
      <c r="G95" s="120" t="s">
        <v>507</v>
      </c>
      <c r="H95" s="120">
        <v>1.0</v>
      </c>
      <c r="I95" s="121">
        <v>0.0</v>
      </c>
      <c r="J95" s="121">
        <v>0.0</v>
      </c>
      <c r="K95" s="117"/>
    </row>
    <row r="96" ht="15.75" customHeight="1">
      <c r="A96" s="122" t="s">
        <v>508</v>
      </c>
      <c r="B96" s="133" t="s">
        <v>509</v>
      </c>
      <c r="C96" s="120" t="s">
        <v>303</v>
      </c>
      <c r="D96" s="120" t="s">
        <v>384</v>
      </c>
      <c r="E96" s="120" t="s">
        <v>385</v>
      </c>
      <c r="F96" s="120" t="s">
        <v>306</v>
      </c>
      <c r="G96" s="120" t="s">
        <v>510</v>
      </c>
      <c r="H96" s="120">
        <v>1.0</v>
      </c>
      <c r="I96" s="121">
        <v>0.0</v>
      </c>
      <c r="J96" s="121">
        <v>0.0</v>
      </c>
      <c r="K96" s="117"/>
    </row>
    <row r="97" ht="15.75" customHeight="1">
      <c r="A97" s="122" t="s">
        <v>511</v>
      </c>
      <c r="B97" s="133" t="s">
        <v>512</v>
      </c>
      <c r="C97" s="120" t="s">
        <v>303</v>
      </c>
      <c r="D97" s="120" t="s">
        <v>384</v>
      </c>
      <c r="E97" s="120" t="s">
        <v>385</v>
      </c>
      <c r="F97" s="120" t="s">
        <v>306</v>
      </c>
      <c r="G97" s="120" t="s">
        <v>513</v>
      </c>
      <c r="H97" s="120">
        <v>1.0</v>
      </c>
      <c r="I97" s="121">
        <v>0.0</v>
      </c>
      <c r="J97" s="121">
        <v>0.0</v>
      </c>
      <c r="K97" s="117"/>
    </row>
    <row r="98" ht="15.75" customHeight="1">
      <c r="A98" s="122" t="s">
        <v>514</v>
      </c>
      <c r="B98" s="133" t="s">
        <v>515</v>
      </c>
      <c r="C98" s="120" t="s">
        <v>303</v>
      </c>
      <c r="D98" s="120" t="s">
        <v>384</v>
      </c>
      <c r="E98" s="120" t="s">
        <v>385</v>
      </c>
      <c r="F98" s="120" t="s">
        <v>306</v>
      </c>
      <c r="G98" s="120" t="s">
        <v>516</v>
      </c>
      <c r="H98" s="120">
        <v>1.0</v>
      </c>
      <c r="I98" s="121">
        <v>0.0</v>
      </c>
      <c r="J98" s="121">
        <v>0.0</v>
      </c>
      <c r="K98" s="117"/>
    </row>
    <row r="99" ht="15.75" customHeight="1">
      <c r="A99" s="122" t="s">
        <v>517</v>
      </c>
      <c r="B99" s="133" t="s">
        <v>518</v>
      </c>
      <c r="C99" s="120" t="s">
        <v>303</v>
      </c>
      <c r="D99" s="120" t="s">
        <v>384</v>
      </c>
      <c r="E99" s="120" t="s">
        <v>385</v>
      </c>
      <c r="F99" s="120" t="s">
        <v>306</v>
      </c>
      <c r="G99" s="120" t="s">
        <v>392</v>
      </c>
      <c r="H99" s="120">
        <v>1.0</v>
      </c>
      <c r="I99" s="121">
        <v>0.0</v>
      </c>
      <c r="J99" s="121">
        <v>0.0</v>
      </c>
      <c r="K99" s="117"/>
    </row>
    <row r="100" ht="15.75" customHeight="1">
      <c r="A100" s="122" t="s">
        <v>519</v>
      </c>
      <c r="B100" s="133" t="s">
        <v>520</v>
      </c>
      <c r="C100" s="120" t="s">
        <v>303</v>
      </c>
      <c r="D100" s="120" t="s">
        <v>384</v>
      </c>
      <c r="E100" s="120" t="s">
        <v>385</v>
      </c>
      <c r="F100" s="120" t="s">
        <v>306</v>
      </c>
      <c r="G100" s="120" t="s">
        <v>521</v>
      </c>
      <c r="H100" s="120">
        <v>1.0</v>
      </c>
      <c r="I100" s="121">
        <v>0.0</v>
      </c>
      <c r="J100" s="121">
        <v>0.0</v>
      </c>
      <c r="K100" s="117"/>
    </row>
    <row r="101" ht="15.75" customHeight="1">
      <c r="A101" s="122" t="s">
        <v>522</v>
      </c>
      <c r="B101" s="133" t="s">
        <v>523</v>
      </c>
      <c r="C101" s="120" t="s">
        <v>303</v>
      </c>
      <c r="D101" s="120" t="s">
        <v>384</v>
      </c>
      <c r="E101" s="120" t="s">
        <v>385</v>
      </c>
      <c r="F101" s="120" t="s">
        <v>306</v>
      </c>
      <c r="G101" s="120" t="s">
        <v>524</v>
      </c>
      <c r="H101" s="120">
        <v>1.0</v>
      </c>
      <c r="I101" s="121">
        <v>0.0</v>
      </c>
      <c r="J101" s="121">
        <v>0.0</v>
      </c>
      <c r="K101" s="117"/>
    </row>
    <row r="102" ht="15.75" customHeight="1">
      <c r="A102" s="122" t="s">
        <v>525</v>
      </c>
      <c r="B102" s="133" t="s">
        <v>457</v>
      </c>
      <c r="C102" s="120" t="s">
        <v>303</v>
      </c>
      <c r="D102" s="120" t="s">
        <v>384</v>
      </c>
      <c r="E102" s="120" t="s">
        <v>385</v>
      </c>
      <c r="F102" s="120" t="s">
        <v>306</v>
      </c>
      <c r="G102" s="120" t="s">
        <v>526</v>
      </c>
      <c r="H102" s="120">
        <v>1.0</v>
      </c>
      <c r="I102" s="121">
        <v>0.0</v>
      </c>
      <c r="J102" s="121">
        <v>0.0</v>
      </c>
      <c r="K102" s="117"/>
    </row>
    <row r="103" ht="15.75" customHeight="1">
      <c r="A103" s="122" t="s">
        <v>527</v>
      </c>
      <c r="B103" s="133" t="s">
        <v>528</v>
      </c>
      <c r="C103" s="120" t="s">
        <v>303</v>
      </c>
      <c r="D103" s="120" t="s">
        <v>384</v>
      </c>
      <c r="E103" s="120" t="s">
        <v>385</v>
      </c>
      <c r="F103" s="120" t="s">
        <v>306</v>
      </c>
      <c r="G103" s="120" t="s">
        <v>529</v>
      </c>
      <c r="H103" s="120">
        <v>1.0</v>
      </c>
      <c r="I103" s="121">
        <v>0.0</v>
      </c>
      <c r="J103" s="121">
        <v>0.0</v>
      </c>
      <c r="K103" s="117"/>
    </row>
    <row r="104" ht="15.75" customHeight="1">
      <c r="A104" s="122" t="s">
        <v>530</v>
      </c>
      <c r="B104" s="133" t="s">
        <v>531</v>
      </c>
      <c r="C104" s="120" t="s">
        <v>303</v>
      </c>
      <c r="D104" s="120" t="s">
        <v>384</v>
      </c>
      <c r="E104" s="120" t="s">
        <v>385</v>
      </c>
      <c r="F104" s="120" t="s">
        <v>306</v>
      </c>
      <c r="G104" s="120" t="s">
        <v>532</v>
      </c>
      <c r="H104" s="120">
        <v>1.0</v>
      </c>
      <c r="I104" s="121">
        <v>0.0</v>
      </c>
      <c r="J104" s="121">
        <v>1.0</v>
      </c>
      <c r="K104" s="117"/>
    </row>
    <row r="105" ht="15.75" customHeight="1">
      <c r="A105" s="122" t="s">
        <v>533</v>
      </c>
      <c r="B105" s="133" t="s">
        <v>433</v>
      </c>
      <c r="C105" s="120" t="s">
        <v>303</v>
      </c>
      <c r="D105" s="120" t="s">
        <v>384</v>
      </c>
      <c r="E105" s="120" t="s">
        <v>385</v>
      </c>
      <c r="F105" s="120" t="s">
        <v>306</v>
      </c>
      <c r="G105" s="120" t="s">
        <v>534</v>
      </c>
      <c r="H105" s="120">
        <v>1.0</v>
      </c>
      <c r="I105" s="121">
        <v>0.0</v>
      </c>
      <c r="J105" s="121">
        <v>0.0</v>
      </c>
      <c r="K105" s="117"/>
    </row>
    <row r="106" ht="15.75" customHeight="1">
      <c r="A106" s="122" t="s">
        <v>535</v>
      </c>
      <c r="B106" s="133" t="s">
        <v>536</v>
      </c>
      <c r="C106" s="120" t="s">
        <v>303</v>
      </c>
      <c r="D106" s="120" t="s">
        <v>384</v>
      </c>
      <c r="E106" s="120" t="s">
        <v>385</v>
      </c>
      <c r="F106" s="120" t="s">
        <v>306</v>
      </c>
      <c r="G106" s="120" t="s">
        <v>537</v>
      </c>
      <c r="H106" s="120">
        <v>1.0</v>
      </c>
      <c r="I106" s="121">
        <v>0.0</v>
      </c>
      <c r="J106" s="121">
        <v>0.0</v>
      </c>
      <c r="K106" s="117"/>
    </row>
    <row r="107" ht="15.75" customHeight="1">
      <c r="A107" s="122" t="s">
        <v>538</v>
      </c>
      <c r="B107" s="133" t="s">
        <v>536</v>
      </c>
      <c r="C107" s="120" t="s">
        <v>303</v>
      </c>
      <c r="D107" s="120" t="s">
        <v>384</v>
      </c>
      <c r="E107" s="120" t="s">
        <v>385</v>
      </c>
      <c r="F107" s="120" t="s">
        <v>306</v>
      </c>
      <c r="G107" s="120" t="s">
        <v>537</v>
      </c>
      <c r="H107" s="120">
        <v>1.0</v>
      </c>
      <c r="I107" s="121">
        <v>0.0</v>
      </c>
      <c r="J107" s="121">
        <v>0.0</v>
      </c>
      <c r="K107" s="117"/>
    </row>
    <row r="108" ht="15.75" customHeight="1">
      <c r="A108" s="138" t="s">
        <v>539</v>
      </c>
      <c r="B108" s="120" t="s">
        <v>536</v>
      </c>
      <c r="C108" s="120" t="s">
        <v>303</v>
      </c>
      <c r="D108" s="120" t="s">
        <v>384</v>
      </c>
      <c r="E108" s="120" t="s">
        <v>385</v>
      </c>
      <c r="F108" s="120" t="s">
        <v>306</v>
      </c>
      <c r="G108" s="120" t="s">
        <v>537</v>
      </c>
      <c r="H108" s="120">
        <v>1.0</v>
      </c>
      <c r="I108" s="121">
        <v>0.0</v>
      </c>
      <c r="J108" s="121">
        <v>0.0</v>
      </c>
      <c r="K108" s="117"/>
    </row>
    <row r="109" ht="15.75" customHeight="1">
      <c r="A109" s="138" t="s">
        <v>540</v>
      </c>
      <c r="B109" s="120" t="s">
        <v>541</v>
      </c>
      <c r="C109" s="120" t="s">
        <v>303</v>
      </c>
      <c r="D109" s="120" t="s">
        <v>384</v>
      </c>
      <c r="E109" s="120" t="s">
        <v>385</v>
      </c>
      <c r="F109" s="120" t="s">
        <v>306</v>
      </c>
      <c r="G109" s="120" t="s">
        <v>542</v>
      </c>
      <c r="H109" s="120">
        <v>1.0</v>
      </c>
      <c r="I109" s="121">
        <v>0.0</v>
      </c>
      <c r="J109" s="121">
        <v>0.0</v>
      </c>
      <c r="K109" s="117"/>
    </row>
    <row r="110" ht="15.75" customHeight="1">
      <c r="A110" s="138" t="s">
        <v>543</v>
      </c>
      <c r="B110" s="120" t="s">
        <v>544</v>
      </c>
      <c r="C110" s="120" t="s">
        <v>303</v>
      </c>
      <c r="D110" s="120" t="s">
        <v>384</v>
      </c>
      <c r="E110" s="120" t="s">
        <v>385</v>
      </c>
      <c r="F110" s="120" t="s">
        <v>306</v>
      </c>
      <c r="G110" s="120" t="s">
        <v>545</v>
      </c>
      <c r="H110" s="120">
        <v>1.0</v>
      </c>
      <c r="I110" s="121">
        <v>0.0</v>
      </c>
      <c r="J110" s="121">
        <v>6.0</v>
      </c>
      <c r="K110" s="117"/>
    </row>
    <row r="111" ht="15.75" customHeight="1">
      <c r="A111" s="138" t="s">
        <v>546</v>
      </c>
      <c r="B111" s="120" t="s">
        <v>547</v>
      </c>
      <c r="C111" s="120" t="s">
        <v>303</v>
      </c>
      <c r="D111" s="120" t="s">
        <v>384</v>
      </c>
      <c r="E111" s="120" t="s">
        <v>385</v>
      </c>
      <c r="F111" s="120" t="s">
        <v>306</v>
      </c>
      <c r="G111" s="120" t="s">
        <v>416</v>
      </c>
      <c r="H111" s="120">
        <v>1.0</v>
      </c>
      <c r="I111" s="121">
        <v>0.0</v>
      </c>
      <c r="J111" s="121">
        <v>0.0</v>
      </c>
      <c r="K111" s="117"/>
    </row>
    <row r="112" ht="15.75" customHeight="1">
      <c r="A112" s="138" t="s">
        <v>548</v>
      </c>
      <c r="B112" s="120" t="s">
        <v>549</v>
      </c>
      <c r="C112" s="120" t="s">
        <v>303</v>
      </c>
      <c r="D112" s="120" t="s">
        <v>384</v>
      </c>
      <c r="E112" s="120" t="s">
        <v>385</v>
      </c>
      <c r="F112" s="120" t="s">
        <v>306</v>
      </c>
      <c r="G112" s="120" t="s">
        <v>550</v>
      </c>
      <c r="H112" s="120">
        <v>1.0</v>
      </c>
      <c r="I112" s="121">
        <v>0.0</v>
      </c>
      <c r="J112" s="121">
        <v>0.0</v>
      </c>
      <c r="K112" s="117"/>
    </row>
    <row r="113" ht="15.75" customHeight="1">
      <c r="A113" s="138" t="s">
        <v>551</v>
      </c>
      <c r="B113" s="120" t="s">
        <v>552</v>
      </c>
      <c r="C113" s="120" t="s">
        <v>303</v>
      </c>
      <c r="D113" s="120" t="s">
        <v>384</v>
      </c>
      <c r="E113" s="120" t="s">
        <v>385</v>
      </c>
      <c r="F113" s="120" t="s">
        <v>306</v>
      </c>
      <c r="G113" s="120" t="s">
        <v>553</v>
      </c>
      <c r="H113" s="120">
        <v>1.0</v>
      </c>
      <c r="I113" s="121">
        <v>0.0</v>
      </c>
      <c r="J113" s="121">
        <v>0.0</v>
      </c>
      <c r="K113" s="117"/>
    </row>
    <row r="114" ht="15.75" customHeight="1">
      <c r="A114" s="139" t="s">
        <v>554</v>
      </c>
      <c r="B114" s="140" t="s">
        <v>555</v>
      </c>
      <c r="C114" s="120" t="s">
        <v>303</v>
      </c>
      <c r="D114" s="120" t="s">
        <v>384</v>
      </c>
      <c r="E114" s="120" t="s">
        <v>385</v>
      </c>
      <c r="F114" s="120" t="s">
        <v>306</v>
      </c>
      <c r="G114" s="120" t="s">
        <v>556</v>
      </c>
      <c r="H114" s="120">
        <v>1.0</v>
      </c>
      <c r="I114" s="121">
        <v>0.0</v>
      </c>
      <c r="J114" s="121">
        <v>1.0</v>
      </c>
      <c r="K114" s="117"/>
    </row>
    <row r="115" ht="15.75" customHeight="1">
      <c r="A115" s="122" t="s">
        <v>557</v>
      </c>
      <c r="B115" s="133" t="s">
        <v>558</v>
      </c>
      <c r="C115" s="120" t="s">
        <v>303</v>
      </c>
      <c r="D115" s="120" t="s">
        <v>384</v>
      </c>
      <c r="E115" s="120" t="s">
        <v>385</v>
      </c>
      <c r="F115" s="120" t="s">
        <v>306</v>
      </c>
      <c r="G115" s="120" t="s">
        <v>559</v>
      </c>
      <c r="H115" s="120">
        <v>1.0</v>
      </c>
      <c r="I115" s="121">
        <v>0.0</v>
      </c>
      <c r="J115" s="121">
        <v>0.0</v>
      </c>
      <c r="K115" s="117"/>
    </row>
    <row r="116" ht="15.75" customHeight="1">
      <c r="A116" s="122" t="s">
        <v>560</v>
      </c>
      <c r="B116" s="133" t="s">
        <v>561</v>
      </c>
      <c r="C116" s="120" t="s">
        <v>303</v>
      </c>
      <c r="D116" s="120" t="s">
        <v>384</v>
      </c>
      <c r="E116" s="120" t="s">
        <v>385</v>
      </c>
      <c r="F116" s="120" t="s">
        <v>306</v>
      </c>
      <c r="G116" s="120" t="s">
        <v>254</v>
      </c>
      <c r="H116" s="120">
        <v>1.0</v>
      </c>
      <c r="I116" s="121">
        <v>0.0</v>
      </c>
      <c r="J116" s="121">
        <v>0.0</v>
      </c>
      <c r="K116" s="117"/>
    </row>
    <row r="117" ht="15.75" customHeight="1">
      <c r="A117" s="122" t="s">
        <v>562</v>
      </c>
      <c r="B117" s="133" t="s">
        <v>563</v>
      </c>
      <c r="C117" s="120" t="s">
        <v>303</v>
      </c>
      <c r="D117" s="120" t="s">
        <v>564</v>
      </c>
      <c r="E117" s="120" t="s">
        <v>385</v>
      </c>
      <c r="F117" s="120" t="s">
        <v>306</v>
      </c>
      <c r="G117" s="120" t="s">
        <v>565</v>
      </c>
      <c r="H117" s="120">
        <v>1.0</v>
      </c>
      <c r="I117" s="121">
        <v>0.0</v>
      </c>
      <c r="J117" s="121">
        <v>1.0</v>
      </c>
      <c r="K117" s="117"/>
    </row>
    <row r="118" ht="15.75" customHeight="1">
      <c r="A118" s="122" t="s">
        <v>566</v>
      </c>
      <c r="B118" s="133" t="s">
        <v>567</v>
      </c>
      <c r="C118" s="120" t="s">
        <v>303</v>
      </c>
      <c r="D118" s="120" t="s">
        <v>568</v>
      </c>
      <c r="E118" s="120" t="s">
        <v>385</v>
      </c>
      <c r="F118" s="120" t="s">
        <v>306</v>
      </c>
      <c r="G118" s="120" t="s">
        <v>569</v>
      </c>
      <c r="H118" s="120">
        <v>1.0</v>
      </c>
      <c r="I118" s="121">
        <v>0.0</v>
      </c>
      <c r="J118" s="121">
        <v>0.0</v>
      </c>
      <c r="K118" s="117"/>
    </row>
    <row r="119" ht="15.75" customHeight="1">
      <c r="A119" s="122" t="s">
        <v>570</v>
      </c>
      <c r="B119" s="140" t="s">
        <v>571</v>
      </c>
      <c r="C119" s="120" t="s">
        <v>303</v>
      </c>
      <c r="D119" s="120" t="s">
        <v>572</v>
      </c>
      <c r="E119" s="120" t="s">
        <v>385</v>
      </c>
      <c r="F119" s="120" t="s">
        <v>306</v>
      </c>
      <c r="G119" s="120" t="s">
        <v>573</v>
      </c>
      <c r="H119" s="120">
        <v>1.0</v>
      </c>
      <c r="I119" s="121">
        <v>0.0</v>
      </c>
      <c r="J119" s="121">
        <v>2.0</v>
      </c>
      <c r="K119" s="117"/>
    </row>
    <row r="120" ht="15.75" customHeight="1">
      <c r="A120" s="122" t="s">
        <v>574</v>
      </c>
      <c r="B120" s="133" t="s">
        <v>575</v>
      </c>
      <c r="C120" s="120" t="s">
        <v>576</v>
      </c>
      <c r="D120" s="120" t="s">
        <v>577</v>
      </c>
      <c r="E120" s="120" t="s">
        <v>385</v>
      </c>
      <c r="F120" s="120" t="s">
        <v>306</v>
      </c>
      <c r="G120" s="120" t="s">
        <v>578</v>
      </c>
      <c r="H120" s="120">
        <v>6.0</v>
      </c>
      <c r="I120" s="121">
        <v>0.01</v>
      </c>
      <c r="J120" s="121">
        <v>1.0</v>
      </c>
      <c r="K120" s="117"/>
    </row>
    <row r="121" ht="15.75" customHeight="1">
      <c r="A121" s="122" t="s">
        <v>579</v>
      </c>
      <c r="B121" s="133" t="s">
        <v>580</v>
      </c>
      <c r="C121" s="120" t="s">
        <v>311</v>
      </c>
      <c r="D121" s="120" t="s">
        <v>581</v>
      </c>
      <c r="E121" s="120" t="s">
        <v>385</v>
      </c>
      <c r="F121" s="120" t="s">
        <v>306</v>
      </c>
      <c r="G121" s="120" t="s">
        <v>582</v>
      </c>
      <c r="H121" s="120">
        <v>16.0</v>
      </c>
      <c r="I121" s="121">
        <v>0.02</v>
      </c>
      <c r="J121" s="121">
        <v>1.13</v>
      </c>
      <c r="K121" s="117"/>
    </row>
    <row r="122" ht="15.75" customHeight="1">
      <c r="A122" s="122" t="s">
        <v>583</v>
      </c>
      <c r="B122" s="133" t="s">
        <v>584</v>
      </c>
      <c r="C122" s="135" t="s">
        <v>315</v>
      </c>
      <c r="D122" s="141" t="s">
        <v>585</v>
      </c>
      <c r="E122" s="135" t="s">
        <v>385</v>
      </c>
      <c r="F122" s="135" t="s">
        <v>306</v>
      </c>
      <c r="G122" s="135" t="s">
        <v>586</v>
      </c>
      <c r="H122" s="135">
        <v>97.0</v>
      </c>
      <c r="I122" s="121">
        <v>0.02</v>
      </c>
      <c r="J122" s="121">
        <v>1.67</v>
      </c>
      <c r="K122" s="117"/>
    </row>
    <row r="123" ht="15.75" customHeight="1">
      <c r="A123" s="122" t="s">
        <v>587</v>
      </c>
      <c r="B123" s="133" t="s">
        <v>588</v>
      </c>
      <c r="C123" s="135" t="s">
        <v>315</v>
      </c>
      <c r="D123" s="141" t="s">
        <v>384</v>
      </c>
      <c r="E123" s="135" t="s">
        <v>385</v>
      </c>
      <c r="F123" s="135" t="s">
        <v>306</v>
      </c>
      <c r="G123" s="135" t="s">
        <v>589</v>
      </c>
      <c r="H123" s="135">
        <v>60.0</v>
      </c>
      <c r="I123" s="121">
        <v>0.0</v>
      </c>
      <c r="J123" s="121">
        <v>1.25</v>
      </c>
      <c r="K123" s="117"/>
    </row>
    <row r="124" ht="15.75" customHeight="1">
      <c r="A124" s="122" t="s">
        <v>590</v>
      </c>
      <c r="B124" s="133" t="s">
        <v>591</v>
      </c>
      <c r="C124" s="135" t="s">
        <v>315</v>
      </c>
      <c r="D124" s="141" t="s">
        <v>384</v>
      </c>
      <c r="E124" s="135" t="s">
        <v>385</v>
      </c>
      <c r="F124" s="135" t="s">
        <v>306</v>
      </c>
      <c r="G124" s="135" t="s">
        <v>592</v>
      </c>
      <c r="H124" s="135">
        <v>53.0</v>
      </c>
      <c r="I124" s="121">
        <v>0.0</v>
      </c>
      <c r="J124" s="121">
        <v>1.0</v>
      </c>
      <c r="K124" s="117"/>
    </row>
    <row r="125" ht="15.75" customHeight="1">
      <c r="A125" s="122" t="s">
        <v>593</v>
      </c>
      <c r="B125" s="133" t="s">
        <v>594</v>
      </c>
      <c r="C125" s="135" t="s">
        <v>315</v>
      </c>
      <c r="D125" s="141" t="s">
        <v>595</v>
      </c>
      <c r="E125" s="135" t="s">
        <v>385</v>
      </c>
      <c r="F125" s="135" t="s">
        <v>306</v>
      </c>
      <c r="G125" s="135" t="s">
        <v>596</v>
      </c>
      <c r="H125" s="135">
        <v>47.0</v>
      </c>
      <c r="I125" s="121">
        <v>0.0</v>
      </c>
      <c r="J125" s="121">
        <v>1.0</v>
      </c>
      <c r="K125" s="117"/>
    </row>
    <row r="126" ht="15.75" customHeight="1">
      <c r="A126" s="122" t="s">
        <v>597</v>
      </c>
      <c r="B126" s="133" t="s">
        <v>598</v>
      </c>
      <c r="C126" s="120" t="s">
        <v>321</v>
      </c>
      <c r="D126" s="120" t="s">
        <v>599</v>
      </c>
      <c r="E126" s="120" t="s">
        <v>385</v>
      </c>
      <c r="F126" s="120" t="s">
        <v>306</v>
      </c>
      <c r="G126" s="120" t="s">
        <v>600</v>
      </c>
      <c r="H126" s="120">
        <v>18.0</v>
      </c>
      <c r="I126" s="121">
        <v>0.02</v>
      </c>
      <c r="J126" s="121">
        <v>1.67</v>
      </c>
      <c r="K126" s="117"/>
    </row>
    <row r="127" ht="15.75" customHeight="1">
      <c r="A127" s="122" t="s">
        <v>601</v>
      </c>
      <c r="B127" s="133" t="s">
        <v>602</v>
      </c>
      <c r="C127" s="120" t="s">
        <v>321</v>
      </c>
      <c r="D127" s="120" t="s">
        <v>603</v>
      </c>
      <c r="E127" s="120" t="s">
        <v>385</v>
      </c>
      <c r="F127" s="120" t="s">
        <v>306</v>
      </c>
      <c r="G127" s="120" t="s">
        <v>604</v>
      </c>
      <c r="H127" s="120">
        <v>4.0</v>
      </c>
      <c r="I127" s="121">
        <v>0.0</v>
      </c>
      <c r="J127" s="121">
        <v>1.25</v>
      </c>
      <c r="K127" s="117"/>
    </row>
    <row r="128" ht="15.75" customHeight="1">
      <c r="A128" s="122" t="s">
        <v>605</v>
      </c>
      <c r="B128" s="133" t="s">
        <v>606</v>
      </c>
      <c r="C128" s="120" t="s">
        <v>321</v>
      </c>
      <c r="D128" s="120" t="s">
        <v>607</v>
      </c>
      <c r="E128" s="120" t="s">
        <v>385</v>
      </c>
      <c r="F128" s="120" t="s">
        <v>306</v>
      </c>
      <c r="G128" s="120" t="s">
        <v>608</v>
      </c>
      <c r="H128" s="120">
        <v>1.0</v>
      </c>
      <c r="I128" s="121">
        <v>0.0</v>
      </c>
      <c r="J128" s="121">
        <v>1.0</v>
      </c>
      <c r="K128" s="117"/>
    </row>
    <row r="129" ht="15.75" customHeight="1">
      <c r="A129" s="122" t="s">
        <v>609</v>
      </c>
      <c r="B129" s="133" t="s">
        <v>610</v>
      </c>
      <c r="C129" s="120" t="s">
        <v>321</v>
      </c>
      <c r="D129" s="120" t="s">
        <v>607</v>
      </c>
      <c r="E129" s="120" t="s">
        <v>385</v>
      </c>
      <c r="F129" s="120" t="s">
        <v>306</v>
      </c>
      <c r="G129" s="120" t="s">
        <v>608</v>
      </c>
      <c r="H129" s="120">
        <v>1.0</v>
      </c>
      <c r="I129" s="121">
        <v>0.0</v>
      </c>
      <c r="J129" s="121">
        <v>1.0</v>
      </c>
      <c r="K129" s="117"/>
    </row>
    <row r="130" ht="15.75" customHeight="1">
      <c r="A130" s="122" t="s">
        <v>298</v>
      </c>
      <c r="B130" s="133" t="s">
        <v>298</v>
      </c>
      <c r="C130" s="120" t="s">
        <v>298</v>
      </c>
      <c r="D130" s="120" t="s">
        <v>298</v>
      </c>
      <c r="E130" s="120" t="s">
        <v>298</v>
      </c>
      <c r="F130" s="120" t="s">
        <v>298</v>
      </c>
      <c r="G130" s="120" t="s">
        <v>298</v>
      </c>
      <c r="H130" s="120" t="s">
        <v>298</v>
      </c>
      <c r="I130" s="121" t="s">
        <v>298</v>
      </c>
      <c r="J130" s="121" t="s">
        <v>298</v>
      </c>
      <c r="K130" s="117"/>
    </row>
    <row r="131" ht="15.75" customHeight="1">
      <c r="A131" s="122" t="s">
        <v>611</v>
      </c>
      <c r="B131" s="133" t="s">
        <v>298</v>
      </c>
      <c r="C131" s="120" t="s">
        <v>298</v>
      </c>
      <c r="D131" s="120" t="s">
        <v>298</v>
      </c>
      <c r="E131" s="120" t="s">
        <v>298</v>
      </c>
      <c r="F131" s="120" t="s">
        <v>298</v>
      </c>
      <c r="G131" s="120" t="s">
        <v>298</v>
      </c>
      <c r="H131" s="120" t="s">
        <v>298</v>
      </c>
      <c r="I131" s="121" t="s">
        <v>298</v>
      </c>
      <c r="J131" s="121" t="s">
        <v>298</v>
      </c>
      <c r="K131" s="117"/>
    </row>
    <row r="132" ht="15.75" customHeight="1">
      <c r="A132" s="122" t="s">
        <v>299</v>
      </c>
      <c r="B132" s="133" t="s">
        <v>298</v>
      </c>
      <c r="C132" s="120" t="s">
        <v>298</v>
      </c>
      <c r="D132" s="120" t="s">
        <v>298</v>
      </c>
      <c r="E132" s="120" t="s">
        <v>298</v>
      </c>
      <c r="F132" s="120" t="s">
        <v>298</v>
      </c>
      <c r="G132" s="120" t="s">
        <v>298</v>
      </c>
      <c r="H132" s="120" t="s">
        <v>298</v>
      </c>
      <c r="I132" s="121" t="s">
        <v>298</v>
      </c>
      <c r="J132" s="121" t="s">
        <v>298</v>
      </c>
      <c r="K132" s="117"/>
    </row>
    <row r="133" ht="15.75" customHeight="1">
      <c r="A133" s="122" t="s">
        <v>612</v>
      </c>
      <c r="B133" s="133" t="s">
        <v>613</v>
      </c>
      <c r="C133" s="120" t="s">
        <v>303</v>
      </c>
      <c r="D133" s="120" t="s">
        <v>614</v>
      </c>
      <c r="E133" s="120" t="s">
        <v>615</v>
      </c>
      <c r="F133" s="120" t="s">
        <v>616</v>
      </c>
      <c r="G133" s="120" t="s">
        <v>617</v>
      </c>
      <c r="H133" s="120">
        <v>4.0</v>
      </c>
      <c r="I133" s="121">
        <v>0.0</v>
      </c>
      <c r="J133" s="121">
        <v>1.75</v>
      </c>
      <c r="K133" s="117"/>
    </row>
    <row r="134" ht="15.75" customHeight="1">
      <c r="A134" s="122" t="s">
        <v>618</v>
      </c>
      <c r="B134" s="133" t="s">
        <v>619</v>
      </c>
      <c r="C134" s="120" t="s">
        <v>303</v>
      </c>
      <c r="D134" s="120" t="s">
        <v>614</v>
      </c>
      <c r="E134" s="120" t="s">
        <v>615</v>
      </c>
      <c r="F134" s="120" t="s">
        <v>616</v>
      </c>
      <c r="G134" s="120" t="s">
        <v>620</v>
      </c>
      <c r="H134" s="120">
        <v>3.0</v>
      </c>
      <c r="I134" s="121">
        <v>0.0</v>
      </c>
      <c r="J134" s="121">
        <v>1.33</v>
      </c>
      <c r="K134" s="117"/>
    </row>
    <row r="135" ht="15.75" customHeight="1">
      <c r="A135" s="122" t="s">
        <v>621</v>
      </c>
      <c r="B135" s="133" t="s">
        <v>622</v>
      </c>
      <c r="C135" s="120" t="s">
        <v>303</v>
      </c>
      <c r="D135" s="120" t="s">
        <v>614</v>
      </c>
      <c r="E135" s="120" t="s">
        <v>615</v>
      </c>
      <c r="F135" s="120" t="s">
        <v>616</v>
      </c>
      <c r="G135" s="120" t="s">
        <v>623</v>
      </c>
      <c r="H135" s="120">
        <v>2.0</v>
      </c>
      <c r="I135" s="121">
        <v>0.0</v>
      </c>
      <c r="J135" s="121">
        <v>0.0</v>
      </c>
      <c r="K135" s="117"/>
    </row>
    <row r="136" ht="15.75" customHeight="1">
      <c r="A136" s="122" t="s">
        <v>624</v>
      </c>
      <c r="B136" s="133" t="s">
        <v>625</v>
      </c>
      <c r="C136" s="120" t="s">
        <v>311</v>
      </c>
      <c r="D136" s="120" t="s">
        <v>626</v>
      </c>
      <c r="E136" s="120" t="s">
        <v>615</v>
      </c>
      <c r="F136" s="120" t="s">
        <v>616</v>
      </c>
      <c r="G136" s="120" t="s">
        <v>627</v>
      </c>
      <c r="H136" s="120">
        <v>40.0</v>
      </c>
      <c r="I136" s="121">
        <v>0.04</v>
      </c>
      <c r="J136" s="121">
        <v>1.1</v>
      </c>
      <c r="K136" s="117"/>
    </row>
    <row r="137" ht="15.75" customHeight="1">
      <c r="A137" s="122" t="s">
        <v>628</v>
      </c>
      <c r="B137" s="133" t="s">
        <v>629</v>
      </c>
      <c r="C137" s="120" t="s">
        <v>311</v>
      </c>
      <c r="D137" s="120" t="s">
        <v>630</v>
      </c>
      <c r="E137" s="120" t="s">
        <v>615</v>
      </c>
      <c r="F137" s="120" t="s">
        <v>616</v>
      </c>
      <c r="G137" s="120" t="s">
        <v>631</v>
      </c>
      <c r="H137" s="120">
        <v>9.0</v>
      </c>
      <c r="I137" s="121">
        <v>0.01</v>
      </c>
      <c r="J137" s="121">
        <v>1.22</v>
      </c>
      <c r="K137" s="117"/>
    </row>
    <row r="138" ht="15.75" customHeight="1">
      <c r="A138" s="122" t="s">
        <v>632</v>
      </c>
      <c r="B138" s="133" t="s">
        <v>633</v>
      </c>
      <c r="C138" s="120" t="s">
        <v>315</v>
      </c>
      <c r="D138" s="120" t="s">
        <v>375</v>
      </c>
      <c r="E138" s="120" t="s">
        <v>615</v>
      </c>
      <c r="F138" s="120" t="s">
        <v>616</v>
      </c>
      <c r="G138" s="120" t="s">
        <v>634</v>
      </c>
      <c r="H138" s="120">
        <v>28.0</v>
      </c>
      <c r="I138" s="121">
        <v>0.03</v>
      </c>
      <c r="J138" s="121">
        <v>1.71</v>
      </c>
      <c r="K138" s="117"/>
    </row>
    <row r="139" ht="15.75" customHeight="1">
      <c r="A139" s="122" t="s">
        <v>632</v>
      </c>
      <c r="B139" s="133" t="s">
        <v>633</v>
      </c>
      <c r="C139" s="120" t="s">
        <v>321</v>
      </c>
      <c r="D139" s="120" t="s">
        <v>375</v>
      </c>
      <c r="E139" s="120" t="s">
        <v>615</v>
      </c>
      <c r="F139" s="120" t="s">
        <v>616</v>
      </c>
      <c r="G139" s="120" t="s">
        <v>634</v>
      </c>
      <c r="H139" s="120">
        <v>28.0</v>
      </c>
      <c r="I139" s="121">
        <v>0.03</v>
      </c>
      <c r="J139" s="121">
        <v>1.71</v>
      </c>
      <c r="K139" s="117"/>
    </row>
    <row r="140" ht="15.75" customHeight="1">
      <c r="A140" s="122" t="s">
        <v>300</v>
      </c>
      <c r="B140" s="133" t="s">
        <v>298</v>
      </c>
      <c r="C140" s="120" t="s">
        <v>298</v>
      </c>
      <c r="D140" s="120" t="s">
        <v>298</v>
      </c>
      <c r="E140" s="120" t="s">
        <v>298</v>
      </c>
      <c r="F140" s="120" t="s">
        <v>298</v>
      </c>
      <c r="G140" s="120" t="s">
        <v>298</v>
      </c>
      <c r="H140" s="120" t="s">
        <v>298</v>
      </c>
      <c r="I140" s="121" t="s">
        <v>298</v>
      </c>
      <c r="J140" s="121" t="s">
        <v>298</v>
      </c>
      <c r="K140" s="117"/>
    </row>
    <row r="141" ht="15.75" customHeight="1">
      <c r="A141" s="122" t="s">
        <v>635</v>
      </c>
      <c r="B141" s="133" t="s">
        <v>636</v>
      </c>
      <c r="C141" s="120" t="s">
        <v>303</v>
      </c>
      <c r="D141" s="120" t="s">
        <v>614</v>
      </c>
      <c r="E141" s="120" t="s">
        <v>615</v>
      </c>
      <c r="F141" s="120" t="s">
        <v>306</v>
      </c>
      <c r="G141" s="120" t="s">
        <v>637</v>
      </c>
      <c r="H141" s="120">
        <v>65.0</v>
      </c>
      <c r="I141" s="121">
        <v>0.06</v>
      </c>
      <c r="J141" s="121">
        <v>0.74</v>
      </c>
      <c r="K141" s="117"/>
    </row>
    <row r="142" ht="15.75" customHeight="1">
      <c r="A142" s="122" t="s">
        <v>638</v>
      </c>
      <c r="B142" s="133" t="s">
        <v>639</v>
      </c>
      <c r="C142" s="120" t="s">
        <v>303</v>
      </c>
      <c r="D142" s="120" t="s">
        <v>640</v>
      </c>
      <c r="E142" s="120" t="s">
        <v>615</v>
      </c>
      <c r="F142" s="120" t="s">
        <v>306</v>
      </c>
      <c r="G142" s="120" t="s">
        <v>641</v>
      </c>
      <c r="H142" s="120">
        <v>62.0</v>
      </c>
      <c r="I142" s="121">
        <v>0.06</v>
      </c>
      <c r="J142" s="121">
        <v>2.06</v>
      </c>
      <c r="K142" s="117"/>
    </row>
    <row r="143" ht="15.75" customHeight="1">
      <c r="A143" s="122" t="s">
        <v>642</v>
      </c>
      <c r="B143" s="133" t="s">
        <v>643</v>
      </c>
      <c r="C143" s="120" t="s">
        <v>303</v>
      </c>
      <c r="D143" s="120" t="s">
        <v>644</v>
      </c>
      <c r="E143" s="120" t="s">
        <v>615</v>
      </c>
      <c r="F143" s="120" t="s">
        <v>306</v>
      </c>
      <c r="G143" s="120" t="s">
        <v>645</v>
      </c>
      <c r="H143" s="120">
        <v>62.0</v>
      </c>
      <c r="I143" s="121">
        <v>0.06</v>
      </c>
      <c r="J143" s="121">
        <v>0.9</v>
      </c>
      <c r="K143" s="117"/>
    </row>
    <row r="144" ht="15.75" customHeight="1">
      <c r="A144" s="122" t="s">
        <v>646</v>
      </c>
      <c r="B144" s="133" t="s">
        <v>647</v>
      </c>
      <c r="C144" s="120" t="s">
        <v>303</v>
      </c>
      <c r="D144" s="120" t="s">
        <v>648</v>
      </c>
      <c r="E144" s="120" t="s">
        <v>615</v>
      </c>
      <c r="F144" s="120" t="s">
        <v>306</v>
      </c>
      <c r="G144" s="120" t="s">
        <v>649</v>
      </c>
      <c r="H144" s="120">
        <v>55.0</v>
      </c>
      <c r="I144" s="121">
        <v>0.05</v>
      </c>
      <c r="J144" s="121">
        <v>1.82</v>
      </c>
      <c r="K144" s="117"/>
    </row>
    <row r="145" ht="15.75" customHeight="1">
      <c r="A145" s="122" t="s">
        <v>650</v>
      </c>
      <c r="B145" s="133" t="s">
        <v>651</v>
      </c>
      <c r="C145" s="120" t="s">
        <v>303</v>
      </c>
      <c r="D145" s="120" t="s">
        <v>379</v>
      </c>
      <c r="E145" s="120" t="s">
        <v>615</v>
      </c>
      <c r="F145" s="120" t="s">
        <v>306</v>
      </c>
      <c r="G145" s="120" t="s">
        <v>652</v>
      </c>
      <c r="H145" s="120">
        <v>53.0</v>
      </c>
      <c r="I145" s="121">
        <v>0.05</v>
      </c>
      <c r="J145" s="121">
        <v>2.25</v>
      </c>
      <c r="K145" s="117"/>
    </row>
    <row r="146" ht="15.75" customHeight="1">
      <c r="A146" s="122" t="s">
        <v>653</v>
      </c>
      <c r="B146" s="133" t="s">
        <v>654</v>
      </c>
      <c r="C146" s="120" t="s">
        <v>303</v>
      </c>
      <c r="D146" s="120" t="s">
        <v>655</v>
      </c>
      <c r="E146" s="120" t="s">
        <v>615</v>
      </c>
      <c r="F146" s="120" t="s">
        <v>306</v>
      </c>
      <c r="G146" s="120" t="s">
        <v>656</v>
      </c>
      <c r="H146" s="120">
        <v>46.0</v>
      </c>
      <c r="I146" s="121">
        <v>0.05</v>
      </c>
      <c r="J146" s="121">
        <v>0.98</v>
      </c>
      <c r="K146" s="117"/>
    </row>
    <row r="147" ht="15.75" customHeight="1">
      <c r="A147" s="122" t="s">
        <v>657</v>
      </c>
      <c r="B147" s="133" t="s">
        <v>658</v>
      </c>
      <c r="C147" s="120" t="s">
        <v>303</v>
      </c>
      <c r="D147" s="120" t="s">
        <v>659</v>
      </c>
      <c r="E147" s="120" t="s">
        <v>615</v>
      </c>
      <c r="F147" s="120" t="s">
        <v>306</v>
      </c>
      <c r="G147" s="120" t="s">
        <v>660</v>
      </c>
      <c r="H147" s="120">
        <v>41.0</v>
      </c>
      <c r="I147" s="121">
        <v>0.04</v>
      </c>
      <c r="J147" s="121">
        <v>1.59</v>
      </c>
      <c r="K147" s="117"/>
    </row>
    <row r="148" ht="15.75" customHeight="1">
      <c r="A148" s="122" t="s">
        <v>661</v>
      </c>
      <c r="B148" s="133" t="s">
        <v>662</v>
      </c>
      <c r="C148" s="120" t="s">
        <v>303</v>
      </c>
      <c r="D148" s="120" t="s">
        <v>663</v>
      </c>
      <c r="E148" s="120" t="s">
        <v>615</v>
      </c>
      <c r="F148" s="120" t="s">
        <v>306</v>
      </c>
      <c r="G148" s="120" t="s">
        <v>664</v>
      </c>
      <c r="H148" s="120">
        <v>39.0</v>
      </c>
      <c r="I148" s="121">
        <v>0.04</v>
      </c>
      <c r="J148" s="121">
        <v>0.77</v>
      </c>
      <c r="K148" s="117"/>
    </row>
    <row r="149" ht="15.75" customHeight="1">
      <c r="A149" s="122" t="s">
        <v>665</v>
      </c>
      <c r="B149" s="133" t="s">
        <v>666</v>
      </c>
      <c r="C149" s="120" t="s">
        <v>303</v>
      </c>
      <c r="D149" s="120" t="s">
        <v>667</v>
      </c>
      <c r="E149" s="120" t="s">
        <v>615</v>
      </c>
      <c r="F149" s="120" t="s">
        <v>306</v>
      </c>
      <c r="G149" s="120" t="s">
        <v>668</v>
      </c>
      <c r="H149" s="120">
        <v>39.0</v>
      </c>
      <c r="I149" s="121">
        <v>0.04</v>
      </c>
      <c r="J149" s="121">
        <v>0.85</v>
      </c>
      <c r="K149" s="117"/>
    </row>
    <row r="150" ht="15.75" customHeight="1">
      <c r="A150" s="122" t="s">
        <v>669</v>
      </c>
      <c r="B150" s="133" t="s">
        <v>670</v>
      </c>
      <c r="C150" s="120" t="s">
        <v>303</v>
      </c>
      <c r="D150" s="120" t="s">
        <v>655</v>
      </c>
      <c r="E150" s="120" t="s">
        <v>615</v>
      </c>
      <c r="F150" s="120" t="s">
        <v>306</v>
      </c>
      <c r="G150" s="120" t="s">
        <v>671</v>
      </c>
      <c r="H150" s="120">
        <v>38.0</v>
      </c>
      <c r="I150" s="121">
        <v>0.04</v>
      </c>
      <c r="J150" s="121">
        <v>3.21</v>
      </c>
      <c r="K150" s="117"/>
    </row>
    <row r="151" ht="15.75" customHeight="1">
      <c r="A151" s="122" t="s">
        <v>672</v>
      </c>
      <c r="B151" s="133" t="s">
        <v>673</v>
      </c>
      <c r="C151" s="120" t="s">
        <v>303</v>
      </c>
      <c r="D151" s="120" t="s">
        <v>614</v>
      </c>
      <c r="E151" s="120" t="s">
        <v>615</v>
      </c>
      <c r="F151" s="120" t="s">
        <v>306</v>
      </c>
      <c r="G151" s="120" t="s">
        <v>674</v>
      </c>
      <c r="H151" s="120">
        <v>37.0</v>
      </c>
      <c r="I151" s="121">
        <v>0.04</v>
      </c>
      <c r="J151" s="121">
        <v>1.84</v>
      </c>
      <c r="K151" s="117"/>
    </row>
    <row r="152" ht="15.75" customHeight="1">
      <c r="A152" s="122" t="s">
        <v>675</v>
      </c>
      <c r="B152" s="133" t="s">
        <v>676</v>
      </c>
      <c r="C152" s="120" t="s">
        <v>303</v>
      </c>
      <c r="D152" s="120" t="s">
        <v>677</v>
      </c>
      <c r="E152" s="120" t="s">
        <v>615</v>
      </c>
      <c r="F152" s="120" t="s">
        <v>306</v>
      </c>
      <c r="G152" s="120" t="s">
        <v>678</v>
      </c>
      <c r="H152" s="120">
        <v>35.0</v>
      </c>
      <c r="I152" s="121">
        <v>0.03</v>
      </c>
      <c r="J152" s="121">
        <v>1.11</v>
      </c>
      <c r="K152" s="117"/>
    </row>
    <row r="153" ht="15.75" customHeight="1">
      <c r="A153" s="122" t="s">
        <v>679</v>
      </c>
      <c r="B153" s="133" t="s">
        <v>680</v>
      </c>
      <c r="C153" s="120" t="s">
        <v>303</v>
      </c>
      <c r="D153" s="120" t="s">
        <v>344</v>
      </c>
      <c r="E153" s="120" t="s">
        <v>615</v>
      </c>
      <c r="F153" s="120" t="s">
        <v>306</v>
      </c>
      <c r="G153" s="120" t="s">
        <v>681</v>
      </c>
      <c r="H153" s="120">
        <v>35.0</v>
      </c>
      <c r="I153" s="121">
        <v>0.03</v>
      </c>
      <c r="J153" s="121">
        <v>0.97</v>
      </c>
      <c r="K153" s="117"/>
    </row>
    <row r="154" ht="15.75" customHeight="1">
      <c r="A154" s="122" t="s">
        <v>682</v>
      </c>
      <c r="B154" s="133" t="s">
        <v>683</v>
      </c>
      <c r="C154" s="120" t="s">
        <v>303</v>
      </c>
      <c r="D154" s="120" t="s">
        <v>684</v>
      </c>
      <c r="E154" s="120" t="s">
        <v>615</v>
      </c>
      <c r="F154" s="120" t="s">
        <v>306</v>
      </c>
      <c r="G154" s="120" t="s">
        <v>685</v>
      </c>
      <c r="H154" s="120">
        <v>34.0</v>
      </c>
      <c r="I154" s="121">
        <v>0.03</v>
      </c>
      <c r="J154" s="121">
        <v>1.32</v>
      </c>
      <c r="K154" s="117"/>
    </row>
    <row r="155" ht="15.75" customHeight="1">
      <c r="A155" s="122" t="s">
        <v>686</v>
      </c>
      <c r="B155" s="133" t="s">
        <v>687</v>
      </c>
      <c r="C155" s="120" t="s">
        <v>303</v>
      </c>
      <c r="D155" s="120" t="s">
        <v>688</v>
      </c>
      <c r="E155" s="120" t="s">
        <v>615</v>
      </c>
      <c r="F155" s="120" t="s">
        <v>306</v>
      </c>
      <c r="G155" s="120" t="s">
        <v>689</v>
      </c>
      <c r="H155" s="120">
        <v>34.0</v>
      </c>
      <c r="I155" s="121">
        <v>0.03</v>
      </c>
      <c r="J155" s="121">
        <v>0.12</v>
      </c>
      <c r="K155" s="117"/>
    </row>
    <row r="156" ht="15.75" customHeight="1">
      <c r="A156" s="122" t="s">
        <v>690</v>
      </c>
      <c r="B156" s="133" t="s">
        <v>691</v>
      </c>
      <c r="C156" s="120" t="s">
        <v>303</v>
      </c>
      <c r="D156" s="120" t="s">
        <v>659</v>
      </c>
      <c r="E156" s="120" t="s">
        <v>615</v>
      </c>
      <c r="F156" s="120" t="s">
        <v>306</v>
      </c>
      <c r="G156" s="120" t="s">
        <v>692</v>
      </c>
      <c r="H156" s="120">
        <v>34.0</v>
      </c>
      <c r="I156" s="121">
        <v>0.03</v>
      </c>
      <c r="J156" s="121">
        <v>1.53</v>
      </c>
      <c r="K156" s="117"/>
    </row>
    <row r="157" ht="15.75" customHeight="1">
      <c r="A157" s="122" t="s">
        <v>693</v>
      </c>
      <c r="B157" s="133" t="s">
        <v>694</v>
      </c>
      <c r="C157" s="120" t="s">
        <v>303</v>
      </c>
      <c r="D157" s="120" t="s">
        <v>379</v>
      </c>
      <c r="E157" s="120" t="s">
        <v>615</v>
      </c>
      <c r="F157" s="120" t="s">
        <v>306</v>
      </c>
      <c r="G157" s="120" t="s">
        <v>652</v>
      </c>
      <c r="H157" s="120">
        <v>33.0</v>
      </c>
      <c r="I157" s="121">
        <v>0.03</v>
      </c>
      <c r="J157" s="121">
        <v>1.7</v>
      </c>
      <c r="K157" s="117"/>
    </row>
    <row r="158" ht="15.75" customHeight="1">
      <c r="A158" s="122" t="s">
        <v>695</v>
      </c>
      <c r="B158" s="133" t="s">
        <v>696</v>
      </c>
      <c r="C158" s="120" t="s">
        <v>303</v>
      </c>
      <c r="D158" s="120" t="s">
        <v>663</v>
      </c>
      <c r="E158" s="120" t="s">
        <v>615</v>
      </c>
      <c r="F158" s="120" t="s">
        <v>306</v>
      </c>
      <c r="G158" s="120" t="s">
        <v>697</v>
      </c>
      <c r="H158" s="120">
        <v>29.0</v>
      </c>
      <c r="I158" s="121">
        <v>0.03</v>
      </c>
      <c r="J158" s="121">
        <v>1.72</v>
      </c>
      <c r="K158" s="117"/>
    </row>
    <row r="159" ht="15.75" customHeight="1">
      <c r="A159" s="122" t="s">
        <v>698</v>
      </c>
      <c r="B159" s="133" t="s">
        <v>699</v>
      </c>
      <c r="C159" s="120" t="s">
        <v>303</v>
      </c>
      <c r="D159" s="120" t="s">
        <v>700</v>
      </c>
      <c r="E159" s="120" t="s">
        <v>615</v>
      </c>
      <c r="F159" s="120" t="s">
        <v>306</v>
      </c>
      <c r="G159" s="120" t="s">
        <v>701</v>
      </c>
      <c r="H159" s="120">
        <v>29.0</v>
      </c>
      <c r="I159" s="121">
        <v>0.03</v>
      </c>
      <c r="J159" s="121">
        <v>1.17</v>
      </c>
      <c r="K159" s="117"/>
    </row>
    <row r="160" ht="15.75" customHeight="1">
      <c r="A160" s="122" t="s">
        <v>702</v>
      </c>
      <c r="B160" s="133" t="s">
        <v>703</v>
      </c>
      <c r="C160" s="120" t="s">
        <v>303</v>
      </c>
      <c r="D160" s="120" t="s">
        <v>704</v>
      </c>
      <c r="E160" s="120" t="s">
        <v>615</v>
      </c>
      <c r="F160" s="120" t="s">
        <v>306</v>
      </c>
      <c r="G160" s="120" t="s">
        <v>705</v>
      </c>
      <c r="H160" s="120">
        <v>29.0</v>
      </c>
      <c r="I160" s="121">
        <v>0.03</v>
      </c>
      <c r="J160" s="121">
        <v>0.48</v>
      </c>
      <c r="K160" s="117"/>
    </row>
    <row r="161" ht="15.75" customHeight="1">
      <c r="A161" s="122" t="s">
        <v>706</v>
      </c>
      <c r="B161" s="133" t="s">
        <v>707</v>
      </c>
      <c r="C161" s="120" t="s">
        <v>303</v>
      </c>
      <c r="D161" s="120" t="s">
        <v>708</v>
      </c>
      <c r="E161" s="120" t="s">
        <v>615</v>
      </c>
      <c r="F161" s="120" t="s">
        <v>306</v>
      </c>
      <c r="G161" s="120" t="s">
        <v>709</v>
      </c>
      <c r="H161" s="120">
        <v>29.0</v>
      </c>
      <c r="I161" s="121">
        <v>0.03</v>
      </c>
      <c r="J161" s="121">
        <v>1.48</v>
      </c>
      <c r="K161" s="117"/>
    </row>
    <row r="162" ht="15.75" customHeight="1">
      <c r="A162" s="122" t="s">
        <v>710</v>
      </c>
      <c r="B162" s="133" t="s">
        <v>711</v>
      </c>
      <c r="C162" s="120" t="s">
        <v>303</v>
      </c>
      <c r="D162" s="120" t="s">
        <v>375</v>
      </c>
      <c r="E162" s="120" t="s">
        <v>615</v>
      </c>
      <c r="F162" s="120" t="s">
        <v>306</v>
      </c>
      <c r="G162" s="120" t="s">
        <v>712</v>
      </c>
      <c r="H162" s="120">
        <v>28.0</v>
      </c>
      <c r="I162" s="121">
        <v>0.03</v>
      </c>
      <c r="J162" s="121">
        <v>1.18</v>
      </c>
      <c r="K162" s="117"/>
    </row>
    <row r="163" ht="15.75" customHeight="1">
      <c r="A163" s="122" t="s">
        <v>713</v>
      </c>
      <c r="B163" s="133" t="s">
        <v>714</v>
      </c>
      <c r="C163" s="120" t="s">
        <v>303</v>
      </c>
      <c r="D163" s="120" t="s">
        <v>663</v>
      </c>
      <c r="E163" s="120" t="s">
        <v>615</v>
      </c>
      <c r="F163" s="120" t="s">
        <v>306</v>
      </c>
      <c r="G163" s="120" t="s">
        <v>715</v>
      </c>
      <c r="H163" s="120">
        <v>27.0</v>
      </c>
      <c r="I163" s="121">
        <v>0.03</v>
      </c>
      <c r="J163" s="121">
        <v>1.7</v>
      </c>
      <c r="K163" s="117"/>
    </row>
    <row r="164" ht="15.75" customHeight="1">
      <c r="A164" s="122" t="s">
        <v>716</v>
      </c>
      <c r="B164" s="133" t="s">
        <v>717</v>
      </c>
      <c r="C164" s="120" t="s">
        <v>303</v>
      </c>
      <c r="D164" s="120" t="s">
        <v>718</v>
      </c>
      <c r="E164" s="120" t="s">
        <v>615</v>
      </c>
      <c r="F164" s="120" t="s">
        <v>306</v>
      </c>
      <c r="G164" s="120" t="s">
        <v>719</v>
      </c>
      <c r="H164" s="120">
        <v>27.0</v>
      </c>
      <c r="I164" s="121">
        <v>0.03</v>
      </c>
      <c r="J164" s="121">
        <v>1.41</v>
      </c>
      <c r="K164" s="117"/>
    </row>
    <row r="165" ht="15.75" customHeight="1">
      <c r="A165" s="122" t="s">
        <v>720</v>
      </c>
      <c r="B165" s="133" t="s">
        <v>721</v>
      </c>
      <c r="C165" s="120" t="s">
        <v>303</v>
      </c>
      <c r="D165" s="120" t="s">
        <v>655</v>
      </c>
      <c r="E165" s="120" t="s">
        <v>615</v>
      </c>
      <c r="F165" s="120" t="s">
        <v>306</v>
      </c>
      <c r="G165" s="120" t="s">
        <v>722</v>
      </c>
      <c r="H165" s="120">
        <v>26.0</v>
      </c>
      <c r="I165" s="121">
        <v>0.03</v>
      </c>
      <c r="J165" s="121">
        <v>0.27</v>
      </c>
      <c r="K165" s="117"/>
    </row>
    <row r="166" ht="15.75" customHeight="1">
      <c r="A166" s="122" t="s">
        <v>723</v>
      </c>
      <c r="B166" s="133" t="s">
        <v>724</v>
      </c>
      <c r="C166" s="120" t="s">
        <v>303</v>
      </c>
      <c r="D166" s="120" t="s">
        <v>688</v>
      </c>
      <c r="E166" s="120" t="s">
        <v>615</v>
      </c>
      <c r="F166" s="120" t="s">
        <v>306</v>
      </c>
      <c r="G166" s="120" t="s">
        <v>725</v>
      </c>
      <c r="H166" s="120">
        <v>26.0</v>
      </c>
      <c r="I166" s="121">
        <v>0.03</v>
      </c>
      <c r="J166" s="121">
        <v>0.92</v>
      </c>
      <c r="K166" s="117"/>
    </row>
    <row r="167" ht="15.75" customHeight="1">
      <c r="A167" s="122" t="s">
        <v>726</v>
      </c>
      <c r="B167" s="133" t="s">
        <v>727</v>
      </c>
      <c r="C167" s="120" t="s">
        <v>303</v>
      </c>
      <c r="D167" s="120" t="s">
        <v>614</v>
      </c>
      <c r="E167" s="120" t="s">
        <v>615</v>
      </c>
      <c r="F167" s="120" t="s">
        <v>306</v>
      </c>
      <c r="G167" s="120" t="s">
        <v>728</v>
      </c>
      <c r="H167" s="120">
        <v>26.0</v>
      </c>
      <c r="I167" s="121">
        <v>0.03</v>
      </c>
      <c r="J167" s="121">
        <v>0.42</v>
      </c>
      <c r="K167" s="117"/>
    </row>
    <row r="168" ht="15.75" customHeight="1">
      <c r="A168" s="122" t="s">
        <v>729</v>
      </c>
      <c r="B168" s="133" t="s">
        <v>730</v>
      </c>
      <c r="C168" s="120" t="s">
        <v>303</v>
      </c>
      <c r="D168" s="120" t="s">
        <v>684</v>
      </c>
      <c r="E168" s="120" t="s">
        <v>615</v>
      </c>
      <c r="F168" s="120" t="s">
        <v>306</v>
      </c>
      <c r="G168" s="120" t="s">
        <v>731</v>
      </c>
      <c r="H168" s="120">
        <v>24.0</v>
      </c>
      <c r="I168" s="121">
        <v>0.02</v>
      </c>
      <c r="J168" s="121">
        <v>2.25</v>
      </c>
      <c r="K168" s="117"/>
    </row>
    <row r="169" ht="15.75" customHeight="1">
      <c r="A169" s="122" t="s">
        <v>732</v>
      </c>
      <c r="B169" s="133" t="s">
        <v>733</v>
      </c>
      <c r="C169" s="120" t="s">
        <v>303</v>
      </c>
      <c r="D169" s="120" t="s">
        <v>704</v>
      </c>
      <c r="E169" s="120" t="s">
        <v>615</v>
      </c>
      <c r="F169" s="120" t="s">
        <v>306</v>
      </c>
      <c r="G169" s="120" t="s">
        <v>734</v>
      </c>
      <c r="H169" s="120">
        <v>24.0</v>
      </c>
      <c r="I169" s="121">
        <v>0.02</v>
      </c>
      <c r="J169" s="121">
        <v>1.38</v>
      </c>
      <c r="K169" s="117"/>
    </row>
    <row r="170" ht="15.75" customHeight="1">
      <c r="A170" s="122" t="s">
        <v>735</v>
      </c>
      <c r="B170" s="133" t="s">
        <v>736</v>
      </c>
      <c r="C170" s="120" t="s">
        <v>303</v>
      </c>
      <c r="D170" s="120" t="s">
        <v>737</v>
      </c>
      <c r="E170" s="120" t="s">
        <v>615</v>
      </c>
      <c r="F170" s="120" t="s">
        <v>306</v>
      </c>
      <c r="G170" s="120" t="s">
        <v>738</v>
      </c>
      <c r="H170" s="120">
        <v>23.0</v>
      </c>
      <c r="I170" s="121">
        <v>0.02</v>
      </c>
      <c r="J170" s="121">
        <v>0.57</v>
      </c>
      <c r="K170" s="117"/>
    </row>
    <row r="171" ht="15.75" customHeight="1">
      <c r="A171" s="122" t="s">
        <v>739</v>
      </c>
      <c r="B171" s="133" t="s">
        <v>740</v>
      </c>
      <c r="C171" s="120" t="s">
        <v>303</v>
      </c>
      <c r="D171" s="120" t="s">
        <v>667</v>
      </c>
      <c r="E171" s="120" t="s">
        <v>615</v>
      </c>
      <c r="F171" s="120" t="s">
        <v>306</v>
      </c>
      <c r="G171" s="120" t="s">
        <v>741</v>
      </c>
      <c r="H171" s="120">
        <v>23.0</v>
      </c>
      <c r="I171" s="121">
        <v>0.02</v>
      </c>
      <c r="J171" s="121">
        <v>1.0</v>
      </c>
      <c r="K171" s="117"/>
    </row>
    <row r="172" ht="15.75" customHeight="1">
      <c r="A172" s="122" t="s">
        <v>742</v>
      </c>
      <c r="B172" s="133" t="s">
        <v>744</v>
      </c>
      <c r="C172" s="120" t="s">
        <v>303</v>
      </c>
      <c r="D172" s="120" t="s">
        <v>745</v>
      </c>
      <c r="E172" s="120" t="s">
        <v>615</v>
      </c>
      <c r="F172" s="120" t="s">
        <v>306</v>
      </c>
      <c r="G172" s="120" t="s">
        <v>748</v>
      </c>
      <c r="H172" s="120">
        <v>23.0</v>
      </c>
      <c r="I172" s="121">
        <v>0.02</v>
      </c>
      <c r="J172" s="121">
        <v>0.91</v>
      </c>
      <c r="K172" s="117"/>
    </row>
    <row r="173" ht="15.75" customHeight="1">
      <c r="A173" s="122" t="s">
        <v>750</v>
      </c>
      <c r="B173" s="133" t="s">
        <v>752</v>
      </c>
      <c r="C173" s="120" t="s">
        <v>303</v>
      </c>
      <c r="D173" s="120" t="s">
        <v>659</v>
      </c>
      <c r="E173" s="120" t="s">
        <v>615</v>
      </c>
      <c r="F173" s="120" t="s">
        <v>306</v>
      </c>
      <c r="G173" s="120" t="s">
        <v>753</v>
      </c>
      <c r="H173" s="120">
        <v>23.0</v>
      </c>
      <c r="I173" s="121">
        <v>0.02</v>
      </c>
      <c r="J173" s="121">
        <v>2.43</v>
      </c>
      <c r="K173" s="117"/>
    </row>
    <row r="174" ht="15.75" customHeight="1">
      <c r="A174" s="122" t="s">
        <v>754</v>
      </c>
      <c r="B174" s="133" t="s">
        <v>755</v>
      </c>
      <c r="C174" s="120" t="s">
        <v>303</v>
      </c>
      <c r="D174" s="120" t="s">
        <v>756</v>
      </c>
      <c r="E174" s="120" t="s">
        <v>615</v>
      </c>
      <c r="F174" s="120" t="s">
        <v>306</v>
      </c>
      <c r="G174" s="120" t="s">
        <v>757</v>
      </c>
      <c r="H174" s="120">
        <v>22.0</v>
      </c>
      <c r="I174" s="121">
        <v>0.02</v>
      </c>
      <c r="J174" s="121">
        <v>0.77</v>
      </c>
      <c r="K174" s="117"/>
    </row>
    <row r="175" ht="15.75" customHeight="1">
      <c r="A175" s="122" t="s">
        <v>758</v>
      </c>
      <c r="B175" s="133" t="s">
        <v>759</v>
      </c>
      <c r="C175" s="120" t="s">
        <v>303</v>
      </c>
      <c r="D175" s="120" t="s">
        <v>688</v>
      </c>
      <c r="E175" s="120" t="s">
        <v>615</v>
      </c>
      <c r="F175" s="120" t="s">
        <v>306</v>
      </c>
      <c r="G175" s="120" t="s">
        <v>761</v>
      </c>
      <c r="H175" s="120">
        <v>22.0</v>
      </c>
      <c r="I175" s="121">
        <v>0.02</v>
      </c>
      <c r="J175" s="121">
        <v>0.77</v>
      </c>
      <c r="K175" s="117"/>
    </row>
    <row r="176" ht="15.75" customHeight="1">
      <c r="A176" s="122" t="s">
        <v>763</v>
      </c>
      <c r="B176" s="133" t="s">
        <v>764</v>
      </c>
      <c r="C176" s="120" t="s">
        <v>303</v>
      </c>
      <c r="D176" s="120" t="s">
        <v>644</v>
      </c>
      <c r="E176" s="120" t="s">
        <v>615</v>
      </c>
      <c r="F176" s="120" t="s">
        <v>306</v>
      </c>
      <c r="G176" s="120" t="s">
        <v>765</v>
      </c>
      <c r="H176" s="120">
        <v>21.0</v>
      </c>
      <c r="I176" s="121">
        <v>0.02</v>
      </c>
      <c r="J176" s="121">
        <v>0.0</v>
      </c>
      <c r="K176" s="117"/>
    </row>
    <row r="177" ht="15.75" customHeight="1">
      <c r="A177" s="122" t="s">
        <v>766</v>
      </c>
      <c r="B177" s="133" t="s">
        <v>767</v>
      </c>
      <c r="C177" s="120" t="s">
        <v>303</v>
      </c>
      <c r="D177" s="120" t="s">
        <v>304</v>
      </c>
      <c r="E177" s="120" t="s">
        <v>615</v>
      </c>
      <c r="F177" s="120" t="s">
        <v>306</v>
      </c>
      <c r="G177" s="120" t="s">
        <v>768</v>
      </c>
      <c r="H177" s="120">
        <v>21.0</v>
      </c>
      <c r="I177" s="121">
        <v>0.02</v>
      </c>
      <c r="J177" s="121">
        <v>2.48</v>
      </c>
      <c r="K177" s="117"/>
    </row>
    <row r="178" ht="15.75" customHeight="1">
      <c r="A178" s="122" t="s">
        <v>769</v>
      </c>
      <c r="B178" s="133" t="s">
        <v>770</v>
      </c>
      <c r="C178" s="120" t="s">
        <v>303</v>
      </c>
      <c r="D178" s="120" t="s">
        <v>684</v>
      </c>
      <c r="E178" s="120" t="s">
        <v>615</v>
      </c>
      <c r="F178" s="120" t="s">
        <v>306</v>
      </c>
      <c r="G178" s="120" t="s">
        <v>771</v>
      </c>
      <c r="H178" s="120">
        <v>19.0</v>
      </c>
      <c r="I178" s="121">
        <v>0.02</v>
      </c>
      <c r="J178" s="121">
        <v>0.53</v>
      </c>
      <c r="K178" s="117"/>
    </row>
    <row r="179" ht="15.75" customHeight="1">
      <c r="A179" s="122" t="s">
        <v>772</v>
      </c>
      <c r="B179" s="133" t="s">
        <v>773</v>
      </c>
      <c r="C179" s="120" t="s">
        <v>303</v>
      </c>
      <c r="D179" s="120" t="s">
        <v>677</v>
      </c>
      <c r="E179" s="120" t="s">
        <v>615</v>
      </c>
      <c r="F179" s="120" t="s">
        <v>306</v>
      </c>
      <c r="G179" s="120" t="s">
        <v>774</v>
      </c>
      <c r="H179" s="120">
        <v>18.0</v>
      </c>
      <c r="I179" s="121">
        <v>0.02</v>
      </c>
      <c r="J179" s="121">
        <v>1.44</v>
      </c>
      <c r="K179" s="117"/>
    </row>
    <row r="180" ht="15.75" customHeight="1">
      <c r="A180" s="122" t="s">
        <v>775</v>
      </c>
      <c r="B180" s="133" t="s">
        <v>776</v>
      </c>
      <c r="C180" s="120" t="s">
        <v>303</v>
      </c>
      <c r="D180" s="120" t="s">
        <v>344</v>
      </c>
      <c r="E180" s="120" t="s">
        <v>615</v>
      </c>
      <c r="F180" s="120" t="s">
        <v>306</v>
      </c>
      <c r="G180" s="120" t="s">
        <v>777</v>
      </c>
      <c r="H180" s="120">
        <v>18.0</v>
      </c>
      <c r="I180" s="121">
        <v>0.02</v>
      </c>
      <c r="J180" s="121">
        <v>1.44</v>
      </c>
      <c r="K180" s="117"/>
    </row>
    <row r="181" ht="15.75" customHeight="1">
      <c r="A181" s="122" t="s">
        <v>778</v>
      </c>
      <c r="B181" s="133" t="s">
        <v>779</v>
      </c>
      <c r="C181" s="120" t="s">
        <v>303</v>
      </c>
      <c r="D181" s="120" t="s">
        <v>614</v>
      </c>
      <c r="E181" s="120" t="s">
        <v>615</v>
      </c>
      <c r="F181" s="120" t="s">
        <v>306</v>
      </c>
      <c r="G181" s="120" t="s">
        <v>782</v>
      </c>
      <c r="H181" s="120">
        <v>18.0</v>
      </c>
      <c r="I181" s="121">
        <v>0.02</v>
      </c>
      <c r="J181" s="121">
        <v>0.89</v>
      </c>
      <c r="K181" s="117"/>
    </row>
    <row r="182" ht="15.75" customHeight="1">
      <c r="A182" s="122" t="s">
        <v>783</v>
      </c>
      <c r="B182" s="133" t="s">
        <v>784</v>
      </c>
      <c r="C182" s="120" t="s">
        <v>303</v>
      </c>
      <c r="D182" s="120" t="s">
        <v>648</v>
      </c>
      <c r="E182" s="120" t="s">
        <v>615</v>
      </c>
      <c r="F182" s="120" t="s">
        <v>306</v>
      </c>
      <c r="G182" s="120" t="s">
        <v>785</v>
      </c>
      <c r="H182" s="120">
        <v>17.0</v>
      </c>
      <c r="I182" s="121">
        <v>0.02</v>
      </c>
      <c r="J182" s="121">
        <v>1.12</v>
      </c>
      <c r="K182" s="117"/>
    </row>
    <row r="183" ht="15.75" customHeight="1">
      <c r="A183" s="122" t="s">
        <v>786</v>
      </c>
      <c r="B183" s="133" t="s">
        <v>787</v>
      </c>
      <c r="C183" s="120" t="s">
        <v>303</v>
      </c>
      <c r="D183" s="120" t="s">
        <v>788</v>
      </c>
      <c r="E183" s="120" t="s">
        <v>615</v>
      </c>
      <c r="F183" s="120" t="s">
        <v>306</v>
      </c>
      <c r="G183" s="120" t="s">
        <v>789</v>
      </c>
      <c r="H183" s="120">
        <v>16.0</v>
      </c>
      <c r="I183" s="121">
        <v>0.02</v>
      </c>
      <c r="J183" s="121">
        <v>0.06</v>
      </c>
      <c r="K183" s="117"/>
    </row>
    <row r="184" ht="15.75" customHeight="1">
      <c r="A184" s="122" t="s">
        <v>792</v>
      </c>
      <c r="B184" s="133" t="s">
        <v>793</v>
      </c>
      <c r="C184" s="120" t="s">
        <v>303</v>
      </c>
      <c r="D184" s="120" t="s">
        <v>704</v>
      </c>
      <c r="E184" s="120" t="s">
        <v>615</v>
      </c>
      <c r="F184" s="120" t="s">
        <v>306</v>
      </c>
      <c r="G184" s="120" t="s">
        <v>794</v>
      </c>
      <c r="H184" s="120">
        <v>16.0</v>
      </c>
      <c r="I184" s="121">
        <v>0.02</v>
      </c>
      <c r="J184" s="121">
        <v>0.38</v>
      </c>
      <c r="K184" s="117"/>
    </row>
    <row r="185" ht="15.75" customHeight="1">
      <c r="A185" s="122" t="s">
        <v>795</v>
      </c>
      <c r="B185" s="133" t="s">
        <v>796</v>
      </c>
      <c r="C185" s="120" t="s">
        <v>303</v>
      </c>
      <c r="D185" s="120" t="s">
        <v>797</v>
      </c>
      <c r="E185" s="120" t="s">
        <v>615</v>
      </c>
      <c r="F185" s="120" t="s">
        <v>306</v>
      </c>
      <c r="G185" s="120" t="s">
        <v>798</v>
      </c>
      <c r="H185" s="120">
        <v>16.0</v>
      </c>
      <c r="I185" s="121">
        <v>0.02</v>
      </c>
      <c r="J185" s="121">
        <v>0.88</v>
      </c>
      <c r="K185" s="117"/>
    </row>
    <row r="186" ht="15.75" customHeight="1">
      <c r="A186" s="122" t="s">
        <v>801</v>
      </c>
      <c r="B186" s="133" t="s">
        <v>802</v>
      </c>
      <c r="C186" s="120" t="s">
        <v>303</v>
      </c>
      <c r="D186" s="120" t="s">
        <v>688</v>
      </c>
      <c r="E186" s="120" t="s">
        <v>615</v>
      </c>
      <c r="F186" s="120" t="s">
        <v>306</v>
      </c>
      <c r="G186" s="120" t="s">
        <v>803</v>
      </c>
      <c r="H186" s="120">
        <v>15.0</v>
      </c>
      <c r="I186" s="121">
        <v>0.01</v>
      </c>
      <c r="J186" s="121">
        <v>1.4</v>
      </c>
      <c r="K186" s="117"/>
    </row>
    <row r="187" ht="15.75" customHeight="1">
      <c r="A187" s="122" t="s">
        <v>804</v>
      </c>
      <c r="B187" s="133" t="s">
        <v>805</v>
      </c>
      <c r="C187" s="120" t="s">
        <v>303</v>
      </c>
      <c r="D187" s="120" t="s">
        <v>688</v>
      </c>
      <c r="E187" s="120" t="s">
        <v>615</v>
      </c>
      <c r="F187" s="120" t="s">
        <v>306</v>
      </c>
      <c r="G187" s="120" t="s">
        <v>806</v>
      </c>
      <c r="H187" s="120">
        <v>15.0</v>
      </c>
      <c r="I187" s="121">
        <v>0.01</v>
      </c>
      <c r="J187" s="121">
        <v>0.07</v>
      </c>
      <c r="K187" s="117"/>
    </row>
    <row r="188" ht="15.75" customHeight="1">
      <c r="A188" s="122" t="s">
        <v>807</v>
      </c>
      <c r="B188" s="133" t="s">
        <v>808</v>
      </c>
      <c r="C188" s="120" t="s">
        <v>303</v>
      </c>
      <c r="D188" s="120" t="s">
        <v>745</v>
      </c>
      <c r="E188" s="120" t="s">
        <v>615</v>
      </c>
      <c r="F188" s="120" t="s">
        <v>306</v>
      </c>
      <c r="G188" s="120" t="s">
        <v>809</v>
      </c>
      <c r="H188" s="120">
        <v>15.0</v>
      </c>
      <c r="I188" s="121">
        <v>0.01</v>
      </c>
      <c r="J188" s="121">
        <v>1.07</v>
      </c>
      <c r="K188" s="117"/>
    </row>
    <row r="189" ht="15.75" customHeight="1">
      <c r="A189" s="122" t="s">
        <v>810</v>
      </c>
      <c r="B189" s="133" t="s">
        <v>811</v>
      </c>
      <c r="C189" s="120" t="s">
        <v>303</v>
      </c>
      <c r="D189" s="120" t="s">
        <v>375</v>
      </c>
      <c r="E189" s="120" t="s">
        <v>615</v>
      </c>
      <c r="F189" s="120" t="s">
        <v>306</v>
      </c>
      <c r="G189" s="120" t="s">
        <v>813</v>
      </c>
      <c r="H189" s="120">
        <v>14.0</v>
      </c>
      <c r="I189" s="121">
        <v>0.01</v>
      </c>
      <c r="J189" s="121">
        <v>0.86</v>
      </c>
      <c r="K189" s="117"/>
    </row>
    <row r="190" ht="15.75" customHeight="1">
      <c r="A190" s="122" t="s">
        <v>815</v>
      </c>
      <c r="B190" s="133" t="s">
        <v>816</v>
      </c>
      <c r="C190" s="120" t="s">
        <v>303</v>
      </c>
      <c r="D190" s="120" t="s">
        <v>688</v>
      </c>
      <c r="E190" s="120" t="s">
        <v>615</v>
      </c>
      <c r="F190" s="120" t="s">
        <v>306</v>
      </c>
      <c r="G190" s="120" t="s">
        <v>817</v>
      </c>
      <c r="H190" s="120">
        <v>14.0</v>
      </c>
      <c r="I190" s="121">
        <v>0.01</v>
      </c>
      <c r="J190" s="121">
        <v>0.0</v>
      </c>
      <c r="K190" s="117"/>
    </row>
    <row r="191" ht="15.75" customHeight="1">
      <c r="A191" s="122" t="s">
        <v>818</v>
      </c>
      <c r="B191" s="133" t="s">
        <v>819</v>
      </c>
      <c r="C191" s="120" t="s">
        <v>303</v>
      </c>
      <c r="D191" s="120" t="s">
        <v>375</v>
      </c>
      <c r="E191" s="120" t="s">
        <v>615</v>
      </c>
      <c r="F191" s="120" t="s">
        <v>306</v>
      </c>
      <c r="G191" s="120" t="s">
        <v>820</v>
      </c>
      <c r="H191" s="120">
        <v>13.0</v>
      </c>
      <c r="I191" s="121">
        <v>0.01</v>
      </c>
      <c r="J191" s="121">
        <v>0.38</v>
      </c>
      <c r="K191" s="117"/>
    </row>
    <row r="192" ht="15.75" customHeight="1">
      <c r="A192" s="122" t="s">
        <v>821</v>
      </c>
      <c r="B192" s="133" t="s">
        <v>822</v>
      </c>
      <c r="C192" s="120" t="s">
        <v>303</v>
      </c>
      <c r="D192" s="120" t="s">
        <v>375</v>
      </c>
      <c r="E192" s="120" t="s">
        <v>615</v>
      </c>
      <c r="F192" s="120" t="s">
        <v>306</v>
      </c>
      <c r="G192" s="120" t="s">
        <v>824</v>
      </c>
      <c r="H192" s="120">
        <v>13.0</v>
      </c>
      <c r="I192" s="121">
        <v>0.01</v>
      </c>
      <c r="J192" s="121">
        <v>0.23</v>
      </c>
      <c r="K192" s="117"/>
    </row>
    <row r="193" ht="15.75" customHeight="1">
      <c r="A193" s="122" t="s">
        <v>825</v>
      </c>
      <c r="B193" s="133" t="s">
        <v>826</v>
      </c>
      <c r="C193" s="120" t="s">
        <v>303</v>
      </c>
      <c r="D193" s="120" t="s">
        <v>648</v>
      </c>
      <c r="E193" s="120" t="s">
        <v>615</v>
      </c>
      <c r="F193" s="120" t="s">
        <v>306</v>
      </c>
      <c r="G193" s="120" t="s">
        <v>827</v>
      </c>
      <c r="H193" s="120">
        <v>12.0</v>
      </c>
      <c r="I193" s="121">
        <v>0.01</v>
      </c>
      <c r="J193" s="121">
        <v>1.0</v>
      </c>
      <c r="K193" s="117"/>
    </row>
    <row r="194" ht="15.75" customHeight="1">
      <c r="A194" s="122" t="s">
        <v>828</v>
      </c>
      <c r="B194" s="133" t="s">
        <v>829</v>
      </c>
      <c r="C194" s="120" t="s">
        <v>303</v>
      </c>
      <c r="D194" s="120" t="s">
        <v>700</v>
      </c>
      <c r="E194" s="120" t="s">
        <v>615</v>
      </c>
      <c r="F194" s="120" t="s">
        <v>306</v>
      </c>
      <c r="G194" s="120" t="s">
        <v>830</v>
      </c>
      <c r="H194" s="120">
        <v>12.0</v>
      </c>
      <c r="I194" s="121">
        <v>0.01</v>
      </c>
      <c r="J194" s="121">
        <v>1.42</v>
      </c>
      <c r="K194" s="117"/>
    </row>
    <row r="195" ht="15.75" customHeight="1">
      <c r="A195" s="122" t="s">
        <v>831</v>
      </c>
      <c r="B195" s="133" t="s">
        <v>832</v>
      </c>
      <c r="C195" s="120" t="s">
        <v>303</v>
      </c>
      <c r="D195" s="120" t="s">
        <v>379</v>
      </c>
      <c r="E195" s="120" t="s">
        <v>615</v>
      </c>
      <c r="F195" s="120" t="s">
        <v>306</v>
      </c>
      <c r="G195" s="120" t="s">
        <v>835</v>
      </c>
      <c r="H195" s="120">
        <v>12.0</v>
      </c>
      <c r="I195" s="121">
        <v>0.01</v>
      </c>
      <c r="J195" s="121">
        <v>0.58</v>
      </c>
      <c r="K195" s="117"/>
    </row>
    <row r="196" ht="15.75" customHeight="1">
      <c r="A196" s="122" t="s">
        <v>836</v>
      </c>
      <c r="B196" s="133" t="s">
        <v>837</v>
      </c>
      <c r="C196" s="120" t="s">
        <v>303</v>
      </c>
      <c r="D196" s="120" t="s">
        <v>838</v>
      </c>
      <c r="E196" s="120" t="s">
        <v>615</v>
      </c>
      <c r="F196" s="120" t="s">
        <v>306</v>
      </c>
      <c r="G196" s="120" t="s">
        <v>839</v>
      </c>
      <c r="H196" s="120">
        <v>12.0</v>
      </c>
      <c r="I196" s="121">
        <v>0.01</v>
      </c>
      <c r="J196" s="121">
        <v>0.0</v>
      </c>
      <c r="K196" s="117"/>
    </row>
    <row r="197" ht="15.75" customHeight="1">
      <c r="A197" s="122" t="s">
        <v>840</v>
      </c>
      <c r="B197" s="133" t="s">
        <v>841</v>
      </c>
      <c r="C197" s="120" t="s">
        <v>303</v>
      </c>
      <c r="D197" s="120" t="s">
        <v>667</v>
      </c>
      <c r="E197" s="120" t="s">
        <v>615</v>
      </c>
      <c r="F197" s="120" t="s">
        <v>306</v>
      </c>
      <c r="G197" s="120" t="s">
        <v>842</v>
      </c>
      <c r="H197" s="120">
        <v>12.0</v>
      </c>
      <c r="I197" s="121">
        <v>0.01</v>
      </c>
      <c r="J197" s="121">
        <v>1.5</v>
      </c>
      <c r="K197" s="117"/>
    </row>
    <row r="198" ht="15.75" customHeight="1">
      <c r="A198" s="122" t="s">
        <v>845</v>
      </c>
      <c r="B198" s="133" t="s">
        <v>846</v>
      </c>
      <c r="C198" s="120" t="s">
        <v>303</v>
      </c>
      <c r="D198" s="120" t="s">
        <v>614</v>
      </c>
      <c r="E198" s="120" t="s">
        <v>615</v>
      </c>
      <c r="F198" s="120" t="s">
        <v>306</v>
      </c>
      <c r="G198" s="120" t="s">
        <v>847</v>
      </c>
      <c r="H198" s="120">
        <v>12.0</v>
      </c>
      <c r="I198" s="121">
        <v>0.01</v>
      </c>
      <c r="J198" s="121">
        <v>1.83</v>
      </c>
      <c r="K198" s="117"/>
    </row>
    <row r="199" ht="15.75" customHeight="1">
      <c r="A199" s="122" t="s">
        <v>848</v>
      </c>
      <c r="B199" s="133" t="s">
        <v>849</v>
      </c>
      <c r="C199" s="120" t="s">
        <v>303</v>
      </c>
      <c r="D199" s="120" t="s">
        <v>718</v>
      </c>
      <c r="E199" s="120" t="s">
        <v>615</v>
      </c>
      <c r="F199" s="120" t="s">
        <v>306</v>
      </c>
      <c r="G199" s="120" t="s">
        <v>850</v>
      </c>
      <c r="H199" s="120">
        <v>11.0</v>
      </c>
      <c r="I199" s="121">
        <v>0.01</v>
      </c>
      <c r="J199" s="121">
        <v>0.0</v>
      </c>
      <c r="K199" s="117"/>
    </row>
    <row r="200" ht="15.75" customHeight="1">
      <c r="A200" s="122" t="s">
        <v>851</v>
      </c>
      <c r="B200" s="133" t="s">
        <v>852</v>
      </c>
      <c r="C200" s="120" t="s">
        <v>303</v>
      </c>
      <c r="D200" s="120" t="s">
        <v>648</v>
      </c>
      <c r="E200" s="120" t="s">
        <v>615</v>
      </c>
      <c r="F200" s="120" t="s">
        <v>306</v>
      </c>
      <c r="G200" s="120" t="s">
        <v>855</v>
      </c>
      <c r="H200" s="120">
        <v>10.0</v>
      </c>
      <c r="I200" s="121">
        <v>0.01</v>
      </c>
      <c r="J200" s="121">
        <v>1.4</v>
      </c>
      <c r="K200" s="117"/>
    </row>
    <row r="201" ht="15.75" customHeight="1">
      <c r="A201" s="122" t="s">
        <v>856</v>
      </c>
      <c r="B201" s="133" t="s">
        <v>857</v>
      </c>
      <c r="C201" s="120" t="s">
        <v>303</v>
      </c>
      <c r="D201" s="120" t="s">
        <v>648</v>
      </c>
      <c r="E201" s="120" t="s">
        <v>615</v>
      </c>
      <c r="F201" s="120" t="s">
        <v>306</v>
      </c>
      <c r="G201" s="120" t="s">
        <v>858</v>
      </c>
      <c r="H201" s="120">
        <v>10.0</v>
      </c>
      <c r="I201" s="121">
        <v>0.01</v>
      </c>
      <c r="J201" s="121">
        <v>2.3</v>
      </c>
      <c r="K201" s="117"/>
    </row>
    <row r="202" ht="15.75" customHeight="1">
      <c r="A202" s="122" t="s">
        <v>859</v>
      </c>
      <c r="B202" s="133" t="s">
        <v>860</v>
      </c>
      <c r="C202" s="120" t="s">
        <v>303</v>
      </c>
      <c r="D202" s="120" t="s">
        <v>663</v>
      </c>
      <c r="E202" s="120" t="s">
        <v>615</v>
      </c>
      <c r="F202" s="120" t="s">
        <v>306</v>
      </c>
      <c r="G202" s="120" t="s">
        <v>861</v>
      </c>
      <c r="H202" s="120">
        <v>10.0</v>
      </c>
      <c r="I202" s="121">
        <v>0.01</v>
      </c>
      <c r="J202" s="121">
        <v>0.1</v>
      </c>
      <c r="K202" s="117"/>
    </row>
    <row r="203" ht="15.75" customHeight="1">
      <c r="A203" s="122" t="s">
        <v>864</v>
      </c>
      <c r="B203" s="133" t="s">
        <v>860</v>
      </c>
      <c r="C203" s="120" t="s">
        <v>303</v>
      </c>
      <c r="D203" s="120" t="s">
        <v>663</v>
      </c>
      <c r="E203" s="120" t="s">
        <v>615</v>
      </c>
      <c r="F203" s="120" t="s">
        <v>306</v>
      </c>
      <c r="G203" s="120" t="s">
        <v>861</v>
      </c>
      <c r="H203" s="120">
        <v>10.0</v>
      </c>
      <c r="I203" s="121">
        <v>0.01</v>
      </c>
      <c r="J203" s="121">
        <v>0.0</v>
      </c>
      <c r="K203" s="117"/>
    </row>
    <row r="204" ht="15.75" customHeight="1">
      <c r="A204" s="122" t="s">
        <v>865</v>
      </c>
      <c r="B204" s="133" t="s">
        <v>866</v>
      </c>
      <c r="C204" s="120" t="s">
        <v>303</v>
      </c>
      <c r="D204" s="120" t="s">
        <v>700</v>
      </c>
      <c r="E204" s="120" t="s">
        <v>615</v>
      </c>
      <c r="F204" s="120" t="s">
        <v>306</v>
      </c>
      <c r="G204" s="120" t="s">
        <v>867</v>
      </c>
      <c r="H204" s="120">
        <v>10.0</v>
      </c>
      <c r="I204" s="121">
        <v>0.01</v>
      </c>
      <c r="J204" s="121">
        <v>1.4</v>
      </c>
      <c r="K204" s="117"/>
    </row>
    <row r="205" ht="15.75" customHeight="1">
      <c r="A205" s="122" t="s">
        <v>868</v>
      </c>
      <c r="B205" s="133" t="s">
        <v>869</v>
      </c>
      <c r="C205" s="120" t="s">
        <v>303</v>
      </c>
      <c r="D205" s="120" t="s">
        <v>655</v>
      </c>
      <c r="E205" s="120" t="s">
        <v>615</v>
      </c>
      <c r="F205" s="120" t="s">
        <v>306</v>
      </c>
      <c r="G205" s="120" t="s">
        <v>871</v>
      </c>
      <c r="H205" s="120">
        <v>10.0</v>
      </c>
      <c r="I205" s="121">
        <v>0.01</v>
      </c>
      <c r="J205" s="121">
        <v>1.4</v>
      </c>
      <c r="K205" s="117"/>
    </row>
    <row r="206" ht="15.75" customHeight="1">
      <c r="A206" s="122" t="s">
        <v>872</v>
      </c>
      <c r="B206" s="133" t="s">
        <v>873</v>
      </c>
      <c r="C206" s="120" t="s">
        <v>303</v>
      </c>
      <c r="D206" s="120" t="s">
        <v>304</v>
      </c>
      <c r="E206" s="120" t="s">
        <v>615</v>
      </c>
      <c r="F206" s="120" t="s">
        <v>306</v>
      </c>
      <c r="G206" s="120" t="s">
        <v>874</v>
      </c>
      <c r="H206" s="120">
        <v>10.0</v>
      </c>
      <c r="I206" s="121">
        <v>0.01</v>
      </c>
      <c r="J206" s="121">
        <v>0.6</v>
      </c>
      <c r="K206" s="117"/>
    </row>
    <row r="207" ht="15.75" customHeight="1">
      <c r="A207" s="122" t="s">
        <v>875</v>
      </c>
      <c r="B207" s="133" t="s">
        <v>876</v>
      </c>
      <c r="C207" s="120" t="s">
        <v>303</v>
      </c>
      <c r="D207" s="120" t="s">
        <v>879</v>
      </c>
      <c r="E207" s="120" t="s">
        <v>615</v>
      </c>
      <c r="F207" s="120" t="s">
        <v>306</v>
      </c>
      <c r="G207" s="120" t="s">
        <v>880</v>
      </c>
      <c r="H207" s="120">
        <v>10.0</v>
      </c>
      <c r="I207" s="121">
        <v>0.01</v>
      </c>
      <c r="J207" s="121">
        <v>2.0</v>
      </c>
      <c r="K207" s="117"/>
    </row>
    <row r="208" ht="15.75" customHeight="1">
      <c r="A208" s="122" t="s">
        <v>881</v>
      </c>
      <c r="B208" s="133" t="s">
        <v>882</v>
      </c>
      <c r="C208" s="120" t="s">
        <v>303</v>
      </c>
      <c r="D208" s="120" t="s">
        <v>700</v>
      </c>
      <c r="E208" s="120" t="s">
        <v>615</v>
      </c>
      <c r="F208" s="120" t="s">
        <v>306</v>
      </c>
      <c r="G208" s="120" t="s">
        <v>883</v>
      </c>
      <c r="H208" s="120">
        <v>9.0</v>
      </c>
      <c r="I208" s="121">
        <v>0.01</v>
      </c>
      <c r="J208" s="121">
        <v>0.89</v>
      </c>
      <c r="K208" s="117"/>
    </row>
    <row r="209" ht="15.75" customHeight="1">
      <c r="A209" s="122" t="s">
        <v>884</v>
      </c>
      <c r="B209" s="133" t="s">
        <v>885</v>
      </c>
      <c r="C209" s="120" t="s">
        <v>303</v>
      </c>
      <c r="D209" s="120" t="s">
        <v>700</v>
      </c>
      <c r="E209" s="120" t="s">
        <v>615</v>
      </c>
      <c r="F209" s="120" t="s">
        <v>306</v>
      </c>
      <c r="G209" s="120" t="s">
        <v>886</v>
      </c>
      <c r="H209" s="120">
        <v>9.0</v>
      </c>
      <c r="I209" s="121">
        <v>0.01</v>
      </c>
      <c r="J209" s="121">
        <v>1.33</v>
      </c>
      <c r="K209" s="117"/>
    </row>
    <row r="210" ht="15.75" customHeight="1">
      <c r="A210" s="122" t="s">
        <v>889</v>
      </c>
      <c r="B210" s="133" t="s">
        <v>890</v>
      </c>
      <c r="C210" s="120" t="s">
        <v>303</v>
      </c>
      <c r="D210" s="120" t="s">
        <v>655</v>
      </c>
      <c r="E210" s="120" t="s">
        <v>615</v>
      </c>
      <c r="F210" s="120" t="s">
        <v>306</v>
      </c>
      <c r="G210" s="120" t="s">
        <v>891</v>
      </c>
      <c r="H210" s="120">
        <v>9.0</v>
      </c>
      <c r="I210" s="121">
        <v>0.01</v>
      </c>
      <c r="J210" s="121">
        <v>0.11</v>
      </c>
      <c r="K210" s="117"/>
    </row>
    <row r="211" ht="15.75" customHeight="1">
      <c r="A211" s="122" t="s">
        <v>892</v>
      </c>
      <c r="B211" s="133" t="s">
        <v>893</v>
      </c>
      <c r="C211" s="120" t="s">
        <v>303</v>
      </c>
      <c r="D211" s="120" t="s">
        <v>375</v>
      </c>
      <c r="E211" s="120" t="s">
        <v>615</v>
      </c>
      <c r="F211" s="120" t="s">
        <v>306</v>
      </c>
      <c r="G211" s="120" t="s">
        <v>894</v>
      </c>
      <c r="H211" s="120">
        <v>8.0</v>
      </c>
      <c r="I211" s="121">
        <v>0.01</v>
      </c>
      <c r="J211" s="121">
        <v>0.75</v>
      </c>
      <c r="K211" s="117"/>
    </row>
    <row r="212" ht="15.75" customHeight="1">
      <c r="A212" s="122" t="s">
        <v>896</v>
      </c>
      <c r="B212" s="133" t="s">
        <v>897</v>
      </c>
      <c r="C212" s="120" t="s">
        <v>303</v>
      </c>
      <c r="D212" s="120" t="s">
        <v>379</v>
      </c>
      <c r="E212" s="120" t="s">
        <v>615</v>
      </c>
      <c r="F212" s="120" t="s">
        <v>306</v>
      </c>
      <c r="G212" s="120" t="s">
        <v>898</v>
      </c>
      <c r="H212" s="120">
        <v>8.0</v>
      </c>
      <c r="I212" s="121">
        <v>0.01</v>
      </c>
      <c r="J212" s="121">
        <v>0.0</v>
      </c>
      <c r="K212" s="117"/>
    </row>
    <row r="213" ht="15.75" customHeight="1">
      <c r="A213" s="122" t="s">
        <v>899</v>
      </c>
      <c r="B213" s="133" t="s">
        <v>900</v>
      </c>
      <c r="C213" s="120" t="s">
        <v>303</v>
      </c>
      <c r="D213" s="120" t="s">
        <v>879</v>
      </c>
      <c r="E213" s="120" t="s">
        <v>615</v>
      </c>
      <c r="F213" s="120" t="s">
        <v>306</v>
      </c>
      <c r="G213" s="120" t="s">
        <v>901</v>
      </c>
      <c r="H213" s="120">
        <v>8.0</v>
      </c>
      <c r="I213" s="121">
        <v>0.01</v>
      </c>
      <c r="J213" s="121">
        <v>0.13</v>
      </c>
      <c r="K213" s="117"/>
    </row>
    <row r="214" ht="15.75" customHeight="1">
      <c r="A214" s="122" t="s">
        <v>902</v>
      </c>
      <c r="B214" s="133" t="s">
        <v>903</v>
      </c>
      <c r="C214" s="120" t="s">
        <v>303</v>
      </c>
      <c r="D214" s="120" t="s">
        <v>708</v>
      </c>
      <c r="E214" s="120" t="s">
        <v>615</v>
      </c>
      <c r="F214" s="120" t="s">
        <v>306</v>
      </c>
      <c r="G214" s="120" t="s">
        <v>905</v>
      </c>
      <c r="H214" s="120">
        <v>8.0</v>
      </c>
      <c r="I214" s="121">
        <v>0.01</v>
      </c>
      <c r="J214" s="121">
        <v>1.0</v>
      </c>
      <c r="K214" s="117"/>
    </row>
    <row r="215" ht="15.75" customHeight="1">
      <c r="A215" s="122" t="s">
        <v>906</v>
      </c>
      <c r="B215" s="133" t="s">
        <v>907</v>
      </c>
      <c r="C215" s="120" t="s">
        <v>303</v>
      </c>
      <c r="D215" s="120" t="s">
        <v>708</v>
      </c>
      <c r="E215" s="120" t="s">
        <v>615</v>
      </c>
      <c r="F215" s="120" t="s">
        <v>306</v>
      </c>
      <c r="G215" s="120" t="s">
        <v>908</v>
      </c>
      <c r="H215" s="120">
        <v>8.0</v>
      </c>
      <c r="I215" s="121">
        <v>0.01</v>
      </c>
      <c r="J215" s="121">
        <v>1.25</v>
      </c>
      <c r="K215" s="117"/>
    </row>
    <row r="216" ht="15.75" customHeight="1">
      <c r="A216" s="122" t="s">
        <v>909</v>
      </c>
      <c r="B216" s="133" t="s">
        <v>910</v>
      </c>
      <c r="C216" s="120" t="s">
        <v>303</v>
      </c>
      <c r="D216" s="120" t="s">
        <v>655</v>
      </c>
      <c r="E216" s="120" t="s">
        <v>615</v>
      </c>
      <c r="F216" s="120" t="s">
        <v>306</v>
      </c>
      <c r="G216" s="120" t="s">
        <v>911</v>
      </c>
      <c r="H216" s="120">
        <v>7.0</v>
      </c>
      <c r="I216" s="121">
        <v>0.01</v>
      </c>
      <c r="J216" s="121">
        <v>0.14</v>
      </c>
      <c r="K216" s="117"/>
    </row>
    <row r="217" ht="15.75" customHeight="1">
      <c r="A217" s="122" t="s">
        <v>914</v>
      </c>
      <c r="B217" s="133" t="s">
        <v>915</v>
      </c>
      <c r="C217" s="120" t="s">
        <v>303</v>
      </c>
      <c r="D217" s="120" t="s">
        <v>838</v>
      </c>
      <c r="E217" s="120" t="s">
        <v>615</v>
      </c>
      <c r="F217" s="120" t="s">
        <v>306</v>
      </c>
      <c r="G217" s="120" t="s">
        <v>916</v>
      </c>
      <c r="H217" s="120">
        <v>7.0</v>
      </c>
      <c r="I217" s="121">
        <v>0.01</v>
      </c>
      <c r="J217" s="121">
        <v>1.43</v>
      </c>
      <c r="K217" s="117"/>
    </row>
    <row r="218" ht="15.75" customHeight="1">
      <c r="A218" s="122" t="s">
        <v>917</v>
      </c>
      <c r="B218" s="133" t="s">
        <v>918</v>
      </c>
      <c r="C218" s="120" t="s">
        <v>303</v>
      </c>
      <c r="D218" s="120" t="s">
        <v>644</v>
      </c>
      <c r="E218" s="120" t="s">
        <v>615</v>
      </c>
      <c r="F218" s="120" t="s">
        <v>306</v>
      </c>
      <c r="G218" s="120" t="s">
        <v>919</v>
      </c>
      <c r="H218" s="120">
        <v>6.0</v>
      </c>
      <c r="I218" s="121">
        <v>0.01</v>
      </c>
      <c r="J218" s="121">
        <v>0.0</v>
      </c>
      <c r="K218" s="117"/>
    </row>
    <row r="219" ht="15.75" customHeight="1">
      <c r="A219" s="122" t="s">
        <v>920</v>
      </c>
      <c r="B219" s="133" t="s">
        <v>921</v>
      </c>
      <c r="C219" s="120" t="s">
        <v>303</v>
      </c>
      <c r="D219" s="120" t="s">
        <v>667</v>
      </c>
      <c r="E219" s="120" t="s">
        <v>615</v>
      </c>
      <c r="F219" s="120" t="s">
        <v>306</v>
      </c>
      <c r="G219" s="120" t="s">
        <v>922</v>
      </c>
      <c r="H219" s="120">
        <v>6.0</v>
      </c>
      <c r="I219" s="121">
        <v>0.01</v>
      </c>
      <c r="J219" s="121">
        <v>0.83</v>
      </c>
      <c r="K219" s="117"/>
    </row>
    <row r="220" ht="15.75" customHeight="1">
      <c r="A220" s="122" t="s">
        <v>925</v>
      </c>
      <c r="B220" s="133" t="s">
        <v>926</v>
      </c>
      <c r="C220" s="120" t="s">
        <v>303</v>
      </c>
      <c r="D220" s="120" t="s">
        <v>614</v>
      </c>
      <c r="E220" s="120" t="s">
        <v>615</v>
      </c>
      <c r="F220" s="120" t="s">
        <v>306</v>
      </c>
      <c r="G220" s="120" t="s">
        <v>927</v>
      </c>
      <c r="H220" s="120">
        <v>6.0</v>
      </c>
      <c r="I220" s="121">
        <v>0.01</v>
      </c>
      <c r="J220" s="121">
        <v>0.67</v>
      </c>
      <c r="K220" s="117"/>
    </row>
    <row r="221" ht="15.75" customHeight="1">
      <c r="A221" s="122" t="s">
        <v>928</v>
      </c>
      <c r="B221" s="133" t="s">
        <v>929</v>
      </c>
      <c r="C221" s="120" t="s">
        <v>303</v>
      </c>
      <c r="D221" s="120" t="s">
        <v>614</v>
      </c>
      <c r="E221" s="120" t="s">
        <v>615</v>
      </c>
      <c r="F221" s="120" t="s">
        <v>306</v>
      </c>
      <c r="G221" s="120" t="s">
        <v>930</v>
      </c>
      <c r="H221" s="120">
        <v>6.0</v>
      </c>
      <c r="I221" s="121">
        <v>0.01</v>
      </c>
      <c r="J221" s="121">
        <v>0.0</v>
      </c>
      <c r="K221" s="117"/>
    </row>
    <row r="222" ht="15.75" customHeight="1">
      <c r="A222" s="122" t="s">
        <v>933</v>
      </c>
      <c r="B222" s="133" t="s">
        <v>934</v>
      </c>
      <c r="C222" s="120" t="s">
        <v>303</v>
      </c>
      <c r="D222" s="120" t="s">
        <v>677</v>
      </c>
      <c r="E222" s="120" t="s">
        <v>615</v>
      </c>
      <c r="F222" s="120" t="s">
        <v>306</v>
      </c>
      <c r="G222" s="120" t="s">
        <v>935</v>
      </c>
      <c r="H222" s="120">
        <v>5.0</v>
      </c>
      <c r="I222" s="121">
        <v>0.0</v>
      </c>
      <c r="J222" s="121">
        <v>0.8</v>
      </c>
      <c r="K222" s="117"/>
    </row>
    <row r="223" ht="15.75" customHeight="1">
      <c r="A223" s="122" t="s">
        <v>936</v>
      </c>
      <c r="B223" s="133" t="s">
        <v>937</v>
      </c>
      <c r="C223" s="120" t="s">
        <v>303</v>
      </c>
      <c r="D223" s="120" t="s">
        <v>663</v>
      </c>
      <c r="E223" s="120" t="s">
        <v>615</v>
      </c>
      <c r="F223" s="120" t="s">
        <v>306</v>
      </c>
      <c r="G223" s="120" t="s">
        <v>938</v>
      </c>
      <c r="H223" s="120">
        <v>5.0</v>
      </c>
      <c r="I223" s="121">
        <v>0.0</v>
      </c>
      <c r="J223" s="121">
        <v>1.2</v>
      </c>
      <c r="K223" s="117"/>
    </row>
    <row r="224" ht="15.75" customHeight="1">
      <c r="A224" s="122" t="s">
        <v>939</v>
      </c>
      <c r="B224" s="133" t="s">
        <v>940</v>
      </c>
      <c r="C224" s="120" t="s">
        <v>303</v>
      </c>
      <c r="D224" s="120" t="s">
        <v>700</v>
      </c>
      <c r="E224" s="120" t="s">
        <v>615</v>
      </c>
      <c r="F224" s="120" t="s">
        <v>306</v>
      </c>
      <c r="G224" s="120" t="s">
        <v>943</v>
      </c>
      <c r="H224" s="120">
        <v>5.0</v>
      </c>
      <c r="I224" s="121">
        <v>0.0</v>
      </c>
      <c r="J224" s="121">
        <v>0.0</v>
      </c>
      <c r="K224" s="117"/>
    </row>
    <row r="225" ht="15.75" customHeight="1">
      <c r="A225" s="122" t="s">
        <v>944</v>
      </c>
      <c r="B225" s="133" t="s">
        <v>945</v>
      </c>
      <c r="C225" s="120" t="s">
        <v>303</v>
      </c>
      <c r="D225" s="120" t="s">
        <v>704</v>
      </c>
      <c r="E225" s="120" t="s">
        <v>615</v>
      </c>
      <c r="F225" s="120" t="s">
        <v>306</v>
      </c>
      <c r="G225" s="120" t="s">
        <v>946</v>
      </c>
      <c r="H225" s="120">
        <v>5.0</v>
      </c>
      <c r="I225" s="121">
        <v>0.0</v>
      </c>
      <c r="J225" s="121">
        <v>0.0</v>
      </c>
      <c r="K225" s="117"/>
    </row>
    <row r="226" ht="15.75" customHeight="1">
      <c r="A226" s="122" t="s">
        <v>947</v>
      </c>
      <c r="B226" s="133" t="s">
        <v>948</v>
      </c>
      <c r="C226" s="120" t="s">
        <v>303</v>
      </c>
      <c r="D226" s="120" t="s">
        <v>375</v>
      </c>
      <c r="E226" s="120" t="s">
        <v>615</v>
      </c>
      <c r="F226" s="120" t="s">
        <v>306</v>
      </c>
      <c r="G226" s="120" t="s">
        <v>949</v>
      </c>
      <c r="H226" s="120">
        <v>4.0</v>
      </c>
      <c r="I226" s="121">
        <v>0.0</v>
      </c>
      <c r="J226" s="121">
        <v>0.25</v>
      </c>
      <c r="K226" s="117"/>
    </row>
    <row r="227" ht="15.75" customHeight="1">
      <c r="A227" s="122" t="s">
        <v>952</v>
      </c>
      <c r="B227" s="133" t="s">
        <v>953</v>
      </c>
      <c r="C227" s="120" t="s">
        <v>303</v>
      </c>
      <c r="D227" s="120" t="s">
        <v>663</v>
      </c>
      <c r="E227" s="120" t="s">
        <v>615</v>
      </c>
      <c r="F227" s="120" t="s">
        <v>306</v>
      </c>
      <c r="G227" s="120" t="s">
        <v>954</v>
      </c>
      <c r="H227" s="120">
        <v>4.0</v>
      </c>
      <c r="I227" s="121">
        <v>0.0</v>
      </c>
      <c r="J227" s="121">
        <v>0.5</v>
      </c>
      <c r="K227" s="117"/>
    </row>
    <row r="228" ht="15.75" customHeight="1">
      <c r="A228" s="122" t="s">
        <v>955</v>
      </c>
      <c r="B228" s="133" t="s">
        <v>956</v>
      </c>
      <c r="C228" s="120" t="s">
        <v>303</v>
      </c>
      <c r="D228" s="120" t="s">
        <v>788</v>
      </c>
      <c r="E228" s="120" t="s">
        <v>615</v>
      </c>
      <c r="F228" s="120" t="s">
        <v>306</v>
      </c>
      <c r="G228" s="120" t="s">
        <v>957</v>
      </c>
      <c r="H228" s="120">
        <v>4.0</v>
      </c>
      <c r="I228" s="121">
        <v>0.0</v>
      </c>
      <c r="J228" s="121">
        <v>0.75</v>
      </c>
      <c r="K228" s="117"/>
    </row>
    <row r="229" ht="15.75" customHeight="1">
      <c r="A229" s="122" t="s">
        <v>958</v>
      </c>
      <c r="B229" s="133" t="s">
        <v>959</v>
      </c>
      <c r="C229" s="120" t="s">
        <v>303</v>
      </c>
      <c r="D229" s="120" t="s">
        <v>304</v>
      </c>
      <c r="E229" s="120" t="s">
        <v>615</v>
      </c>
      <c r="F229" s="120" t="s">
        <v>306</v>
      </c>
      <c r="G229" s="120" t="s">
        <v>962</v>
      </c>
      <c r="H229" s="120">
        <v>4.0</v>
      </c>
      <c r="I229" s="121">
        <v>0.0</v>
      </c>
      <c r="J229" s="121">
        <v>0.5</v>
      </c>
      <c r="K229" s="117"/>
    </row>
    <row r="230" ht="15.75" customHeight="1">
      <c r="A230" s="122" t="s">
        <v>963</v>
      </c>
      <c r="B230" s="133" t="s">
        <v>964</v>
      </c>
      <c r="C230" s="120" t="s">
        <v>303</v>
      </c>
      <c r="D230" s="120" t="s">
        <v>667</v>
      </c>
      <c r="E230" s="120" t="s">
        <v>615</v>
      </c>
      <c r="F230" s="120" t="s">
        <v>306</v>
      </c>
      <c r="G230" s="120" t="s">
        <v>965</v>
      </c>
      <c r="H230" s="120">
        <v>4.0</v>
      </c>
      <c r="I230" s="121">
        <v>0.0</v>
      </c>
      <c r="J230" s="121">
        <v>0.5</v>
      </c>
      <c r="K230" s="117"/>
    </row>
    <row r="231" ht="15.75" customHeight="1">
      <c r="A231" s="122" t="s">
        <v>966</v>
      </c>
      <c r="B231" s="133" t="s">
        <v>967</v>
      </c>
      <c r="C231" s="120" t="s">
        <v>303</v>
      </c>
      <c r="D231" s="120" t="s">
        <v>968</v>
      </c>
      <c r="E231" s="120" t="s">
        <v>615</v>
      </c>
      <c r="F231" s="120" t="s">
        <v>306</v>
      </c>
      <c r="G231" s="120" t="s">
        <v>969</v>
      </c>
      <c r="H231" s="120">
        <v>4.0</v>
      </c>
      <c r="I231" s="121">
        <v>0.0</v>
      </c>
      <c r="J231" s="121">
        <v>1.5</v>
      </c>
      <c r="K231" s="117"/>
    </row>
    <row r="232" ht="15.75" customHeight="1">
      <c r="A232" s="122" t="s">
        <v>972</v>
      </c>
      <c r="B232" s="133" t="s">
        <v>973</v>
      </c>
      <c r="C232" s="120" t="s">
        <v>303</v>
      </c>
      <c r="D232" s="120" t="s">
        <v>614</v>
      </c>
      <c r="E232" s="120" t="s">
        <v>615</v>
      </c>
      <c r="F232" s="120" t="s">
        <v>306</v>
      </c>
      <c r="G232" s="120" t="s">
        <v>974</v>
      </c>
      <c r="H232" s="120">
        <v>4.0</v>
      </c>
      <c r="I232" s="121">
        <v>0.0</v>
      </c>
      <c r="J232" s="121">
        <v>1.75</v>
      </c>
      <c r="K232" s="117"/>
    </row>
    <row r="233" ht="15.75" customHeight="1">
      <c r="A233" s="122" t="s">
        <v>975</v>
      </c>
      <c r="B233" s="133" t="s">
        <v>976</v>
      </c>
      <c r="C233" s="120" t="s">
        <v>303</v>
      </c>
      <c r="D233" s="120" t="s">
        <v>977</v>
      </c>
      <c r="E233" s="120" t="s">
        <v>615</v>
      </c>
      <c r="F233" s="120" t="s">
        <v>306</v>
      </c>
      <c r="G233" s="120" t="s">
        <v>978</v>
      </c>
      <c r="H233" s="120">
        <v>3.0</v>
      </c>
      <c r="I233" s="121">
        <v>0.0</v>
      </c>
      <c r="J233" s="121">
        <v>1.67</v>
      </c>
      <c r="K233" s="117"/>
    </row>
    <row r="234" ht="15.75" customHeight="1">
      <c r="A234" s="122" t="s">
        <v>979</v>
      </c>
      <c r="B234" s="133" t="s">
        <v>980</v>
      </c>
      <c r="C234" s="120" t="s">
        <v>303</v>
      </c>
      <c r="D234" s="120" t="s">
        <v>977</v>
      </c>
      <c r="E234" s="120" t="s">
        <v>615</v>
      </c>
      <c r="F234" s="120" t="s">
        <v>306</v>
      </c>
      <c r="G234" s="120" t="s">
        <v>981</v>
      </c>
      <c r="H234" s="120">
        <v>3.0</v>
      </c>
      <c r="I234" s="121">
        <v>0.0</v>
      </c>
      <c r="J234" s="121">
        <v>0.0</v>
      </c>
      <c r="K234" s="117"/>
    </row>
    <row r="235" ht="15.75" customHeight="1">
      <c r="A235" s="122" t="s">
        <v>982</v>
      </c>
      <c r="B235" s="133" t="s">
        <v>983</v>
      </c>
      <c r="C235" s="120" t="s">
        <v>303</v>
      </c>
      <c r="D235" s="120" t="s">
        <v>375</v>
      </c>
      <c r="E235" s="120" t="s">
        <v>615</v>
      </c>
      <c r="F235" s="120" t="s">
        <v>306</v>
      </c>
      <c r="G235" s="120" t="s">
        <v>813</v>
      </c>
      <c r="H235" s="120">
        <v>3.0</v>
      </c>
      <c r="I235" s="121">
        <v>0.0</v>
      </c>
      <c r="J235" s="121">
        <v>1.33</v>
      </c>
      <c r="K235" s="117"/>
    </row>
    <row r="236" ht="15.75" customHeight="1">
      <c r="A236" s="122" t="s">
        <v>984</v>
      </c>
      <c r="B236" s="133" t="s">
        <v>985</v>
      </c>
      <c r="C236" s="120" t="s">
        <v>303</v>
      </c>
      <c r="D236" s="120" t="s">
        <v>375</v>
      </c>
      <c r="E236" s="120" t="s">
        <v>615</v>
      </c>
      <c r="F236" s="120" t="s">
        <v>306</v>
      </c>
      <c r="G236" s="120" t="s">
        <v>986</v>
      </c>
      <c r="H236" s="120">
        <v>3.0</v>
      </c>
      <c r="I236" s="121">
        <v>0.0</v>
      </c>
      <c r="J236" s="121">
        <v>1.33</v>
      </c>
      <c r="K236" s="117"/>
    </row>
    <row r="237" ht="15.75" customHeight="1">
      <c r="A237" s="122" t="s">
        <v>987</v>
      </c>
      <c r="B237" s="133" t="s">
        <v>988</v>
      </c>
      <c r="C237" s="120" t="s">
        <v>303</v>
      </c>
      <c r="D237" s="120" t="s">
        <v>663</v>
      </c>
      <c r="E237" s="120" t="s">
        <v>615</v>
      </c>
      <c r="F237" s="120" t="s">
        <v>306</v>
      </c>
      <c r="G237" s="120" t="s">
        <v>989</v>
      </c>
      <c r="H237" s="120">
        <v>3.0</v>
      </c>
      <c r="I237" s="121">
        <v>0.0</v>
      </c>
      <c r="J237" s="121">
        <v>0.67</v>
      </c>
      <c r="K237" s="117"/>
    </row>
    <row r="238" ht="15.75" customHeight="1">
      <c r="A238" s="122" t="s">
        <v>990</v>
      </c>
      <c r="B238" s="133" t="s">
        <v>991</v>
      </c>
      <c r="C238" s="120" t="s">
        <v>303</v>
      </c>
      <c r="D238" s="120" t="s">
        <v>663</v>
      </c>
      <c r="E238" s="120" t="s">
        <v>615</v>
      </c>
      <c r="F238" s="120" t="s">
        <v>306</v>
      </c>
      <c r="G238" s="120" t="s">
        <v>994</v>
      </c>
      <c r="H238" s="120">
        <v>3.0</v>
      </c>
      <c r="I238" s="121">
        <v>0.0</v>
      </c>
      <c r="J238" s="121">
        <v>0.67</v>
      </c>
      <c r="K238" s="117"/>
    </row>
    <row r="239" ht="15.75" customHeight="1">
      <c r="A239" s="122" t="s">
        <v>995</v>
      </c>
      <c r="B239" s="133" t="s">
        <v>996</v>
      </c>
      <c r="C239" s="120" t="s">
        <v>303</v>
      </c>
      <c r="D239" s="120" t="s">
        <v>655</v>
      </c>
      <c r="E239" s="120" t="s">
        <v>615</v>
      </c>
      <c r="F239" s="120" t="s">
        <v>306</v>
      </c>
      <c r="G239" s="120" t="s">
        <v>997</v>
      </c>
      <c r="H239" s="120">
        <v>3.0</v>
      </c>
      <c r="I239" s="121">
        <v>0.0</v>
      </c>
      <c r="J239" s="121">
        <v>0.33</v>
      </c>
      <c r="K239" s="117"/>
    </row>
    <row r="240" ht="15.75" customHeight="1">
      <c r="A240" s="122" t="s">
        <v>998</v>
      </c>
      <c r="B240" s="133" t="s">
        <v>999</v>
      </c>
      <c r="C240" s="120" t="s">
        <v>303</v>
      </c>
      <c r="D240" s="120" t="s">
        <v>704</v>
      </c>
      <c r="E240" s="120" t="s">
        <v>615</v>
      </c>
      <c r="F240" s="120" t="s">
        <v>306</v>
      </c>
      <c r="G240" s="120" t="s">
        <v>1000</v>
      </c>
      <c r="H240" s="120">
        <v>3.0</v>
      </c>
      <c r="I240" s="121">
        <v>0.0</v>
      </c>
      <c r="J240" s="121">
        <v>3.33</v>
      </c>
      <c r="K240" s="117"/>
    </row>
    <row r="241" ht="15.75" customHeight="1">
      <c r="A241" s="122" t="s">
        <v>1001</v>
      </c>
      <c r="B241" s="133" t="s">
        <v>1002</v>
      </c>
      <c r="C241" s="120" t="s">
        <v>303</v>
      </c>
      <c r="D241" s="120" t="s">
        <v>708</v>
      </c>
      <c r="E241" s="120" t="s">
        <v>615</v>
      </c>
      <c r="F241" s="120" t="s">
        <v>306</v>
      </c>
      <c r="G241" s="120" t="s">
        <v>1003</v>
      </c>
      <c r="H241" s="120">
        <v>3.0</v>
      </c>
      <c r="I241" s="121">
        <v>0.0</v>
      </c>
      <c r="J241" s="121">
        <v>0.67</v>
      </c>
      <c r="K241" s="117"/>
    </row>
    <row r="242" ht="15.75" customHeight="1">
      <c r="A242" s="122" t="s">
        <v>1004</v>
      </c>
      <c r="B242" s="133" t="s">
        <v>1005</v>
      </c>
      <c r="C242" s="120" t="s">
        <v>303</v>
      </c>
      <c r="D242" s="120" t="s">
        <v>614</v>
      </c>
      <c r="E242" s="120" t="s">
        <v>615</v>
      </c>
      <c r="F242" s="120" t="s">
        <v>306</v>
      </c>
      <c r="G242" s="120" t="s">
        <v>1006</v>
      </c>
      <c r="H242" s="120">
        <v>3.0</v>
      </c>
      <c r="I242" s="121">
        <v>0.0</v>
      </c>
      <c r="J242" s="121">
        <v>0.33</v>
      </c>
      <c r="K242" s="117"/>
    </row>
    <row r="243" ht="15.75" customHeight="1">
      <c r="A243" s="122" t="s">
        <v>1007</v>
      </c>
      <c r="B243" s="133" t="s">
        <v>1008</v>
      </c>
      <c r="C243" s="120" t="s">
        <v>303</v>
      </c>
      <c r="D243" s="120" t="s">
        <v>614</v>
      </c>
      <c r="E243" s="120" t="s">
        <v>615</v>
      </c>
      <c r="F243" s="120" t="s">
        <v>306</v>
      </c>
      <c r="G243" s="120" t="s">
        <v>1009</v>
      </c>
      <c r="H243" s="120">
        <v>3.0</v>
      </c>
      <c r="I243" s="121">
        <v>0.0</v>
      </c>
      <c r="J243" s="121">
        <v>1.33</v>
      </c>
      <c r="K243" s="117"/>
    </row>
    <row r="244" ht="15.75" customHeight="1">
      <c r="A244" s="122" t="s">
        <v>1010</v>
      </c>
      <c r="B244" s="133" t="s">
        <v>1011</v>
      </c>
      <c r="C244" s="120" t="s">
        <v>303</v>
      </c>
      <c r="D244" s="120" t="s">
        <v>614</v>
      </c>
      <c r="E244" s="120" t="s">
        <v>615</v>
      </c>
      <c r="F244" s="120" t="s">
        <v>306</v>
      </c>
      <c r="G244" s="120" t="s">
        <v>1014</v>
      </c>
      <c r="H244" s="120">
        <v>3.0</v>
      </c>
      <c r="I244" s="121">
        <v>0.0</v>
      </c>
      <c r="J244" s="121">
        <v>1.33</v>
      </c>
      <c r="K244" s="117"/>
    </row>
    <row r="245" ht="15.75" customHeight="1">
      <c r="A245" s="122" t="s">
        <v>1015</v>
      </c>
      <c r="B245" s="133" t="s">
        <v>1016</v>
      </c>
      <c r="C245" s="120" t="s">
        <v>303</v>
      </c>
      <c r="D245" s="120" t="s">
        <v>1017</v>
      </c>
      <c r="E245" s="120" t="s">
        <v>615</v>
      </c>
      <c r="F245" s="120" t="s">
        <v>306</v>
      </c>
      <c r="G245" s="120" t="s">
        <v>1018</v>
      </c>
      <c r="H245" s="120">
        <v>2.0</v>
      </c>
      <c r="I245" s="121">
        <v>0.0</v>
      </c>
      <c r="J245" s="121">
        <v>1.0</v>
      </c>
      <c r="K245" s="117"/>
    </row>
    <row r="246" ht="15.75" customHeight="1">
      <c r="A246" s="122" t="s">
        <v>1019</v>
      </c>
      <c r="B246" s="133" t="s">
        <v>1020</v>
      </c>
      <c r="C246" s="120" t="s">
        <v>303</v>
      </c>
      <c r="D246" s="120" t="s">
        <v>384</v>
      </c>
      <c r="E246" s="120" t="s">
        <v>615</v>
      </c>
      <c r="F246" s="120" t="s">
        <v>306</v>
      </c>
      <c r="G246" s="120" t="s">
        <v>1023</v>
      </c>
      <c r="H246" s="120">
        <v>2.0</v>
      </c>
      <c r="I246" s="121">
        <v>0.0</v>
      </c>
      <c r="J246" s="121">
        <v>0.0</v>
      </c>
      <c r="K246" s="117"/>
    </row>
    <row r="247" ht="15.75" customHeight="1">
      <c r="A247" s="122" t="s">
        <v>1024</v>
      </c>
      <c r="B247" s="133" t="s">
        <v>1025</v>
      </c>
      <c r="C247" s="120" t="s">
        <v>303</v>
      </c>
      <c r="D247" s="120" t="s">
        <v>384</v>
      </c>
      <c r="E247" s="120" t="s">
        <v>615</v>
      </c>
      <c r="F247" s="120" t="s">
        <v>306</v>
      </c>
      <c r="G247" s="120" t="s">
        <v>1026</v>
      </c>
      <c r="H247" s="120">
        <v>2.0</v>
      </c>
      <c r="I247" s="121">
        <v>0.0</v>
      </c>
      <c r="J247" s="121">
        <v>0.0</v>
      </c>
      <c r="K247" s="117"/>
    </row>
    <row r="248" ht="15.75" customHeight="1">
      <c r="A248" s="122" t="s">
        <v>1027</v>
      </c>
      <c r="B248" s="133" t="s">
        <v>1028</v>
      </c>
      <c r="C248" s="120" t="s">
        <v>303</v>
      </c>
      <c r="D248" s="120" t="s">
        <v>375</v>
      </c>
      <c r="E248" s="120" t="s">
        <v>615</v>
      </c>
      <c r="F248" s="120" t="s">
        <v>306</v>
      </c>
      <c r="G248" s="120" t="s">
        <v>813</v>
      </c>
      <c r="H248" s="120">
        <v>2.0</v>
      </c>
      <c r="I248" s="121">
        <v>0.0</v>
      </c>
      <c r="J248" s="121">
        <v>2.0</v>
      </c>
      <c r="K248" s="117"/>
    </row>
    <row r="249" ht="15.75" customHeight="1">
      <c r="A249" s="122" t="s">
        <v>1030</v>
      </c>
      <c r="B249" s="133" t="s">
        <v>1032</v>
      </c>
      <c r="C249" s="120" t="s">
        <v>303</v>
      </c>
      <c r="D249" s="120" t="s">
        <v>677</v>
      </c>
      <c r="E249" s="120" t="s">
        <v>615</v>
      </c>
      <c r="F249" s="120" t="s">
        <v>306</v>
      </c>
      <c r="G249" s="120" t="s">
        <v>1033</v>
      </c>
      <c r="H249" s="120">
        <v>2.0</v>
      </c>
      <c r="I249" s="121">
        <v>0.0</v>
      </c>
      <c r="J249" s="121">
        <v>0.0</v>
      </c>
      <c r="K249" s="117"/>
    </row>
    <row r="250" ht="15.75" customHeight="1">
      <c r="A250" s="122" t="s">
        <v>1034</v>
      </c>
      <c r="B250" s="133" t="s">
        <v>1035</v>
      </c>
      <c r="C250" s="120" t="s">
        <v>303</v>
      </c>
      <c r="D250" s="120" t="s">
        <v>663</v>
      </c>
      <c r="E250" s="120" t="s">
        <v>615</v>
      </c>
      <c r="F250" s="120" t="s">
        <v>306</v>
      </c>
      <c r="G250" s="120" t="s">
        <v>1036</v>
      </c>
      <c r="H250" s="120">
        <v>2.0</v>
      </c>
      <c r="I250" s="121">
        <v>0.0</v>
      </c>
      <c r="J250" s="121">
        <v>1.5</v>
      </c>
      <c r="K250" s="117"/>
    </row>
    <row r="251" ht="15.75" customHeight="1">
      <c r="A251" s="122" t="s">
        <v>1037</v>
      </c>
      <c r="B251" s="133" t="s">
        <v>1038</v>
      </c>
      <c r="C251" s="120" t="s">
        <v>303</v>
      </c>
      <c r="D251" s="120" t="s">
        <v>663</v>
      </c>
      <c r="E251" s="120" t="s">
        <v>615</v>
      </c>
      <c r="F251" s="120" t="s">
        <v>306</v>
      </c>
      <c r="G251" s="120" t="s">
        <v>1041</v>
      </c>
      <c r="H251" s="120">
        <v>2.0</v>
      </c>
      <c r="I251" s="121">
        <v>0.0</v>
      </c>
      <c r="J251" s="121">
        <v>1.5</v>
      </c>
      <c r="K251" s="117"/>
    </row>
    <row r="252" ht="15.75" customHeight="1">
      <c r="A252" s="122" t="s">
        <v>1042</v>
      </c>
      <c r="B252" s="133" t="s">
        <v>662</v>
      </c>
      <c r="C252" s="120" t="s">
        <v>303</v>
      </c>
      <c r="D252" s="120" t="s">
        <v>663</v>
      </c>
      <c r="E252" s="120" t="s">
        <v>615</v>
      </c>
      <c r="F252" s="120" t="s">
        <v>306</v>
      </c>
      <c r="G252" s="120" t="s">
        <v>664</v>
      </c>
      <c r="H252" s="120">
        <v>2.0</v>
      </c>
      <c r="I252" s="121">
        <v>0.0</v>
      </c>
      <c r="J252" s="121">
        <v>0.5</v>
      </c>
      <c r="K252" s="117"/>
    </row>
    <row r="253" ht="15.75" customHeight="1">
      <c r="A253" s="122" t="s">
        <v>1043</v>
      </c>
      <c r="B253" s="133" t="s">
        <v>1044</v>
      </c>
      <c r="C253" s="120" t="s">
        <v>303</v>
      </c>
      <c r="D253" s="120" t="s">
        <v>700</v>
      </c>
      <c r="E253" s="120" t="s">
        <v>615</v>
      </c>
      <c r="F253" s="120" t="s">
        <v>306</v>
      </c>
      <c r="G253" s="120" t="s">
        <v>1045</v>
      </c>
      <c r="H253" s="120">
        <v>2.0</v>
      </c>
      <c r="I253" s="121">
        <v>0.0</v>
      </c>
      <c r="J253" s="121">
        <v>1.5</v>
      </c>
      <c r="K253" s="117"/>
    </row>
    <row r="254" ht="15.75" customHeight="1">
      <c r="A254" s="122" t="s">
        <v>1048</v>
      </c>
      <c r="B254" s="133" t="s">
        <v>1049</v>
      </c>
      <c r="C254" s="120" t="s">
        <v>303</v>
      </c>
      <c r="D254" s="120" t="s">
        <v>1050</v>
      </c>
      <c r="E254" s="120" t="s">
        <v>615</v>
      </c>
      <c r="F254" s="120" t="s">
        <v>306</v>
      </c>
      <c r="G254" s="120" t="s">
        <v>1051</v>
      </c>
      <c r="H254" s="120">
        <v>2.0</v>
      </c>
      <c r="I254" s="121">
        <v>0.0</v>
      </c>
      <c r="J254" s="121">
        <v>3.0</v>
      </c>
      <c r="K254" s="117"/>
    </row>
    <row r="255" ht="15.75" customHeight="1">
      <c r="A255" s="122" t="s">
        <v>1052</v>
      </c>
      <c r="B255" s="133" t="s">
        <v>1053</v>
      </c>
      <c r="C255" s="120" t="s">
        <v>303</v>
      </c>
      <c r="D255" s="120" t="s">
        <v>655</v>
      </c>
      <c r="E255" s="120" t="s">
        <v>615</v>
      </c>
      <c r="F255" s="120" t="s">
        <v>306</v>
      </c>
      <c r="G255" s="120" t="s">
        <v>1054</v>
      </c>
      <c r="H255" s="120">
        <v>2.0</v>
      </c>
      <c r="I255" s="121">
        <v>0.0</v>
      </c>
      <c r="J255" s="121">
        <v>2.0</v>
      </c>
      <c r="K255" s="117"/>
    </row>
    <row r="256" ht="15.75" customHeight="1">
      <c r="A256" s="122" t="s">
        <v>1057</v>
      </c>
      <c r="B256" s="133" t="s">
        <v>1058</v>
      </c>
      <c r="C256" s="120" t="s">
        <v>303</v>
      </c>
      <c r="D256" s="120" t="s">
        <v>756</v>
      </c>
      <c r="E256" s="120" t="s">
        <v>615</v>
      </c>
      <c r="F256" s="120" t="s">
        <v>306</v>
      </c>
      <c r="G256" s="120" t="s">
        <v>1059</v>
      </c>
      <c r="H256" s="120">
        <v>2.0</v>
      </c>
      <c r="I256" s="121">
        <v>0.0</v>
      </c>
      <c r="J256" s="121">
        <v>3.0</v>
      </c>
      <c r="K256" s="117"/>
    </row>
    <row r="257" ht="15.75" customHeight="1">
      <c r="A257" s="122" t="s">
        <v>1060</v>
      </c>
      <c r="B257" s="133" t="s">
        <v>1061</v>
      </c>
      <c r="C257" s="120" t="s">
        <v>303</v>
      </c>
      <c r="D257" s="120" t="s">
        <v>379</v>
      </c>
      <c r="E257" s="120" t="s">
        <v>615</v>
      </c>
      <c r="F257" s="120" t="s">
        <v>306</v>
      </c>
      <c r="G257" s="120" t="s">
        <v>835</v>
      </c>
      <c r="H257" s="120">
        <v>2.0</v>
      </c>
      <c r="I257" s="121">
        <v>0.0</v>
      </c>
      <c r="J257" s="121">
        <v>2.0</v>
      </c>
      <c r="K257" s="117"/>
    </row>
    <row r="258" ht="15.75" customHeight="1">
      <c r="A258" s="122" t="s">
        <v>1062</v>
      </c>
      <c r="B258" s="133" t="s">
        <v>1063</v>
      </c>
      <c r="C258" s="120" t="s">
        <v>303</v>
      </c>
      <c r="D258" s="120" t="s">
        <v>1066</v>
      </c>
      <c r="E258" s="120" t="s">
        <v>615</v>
      </c>
      <c r="F258" s="120" t="s">
        <v>306</v>
      </c>
      <c r="G258" s="120" t="s">
        <v>1067</v>
      </c>
      <c r="H258" s="120">
        <v>2.0</v>
      </c>
      <c r="I258" s="121">
        <v>0.0</v>
      </c>
      <c r="J258" s="121">
        <v>1.0</v>
      </c>
      <c r="K258" s="117"/>
    </row>
    <row r="259" ht="15.75" customHeight="1">
      <c r="A259" s="122" t="s">
        <v>1068</v>
      </c>
      <c r="B259" s="133" t="s">
        <v>1069</v>
      </c>
      <c r="C259" s="120" t="s">
        <v>303</v>
      </c>
      <c r="D259" s="120" t="s">
        <v>667</v>
      </c>
      <c r="E259" s="120" t="s">
        <v>615</v>
      </c>
      <c r="F259" s="120" t="s">
        <v>306</v>
      </c>
      <c r="G259" s="120" t="s">
        <v>1070</v>
      </c>
      <c r="H259" s="120">
        <v>2.0</v>
      </c>
      <c r="I259" s="121">
        <v>0.0</v>
      </c>
      <c r="J259" s="121">
        <v>0.5</v>
      </c>
      <c r="K259" s="117"/>
    </row>
    <row r="260" ht="15.75" customHeight="1">
      <c r="A260" s="122" t="s">
        <v>1071</v>
      </c>
      <c r="B260" s="133" t="s">
        <v>1073</v>
      </c>
      <c r="C260" s="120" t="s">
        <v>303</v>
      </c>
      <c r="D260" s="120" t="s">
        <v>708</v>
      </c>
      <c r="E260" s="120" t="s">
        <v>615</v>
      </c>
      <c r="F260" s="120" t="s">
        <v>306</v>
      </c>
      <c r="G260" s="120" t="s">
        <v>1003</v>
      </c>
      <c r="H260" s="120">
        <v>2.0</v>
      </c>
      <c r="I260" s="121">
        <v>0.0</v>
      </c>
      <c r="J260" s="121">
        <v>1.0</v>
      </c>
      <c r="K260" s="117"/>
    </row>
    <row r="261" ht="15.75" customHeight="1">
      <c r="A261" s="122" t="s">
        <v>1074</v>
      </c>
      <c r="B261" s="133" t="s">
        <v>1075</v>
      </c>
      <c r="C261" s="120" t="s">
        <v>303</v>
      </c>
      <c r="D261" s="120" t="s">
        <v>745</v>
      </c>
      <c r="E261" s="120" t="s">
        <v>615</v>
      </c>
      <c r="F261" s="120" t="s">
        <v>306</v>
      </c>
      <c r="G261" s="120" t="s">
        <v>1076</v>
      </c>
      <c r="H261" s="120">
        <v>2.0</v>
      </c>
      <c r="I261" s="121">
        <v>0.0</v>
      </c>
      <c r="J261" s="121">
        <v>1.0</v>
      </c>
      <c r="K261" s="117"/>
    </row>
    <row r="262" ht="15.75" customHeight="1">
      <c r="A262" s="122" t="s">
        <v>1077</v>
      </c>
      <c r="B262" s="133" t="s">
        <v>1079</v>
      </c>
      <c r="C262" s="120" t="s">
        <v>303</v>
      </c>
      <c r="D262" s="120" t="s">
        <v>745</v>
      </c>
      <c r="E262" s="120" t="s">
        <v>615</v>
      </c>
      <c r="F262" s="120" t="s">
        <v>306</v>
      </c>
      <c r="G262" s="120" t="s">
        <v>1081</v>
      </c>
      <c r="H262" s="120">
        <v>2.0</v>
      </c>
      <c r="I262" s="121">
        <v>0.0</v>
      </c>
      <c r="J262" s="121">
        <v>3.5</v>
      </c>
      <c r="K262" s="117"/>
    </row>
    <row r="263" ht="15.75" customHeight="1">
      <c r="A263" s="122" t="s">
        <v>1082</v>
      </c>
      <c r="B263" s="133" t="s">
        <v>1083</v>
      </c>
      <c r="C263" s="120" t="s">
        <v>303</v>
      </c>
      <c r="D263" s="120" t="s">
        <v>503</v>
      </c>
      <c r="E263" s="120" t="s">
        <v>615</v>
      </c>
      <c r="F263" s="120" t="s">
        <v>306</v>
      </c>
      <c r="G263" s="120" t="s">
        <v>1084</v>
      </c>
      <c r="H263" s="120">
        <v>2.0</v>
      </c>
      <c r="I263" s="121">
        <v>0.0</v>
      </c>
      <c r="J263" s="121">
        <v>2.0</v>
      </c>
      <c r="K263" s="117"/>
    </row>
    <row r="264" ht="15.75" customHeight="1">
      <c r="A264" s="122" t="s">
        <v>1085</v>
      </c>
      <c r="B264" s="133" t="s">
        <v>1086</v>
      </c>
      <c r="C264" s="120" t="s">
        <v>303</v>
      </c>
      <c r="D264" s="120" t="s">
        <v>503</v>
      </c>
      <c r="E264" s="120" t="s">
        <v>615</v>
      </c>
      <c r="F264" s="120" t="s">
        <v>306</v>
      </c>
      <c r="G264" s="120" t="s">
        <v>1087</v>
      </c>
      <c r="H264" s="120">
        <v>2.0</v>
      </c>
      <c r="I264" s="121">
        <v>0.0</v>
      </c>
      <c r="J264" s="121">
        <v>1.0</v>
      </c>
      <c r="K264" s="117"/>
    </row>
    <row r="265" ht="15.75" customHeight="1">
      <c r="A265" s="122" t="s">
        <v>1088</v>
      </c>
      <c r="B265" s="133" t="s">
        <v>1089</v>
      </c>
      <c r="C265" s="120" t="s">
        <v>303</v>
      </c>
      <c r="D265" s="120" t="s">
        <v>614</v>
      </c>
      <c r="E265" s="120" t="s">
        <v>615</v>
      </c>
      <c r="F265" s="120" t="s">
        <v>306</v>
      </c>
      <c r="G265" s="120" t="s">
        <v>1090</v>
      </c>
      <c r="H265" s="120">
        <v>2.0</v>
      </c>
      <c r="I265" s="121">
        <v>0.0</v>
      </c>
      <c r="J265" s="121">
        <v>0.0</v>
      </c>
      <c r="K265" s="117"/>
    </row>
    <row r="266" ht="15.75" customHeight="1">
      <c r="A266" s="122" t="s">
        <v>1093</v>
      </c>
      <c r="B266" s="133" t="s">
        <v>1094</v>
      </c>
      <c r="C266" s="120" t="s">
        <v>303</v>
      </c>
      <c r="D266" s="120" t="s">
        <v>614</v>
      </c>
      <c r="E266" s="120" t="s">
        <v>615</v>
      </c>
      <c r="F266" s="120" t="s">
        <v>306</v>
      </c>
      <c r="G266" s="120" t="s">
        <v>1095</v>
      </c>
      <c r="H266" s="120">
        <v>2.0</v>
      </c>
      <c r="I266" s="121">
        <v>0.0</v>
      </c>
      <c r="J266" s="121">
        <v>3.0</v>
      </c>
      <c r="K266" s="117"/>
    </row>
    <row r="267" ht="15.75" customHeight="1">
      <c r="A267" s="122" t="s">
        <v>1096</v>
      </c>
      <c r="B267" s="133" t="s">
        <v>1097</v>
      </c>
      <c r="C267" s="120" t="s">
        <v>303</v>
      </c>
      <c r="D267" s="120" t="s">
        <v>614</v>
      </c>
      <c r="E267" s="120" t="s">
        <v>615</v>
      </c>
      <c r="F267" s="120" t="s">
        <v>306</v>
      </c>
      <c r="G267" s="120" t="s">
        <v>1098</v>
      </c>
      <c r="H267" s="120">
        <v>2.0</v>
      </c>
      <c r="I267" s="121">
        <v>0.0</v>
      </c>
      <c r="J267" s="121">
        <v>1.0</v>
      </c>
      <c r="K267" s="117"/>
    </row>
    <row r="268" ht="15.75" customHeight="1">
      <c r="A268" s="122" t="s">
        <v>1099</v>
      </c>
      <c r="B268" s="133" t="s">
        <v>1100</v>
      </c>
      <c r="C268" s="120" t="s">
        <v>303</v>
      </c>
      <c r="D268" s="120" t="s">
        <v>977</v>
      </c>
      <c r="E268" s="120" t="s">
        <v>615</v>
      </c>
      <c r="F268" s="120" t="s">
        <v>306</v>
      </c>
      <c r="G268" s="120" t="s">
        <v>1103</v>
      </c>
      <c r="H268" s="120">
        <v>1.0</v>
      </c>
      <c r="I268" s="121">
        <v>0.0</v>
      </c>
      <c r="J268" s="121">
        <v>1.0</v>
      </c>
      <c r="K268" s="117"/>
    </row>
    <row r="269" ht="15.75" customHeight="1">
      <c r="A269" s="122" t="s">
        <v>1104</v>
      </c>
      <c r="B269" s="133" t="s">
        <v>1105</v>
      </c>
      <c r="C269" s="120" t="s">
        <v>303</v>
      </c>
      <c r="D269" s="120" t="s">
        <v>977</v>
      </c>
      <c r="E269" s="120" t="s">
        <v>615</v>
      </c>
      <c r="F269" s="120" t="s">
        <v>306</v>
      </c>
      <c r="G269" s="120" t="s">
        <v>1106</v>
      </c>
      <c r="H269" s="120">
        <v>1.0</v>
      </c>
      <c r="I269" s="121">
        <v>0.0</v>
      </c>
      <c r="J269" s="121">
        <v>0.0</v>
      </c>
      <c r="K269" s="117"/>
    </row>
    <row r="270" ht="15.75" customHeight="1">
      <c r="A270" s="122" t="s">
        <v>1107</v>
      </c>
      <c r="B270" s="133" t="s">
        <v>1108</v>
      </c>
      <c r="C270" s="120" t="s">
        <v>303</v>
      </c>
      <c r="D270" s="120" t="s">
        <v>977</v>
      </c>
      <c r="E270" s="120" t="s">
        <v>615</v>
      </c>
      <c r="F270" s="120" t="s">
        <v>306</v>
      </c>
      <c r="G270" s="120" t="s">
        <v>1109</v>
      </c>
      <c r="H270" s="120">
        <v>1.0</v>
      </c>
      <c r="I270" s="121">
        <v>0.0</v>
      </c>
      <c r="J270" s="121">
        <v>1.0</v>
      </c>
      <c r="K270" s="117"/>
    </row>
    <row r="271" ht="15.75" customHeight="1">
      <c r="A271" s="122" t="s">
        <v>1112</v>
      </c>
      <c r="B271" s="133" t="s">
        <v>1113</v>
      </c>
      <c r="C271" s="120" t="s">
        <v>303</v>
      </c>
      <c r="D271" s="120" t="s">
        <v>648</v>
      </c>
      <c r="E271" s="120" t="s">
        <v>615</v>
      </c>
      <c r="F271" s="120" t="s">
        <v>306</v>
      </c>
      <c r="G271" s="120" t="s">
        <v>1114</v>
      </c>
      <c r="H271" s="120">
        <v>1.0</v>
      </c>
      <c r="I271" s="121">
        <v>0.0</v>
      </c>
      <c r="J271" s="121">
        <v>0.0</v>
      </c>
      <c r="K271" s="117"/>
    </row>
    <row r="272" ht="15.75" customHeight="1">
      <c r="A272" s="122" t="s">
        <v>1115</v>
      </c>
      <c r="B272" s="133" t="s">
        <v>1116</v>
      </c>
      <c r="C272" s="120" t="s">
        <v>303</v>
      </c>
      <c r="D272" s="120" t="s">
        <v>384</v>
      </c>
      <c r="E272" s="120" t="s">
        <v>615</v>
      </c>
      <c r="F272" s="120" t="s">
        <v>306</v>
      </c>
      <c r="G272" s="120" t="s">
        <v>1117</v>
      </c>
      <c r="H272" s="120">
        <v>1.0</v>
      </c>
      <c r="I272" s="121">
        <v>0.0</v>
      </c>
      <c r="J272" s="121">
        <v>2.0</v>
      </c>
      <c r="K272" s="117"/>
    </row>
    <row r="273" ht="15.75" customHeight="1">
      <c r="A273" s="122" t="s">
        <v>1118</v>
      </c>
      <c r="B273" s="133" t="s">
        <v>1119</v>
      </c>
      <c r="C273" s="120" t="s">
        <v>303</v>
      </c>
      <c r="D273" s="120" t="s">
        <v>375</v>
      </c>
      <c r="E273" s="120" t="s">
        <v>615</v>
      </c>
      <c r="F273" s="120" t="s">
        <v>306</v>
      </c>
      <c r="G273" s="120" t="s">
        <v>1121</v>
      </c>
      <c r="H273" s="120">
        <v>1.0</v>
      </c>
      <c r="I273" s="121">
        <v>0.0</v>
      </c>
      <c r="J273" s="121">
        <v>1.0</v>
      </c>
      <c r="K273" s="117"/>
    </row>
    <row r="274" ht="15.75" customHeight="1">
      <c r="A274" s="122" t="s">
        <v>1122</v>
      </c>
      <c r="B274" s="133" t="s">
        <v>1123</v>
      </c>
      <c r="C274" s="120" t="s">
        <v>303</v>
      </c>
      <c r="D274" s="120" t="s">
        <v>375</v>
      </c>
      <c r="E274" s="120" t="s">
        <v>615</v>
      </c>
      <c r="F274" s="120" t="s">
        <v>306</v>
      </c>
      <c r="G274" s="120" t="s">
        <v>1124</v>
      </c>
      <c r="H274" s="120">
        <v>1.0</v>
      </c>
      <c r="I274" s="121">
        <v>0.0</v>
      </c>
      <c r="J274" s="121">
        <v>1.0</v>
      </c>
      <c r="K274" s="117"/>
    </row>
    <row r="275" ht="15.75" customHeight="1">
      <c r="A275" s="122" t="s">
        <v>1125</v>
      </c>
      <c r="B275" s="133" t="s">
        <v>1126</v>
      </c>
      <c r="C275" s="120" t="s">
        <v>303</v>
      </c>
      <c r="D275" s="120" t="s">
        <v>375</v>
      </c>
      <c r="E275" s="120" t="s">
        <v>615</v>
      </c>
      <c r="F275" s="120" t="s">
        <v>306</v>
      </c>
      <c r="G275" s="120" t="s">
        <v>1127</v>
      </c>
      <c r="H275" s="120">
        <v>1.0</v>
      </c>
      <c r="I275" s="121">
        <v>0.0</v>
      </c>
      <c r="J275" s="121">
        <v>1.0</v>
      </c>
      <c r="K275" s="117"/>
    </row>
    <row r="276" ht="15.75" customHeight="1">
      <c r="A276" s="122" t="s">
        <v>1128</v>
      </c>
      <c r="B276" s="133" t="s">
        <v>1129</v>
      </c>
      <c r="C276" s="120" t="s">
        <v>303</v>
      </c>
      <c r="D276" s="120" t="s">
        <v>375</v>
      </c>
      <c r="E276" s="120" t="s">
        <v>615</v>
      </c>
      <c r="F276" s="120" t="s">
        <v>306</v>
      </c>
      <c r="G276" s="120" t="s">
        <v>1132</v>
      </c>
      <c r="H276" s="120">
        <v>1.0</v>
      </c>
      <c r="I276" s="121">
        <v>0.0</v>
      </c>
      <c r="J276" s="121">
        <v>1.0</v>
      </c>
      <c r="K276" s="117"/>
    </row>
    <row r="277" ht="15.75" customHeight="1">
      <c r="A277" s="122" t="s">
        <v>1133</v>
      </c>
      <c r="B277" s="133" t="s">
        <v>1134</v>
      </c>
      <c r="C277" s="120" t="s">
        <v>303</v>
      </c>
      <c r="D277" s="120" t="s">
        <v>375</v>
      </c>
      <c r="E277" s="120" t="s">
        <v>615</v>
      </c>
      <c r="F277" s="120" t="s">
        <v>306</v>
      </c>
      <c r="G277" s="120" t="s">
        <v>820</v>
      </c>
      <c r="H277" s="120">
        <v>1.0</v>
      </c>
      <c r="I277" s="121">
        <v>0.0</v>
      </c>
      <c r="J277" s="121">
        <v>1.0</v>
      </c>
      <c r="K277" s="117"/>
    </row>
    <row r="278" ht="15.75" customHeight="1">
      <c r="A278" s="122" t="s">
        <v>1135</v>
      </c>
      <c r="B278" s="133" t="s">
        <v>1136</v>
      </c>
      <c r="C278" s="120" t="s">
        <v>303</v>
      </c>
      <c r="D278" s="120" t="s">
        <v>375</v>
      </c>
      <c r="E278" s="120" t="s">
        <v>615</v>
      </c>
      <c r="F278" s="120" t="s">
        <v>306</v>
      </c>
      <c r="G278" s="120" t="s">
        <v>1137</v>
      </c>
      <c r="H278" s="120">
        <v>1.0</v>
      </c>
      <c r="I278" s="121">
        <v>0.0</v>
      </c>
      <c r="J278" s="121">
        <v>1.0</v>
      </c>
      <c r="K278" s="117"/>
    </row>
    <row r="279" ht="15.75" customHeight="1">
      <c r="A279" s="122" t="s">
        <v>1140</v>
      </c>
      <c r="B279" s="133" t="s">
        <v>1141</v>
      </c>
      <c r="C279" s="120" t="s">
        <v>303</v>
      </c>
      <c r="D279" s="120" t="s">
        <v>375</v>
      </c>
      <c r="E279" s="120" t="s">
        <v>615</v>
      </c>
      <c r="F279" s="120" t="s">
        <v>306</v>
      </c>
      <c r="G279" s="120" t="s">
        <v>813</v>
      </c>
      <c r="H279" s="120">
        <v>1.0</v>
      </c>
      <c r="I279" s="121">
        <v>0.0</v>
      </c>
      <c r="J279" s="121">
        <v>1.0</v>
      </c>
      <c r="K279" s="117"/>
    </row>
    <row r="280" ht="15.75" customHeight="1">
      <c r="A280" s="122" t="s">
        <v>1142</v>
      </c>
      <c r="B280" s="133" t="s">
        <v>1143</v>
      </c>
      <c r="C280" s="120" t="s">
        <v>303</v>
      </c>
      <c r="D280" s="120" t="s">
        <v>375</v>
      </c>
      <c r="E280" s="120" t="s">
        <v>615</v>
      </c>
      <c r="F280" s="120" t="s">
        <v>306</v>
      </c>
      <c r="G280" s="120" t="s">
        <v>1144</v>
      </c>
      <c r="H280" s="120">
        <v>1.0</v>
      </c>
      <c r="I280" s="121">
        <v>0.0</v>
      </c>
      <c r="J280" s="121">
        <v>1.0</v>
      </c>
      <c r="K280" s="117"/>
    </row>
    <row r="281" ht="15.75" customHeight="1">
      <c r="A281" s="122" t="s">
        <v>1145</v>
      </c>
      <c r="B281" s="133" t="s">
        <v>1146</v>
      </c>
      <c r="C281" s="120" t="s">
        <v>303</v>
      </c>
      <c r="D281" s="120" t="s">
        <v>375</v>
      </c>
      <c r="E281" s="120" t="s">
        <v>615</v>
      </c>
      <c r="F281" s="120" t="s">
        <v>306</v>
      </c>
      <c r="G281" s="120" t="s">
        <v>1144</v>
      </c>
      <c r="H281" s="120">
        <v>1.0</v>
      </c>
      <c r="I281" s="121">
        <v>0.0</v>
      </c>
      <c r="J281" s="121">
        <v>1.0</v>
      </c>
      <c r="K281" s="117"/>
    </row>
    <row r="282" ht="15.75" customHeight="1">
      <c r="A282" s="122" t="s">
        <v>1149</v>
      </c>
      <c r="B282" s="133" t="s">
        <v>934</v>
      </c>
      <c r="C282" s="120" t="s">
        <v>303</v>
      </c>
      <c r="D282" s="120" t="s">
        <v>677</v>
      </c>
      <c r="E282" s="120" t="s">
        <v>615</v>
      </c>
      <c r="F282" s="120" t="s">
        <v>306</v>
      </c>
      <c r="G282" s="120" t="s">
        <v>935</v>
      </c>
      <c r="H282" s="120">
        <v>1.0</v>
      </c>
      <c r="I282" s="121">
        <v>0.0</v>
      </c>
      <c r="J282" s="121">
        <v>3.0</v>
      </c>
      <c r="K282" s="117"/>
    </row>
    <row r="283" ht="15.75" customHeight="1">
      <c r="A283" s="122" t="s">
        <v>1150</v>
      </c>
      <c r="B283" s="133" t="s">
        <v>1151</v>
      </c>
      <c r="C283" s="120" t="s">
        <v>303</v>
      </c>
      <c r="D283" s="120" t="s">
        <v>677</v>
      </c>
      <c r="E283" s="120" t="s">
        <v>615</v>
      </c>
      <c r="F283" s="120" t="s">
        <v>306</v>
      </c>
      <c r="G283" s="120" t="s">
        <v>1152</v>
      </c>
      <c r="H283" s="120">
        <v>1.0</v>
      </c>
      <c r="I283" s="121">
        <v>0.0</v>
      </c>
      <c r="J283" s="121">
        <v>3.0</v>
      </c>
      <c r="K283" s="117"/>
    </row>
    <row r="284" ht="15.75" customHeight="1">
      <c r="A284" s="122" t="s">
        <v>1155</v>
      </c>
      <c r="B284" s="133" t="s">
        <v>1156</v>
      </c>
      <c r="C284" s="120" t="s">
        <v>303</v>
      </c>
      <c r="D284" s="120" t="s">
        <v>677</v>
      </c>
      <c r="E284" s="120" t="s">
        <v>615</v>
      </c>
      <c r="F284" s="120" t="s">
        <v>306</v>
      </c>
      <c r="G284" s="120" t="s">
        <v>1157</v>
      </c>
      <c r="H284" s="120">
        <v>1.0</v>
      </c>
      <c r="I284" s="121">
        <v>0.0</v>
      </c>
      <c r="J284" s="121">
        <v>1.0</v>
      </c>
      <c r="K284" s="117"/>
    </row>
    <row r="285" ht="15.75" customHeight="1">
      <c r="A285" s="122" t="s">
        <v>1158</v>
      </c>
      <c r="B285" s="133" t="s">
        <v>1159</v>
      </c>
      <c r="C285" s="120" t="s">
        <v>303</v>
      </c>
      <c r="D285" s="120" t="s">
        <v>663</v>
      </c>
      <c r="E285" s="120" t="s">
        <v>615</v>
      </c>
      <c r="F285" s="120" t="s">
        <v>306</v>
      </c>
      <c r="G285" s="120" t="s">
        <v>1160</v>
      </c>
      <c r="H285" s="120">
        <v>1.0</v>
      </c>
      <c r="I285" s="121">
        <v>0.0</v>
      </c>
      <c r="J285" s="121">
        <v>1.0</v>
      </c>
      <c r="K285" s="117"/>
    </row>
    <row r="286" ht="15.75" customHeight="1">
      <c r="A286" s="122" t="s">
        <v>1161</v>
      </c>
      <c r="B286" s="133" t="s">
        <v>1162</v>
      </c>
      <c r="C286" s="120" t="s">
        <v>303</v>
      </c>
      <c r="D286" s="120" t="s">
        <v>663</v>
      </c>
      <c r="E286" s="120" t="s">
        <v>615</v>
      </c>
      <c r="F286" s="120" t="s">
        <v>306</v>
      </c>
      <c r="G286" s="120" t="s">
        <v>1163</v>
      </c>
      <c r="H286" s="120">
        <v>1.0</v>
      </c>
      <c r="I286" s="121">
        <v>0.0</v>
      </c>
      <c r="J286" s="121">
        <v>1.0</v>
      </c>
      <c r="K286" s="117"/>
    </row>
    <row r="287" ht="15.75" customHeight="1">
      <c r="A287" s="122" t="s">
        <v>1164</v>
      </c>
      <c r="B287" s="133" t="s">
        <v>1165</v>
      </c>
      <c r="C287" s="120" t="s">
        <v>303</v>
      </c>
      <c r="D287" s="120" t="s">
        <v>344</v>
      </c>
      <c r="E287" s="120" t="s">
        <v>615</v>
      </c>
      <c r="F287" s="120" t="s">
        <v>306</v>
      </c>
      <c r="G287" s="120" t="s">
        <v>1166</v>
      </c>
      <c r="H287" s="120">
        <v>1.0</v>
      </c>
      <c r="I287" s="121">
        <v>0.0</v>
      </c>
      <c r="J287" s="121">
        <v>1.0</v>
      </c>
      <c r="K287" s="117"/>
    </row>
    <row r="288" ht="15.75" customHeight="1">
      <c r="A288" s="122" t="s">
        <v>1167</v>
      </c>
      <c r="B288" s="133" t="s">
        <v>1168</v>
      </c>
      <c r="C288" s="120" t="s">
        <v>303</v>
      </c>
      <c r="D288" s="120" t="s">
        <v>344</v>
      </c>
      <c r="E288" s="120" t="s">
        <v>615</v>
      </c>
      <c r="F288" s="120" t="s">
        <v>306</v>
      </c>
      <c r="G288" s="120" t="s">
        <v>1169</v>
      </c>
      <c r="H288" s="120">
        <v>1.0</v>
      </c>
      <c r="I288" s="121">
        <v>0.0</v>
      </c>
      <c r="J288" s="121">
        <v>1.0</v>
      </c>
      <c r="K288" s="117"/>
    </row>
    <row r="289" ht="15.75" customHeight="1">
      <c r="A289" s="122" t="s">
        <v>1170</v>
      </c>
      <c r="B289" s="133" t="s">
        <v>1171</v>
      </c>
      <c r="C289" s="120" t="s">
        <v>303</v>
      </c>
      <c r="D289" s="120" t="s">
        <v>700</v>
      </c>
      <c r="E289" s="120" t="s">
        <v>615</v>
      </c>
      <c r="F289" s="120" t="s">
        <v>306</v>
      </c>
      <c r="G289" s="120" t="s">
        <v>1172</v>
      </c>
      <c r="H289" s="120">
        <v>1.0</v>
      </c>
      <c r="I289" s="121">
        <v>0.0</v>
      </c>
      <c r="J289" s="121">
        <v>1.0</v>
      </c>
      <c r="K289" s="117"/>
    </row>
    <row r="290" ht="15.75" customHeight="1">
      <c r="A290" s="122" t="s">
        <v>1173</v>
      </c>
      <c r="B290" s="133" t="s">
        <v>1174</v>
      </c>
      <c r="C290" s="120" t="s">
        <v>303</v>
      </c>
      <c r="D290" s="120" t="s">
        <v>700</v>
      </c>
      <c r="E290" s="120" t="s">
        <v>615</v>
      </c>
      <c r="F290" s="120" t="s">
        <v>306</v>
      </c>
      <c r="G290" s="120" t="s">
        <v>1175</v>
      </c>
      <c r="H290" s="120">
        <v>1.0</v>
      </c>
      <c r="I290" s="121">
        <v>0.0</v>
      </c>
      <c r="J290" s="121">
        <v>1.0</v>
      </c>
      <c r="K290" s="117"/>
    </row>
    <row r="291" ht="15.75" customHeight="1">
      <c r="A291" s="122" t="s">
        <v>1176</v>
      </c>
      <c r="B291" s="133" t="s">
        <v>1177</v>
      </c>
      <c r="C291" s="120" t="s">
        <v>303</v>
      </c>
      <c r="D291" s="120" t="s">
        <v>1178</v>
      </c>
      <c r="E291" s="120" t="s">
        <v>615</v>
      </c>
      <c r="F291" s="120" t="s">
        <v>306</v>
      </c>
      <c r="G291" s="120" t="s">
        <v>1179</v>
      </c>
      <c r="H291" s="120">
        <v>1.0</v>
      </c>
      <c r="I291" s="121">
        <v>0.0</v>
      </c>
      <c r="J291" s="121">
        <v>1.0</v>
      </c>
      <c r="K291" s="117"/>
    </row>
    <row r="292" ht="15.75" customHeight="1">
      <c r="A292" s="122" t="s">
        <v>1180</v>
      </c>
      <c r="B292" s="133" t="s">
        <v>1181</v>
      </c>
      <c r="C292" s="120" t="s">
        <v>303</v>
      </c>
      <c r="D292" s="120" t="s">
        <v>1182</v>
      </c>
      <c r="E292" s="120" t="s">
        <v>615</v>
      </c>
      <c r="F292" s="120" t="s">
        <v>306</v>
      </c>
      <c r="G292" s="120" t="s">
        <v>1183</v>
      </c>
      <c r="H292" s="120">
        <v>1.0</v>
      </c>
      <c r="I292" s="121">
        <v>0.0</v>
      </c>
      <c r="J292" s="121">
        <v>1.0</v>
      </c>
      <c r="K292" s="117"/>
    </row>
    <row r="293" ht="15.75" customHeight="1">
      <c r="A293" s="122" t="s">
        <v>1184</v>
      </c>
      <c r="B293" s="133" t="s">
        <v>1185</v>
      </c>
      <c r="C293" s="120" t="s">
        <v>303</v>
      </c>
      <c r="D293" s="120" t="s">
        <v>1182</v>
      </c>
      <c r="E293" s="120" t="s">
        <v>615</v>
      </c>
      <c r="F293" s="120" t="s">
        <v>306</v>
      </c>
      <c r="G293" s="120" t="s">
        <v>1186</v>
      </c>
      <c r="H293" s="120">
        <v>1.0</v>
      </c>
      <c r="I293" s="121">
        <v>0.0</v>
      </c>
      <c r="J293" s="121">
        <v>0.0</v>
      </c>
      <c r="K293" s="117"/>
    </row>
    <row r="294" ht="15.75" customHeight="1">
      <c r="A294" s="122" t="s">
        <v>1187</v>
      </c>
      <c r="B294" s="133" t="s">
        <v>1188</v>
      </c>
      <c r="C294" s="120" t="s">
        <v>303</v>
      </c>
      <c r="D294" s="120" t="s">
        <v>1182</v>
      </c>
      <c r="E294" s="120" t="s">
        <v>615</v>
      </c>
      <c r="F294" s="120" t="s">
        <v>306</v>
      </c>
      <c r="G294" s="120" t="s">
        <v>1189</v>
      </c>
      <c r="H294" s="120">
        <v>1.0</v>
      </c>
      <c r="I294" s="121">
        <v>0.0</v>
      </c>
      <c r="J294" s="121">
        <v>1.0</v>
      </c>
      <c r="K294" s="117"/>
    </row>
    <row r="295" ht="15.75" customHeight="1">
      <c r="A295" s="122" t="s">
        <v>1190</v>
      </c>
      <c r="B295" s="133" t="s">
        <v>1191</v>
      </c>
      <c r="C295" s="120" t="s">
        <v>303</v>
      </c>
      <c r="D295" s="120" t="s">
        <v>1050</v>
      </c>
      <c r="E295" s="120" t="s">
        <v>615</v>
      </c>
      <c r="F295" s="120" t="s">
        <v>306</v>
      </c>
      <c r="G295" s="120" t="s">
        <v>1192</v>
      </c>
      <c r="H295" s="120">
        <v>1.0</v>
      </c>
      <c r="I295" s="121">
        <v>0.0</v>
      </c>
      <c r="J295" s="121">
        <v>0.0</v>
      </c>
      <c r="K295" s="117"/>
    </row>
    <row r="296" ht="15.75" customHeight="1">
      <c r="A296" s="122" t="s">
        <v>1193</v>
      </c>
      <c r="B296" s="133" t="s">
        <v>1194</v>
      </c>
      <c r="C296" s="120" t="s">
        <v>303</v>
      </c>
      <c r="D296" s="120" t="s">
        <v>655</v>
      </c>
      <c r="E296" s="120" t="s">
        <v>615</v>
      </c>
      <c r="F296" s="120" t="s">
        <v>306</v>
      </c>
      <c r="G296" s="120" t="s">
        <v>1195</v>
      </c>
      <c r="H296" s="120">
        <v>1.0</v>
      </c>
      <c r="I296" s="121">
        <v>0.0</v>
      </c>
      <c r="J296" s="121">
        <v>0.0</v>
      </c>
      <c r="K296" s="117"/>
    </row>
    <row r="297" ht="15.75" customHeight="1">
      <c r="A297" s="122" t="s">
        <v>1196</v>
      </c>
      <c r="B297" s="133" t="s">
        <v>1197</v>
      </c>
      <c r="C297" s="120" t="s">
        <v>303</v>
      </c>
      <c r="D297" s="120" t="s">
        <v>655</v>
      </c>
      <c r="E297" s="120" t="s">
        <v>615</v>
      </c>
      <c r="F297" s="120" t="s">
        <v>306</v>
      </c>
      <c r="G297" s="120" t="s">
        <v>1198</v>
      </c>
      <c r="H297" s="120">
        <v>1.0</v>
      </c>
      <c r="I297" s="121">
        <v>0.0</v>
      </c>
      <c r="J297" s="121">
        <v>1.0</v>
      </c>
      <c r="K297" s="117"/>
    </row>
    <row r="298" ht="15.75" customHeight="1">
      <c r="A298" s="122" t="s">
        <v>1199</v>
      </c>
      <c r="B298" s="133" t="s">
        <v>1200</v>
      </c>
      <c r="C298" s="120" t="s">
        <v>303</v>
      </c>
      <c r="D298" s="120" t="s">
        <v>655</v>
      </c>
      <c r="E298" s="120" t="s">
        <v>615</v>
      </c>
      <c r="F298" s="120" t="s">
        <v>306</v>
      </c>
      <c r="G298" s="120" t="s">
        <v>1202</v>
      </c>
      <c r="H298" s="120">
        <v>1.0</v>
      </c>
      <c r="I298" s="121">
        <v>0.0</v>
      </c>
      <c r="J298" s="121">
        <v>1.0</v>
      </c>
      <c r="K298" s="117"/>
    </row>
    <row r="299" ht="15.75" customHeight="1">
      <c r="A299" s="122" t="s">
        <v>1203</v>
      </c>
      <c r="B299" s="133" t="s">
        <v>1204</v>
      </c>
      <c r="C299" s="120" t="s">
        <v>303</v>
      </c>
      <c r="D299" s="120" t="s">
        <v>655</v>
      </c>
      <c r="E299" s="120" t="s">
        <v>615</v>
      </c>
      <c r="F299" s="120" t="s">
        <v>306</v>
      </c>
      <c r="G299" s="120" t="s">
        <v>1205</v>
      </c>
      <c r="H299" s="120">
        <v>1.0</v>
      </c>
      <c r="I299" s="121">
        <v>0.0</v>
      </c>
      <c r="J299" s="121">
        <v>0.0</v>
      </c>
      <c r="K299" s="117"/>
    </row>
    <row r="300" ht="15.75" customHeight="1">
      <c r="A300" s="122" t="s">
        <v>1206</v>
      </c>
      <c r="B300" s="133" t="s">
        <v>1207</v>
      </c>
      <c r="C300" s="120" t="s">
        <v>303</v>
      </c>
      <c r="D300" s="120" t="s">
        <v>838</v>
      </c>
      <c r="E300" s="120" t="s">
        <v>615</v>
      </c>
      <c r="F300" s="120" t="s">
        <v>306</v>
      </c>
      <c r="G300" s="120" t="s">
        <v>1208</v>
      </c>
      <c r="H300" s="120">
        <v>1.0</v>
      </c>
      <c r="I300" s="121">
        <v>0.0</v>
      </c>
      <c r="J300" s="121">
        <v>1.0</v>
      </c>
      <c r="K300" s="117"/>
    </row>
    <row r="301" ht="15.75" customHeight="1">
      <c r="A301" s="122" t="s">
        <v>1209</v>
      </c>
      <c r="B301" s="133" t="s">
        <v>1210</v>
      </c>
      <c r="C301" s="120" t="s">
        <v>303</v>
      </c>
      <c r="D301" s="120" t="s">
        <v>838</v>
      </c>
      <c r="E301" s="120" t="s">
        <v>615</v>
      </c>
      <c r="F301" s="120" t="s">
        <v>306</v>
      </c>
      <c r="G301" s="120" t="s">
        <v>1211</v>
      </c>
      <c r="H301" s="120">
        <v>1.0</v>
      </c>
      <c r="I301" s="121">
        <v>0.0</v>
      </c>
      <c r="J301" s="121">
        <v>1.0</v>
      </c>
      <c r="K301" s="117"/>
    </row>
    <row r="302" ht="15.75" customHeight="1">
      <c r="A302" s="122" t="s">
        <v>1212</v>
      </c>
      <c r="B302" s="133" t="s">
        <v>1213</v>
      </c>
      <c r="C302" s="120" t="s">
        <v>303</v>
      </c>
      <c r="D302" s="120" t="s">
        <v>684</v>
      </c>
      <c r="E302" s="120" t="s">
        <v>615</v>
      </c>
      <c r="F302" s="120" t="s">
        <v>306</v>
      </c>
      <c r="G302" s="120" t="s">
        <v>1214</v>
      </c>
      <c r="H302" s="120">
        <v>1.0</v>
      </c>
      <c r="I302" s="121">
        <v>0.0</v>
      </c>
      <c r="J302" s="121">
        <v>1.0</v>
      </c>
      <c r="K302" s="117"/>
    </row>
    <row r="303" ht="15.75" customHeight="1">
      <c r="A303" s="122" t="s">
        <v>1215</v>
      </c>
      <c r="B303" s="133" t="s">
        <v>1216</v>
      </c>
      <c r="C303" s="120" t="s">
        <v>303</v>
      </c>
      <c r="D303" s="120" t="s">
        <v>684</v>
      </c>
      <c r="E303" s="120" t="s">
        <v>615</v>
      </c>
      <c r="F303" s="120" t="s">
        <v>306</v>
      </c>
      <c r="G303" s="120" t="s">
        <v>1219</v>
      </c>
      <c r="H303" s="120">
        <v>1.0</v>
      </c>
      <c r="I303" s="121">
        <v>0.0</v>
      </c>
      <c r="J303" s="121">
        <v>1.0</v>
      </c>
      <c r="K303" s="117"/>
    </row>
    <row r="304" ht="15.75" customHeight="1">
      <c r="A304" s="122" t="s">
        <v>1220</v>
      </c>
      <c r="B304" s="133" t="s">
        <v>1221</v>
      </c>
      <c r="C304" s="120" t="s">
        <v>303</v>
      </c>
      <c r="D304" s="120" t="s">
        <v>684</v>
      </c>
      <c r="E304" s="120" t="s">
        <v>615</v>
      </c>
      <c r="F304" s="120" t="s">
        <v>306</v>
      </c>
      <c r="G304" s="120" t="s">
        <v>1222</v>
      </c>
      <c r="H304" s="120">
        <v>1.0</v>
      </c>
      <c r="I304" s="121">
        <v>0.0</v>
      </c>
      <c r="J304" s="121">
        <v>3.0</v>
      </c>
      <c r="K304" s="117"/>
    </row>
    <row r="305" ht="15.75" customHeight="1">
      <c r="A305" s="122" t="s">
        <v>1223</v>
      </c>
      <c r="B305" s="133" t="s">
        <v>1224</v>
      </c>
      <c r="C305" s="120" t="s">
        <v>303</v>
      </c>
      <c r="D305" s="120" t="s">
        <v>684</v>
      </c>
      <c r="E305" s="120" t="s">
        <v>615</v>
      </c>
      <c r="F305" s="120" t="s">
        <v>306</v>
      </c>
      <c r="G305" s="120" t="s">
        <v>1226</v>
      </c>
      <c r="H305" s="120">
        <v>1.0</v>
      </c>
      <c r="I305" s="121">
        <v>0.0</v>
      </c>
      <c r="J305" s="121">
        <v>1.0</v>
      </c>
      <c r="K305" s="117"/>
    </row>
    <row r="306" ht="15.75" customHeight="1">
      <c r="A306" s="122" t="s">
        <v>1227</v>
      </c>
      <c r="B306" s="133" t="s">
        <v>1228</v>
      </c>
      <c r="C306" s="120" t="s">
        <v>303</v>
      </c>
      <c r="D306" s="120" t="s">
        <v>684</v>
      </c>
      <c r="E306" s="120" t="s">
        <v>615</v>
      </c>
      <c r="F306" s="120" t="s">
        <v>306</v>
      </c>
      <c r="G306" s="120" t="s">
        <v>1229</v>
      </c>
      <c r="H306" s="120">
        <v>1.0</v>
      </c>
      <c r="I306" s="121">
        <v>0.0</v>
      </c>
      <c r="J306" s="121">
        <v>0.0</v>
      </c>
      <c r="K306" s="117"/>
    </row>
    <row r="307" ht="15.75" customHeight="1">
      <c r="A307" s="122" t="s">
        <v>1230</v>
      </c>
      <c r="B307" s="133" t="s">
        <v>1231</v>
      </c>
      <c r="C307" s="120" t="s">
        <v>303</v>
      </c>
      <c r="D307" s="120" t="s">
        <v>684</v>
      </c>
      <c r="E307" s="120" t="s">
        <v>615</v>
      </c>
      <c r="F307" s="120" t="s">
        <v>306</v>
      </c>
      <c r="G307" s="120" t="s">
        <v>1233</v>
      </c>
      <c r="H307" s="120">
        <v>1.0</v>
      </c>
      <c r="I307" s="121">
        <v>0.0</v>
      </c>
      <c r="J307" s="121">
        <v>1.0</v>
      </c>
      <c r="K307" s="117"/>
    </row>
    <row r="308" ht="15.75" customHeight="1">
      <c r="A308" s="122" t="s">
        <v>1234</v>
      </c>
      <c r="B308" s="133" t="s">
        <v>1235</v>
      </c>
      <c r="C308" s="120" t="s">
        <v>303</v>
      </c>
      <c r="D308" s="120" t="s">
        <v>684</v>
      </c>
      <c r="E308" s="120" t="s">
        <v>615</v>
      </c>
      <c r="F308" s="120" t="s">
        <v>306</v>
      </c>
      <c r="G308" s="120" t="s">
        <v>1236</v>
      </c>
      <c r="H308" s="120">
        <v>1.0</v>
      </c>
      <c r="I308" s="121">
        <v>0.0</v>
      </c>
      <c r="J308" s="121">
        <v>0.0</v>
      </c>
      <c r="K308" s="117"/>
    </row>
    <row r="309" ht="15.75" customHeight="1">
      <c r="A309" s="122" t="s">
        <v>1237</v>
      </c>
      <c r="B309" s="133" t="s">
        <v>1238</v>
      </c>
      <c r="C309" s="120" t="s">
        <v>303</v>
      </c>
      <c r="D309" s="120" t="s">
        <v>1092</v>
      </c>
      <c r="E309" s="120" t="s">
        <v>615</v>
      </c>
      <c r="F309" s="120" t="s">
        <v>306</v>
      </c>
      <c r="G309" s="120" t="s">
        <v>1239</v>
      </c>
      <c r="H309" s="120">
        <v>1.0</v>
      </c>
      <c r="I309" s="121">
        <v>0.0</v>
      </c>
      <c r="J309" s="121">
        <v>1.0</v>
      </c>
      <c r="K309" s="117"/>
    </row>
    <row r="310" ht="15.75" customHeight="1">
      <c r="A310" s="122" t="s">
        <v>1240</v>
      </c>
      <c r="B310" s="133" t="s">
        <v>1241</v>
      </c>
      <c r="C310" s="120" t="s">
        <v>303</v>
      </c>
      <c r="D310" s="120" t="s">
        <v>1242</v>
      </c>
      <c r="E310" s="120" t="s">
        <v>615</v>
      </c>
      <c r="F310" s="120" t="s">
        <v>306</v>
      </c>
      <c r="G310" s="120" t="s">
        <v>1243</v>
      </c>
      <c r="H310" s="120">
        <v>1.0</v>
      </c>
      <c r="I310" s="121">
        <v>0.0</v>
      </c>
      <c r="J310" s="121">
        <v>1.0</v>
      </c>
      <c r="K310" s="117"/>
    </row>
    <row r="311" ht="15.75" customHeight="1">
      <c r="A311" s="122" t="s">
        <v>1244</v>
      </c>
      <c r="B311" s="133" t="s">
        <v>1245</v>
      </c>
      <c r="C311" s="120" t="s">
        <v>303</v>
      </c>
      <c r="D311" s="120" t="s">
        <v>304</v>
      </c>
      <c r="E311" s="120" t="s">
        <v>615</v>
      </c>
      <c r="F311" s="120" t="s">
        <v>306</v>
      </c>
      <c r="G311" s="120" t="s">
        <v>1248</v>
      </c>
      <c r="H311" s="120">
        <v>1.0</v>
      </c>
      <c r="I311" s="121">
        <v>0.0</v>
      </c>
      <c r="J311" s="121">
        <v>1.0</v>
      </c>
      <c r="K311" s="117"/>
    </row>
    <row r="312" ht="15.75" customHeight="1">
      <c r="A312" s="122" t="s">
        <v>1249</v>
      </c>
      <c r="B312" s="133" t="s">
        <v>1250</v>
      </c>
      <c r="C312" s="120" t="s">
        <v>303</v>
      </c>
      <c r="D312" s="120" t="s">
        <v>1251</v>
      </c>
      <c r="E312" s="120" t="s">
        <v>615</v>
      </c>
      <c r="F312" s="120" t="s">
        <v>306</v>
      </c>
      <c r="G312" s="120" t="s">
        <v>1252</v>
      </c>
      <c r="H312" s="120">
        <v>1.0</v>
      </c>
      <c r="I312" s="121">
        <v>0.0</v>
      </c>
      <c r="J312" s="121">
        <v>1.0</v>
      </c>
      <c r="K312" s="117"/>
    </row>
    <row r="313" ht="15.75" customHeight="1">
      <c r="A313" s="122" t="s">
        <v>1253</v>
      </c>
      <c r="B313" s="133" t="s">
        <v>1254</v>
      </c>
      <c r="C313" s="120" t="s">
        <v>303</v>
      </c>
      <c r="D313" s="120" t="s">
        <v>1251</v>
      </c>
      <c r="E313" s="120" t="s">
        <v>615</v>
      </c>
      <c r="F313" s="120" t="s">
        <v>306</v>
      </c>
      <c r="G313" s="120" t="s">
        <v>1255</v>
      </c>
      <c r="H313" s="120">
        <v>1.0</v>
      </c>
      <c r="I313" s="121">
        <v>0.0</v>
      </c>
      <c r="J313" s="121">
        <v>0.0</v>
      </c>
      <c r="K313" s="117"/>
    </row>
    <row r="314" ht="15.75" customHeight="1">
      <c r="A314" s="122" t="s">
        <v>1256</v>
      </c>
      <c r="B314" s="133" t="s">
        <v>1257</v>
      </c>
      <c r="C314" s="120" t="s">
        <v>303</v>
      </c>
      <c r="D314" s="120" t="s">
        <v>667</v>
      </c>
      <c r="E314" s="120" t="s">
        <v>615</v>
      </c>
      <c r="F314" s="120" t="s">
        <v>306</v>
      </c>
      <c r="G314" s="120" t="s">
        <v>1258</v>
      </c>
      <c r="H314" s="120">
        <v>1.0</v>
      </c>
      <c r="I314" s="121">
        <v>0.0</v>
      </c>
      <c r="J314" s="121">
        <v>1.0</v>
      </c>
      <c r="K314" s="117"/>
    </row>
    <row r="315" ht="15.75" customHeight="1">
      <c r="A315" s="122" t="s">
        <v>1261</v>
      </c>
      <c r="B315" s="133" t="s">
        <v>1262</v>
      </c>
      <c r="C315" s="120" t="s">
        <v>303</v>
      </c>
      <c r="D315" s="120" t="s">
        <v>1263</v>
      </c>
      <c r="E315" s="120" t="s">
        <v>615</v>
      </c>
      <c r="F315" s="120" t="s">
        <v>306</v>
      </c>
      <c r="G315" s="120" t="s">
        <v>1264</v>
      </c>
      <c r="H315" s="120">
        <v>1.0</v>
      </c>
      <c r="I315" s="121">
        <v>0.0</v>
      </c>
      <c r="J315" s="121">
        <v>1.0</v>
      </c>
      <c r="K315" s="117"/>
    </row>
    <row r="316" ht="15.75" customHeight="1">
      <c r="A316" s="122" t="s">
        <v>1265</v>
      </c>
      <c r="B316" s="133" t="s">
        <v>1266</v>
      </c>
      <c r="C316" s="120" t="s">
        <v>303</v>
      </c>
      <c r="D316" s="120" t="s">
        <v>704</v>
      </c>
      <c r="E316" s="120" t="s">
        <v>615</v>
      </c>
      <c r="F316" s="120" t="s">
        <v>306</v>
      </c>
      <c r="G316" s="120" t="s">
        <v>1267</v>
      </c>
      <c r="H316" s="120">
        <v>1.0</v>
      </c>
      <c r="I316" s="121">
        <v>0.0</v>
      </c>
      <c r="J316" s="121">
        <v>0.0</v>
      </c>
      <c r="K316" s="117"/>
    </row>
    <row r="317" ht="15.75" customHeight="1">
      <c r="A317" s="122" t="s">
        <v>1268</v>
      </c>
      <c r="B317" s="133" t="s">
        <v>1269</v>
      </c>
      <c r="C317" s="120" t="s">
        <v>303</v>
      </c>
      <c r="D317" s="120" t="s">
        <v>704</v>
      </c>
      <c r="E317" s="120" t="s">
        <v>615</v>
      </c>
      <c r="F317" s="120" t="s">
        <v>306</v>
      </c>
      <c r="G317" s="120" t="s">
        <v>1270</v>
      </c>
      <c r="H317" s="120">
        <v>1.0</v>
      </c>
      <c r="I317" s="121">
        <v>0.0</v>
      </c>
      <c r="J317" s="121">
        <v>0.0</v>
      </c>
      <c r="K317" s="117"/>
    </row>
    <row r="318" ht="15.75" customHeight="1">
      <c r="A318" s="122" t="s">
        <v>1271</v>
      </c>
      <c r="B318" s="133" t="s">
        <v>1272</v>
      </c>
      <c r="C318" s="120" t="s">
        <v>303</v>
      </c>
      <c r="D318" s="120" t="s">
        <v>708</v>
      </c>
      <c r="E318" s="120" t="s">
        <v>615</v>
      </c>
      <c r="F318" s="120" t="s">
        <v>306</v>
      </c>
      <c r="G318" s="120" t="s">
        <v>1273</v>
      </c>
      <c r="H318" s="120">
        <v>1.0</v>
      </c>
      <c r="I318" s="121">
        <v>0.0</v>
      </c>
      <c r="J318" s="121">
        <v>2.0</v>
      </c>
      <c r="K318" s="117"/>
    </row>
    <row r="319" ht="15.75" customHeight="1">
      <c r="A319" s="122" t="s">
        <v>1276</v>
      </c>
      <c r="B319" s="133" t="s">
        <v>1277</v>
      </c>
      <c r="C319" s="120" t="s">
        <v>303</v>
      </c>
      <c r="D319" s="120" t="s">
        <v>708</v>
      </c>
      <c r="E319" s="120" t="s">
        <v>615</v>
      </c>
      <c r="F319" s="120" t="s">
        <v>306</v>
      </c>
      <c r="G319" s="120" t="s">
        <v>1278</v>
      </c>
      <c r="H319" s="120">
        <v>1.0</v>
      </c>
      <c r="I319" s="121">
        <v>0.0</v>
      </c>
      <c r="J319" s="121">
        <v>0.0</v>
      </c>
      <c r="K319" s="117"/>
    </row>
    <row r="320" ht="15.75" customHeight="1">
      <c r="A320" s="122" t="s">
        <v>1279</v>
      </c>
      <c r="B320" s="133" t="s">
        <v>1280</v>
      </c>
      <c r="C320" s="120" t="s">
        <v>303</v>
      </c>
      <c r="D320" s="120" t="s">
        <v>708</v>
      </c>
      <c r="E320" s="120" t="s">
        <v>615</v>
      </c>
      <c r="F320" s="120" t="s">
        <v>306</v>
      </c>
      <c r="G320" s="120" t="s">
        <v>1281</v>
      </c>
      <c r="H320" s="120">
        <v>1.0</v>
      </c>
      <c r="I320" s="121">
        <v>0.0</v>
      </c>
      <c r="J320" s="121">
        <v>0.0</v>
      </c>
      <c r="K320" s="117"/>
    </row>
    <row r="321" ht="15.75" customHeight="1">
      <c r="A321" s="122" t="s">
        <v>1284</v>
      </c>
      <c r="B321" s="133" t="s">
        <v>1285</v>
      </c>
      <c r="C321" s="120" t="s">
        <v>303</v>
      </c>
      <c r="D321" s="120" t="s">
        <v>708</v>
      </c>
      <c r="E321" s="120" t="s">
        <v>615</v>
      </c>
      <c r="F321" s="120" t="s">
        <v>306</v>
      </c>
      <c r="G321" s="120" t="s">
        <v>1286</v>
      </c>
      <c r="H321" s="120">
        <v>1.0</v>
      </c>
      <c r="I321" s="121">
        <v>0.0</v>
      </c>
      <c r="J321" s="121">
        <v>2.0</v>
      </c>
      <c r="K321" s="117"/>
    </row>
    <row r="322" ht="15.75" customHeight="1">
      <c r="A322" s="122" t="s">
        <v>1287</v>
      </c>
      <c r="B322" s="133" t="s">
        <v>1288</v>
      </c>
      <c r="C322" s="120" t="s">
        <v>303</v>
      </c>
      <c r="D322" s="120" t="s">
        <v>708</v>
      </c>
      <c r="E322" s="120" t="s">
        <v>615</v>
      </c>
      <c r="F322" s="120" t="s">
        <v>306</v>
      </c>
      <c r="G322" s="120" t="s">
        <v>1289</v>
      </c>
      <c r="H322" s="120">
        <v>1.0</v>
      </c>
      <c r="I322" s="121">
        <v>0.0</v>
      </c>
      <c r="J322" s="121">
        <v>1.0</v>
      </c>
      <c r="K322" s="117"/>
    </row>
    <row r="323" ht="15.75" customHeight="1">
      <c r="A323" s="122" t="s">
        <v>1290</v>
      </c>
      <c r="B323" s="133" t="s">
        <v>1291</v>
      </c>
      <c r="C323" s="120" t="s">
        <v>303</v>
      </c>
      <c r="D323" s="120" t="s">
        <v>968</v>
      </c>
      <c r="E323" s="120" t="s">
        <v>615</v>
      </c>
      <c r="F323" s="120" t="s">
        <v>306</v>
      </c>
      <c r="G323" s="120" t="s">
        <v>1292</v>
      </c>
      <c r="H323" s="120">
        <v>1.0</v>
      </c>
      <c r="I323" s="121">
        <v>0.0</v>
      </c>
      <c r="J323" s="121">
        <v>1.0</v>
      </c>
      <c r="K323" s="117"/>
    </row>
    <row r="324" ht="15.75" customHeight="1">
      <c r="A324" s="122" t="s">
        <v>1293</v>
      </c>
      <c r="B324" s="133" t="s">
        <v>1294</v>
      </c>
      <c r="C324" s="120" t="s">
        <v>303</v>
      </c>
      <c r="D324" s="120" t="s">
        <v>688</v>
      </c>
      <c r="E324" s="120" t="s">
        <v>615</v>
      </c>
      <c r="F324" s="120" t="s">
        <v>306</v>
      </c>
      <c r="G324" s="120" t="s">
        <v>1295</v>
      </c>
      <c r="H324" s="120">
        <v>1.0</v>
      </c>
      <c r="I324" s="121">
        <v>0.0</v>
      </c>
      <c r="J324" s="121">
        <v>0.0</v>
      </c>
      <c r="K324" s="117"/>
    </row>
    <row r="325" ht="15.75" customHeight="1">
      <c r="A325" s="122" t="s">
        <v>1296</v>
      </c>
      <c r="B325" s="133" t="s">
        <v>1298</v>
      </c>
      <c r="C325" s="120" t="s">
        <v>303</v>
      </c>
      <c r="D325" s="120" t="s">
        <v>688</v>
      </c>
      <c r="E325" s="120" t="s">
        <v>615</v>
      </c>
      <c r="F325" s="120" t="s">
        <v>306</v>
      </c>
      <c r="G325" s="120" t="s">
        <v>1299</v>
      </c>
      <c r="H325" s="120">
        <v>1.0</v>
      </c>
      <c r="I325" s="121">
        <v>0.0</v>
      </c>
      <c r="J325" s="121">
        <v>3.0</v>
      </c>
      <c r="K325" s="117"/>
    </row>
    <row r="326" ht="15.75" customHeight="1">
      <c r="A326" s="122" t="s">
        <v>1300</v>
      </c>
      <c r="B326" s="133" t="s">
        <v>1301</v>
      </c>
      <c r="C326" s="120" t="s">
        <v>303</v>
      </c>
      <c r="D326" s="120" t="s">
        <v>745</v>
      </c>
      <c r="E326" s="120" t="s">
        <v>615</v>
      </c>
      <c r="F326" s="120" t="s">
        <v>306</v>
      </c>
      <c r="G326" s="120" t="s">
        <v>1302</v>
      </c>
      <c r="H326" s="120">
        <v>1.0</v>
      </c>
      <c r="I326" s="121">
        <v>0.0</v>
      </c>
      <c r="J326" s="121">
        <v>1.0</v>
      </c>
      <c r="K326" s="117"/>
    </row>
    <row r="327" ht="15.75" customHeight="1">
      <c r="A327" s="122" t="s">
        <v>1303</v>
      </c>
      <c r="B327" s="133" t="s">
        <v>1304</v>
      </c>
      <c r="C327" s="120" t="s">
        <v>303</v>
      </c>
      <c r="D327" s="120" t="s">
        <v>745</v>
      </c>
      <c r="E327" s="120" t="s">
        <v>615</v>
      </c>
      <c r="F327" s="120" t="s">
        <v>306</v>
      </c>
      <c r="G327" s="120" t="s">
        <v>1305</v>
      </c>
      <c r="H327" s="120">
        <v>1.0</v>
      </c>
      <c r="I327" s="121">
        <v>0.0</v>
      </c>
      <c r="J327" s="121">
        <v>1.0</v>
      </c>
      <c r="K327" s="117"/>
    </row>
    <row r="328" ht="15.75" customHeight="1">
      <c r="A328" s="122" t="s">
        <v>1306</v>
      </c>
      <c r="B328" s="133" t="s">
        <v>1307</v>
      </c>
      <c r="C328" s="120" t="s">
        <v>303</v>
      </c>
      <c r="D328" s="120" t="s">
        <v>503</v>
      </c>
      <c r="E328" s="120" t="s">
        <v>615</v>
      </c>
      <c r="F328" s="120" t="s">
        <v>306</v>
      </c>
      <c r="G328" s="120" t="s">
        <v>1087</v>
      </c>
      <c r="H328" s="120">
        <v>1.0</v>
      </c>
      <c r="I328" s="121">
        <v>0.0</v>
      </c>
      <c r="J328" s="121">
        <v>1.0</v>
      </c>
      <c r="K328" s="117"/>
    </row>
    <row r="329" ht="15.75" customHeight="1">
      <c r="A329" s="138" t="s">
        <v>1308</v>
      </c>
      <c r="B329" s="120" t="s">
        <v>1309</v>
      </c>
      <c r="C329" s="120" t="s">
        <v>303</v>
      </c>
      <c r="D329" s="120" t="s">
        <v>614</v>
      </c>
      <c r="E329" s="120" t="s">
        <v>615</v>
      </c>
      <c r="F329" s="120" t="s">
        <v>306</v>
      </c>
      <c r="G329" s="120" t="s">
        <v>1310</v>
      </c>
      <c r="H329" s="120">
        <v>1.0</v>
      </c>
      <c r="I329" s="121">
        <v>0.0</v>
      </c>
      <c r="J329" s="121">
        <v>0.0</v>
      </c>
      <c r="K329" s="117"/>
    </row>
    <row r="330" ht="15.75" customHeight="1">
      <c r="A330" s="138" t="s">
        <v>1311</v>
      </c>
      <c r="B330" s="120" t="s">
        <v>1312</v>
      </c>
      <c r="C330" s="120" t="s">
        <v>303</v>
      </c>
      <c r="D330" s="120" t="s">
        <v>614</v>
      </c>
      <c r="E330" s="120" t="s">
        <v>615</v>
      </c>
      <c r="F330" s="120" t="s">
        <v>306</v>
      </c>
      <c r="G330" s="120" t="s">
        <v>1313</v>
      </c>
      <c r="H330" s="120">
        <v>1.0</v>
      </c>
      <c r="I330" s="121">
        <v>0.0</v>
      </c>
      <c r="J330" s="121">
        <v>1.0</v>
      </c>
      <c r="K330" s="117"/>
    </row>
    <row r="331" ht="15.75" customHeight="1">
      <c r="A331" s="139" t="s">
        <v>1314</v>
      </c>
      <c r="B331" s="140" t="s">
        <v>1315</v>
      </c>
      <c r="C331" s="120" t="s">
        <v>303</v>
      </c>
      <c r="D331" s="120" t="s">
        <v>614</v>
      </c>
      <c r="E331" s="120" t="s">
        <v>615</v>
      </c>
      <c r="F331" s="120" t="s">
        <v>306</v>
      </c>
      <c r="G331" s="120" t="s">
        <v>1316</v>
      </c>
      <c r="H331" s="120">
        <v>1.0</v>
      </c>
      <c r="I331" s="121">
        <v>0.0</v>
      </c>
      <c r="J331" s="121">
        <v>2.0</v>
      </c>
      <c r="K331" s="117"/>
    </row>
    <row r="332" ht="15.75" customHeight="1">
      <c r="A332" s="122" t="s">
        <v>1317</v>
      </c>
      <c r="B332" s="120" t="s">
        <v>1318</v>
      </c>
      <c r="C332" s="120" t="s">
        <v>303</v>
      </c>
      <c r="D332" s="120" t="s">
        <v>614</v>
      </c>
      <c r="E332" s="120" t="s">
        <v>615</v>
      </c>
      <c r="F332" s="120" t="s">
        <v>306</v>
      </c>
      <c r="G332" s="120" t="s">
        <v>1320</v>
      </c>
      <c r="H332" s="120">
        <v>1.0</v>
      </c>
      <c r="I332" s="121">
        <v>0.0</v>
      </c>
      <c r="J332" s="121">
        <v>1.0</v>
      </c>
      <c r="K332" s="117"/>
    </row>
    <row r="333" ht="15.75" customHeight="1">
      <c r="A333" s="122" t="s">
        <v>1321</v>
      </c>
      <c r="B333" s="140" t="s">
        <v>1322</v>
      </c>
      <c r="C333" s="120" t="s">
        <v>303</v>
      </c>
      <c r="D333" s="120" t="s">
        <v>614</v>
      </c>
      <c r="E333" s="120" t="s">
        <v>615</v>
      </c>
      <c r="F333" s="120" t="s">
        <v>306</v>
      </c>
      <c r="G333" s="120" t="s">
        <v>1323</v>
      </c>
      <c r="H333" s="120">
        <v>1.0</v>
      </c>
      <c r="I333" s="121">
        <v>0.0</v>
      </c>
      <c r="J333" s="121">
        <v>1.0</v>
      </c>
      <c r="K333" s="117"/>
    </row>
    <row r="334" ht="15.75" customHeight="1">
      <c r="A334" s="122" t="s">
        <v>1324</v>
      </c>
      <c r="B334" s="133" t="s">
        <v>1325</v>
      </c>
      <c r="C334" s="120" t="s">
        <v>576</v>
      </c>
      <c r="D334" s="120" t="s">
        <v>1326</v>
      </c>
      <c r="E334" s="120" t="s">
        <v>615</v>
      </c>
      <c r="F334" s="120" t="s">
        <v>306</v>
      </c>
      <c r="G334" s="120" t="s">
        <v>1329</v>
      </c>
      <c r="H334" s="120">
        <v>121.0</v>
      </c>
      <c r="I334" s="121">
        <v>0.13</v>
      </c>
      <c r="J334" s="121">
        <v>1.1</v>
      </c>
      <c r="K334" s="117"/>
    </row>
    <row r="335" ht="15.75" customHeight="1">
      <c r="A335" s="122" t="s">
        <v>1330</v>
      </c>
      <c r="B335" s="133" t="s">
        <v>1331</v>
      </c>
      <c r="C335" s="120" t="s">
        <v>576</v>
      </c>
      <c r="D335" s="120" t="s">
        <v>1332</v>
      </c>
      <c r="E335" s="120" t="s">
        <v>615</v>
      </c>
      <c r="F335" s="120" t="s">
        <v>306</v>
      </c>
      <c r="G335" s="120" t="s">
        <v>1333</v>
      </c>
      <c r="H335" s="120">
        <v>99.0</v>
      </c>
      <c r="I335" s="121">
        <v>0.1</v>
      </c>
      <c r="J335" s="121">
        <v>1.31</v>
      </c>
      <c r="K335" s="117"/>
    </row>
    <row r="336" ht="15.75" customHeight="1">
      <c r="A336" s="138" t="s">
        <v>1334</v>
      </c>
      <c r="B336" s="120" t="s">
        <v>1335</v>
      </c>
      <c r="C336" s="120" t="s">
        <v>576</v>
      </c>
      <c r="D336" s="120" t="s">
        <v>1336</v>
      </c>
      <c r="E336" s="120" t="s">
        <v>615</v>
      </c>
      <c r="F336" s="120" t="s">
        <v>306</v>
      </c>
      <c r="G336" s="120" t="s">
        <v>1337</v>
      </c>
      <c r="H336" s="120">
        <v>86.0</v>
      </c>
      <c r="I336" s="121">
        <v>0.09</v>
      </c>
      <c r="J336" s="121">
        <v>1.44</v>
      </c>
      <c r="K336" s="117"/>
    </row>
    <row r="337" ht="15.75" customHeight="1">
      <c r="A337" s="122" t="s">
        <v>1338</v>
      </c>
      <c r="B337" s="120" t="s">
        <v>1339</v>
      </c>
      <c r="C337" s="120" t="s">
        <v>576</v>
      </c>
      <c r="D337" s="120" t="s">
        <v>1340</v>
      </c>
      <c r="E337" s="120" t="s">
        <v>615</v>
      </c>
      <c r="F337" s="120" t="s">
        <v>306</v>
      </c>
      <c r="G337" s="120" t="s">
        <v>1341</v>
      </c>
      <c r="H337" s="120">
        <v>71.0</v>
      </c>
      <c r="I337" s="121">
        <v>0.07</v>
      </c>
      <c r="J337" s="121">
        <v>1.45</v>
      </c>
      <c r="K337" s="117"/>
    </row>
    <row r="338" ht="15.75" customHeight="1">
      <c r="A338" s="139" t="s">
        <v>1344</v>
      </c>
      <c r="B338" s="140" t="s">
        <v>1345</v>
      </c>
      <c r="C338" s="120" t="s">
        <v>576</v>
      </c>
      <c r="D338" s="120" t="s">
        <v>1346</v>
      </c>
      <c r="E338" s="120" t="s">
        <v>615</v>
      </c>
      <c r="F338" s="120" t="s">
        <v>306</v>
      </c>
      <c r="G338" s="120" t="s">
        <v>1347</v>
      </c>
      <c r="H338" s="120">
        <v>55.0</v>
      </c>
      <c r="I338" s="121">
        <v>0.06</v>
      </c>
      <c r="J338" s="121">
        <v>2.02</v>
      </c>
      <c r="K338" s="117"/>
    </row>
    <row r="339" ht="15.75" customHeight="1">
      <c r="A339" s="122" t="s">
        <v>1348</v>
      </c>
      <c r="B339" s="133" t="s">
        <v>1349</v>
      </c>
      <c r="C339" s="120" t="s">
        <v>576</v>
      </c>
      <c r="D339" s="120" t="s">
        <v>1346</v>
      </c>
      <c r="E339" s="120" t="s">
        <v>615</v>
      </c>
      <c r="F339" s="120" t="s">
        <v>306</v>
      </c>
      <c r="G339" s="120" t="s">
        <v>1350</v>
      </c>
      <c r="H339" s="120">
        <v>53.0</v>
      </c>
      <c r="I339" s="121">
        <v>0.06</v>
      </c>
      <c r="J339" s="121">
        <v>1.7</v>
      </c>
      <c r="K339" s="117"/>
    </row>
    <row r="340" ht="15.75" customHeight="1">
      <c r="A340" s="122" t="s">
        <v>1351</v>
      </c>
      <c r="B340" s="140" t="s">
        <v>1352</v>
      </c>
      <c r="C340" s="120" t="s">
        <v>576</v>
      </c>
      <c r="D340" s="120" t="s">
        <v>1353</v>
      </c>
      <c r="E340" s="120" t="s">
        <v>615</v>
      </c>
      <c r="F340" s="120" t="s">
        <v>306</v>
      </c>
      <c r="G340" s="120" t="s">
        <v>1354</v>
      </c>
      <c r="H340" s="120">
        <v>44.0</v>
      </c>
      <c r="I340" s="121">
        <v>0.05</v>
      </c>
      <c r="J340" s="121">
        <v>1.57</v>
      </c>
      <c r="K340" s="117"/>
    </row>
    <row r="341" ht="15.75" customHeight="1">
      <c r="A341" s="122" t="s">
        <v>1355</v>
      </c>
      <c r="B341" s="133" t="s">
        <v>1356</v>
      </c>
      <c r="C341" s="120" t="s">
        <v>576</v>
      </c>
      <c r="D341" s="120" t="s">
        <v>1357</v>
      </c>
      <c r="E341" s="120" t="s">
        <v>615</v>
      </c>
      <c r="F341" s="120" t="s">
        <v>306</v>
      </c>
      <c r="G341" s="120" t="s">
        <v>1358</v>
      </c>
      <c r="H341" s="120">
        <v>41.0</v>
      </c>
      <c r="I341" s="121">
        <v>0.04</v>
      </c>
      <c r="J341" s="121">
        <v>1.34</v>
      </c>
      <c r="K341" s="117"/>
    </row>
    <row r="342" ht="15.75" customHeight="1">
      <c r="A342" s="122" t="s">
        <v>1359</v>
      </c>
      <c r="B342" s="133" t="s">
        <v>1360</v>
      </c>
      <c r="C342" s="120" t="s">
        <v>576</v>
      </c>
      <c r="D342" s="120" t="s">
        <v>838</v>
      </c>
      <c r="E342" s="120" t="s">
        <v>615</v>
      </c>
      <c r="F342" s="120" t="s">
        <v>306</v>
      </c>
      <c r="G342" s="120" t="s">
        <v>1361</v>
      </c>
      <c r="H342" s="120">
        <v>39.0</v>
      </c>
      <c r="I342" s="121">
        <v>0.04</v>
      </c>
      <c r="J342" s="121">
        <v>1.31</v>
      </c>
      <c r="K342" s="117"/>
    </row>
    <row r="343" ht="15.75" customHeight="1">
      <c r="A343" s="122" t="s">
        <v>1362</v>
      </c>
      <c r="B343" s="133" t="s">
        <v>1363</v>
      </c>
      <c r="C343" s="120" t="s">
        <v>576</v>
      </c>
      <c r="D343" s="120" t="s">
        <v>1364</v>
      </c>
      <c r="E343" s="120" t="s">
        <v>615</v>
      </c>
      <c r="F343" s="120" t="s">
        <v>306</v>
      </c>
      <c r="G343" s="120" t="s">
        <v>1365</v>
      </c>
      <c r="H343" s="120">
        <v>38.0</v>
      </c>
      <c r="I343" s="121">
        <v>0.04</v>
      </c>
      <c r="J343" s="121">
        <v>1.45</v>
      </c>
      <c r="K343" s="117"/>
    </row>
    <row r="344" ht="15.75" customHeight="1">
      <c r="A344" s="122" t="s">
        <v>1368</v>
      </c>
      <c r="B344" s="120" t="s">
        <v>1369</v>
      </c>
      <c r="C344" s="120" t="s">
        <v>576</v>
      </c>
      <c r="D344" s="120" t="s">
        <v>1332</v>
      </c>
      <c r="E344" s="120" t="s">
        <v>615</v>
      </c>
      <c r="F344" s="120" t="s">
        <v>306</v>
      </c>
      <c r="G344" s="120" t="s">
        <v>1370</v>
      </c>
      <c r="H344" s="120">
        <v>33.0</v>
      </c>
      <c r="I344" s="121">
        <v>0.03</v>
      </c>
      <c r="J344" s="121">
        <v>0.45</v>
      </c>
      <c r="K344" s="117"/>
    </row>
    <row r="345" ht="15.75" customHeight="1">
      <c r="A345" s="122" t="s">
        <v>1371</v>
      </c>
      <c r="B345" s="133" t="s">
        <v>1372</v>
      </c>
      <c r="C345" s="120" t="s">
        <v>576</v>
      </c>
      <c r="D345" s="120" t="s">
        <v>1346</v>
      </c>
      <c r="E345" s="120" t="s">
        <v>615</v>
      </c>
      <c r="F345" s="120" t="s">
        <v>306</v>
      </c>
      <c r="G345" s="120" t="s">
        <v>1373</v>
      </c>
      <c r="H345" s="120">
        <v>30.0</v>
      </c>
      <c r="I345" s="121">
        <v>0.03</v>
      </c>
      <c r="J345" s="121">
        <v>1.1</v>
      </c>
      <c r="K345" s="117"/>
    </row>
    <row r="346" ht="15.75" customHeight="1">
      <c r="A346" s="122" t="s">
        <v>1374</v>
      </c>
      <c r="B346" s="133" t="s">
        <v>1375</v>
      </c>
      <c r="C346" s="120" t="s">
        <v>576</v>
      </c>
      <c r="D346" s="120" t="s">
        <v>1340</v>
      </c>
      <c r="E346" s="120" t="s">
        <v>615</v>
      </c>
      <c r="F346" s="120" t="s">
        <v>306</v>
      </c>
      <c r="G346" s="120" t="s">
        <v>1376</v>
      </c>
      <c r="H346" s="120">
        <v>29.0</v>
      </c>
      <c r="I346" s="121">
        <v>0.03</v>
      </c>
      <c r="J346" s="121">
        <v>1.62</v>
      </c>
      <c r="K346" s="117"/>
    </row>
    <row r="347" ht="15.75" customHeight="1">
      <c r="A347" s="122" t="s">
        <v>1377</v>
      </c>
      <c r="B347" s="133" t="s">
        <v>1378</v>
      </c>
      <c r="C347" s="120" t="s">
        <v>576</v>
      </c>
      <c r="D347" s="120" t="s">
        <v>1379</v>
      </c>
      <c r="E347" s="120" t="s">
        <v>615</v>
      </c>
      <c r="F347" s="120" t="s">
        <v>306</v>
      </c>
      <c r="G347" s="120" t="s">
        <v>1380</v>
      </c>
      <c r="H347" s="120">
        <v>29.0</v>
      </c>
      <c r="I347" s="121">
        <v>0.03</v>
      </c>
      <c r="J347" s="121">
        <v>1.07</v>
      </c>
      <c r="K347" s="117"/>
    </row>
    <row r="348" ht="15.75" customHeight="1">
      <c r="A348" s="122" t="s">
        <v>650</v>
      </c>
      <c r="B348" s="133" t="s">
        <v>651</v>
      </c>
      <c r="C348" s="120" t="s">
        <v>576</v>
      </c>
      <c r="D348" s="120" t="s">
        <v>379</v>
      </c>
      <c r="E348" s="120" t="s">
        <v>615</v>
      </c>
      <c r="F348" s="120" t="s">
        <v>306</v>
      </c>
      <c r="G348" s="120" t="s">
        <v>1381</v>
      </c>
      <c r="H348" s="120">
        <v>27.0</v>
      </c>
      <c r="I348" s="121">
        <v>0.03</v>
      </c>
      <c r="J348" s="121">
        <v>2.0</v>
      </c>
      <c r="K348" s="117"/>
    </row>
    <row r="349" ht="15.75" customHeight="1">
      <c r="A349" s="122" t="s">
        <v>1382</v>
      </c>
      <c r="B349" s="133" t="s">
        <v>1383</v>
      </c>
      <c r="C349" s="120" t="s">
        <v>576</v>
      </c>
      <c r="D349" s="120" t="s">
        <v>1384</v>
      </c>
      <c r="E349" s="120" t="s">
        <v>615</v>
      </c>
      <c r="F349" s="120" t="s">
        <v>306</v>
      </c>
      <c r="G349" s="120" t="s">
        <v>1385</v>
      </c>
      <c r="H349" s="120">
        <v>26.0</v>
      </c>
      <c r="I349" s="121">
        <v>0.03</v>
      </c>
      <c r="J349" s="121">
        <v>1.12</v>
      </c>
      <c r="K349" s="117"/>
    </row>
    <row r="350" ht="15.75" customHeight="1">
      <c r="A350" s="122" t="s">
        <v>1386</v>
      </c>
      <c r="B350" s="133" t="s">
        <v>1387</v>
      </c>
      <c r="C350" s="120" t="s">
        <v>576</v>
      </c>
      <c r="D350" s="120" t="s">
        <v>1357</v>
      </c>
      <c r="E350" s="120" t="s">
        <v>615</v>
      </c>
      <c r="F350" s="120" t="s">
        <v>306</v>
      </c>
      <c r="G350" s="120" t="s">
        <v>1388</v>
      </c>
      <c r="H350" s="120">
        <v>24.0</v>
      </c>
      <c r="I350" s="121">
        <v>0.03</v>
      </c>
      <c r="J350" s="121">
        <v>2.13</v>
      </c>
      <c r="K350" s="117"/>
    </row>
    <row r="351" ht="15.75" customHeight="1">
      <c r="A351" s="122" t="s">
        <v>1389</v>
      </c>
      <c r="B351" s="133" t="s">
        <v>1390</v>
      </c>
      <c r="C351" s="120" t="s">
        <v>576</v>
      </c>
      <c r="D351" s="120" t="s">
        <v>1379</v>
      </c>
      <c r="E351" s="120" t="s">
        <v>615</v>
      </c>
      <c r="F351" s="120" t="s">
        <v>306</v>
      </c>
      <c r="G351" s="120" t="s">
        <v>1391</v>
      </c>
      <c r="H351" s="120">
        <v>16.0</v>
      </c>
      <c r="I351" s="121">
        <v>0.02</v>
      </c>
      <c r="J351" s="121">
        <v>0.31</v>
      </c>
      <c r="K351" s="117"/>
    </row>
    <row r="352" ht="15.75" customHeight="1">
      <c r="A352" s="122" t="s">
        <v>1392</v>
      </c>
      <c r="B352" s="133" t="s">
        <v>1393</v>
      </c>
      <c r="C352" s="120" t="s">
        <v>576</v>
      </c>
      <c r="D352" s="120" t="s">
        <v>1357</v>
      </c>
      <c r="E352" s="120" t="s">
        <v>615</v>
      </c>
      <c r="F352" s="120" t="s">
        <v>306</v>
      </c>
      <c r="G352" s="120" t="s">
        <v>1394</v>
      </c>
      <c r="H352" s="120">
        <v>14.0</v>
      </c>
      <c r="I352" s="121">
        <v>0.01</v>
      </c>
      <c r="J352" s="121">
        <v>0.0</v>
      </c>
      <c r="K352" s="117"/>
    </row>
    <row r="353" ht="15.75" customHeight="1">
      <c r="A353" s="122" t="s">
        <v>1395</v>
      </c>
      <c r="B353" s="133" t="s">
        <v>1396</v>
      </c>
      <c r="C353" s="120" t="s">
        <v>576</v>
      </c>
      <c r="D353" s="120" t="s">
        <v>1357</v>
      </c>
      <c r="E353" s="120" t="s">
        <v>615</v>
      </c>
      <c r="F353" s="120" t="s">
        <v>306</v>
      </c>
      <c r="G353" s="120" t="s">
        <v>1397</v>
      </c>
      <c r="H353" s="120">
        <v>13.0</v>
      </c>
      <c r="I353" s="121">
        <v>0.01</v>
      </c>
      <c r="J353" s="121">
        <v>0.69</v>
      </c>
      <c r="K353" s="117"/>
    </row>
    <row r="354" ht="15.75" customHeight="1">
      <c r="A354" s="122" t="s">
        <v>1398</v>
      </c>
      <c r="B354" s="133" t="s">
        <v>1399</v>
      </c>
      <c r="C354" s="120" t="s">
        <v>576</v>
      </c>
      <c r="D354" s="120" t="s">
        <v>1357</v>
      </c>
      <c r="E354" s="120" t="s">
        <v>615</v>
      </c>
      <c r="F354" s="120" t="s">
        <v>306</v>
      </c>
      <c r="G354" s="120" t="s">
        <v>1400</v>
      </c>
      <c r="H354" s="120">
        <v>10.0</v>
      </c>
      <c r="I354" s="121">
        <v>0.01</v>
      </c>
      <c r="J354" s="121">
        <v>0.2</v>
      </c>
      <c r="K354" s="117"/>
    </row>
    <row r="355" ht="15.75" customHeight="1">
      <c r="A355" s="122" t="s">
        <v>1401</v>
      </c>
      <c r="B355" s="133" t="s">
        <v>1402</v>
      </c>
      <c r="C355" s="120" t="s">
        <v>576</v>
      </c>
      <c r="D355" s="120" t="s">
        <v>1332</v>
      </c>
      <c r="E355" s="120" t="s">
        <v>615</v>
      </c>
      <c r="F355" s="120" t="s">
        <v>306</v>
      </c>
      <c r="G355" s="120" t="s">
        <v>1403</v>
      </c>
      <c r="H355" s="120">
        <v>10.0</v>
      </c>
      <c r="I355" s="121">
        <v>0.01</v>
      </c>
      <c r="J355" s="121">
        <v>0.5</v>
      </c>
      <c r="K355" s="117"/>
    </row>
    <row r="356" ht="15.75" customHeight="1">
      <c r="A356" s="122" t="s">
        <v>1404</v>
      </c>
      <c r="B356" s="133" t="s">
        <v>1405</v>
      </c>
      <c r="C356" s="120" t="s">
        <v>576</v>
      </c>
      <c r="D356" s="120" t="s">
        <v>1357</v>
      </c>
      <c r="E356" s="120" t="s">
        <v>615</v>
      </c>
      <c r="F356" s="120" t="s">
        <v>306</v>
      </c>
      <c r="G356" s="120" t="s">
        <v>1406</v>
      </c>
      <c r="H356" s="120">
        <v>9.0</v>
      </c>
      <c r="I356" s="121">
        <v>0.01</v>
      </c>
      <c r="J356" s="121">
        <v>0.0</v>
      </c>
      <c r="K356" s="117"/>
    </row>
    <row r="357" ht="15.75" customHeight="1">
      <c r="A357" s="122" t="s">
        <v>1407</v>
      </c>
      <c r="B357" s="133" t="s">
        <v>1408</v>
      </c>
      <c r="C357" s="120" t="s">
        <v>576</v>
      </c>
      <c r="D357" s="120" t="s">
        <v>1409</v>
      </c>
      <c r="E357" s="120" t="s">
        <v>615</v>
      </c>
      <c r="F357" s="120" t="s">
        <v>306</v>
      </c>
      <c r="G357" s="120" t="s">
        <v>1410</v>
      </c>
      <c r="H357" s="120">
        <v>9.0</v>
      </c>
      <c r="I357" s="121">
        <v>0.01</v>
      </c>
      <c r="J357" s="121">
        <v>1.22</v>
      </c>
      <c r="K357" s="117"/>
    </row>
    <row r="358" ht="15.75" customHeight="1">
      <c r="A358" s="122" t="s">
        <v>1412</v>
      </c>
      <c r="B358" s="133" t="s">
        <v>1413</v>
      </c>
      <c r="C358" s="120" t="s">
        <v>576</v>
      </c>
      <c r="D358" s="120" t="s">
        <v>1353</v>
      </c>
      <c r="E358" s="120" t="s">
        <v>615</v>
      </c>
      <c r="F358" s="120" t="s">
        <v>306</v>
      </c>
      <c r="G358" s="120" t="s">
        <v>1354</v>
      </c>
      <c r="H358" s="120">
        <v>9.0</v>
      </c>
      <c r="I358" s="121">
        <v>0.01</v>
      </c>
      <c r="J358" s="121">
        <v>0.11</v>
      </c>
      <c r="K358" s="117"/>
    </row>
    <row r="359" ht="15.75" customHeight="1">
      <c r="A359" s="122" t="s">
        <v>1414</v>
      </c>
      <c r="B359" s="133" t="s">
        <v>1415</v>
      </c>
      <c r="C359" s="120" t="s">
        <v>576</v>
      </c>
      <c r="D359" s="120" t="s">
        <v>1384</v>
      </c>
      <c r="E359" s="120" t="s">
        <v>615</v>
      </c>
      <c r="F359" s="120" t="s">
        <v>306</v>
      </c>
      <c r="G359" s="120" t="s">
        <v>1416</v>
      </c>
      <c r="H359" s="120">
        <v>9.0</v>
      </c>
      <c r="I359" s="121">
        <v>0.01</v>
      </c>
      <c r="J359" s="121">
        <v>1.33</v>
      </c>
      <c r="K359" s="117"/>
    </row>
    <row r="360" ht="15.75" customHeight="1">
      <c r="A360" s="122" t="s">
        <v>1417</v>
      </c>
      <c r="B360" s="133" t="s">
        <v>1418</v>
      </c>
      <c r="C360" s="120" t="s">
        <v>576</v>
      </c>
      <c r="D360" s="120" t="s">
        <v>1357</v>
      </c>
      <c r="E360" s="120" t="s">
        <v>615</v>
      </c>
      <c r="F360" s="120" t="s">
        <v>306</v>
      </c>
      <c r="G360" s="120" t="s">
        <v>1419</v>
      </c>
      <c r="H360" s="120">
        <v>8.0</v>
      </c>
      <c r="I360" s="121">
        <v>0.01</v>
      </c>
      <c r="J360" s="121">
        <v>1.13</v>
      </c>
      <c r="K360" s="117"/>
    </row>
    <row r="361" ht="15.75" customHeight="1">
      <c r="A361" s="122" t="s">
        <v>1420</v>
      </c>
      <c r="B361" s="133" t="s">
        <v>1421</v>
      </c>
      <c r="C361" s="120" t="s">
        <v>576</v>
      </c>
      <c r="D361" s="120" t="s">
        <v>1357</v>
      </c>
      <c r="E361" s="120" t="s">
        <v>615</v>
      </c>
      <c r="F361" s="120" t="s">
        <v>306</v>
      </c>
      <c r="G361" s="120" t="s">
        <v>1422</v>
      </c>
      <c r="H361" s="120">
        <v>7.0</v>
      </c>
      <c r="I361" s="121">
        <v>0.01</v>
      </c>
      <c r="J361" s="121">
        <v>0.29</v>
      </c>
      <c r="K361" s="117"/>
    </row>
    <row r="362" ht="15.75" customHeight="1">
      <c r="A362" s="122" t="s">
        <v>1423</v>
      </c>
      <c r="B362" s="133" t="s">
        <v>1424</v>
      </c>
      <c r="C362" s="120" t="s">
        <v>576</v>
      </c>
      <c r="D362" s="120" t="s">
        <v>1346</v>
      </c>
      <c r="E362" s="120" t="s">
        <v>615</v>
      </c>
      <c r="F362" s="120" t="s">
        <v>306</v>
      </c>
      <c r="G362" s="120" t="s">
        <v>1425</v>
      </c>
      <c r="H362" s="120">
        <v>7.0</v>
      </c>
      <c r="I362" s="121">
        <v>0.01</v>
      </c>
      <c r="J362" s="121">
        <v>1.14</v>
      </c>
      <c r="K362" s="117"/>
    </row>
    <row r="363" ht="15.75" customHeight="1">
      <c r="A363" s="122" t="s">
        <v>693</v>
      </c>
      <c r="B363" s="133" t="s">
        <v>694</v>
      </c>
      <c r="C363" s="120" t="s">
        <v>576</v>
      </c>
      <c r="D363" s="120" t="s">
        <v>379</v>
      </c>
      <c r="E363" s="120" t="s">
        <v>615</v>
      </c>
      <c r="F363" s="120" t="s">
        <v>306</v>
      </c>
      <c r="G363" s="120" t="s">
        <v>1381</v>
      </c>
      <c r="H363" s="120">
        <v>6.0</v>
      </c>
      <c r="I363" s="121">
        <v>0.01</v>
      </c>
      <c r="J363" s="121">
        <v>0.67</v>
      </c>
      <c r="K363" s="117"/>
    </row>
    <row r="364" ht="15.75" customHeight="1">
      <c r="A364" s="122" t="s">
        <v>1426</v>
      </c>
      <c r="B364" s="133" t="s">
        <v>1427</v>
      </c>
      <c r="C364" s="120" t="s">
        <v>576</v>
      </c>
      <c r="D364" s="120" t="s">
        <v>1428</v>
      </c>
      <c r="E364" s="120" t="s">
        <v>615</v>
      </c>
      <c r="F364" s="120" t="s">
        <v>306</v>
      </c>
      <c r="G364" s="120" t="s">
        <v>1429</v>
      </c>
      <c r="H364" s="120">
        <v>6.0</v>
      </c>
      <c r="I364" s="121">
        <v>0.01</v>
      </c>
      <c r="J364" s="121">
        <v>0.33</v>
      </c>
      <c r="K364" s="117"/>
    </row>
    <row r="365" ht="15.75" customHeight="1">
      <c r="A365" s="122" t="s">
        <v>735</v>
      </c>
      <c r="B365" s="133" t="s">
        <v>736</v>
      </c>
      <c r="C365" s="120" t="s">
        <v>576</v>
      </c>
      <c r="D365" s="120" t="s">
        <v>737</v>
      </c>
      <c r="E365" s="120" t="s">
        <v>615</v>
      </c>
      <c r="F365" s="120" t="s">
        <v>306</v>
      </c>
      <c r="G365" s="120" t="s">
        <v>1430</v>
      </c>
      <c r="H365" s="120">
        <v>5.0</v>
      </c>
      <c r="I365" s="121">
        <v>0.01</v>
      </c>
      <c r="J365" s="121">
        <v>1.2</v>
      </c>
      <c r="K365" s="117"/>
    </row>
    <row r="366" ht="15.75" customHeight="1">
      <c r="A366" s="122" t="s">
        <v>1431</v>
      </c>
      <c r="B366" s="133" t="s">
        <v>1432</v>
      </c>
      <c r="C366" s="120" t="s">
        <v>576</v>
      </c>
      <c r="D366" s="120" t="s">
        <v>1433</v>
      </c>
      <c r="E366" s="120" t="s">
        <v>615</v>
      </c>
      <c r="F366" s="120" t="s">
        <v>306</v>
      </c>
      <c r="G366" s="120" t="s">
        <v>1434</v>
      </c>
      <c r="H366" s="120">
        <v>5.0</v>
      </c>
      <c r="I366" s="121">
        <v>0.01</v>
      </c>
      <c r="J366" s="121">
        <v>1.2</v>
      </c>
      <c r="K366" s="117"/>
    </row>
    <row r="367" ht="15.75" customHeight="1">
      <c r="A367" s="122" t="s">
        <v>1435</v>
      </c>
      <c r="B367" s="133" t="s">
        <v>1436</v>
      </c>
      <c r="C367" s="120" t="s">
        <v>576</v>
      </c>
      <c r="D367" s="120" t="s">
        <v>1357</v>
      </c>
      <c r="E367" s="120" t="s">
        <v>615</v>
      </c>
      <c r="F367" s="120" t="s">
        <v>306</v>
      </c>
      <c r="G367" s="120" t="s">
        <v>1437</v>
      </c>
      <c r="H367" s="120">
        <v>4.0</v>
      </c>
      <c r="I367" s="121">
        <v>0.0</v>
      </c>
      <c r="J367" s="121">
        <v>4.25</v>
      </c>
      <c r="K367" s="117"/>
    </row>
    <row r="368" ht="15.75" customHeight="1">
      <c r="A368" s="122" t="s">
        <v>1438</v>
      </c>
      <c r="B368" s="133" t="s">
        <v>1439</v>
      </c>
      <c r="C368" s="120" t="s">
        <v>576</v>
      </c>
      <c r="D368" s="120" t="s">
        <v>1357</v>
      </c>
      <c r="E368" s="120" t="s">
        <v>615</v>
      </c>
      <c r="F368" s="120" t="s">
        <v>306</v>
      </c>
      <c r="G368" s="120" t="s">
        <v>1440</v>
      </c>
      <c r="H368" s="120">
        <v>4.0</v>
      </c>
      <c r="I368" s="121">
        <v>0.0</v>
      </c>
      <c r="J368" s="121">
        <v>0.5</v>
      </c>
      <c r="K368" s="117"/>
    </row>
    <row r="369" ht="15.75" customHeight="1">
      <c r="A369" s="122" t="s">
        <v>1441</v>
      </c>
      <c r="B369" s="133" t="s">
        <v>1442</v>
      </c>
      <c r="C369" s="120" t="s">
        <v>576</v>
      </c>
      <c r="D369" s="120" t="s">
        <v>1340</v>
      </c>
      <c r="E369" s="120" t="s">
        <v>615</v>
      </c>
      <c r="F369" s="120" t="s">
        <v>306</v>
      </c>
      <c r="G369" s="120" t="s">
        <v>1443</v>
      </c>
      <c r="H369" s="120">
        <v>4.0</v>
      </c>
      <c r="I369" s="121">
        <v>0.0</v>
      </c>
      <c r="J369" s="121">
        <v>1.25</v>
      </c>
      <c r="K369" s="117"/>
    </row>
    <row r="370" ht="15.75" customHeight="1">
      <c r="A370" s="122" t="s">
        <v>1445</v>
      </c>
      <c r="B370" s="133" t="s">
        <v>1446</v>
      </c>
      <c r="C370" s="120" t="s">
        <v>576</v>
      </c>
      <c r="D370" s="120" t="s">
        <v>1353</v>
      </c>
      <c r="E370" s="120" t="s">
        <v>615</v>
      </c>
      <c r="F370" s="120" t="s">
        <v>306</v>
      </c>
      <c r="G370" s="120" t="s">
        <v>1354</v>
      </c>
      <c r="H370" s="120">
        <v>4.0</v>
      </c>
      <c r="I370" s="121">
        <v>0.0</v>
      </c>
      <c r="J370" s="121">
        <v>2.0</v>
      </c>
      <c r="K370" s="117"/>
    </row>
    <row r="371" ht="15.75" customHeight="1">
      <c r="A371" s="122" t="s">
        <v>1447</v>
      </c>
      <c r="B371" s="133" t="s">
        <v>1448</v>
      </c>
      <c r="C371" s="120" t="s">
        <v>576</v>
      </c>
      <c r="D371" s="120" t="s">
        <v>1384</v>
      </c>
      <c r="E371" s="120" t="s">
        <v>615</v>
      </c>
      <c r="F371" s="120" t="s">
        <v>306</v>
      </c>
      <c r="G371" s="120" t="s">
        <v>1449</v>
      </c>
      <c r="H371" s="120">
        <v>4.0</v>
      </c>
      <c r="I371" s="121">
        <v>0.0</v>
      </c>
      <c r="J371" s="121">
        <v>1.0</v>
      </c>
      <c r="K371" s="117"/>
    </row>
    <row r="372" ht="15.75" customHeight="1">
      <c r="A372" s="122" t="s">
        <v>1450</v>
      </c>
      <c r="B372" s="133" t="s">
        <v>1451</v>
      </c>
      <c r="C372" s="120" t="s">
        <v>576</v>
      </c>
      <c r="D372" s="120" t="s">
        <v>1357</v>
      </c>
      <c r="E372" s="120" t="s">
        <v>615</v>
      </c>
      <c r="F372" s="120" t="s">
        <v>306</v>
      </c>
      <c r="G372" s="120" t="s">
        <v>1452</v>
      </c>
      <c r="H372" s="120">
        <v>3.0</v>
      </c>
      <c r="I372" s="121">
        <v>0.0</v>
      </c>
      <c r="J372" s="121">
        <v>0.67</v>
      </c>
      <c r="K372" s="117"/>
    </row>
    <row r="373" ht="15.75" customHeight="1">
      <c r="A373" s="122" t="s">
        <v>1453</v>
      </c>
      <c r="B373" s="133" t="s">
        <v>1454</v>
      </c>
      <c r="C373" s="120" t="s">
        <v>576</v>
      </c>
      <c r="D373" s="120" t="s">
        <v>1379</v>
      </c>
      <c r="E373" s="120" t="s">
        <v>615</v>
      </c>
      <c r="F373" s="120" t="s">
        <v>306</v>
      </c>
      <c r="G373" s="120" t="s">
        <v>1455</v>
      </c>
      <c r="H373" s="120">
        <v>3.0</v>
      </c>
      <c r="I373" s="121">
        <v>0.0</v>
      </c>
      <c r="J373" s="121">
        <v>0.67</v>
      </c>
      <c r="K373" s="117"/>
    </row>
    <row r="374" ht="15.75" customHeight="1">
      <c r="A374" s="122" t="s">
        <v>1456</v>
      </c>
      <c r="B374" s="133" t="s">
        <v>1457</v>
      </c>
      <c r="C374" s="120" t="s">
        <v>576</v>
      </c>
      <c r="D374" s="120" t="s">
        <v>1332</v>
      </c>
      <c r="E374" s="120" t="s">
        <v>615</v>
      </c>
      <c r="F374" s="120" t="s">
        <v>306</v>
      </c>
      <c r="G374" s="120" t="s">
        <v>1458</v>
      </c>
      <c r="H374" s="120">
        <v>2.0</v>
      </c>
      <c r="I374" s="121">
        <v>0.0</v>
      </c>
      <c r="J374" s="121">
        <v>0.5</v>
      </c>
      <c r="K374" s="117"/>
    </row>
    <row r="375" ht="15.75" customHeight="1">
      <c r="A375" s="122" t="s">
        <v>1459</v>
      </c>
      <c r="B375" s="133" t="s">
        <v>1460</v>
      </c>
      <c r="C375" s="120" t="s">
        <v>576</v>
      </c>
      <c r="D375" s="120" t="s">
        <v>1332</v>
      </c>
      <c r="E375" s="120" t="s">
        <v>615</v>
      </c>
      <c r="F375" s="120" t="s">
        <v>306</v>
      </c>
      <c r="G375" s="120" t="s">
        <v>1461</v>
      </c>
      <c r="H375" s="120">
        <v>2.0</v>
      </c>
      <c r="I375" s="121">
        <v>0.0</v>
      </c>
      <c r="J375" s="121">
        <v>1.0</v>
      </c>
      <c r="K375" s="117"/>
    </row>
    <row r="376" ht="15.75" customHeight="1">
      <c r="A376" s="122" t="s">
        <v>881</v>
      </c>
      <c r="B376" s="133" t="s">
        <v>882</v>
      </c>
      <c r="C376" s="120" t="s">
        <v>576</v>
      </c>
      <c r="D376" s="120" t="s">
        <v>700</v>
      </c>
      <c r="E376" s="120" t="s">
        <v>615</v>
      </c>
      <c r="F376" s="120" t="s">
        <v>306</v>
      </c>
      <c r="G376" s="120" t="s">
        <v>1462</v>
      </c>
      <c r="H376" s="120">
        <v>2.0</v>
      </c>
      <c r="I376" s="121">
        <v>0.0</v>
      </c>
      <c r="J376" s="121">
        <v>0.0</v>
      </c>
      <c r="K376" s="117"/>
    </row>
    <row r="377" ht="15.75" customHeight="1">
      <c r="A377" s="122" t="s">
        <v>1463</v>
      </c>
      <c r="B377" s="133" t="s">
        <v>1464</v>
      </c>
      <c r="C377" s="120" t="s">
        <v>576</v>
      </c>
      <c r="D377" s="120" t="s">
        <v>1340</v>
      </c>
      <c r="E377" s="120" t="s">
        <v>615</v>
      </c>
      <c r="F377" s="120" t="s">
        <v>306</v>
      </c>
      <c r="G377" s="120" t="s">
        <v>1466</v>
      </c>
      <c r="H377" s="120">
        <v>2.0</v>
      </c>
      <c r="I377" s="121">
        <v>0.0</v>
      </c>
      <c r="J377" s="121">
        <v>1.0</v>
      </c>
      <c r="K377" s="117"/>
    </row>
    <row r="378" ht="15.75" customHeight="1">
      <c r="A378" s="122" t="s">
        <v>1468</v>
      </c>
      <c r="B378" s="133" t="s">
        <v>1469</v>
      </c>
      <c r="C378" s="120" t="s">
        <v>576</v>
      </c>
      <c r="D378" s="120" t="s">
        <v>1379</v>
      </c>
      <c r="E378" s="120" t="s">
        <v>615</v>
      </c>
      <c r="F378" s="120" t="s">
        <v>306</v>
      </c>
      <c r="G378" s="120" t="s">
        <v>1470</v>
      </c>
      <c r="H378" s="120">
        <v>2.0</v>
      </c>
      <c r="I378" s="121">
        <v>0.0</v>
      </c>
      <c r="J378" s="121">
        <v>0.0</v>
      </c>
      <c r="K378" s="117"/>
    </row>
    <row r="379" ht="15.75" customHeight="1">
      <c r="A379" s="122" t="s">
        <v>1471</v>
      </c>
      <c r="B379" s="133" t="s">
        <v>1472</v>
      </c>
      <c r="C379" s="120" t="s">
        <v>576</v>
      </c>
      <c r="D379" s="120" t="s">
        <v>1428</v>
      </c>
      <c r="E379" s="120" t="s">
        <v>615</v>
      </c>
      <c r="F379" s="120" t="s">
        <v>306</v>
      </c>
      <c r="G379" s="120" t="s">
        <v>1473</v>
      </c>
      <c r="H379" s="120">
        <v>2.0</v>
      </c>
      <c r="I379" s="121">
        <v>0.0</v>
      </c>
      <c r="J379" s="121">
        <v>0.5</v>
      </c>
      <c r="K379" s="117"/>
    </row>
    <row r="380" ht="15.75" customHeight="1">
      <c r="A380" s="122" t="s">
        <v>1474</v>
      </c>
      <c r="B380" s="133" t="s">
        <v>1475</v>
      </c>
      <c r="C380" s="120" t="s">
        <v>576</v>
      </c>
      <c r="D380" s="120" t="s">
        <v>1336</v>
      </c>
      <c r="E380" s="120" t="s">
        <v>615</v>
      </c>
      <c r="F380" s="120" t="s">
        <v>306</v>
      </c>
      <c r="G380" s="120" t="s">
        <v>1476</v>
      </c>
      <c r="H380" s="120">
        <v>1.0</v>
      </c>
      <c r="I380" s="121">
        <v>0.0</v>
      </c>
      <c r="J380" s="121">
        <v>1.0</v>
      </c>
      <c r="K380" s="117"/>
    </row>
    <row r="381" ht="15.75" customHeight="1">
      <c r="A381" s="122" t="s">
        <v>1479</v>
      </c>
      <c r="B381" s="133" t="s">
        <v>1480</v>
      </c>
      <c r="C381" s="120" t="s">
        <v>576</v>
      </c>
      <c r="D381" s="120" t="s">
        <v>1357</v>
      </c>
      <c r="E381" s="120" t="s">
        <v>615</v>
      </c>
      <c r="F381" s="120" t="s">
        <v>306</v>
      </c>
      <c r="G381" s="120" t="s">
        <v>1481</v>
      </c>
      <c r="H381" s="120">
        <v>1.0</v>
      </c>
      <c r="I381" s="121">
        <v>0.0</v>
      </c>
      <c r="J381" s="121">
        <v>0.0</v>
      </c>
      <c r="K381" s="117"/>
    </row>
    <row r="382" ht="15.75" customHeight="1">
      <c r="A382" s="122" t="s">
        <v>1482</v>
      </c>
      <c r="B382" s="133" t="s">
        <v>1483</v>
      </c>
      <c r="C382" s="120" t="s">
        <v>576</v>
      </c>
      <c r="D382" s="120" t="s">
        <v>1357</v>
      </c>
      <c r="E382" s="120" t="s">
        <v>615</v>
      </c>
      <c r="F382" s="120" t="s">
        <v>306</v>
      </c>
      <c r="G382" s="120" t="s">
        <v>1484</v>
      </c>
      <c r="H382" s="120">
        <v>1.0</v>
      </c>
      <c r="I382" s="121">
        <v>0.0</v>
      </c>
      <c r="J382" s="121">
        <v>0.0</v>
      </c>
      <c r="K382" s="117"/>
    </row>
    <row r="383" ht="15.75" customHeight="1">
      <c r="A383" s="122" t="s">
        <v>1485</v>
      </c>
      <c r="B383" s="133" t="s">
        <v>1486</v>
      </c>
      <c r="C383" s="120" t="s">
        <v>576</v>
      </c>
      <c r="D383" s="120" t="s">
        <v>1332</v>
      </c>
      <c r="E383" s="120" t="s">
        <v>615</v>
      </c>
      <c r="F383" s="120" t="s">
        <v>306</v>
      </c>
      <c r="G383" s="120" t="s">
        <v>1487</v>
      </c>
      <c r="H383" s="120">
        <v>1.0</v>
      </c>
      <c r="I383" s="121">
        <v>0.0</v>
      </c>
      <c r="J383" s="121">
        <v>1.0</v>
      </c>
      <c r="K383" s="117"/>
    </row>
    <row r="384" ht="15.75" customHeight="1">
      <c r="A384" s="122" t="s">
        <v>1488</v>
      </c>
      <c r="B384" s="133" t="s">
        <v>1489</v>
      </c>
      <c r="C384" s="120" t="s">
        <v>576</v>
      </c>
      <c r="D384" s="120" t="s">
        <v>1332</v>
      </c>
      <c r="E384" s="120" t="s">
        <v>615</v>
      </c>
      <c r="F384" s="120" t="s">
        <v>306</v>
      </c>
      <c r="G384" s="120" t="s">
        <v>1491</v>
      </c>
      <c r="H384" s="120">
        <v>1.0</v>
      </c>
      <c r="I384" s="121">
        <v>0.0</v>
      </c>
      <c r="J384" s="121">
        <v>1.0</v>
      </c>
      <c r="K384" s="117"/>
    </row>
    <row r="385" ht="15.75" customHeight="1">
      <c r="A385" s="122" t="s">
        <v>1492</v>
      </c>
      <c r="B385" s="133" t="s">
        <v>1493</v>
      </c>
      <c r="C385" s="120" t="s">
        <v>576</v>
      </c>
      <c r="D385" s="120" t="s">
        <v>1332</v>
      </c>
      <c r="E385" s="120" t="s">
        <v>615</v>
      </c>
      <c r="F385" s="120" t="s">
        <v>306</v>
      </c>
      <c r="G385" s="120" t="s">
        <v>1494</v>
      </c>
      <c r="H385" s="120">
        <v>1.0</v>
      </c>
      <c r="I385" s="121">
        <v>0.0</v>
      </c>
      <c r="J385" s="121">
        <v>0.0</v>
      </c>
      <c r="K385" s="117"/>
    </row>
    <row r="386" ht="15.75" customHeight="1">
      <c r="A386" s="122" t="s">
        <v>1495</v>
      </c>
      <c r="B386" s="133" t="s">
        <v>1496</v>
      </c>
      <c r="C386" s="120" t="s">
        <v>576</v>
      </c>
      <c r="D386" s="120" t="s">
        <v>1332</v>
      </c>
      <c r="E386" s="120" t="s">
        <v>615</v>
      </c>
      <c r="F386" s="120" t="s">
        <v>306</v>
      </c>
      <c r="G386" s="120" t="s">
        <v>1498</v>
      </c>
      <c r="H386" s="120">
        <v>1.0</v>
      </c>
      <c r="I386" s="121">
        <v>0.0</v>
      </c>
      <c r="J386" s="121">
        <v>1.0</v>
      </c>
      <c r="K386" s="117"/>
    </row>
    <row r="387" ht="15.75" customHeight="1">
      <c r="A387" s="122" t="s">
        <v>865</v>
      </c>
      <c r="B387" s="133" t="s">
        <v>866</v>
      </c>
      <c r="C387" s="120" t="s">
        <v>576</v>
      </c>
      <c r="D387" s="120" t="s">
        <v>700</v>
      </c>
      <c r="E387" s="120" t="s">
        <v>615</v>
      </c>
      <c r="F387" s="120" t="s">
        <v>306</v>
      </c>
      <c r="G387" s="120" t="s">
        <v>1499</v>
      </c>
      <c r="H387" s="120">
        <v>1.0</v>
      </c>
      <c r="I387" s="121">
        <v>0.0</v>
      </c>
      <c r="J387" s="121">
        <v>0.0</v>
      </c>
      <c r="K387" s="117"/>
    </row>
    <row r="388" ht="15.75" customHeight="1">
      <c r="A388" s="122" t="s">
        <v>1500</v>
      </c>
      <c r="B388" s="133" t="s">
        <v>1501</v>
      </c>
      <c r="C388" s="120" t="s">
        <v>576</v>
      </c>
      <c r="D388" s="120" t="s">
        <v>1502</v>
      </c>
      <c r="E388" s="120" t="s">
        <v>615</v>
      </c>
      <c r="F388" s="120" t="s">
        <v>306</v>
      </c>
      <c r="G388" s="120" t="s">
        <v>1504</v>
      </c>
      <c r="H388" s="120">
        <v>1.0</v>
      </c>
      <c r="I388" s="121">
        <v>0.0</v>
      </c>
      <c r="J388" s="121">
        <v>1.0</v>
      </c>
      <c r="K388" s="117"/>
    </row>
    <row r="389" ht="15.75" customHeight="1">
      <c r="A389" s="122" t="s">
        <v>1505</v>
      </c>
      <c r="B389" s="133" t="s">
        <v>1506</v>
      </c>
      <c r="C389" s="120" t="s">
        <v>576</v>
      </c>
      <c r="D389" s="120" t="s">
        <v>1409</v>
      </c>
      <c r="E389" s="120" t="s">
        <v>615</v>
      </c>
      <c r="F389" s="120" t="s">
        <v>306</v>
      </c>
      <c r="G389" s="120" t="s">
        <v>1507</v>
      </c>
      <c r="H389" s="120">
        <v>1.0</v>
      </c>
      <c r="I389" s="121">
        <v>0.0</v>
      </c>
      <c r="J389" s="121">
        <v>0.0</v>
      </c>
      <c r="K389" s="117"/>
    </row>
    <row r="390" ht="15.75" customHeight="1">
      <c r="A390" s="122" t="s">
        <v>1508</v>
      </c>
      <c r="B390" s="133" t="s">
        <v>1511</v>
      </c>
      <c r="C390" s="120" t="s">
        <v>576</v>
      </c>
      <c r="D390" s="120" t="s">
        <v>1384</v>
      </c>
      <c r="E390" s="120" t="s">
        <v>615</v>
      </c>
      <c r="F390" s="120" t="s">
        <v>306</v>
      </c>
      <c r="G390" s="120" t="s">
        <v>1512</v>
      </c>
      <c r="H390" s="120">
        <v>1.0</v>
      </c>
      <c r="I390" s="121">
        <v>0.0</v>
      </c>
      <c r="J390" s="121">
        <v>0.0</v>
      </c>
      <c r="K390" s="117"/>
    </row>
    <row r="391" ht="15.75" customHeight="1">
      <c r="A391" s="122" t="s">
        <v>1515</v>
      </c>
      <c r="B391" s="133" t="s">
        <v>1516</v>
      </c>
      <c r="C391" s="120" t="s">
        <v>311</v>
      </c>
      <c r="D391" s="120" t="s">
        <v>863</v>
      </c>
      <c r="E391" s="120" t="s">
        <v>615</v>
      </c>
      <c r="F391" s="120" t="s">
        <v>306</v>
      </c>
      <c r="G391" s="120" t="s">
        <v>1517</v>
      </c>
      <c r="H391" s="120">
        <v>168.0</v>
      </c>
      <c r="I391" s="121">
        <v>0.16</v>
      </c>
      <c r="J391" s="121">
        <v>1.56</v>
      </c>
      <c r="K391" s="117"/>
    </row>
    <row r="392" ht="15.75" customHeight="1">
      <c r="A392" s="122" t="s">
        <v>1519</v>
      </c>
      <c r="B392" s="133" t="s">
        <v>1520</v>
      </c>
      <c r="C392" s="120" t="s">
        <v>311</v>
      </c>
      <c r="D392" s="120" t="s">
        <v>942</v>
      </c>
      <c r="E392" s="120" t="s">
        <v>615</v>
      </c>
      <c r="F392" s="120" t="s">
        <v>306</v>
      </c>
      <c r="G392" s="120" t="s">
        <v>1524</v>
      </c>
      <c r="H392" s="120">
        <v>91.0</v>
      </c>
      <c r="I392" s="121">
        <v>0.09</v>
      </c>
      <c r="J392" s="121">
        <v>1.77</v>
      </c>
      <c r="K392" s="117"/>
    </row>
    <row r="393" ht="15.75" customHeight="1">
      <c r="A393" s="122" t="s">
        <v>1527</v>
      </c>
      <c r="B393" s="133" t="s">
        <v>1528</v>
      </c>
      <c r="C393" s="120" t="s">
        <v>311</v>
      </c>
      <c r="D393" s="120" t="s">
        <v>844</v>
      </c>
      <c r="E393" s="120" t="s">
        <v>615</v>
      </c>
      <c r="F393" s="120" t="s">
        <v>306</v>
      </c>
      <c r="G393" s="120" t="s">
        <v>1532</v>
      </c>
      <c r="H393" s="120">
        <v>77.0</v>
      </c>
      <c r="I393" s="121">
        <v>0.08</v>
      </c>
      <c r="J393" s="121">
        <v>1.42</v>
      </c>
      <c r="K393" s="117"/>
    </row>
    <row r="394" ht="15.75" customHeight="1">
      <c r="A394" s="122" t="s">
        <v>1536</v>
      </c>
      <c r="B394" s="133" t="s">
        <v>1537</v>
      </c>
      <c r="C394" s="120" t="s">
        <v>311</v>
      </c>
      <c r="D394" s="120" t="s">
        <v>626</v>
      </c>
      <c r="E394" s="120" t="s">
        <v>615</v>
      </c>
      <c r="F394" s="120" t="s">
        <v>306</v>
      </c>
      <c r="G394" s="120" t="s">
        <v>1538</v>
      </c>
      <c r="H394" s="120">
        <v>73.0</v>
      </c>
      <c r="I394" s="121">
        <v>0.07</v>
      </c>
      <c r="J394" s="121">
        <v>0.84</v>
      </c>
      <c r="K394" s="117"/>
    </row>
    <row r="395" ht="15.75" customHeight="1">
      <c r="A395" s="122" t="s">
        <v>1539</v>
      </c>
      <c r="B395" s="133" t="s">
        <v>1540</v>
      </c>
      <c r="C395" s="120" t="s">
        <v>311</v>
      </c>
      <c r="D395" s="120" t="s">
        <v>888</v>
      </c>
      <c r="E395" s="120" t="s">
        <v>615</v>
      </c>
      <c r="F395" s="120" t="s">
        <v>306</v>
      </c>
      <c r="G395" s="120" t="s">
        <v>1541</v>
      </c>
      <c r="H395" s="120">
        <v>55.0</v>
      </c>
      <c r="I395" s="121">
        <v>0.05</v>
      </c>
      <c r="J395" s="121">
        <v>1.18</v>
      </c>
      <c r="K395" s="117"/>
    </row>
    <row r="396" ht="15.75" customHeight="1">
      <c r="A396" s="122" t="s">
        <v>1542</v>
      </c>
      <c r="B396" s="133" t="s">
        <v>1543</v>
      </c>
      <c r="C396" s="120" t="s">
        <v>311</v>
      </c>
      <c r="D396" s="120" t="s">
        <v>854</v>
      </c>
      <c r="E396" s="120" t="s">
        <v>615</v>
      </c>
      <c r="F396" s="120" t="s">
        <v>306</v>
      </c>
      <c r="G396" s="120" t="s">
        <v>1544</v>
      </c>
      <c r="H396" s="120">
        <v>48.0</v>
      </c>
      <c r="I396" s="121">
        <v>0.05</v>
      </c>
      <c r="J396" s="121">
        <v>0.67</v>
      </c>
      <c r="K396" s="117"/>
    </row>
    <row r="397" ht="15.75" customHeight="1">
      <c r="A397" s="122" t="s">
        <v>1545</v>
      </c>
      <c r="B397" s="133" t="s">
        <v>1546</v>
      </c>
      <c r="C397" s="120" t="s">
        <v>311</v>
      </c>
      <c r="D397" s="120" t="s">
        <v>844</v>
      </c>
      <c r="E397" s="120" t="s">
        <v>615</v>
      </c>
      <c r="F397" s="120" t="s">
        <v>306</v>
      </c>
      <c r="G397" s="120" t="s">
        <v>1547</v>
      </c>
      <c r="H397" s="120">
        <v>45.0</v>
      </c>
      <c r="I397" s="121">
        <v>0.04</v>
      </c>
      <c r="J397" s="121">
        <v>1.24</v>
      </c>
      <c r="K397" s="117"/>
    </row>
    <row r="398" ht="15.75" customHeight="1">
      <c r="A398" s="122" t="s">
        <v>1549</v>
      </c>
      <c r="B398" s="133" t="s">
        <v>1550</v>
      </c>
      <c r="C398" s="120" t="s">
        <v>311</v>
      </c>
      <c r="D398" s="120" t="s">
        <v>684</v>
      </c>
      <c r="E398" s="120" t="s">
        <v>615</v>
      </c>
      <c r="F398" s="120" t="s">
        <v>306</v>
      </c>
      <c r="G398" s="120" t="s">
        <v>1551</v>
      </c>
      <c r="H398" s="120">
        <v>43.0</v>
      </c>
      <c r="I398" s="121">
        <v>0.04</v>
      </c>
      <c r="J398" s="121">
        <v>1.53</v>
      </c>
      <c r="K398" s="117"/>
    </row>
    <row r="399" ht="15.75" customHeight="1">
      <c r="A399" s="122" t="s">
        <v>1553</v>
      </c>
      <c r="B399" s="133" t="s">
        <v>1554</v>
      </c>
      <c r="C399" s="120" t="s">
        <v>311</v>
      </c>
      <c r="D399" s="120" t="s">
        <v>854</v>
      </c>
      <c r="E399" s="120" t="s">
        <v>615</v>
      </c>
      <c r="F399" s="120" t="s">
        <v>306</v>
      </c>
      <c r="G399" s="120" t="s">
        <v>853</v>
      </c>
      <c r="H399" s="120">
        <v>41.0</v>
      </c>
      <c r="I399" s="121">
        <v>0.04</v>
      </c>
      <c r="J399" s="121">
        <v>1.05</v>
      </c>
      <c r="K399" s="117"/>
    </row>
    <row r="400" ht="15.75" customHeight="1">
      <c r="A400" s="122" t="s">
        <v>1563</v>
      </c>
      <c r="B400" s="133" t="s">
        <v>1564</v>
      </c>
      <c r="C400" s="120" t="s">
        <v>311</v>
      </c>
      <c r="D400" s="120" t="s">
        <v>1565</v>
      </c>
      <c r="E400" s="120" t="s">
        <v>615</v>
      </c>
      <c r="F400" s="120" t="s">
        <v>306</v>
      </c>
      <c r="G400" s="120" t="s">
        <v>1566</v>
      </c>
      <c r="H400" s="120">
        <v>39.0</v>
      </c>
      <c r="I400" s="121">
        <v>0.04</v>
      </c>
      <c r="J400" s="121">
        <v>1.77</v>
      </c>
      <c r="K400" s="117"/>
    </row>
    <row r="401" ht="15.75" customHeight="1">
      <c r="A401" s="122" t="s">
        <v>650</v>
      </c>
      <c r="B401" s="133" t="s">
        <v>651</v>
      </c>
      <c r="C401" s="120" t="s">
        <v>311</v>
      </c>
      <c r="D401" s="120" t="s">
        <v>379</v>
      </c>
      <c r="E401" s="120" t="s">
        <v>615</v>
      </c>
      <c r="F401" s="120" t="s">
        <v>306</v>
      </c>
      <c r="G401" s="120" t="s">
        <v>1570</v>
      </c>
      <c r="H401" s="120">
        <v>39.0</v>
      </c>
      <c r="I401" s="121">
        <v>0.04</v>
      </c>
      <c r="J401" s="121">
        <v>2.36</v>
      </c>
      <c r="K401" s="117"/>
    </row>
    <row r="402" ht="15.75" customHeight="1">
      <c r="A402" s="122" t="s">
        <v>1572</v>
      </c>
      <c r="B402" s="133" t="s">
        <v>1573</v>
      </c>
      <c r="C402" s="120" t="s">
        <v>311</v>
      </c>
      <c r="D402" s="120" t="s">
        <v>1575</v>
      </c>
      <c r="E402" s="120" t="s">
        <v>615</v>
      </c>
      <c r="F402" s="120" t="s">
        <v>306</v>
      </c>
      <c r="G402" s="120" t="s">
        <v>1576</v>
      </c>
      <c r="H402" s="120">
        <v>37.0</v>
      </c>
      <c r="I402" s="121">
        <v>0.04</v>
      </c>
      <c r="J402" s="121">
        <v>1.57</v>
      </c>
      <c r="K402" s="117"/>
    </row>
    <row r="403" ht="15.75" customHeight="1">
      <c r="A403" s="122" t="s">
        <v>1579</v>
      </c>
      <c r="B403" s="133" t="s">
        <v>1581</v>
      </c>
      <c r="C403" s="120" t="s">
        <v>311</v>
      </c>
      <c r="D403" s="120" t="s">
        <v>363</v>
      </c>
      <c r="E403" s="120" t="s">
        <v>615</v>
      </c>
      <c r="F403" s="120" t="s">
        <v>306</v>
      </c>
      <c r="G403" s="120" t="s">
        <v>1584</v>
      </c>
      <c r="H403" s="120">
        <v>36.0</v>
      </c>
      <c r="I403" s="121">
        <v>0.04</v>
      </c>
      <c r="J403" s="121">
        <v>2.39</v>
      </c>
      <c r="K403" s="117"/>
    </row>
    <row r="404" ht="15.75" customHeight="1">
      <c r="A404" s="122" t="s">
        <v>1588</v>
      </c>
      <c r="B404" s="133" t="s">
        <v>1590</v>
      </c>
      <c r="C404" s="120" t="s">
        <v>311</v>
      </c>
      <c r="D404" s="120" t="s">
        <v>1592</v>
      </c>
      <c r="E404" s="120" t="s">
        <v>615</v>
      </c>
      <c r="F404" s="120" t="s">
        <v>306</v>
      </c>
      <c r="G404" s="120" t="s">
        <v>1593</v>
      </c>
      <c r="H404" s="120">
        <v>35.0</v>
      </c>
      <c r="I404" s="121">
        <v>0.03</v>
      </c>
      <c r="J404" s="121">
        <v>1.83</v>
      </c>
      <c r="K404" s="117"/>
    </row>
    <row r="405" ht="15.75" customHeight="1">
      <c r="A405" s="122" t="s">
        <v>1594</v>
      </c>
      <c r="B405" s="133" t="s">
        <v>1596</v>
      </c>
      <c r="C405" s="120" t="s">
        <v>311</v>
      </c>
      <c r="D405" s="120" t="s">
        <v>688</v>
      </c>
      <c r="E405" s="120" t="s">
        <v>615</v>
      </c>
      <c r="F405" s="120" t="s">
        <v>306</v>
      </c>
      <c r="G405" s="120" t="s">
        <v>1600</v>
      </c>
      <c r="H405" s="120">
        <v>34.0</v>
      </c>
      <c r="I405" s="121">
        <v>0.03</v>
      </c>
      <c r="J405" s="121">
        <v>1.09</v>
      </c>
      <c r="K405" s="117"/>
    </row>
    <row r="406" ht="15.75" customHeight="1">
      <c r="A406" s="122" t="s">
        <v>1604</v>
      </c>
      <c r="B406" s="133" t="s">
        <v>1605</v>
      </c>
      <c r="C406" s="120" t="s">
        <v>311</v>
      </c>
      <c r="D406" s="120" t="s">
        <v>1607</v>
      </c>
      <c r="E406" s="120" t="s">
        <v>615</v>
      </c>
      <c r="F406" s="120" t="s">
        <v>306</v>
      </c>
      <c r="G406" s="120" t="s">
        <v>1610</v>
      </c>
      <c r="H406" s="120">
        <v>32.0</v>
      </c>
      <c r="I406" s="121">
        <v>0.03</v>
      </c>
      <c r="J406" s="121">
        <v>0.91</v>
      </c>
      <c r="K406" s="117"/>
    </row>
    <row r="407" ht="15.75" customHeight="1">
      <c r="A407" s="122" t="s">
        <v>1614</v>
      </c>
      <c r="B407" s="133" t="s">
        <v>1615</v>
      </c>
      <c r="C407" s="120" t="s">
        <v>311</v>
      </c>
      <c r="D407" s="120" t="s">
        <v>655</v>
      </c>
      <c r="E407" s="120" t="s">
        <v>615</v>
      </c>
      <c r="F407" s="120" t="s">
        <v>306</v>
      </c>
      <c r="G407" s="120" t="s">
        <v>1619</v>
      </c>
      <c r="H407" s="120">
        <v>31.0</v>
      </c>
      <c r="I407" s="121">
        <v>0.03</v>
      </c>
      <c r="J407" s="121">
        <v>0.97</v>
      </c>
      <c r="K407" s="117"/>
    </row>
    <row r="408" ht="15.75" customHeight="1">
      <c r="A408" s="122" t="s">
        <v>1620</v>
      </c>
      <c r="B408" s="133" t="s">
        <v>1622</v>
      </c>
      <c r="C408" s="120" t="s">
        <v>311</v>
      </c>
      <c r="D408" s="120" t="s">
        <v>888</v>
      </c>
      <c r="E408" s="120" t="s">
        <v>615</v>
      </c>
      <c r="F408" s="120" t="s">
        <v>306</v>
      </c>
      <c r="G408" s="120" t="s">
        <v>1626</v>
      </c>
      <c r="H408" s="120">
        <v>31.0</v>
      </c>
      <c r="I408" s="121">
        <v>0.03</v>
      </c>
      <c r="J408" s="121">
        <v>0.61</v>
      </c>
      <c r="K408" s="117"/>
    </row>
    <row r="409" ht="15.75" customHeight="1">
      <c r="A409" s="122" t="s">
        <v>1629</v>
      </c>
      <c r="B409" s="133" t="s">
        <v>1631</v>
      </c>
      <c r="C409" s="120" t="s">
        <v>311</v>
      </c>
      <c r="D409" s="120" t="s">
        <v>626</v>
      </c>
      <c r="E409" s="120" t="s">
        <v>615</v>
      </c>
      <c r="F409" s="120" t="s">
        <v>306</v>
      </c>
      <c r="G409" s="120" t="s">
        <v>1638</v>
      </c>
      <c r="H409" s="120">
        <v>30.0</v>
      </c>
      <c r="I409" s="121">
        <v>0.03</v>
      </c>
      <c r="J409" s="121">
        <v>1.8</v>
      </c>
      <c r="K409" s="117"/>
    </row>
    <row r="410" ht="15.75" customHeight="1">
      <c r="A410" s="122" t="s">
        <v>1641</v>
      </c>
      <c r="B410" s="133" t="s">
        <v>1643</v>
      </c>
      <c r="C410" s="120" t="s">
        <v>311</v>
      </c>
      <c r="D410" s="120" t="s">
        <v>1644</v>
      </c>
      <c r="E410" s="120" t="s">
        <v>615</v>
      </c>
      <c r="F410" s="120" t="s">
        <v>306</v>
      </c>
      <c r="G410" s="120" t="s">
        <v>1646</v>
      </c>
      <c r="H410" s="120">
        <v>30.0</v>
      </c>
      <c r="I410" s="121">
        <v>0.03</v>
      </c>
      <c r="J410" s="121">
        <v>0.87</v>
      </c>
      <c r="K410" s="117"/>
    </row>
    <row r="411" ht="15.75" customHeight="1">
      <c r="A411" s="122" t="s">
        <v>1650</v>
      </c>
      <c r="B411" s="133" t="s">
        <v>1651</v>
      </c>
      <c r="C411" s="120" t="s">
        <v>311</v>
      </c>
      <c r="D411" s="120" t="s">
        <v>688</v>
      </c>
      <c r="E411" s="120" t="s">
        <v>615</v>
      </c>
      <c r="F411" s="120" t="s">
        <v>306</v>
      </c>
      <c r="G411" s="120" t="s">
        <v>1653</v>
      </c>
      <c r="H411" s="120">
        <v>30.0</v>
      </c>
      <c r="I411" s="121">
        <v>0.03</v>
      </c>
      <c r="J411" s="121">
        <v>2.5</v>
      </c>
      <c r="K411" s="117"/>
    </row>
    <row r="412" ht="15.75" customHeight="1">
      <c r="A412" s="122" t="s">
        <v>1656</v>
      </c>
      <c r="B412" s="133" t="s">
        <v>1658</v>
      </c>
      <c r="C412" s="120" t="s">
        <v>311</v>
      </c>
      <c r="D412" s="120" t="s">
        <v>844</v>
      </c>
      <c r="E412" s="120" t="s">
        <v>615</v>
      </c>
      <c r="F412" s="120" t="s">
        <v>306</v>
      </c>
      <c r="G412" s="120" t="s">
        <v>1662</v>
      </c>
      <c r="H412" s="120">
        <v>29.0</v>
      </c>
      <c r="I412" s="121">
        <v>0.03</v>
      </c>
      <c r="J412" s="121">
        <v>0.76</v>
      </c>
      <c r="K412" s="117"/>
    </row>
    <row r="413" ht="15.75" customHeight="1">
      <c r="A413" s="122" t="s">
        <v>1665</v>
      </c>
      <c r="B413" s="133" t="s">
        <v>1666</v>
      </c>
      <c r="C413" s="120" t="s">
        <v>311</v>
      </c>
      <c r="D413" s="120" t="s">
        <v>363</v>
      </c>
      <c r="E413" s="120" t="s">
        <v>615</v>
      </c>
      <c r="F413" s="120" t="s">
        <v>306</v>
      </c>
      <c r="G413" s="120" t="s">
        <v>1667</v>
      </c>
      <c r="H413" s="120">
        <v>28.0</v>
      </c>
      <c r="I413" s="121">
        <v>0.03</v>
      </c>
      <c r="J413" s="121">
        <v>0.61</v>
      </c>
      <c r="K413" s="117"/>
    </row>
    <row r="414" ht="15.75" customHeight="1">
      <c r="A414" s="122" t="s">
        <v>1672</v>
      </c>
      <c r="B414" s="133" t="s">
        <v>1673</v>
      </c>
      <c r="C414" s="120" t="s">
        <v>311</v>
      </c>
      <c r="D414" s="120" t="s">
        <v>363</v>
      </c>
      <c r="E414" s="120" t="s">
        <v>615</v>
      </c>
      <c r="F414" s="120" t="s">
        <v>306</v>
      </c>
      <c r="G414" s="120" t="s">
        <v>1676</v>
      </c>
      <c r="H414" s="120">
        <v>28.0</v>
      </c>
      <c r="I414" s="121">
        <v>0.03</v>
      </c>
      <c r="J414" s="121">
        <v>2.04</v>
      </c>
      <c r="K414" s="117"/>
    </row>
    <row r="415" ht="15.75" customHeight="1">
      <c r="A415" s="122" t="s">
        <v>710</v>
      </c>
      <c r="B415" s="133" t="s">
        <v>711</v>
      </c>
      <c r="C415" s="120" t="s">
        <v>311</v>
      </c>
      <c r="D415" s="120" t="s">
        <v>375</v>
      </c>
      <c r="E415" s="120" t="s">
        <v>615</v>
      </c>
      <c r="F415" s="120" t="s">
        <v>306</v>
      </c>
      <c r="G415" s="120" t="s">
        <v>1680</v>
      </c>
      <c r="H415" s="120">
        <v>27.0</v>
      </c>
      <c r="I415" s="121">
        <v>0.03</v>
      </c>
      <c r="J415" s="121">
        <v>1.04</v>
      </c>
      <c r="K415" s="117"/>
    </row>
    <row r="416" ht="15.75" customHeight="1">
      <c r="A416" s="122" t="s">
        <v>1683</v>
      </c>
      <c r="B416" s="133" t="s">
        <v>1684</v>
      </c>
      <c r="C416" s="120" t="s">
        <v>311</v>
      </c>
      <c r="D416" s="120" t="s">
        <v>844</v>
      </c>
      <c r="E416" s="120" t="s">
        <v>615</v>
      </c>
      <c r="F416" s="120" t="s">
        <v>306</v>
      </c>
      <c r="G416" s="120" t="s">
        <v>1688</v>
      </c>
      <c r="H416" s="120">
        <v>27.0</v>
      </c>
      <c r="I416" s="121">
        <v>0.03</v>
      </c>
      <c r="J416" s="121">
        <v>2.11</v>
      </c>
      <c r="K416" s="117"/>
    </row>
    <row r="417" ht="15.75" customHeight="1">
      <c r="A417" s="122" t="s">
        <v>1691</v>
      </c>
      <c r="B417" s="133" t="s">
        <v>1692</v>
      </c>
      <c r="C417" s="120" t="s">
        <v>311</v>
      </c>
      <c r="D417" s="120" t="s">
        <v>1694</v>
      </c>
      <c r="E417" s="120" t="s">
        <v>615</v>
      </c>
      <c r="F417" s="120" t="s">
        <v>306</v>
      </c>
      <c r="G417" s="120" t="s">
        <v>1697</v>
      </c>
      <c r="H417" s="120">
        <v>26.0</v>
      </c>
      <c r="I417" s="121">
        <v>0.03</v>
      </c>
      <c r="J417" s="121">
        <v>0.73</v>
      </c>
      <c r="K417" s="117"/>
    </row>
    <row r="418" ht="15.75" customHeight="1">
      <c r="A418" s="122" t="s">
        <v>1700</v>
      </c>
      <c r="B418" s="133" t="s">
        <v>1701</v>
      </c>
      <c r="C418" s="120" t="s">
        <v>311</v>
      </c>
      <c r="D418" s="120" t="s">
        <v>932</v>
      </c>
      <c r="E418" s="120" t="s">
        <v>615</v>
      </c>
      <c r="F418" s="120" t="s">
        <v>306</v>
      </c>
      <c r="G418" s="120" t="s">
        <v>1705</v>
      </c>
      <c r="H418" s="120">
        <v>25.0</v>
      </c>
      <c r="I418" s="121">
        <v>0.02</v>
      </c>
      <c r="J418" s="121">
        <v>1.64</v>
      </c>
      <c r="K418" s="117"/>
    </row>
    <row r="419" ht="15.75" customHeight="1">
      <c r="A419" s="122" t="s">
        <v>1709</v>
      </c>
      <c r="B419" s="133" t="s">
        <v>1710</v>
      </c>
      <c r="C419" s="120" t="s">
        <v>311</v>
      </c>
      <c r="D419" s="120" t="s">
        <v>353</v>
      </c>
      <c r="E419" s="120" t="s">
        <v>615</v>
      </c>
      <c r="F419" s="120" t="s">
        <v>306</v>
      </c>
      <c r="G419" s="120" t="s">
        <v>1714</v>
      </c>
      <c r="H419" s="120">
        <v>25.0</v>
      </c>
      <c r="I419" s="121">
        <v>0.02</v>
      </c>
      <c r="J419" s="121">
        <v>1.52</v>
      </c>
      <c r="K419" s="117"/>
    </row>
    <row r="420" ht="15.75" customHeight="1">
      <c r="A420" s="122" t="s">
        <v>1717</v>
      </c>
      <c r="B420" s="133" t="s">
        <v>1718</v>
      </c>
      <c r="C420" s="120" t="s">
        <v>311</v>
      </c>
      <c r="D420" s="120" t="s">
        <v>1575</v>
      </c>
      <c r="E420" s="120" t="s">
        <v>615</v>
      </c>
      <c r="F420" s="120" t="s">
        <v>306</v>
      </c>
      <c r="G420" s="120" t="s">
        <v>1722</v>
      </c>
      <c r="H420" s="120">
        <v>24.0</v>
      </c>
      <c r="I420" s="121">
        <v>0.02</v>
      </c>
      <c r="J420" s="121">
        <v>0.58</v>
      </c>
      <c r="K420" s="117"/>
    </row>
    <row r="421" ht="15.75" customHeight="1">
      <c r="A421" s="122" t="s">
        <v>1726</v>
      </c>
      <c r="B421" s="133" t="s">
        <v>1727</v>
      </c>
      <c r="C421" s="120" t="s">
        <v>311</v>
      </c>
      <c r="D421" s="120" t="s">
        <v>942</v>
      </c>
      <c r="E421" s="120" t="s">
        <v>615</v>
      </c>
      <c r="F421" s="120" t="s">
        <v>306</v>
      </c>
      <c r="G421" s="120" t="s">
        <v>1730</v>
      </c>
      <c r="H421" s="120">
        <v>24.0</v>
      </c>
      <c r="I421" s="121">
        <v>0.02</v>
      </c>
      <c r="J421" s="121">
        <v>0.63</v>
      </c>
      <c r="K421" s="117"/>
    </row>
    <row r="422" ht="15.75" customHeight="1">
      <c r="A422" s="122" t="s">
        <v>1736</v>
      </c>
      <c r="B422" s="133" t="s">
        <v>1737</v>
      </c>
      <c r="C422" s="120" t="s">
        <v>311</v>
      </c>
      <c r="D422" s="120" t="s">
        <v>1740</v>
      </c>
      <c r="E422" s="120" t="s">
        <v>615</v>
      </c>
      <c r="F422" s="120" t="s">
        <v>306</v>
      </c>
      <c r="G422" s="120" t="s">
        <v>1741</v>
      </c>
      <c r="H422" s="120">
        <v>24.0</v>
      </c>
      <c r="I422" s="121">
        <v>0.02</v>
      </c>
      <c r="J422" s="121">
        <v>0.38</v>
      </c>
      <c r="K422" s="117"/>
    </row>
    <row r="423" ht="15.75" customHeight="1">
      <c r="A423" s="122" t="s">
        <v>1743</v>
      </c>
      <c r="B423" s="133" t="s">
        <v>1745</v>
      </c>
      <c r="C423" s="120" t="s">
        <v>311</v>
      </c>
      <c r="D423" s="120" t="s">
        <v>1607</v>
      </c>
      <c r="E423" s="120" t="s">
        <v>615</v>
      </c>
      <c r="F423" s="120" t="s">
        <v>306</v>
      </c>
      <c r="G423" s="120" t="s">
        <v>1748</v>
      </c>
      <c r="H423" s="120">
        <v>23.0</v>
      </c>
      <c r="I423" s="121">
        <v>0.02</v>
      </c>
      <c r="J423" s="121">
        <v>0.74</v>
      </c>
      <c r="K423" s="117"/>
    </row>
    <row r="424" ht="15.75" customHeight="1">
      <c r="A424" s="122" t="s">
        <v>1751</v>
      </c>
      <c r="B424" s="133" t="s">
        <v>1753</v>
      </c>
      <c r="C424" s="120" t="s">
        <v>311</v>
      </c>
      <c r="D424" s="120" t="s">
        <v>1754</v>
      </c>
      <c r="E424" s="120" t="s">
        <v>615</v>
      </c>
      <c r="F424" s="120" t="s">
        <v>306</v>
      </c>
      <c r="G424" s="120" t="s">
        <v>1757</v>
      </c>
      <c r="H424" s="120">
        <v>20.0</v>
      </c>
      <c r="I424" s="121">
        <v>0.02</v>
      </c>
      <c r="J424" s="121">
        <v>0.85</v>
      </c>
      <c r="K424" s="117"/>
    </row>
    <row r="425" ht="15.75" customHeight="1">
      <c r="A425" s="122" t="s">
        <v>1761</v>
      </c>
      <c r="B425" s="133" t="s">
        <v>1763</v>
      </c>
      <c r="C425" s="120" t="s">
        <v>311</v>
      </c>
      <c r="D425" s="120" t="s">
        <v>655</v>
      </c>
      <c r="E425" s="120" t="s">
        <v>615</v>
      </c>
      <c r="F425" s="120" t="s">
        <v>306</v>
      </c>
      <c r="G425" s="120" t="s">
        <v>1764</v>
      </c>
      <c r="H425" s="120">
        <v>20.0</v>
      </c>
      <c r="I425" s="121">
        <v>0.02</v>
      </c>
      <c r="J425" s="121">
        <v>0.0</v>
      </c>
      <c r="K425" s="117"/>
    </row>
    <row r="426" ht="15.75" customHeight="1">
      <c r="A426" s="122" t="s">
        <v>1767</v>
      </c>
      <c r="B426" s="133" t="s">
        <v>1769</v>
      </c>
      <c r="C426" s="120" t="s">
        <v>311</v>
      </c>
      <c r="D426" s="120" t="s">
        <v>1771</v>
      </c>
      <c r="E426" s="120" t="s">
        <v>615</v>
      </c>
      <c r="F426" s="120" t="s">
        <v>306</v>
      </c>
      <c r="G426" s="120" t="s">
        <v>1773</v>
      </c>
      <c r="H426" s="120">
        <v>17.0</v>
      </c>
      <c r="I426" s="121">
        <v>0.02</v>
      </c>
      <c r="J426" s="121">
        <v>0.88</v>
      </c>
      <c r="K426" s="117"/>
    </row>
    <row r="427" ht="15.75" customHeight="1">
      <c r="A427" s="122" t="s">
        <v>653</v>
      </c>
      <c r="B427" s="133" t="s">
        <v>654</v>
      </c>
      <c r="C427" s="120" t="s">
        <v>311</v>
      </c>
      <c r="D427" s="120" t="s">
        <v>655</v>
      </c>
      <c r="E427" s="120" t="s">
        <v>615</v>
      </c>
      <c r="F427" s="120" t="s">
        <v>306</v>
      </c>
      <c r="G427" s="120" t="s">
        <v>1776</v>
      </c>
      <c r="H427" s="120">
        <v>16.0</v>
      </c>
      <c r="I427" s="121">
        <v>0.02</v>
      </c>
      <c r="J427" s="121">
        <v>0.63</v>
      </c>
      <c r="K427" s="117"/>
    </row>
    <row r="428" ht="15.75" customHeight="1">
      <c r="A428" s="122" t="s">
        <v>1780</v>
      </c>
      <c r="B428" s="133" t="s">
        <v>1782</v>
      </c>
      <c r="C428" s="120" t="s">
        <v>311</v>
      </c>
      <c r="D428" s="120" t="s">
        <v>1783</v>
      </c>
      <c r="E428" s="120" t="s">
        <v>615</v>
      </c>
      <c r="F428" s="120" t="s">
        <v>306</v>
      </c>
      <c r="G428" s="120" t="s">
        <v>1785</v>
      </c>
      <c r="H428" s="120">
        <v>15.0</v>
      </c>
      <c r="I428" s="121">
        <v>0.01</v>
      </c>
      <c r="J428" s="121">
        <v>0.6</v>
      </c>
      <c r="K428" s="117"/>
    </row>
    <row r="429" ht="15.75" customHeight="1">
      <c r="A429" s="122" t="s">
        <v>1786</v>
      </c>
      <c r="B429" s="133" t="s">
        <v>1787</v>
      </c>
      <c r="C429" s="120" t="s">
        <v>311</v>
      </c>
      <c r="D429" s="120" t="s">
        <v>854</v>
      </c>
      <c r="E429" s="120" t="s">
        <v>615</v>
      </c>
      <c r="F429" s="120" t="s">
        <v>306</v>
      </c>
      <c r="G429" s="120" t="s">
        <v>1791</v>
      </c>
      <c r="H429" s="120">
        <v>15.0</v>
      </c>
      <c r="I429" s="121">
        <v>0.01</v>
      </c>
      <c r="J429" s="121">
        <v>0.6</v>
      </c>
      <c r="K429" s="117"/>
    </row>
    <row r="430" ht="15.75" customHeight="1">
      <c r="A430" s="122" t="s">
        <v>810</v>
      </c>
      <c r="B430" s="133" t="s">
        <v>811</v>
      </c>
      <c r="C430" s="120" t="s">
        <v>311</v>
      </c>
      <c r="D430" s="120" t="s">
        <v>375</v>
      </c>
      <c r="E430" s="120" t="s">
        <v>615</v>
      </c>
      <c r="F430" s="120" t="s">
        <v>306</v>
      </c>
      <c r="G430" s="120" t="s">
        <v>813</v>
      </c>
      <c r="H430" s="120">
        <v>15.0</v>
      </c>
      <c r="I430" s="121">
        <v>0.01</v>
      </c>
      <c r="J430" s="121">
        <v>0.47</v>
      </c>
      <c r="K430" s="117"/>
    </row>
    <row r="431" ht="15.75" customHeight="1">
      <c r="A431" s="122" t="s">
        <v>1796</v>
      </c>
      <c r="B431" s="133" t="s">
        <v>1798</v>
      </c>
      <c r="C431" s="120" t="s">
        <v>311</v>
      </c>
      <c r="D431" s="120" t="s">
        <v>1607</v>
      </c>
      <c r="E431" s="120" t="s">
        <v>615</v>
      </c>
      <c r="F431" s="120" t="s">
        <v>306</v>
      </c>
      <c r="G431" s="120" t="s">
        <v>1801</v>
      </c>
      <c r="H431" s="120">
        <v>15.0</v>
      </c>
      <c r="I431" s="121">
        <v>0.01</v>
      </c>
      <c r="J431" s="121">
        <v>0.07</v>
      </c>
      <c r="K431" s="117"/>
    </row>
    <row r="432" ht="15.75" customHeight="1">
      <c r="A432" s="122" t="s">
        <v>1803</v>
      </c>
      <c r="B432" s="133" t="s">
        <v>1805</v>
      </c>
      <c r="C432" s="120" t="s">
        <v>311</v>
      </c>
      <c r="D432" s="120" t="s">
        <v>844</v>
      </c>
      <c r="E432" s="120" t="s">
        <v>615</v>
      </c>
      <c r="F432" s="120" t="s">
        <v>306</v>
      </c>
      <c r="G432" s="120" t="s">
        <v>1809</v>
      </c>
      <c r="H432" s="120">
        <v>15.0</v>
      </c>
      <c r="I432" s="121">
        <v>0.01</v>
      </c>
      <c r="J432" s="121">
        <v>0.67</v>
      </c>
      <c r="K432" s="117"/>
    </row>
    <row r="433" ht="15.75" customHeight="1">
      <c r="A433" s="122" t="s">
        <v>1814</v>
      </c>
      <c r="B433" s="133" t="s">
        <v>1815</v>
      </c>
      <c r="C433" s="120" t="s">
        <v>311</v>
      </c>
      <c r="D433" s="120" t="s">
        <v>353</v>
      </c>
      <c r="E433" s="120" t="s">
        <v>615</v>
      </c>
      <c r="F433" s="120" t="s">
        <v>306</v>
      </c>
      <c r="G433" s="120" t="s">
        <v>1816</v>
      </c>
      <c r="H433" s="120">
        <v>15.0</v>
      </c>
      <c r="I433" s="121">
        <v>0.01</v>
      </c>
      <c r="J433" s="121">
        <v>2.4</v>
      </c>
      <c r="K433" s="117"/>
    </row>
    <row r="434" ht="15.75" customHeight="1">
      <c r="A434" s="122" t="s">
        <v>958</v>
      </c>
      <c r="B434" s="133" t="s">
        <v>959</v>
      </c>
      <c r="C434" s="120" t="s">
        <v>311</v>
      </c>
      <c r="D434" s="120" t="s">
        <v>304</v>
      </c>
      <c r="E434" s="120" t="s">
        <v>615</v>
      </c>
      <c r="F434" s="120" t="s">
        <v>306</v>
      </c>
      <c r="G434" s="120" t="s">
        <v>1823</v>
      </c>
      <c r="H434" s="120">
        <v>15.0</v>
      </c>
      <c r="I434" s="121">
        <v>0.01</v>
      </c>
      <c r="J434" s="121">
        <v>1.67</v>
      </c>
      <c r="K434" s="117"/>
    </row>
    <row r="435" ht="15.75" customHeight="1">
      <c r="A435" s="122" t="s">
        <v>1824</v>
      </c>
      <c r="B435" s="133" t="s">
        <v>1826</v>
      </c>
      <c r="C435" s="120" t="s">
        <v>311</v>
      </c>
      <c r="D435" s="120" t="s">
        <v>1694</v>
      </c>
      <c r="E435" s="120" t="s">
        <v>615</v>
      </c>
      <c r="F435" s="120" t="s">
        <v>306</v>
      </c>
      <c r="G435" s="120" t="s">
        <v>1830</v>
      </c>
      <c r="H435" s="120">
        <v>14.0</v>
      </c>
      <c r="I435" s="121">
        <v>0.01</v>
      </c>
      <c r="J435" s="121">
        <v>1.5</v>
      </c>
      <c r="K435" s="117"/>
    </row>
    <row r="436" ht="15.75" customHeight="1">
      <c r="A436" s="122" t="s">
        <v>1833</v>
      </c>
      <c r="B436" s="133" t="s">
        <v>714</v>
      </c>
      <c r="C436" s="120" t="s">
        <v>311</v>
      </c>
      <c r="D436" s="120" t="s">
        <v>663</v>
      </c>
      <c r="E436" s="120" t="s">
        <v>615</v>
      </c>
      <c r="F436" s="120" t="s">
        <v>306</v>
      </c>
      <c r="G436" s="120" t="s">
        <v>1836</v>
      </c>
      <c r="H436" s="120">
        <v>14.0</v>
      </c>
      <c r="I436" s="121">
        <v>0.01</v>
      </c>
      <c r="J436" s="121">
        <v>0.64</v>
      </c>
      <c r="K436" s="117"/>
    </row>
    <row r="437" ht="15.75" customHeight="1">
      <c r="A437" s="122" t="s">
        <v>1840</v>
      </c>
      <c r="B437" s="133" t="s">
        <v>1842</v>
      </c>
      <c r="C437" s="120" t="s">
        <v>311</v>
      </c>
      <c r="D437" s="120" t="s">
        <v>353</v>
      </c>
      <c r="E437" s="120" t="s">
        <v>615</v>
      </c>
      <c r="F437" s="120" t="s">
        <v>306</v>
      </c>
      <c r="G437" s="120" t="s">
        <v>1844</v>
      </c>
      <c r="H437" s="120">
        <v>14.0</v>
      </c>
      <c r="I437" s="121">
        <v>0.01</v>
      </c>
      <c r="J437" s="121">
        <v>0.79</v>
      </c>
      <c r="K437" s="117"/>
    </row>
    <row r="438" ht="15.75" customHeight="1">
      <c r="A438" s="122" t="s">
        <v>1848</v>
      </c>
      <c r="B438" s="133" t="s">
        <v>1849</v>
      </c>
      <c r="C438" s="120" t="s">
        <v>311</v>
      </c>
      <c r="D438" s="120" t="s">
        <v>353</v>
      </c>
      <c r="E438" s="120" t="s">
        <v>615</v>
      </c>
      <c r="F438" s="120" t="s">
        <v>306</v>
      </c>
      <c r="G438" s="120" t="s">
        <v>1853</v>
      </c>
      <c r="H438" s="120">
        <v>14.0</v>
      </c>
      <c r="I438" s="121">
        <v>0.01</v>
      </c>
      <c r="J438" s="121">
        <v>0.64</v>
      </c>
      <c r="K438" s="117"/>
    </row>
    <row r="439" ht="15.75" customHeight="1">
      <c r="A439" s="122" t="s">
        <v>1856</v>
      </c>
      <c r="B439" s="133" t="s">
        <v>1857</v>
      </c>
      <c r="C439" s="120" t="s">
        <v>311</v>
      </c>
      <c r="D439" s="120" t="s">
        <v>1694</v>
      </c>
      <c r="E439" s="120" t="s">
        <v>615</v>
      </c>
      <c r="F439" s="120" t="s">
        <v>306</v>
      </c>
      <c r="G439" s="120" t="s">
        <v>1830</v>
      </c>
      <c r="H439" s="120">
        <v>13.0</v>
      </c>
      <c r="I439" s="121">
        <v>0.01</v>
      </c>
      <c r="J439" s="121">
        <v>0.77</v>
      </c>
      <c r="K439" s="117"/>
    </row>
    <row r="440" ht="15.75" customHeight="1">
      <c r="A440" s="122" t="s">
        <v>1862</v>
      </c>
      <c r="B440" s="133" t="s">
        <v>1864</v>
      </c>
      <c r="C440" s="120" t="s">
        <v>311</v>
      </c>
      <c r="D440" s="120" t="s">
        <v>663</v>
      </c>
      <c r="E440" s="120" t="s">
        <v>615</v>
      </c>
      <c r="F440" s="120" t="s">
        <v>306</v>
      </c>
      <c r="G440" s="120" t="s">
        <v>1866</v>
      </c>
      <c r="H440" s="120">
        <v>13.0</v>
      </c>
      <c r="I440" s="121">
        <v>0.01</v>
      </c>
      <c r="J440" s="121">
        <v>0.62</v>
      </c>
      <c r="K440" s="117"/>
    </row>
    <row r="441" ht="15.75" customHeight="1">
      <c r="A441" s="122" t="s">
        <v>693</v>
      </c>
      <c r="B441" s="133" t="s">
        <v>694</v>
      </c>
      <c r="C441" s="120" t="s">
        <v>311</v>
      </c>
      <c r="D441" s="120" t="s">
        <v>379</v>
      </c>
      <c r="E441" s="120" t="s">
        <v>615</v>
      </c>
      <c r="F441" s="120" t="s">
        <v>306</v>
      </c>
      <c r="G441" s="120" t="s">
        <v>1570</v>
      </c>
      <c r="H441" s="120">
        <v>13.0</v>
      </c>
      <c r="I441" s="121">
        <v>0.01</v>
      </c>
      <c r="J441" s="121">
        <v>1.69</v>
      </c>
      <c r="K441" s="117"/>
    </row>
    <row r="442" ht="15.75" customHeight="1">
      <c r="A442" s="122" t="s">
        <v>1872</v>
      </c>
      <c r="B442" s="133" t="s">
        <v>1873</v>
      </c>
      <c r="C442" s="120" t="s">
        <v>311</v>
      </c>
      <c r="D442" s="120" t="s">
        <v>1874</v>
      </c>
      <c r="E442" s="120" t="s">
        <v>615</v>
      </c>
      <c r="F442" s="120" t="s">
        <v>306</v>
      </c>
      <c r="G442" s="120" t="s">
        <v>1875</v>
      </c>
      <c r="H442" s="120">
        <v>13.0</v>
      </c>
      <c r="I442" s="121">
        <v>0.01</v>
      </c>
      <c r="J442" s="121">
        <v>0.15</v>
      </c>
      <c r="K442" s="117"/>
    </row>
    <row r="443" ht="15.75" customHeight="1">
      <c r="A443" s="122" t="s">
        <v>1876</v>
      </c>
      <c r="B443" s="133" t="s">
        <v>1877</v>
      </c>
      <c r="C443" s="120" t="s">
        <v>311</v>
      </c>
      <c r="D443" s="120" t="s">
        <v>854</v>
      </c>
      <c r="E443" s="120" t="s">
        <v>615</v>
      </c>
      <c r="F443" s="120" t="s">
        <v>306</v>
      </c>
      <c r="G443" s="120" t="s">
        <v>853</v>
      </c>
      <c r="H443" s="120">
        <v>12.0</v>
      </c>
      <c r="I443" s="121">
        <v>0.01</v>
      </c>
      <c r="J443" s="121">
        <v>0.67</v>
      </c>
      <c r="K443" s="117"/>
    </row>
    <row r="444" ht="15.75" customHeight="1">
      <c r="A444" s="122" t="s">
        <v>947</v>
      </c>
      <c r="B444" s="133" t="s">
        <v>948</v>
      </c>
      <c r="C444" s="120" t="s">
        <v>311</v>
      </c>
      <c r="D444" s="120" t="s">
        <v>375</v>
      </c>
      <c r="E444" s="120" t="s">
        <v>615</v>
      </c>
      <c r="F444" s="120" t="s">
        <v>306</v>
      </c>
      <c r="G444" s="120" t="s">
        <v>949</v>
      </c>
      <c r="H444" s="120">
        <v>12.0</v>
      </c>
      <c r="I444" s="121">
        <v>0.01</v>
      </c>
      <c r="J444" s="121">
        <v>0.0</v>
      </c>
      <c r="K444" s="117"/>
    </row>
    <row r="445" ht="15.75" customHeight="1">
      <c r="A445" s="122" t="s">
        <v>1885</v>
      </c>
      <c r="B445" s="133" t="s">
        <v>1887</v>
      </c>
      <c r="C445" s="120" t="s">
        <v>311</v>
      </c>
      <c r="D445" s="120" t="s">
        <v>688</v>
      </c>
      <c r="E445" s="120" t="s">
        <v>615</v>
      </c>
      <c r="F445" s="120" t="s">
        <v>306</v>
      </c>
      <c r="G445" s="120" t="s">
        <v>1889</v>
      </c>
      <c r="H445" s="120">
        <v>12.0</v>
      </c>
      <c r="I445" s="121">
        <v>0.01</v>
      </c>
      <c r="J445" s="121">
        <v>0.83</v>
      </c>
      <c r="K445" s="117"/>
    </row>
    <row r="446" ht="15.75" customHeight="1">
      <c r="A446" s="122" t="s">
        <v>1890</v>
      </c>
      <c r="B446" s="133" t="s">
        <v>985</v>
      </c>
      <c r="C446" s="120" t="s">
        <v>311</v>
      </c>
      <c r="D446" s="120" t="s">
        <v>375</v>
      </c>
      <c r="E446" s="120" t="s">
        <v>615</v>
      </c>
      <c r="F446" s="120" t="s">
        <v>306</v>
      </c>
      <c r="G446" s="120" t="s">
        <v>1893</v>
      </c>
      <c r="H446" s="120">
        <v>11.0</v>
      </c>
      <c r="I446" s="121">
        <v>0.01</v>
      </c>
      <c r="J446" s="121">
        <v>0.27</v>
      </c>
      <c r="K446" s="117"/>
    </row>
    <row r="447" ht="15.75" customHeight="1">
      <c r="A447" s="122" t="s">
        <v>1895</v>
      </c>
      <c r="B447" s="133" t="s">
        <v>1897</v>
      </c>
      <c r="C447" s="120" t="s">
        <v>311</v>
      </c>
      <c r="D447" s="120" t="s">
        <v>655</v>
      </c>
      <c r="E447" s="120" t="s">
        <v>615</v>
      </c>
      <c r="F447" s="120" t="s">
        <v>306</v>
      </c>
      <c r="G447" s="120" t="s">
        <v>1899</v>
      </c>
      <c r="H447" s="120">
        <v>11.0</v>
      </c>
      <c r="I447" s="121">
        <v>0.01</v>
      </c>
      <c r="J447" s="121">
        <v>0.09</v>
      </c>
      <c r="K447" s="117"/>
    </row>
    <row r="448" ht="15.75" customHeight="1">
      <c r="A448" s="122" t="s">
        <v>1902</v>
      </c>
      <c r="B448" s="133" t="s">
        <v>1904</v>
      </c>
      <c r="C448" s="120" t="s">
        <v>311</v>
      </c>
      <c r="D448" s="120" t="s">
        <v>888</v>
      </c>
      <c r="E448" s="120" t="s">
        <v>615</v>
      </c>
      <c r="F448" s="120" t="s">
        <v>306</v>
      </c>
      <c r="G448" s="120" t="s">
        <v>1907</v>
      </c>
      <c r="H448" s="120">
        <v>11.0</v>
      </c>
      <c r="I448" s="121">
        <v>0.01</v>
      </c>
      <c r="J448" s="121">
        <v>0.0</v>
      </c>
      <c r="K448" s="117"/>
    </row>
    <row r="449" ht="15.75" customHeight="1">
      <c r="A449" s="122" t="s">
        <v>1909</v>
      </c>
      <c r="B449" s="133" t="s">
        <v>1910</v>
      </c>
      <c r="C449" s="120" t="s">
        <v>311</v>
      </c>
      <c r="D449" s="120" t="s">
        <v>854</v>
      </c>
      <c r="E449" s="120" t="s">
        <v>615</v>
      </c>
      <c r="F449" s="120" t="s">
        <v>306</v>
      </c>
      <c r="G449" s="120" t="s">
        <v>853</v>
      </c>
      <c r="H449" s="120">
        <v>10.0</v>
      </c>
      <c r="I449" s="121">
        <v>0.01</v>
      </c>
      <c r="J449" s="121">
        <v>0.5</v>
      </c>
      <c r="K449" s="117"/>
    </row>
    <row r="450" ht="15.75" customHeight="1">
      <c r="A450" s="122" t="s">
        <v>1911</v>
      </c>
      <c r="B450" s="133" t="s">
        <v>1912</v>
      </c>
      <c r="C450" s="120" t="s">
        <v>311</v>
      </c>
      <c r="D450" s="120" t="s">
        <v>353</v>
      </c>
      <c r="E450" s="120" t="s">
        <v>615</v>
      </c>
      <c r="F450" s="120" t="s">
        <v>306</v>
      </c>
      <c r="G450" s="120" t="s">
        <v>1914</v>
      </c>
      <c r="H450" s="120">
        <v>10.0</v>
      </c>
      <c r="I450" s="121">
        <v>0.01</v>
      </c>
      <c r="J450" s="121">
        <v>0.9</v>
      </c>
      <c r="K450" s="117"/>
    </row>
    <row r="451" ht="15.75" customHeight="1">
      <c r="A451" s="122" t="s">
        <v>766</v>
      </c>
      <c r="B451" s="133" t="s">
        <v>767</v>
      </c>
      <c r="C451" s="120" t="s">
        <v>311</v>
      </c>
      <c r="D451" s="120" t="s">
        <v>304</v>
      </c>
      <c r="E451" s="120" t="s">
        <v>615</v>
      </c>
      <c r="F451" s="120" t="s">
        <v>306</v>
      </c>
      <c r="G451" s="120" t="s">
        <v>1916</v>
      </c>
      <c r="H451" s="120">
        <v>10.0</v>
      </c>
      <c r="I451" s="121">
        <v>0.01</v>
      </c>
      <c r="J451" s="121">
        <v>1.7</v>
      </c>
      <c r="K451" s="117"/>
    </row>
    <row r="452" ht="15.75" customHeight="1">
      <c r="A452" s="122" t="s">
        <v>1917</v>
      </c>
      <c r="B452" s="133" t="s">
        <v>1918</v>
      </c>
      <c r="C452" s="120" t="s">
        <v>311</v>
      </c>
      <c r="D452" s="120" t="s">
        <v>363</v>
      </c>
      <c r="E452" s="120" t="s">
        <v>615</v>
      </c>
      <c r="F452" s="120" t="s">
        <v>306</v>
      </c>
      <c r="G452" s="120" t="s">
        <v>1919</v>
      </c>
      <c r="H452" s="120">
        <v>10.0</v>
      </c>
      <c r="I452" s="121">
        <v>0.01</v>
      </c>
      <c r="J452" s="121">
        <v>0.0</v>
      </c>
      <c r="K452" s="117"/>
    </row>
    <row r="453" ht="15.75" customHeight="1">
      <c r="A453" s="122" t="s">
        <v>646</v>
      </c>
      <c r="B453" s="133" t="s">
        <v>647</v>
      </c>
      <c r="C453" s="120" t="s">
        <v>311</v>
      </c>
      <c r="D453" s="120" t="s">
        <v>648</v>
      </c>
      <c r="E453" s="120" t="s">
        <v>615</v>
      </c>
      <c r="F453" s="120" t="s">
        <v>306</v>
      </c>
      <c r="G453" s="120" t="s">
        <v>1920</v>
      </c>
      <c r="H453" s="120">
        <v>9.0</v>
      </c>
      <c r="I453" s="121">
        <v>0.01</v>
      </c>
      <c r="J453" s="121">
        <v>2.11</v>
      </c>
      <c r="K453" s="117"/>
    </row>
    <row r="454" ht="15.75" customHeight="1">
      <c r="A454" s="122" t="s">
        <v>1921</v>
      </c>
      <c r="B454" s="133" t="s">
        <v>1922</v>
      </c>
      <c r="C454" s="120" t="s">
        <v>311</v>
      </c>
      <c r="D454" s="120" t="s">
        <v>1754</v>
      </c>
      <c r="E454" s="120" t="s">
        <v>615</v>
      </c>
      <c r="F454" s="120" t="s">
        <v>306</v>
      </c>
      <c r="G454" s="120" t="s">
        <v>1923</v>
      </c>
      <c r="H454" s="120">
        <v>9.0</v>
      </c>
      <c r="I454" s="121">
        <v>0.01</v>
      </c>
      <c r="J454" s="121">
        <v>0.22</v>
      </c>
      <c r="K454" s="117"/>
    </row>
    <row r="455" ht="15.75" customHeight="1">
      <c r="A455" s="122" t="s">
        <v>1925</v>
      </c>
      <c r="B455" s="133" t="s">
        <v>1926</v>
      </c>
      <c r="C455" s="120" t="s">
        <v>311</v>
      </c>
      <c r="D455" s="120" t="s">
        <v>854</v>
      </c>
      <c r="E455" s="120" t="s">
        <v>615</v>
      </c>
      <c r="F455" s="120" t="s">
        <v>306</v>
      </c>
      <c r="G455" s="120" t="s">
        <v>853</v>
      </c>
      <c r="H455" s="120">
        <v>9.0</v>
      </c>
      <c r="I455" s="121">
        <v>0.01</v>
      </c>
      <c r="J455" s="121">
        <v>0.89</v>
      </c>
      <c r="K455" s="117"/>
    </row>
    <row r="456" ht="15.75" customHeight="1">
      <c r="A456" s="122" t="s">
        <v>1927</v>
      </c>
      <c r="B456" s="133" t="s">
        <v>1928</v>
      </c>
      <c r="C456" s="120" t="s">
        <v>311</v>
      </c>
      <c r="D456" s="120" t="s">
        <v>1575</v>
      </c>
      <c r="E456" s="120" t="s">
        <v>615</v>
      </c>
      <c r="F456" s="120" t="s">
        <v>306</v>
      </c>
      <c r="G456" s="120" t="s">
        <v>1929</v>
      </c>
      <c r="H456" s="120">
        <v>8.0</v>
      </c>
      <c r="I456" s="121">
        <v>0.01</v>
      </c>
      <c r="J456" s="121">
        <v>1.38</v>
      </c>
      <c r="K456" s="117"/>
    </row>
    <row r="457" ht="15.75" customHeight="1">
      <c r="A457" s="122" t="s">
        <v>1930</v>
      </c>
      <c r="B457" s="133" t="s">
        <v>1931</v>
      </c>
      <c r="C457" s="120" t="s">
        <v>311</v>
      </c>
      <c r="D457" s="120" t="s">
        <v>708</v>
      </c>
      <c r="E457" s="120" t="s">
        <v>615</v>
      </c>
      <c r="F457" s="120" t="s">
        <v>306</v>
      </c>
      <c r="G457" s="120" t="s">
        <v>1932</v>
      </c>
      <c r="H457" s="120">
        <v>8.0</v>
      </c>
      <c r="I457" s="121">
        <v>0.01</v>
      </c>
      <c r="J457" s="121">
        <v>2.13</v>
      </c>
      <c r="K457" s="117"/>
    </row>
    <row r="458" ht="15.75" customHeight="1">
      <c r="A458" s="122" t="s">
        <v>1933</v>
      </c>
      <c r="B458" s="133" t="s">
        <v>696</v>
      </c>
      <c r="C458" s="120" t="s">
        <v>311</v>
      </c>
      <c r="D458" s="120" t="s">
        <v>663</v>
      </c>
      <c r="E458" s="120" t="s">
        <v>615</v>
      </c>
      <c r="F458" s="120" t="s">
        <v>306</v>
      </c>
      <c r="G458" s="120" t="s">
        <v>1934</v>
      </c>
      <c r="H458" s="120">
        <v>7.0</v>
      </c>
      <c r="I458" s="121">
        <v>0.01</v>
      </c>
      <c r="J458" s="121">
        <v>0.86</v>
      </c>
      <c r="K458" s="117"/>
    </row>
    <row r="459" ht="15.75" customHeight="1">
      <c r="A459" s="122" t="s">
        <v>1935</v>
      </c>
      <c r="B459" s="133" t="s">
        <v>1936</v>
      </c>
      <c r="C459" s="120" t="s">
        <v>311</v>
      </c>
      <c r="D459" s="120" t="s">
        <v>353</v>
      </c>
      <c r="E459" s="120" t="s">
        <v>615</v>
      </c>
      <c r="F459" s="120" t="s">
        <v>306</v>
      </c>
      <c r="G459" s="120" t="s">
        <v>1937</v>
      </c>
      <c r="H459" s="120">
        <v>7.0</v>
      </c>
      <c r="I459" s="121">
        <v>0.01</v>
      </c>
      <c r="J459" s="121">
        <v>1.0</v>
      </c>
      <c r="K459" s="117"/>
    </row>
    <row r="460" ht="15.75" customHeight="1">
      <c r="A460" s="122" t="s">
        <v>1938</v>
      </c>
      <c r="B460" s="133" t="s">
        <v>1939</v>
      </c>
      <c r="C460" s="120" t="s">
        <v>311</v>
      </c>
      <c r="D460" s="120" t="s">
        <v>353</v>
      </c>
      <c r="E460" s="120" t="s">
        <v>615</v>
      </c>
      <c r="F460" s="120" t="s">
        <v>306</v>
      </c>
      <c r="G460" s="120" t="s">
        <v>1940</v>
      </c>
      <c r="H460" s="120">
        <v>7.0</v>
      </c>
      <c r="I460" s="121">
        <v>0.01</v>
      </c>
      <c r="J460" s="121">
        <v>0.43</v>
      </c>
      <c r="K460" s="117"/>
    </row>
    <row r="461" ht="15.75" customHeight="1">
      <c r="A461" s="122" t="s">
        <v>1941</v>
      </c>
      <c r="B461" s="133" t="s">
        <v>1942</v>
      </c>
      <c r="C461" s="120" t="s">
        <v>311</v>
      </c>
      <c r="D461" s="120" t="s">
        <v>1754</v>
      </c>
      <c r="E461" s="120" t="s">
        <v>615</v>
      </c>
      <c r="F461" s="120" t="s">
        <v>306</v>
      </c>
      <c r="G461" s="120" t="s">
        <v>1943</v>
      </c>
      <c r="H461" s="120">
        <v>6.0</v>
      </c>
      <c r="I461" s="121">
        <v>0.01</v>
      </c>
      <c r="J461" s="121">
        <v>0.33</v>
      </c>
      <c r="K461" s="117"/>
    </row>
    <row r="462" ht="15.75" customHeight="1">
      <c r="A462" s="122" t="s">
        <v>1944</v>
      </c>
      <c r="B462" s="133" t="s">
        <v>1945</v>
      </c>
      <c r="C462" s="120" t="s">
        <v>311</v>
      </c>
      <c r="D462" s="120" t="s">
        <v>655</v>
      </c>
      <c r="E462" s="120" t="s">
        <v>615</v>
      </c>
      <c r="F462" s="120" t="s">
        <v>306</v>
      </c>
      <c r="G462" s="120" t="s">
        <v>1946</v>
      </c>
      <c r="H462" s="120">
        <v>6.0</v>
      </c>
      <c r="I462" s="121">
        <v>0.01</v>
      </c>
      <c r="J462" s="121">
        <v>0.0</v>
      </c>
      <c r="K462" s="117"/>
    </row>
    <row r="463" ht="15.75" customHeight="1">
      <c r="A463" s="122" t="s">
        <v>1947</v>
      </c>
      <c r="B463" s="133" t="s">
        <v>1948</v>
      </c>
      <c r="C463" s="120" t="s">
        <v>311</v>
      </c>
      <c r="D463" s="120" t="s">
        <v>1575</v>
      </c>
      <c r="E463" s="120" t="s">
        <v>615</v>
      </c>
      <c r="F463" s="120" t="s">
        <v>306</v>
      </c>
      <c r="G463" s="120" t="s">
        <v>1949</v>
      </c>
      <c r="H463" s="120">
        <v>6.0</v>
      </c>
      <c r="I463" s="121">
        <v>0.01</v>
      </c>
      <c r="J463" s="121">
        <v>2.0</v>
      </c>
      <c r="K463" s="117"/>
    </row>
    <row r="464" ht="15.75" customHeight="1">
      <c r="A464" s="122" t="s">
        <v>1950</v>
      </c>
      <c r="B464" s="133" t="s">
        <v>1951</v>
      </c>
      <c r="C464" s="120" t="s">
        <v>311</v>
      </c>
      <c r="D464" s="120" t="s">
        <v>353</v>
      </c>
      <c r="E464" s="120" t="s">
        <v>615</v>
      </c>
      <c r="F464" s="120" t="s">
        <v>306</v>
      </c>
      <c r="G464" s="120" t="s">
        <v>1816</v>
      </c>
      <c r="H464" s="120">
        <v>6.0</v>
      </c>
      <c r="I464" s="121">
        <v>0.01</v>
      </c>
      <c r="J464" s="121">
        <v>0.17</v>
      </c>
      <c r="K464" s="117"/>
    </row>
    <row r="465" ht="15.75" customHeight="1">
      <c r="A465" s="122" t="s">
        <v>821</v>
      </c>
      <c r="B465" s="133" t="s">
        <v>822</v>
      </c>
      <c r="C465" s="120" t="s">
        <v>311</v>
      </c>
      <c r="D465" s="120" t="s">
        <v>375</v>
      </c>
      <c r="E465" s="120" t="s">
        <v>615</v>
      </c>
      <c r="F465" s="120" t="s">
        <v>306</v>
      </c>
      <c r="G465" s="120" t="s">
        <v>824</v>
      </c>
      <c r="H465" s="120">
        <v>5.0</v>
      </c>
      <c r="I465" s="121">
        <v>0.0</v>
      </c>
      <c r="J465" s="121">
        <v>0.4</v>
      </c>
      <c r="K465" s="117"/>
    </row>
    <row r="466" ht="15.75" customHeight="1">
      <c r="A466" s="122" t="s">
        <v>1042</v>
      </c>
      <c r="B466" s="133" t="s">
        <v>662</v>
      </c>
      <c r="C466" s="120" t="s">
        <v>311</v>
      </c>
      <c r="D466" s="120" t="s">
        <v>663</v>
      </c>
      <c r="E466" s="120" t="s">
        <v>615</v>
      </c>
      <c r="F466" s="120" t="s">
        <v>306</v>
      </c>
      <c r="G466" s="120" t="s">
        <v>1952</v>
      </c>
      <c r="H466" s="120">
        <v>5.0</v>
      </c>
      <c r="I466" s="121">
        <v>0.0</v>
      </c>
      <c r="J466" s="121">
        <v>0.4</v>
      </c>
      <c r="K466" s="117"/>
    </row>
    <row r="467" ht="15.75" customHeight="1">
      <c r="A467" s="122" t="s">
        <v>1953</v>
      </c>
      <c r="B467" s="133" t="s">
        <v>1954</v>
      </c>
      <c r="C467" s="120" t="s">
        <v>311</v>
      </c>
      <c r="D467" s="120" t="s">
        <v>838</v>
      </c>
      <c r="E467" s="120" t="s">
        <v>615</v>
      </c>
      <c r="F467" s="120" t="s">
        <v>306</v>
      </c>
      <c r="G467" s="120" t="s">
        <v>1955</v>
      </c>
      <c r="H467" s="120">
        <v>5.0</v>
      </c>
      <c r="I467" s="121">
        <v>0.0</v>
      </c>
      <c r="J467" s="121">
        <v>0.0</v>
      </c>
      <c r="K467" s="117"/>
    </row>
    <row r="468" ht="15.75" customHeight="1">
      <c r="A468" s="122" t="s">
        <v>1956</v>
      </c>
      <c r="B468" s="133" t="s">
        <v>1957</v>
      </c>
      <c r="C468" s="120" t="s">
        <v>311</v>
      </c>
      <c r="D468" s="120" t="s">
        <v>1771</v>
      </c>
      <c r="E468" s="120" t="s">
        <v>615</v>
      </c>
      <c r="F468" s="120" t="s">
        <v>306</v>
      </c>
      <c r="G468" s="120" t="s">
        <v>1958</v>
      </c>
      <c r="H468" s="120">
        <v>5.0</v>
      </c>
      <c r="I468" s="121">
        <v>0.0</v>
      </c>
      <c r="J468" s="121">
        <v>0.4</v>
      </c>
      <c r="K468" s="117"/>
    </row>
    <row r="469" ht="15.75" customHeight="1">
      <c r="A469" s="122" t="s">
        <v>1271</v>
      </c>
      <c r="B469" s="133" t="s">
        <v>1272</v>
      </c>
      <c r="C469" s="120" t="s">
        <v>311</v>
      </c>
      <c r="D469" s="120" t="s">
        <v>708</v>
      </c>
      <c r="E469" s="120" t="s">
        <v>615</v>
      </c>
      <c r="F469" s="120" t="s">
        <v>306</v>
      </c>
      <c r="G469" s="120" t="s">
        <v>1959</v>
      </c>
      <c r="H469" s="120">
        <v>5.0</v>
      </c>
      <c r="I469" s="121">
        <v>0.0</v>
      </c>
      <c r="J469" s="121">
        <v>1.0</v>
      </c>
      <c r="K469" s="117"/>
    </row>
    <row r="470" ht="15.75" customHeight="1">
      <c r="A470" s="122" t="s">
        <v>1960</v>
      </c>
      <c r="B470" s="133" t="s">
        <v>1961</v>
      </c>
      <c r="C470" s="120" t="s">
        <v>311</v>
      </c>
      <c r="D470" s="120" t="s">
        <v>688</v>
      </c>
      <c r="E470" s="120" t="s">
        <v>615</v>
      </c>
      <c r="F470" s="120" t="s">
        <v>306</v>
      </c>
      <c r="G470" s="120" t="s">
        <v>1962</v>
      </c>
      <c r="H470" s="120">
        <v>5.0</v>
      </c>
      <c r="I470" s="121">
        <v>0.0</v>
      </c>
      <c r="J470" s="121">
        <v>0.0</v>
      </c>
      <c r="K470" s="117"/>
    </row>
    <row r="471" ht="15.75" customHeight="1">
      <c r="A471" s="122" t="s">
        <v>682</v>
      </c>
      <c r="B471" s="133" t="s">
        <v>683</v>
      </c>
      <c r="C471" s="120" t="s">
        <v>311</v>
      </c>
      <c r="D471" s="120" t="s">
        <v>684</v>
      </c>
      <c r="E471" s="120" t="s">
        <v>615</v>
      </c>
      <c r="F471" s="120" t="s">
        <v>306</v>
      </c>
      <c r="G471" s="120" t="s">
        <v>1963</v>
      </c>
      <c r="H471" s="120">
        <v>4.0</v>
      </c>
      <c r="I471" s="121">
        <v>0.0</v>
      </c>
      <c r="J471" s="121">
        <v>0.5</v>
      </c>
      <c r="K471" s="117"/>
    </row>
    <row r="472" ht="15.75" customHeight="1">
      <c r="A472" s="122" t="s">
        <v>1964</v>
      </c>
      <c r="B472" s="133" t="s">
        <v>1966</v>
      </c>
      <c r="C472" s="120" t="s">
        <v>311</v>
      </c>
      <c r="D472" s="120" t="s">
        <v>684</v>
      </c>
      <c r="E472" s="120" t="s">
        <v>615</v>
      </c>
      <c r="F472" s="120" t="s">
        <v>306</v>
      </c>
      <c r="G472" s="120" t="s">
        <v>1968</v>
      </c>
      <c r="H472" s="120">
        <v>4.0</v>
      </c>
      <c r="I472" s="121">
        <v>0.0</v>
      </c>
      <c r="J472" s="121">
        <v>1.0</v>
      </c>
      <c r="K472" s="117"/>
    </row>
    <row r="473" ht="15.75" customHeight="1">
      <c r="A473" s="122" t="s">
        <v>1969</v>
      </c>
      <c r="B473" s="133" t="s">
        <v>1970</v>
      </c>
      <c r="C473" s="120" t="s">
        <v>311</v>
      </c>
      <c r="D473" s="120" t="s">
        <v>854</v>
      </c>
      <c r="E473" s="120" t="s">
        <v>615</v>
      </c>
      <c r="F473" s="120" t="s">
        <v>306</v>
      </c>
      <c r="G473" s="120" t="s">
        <v>1971</v>
      </c>
      <c r="H473" s="120">
        <v>3.0</v>
      </c>
      <c r="I473" s="121">
        <v>0.0</v>
      </c>
      <c r="J473" s="121">
        <v>0.0</v>
      </c>
      <c r="K473" s="117"/>
    </row>
    <row r="474" ht="15.75" customHeight="1">
      <c r="A474" s="122" t="s">
        <v>1972</v>
      </c>
      <c r="B474" s="133" t="s">
        <v>1973</v>
      </c>
      <c r="C474" s="120" t="s">
        <v>311</v>
      </c>
      <c r="D474" s="120" t="s">
        <v>854</v>
      </c>
      <c r="E474" s="120" t="s">
        <v>615</v>
      </c>
      <c r="F474" s="120" t="s">
        <v>306</v>
      </c>
      <c r="G474" s="120" t="s">
        <v>1974</v>
      </c>
      <c r="H474" s="120">
        <v>3.0</v>
      </c>
      <c r="I474" s="121">
        <v>0.0</v>
      </c>
      <c r="J474" s="121">
        <v>2.33</v>
      </c>
      <c r="K474" s="117"/>
    </row>
    <row r="475" ht="15.75" customHeight="1">
      <c r="A475" s="122" t="s">
        <v>1975</v>
      </c>
      <c r="B475" s="133" t="s">
        <v>1976</v>
      </c>
      <c r="C475" s="120" t="s">
        <v>311</v>
      </c>
      <c r="D475" s="120" t="s">
        <v>353</v>
      </c>
      <c r="E475" s="120" t="s">
        <v>615</v>
      </c>
      <c r="F475" s="120" t="s">
        <v>306</v>
      </c>
      <c r="G475" s="120" t="s">
        <v>1816</v>
      </c>
      <c r="H475" s="120">
        <v>3.0</v>
      </c>
      <c r="I475" s="121">
        <v>0.0</v>
      </c>
      <c r="J475" s="121">
        <v>1.33</v>
      </c>
      <c r="K475" s="117"/>
    </row>
    <row r="476" ht="15.75" customHeight="1">
      <c r="A476" s="122" t="s">
        <v>1979</v>
      </c>
      <c r="B476" s="133" t="s">
        <v>1980</v>
      </c>
      <c r="C476" s="120" t="s">
        <v>311</v>
      </c>
      <c r="D476" s="120" t="s">
        <v>688</v>
      </c>
      <c r="E476" s="120" t="s">
        <v>615</v>
      </c>
      <c r="F476" s="120" t="s">
        <v>306</v>
      </c>
      <c r="G476" s="120" t="s">
        <v>1981</v>
      </c>
      <c r="H476" s="120">
        <v>3.0</v>
      </c>
      <c r="I476" s="121">
        <v>0.0</v>
      </c>
      <c r="J476" s="121">
        <v>0.0</v>
      </c>
      <c r="K476" s="117"/>
    </row>
    <row r="477" ht="15.75" customHeight="1">
      <c r="A477" s="122" t="s">
        <v>1982</v>
      </c>
      <c r="B477" s="133" t="s">
        <v>1983</v>
      </c>
      <c r="C477" s="120" t="s">
        <v>311</v>
      </c>
      <c r="D477" s="120" t="s">
        <v>1984</v>
      </c>
      <c r="E477" s="120" t="s">
        <v>615</v>
      </c>
      <c r="F477" s="120" t="s">
        <v>306</v>
      </c>
      <c r="G477" s="120" t="s">
        <v>1985</v>
      </c>
      <c r="H477" s="120">
        <v>2.0</v>
      </c>
      <c r="I477" s="121">
        <v>0.0</v>
      </c>
      <c r="J477" s="121">
        <v>2.0</v>
      </c>
      <c r="K477" s="117"/>
    </row>
    <row r="478" ht="15.75" customHeight="1">
      <c r="A478" s="122" t="s">
        <v>1988</v>
      </c>
      <c r="B478" s="133" t="s">
        <v>1989</v>
      </c>
      <c r="C478" s="120" t="s">
        <v>311</v>
      </c>
      <c r="D478" s="120" t="s">
        <v>854</v>
      </c>
      <c r="E478" s="120" t="s">
        <v>615</v>
      </c>
      <c r="F478" s="120" t="s">
        <v>306</v>
      </c>
      <c r="G478" s="120" t="s">
        <v>853</v>
      </c>
      <c r="H478" s="120">
        <v>2.0</v>
      </c>
      <c r="I478" s="121">
        <v>0.0</v>
      </c>
      <c r="J478" s="121">
        <v>0.0</v>
      </c>
      <c r="K478" s="117"/>
    </row>
    <row r="479" ht="15.75" customHeight="1">
      <c r="A479" s="122" t="s">
        <v>695</v>
      </c>
      <c r="B479" s="133" t="s">
        <v>696</v>
      </c>
      <c r="C479" s="120" t="s">
        <v>311</v>
      </c>
      <c r="D479" s="120" t="s">
        <v>663</v>
      </c>
      <c r="E479" s="120" t="s">
        <v>615</v>
      </c>
      <c r="F479" s="120" t="s">
        <v>306</v>
      </c>
      <c r="G479" s="120" t="s">
        <v>1934</v>
      </c>
      <c r="H479" s="120">
        <v>2.0</v>
      </c>
      <c r="I479" s="121">
        <v>0.0</v>
      </c>
      <c r="J479" s="121">
        <v>1.5</v>
      </c>
      <c r="K479" s="117"/>
    </row>
    <row r="480" ht="15.75" customHeight="1">
      <c r="A480" s="122" t="s">
        <v>1990</v>
      </c>
      <c r="B480" s="133" t="s">
        <v>953</v>
      </c>
      <c r="C480" s="120" t="s">
        <v>311</v>
      </c>
      <c r="D480" s="120" t="s">
        <v>663</v>
      </c>
      <c r="E480" s="120" t="s">
        <v>615</v>
      </c>
      <c r="F480" s="120" t="s">
        <v>306</v>
      </c>
      <c r="G480" s="120" t="s">
        <v>1993</v>
      </c>
      <c r="H480" s="120">
        <v>2.0</v>
      </c>
      <c r="I480" s="121">
        <v>0.0</v>
      </c>
      <c r="J480" s="121">
        <v>0.5</v>
      </c>
      <c r="K480" s="117"/>
    </row>
    <row r="481" ht="15.75" customHeight="1">
      <c r="A481" s="122" t="s">
        <v>638</v>
      </c>
      <c r="B481" s="133" t="s">
        <v>639</v>
      </c>
      <c r="C481" s="120" t="s">
        <v>311</v>
      </c>
      <c r="D481" s="120" t="s">
        <v>640</v>
      </c>
      <c r="E481" s="120" t="s">
        <v>615</v>
      </c>
      <c r="F481" s="120" t="s">
        <v>306</v>
      </c>
      <c r="G481" s="120" t="s">
        <v>1994</v>
      </c>
      <c r="H481" s="120">
        <v>2.0</v>
      </c>
      <c r="I481" s="121">
        <v>0.0</v>
      </c>
      <c r="J481" s="121">
        <v>1.0</v>
      </c>
      <c r="K481" s="117"/>
    </row>
    <row r="482" ht="15.75" customHeight="1">
      <c r="A482" s="122" t="s">
        <v>868</v>
      </c>
      <c r="B482" s="133" t="s">
        <v>869</v>
      </c>
      <c r="C482" s="120" t="s">
        <v>311</v>
      </c>
      <c r="D482" s="120" t="s">
        <v>655</v>
      </c>
      <c r="E482" s="120" t="s">
        <v>615</v>
      </c>
      <c r="F482" s="120" t="s">
        <v>306</v>
      </c>
      <c r="G482" s="120" t="s">
        <v>1995</v>
      </c>
      <c r="H482" s="120">
        <v>2.0</v>
      </c>
      <c r="I482" s="121">
        <v>0.0</v>
      </c>
      <c r="J482" s="121">
        <v>0.5</v>
      </c>
      <c r="K482" s="117"/>
    </row>
    <row r="483" ht="15.75" customHeight="1">
      <c r="A483" s="122" t="s">
        <v>1998</v>
      </c>
      <c r="B483" s="133" t="s">
        <v>670</v>
      </c>
      <c r="C483" s="120" t="s">
        <v>311</v>
      </c>
      <c r="D483" s="120" t="s">
        <v>655</v>
      </c>
      <c r="E483" s="120" t="s">
        <v>615</v>
      </c>
      <c r="F483" s="120" t="s">
        <v>306</v>
      </c>
      <c r="G483" s="120" t="s">
        <v>1999</v>
      </c>
      <c r="H483" s="120">
        <v>2.0</v>
      </c>
      <c r="I483" s="121">
        <v>0.0</v>
      </c>
      <c r="J483" s="121">
        <v>1.0</v>
      </c>
      <c r="K483" s="117"/>
    </row>
    <row r="484" ht="15.75" customHeight="1">
      <c r="A484" s="122" t="s">
        <v>1203</v>
      </c>
      <c r="B484" s="133" t="s">
        <v>1204</v>
      </c>
      <c r="C484" s="120" t="s">
        <v>311</v>
      </c>
      <c r="D484" s="120" t="s">
        <v>655</v>
      </c>
      <c r="E484" s="120" t="s">
        <v>615</v>
      </c>
      <c r="F484" s="120" t="s">
        <v>306</v>
      </c>
      <c r="G484" s="120" t="s">
        <v>2000</v>
      </c>
      <c r="H484" s="120">
        <v>2.0</v>
      </c>
      <c r="I484" s="121">
        <v>0.0</v>
      </c>
      <c r="J484" s="121">
        <v>0.5</v>
      </c>
      <c r="K484" s="117"/>
    </row>
    <row r="485" ht="15.75" customHeight="1">
      <c r="A485" s="122" t="s">
        <v>769</v>
      </c>
      <c r="B485" s="133" t="s">
        <v>770</v>
      </c>
      <c r="C485" s="120" t="s">
        <v>311</v>
      </c>
      <c r="D485" s="120" t="s">
        <v>684</v>
      </c>
      <c r="E485" s="120" t="s">
        <v>615</v>
      </c>
      <c r="F485" s="120" t="s">
        <v>306</v>
      </c>
      <c r="G485" s="120" t="s">
        <v>2003</v>
      </c>
      <c r="H485" s="120">
        <v>2.0</v>
      </c>
      <c r="I485" s="121">
        <v>0.0</v>
      </c>
      <c r="J485" s="121">
        <v>1.0</v>
      </c>
      <c r="K485" s="117"/>
    </row>
    <row r="486" ht="15.75" customHeight="1">
      <c r="A486" s="122" t="s">
        <v>2004</v>
      </c>
      <c r="B486" s="133" t="s">
        <v>2005</v>
      </c>
      <c r="C486" s="120" t="s">
        <v>311</v>
      </c>
      <c r="D486" s="120" t="s">
        <v>888</v>
      </c>
      <c r="E486" s="120" t="s">
        <v>615</v>
      </c>
      <c r="F486" s="120" t="s">
        <v>306</v>
      </c>
      <c r="G486" s="120" t="s">
        <v>2006</v>
      </c>
      <c r="H486" s="120">
        <v>2.0</v>
      </c>
      <c r="I486" s="121">
        <v>0.0</v>
      </c>
      <c r="J486" s="121">
        <v>0.5</v>
      </c>
      <c r="K486" s="117"/>
    </row>
    <row r="487" ht="15.75" customHeight="1">
      <c r="A487" s="122" t="s">
        <v>2007</v>
      </c>
      <c r="B487" s="133" t="s">
        <v>2008</v>
      </c>
      <c r="C487" s="120" t="s">
        <v>311</v>
      </c>
      <c r="D487" s="120" t="s">
        <v>1575</v>
      </c>
      <c r="E487" s="120" t="s">
        <v>615</v>
      </c>
      <c r="F487" s="120" t="s">
        <v>306</v>
      </c>
      <c r="G487" s="120" t="s">
        <v>2010</v>
      </c>
      <c r="H487" s="120">
        <v>2.0</v>
      </c>
      <c r="I487" s="121">
        <v>0.0</v>
      </c>
      <c r="J487" s="121">
        <v>1.0</v>
      </c>
      <c r="K487" s="117"/>
    </row>
    <row r="488" ht="15.75" customHeight="1">
      <c r="A488" s="122" t="s">
        <v>2012</v>
      </c>
      <c r="B488" s="133" t="s">
        <v>2013</v>
      </c>
      <c r="C488" s="120" t="s">
        <v>311</v>
      </c>
      <c r="D488" s="120" t="s">
        <v>1771</v>
      </c>
      <c r="E488" s="120" t="s">
        <v>615</v>
      </c>
      <c r="F488" s="120" t="s">
        <v>306</v>
      </c>
      <c r="G488" s="120" t="s">
        <v>2014</v>
      </c>
      <c r="H488" s="120">
        <v>2.0</v>
      </c>
      <c r="I488" s="121">
        <v>0.0</v>
      </c>
      <c r="J488" s="121">
        <v>1.0</v>
      </c>
      <c r="K488" s="117"/>
    </row>
    <row r="489" ht="15.75" customHeight="1">
      <c r="A489" s="122" t="s">
        <v>2015</v>
      </c>
      <c r="B489" s="133" t="s">
        <v>2016</v>
      </c>
      <c r="C489" s="120" t="s">
        <v>311</v>
      </c>
      <c r="D489" s="120" t="s">
        <v>353</v>
      </c>
      <c r="E489" s="120" t="s">
        <v>615</v>
      </c>
      <c r="F489" s="120" t="s">
        <v>306</v>
      </c>
      <c r="G489" s="120" t="s">
        <v>2019</v>
      </c>
      <c r="H489" s="120">
        <v>2.0</v>
      </c>
      <c r="I489" s="121">
        <v>0.0</v>
      </c>
      <c r="J489" s="121">
        <v>0.0</v>
      </c>
      <c r="K489" s="117"/>
    </row>
    <row r="490" ht="15.75" customHeight="1">
      <c r="A490" s="122" t="s">
        <v>2020</v>
      </c>
      <c r="B490" s="133" t="s">
        <v>826</v>
      </c>
      <c r="C490" s="120" t="s">
        <v>311</v>
      </c>
      <c r="D490" s="120" t="s">
        <v>648</v>
      </c>
      <c r="E490" s="120" t="s">
        <v>615</v>
      </c>
      <c r="F490" s="120" t="s">
        <v>306</v>
      </c>
      <c r="G490" s="120" t="s">
        <v>2021</v>
      </c>
      <c r="H490" s="120">
        <v>1.0</v>
      </c>
      <c r="I490" s="121">
        <v>0.0</v>
      </c>
      <c r="J490" s="121">
        <v>0.0</v>
      </c>
      <c r="K490" s="117"/>
    </row>
    <row r="491" ht="15.75" customHeight="1">
      <c r="A491" s="122" t="s">
        <v>1112</v>
      </c>
      <c r="B491" s="133" t="s">
        <v>1113</v>
      </c>
      <c r="C491" s="120" t="s">
        <v>311</v>
      </c>
      <c r="D491" s="120" t="s">
        <v>648</v>
      </c>
      <c r="E491" s="120" t="s">
        <v>615</v>
      </c>
      <c r="F491" s="120" t="s">
        <v>306</v>
      </c>
      <c r="G491" s="120" t="s">
        <v>2022</v>
      </c>
      <c r="H491" s="120">
        <v>1.0</v>
      </c>
      <c r="I491" s="121">
        <v>0.0</v>
      </c>
      <c r="J491" s="121">
        <v>0.0</v>
      </c>
      <c r="K491" s="117"/>
    </row>
    <row r="492" ht="15.75" customHeight="1">
      <c r="A492" s="122" t="s">
        <v>2025</v>
      </c>
      <c r="B492" s="133" t="s">
        <v>2026</v>
      </c>
      <c r="C492" s="120" t="s">
        <v>311</v>
      </c>
      <c r="D492" s="120" t="s">
        <v>1754</v>
      </c>
      <c r="E492" s="120" t="s">
        <v>615</v>
      </c>
      <c r="F492" s="120" t="s">
        <v>306</v>
      </c>
      <c r="G492" s="120" t="s">
        <v>2027</v>
      </c>
      <c r="H492" s="120">
        <v>1.0</v>
      </c>
      <c r="I492" s="121">
        <v>0.0</v>
      </c>
      <c r="J492" s="121">
        <v>0.0</v>
      </c>
      <c r="K492" s="117"/>
    </row>
    <row r="493" ht="15.75" customHeight="1">
      <c r="A493" s="122" t="s">
        <v>2028</v>
      </c>
      <c r="B493" s="133" t="s">
        <v>2029</v>
      </c>
      <c r="C493" s="120" t="s">
        <v>311</v>
      </c>
      <c r="D493" s="120" t="s">
        <v>1984</v>
      </c>
      <c r="E493" s="120" t="s">
        <v>615</v>
      </c>
      <c r="F493" s="120" t="s">
        <v>306</v>
      </c>
      <c r="G493" s="120" t="s">
        <v>2030</v>
      </c>
      <c r="H493" s="120">
        <v>1.0</v>
      </c>
      <c r="I493" s="121">
        <v>0.0</v>
      </c>
      <c r="J493" s="121">
        <v>0.0</v>
      </c>
      <c r="K493" s="117"/>
    </row>
    <row r="494" ht="15.75" customHeight="1">
      <c r="A494" s="122" t="s">
        <v>2033</v>
      </c>
      <c r="B494" s="133" t="s">
        <v>2034</v>
      </c>
      <c r="C494" s="120" t="s">
        <v>311</v>
      </c>
      <c r="D494" s="120" t="s">
        <v>854</v>
      </c>
      <c r="E494" s="120" t="s">
        <v>615</v>
      </c>
      <c r="F494" s="120" t="s">
        <v>306</v>
      </c>
      <c r="G494" s="120" t="s">
        <v>2035</v>
      </c>
      <c r="H494" s="120">
        <v>1.0</v>
      </c>
      <c r="I494" s="121">
        <v>0.0</v>
      </c>
      <c r="J494" s="121">
        <v>1.0</v>
      </c>
      <c r="K494" s="117"/>
    </row>
    <row r="495" ht="15.75" customHeight="1">
      <c r="A495" s="122" t="s">
        <v>2036</v>
      </c>
      <c r="B495" s="133" t="s">
        <v>2037</v>
      </c>
      <c r="C495" s="120" t="s">
        <v>311</v>
      </c>
      <c r="D495" s="120" t="s">
        <v>854</v>
      </c>
      <c r="E495" s="120" t="s">
        <v>615</v>
      </c>
      <c r="F495" s="120" t="s">
        <v>306</v>
      </c>
      <c r="G495" s="120" t="s">
        <v>853</v>
      </c>
      <c r="H495" s="120">
        <v>1.0</v>
      </c>
      <c r="I495" s="121">
        <v>0.0</v>
      </c>
      <c r="J495" s="121">
        <v>1.0</v>
      </c>
      <c r="K495" s="117"/>
    </row>
    <row r="496" ht="15.75" customHeight="1">
      <c r="A496" s="122" t="s">
        <v>2038</v>
      </c>
      <c r="B496" s="133" t="s">
        <v>2039</v>
      </c>
      <c r="C496" s="120" t="s">
        <v>311</v>
      </c>
      <c r="D496" s="120" t="s">
        <v>854</v>
      </c>
      <c r="E496" s="120" t="s">
        <v>615</v>
      </c>
      <c r="F496" s="120" t="s">
        <v>306</v>
      </c>
      <c r="G496" s="120" t="s">
        <v>2042</v>
      </c>
      <c r="H496" s="120">
        <v>1.0</v>
      </c>
      <c r="I496" s="121">
        <v>0.0</v>
      </c>
      <c r="J496" s="121">
        <v>1.0</v>
      </c>
      <c r="K496" s="117"/>
    </row>
    <row r="497" ht="15.75" customHeight="1">
      <c r="A497" s="122" t="s">
        <v>1118</v>
      </c>
      <c r="B497" s="133" t="s">
        <v>1119</v>
      </c>
      <c r="C497" s="120" t="s">
        <v>311</v>
      </c>
      <c r="D497" s="120" t="s">
        <v>375</v>
      </c>
      <c r="E497" s="120" t="s">
        <v>615</v>
      </c>
      <c r="F497" s="120" t="s">
        <v>306</v>
      </c>
      <c r="G497" s="120" t="s">
        <v>813</v>
      </c>
      <c r="H497" s="120">
        <v>1.0</v>
      </c>
      <c r="I497" s="121">
        <v>0.0</v>
      </c>
      <c r="J497" s="121">
        <v>2.0</v>
      </c>
      <c r="K497" s="117"/>
    </row>
    <row r="498" ht="15.75" customHeight="1">
      <c r="A498" s="122" t="s">
        <v>2043</v>
      </c>
      <c r="B498" s="133" t="s">
        <v>2044</v>
      </c>
      <c r="C498" s="120" t="s">
        <v>311</v>
      </c>
      <c r="D498" s="120" t="s">
        <v>375</v>
      </c>
      <c r="E498" s="120" t="s">
        <v>615</v>
      </c>
      <c r="F498" s="120" t="s">
        <v>306</v>
      </c>
      <c r="G498" s="120" t="s">
        <v>2047</v>
      </c>
      <c r="H498" s="120">
        <v>1.0</v>
      </c>
      <c r="I498" s="121">
        <v>0.0</v>
      </c>
      <c r="J498" s="121">
        <v>0.0</v>
      </c>
      <c r="K498" s="117"/>
    </row>
    <row r="499" ht="15.75" customHeight="1">
      <c r="A499" s="122" t="s">
        <v>2048</v>
      </c>
      <c r="B499" s="133" t="s">
        <v>2049</v>
      </c>
      <c r="C499" s="120" t="s">
        <v>311</v>
      </c>
      <c r="D499" s="120" t="s">
        <v>375</v>
      </c>
      <c r="E499" s="120" t="s">
        <v>615</v>
      </c>
      <c r="F499" s="120" t="s">
        <v>306</v>
      </c>
      <c r="G499" s="120" t="s">
        <v>813</v>
      </c>
      <c r="H499" s="120">
        <v>1.0</v>
      </c>
      <c r="I499" s="121">
        <v>0.0</v>
      </c>
      <c r="J499" s="121">
        <v>1.0</v>
      </c>
      <c r="K499" s="117"/>
    </row>
    <row r="500" ht="15.75" customHeight="1">
      <c r="A500" s="122" t="s">
        <v>982</v>
      </c>
      <c r="B500" s="133" t="s">
        <v>983</v>
      </c>
      <c r="C500" s="120" t="s">
        <v>311</v>
      </c>
      <c r="D500" s="120" t="s">
        <v>375</v>
      </c>
      <c r="E500" s="120" t="s">
        <v>615</v>
      </c>
      <c r="F500" s="120" t="s">
        <v>306</v>
      </c>
      <c r="G500" s="120" t="s">
        <v>813</v>
      </c>
      <c r="H500" s="120">
        <v>1.0</v>
      </c>
      <c r="I500" s="121">
        <v>0.0</v>
      </c>
      <c r="J500" s="121">
        <v>0.0</v>
      </c>
      <c r="K500" s="117"/>
    </row>
    <row r="501" ht="15.75" customHeight="1">
      <c r="A501" s="122" t="s">
        <v>2052</v>
      </c>
      <c r="B501" s="133" t="s">
        <v>2053</v>
      </c>
      <c r="C501" s="120" t="s">
        <v>311</v>
      </c>
      <c r="D501" s="120" t="s">
        <v>375</v>
      </c>
      <c r="E501" s="120" t="s">
        <v>615</v>
      </c>
      <c r="F501" s="120" t="s">
        <v>306</v>
      </c>
      <c r="G501" s="120" t="s">
        <v>2054</v>
      </c>
      <c r="H501" s="120">
        <v>1.0</v>
      </c>
      <c r="I501" s="121">
        <v>0.0</v>
      </c>
      <c r="J501" s="121">
        <v>1.0</v>
      </c>
      <c r="K501" s="117"/>
    </row>
    <row r="502" ht="15.75" customHeight="1">
      <c r="A502" s="122" t="s">
        <v>892</v>
      </c>
      <c r="B502" s="133" t="s">
        <v>893</v>
      </c>
      <c r="C502" s="120" t="s">
        <v>311</v>
      </c>
      <c r="D502" s="120" t="s">
        <v>375</v>
      </c>
      <c r="E502" s="120" t="s">
        <v>615</v>
      </c>
      <c r="F502" s="120" t="s">
        <v>306</v>
      </c>
      <c r="G502" s="120" t="s">
        <v>894</v>
      </c>
      <c r="H502" s="120">
        <v>1.0</v>
      </c>
      <c r="I502" s="121">
        <v>0.0</v>
      </c>
      <c r="J502" s="121">
        <v>1.0</v>
      </c>
      <c r="K502" s="117"/>
    </row>
    <row r="503" ht="15.75" customHeight="1">
      <c r="A503" s="122" t="s">
        <v>2056</v>
      </c>
      <c r="B503" s="133" t="s">
        <v>2058</v>
      </c>
      <c r="C503" s="120" t="s">
        <v>311</v>
      </c>
      <c r="D503" s="120" t="s">
        <v>375</v>
      </c>
      <c r="E503" s="120" t="s">
        <v>615</v>
      </c>
      <c r="F503" s="120" t="s">
        <v>306</v>
      </c>
      <c r="G503" s="120" t="s">
        <v>813</v>
      </c>
      <c r="H503" s="120">
        <v>1.0</v>
      </c>
      <c r="I503" s="121">
        <v>0.0</v>
      </c>
      <c r="J503" s="121">
        <v>1.0</v>
      </c>
      <c r="K503" s="117"/>
    </row>
    <row r="504" ht="15.75" customHeight="1">
      <c r="A504" s="122" t="s">
        <v>2059</v>
      </c>
      <c r="B504" s="133" t="s">
        <v>2060</v>
      </c>
      <c r="C504" s="120" t="s">
        <v>311</v>
      </c>
      <c r="D504" s="120" t="s">
        <v>375</v>
      </c>
      <c r="E504" s="120" t="s">
        <v>615</v>
      </c>
      <c r="F504" s="120" t="s">
        <v>306</v>
      </c>
      <c r="G504" s="120" t="s">
        <v>2061</v>
      </c>
      <c r="H504" s="120">
        <v>1.0</v>
      </c>
      <c r="I504" s="121">
        <v>0.0</v>
      </c>
      <c r="J504" s="121">
        <v>0.0</v>
      </c>
      <c r="K504" s="117"/>
    </row>
    <row r="505" ht="15.75" customHeight="1">
      <c r="A505" s="122" t="s">
        <v>2062</v>
      </c>
      <c r="B505" s="133" t="s">
        <v>2063</v>
      </c>
      <c r="C505" s="120" t="s">
        <v>311</v>
      </c>
      <c r="D505" s="120" t="s">
        <v>375</v>
      </c>
      <c r="E505" s="120" t="s">
        <v>615</v>
      </c>
      <c r="F505" s="120" t="s">
        <v>306</v>
      </c>
      <c r="G505" s="120" t="s">
        <v>2047</v>
      </c>
      <c r="H505" s="120">
        <v>1.0</v>
      </c>
      <c r="I505" s="121">
        <v>0.0</v>
      </c>
      <c r="J505" s="121">
        <v>0.0</v>
      </c>
      <c r="K505" s="117"/>
    </row>
    <row r="506" ht="15.75" customHeight="1">
      <c r="A506" s="122" t="s">
        <v>2066</v>
      </c>
      <c r="B506" s="133" t="s">
        <v>676</v>
      </c>
      <c r="C506" s="120" t="s">
        <v>311</v>
      </c>
      <c r="D506" s="120" t="s">
        <v>677</v>
      </c>
      <c r="E506" s="120" t="s">
        <v>615</v>
      </c>
      <c r="F506" s="120" t="s">
        <v>306</v>
      </c>
      <c r="G506" s="120" t="s">
        <v>2067</v>
      </c>
      <c r="H506" s="120">
        <v>1.0</v>
      </c>
      <c r="I506" s="121">
        <v>0.0</v>
      </c>
      <c r="J506" s="121">
        <v>1.0</v>
      </c>
      <c r="K506" s="117"/>
    </row>
    <row r="507" ht="15.75" customHeight="1">
      <c r="A507" s="122" t="s">
        <v>2068</v>
      </c>
      <c r="B507" s="133" t="s">
        <v>2069</v>
      </c>
      <c r="C507" s="120" t="s">
        <v>311</v>
      </c>
      <c r="D507" s="120" t="s">
        <v>663</v>
      </c>
      <c r="E507" s="120" t="s">
        <v>615</v>
      </c>
      <c r="F507" s="120" t="s">
        <v>306</v>
      </c>
      <c r="G507" s="120" t="s">
        <v>2072</v>
      </c>
      <c r="H507" s="120">
        <v>1.0</v>
      </c>
      <c r="I507" s="121">
        <v>0.0</v>
      </c>
      <c r="J507" s="121">
        <v>0.0</v>
      </c>
      <c r="K507" s="117"/>
    </row>
    <row r="508" ht="15.75" customHeight="1">
      <c r="A508" s="122" t="s">
        <v>952</v>
      </c>
      <c r="B508" s="133" t="s">
        <v>953</v>
      </c>
      <c r="C508" s="120" t="s">
        <v>311</v>
      </c>
      <c r="D508" s="120" t="s">
        <v>663</v>
      </c>
      <c r="E508" s="120" t="s">
        <v>615</v>
      </c>
      <c r="F508" s="120" t="s">
        <v>306</v>
      </c>
      <c r="G508" s="120" t="s">
        <v>1993</v>
      </c>
      <c r="H508" s="120">
        <v>1.0</v>
      </c>
      <c r="I508" s="121">
        <v>0.0</v>
      </c>
      <c r="J508" s="121">
        <v>0.0</v>
      </c>
      <c r="K508" s="117"/>
    </row>
    <row r="509" ht="15.75" customHeight="1">
      <c r="A509" s="122" t="s">
        <v>661</v>
      </c>
      <c r="B509" s="133" t="s">
        <v>662</v>
      </c>
      <c r="C509" s="120" t="s">
        <v>311</v>
      </c>
      <c r="D509" s="120" t="s">
        <v>663</v>
      </c>
      <c r="E509" s="120" t="s">
        <v>615</v>
      </c>
      <c r="F509" s="120" t="s">
        <v>306</v>
      </c>
      <c r="G509" s="120" t="s">
        <v>1952</v>
      </c>
      <c r="H509" s="120">
        <v>1.0</v>
      </c>
      <c r="I509" s="121">
        <v>0.0</v>
      </c>
      <c r="J509" s="121">
        <v>0.0</v>
      </c>
      <c r="K509" s="117"/>
    </row>
    <row r="510" ht="15.75" customHeight="1">
      <c r="A510" s="122" t="s">
        <v>2074</v>
      </c>
      <c r="B510" s="133" t="s">
        <v>1038</v>
      </c>
      <c r="C510" s="120" t="s">
        <v>311</v>
      </c>
      <c r="D510" s="120" t="s">
        <v>663</v>
      </c>
      <c r="E510" s="120" t="s">
        <v>615</v>
      </c>
      <c r="F510" s="120" t="s">
        <v>306</v>
      </c>
      <c r="G510" s="120" t="s">
        <v>2076</v>
      </c>
      <c r="H510" s="120">
        <v>1.0</v>
      </c>
      <c r="I510" s="121">
        <v>0.0</v>
      </c>
      <c r="J510" s="121">
        <v>2.0</v>
      </c>
      <c r="K510" s="117"/>
    </row>
    <row r="511" ht="15.75" customHeight="1">
      <c r="A511" s="122" t="s">
        <v>679</v>
      </c>
      <c r="B511" s="133" t="s">
        <v>680</v>
      </c>
      <c r="C511" s="120" t="s">
        <v>311</v>
      </c>
      <c r="D511" s="120" t="s">
        <v>344</v>
      </c>
      <c r="E511" s="120" t="s">
        <v>615</v>
      </c>
      <c r="F511" s="120" t="s">
        <v>306</v>
      </c>
      <c r="G511" s="120" t="s">
        <v>2077</v>
      </c>
      <c r="H511" s="120">
        <v>1.0</v>
      </c>
      <c r="I511" s="121">
        <v>0.0</v>
      </c>
      <c r="J511" s="121">
        <v>0.0</v>
      </c>
      <c r="K511" s="117"/>
    </row>
    <row r="512" ht="15.75" customHeight="1">
      <c r="A512" s="122" t="s">
        <v>2078</v>
      </c>
      <c r="B512" s="133" t="s">
        <v>2079</v>
      </c>
      <c r="C512" s="120" t="s">
        <v>311</v>
      </c>
      <c r="D512" s="120" t="s">
        <v>2080</v>
      </c>
      <c r="E512" s="120" t="s">
        <v>615</v>
      </c>
      <c r="F512" s="120" t="s">
        <v>306</v>
      </c>
      <c r="G512" s="120" t="s">
        <v>2081</v>
      </c>
      <c r="H512" s="120">
        <v>1.0</v>
      </c>
      <c r="I512" s="121">
        <v>0.0</v>
      </c>
      <c r="J512" s="121">
        <v>1.0</v>
      </c>
      <c r="K512" s="117"/>
    </row>
    <row r="513" ht="15.75" customHeight="1">
      <c r="A513" s="122" t="s">
        <v>2084</v>
      </c>
      <c r="B513" s="133" t="s">
        <v>2085</v>
      </c>
      <c r="C513" s="120" t="s">
        <v>311</v>
      </c>
      <c r="D513" s="120" t="s">
        <v>1592</v>
      </c>
      <c r="E513" s="120" t="s">
        <v>615</v>
      </c>
      <c r="F513" s="120" t="s">
        <v>306</v>
      </c>
      <c r="G513" s="120" t="s">
        <v>2086</v>
      </c>
      <c r="H513" s="120">
        <v>1.0</v>
      </c>
      <c r="I513" s="121">
        <v>0.0</v>
      </c>
      <c r="J513" s="121">
        <v>0.0</v>
      </c>
      <c r="K513" s="117"/>
    </row>
    <row r="514" ht="15.75" customHeight="1">
      <c r="A514" s="122" t="s">
        <v>2087</v>
      </c>
      <c r="B514" s="133" t="s">
        <v>2088</v>
      </c>
      <c r="C514" s="120" t="s">
        <v>311</v>
      </c>
      <c r="D514" s="120" t="s">
        <v>655</v>
      </c>
      <c r="E514" s="120" t="s">
        <v>615</v>
      </c>
      <c r="F514" s="120" t="s">
        <v>306</v>
      </c>
      <c r="G514" s="120" t="s">
        <v>2089</v>
      </c>
      <c r="H514" s="120">
        <v>1.0</v>
      </c>
      <c r="I514" s="121">
        <v>0.0</v>
      </c>
      <c r="J514" s="121">
        <v>1.0</v>
      </c>
      <c r="K514" s="117"/>
    </row>
    <row r="515" ht="15.75" customHeight="1">
      <c r="A515" s="122" t="s">
        <v>995</v>
      </c>
      <c r="B515" s="133" t="s">
        <v>996</v>
      </c>
      <c r="C515" s="120" t="s">
        <v>311</v>
      </c>
      <c r="D515" s="120" t="s">
        <v>655</v>
      </c>
      <c r="E515" s="120" t="s">
        <v>615</v>
      </c>
      <c r="F515" s="120" t="s">
        <v>306</v>
      </c>
      <c r="G515" s="120" t="s">
        <v>2092</v>
      </c>
      <c r="H515" s="120">
        <v>1.0</v>
      </c>
      <c r="I515" s="121">
        <v>0.0</v>
      </c>
      <c r="J515" s="121">
        <v>0.0</v>
      </c>
      <c r="K515" s="117"/>
    </row>
    <row r="516" ht="15.75" customHeight="1">
      <c r="A516" s="122" t="s">
        <v>2093</v>
      </c>
      <c r="B516" s="133" t="s">
        <v>2094</v>
      </c>
      <c r="C516" s="120" t="s">
        <v>311</v>
      </c>
      <c r="D516" s="120" t="s">
        <v>655</v>
      </c>
      <c r="E516" s="120" t="s">
        <v>615</v>
      </c>
      <c r="F516" s="120" t="s">
        <v>306</v>
      </c>
      <c r="G516" s="120" t="s">
        <v>2095</v>
      </c>
      <c r="H516" s="120">
        <v>1.0</v>
      </c>
      <c r="I516" s="121">
        <v>0.0</v>
      </c>
      <c r="J516" s="121">
        <v>0.0</v>
      </c>
      <c r="K516" s="117"/>
    </row>
    <row r="517" ht="15.75" customHeight="1">
      <c r="A517" s="122" t="s">
        <v>836</v>
      </c>
      <c r="B517" s="133" t="s">
        <v>837</v>
      </c>
      <c r="C517" s="120" t="s">
        <v>311</v>
      </c>
      <c r="D517" s="120" t="s">
        <v>838</v>
      </c>
      <c r="E517" s="120" t="s">
        <v>615</v>
      </c>
      <c r="F517" s="120" t="s">
        <v>306</v>
      </c>
      <c r="G517" s="120" t="s">
        <v>2096</v>
      </c>
      <c r="H517" s="120">
        <v>1.0</v>
      </c>
      <c r="I517" s="121">
        <v>0.0</v>
      </c>
      <c r="J517" s="121">
        <v>0.0</v>
      </c>
      <c r="K517" s="117"/>
    </row>
    <row r="518" ht="15.75" customHeight="1">
      <c r="A518" s="122" t="s">
        <v>2097</v>
      </c>
      <c r="B518" s="133" t="s">
        <v>2098</v>
      </c>
      <c r="C518" s="120" t="s">
        <v>311</v>
      </c>
      <c r="D518" s="120" t="s">
        <v>1575</v>
      </c>
      <c r="E518" s="120" t="s">
        <v>615</v>
      </c>
      <c r="F518" s="120" t="s">
        <v>306</v>
      </c>
      <c r="G518" s="120" t="s">
        <v>2099</v>
      </c>
      <c r="H518" s="120">
        <v>1.0</v>
      </c>
      <c r="I518" s="121">
        <v>0.0</v>
      </c>
      <c r="J518" s="121">
        <v>1.0</v>
      </c>
      <c r="K518" s="117"/>
    </row>
    <row r="519" ht="15.75" customHeight="1">
      <c r="A519" s="122" t="s">
        <v>2100</v>
      </c>
      <c r="B519" s="133" t="s">
        <v>2101</v>
      </c>
      <c r="C519" s="120" t="s">
        <v>311</v>
      </c>
      <c r="D519" s="120" t="s">
        <v>1575</v>
      </c>
      <c r="E519" s="120" t="s">
        <v>615</v>
      </c>
      <c r="F519" s="120" t="s">
        <v>306</v>
      </c>
      <c r="G519" s="120" t="s">
        <v>2102</v>
      </c>
      <c r="H519" s="120">
        <v>1.0</v>
      </c>
      <c r="I519" s="121">
        <v>0.0</v>
      </c>
      <c r="J519" s="121">
        <v>1.0</v>
      </c>
      <c r="K519" s="117"/>
    </row>
    <row r="520" ht="15.75" customHeight="1">
      <c r="A520" s="122" t="s">
        <v>2103</v>
      </c>
      <c r="B520" s="133" t="s">
        <v>2104</v>
      </c>
      <c r="C520" s="120" t="s">
        <v>311</v>
      </c>
      <c r="D520" s="120" t="s">
        <v>1575</v>
      </c>
      <c r="E520" s="120" t="s">
        <v>615</v>
      </c>
      <c r="F520" s="120" t="s">
        <v>306</v>
      </c>
      <c r="G520" s="120" t="s">
        <v>2105</v>
      </c>
      <c r="H520" s="120">
        <v>1.0</v>
      </c>
      <c r="I520" s="121">
        <v>0.0</v>
      </c>
      <c r="J520" s="121">
        <v>1.0</v>
      </c>
      <c r="K520" s="117"/>
    </row>
    <row r="521" ht="15.75" customHeight="1">
      <c r="A521" s="122" t="s">
        <v>2106</v>
      </c>
      <c r="B521" s="133" t="s">
        <v>2109</v>
      </c>
      <c r="C521" s="120" t="s">
        <v>311</v>
      </c>
      <c r="D521" s="120" t="s">
        <v>924</v>
      </c>
      <c r="E521" s="120" t="s">
        <v>615</v>
      </c>
      <c r="F521" s="120" t="s">
        <v>306</v>
      </c>
      <c r="G521" s="120" t="s">
        <v>2110</v>
      </c>
      <c r="H521" s="120">
        <v>1.0</v>
      </c>
      <c r="I521" s="121">
        <v>0.0</v>
      </c>
      <c r="J521" s="121">
        <v>0.0</v>
      </c>
      <c r="K521" s="117"/>
    </row>
    <row r="522" ht="15.75" customHeight="1">
      <c r="A522" s="122" t="s">
        <v>2111</v>
      </c>
      <c r="B522" s="133" t="s">
        <v>2112</v>
      </c>
      <c r="C522" s="120" t="s">
        <v>311</v>
      </c>
      <c r="D522" s="120" t="s">
        <v>844</v>
      </c>
      <c r="E522" s="120" t="s">
        <v>615</v>
      </c>
      <c r="F522" s="120" t="s">
        <v>306</v>
      </c>
      <c r="G522" s="120" t="s">
        <v>1532</v>
      </c>
      <c r="H522" s="120">
        <v>1.0</v>
      </c>
      <c r="I522" s="121">
        <v>0.0</v>
      </c>
      <c r="J522" s="121">
        <v>0.0</v>
      </c>
      <c r="K522" s="117"/>
    </row>
    <row r="523" ht="15.75" customHeight="1">
      <c r="A523" s="122" t="s">
        <v>2113</v>
      </c>
      <c r="B523" s="133" t="s">
        <v>2114</v>
      </c>
      <c r="C523" s="120" t="s">
        <v>311</v>
      </c>
      <c r="D523" s="120" t="s">
        <v>844</v>
      </c>
      <c r="E523" s="120" t="s">
        <v>615</v>
      </c>
      <c r="F523" s="120" t="s">
        <v>306</v>
      </c>
      <c r="G523" s="120" t="s">
        <v>2115</v>
      </c>
      <c r="H523" s="120">
        <v>1.0</v>
      </c>
      <c r="I523" s="121">
        <v>0.0</v>
      </c>
      <c r="J523" s="121">
        <v>1.0</v>
      </c>
      <c r="K523" s="117"/>
    </row>
    <row r="524" ht="15.75" customHeight="1">
      <c r="A524" s="122" t="s">
        <v>2118</v>
      </c>
      <c r="B524" s="133" t="s">
        <v>2119</v>
      </c>
      <c r="C524" s="120" t="s">
        <v>311</v>
      </c>
      <c r="D524" s="120" t="s">
        <v>353</v>
      </c>
      <c r="E524" s="120" t="s">
        <v>615</v>
      </c>
      <c r="F524" s="120" t="s">
        <v>306</v>
      </c>
      <c r="G524" s="120" t="s">
        <v>1816</v>
      </c>
      <c r="H524" s="120">
        <v>1.0</v>
      </c>
      <c r="I524" s="121">
        <v>0.0</v>
      </c>
      <c r="J524" s="121">
        <v>3.0</v>
      </c>
      <c r="K524" s="117"/>
    </row>
    <row r="525" ht="15.75" customHeight="1">
      <c r="A525" s="122" t="s">
        <v>2120</v>
      </c>
      <c r="B525" s="133" t="s">
        <v>2121</v>
      </c>
      <c r="C525" s="120" t="s">
        <v>311</v>
      </c>
      <c r="D525" s="120" t="s">
        <v>2122</v>
      </c>
      <c r="E525" s="120" t="s">
        <v>615</v>
      </c>
      <c r="F525" s="120" t="s">
        <v>306</v>
      </c>
      <c r="G525" s="120" t="s">
        <v>2123</v>
      </c>
      <c r="H525" s="120">
        <v>1.0</v>
      </c>
      <c r="I525" s="121">
        <v>0.0</v>
      </c>
      <c r="J525" s="121">
        <v>0.0</v>
      </c>
      <c r="K525" s="117"/>
    </row>
    <row r="526" ht="15.75" customHeight="1">
      <c r="A526" s="122" t="s">
        <v>872</v>
      </c>
      <c r="B526" s="133" t="s">
        <v>873</v>
      </c>
      <c r="C526" s="120" t="s">
        <v>311</v>
      </c>
      <c r="D526" s="120" t="s">
        <v>304</v>
      </c>
      <c r="E526" s="120" t="s">
        <v>615</v>
      </c>
      <c r="F526" s="120" t="s">
        <v>306</v>
      </c>
      <c r="G526" s="120" t="s">
        <v>2126</v>
      </c>
      <c r="H526" s="120">
        <v>1.0</v>
      </c>
      <c r="I526" s="121">
        <v>0.0</v>
      </c>
      <c r="J526" s="121">
        <v>0.0</v>
      </c>
      <c r="K526" s="117"/>
    </row>
    <row r="527" ht="15.75" customHeight="1">
      <c r="A527" s="122" t="s">
        <v>1253</v>
      </c>
      <c r="B527" s="133" t="s">
        <v>1254</v>
      </c>
      <c r="C527" s="120" t="s">
        <v>311</v>
      </c>
      <c r="D527" s="120" t="s">
        <v>1251</v>
      </c>
      <c r="E527" s="120" t="s">
        <v>615</v>
      </c>
      <c r="F527" s="120" t="s">
        <v>306</v>
      </c>
      <c r="G527" s="120" t="s">
        <v>2127</v>
      </c>
      <c r="H527" s="120">
        <v>1.0</v>
      </c>
      <c r="I527" s="121">
        <v>0.0</v>
      </c>
      <c r="J527" s="121">
        <v>0.0</v>
      </c>
      <c r="K527" s="117"/>
    </row>
    <row r="528" ht="15.75" customHeight="1">
      <c r="A528" s="122" t="s">
        <v>902</v>
      </c>
      <c r="B528" s="133" t="s">
        <v>903</v>
      </c>
      <c r="C528" s="120" t="s">
        <v>311</v>
      </c>
      <c r="D528" s="120" t="s">
        <v>708</v>
      </c>
      <c r="E528" s="120" t="s">
        <v>615</v>
      </c>
      <c r="F528" s="120" t="s">
        <v>306</v>
      </c>
      <c r="G528" s="120" t="s">
        <v>2130</v>
      </c>
      <c r="H528" s="120">
        <v>1.0</v>
      </c>
      <c r="I528" s="121">
        <v>0.0</v>
      </c>
      <c r="J528" s="121">
        <v>1.0</v>
      </c>
      <c r="K528" s="117"/>
    </row>
    <row r="529" ht="15.75" customHeight="1">
      <c r="A529" s="122" t="s">
        <v>706</v>
      </c>
      <c r="B529" s="133" t="s">
        <v>707</v>
      </c>
      <c r="C529" s="120" t="s">
        <v>311</v>
      </c>
      <c r="D529" s="120" t="s">
        <v>708</v>
      </c>
      <c r="E529" s="120" t="s">
        <v>615</v>
      </c>
      <c r="F529" s="120" t="s">
        <v>306</v>
      </c>
      <c r="G529" s="120" t="s">
        <v>2131</v>
      </c>
      <c r="H529" s="120">
        <v>1.0</v>
      </c>
      <c r="I529" s="121">
        <v>0.0</v>
      </c>
      <c r="J529" s="121">
        <v>1.0</v>
      </c>
      <c r="K529" s="117"/>
    </row>
    <row r="530" ht="15.75" customHeight="1">
      <c r="A530" s="122" t="s">
        <v>1276</v>
      </c>
      <c r="B530" s="133" t="s">
        <v>1277</v>
      </c>
      <c r="C530" s="120" t="s">
        <v>311</v>
      </c>
      <c r="D530" s="120" t="s">
        <v>708</v>
      </c>
      <c r="E530" s="120" t="s">
        <v>615</v>
      </c>
      <c r="F530" s="120" t="s">
        <v>306</v>
      </c>
      <c r="G530" s="120" t="s">
        <v>2132</v>
      </c>
      <c r="H530" s="120">
        <v>1.0</v>
      </c>
      <c r="I530" s="121">
        <v>0.0</v>
      </c>
      <c r="J530" s="121">
        <v>0.0</v>
      </c>
      <c r="K530" s="117"/>
    </row>
    <row r="531" ht="15.75" customHeight="1">
      <c r="A531" s="122" t="s">
        <v>758</v>
      </c>
      <c r="B531" s="133" t="s">
        <v>759</v>
      </c>
      <c r="C531" s="120" t="s">
        <v>311</v>
      </c>
      <c r="D531" s="120" t="s">
        <v>688</v>
      </c>
      <c r="E531" s="120" t="s">
        <v>615</v>
      </c>
      <c r="F531" s="120" t="s">
        <v>306</v>
      </c>
      <c r="G531" s="120" t="s">
        <v>2133</v>
      </c>
      <c r="H531" s="120">
        <v>1.0</v>
      </c>
      <c r="I531" s="121">
        <v>0.0</v>
      </c>
      <c r="J531" s="121">
        <v>2.0</v>
      </c>
      <c r="K531" s="117"/>
    </row>
    <row r="532" ht="15.75" customHeight="1">
      <c r="A532" s="122" t="s">
        <v>1082</v>
      </c>
      <c r="B532" s="133" t="s">
        <v>1083</v>
      </c>
      <c r="C532" s="120" t="s">
        <v>311</v>
      </c>
      <c r="D532" s="120" t="s">
        <v>503</v>
      </c>
      <c r="E532" s="120" t="s">
        <v>615</v>
      </c>
      <c r="F532" s="120" t="s">
        <v>306</v>
      </c>
      <c r="G532" s="120" t="s">
        <v>2134</v>
      </c>
      <c r="H532" s="120">
        <v>1.0</v>
      </c>
      <c r="I532" s="121">
        <v>0.0</v>
      </c>
      <c r="J532" s="121">
        <v>1.0</v>
      </c>
      <c r="K532" s="117"/>
    </row>
    <row r="533" ht="15.75" customHeight="1">
      <c r="A533" s="122" t="s">
        <v>2135</v>
      </c>
      <c r="B533" s="133" t="s">
        <v>2136</v>
      </c>
      <c r="C533" s="135" t="s">
        <v>315</v>
      </c>
      <c r="D533" s="141" t="s">
        <v>2064</v>
      </c>
      <c r="E533" s="135" t="s">
        <v>615</v>
      </c>
      <c r="F533" s="135" t="s">
        <v>306</v>
      </c>
      <c r="G533" s="135" t="s">
        <v>2137</v>
      </c>
      <c r="H533" s="135">
        <v>84.0</v>
      </c>
      <c r="I533" s="121">
        <v>0.06</v>
      </c>
      <c r="J533" s="121">
        <v>3.11</v>
      </c>
      <c r="K533" s="117"/>
    </row>
    <row r="534" ht="15.75" customHeight="1">
      <c r="A534" s="122" t="s">
        <v>2138</v>
      </c>
      <c r="B534" s="133" t="s">
        <v>2139</v>
      </c>
      <c r="C534" s="135" t="s">
        <v>315</v>
      </c>
      <c r="D534" s="141" t="s">
        <v>2140</v>
      </c>
      <c r="E534" s="135" t="s">
        <v>615</v>
      </c>
      <c r="F534" s="135" t="s">
        <v>306</v>
      </c>
      <c r="G534" s="135" t="s">
        <v>2141</v>
      </c>
      <c r="H534" s="135">
        <v>84.0</v>
      </c>
      <c r="I534" s="121">
        <v>0.05</v>
      </c>
      <c r="J534" s="121">
        <v>0.96</v>
      </c>
      <c r="K534" s="117"/>
    </row>
    <row r="535" ht="15.75" customHeight="1">
      <c r="A535" s="122" t="s">
        <v>2142</v>
      </c>
      <c r="B535" s="133" t="s">
        <v>2143</v>
      </c>
      <c r="C535" s="135" t="s">
        <v>315</v>
      </c>
      <c r="D535" s="141" t="s">
        <v>2144</v>
      </c>
      <c r="E535" s="135" t="s">
        <v>615</v>
      </c>
      <c r="F535" s="135" t="s">
        <v>306</v>
      </c>
      <c r="G535" s="135" t="s">
        <v>2145</v>
      </c>
      <c r="H535" s="135">
        <v>80.0</v>
      </c>
      <c r="I535" s="121">
        <v>0.04</v>
      </c>
      <c r="J535" s="121">
        <v>1.62</v>
      </c>
      <c r="K535" s="117"/>
    </row>
    <row r="536" ht="15.75" customHeight="1">
      <c r="A536" s="122" t="s">
        <v>2146</v>
      </c>
      <c r="B536" s="133" t="s">
        <v>2147</v>
      </c>
      <c r="C536" s="135" t="s">
        <v>315</v>
      </c>
      <c r="D536" s="141" t="s">
        <v>1992</v>
      </c>
      <c r="E536" s="135" t="s">
        <v>615</v>
      </c>
      <c r="F536" s="135" t="s">
        <v>306</v>
      </c>
      <c r="G536" s="135" t="s">
        <v>2148</v>
      </c>
      <c r="H536" s="135">
        <v>66.0</v>
      </c>
      <c r="I536" s="121">
        <v>0.04</v>
      </c>
      <c r="J536" s="121">
        <v>1.32</v>
      </c>
      <c r="K536" s="117"/>
    </row>
    <row r="537" ht="15.75" customHeight="1">
      <c r="A537" s="122" t="s">
        <v>2149</v>
      </c>
      <c r="B537" s="133" t="s">
        <v>2150</v>
      </c>
      <c r="C537" s="135" t="s">
        <v>315</v>
      </c>
      <c r="D537" s="141" t="s">
        <v>2151</v>
      </c>
      <c r="E537" s="135" t="s">
        <v>615</v>
      </c>
      <c r="F537" s="135" t="s">
        <v>306</v>
      </c>
      <c r="G537" s="135" t="s">
        <v>2152</v>
      </c>
      <c r="H537" s="135">
        <v>66.0</v>
      </c>
      <c r="I537" s="121">
        <v>0.03</v>
      </c>
      <c r="J537" s="121">
        <v>1.79</v>
      </c>
      <c r="K537" s="117"/>
    </row>
    <row r="538" ht="15.75" customHeight="1">
      <c r="A538" s="122" t="s">
        <v>2153</v>
      </c>
      <c r="B538" s="133" t="s">
        <v>2154</v>
      </c>
      <c r="C538" s="135" t="s">
        <v>315</v>
      </c>
      <c r="D538" s="141" t="s">
        <v>2155</v>
      </c>
      <c r="E538" s="135" t="s">
        <v>615</v>
      </c>
      <c r="F538" s="135" t="s">
        <v>306</v>
      </c>
      <c r="G538" s="135" t="s">
        <v>2156</v>
      </c>
      <c r="H538" s="135">
        <v>64.0</v>
      </c>
      <c r="I538" s="121">
        <v>0.03</v>
      </c>
      <c r="J538" s="121">
        <v>1.17</v>
      </c>
      <c r="K538" s="117"/>
    </row>
    <row r="539" ht="15.75" customHeight="1">
      <c r="A539" s="122" t="s">
        <v>2157</v>
      </c>
      <c r="B539" s="133" t="s">
        <v>2158</v>
      </c>
      <c r="C539" s="135" t="s">
        <v>315</v>
      </c>
      <c r="D539" s="135" t="s">
        <v>2159</v>
      </c>
      <c r="E539" s="135" t="s">
        <v>615</v>
      </c>
      <c r="F539" s="135" t="s">
        <v>306</v>
      </c>
      <c r="G539" s="135" t="s">
        <v>2160</v>
      </c>
      <c r="H539" s="135">
        <v>52.0</v>
      </c>
      <c r="I539" s="121">
        <v>0.02</v>
      </c>
      <c r="J539" s="121">
        <v>1.08</v>
      </c>
      <c r="K539" s="117"/>
    </row>
    <row r="540" ht="15.75" customHeight="1">
      <c r="A540" s="122" t="s">
        <v>2161</v>
      </c>
      <c r="B540" s="133" t="s">
        <v>2162</v>
      </c>
      <c r="C540" s="135" t="s">
        <v>315</v>
      </c>
      <c r="D540" s="141" t="s">
        <v>2163</v>
      </c>
      <c r="E540" s="135" t="s">
        <v>615</v>
      </c>
      <c r="F540" s="135" t="s">
        <v>306</v>
      </c>
      <c r="G540" s="135" t="s">
        <v>2164</v>
      </c>
      <c r="H540" s="135">
        <v>45.0</v>
      </c>
      <c r="I540" s="121">
        <v>0.02</v>
      </c>
      <c r="J540" s="121">
        <v>0.83</v>
      </c>
      <c r="K540" s="117"/>
    </row>
    <row r="541" ht="15.75" customHeight="1">
      <c r="A541" s="122" t="s">
        <v>2165</v>
      </c>
      <c r="B541" s="133" t="s">
        <v>2166</v>
      </c>
      <c r="C541" s="135" t="s">
        <v>315</v>
      </c>
      <c r="D541" s="141" t="s">
        <v>2163</v>
      </c>
      <c r="E541" s="135" t="s">
        <v>615</v>
      </c>
      <c r="F541" s="135" t="s">
        <v>306</v>
      </c>
      <c r="G541" s="135" t="s">
        <v>2167</v>
      </c>
      <c r="H541" s="135">
        <v>40.0</v>
      </c>
      <c r="I541" s="121">
        <v>0.02</v>
      </c>
      <c r="J541" s="121">
        <v>0.22</v>
      </c>
      <c r="K541" s="117"/>
    </row>
    <row r="542" ht="15.75" customHeight="1">
      <c r="A542" s="122" t="s">
        <v>2168</v>
      </c>
      <c r="B542" s="133" t="s">
        <v>2169</v>
      </c>
      <c r="C542" s="135" t="s">
        <v>315</v>
      </c>
      <c r="D542" s="141" t="s">
        <v>1843</v>
      </c>
      <c r="E542" s="135" t="s">
        <v>615</v>
      </c>
      <c r="F542" s="135" t="s">
        <v>306</v>
      </c>
      <c r="G542" s="135" t="s">
        <v>2170</v>
      </c>
      <c r="H542" s="135">
        <v>37.0</v>
      </c>
      <c r="I542" s="121">
        <v>0.02</v>
      </c>
      <c r="J542" s="121">
        <v>0.5</v>
      </c>
      <c r="K542" s="117"/>
    </row>
    <row r="543" ht="15.75" customHeight="1">
      <c r="A543" s="122" t="s">
        <v>2171</v>
      </c>
      <c r="B543" s="133" t="s">
        <v>2172</v>
      </c>
      <c r="C543" s="135" t="s">
        <v>315</v>
      </c>
      <c r="D543" s="141" t="s">
        <v>1677</v>
      </c>
      <c r="E543" s="135" t="s">
        <v>615</v>
      </c>
      <c r="F543" s="135" t="s">
        <v>306</v>
      </c>
      <c r="G543" s="135" t="s">
        <v>2173</v>
      </c>
      <c r="H543" s="135">
        <v>37.0</v>
      </c>
      <c r="I543" s="121">
        <v>0.02</v>
      </c>
      <c r="J543" s="121">
        <v>0.68</v>
      </c>
      <c r="K543" s="117"/>
    </row>
    <row r="544" ht="15.75" customHeight="1">
      <c r="A544" s="122" t="s">
        <v>2174</v>
      </c>
      <c r="B544" s="133" t="s">
        <v>2175</v>
      </c>
      <c r="C544" s="135" t="s">
        <v>315</v>
      </c>
      <c r="D544" s="141" t="s">
        <v>1992</v>
      </c>
      <c r="E544" s="135" t="s">
        <v>615</v>
      </c>
      <c r="F544" s="135" t="s">
        <v>306</v>
      </c>
      <c r="G544" s="135" t="s">
        <v>2176</v>
      </c>
      <c r="H544" s="135">
        <v>37.0</v>
      </c>
      <c r="I544" s="121">
        <v>0.02</v>
      </c>
      <c r="J544" s="121">
        <v>1.52</v>
      </c>
      <c r="K544" s="117"/>
    </row>
    <row r="545" ht="15.75" customHeight="1">
      <c r="A545" s="122" t="s">
        <v>2177</v>
      </c>
      <c r="B545" s="133" t="s">
        <v>2178</v>
      </c>
      <c r="C545" s="135" t="s">
        <v>315</v>
      </c>
      <c r="D545" s="141" t="s">
        <v>2179</v>
      </c>
      <c r="E545" s="135" t="s">
        <v>615</v>
      </c>
      <c r="F545" s="135" t="s">
        <v>306</v>
      </c>
      <c r="G545" s="135" t="s">
        <v>2180</v>
      </c>
      <c r="H545" s="135">
        <v>37.0</v>
      </c>
      <c r="I545" s="121">
        <v>0.02</v>
      </c>
      <c r="J545" s="121">
        <v>0.78</v>
      </c>
      <c r="K545" s="117"/>
    </row>
    <row r="546" ht="15.75" customHeight="1">
      <c r="A546" s="122" t="s">
        <v>2181</v>
      </c>
      <c r="B546" s="133" t="s">
        <v>2182</v>
      </c>
      <c r="C546" s="135" t="s">
        <v>315</v>
      </c>
      <c r="D546" s="141" t="s">
        <v>2183</v>
      </c>
      <c r="E546" s="135" t="s">
        <v>615</v>
      </c>
      <c r="F546" s="135" t="s">
        <v>306</v>
      </c>
      <c r="G546" s="135" t="s">
        <v>2184</v>
      </c>
      <c r="H546" s="135">
        <v>37.0</v>
      </c>
      <c r="I546" s="121">
        <v>0.02</v>
      </c>
      <c r="J546" s="121">
        <v>1.22</v>
      </c>
      <c r="K546" s="117"/>
    </row>
    <row r="547" ht="15.75" customHeight="1">
      <c r="A547" s="122" t="s">
        <v>2185</v>
      </c>
      <c r="B547" s="133" t="s">
        <v>2186</v>
      </c>
      <c r="C547" s="135" t="s">
        <v>315</v>
      </c>
      <c r="D547" s="141" t="s">
        <v>1997</v>
      </c>
      <c r="E547" s="135" t="s">
        <v>615</v>
      </c>
      <c r="F547" s="135" t="s">
        <v>306</v>
      </c>
      <c r="G547" s="135" t="s">
        <v>2187</v>
      </c>
      <c r="H547" s="135">
        <v>36.0</v>
      </c>
      <c r="I547" s="121">
        <v>0.02</v>
      </c>
      <c r="J547" s="121">
        <v>1.13</v>
      </c>
      <c r="K547" s="117"/>
    </row>
    <row r="548" ht="15.75" customHeight="1">
      <c r="A548" s="122" t="s">
        <v>2188</v>
      </c>
      <c r="B548" s="133" t="s">
        <v>2189</v>
      </c>
      <c r="C548" s="135" t="s">
        <v>315</v>
      </c>
      <c r="D548" s="141" t="s">
        <v>2190</v>
      </c>
      <c r="E548" s="135" t="s">
        <v>615</v>
      </c>
      <c r="F548" s="135" t="s">
        <v>306</v>
      </c>
      <c r="G548" s="135" t="s">
        <v>2191</v>
      </c>
      <c r="H548" s="135">
        <v>36.0</v>
      </c>
      <c r="I548" s="121">
        <v>0.01</v>
      </c>
      <c r="J548" s="121">
        <v>1.71</v>
      </c>
      <c r="K548" s="117"/>
    </row>
    <row r="549" ht="15.75" customHeight="1">
      <c r="A549" s="122" t="s">
        <v>2192</v>
      </c>
      <c r="B549" s="133" t="s">
        <v>2193</v>
      </c>
      <c r="C549" s="135" t="s">
        <v>315</v>
      </c>
      <c r="D549" s="141" t="s">
        <v>2151</v>
      </c>
      <c r="E549" s="135" t="s">
        <v>615</v>
      </c>
      <c r="F549" s="135" t="s">
        <v>306</v>
      </c>
      <c r="G549" s="135" t="s">
        <v>2194</v>
      </c>
      <c r="H549" s="135">
        <v>35.0</v>
      </c>
      <c r="I549" s="121">
        <v>0.01</v>
      </c>
      <c r="J549" s="121">
        <v>0.54</v>
      </c>
      <c r="K549" s="117"/>
    </row>
    <row r="550" ht="15.75" customHeight="1">
      <c r="A550" s="122" t="s">
        <v>2195</v>
      </c>
      <c r="B550" s="133" t="s">
        <v>2196</v>
      </c>
      <c r="C550" s="135" t="s">
        <v>315</v>
      </c>
      <c r="D550" s="141" t="s">
        <v>2155</v>
      </c>
      <c r="E550" s="135" t="s">
        <v>615</v>
      </c>
      <c r="F550" s="135" t="s">
        <v>306</v>
      </c>
      <c r="G550" s="135" t="s">
        <v>2197</v>
      </c>
      <c r="H550" s="135">
        <v>33.0</v>
      </c>
      <c r="I550" s="121">
        <v>0.01</v>
      </c>
      <c r="J550" s="121">
        <v>0.4</v>
      </c>
      <c r="K550" s="117"/>
    </row>
    <row r="551" ht="15.75" customHeight="1">
      <c r="A551" s="122" t="s">
        <v>2198</v>
      </c>
      <c r="B551" s="133" t="s">
        <v>2199</v>
      </c>
      <c r="C551" s="135" t="s">
        <v>315</v>
      </c>
      <c r="D551" s="141" t="s">
        <v>2200</v>
      </c>
      <c r="E551" s="135" t="s">
        <v>615</v>
      </c>
      <c r="F551" s="135" t="s">
        <v>306</v>
      </c>
      <c r="G551" s="135" t="s">
        <v>2202</v>
      </c>
      <c r="H551" s="135">
        <v>33.0</v>
      </c>
      <c r="I551" s="121">
        <v>0.01</v>
      </c>
      <c r="J551" s="121">
        <v>1.67</v>
      </c>
      <c r="K551" s="117"/>
    </row>
    <row r="552" ht="15.75" customHeight="1">
      <c r="A552" s="122" t="s">
        <v>2203</v>
      </c>
      <c r="B552" s="133" t="s">
        <v>2204</v>
      </c>
      <c r="C552" s="135" t="s">
        <v>315</v>
      </c>
      <c r="D552" s="141" t="s">
        <v>1822</v>
      </c>
      <c r="E552" s="135" t="s">
        <v>615</v>
      </c>
      <c r="F552" s="135" t="s">
        <v>306</v>
      </c>
      <c r="G552" s="135" t="s">
        <v>2205</v>
      </c>
      <c r="H552" s="135">
        <v>33.0</v>
      </c>
      <c r="I552" s="121">
        <v>0.01</v>
      </c>
      <c r="J552" s="121">
        <v>0.63</v>
      </c>
      <c r="K552" s="117"/>
    </row>
    <row r="553" ht="15.75" customHeight="1">
      <c r="A553" s="122" t="s">
        <v>2206</v>
      </c>
      <c r="B553" s="133" t="s">
        <v>2208</v>
      </c>
      <c r="C553" s="135" t="s">
        <v>315</v>
      </c>
      <c r="D553" s="141" t="s">
        <v>2163</v>
      </c>
      <c r="E553" s="135" t="s">
        <v>615</v>
      </c>
      <c r="F553" s="135" t="s">
        <v>306</v>
      </c>
      <c r="G553" s="135" t="s">
        <v>2209</v>
      </c>
      <c r="H553" s="135">
        <v>32.0</v>
      </c>
      <c r="I553" s="121">
        <v>0.01</v>
      </c>
      <c r="J553" s="121">
        <v>2.33</v>
      </c>
      <c r="K553" s="117"/>
    </row>
    <row r="554" ht="15.75" customHeight="1">
      <c r="A554" s="122" t="s">
        <v>2210</v>
      </c>
      <c r="B554" s="133" t="s">
        <v>2211</v>
      </c>
      <c r="C554" s="135" t="s">
        <v>315</v>
      </c>
      <c r="D554" s="141" t="s">
        <v>2213</v>
      </c>
      <c r="E554" s="135" t="s">
        <v>615</v>
      </c>
      <c r="F554" s="135" t="s">
        <v>306</v>
      </c>
      <c r="G554" s="135" t="s">
        <v>2216</v>
      </c>
      <c r="H554" s="135">
        <v>32.0</v>
      </c>
      <c r="I554" s="121">
        <v>0.01</v>
      </c>
      <c r="J554" s="121">
        <v>2.0</v>
      </c>
      <c r="K554" s="117"/>
    </row>
    <row r="555" ht="15.75" customHeight="1">
      <c r="A555" s="122" t="s">
        <v>2217</v>
      </c>
      <c r="B555" s="133" t="s">
        <v>2218</v>
      </c>
      <c r="C555" s="135" t="s">
        <v>315</v>
      </c>
      <c r="D555" s="141" t="s">
        <v>2219</v>
      </c>
      <c r="E555" s="135" t="s">
        <v>615</v>
      </c>
      <c r="F555" s="135" t="s">
        <v>306</v>
      </c>
      <c r="G555" s="135" t="s">
        <v>2222</v>
      </c>
      <c r="H555" s="135">
        <v>31.0</v>
      </c>
      <c r="I555" s="121">
        <v>0.01</v>
      </c>
      <c r="J555" s="121">
        <v>0.2</v>
      </c>
      <c r="K555" s="117"/>
    </row>
    <row r="556" ht="15.75" customHeight="1">
      <c r="A556" s="122" t="s">
        <v>2223</v>
      </c>
      <c r="B556" s="133" t="s">
        <v>2226</v>
      </c>
      <c r="C556" s="135" t="s">
        <v>315</v>
      </c>
      <c r="D556" s="141" t="s">
        <v>2227</v>
      </c>
      <c r="E556" s="135" t="s">
        <v>615</v>
      </c>
      <c r="F556" s="135" t="s">
        <v>306</v>
      </c>
      <c r="G556" s="135" t="s">
        <v>2228</v>
      </c>
      <c r="H556" s="135">
        <v>31.0</v>
      </c>
      <c r="I556" s="121">
        <v>0.0</v>
      </c>
      <c r="J556" s="121">
        <v>0.0</v>
      </c>
      <c r="K556" s="117"/>
    </row>
    <row r="557" ht="15.75" customHeight="1">
      <c r="A557" s="122" t="s">
        <v>2229</v>
      </c>
      <c r="B557" s="133" t="s">
        <v>2235</v>
      </c>
      <c r="C557" s="135" t="s">
        <v>315</v>
      </c>
      <c r="D557" s="141" t="s">
        <v>2236</v>
      </c>
      <c r="E557" s="135" t="s">
        <v>615</v>
      </c>
      <c r="F557" s="135" t="s">
        <v>306</v>
      </c>
      <c r="G557" s="135" t="s">
        <v>2238</v>
      </c>
      <c r="H557" s="135">
        <v>31.0</v>
      </c>
      <c r="I557" s="121">
        <v>0.0</v>
      </c>
      <c r="J557" s="121">
        <v>1.67</v>
      </c>
      <c r="K557" s="117"/>
    </row>
    <row r="558" ht="15.75" customHeight="1">
      <c r="A558" s="122" t="s">
        <v>2239</v>
      </c>
      <c r="B558" s="133" t="s">
        <v>2240</v>
      </c>
      <c r="C558" s="135" t="s">
        <v>315</v>
      </c>
      <c r="D558" s="141" t="s">
        <v>2163</v>
      </c>
      <c r="E558" s="135" t="s">
        <v>615</v>
      </c>
      <c r="F558" s="135" t="s">
        <v>306</v>
      </c>
      <c r="G558" s="135" t="s">
        <v>2241</v>
      </c>
      <c r="H558" s="135">
        <v>29.0</v>
      </c>
      <c r="I558" s="121">
        <v>0.0</v>
      </c>
      <c r="J558" s="121">
        <v>0.0</v>
      </c>
      <c r="K558" s="117"/>
    </row>
    <row r="559" ht="15.75" customHeight="1">
      <c r="A559" s="122"/>
      <c r="B559" s="133"/>
      <c r="C559" s="120"/>
      <c r="D559" s="120"/>
      <c r="E559" s="120"/>
      <c r="F559" s="120"/>
      <c r="G559" s="120"/>
      <c r="H559" s="120"/>
      <c r="I559" s="121">
        <v>0.0</v>
      </c>
      <c r="J559" s="121">
        <v>1.0</v>
      </c>
      <c r="K559" s="117"/>
    </row>
    <row r="560" ht="15.75" customHeight="1">
      <c r="A560" s="122"/>
      <c r="B560" s="133"/>
      <c r="C560" s="120"/>
      <c r="D560" s="120"/>
      <c r="E560" s="120"/>
      <c r="F560" s="120"/>
      <c r="G560" s="120"/>
      <c r="H560" s="120"/>
      <c r="I560" s="121">
        <v>0.0</v>
      </c>
      <c r="J560" s="121">
        <v>2.0</v>
      </c>
      <c r="K560" s="117"/>
    </row>
    <row r="561" ht="15.75" customHeight="1">
      <c r="A561" s="122"/>
      <c r="B561" s="133"/>
      <c r="C561" s="120"/>
      <c r="D561" s="120"/>
      <c r="E561" s="120"/>
      <c r="F561" s="120"/>
      <c r="G561" s="120"/>
      <c r="H561" s="120"/>
      <c r="I561" s="121">
        <v>0.0</v>
      </c>
      <c r="J561" s="121">
        <v>1.5</v>
      </c>
      <c r="K561" s="117"/>
    </row>
    <row r="562" ht="15.75" customHeight="1">
      <c r="A562" s="122"/>
      <c r="B562" s="133"/>
      <c r="C562" s="120"/>
      <c r="D562" s="120"/>
      <c r="E562" s="120"/>
      <c r="F562" s="120"/>
      <c r="G562" s="120"/>
      <c r="H562" s="120"/>
      <c r="I562" s="121">
        <v>0.0</v>
      </c>
      <c r="J562" s="121">
        <v>0.0</v>
      </c>
      <c r="K562" s="117"/>
    </row>
    <row r="563" ht="15.75" customHeight="1">
      <c r="A563" s="122"/>
      <c r="B563" s="133"/>
      <c r="C563" s="120"/>
      <c r="D563" s="120"/>
      <c r="E563" s="120"/>
      <c r="F563" s="120"/>
      <c r="G563" s="120"/>
      <c r="H563" s="120"/>
      <c r="I563" s="121">
        <v>0.0</v>
      </c>
      <c r="J563" s="121">
        <v>0.0</v>
      </c>
      <c r="K563" s="117"/>
    </row>
    <row r="564" ht="15.75" customHeight="1">
      <c r="A564" s="122"/>
      <c r="B564" s="133"/>
      <c r="C564" s="120"/>
      <c r="D564" s="120"/>
      <c r="E564" s="120"/>
      <c r="F564" s="120"/>
      <c r="G564" s="120"/>
      <c r="H564" s="120"/>
      <c r="I564" s="121">
        <v>0.0</v>
      </c>
      <c r="J564" s="121">
        <v>0.5</v>
      </c>
      <c r="K564" s="117"/>
    </row>
    <row r="565" ht="15.75" customHeight="1">
      <c r="A565" s="122"/>
      <c r="B565" s="133"/>
      <c r="C565" s="120"/>
      <c r="D565" s="120"/>
      <c r="E565" s="120"/>
      <c r="F565" s="120"/>
      <c r="G565" s="120"/>
      <c r="H565" s="120"/>
      <c r="I565" s="121">
        <v>0.0</v>
      </c>
      <c r="J565" s="121">
        <v>0.5</v>
      </c>
      <c r="K565" s="117"/>
    </row>
    <row r="566" ht="15.75" customHeight="1">
      <c r="A566" s="122"/>
      <c r="B566" s="133"/>
      <c r="C566" s="120"/>
      <c r="D566" s="120"/>
      <c r="E566" s="120"/>
      <c r="F566" s="120"/>
      <c r="G566" s="120"/>
      <c r="H566" s="120"/>
      <c r="I566" s="121">
        <v>0.0</v>
      </c>
      <c r="J566" s="121">
        <v>1.0</v>
      </c>
      <c r="K566" s="117"/>
    </row>
    <row r="567" ht="15.75" customHeight="1">
      <c r="A567" s="122"/>
      <c r="B567" s="133"/>
      <c r="C567" s="120"/>
      <c r="D567" s="120"/>
      <c r="E567" s="120"/>
      <c r="F567" s="120"/>
      <c r="G567" s="120"/>
      <c r="H567" s="120"/>
      <c r="I567" s="121">
        <v>0.0</v>
      </c>
      <c r="J567" s="121">
        <v>1.0</v>
      </c>
      <c r="K567" s="117"/>
    </row>
    <row r="568" ht="15.75" customHeight="1">
      <c r="A568" s="122"/>
      <c r="B568" s="133"/>
      <c r="C568" s="120"/>
      <c r="D568" s="120"/>
      <c r="E568" s="120"/>
      <c r="F568" s="120"/>
      <c r="G568" s="120"/>
      <c r="H568" s="120"/>
      <c r="I568" s="121">
        <v>0.0</v>
      </c>
      <c r="J568" s="121">
        <v>0.0</v>
      </c>
      <c r="K568" s="117"/>
    </row>
    <row r="569" ht="15.75" customHeight="1">
      <c r="A569" s="122"/>
      <c r="B569" s="133"/>
      <c r="C569" s="120"/>
      <c r="D569" s="120"/>
      <c r="E569" s="120"/>
      <c r="F569" s="120"/>
      <c r="G569" s="120"/>
      <c r="H569" s="120"/>
      <c r="I569" s="121">
        <v>0.0</v>
      </c>
      <c r="J569" s="121">
        <v>1.0</v>
      </c>
      <c r="K569" s="117"/>
    </row>
    <row r="570" ht="15.75" customHeight="1">
      <c r="A570" s="122"/>
      <c r="B570" s="133"/>
      <c r="C570" s="120"/>
      <c r="D570" s="120"/>
      <c r="E570" s="120"/>
      <c r="F570" s="120"/>
      <c r="G570" s="120"/>
      <c r="H570" s="120"/>
      <c r="I570" s="121">
        <v>0.0</v>
      </c>
      <c r="J570" s="121">
        <v>0.0</v>
      </c>
      <c r="K570" s="117"/>
    </row>
    <row r="571" ht="15.75" customHeight="1">
      <c r="A571" s="122"/>
      <c r="B571" s="133"/>
      <c r="C571" s="120"/>
      <c r="D571" s="120"/>
      <c r="E571" s="120"/>
      <c r="F571" s="120"/>
      <c r="G571" s="120"/>
      <c r="H571" s="120"/>
      <c r="I571" s="121">
        <v>0.0</v>
      </c>
      <c r="J571" s="121">
        <v>1.0</v>
      </c>
      <c r="K571" s="117"/>
    </row>
    <row r="572" ht="15.75" customHeight="1">
      <c r="A572" s="122"/>
      <c r="B572" s="133"/>
      <c r="C572" s="120"/>
      <c r="D572" s="120"/>
      <c r="E572" s="120"/>
      <c r="F572" s="120"/>
      <c r="G572" s="120"/>
      <c r="H572" s="120"/>
      <c r="I572" s="121">
        <v>0.0</v>
      </c>
      <c r="J572" s="121">
        <v>0.0</v>
      </c>
      <c r="K572" s="117"/>
    </row>
    <row r="573" ht="15.75" customHeight="1">
      <c r="A573" s="122"/>
      <c r="B573" s="133"/>
      <c r="C573" s="120"/>
      <c r="D573" s="120"/>
      <c r="E573" s="120"/>
      <c r="F573" s="120"/>
      <c r="G573" s="120"/>
      <c r="H573" s="120"/>
      <c r="I573" s="121">
        <v>0.0</v>
      </c>
      <c r="J573" s="121">
        <v>1.0</v>
      </c>
      <c r="K573" s="117"/>
    </row>
    <row r="574" ht="15.75" customHeight="1">
      <c r="A574" s="122"/>
      <c r="B574" s="133"/>
      <c r="C574" s="120"/>
      <c r="D574" s="120"/>
      <c r="E574" s="120"/>
      <c r="F574" s="120"/>
      <c r="G574" s="120"/>
      <c r="H574" s="120"/>
      <c r="I574" s="121">
        <v>0.0</v>
      </c>
      <c r="J574" s="121">
        <v>0.0</v>
      </c>
      <c r="K574" s="117"/>
    </row>
    <row r="575" ht="15.75" customHeight="1">
      <c r="A575" s="122"/>
      <c r="B575" s="133"/>
      <c r="C575" s="120"/>
      <c r="D575" s="120"/>
      <c r="E575" s="120"/>
      <c r="F575" s="120"/>
      <c r="G575" s="120"/>
      <c r="H575" s="120"/>
      <c r="I575" s="121">
        <v>0.0</v>
      </c>
      <c r="J575" s="121">
        <v>1.0</v>
      </c>
      <c r="K575" s="117"/>
    </row>
    <row r="576" ht="15.75" customHeight="1">
      <c r="A576" s="122"/>
      <c r="B576" s="133"/>
      <c r="C576" s="120"/>
      <c r="D576" s="120"/>
      <c r="E576" s="120"/>
      <c r="F576" s="120"/>
      <c r="G576" s="120"/>
      <c r="H576" s="120"/>
      <c r="I576" s="121">
        <v>0.0</v>
      </c>
      <c r="J576" s="121">
        <v>3.0</v>
      </c>
      <c r="K576" s="117"/>
    </row>
    <row r="577" ht="15.75" customHeight="1">
      <c r="A577" s="122"/>
      <c r="B577" s="133"/>
      <c r="C577" s="120"/>
      <c r="D577" s="120"/>
      <c r="E577" s="120"/>
      <c r="F577" s="120"/>
      <c r="G577" s="120"/>
      <c r="H577" s="120"/>
      <c r="I577" s="121">
        <v>0.0</v>
      </c>
      <c r="J577" s="121">
        <v>1.0</v>
      </c>
      <c r="K577" s="117"/>
    </row>
    <row r="578" ht="15.75" customHeight="1">
      <c r="A578" s="122"/>
      <c r="B578" s="133"/>
      <c r="C578" s="120"/>
      <c r="D578" s="120"/>
      <c r="E578" s="120"/>
      <c r="F578" s="120"/>
      <c r="G578" s="120"/>
      <c r="H578" s="120"/>
      <c r="I578" s="121">
        <v>0.0</v>
      </c>
      <c r="J578" s="121">
        <v>1.0</v>
      </c>
      <c r="K578" s="117"/>
    </row>
    <row r="579" ht="15.75" customHeight="1">
      <c r="A579" s="122"/>
      <c r="B579" s="133"/>
      <c r="C579" s="120"/>
      <c r="D579" s="120"/>
      <c r="E579" s="120"/>
      <c r="F579" s="120"/>
      <c r="G579" s="120"/>
      <c r="H579" s="120"/>
      <c r="I579" s="121">
        <v>0.0</v>
      </c>
      <c r="J579" s="121">
        <v>0.0</v>
      </c>
      <c r="K579" s="117"/>
    </row>
    <row r="580" ht="15.75" customHeight="1">
      <c r="A580" s="122"/>
      <c r="B580" s="133"/>
      <c r="C580" s="120"/>
      <c r="D580" s="120"/>
      <c r="E580" s="120"/>
      <c r="F580" s="120"/>
      <c r="G580" s="120"/>
      <c r="H580" s="120"/>
      <c r="I580" s="121">
        <v>0.0</v>
      </c>
      <c r="J580" s="121">
        <v>1.0</v>
      </c>
      <c r="K580" s="117"/>
    </row>
    <row r="581" ht="15.75" customHeight="1">
      <c r="A581" s="122"/>
      <c r="B581" s="133"/>
      <c r="C581" s="120"/>
      <c r="D581" s="120"/>
      <c r="E581" s="120"/>
      <c r="F581" s="120"/>
      <c r="G581" s="120"/>
      <c r="H581" s="120"/>
      <c r="I581" s="121">
        <v>0.0</v>
      </c>
      <c r="J581" s="121">
        <v>1.0</v>
      </c>
      <c r="K581" s="117"/>
    </row>
    <row r="582" ht="15.75" customHeight="1">
      <c r="A582" s="122"/>
      <c r="B582" s="133"/>
      <c r="C582" s="120"/>
      <c r="D582" s="120"/>
      <c r="E582" s="120"/>
      <c r="F582" s="120"/>
      <c r="G582" s="120"/>
      <c r="H582" s="120"/>
      <c r="I582" s="121">
        <v>0.0</v>
      </c>
      <c r="J582" s="121">
        <v>1.0</v>
      </c>
      <c r="K582" s="117"/>
    </row>
    <row r="583" ht="15.75" customHeight="1">
      <c r="A583" s="122"/>
      <c r="B583" s="133"/>
      <c r="C583" s="120"/>
      <c r="D583" s="120"/>
      <c r="E583" s="120"/>
      <c r="F583" s="120"/>
      <c r="G583" s="120"/>
      <c r="H583" s="120"/>
      <c r="I583" s="121">
        <v>0.0</v>
      </c>
      <c r="J583" s="121">
        <v>1.0</v>
      </c>
      <c r="K583" s="117"/>
    </row>
    <row r="584" ht="15.75" customHeight="1">
      <c r="A584" s="122"/>
      <c r="B584" s="133"/>
      <c r="C584" s="120"/>
      <c r="D584" s="120"/>
      <c r="E584" s="120"/>
      <c r="F584" s="120"/>
      <c r="G584" s="120"/>
      <c r="H584" s="120"/>
      <c r="I584" s="121">
        <v>0.0</v>
      </c>
      <c r="J584" s="121">
        <v>1.0</v>
      </c>
      <c r="K584" s="117"/>
    </row>
    <row r="585" ht="15.75" customHeight="1">
      <c r="A585" s="122"/>
      <c r="B585" s="133"/>
      <c r="C585" s="120"/>
      <c r="D585" s="120"/>
      <c r="E585" s="120"/>
      <c r="F585" s="120"/>
      <c r="G585" s="120"/>
      <c r="H585" s="120"/>
      <c r="I585" s="121">
        <v>0.0</v>
      </c>
      <c r="J585" s="121">
        <v>2.0</v>
      </c>
      <c r="K585" s="117"/>
    </row>
    <row r="586" ht="15.75" customHeight="1">
      <c r="A586" s="122"/>
      <c r="B586" s="133"/>
      <c r="C586" s="120"/>
      <c r="D586" s="120"/>
      <c r="E586" s="120"/>
      <c r="F586" s="120"/>
      <c r="G586" s="120"/>
      <c r="H586" s="120"/>
      <c r="I586" s="121">
        <v>0.0</v>
      </c>
      <c r="J586" s="121">
        <v>0.0</v>
      </c>
      <c r="K586" s="117"/>
    </row>
    <row r="587" ht="15.75" customHeight="1">
      <c r="A587" s="122"/>
      <c r="B587" s="133"/>
      <c r="C587" s="120"/>
      <c r="D587" s="120"/>
      <c r="E587" s="120"/>
      <c r="F587" s="120"/>
      <c r="G587" s="120"/>
      <c r="H587" s="120"/>
      <c r="I587" s="121">
        <v>0.0</v>
      </c>
      <c r="J587" s="121">
        <v>0.0</v>
      </c>
      <c r="K587" s="117"/>
    </row>
    <row r="588" ht="15.75" customHeight="1">
      <c r="A588" s="122"/>
      <c r="B588" s="133"/>
      <c r="C588" s="120"/>
      <c r="D588" s="120"/>
      <c r="E588" s="120"/>
      <c r="F588" s="120"/>
      <c r="G588" s="120"/>
      <c r="H588" s="120"/>
      <c r="I588" s="121">
        <v>0.0</v>
      </c>
      <c r="J588" s="121">
        <v>2.0</v>
      </c>
      <c r="K588" s="117"/>
    </row>
    <row r="589" ht="15.75" customHeight="1">
      <c r="A589" s="122"/>
      <c r="B589" s="133"/>
      <c r="C589" s="120"/>
      <c r="D589" s="120"/>
      <c r="E589" s="120"/>
      <c r="F589" s="120"/>
      <c r="G589" s="120"/>
      <c r="H589" s="120"/>
      <c r="I589" s="121">
        <v>0.0</v>
      </c>
      <c r="J589" s="121">
        <v>1.0</v>
      </c>
      <c r="K589" s="117"/>
    </row>
    <row r="590" ht="15.75" customHeight="1">
      <c r="A590" s="122"/>
      <c r="B590" s="133"/>
      <c r="C590" s="120"/>
      <c r="D590" s="120"/>
      <c r="E590" s="120"/>
      <c r="F590" s="120"/>
      <c r="G590" s="120"/>
      <c r="H590" s="120"/>
      <c r="I590" s="121">
        <v>0.0</v>
      </c>
      <c r="J590" s="121">
        <v>0.0</v>
      </c>
      <c r="K590" s="117"/>
    </row>
    <row r="591" ht="15.75" customHeight="1">
      <c r="A591" s="122"/>
      <c r="B591" s="133"/>
      <c r="C591" s="120"/>
      <c r="D591" s="120"/>
      <c r="E591" s="120"/>
      <c r="F591" s="120"/>
      <c r="G591" s="120"/>
      <c r="H591" s="120"/>
      <c r="I591" s="121">
        <v>0.0</v>
      </c>
      <c r="J591" s="121">
        <v>1.0</v>
      </c>
      <c r="K591" s="117"/>
    </row>
    <row r="592" ht="15.75" customHeight="1">
      <c r="A592" s="122"/>
      <c r="B592" s="133"/>
      <c r="C592" s="120"/>
      <c r="D592" s="120"/>
      <c r="E592" s="120"/>
      <c r="F592" s="120"/>
      <c r="G592" s="120"/>
      <c r="H592" s="120"/>
      <c r="I592" s="121">
        <v>0.0</v>
      </c>
      <c r="J592" s="121">
        <v>1.0</v>
      </c>
      <c r="K592" s="117"/>
    </row>
    <row r="593" ht="15.75" customHeight="1">
      <c r="A593" s="122"/>
      <c r="B593" s="133"/>
      <c r="C593" s="120"/>
      <c r="D593" s="120"/>
      <c r="E593" s="120"/>
      <c r="F593" s="120"/>
      <c r="G593" s="120"/>
      <c r="H593" s="120"/>
      <c r="I593" s="121">
        <v>0.0</v>
      </c>
      <c r="J593" s="121">
        <v>1.0</v>
      </c>
      <c r="K593" s="117"/>
    </row>
    <row r="594" ht="15.75" customHeight="1">
      <c r="A594" s="122"/>
      <c r="B594" s="133"/>
      <c r="C594" s="120"/>
      <c r="D594" s="120"/>
      <c r="E594" s="120"/>
      <c r="F594" s="120"/>
      <c r="G594" s="120"/>
      <c r="H594" s="120"/>
      <c r="I594" s="121">
        <v>0.0</v>
      </c>
      <c r="J594" s="121">
        <v>2.0</v>
      </c>
      <c r="K594" s="117"/>
    </row>
    <row r="595" ht="15.75" customHeight="1">
      <c r="A595" s="122"/>
      <c r="B595" s="133"/>
      <c r="C595" s="120"/>
      <c r="D595" s="120"/>
      <c r="E595" s="120"/>
      <c r="F595" s="120"/>
      <c r="G595" s="120"/>
      <c r="H595" s="120"/>
      <c r="I595" s="121">
        <v>0.0</v>
      </c>
      <c r="J595" s="121">
        <v>2.0</v>
      </c>
      <c r="K595" s="117"/>
    </row>
    <row r="596" ht="15.75" customHeight="1">
      <c r="A596" s="122" t="s">
        <v>2524</v>
      </c>
      <c r="B596" s="133" t="s">
        <v>2525</v>
      </c>
      <c r="C596" s="120" t="s">
        <v>321</v>
      </c>
      <c r="D596" s="120" t="s">
        <v>2344</v>
      </c>
      <c r="E596" s="120" t="s">
        <v>615</v>
      </c>
      <c r="F596" s="120" t="s">
        <v>306</v>
      </c>
      <c r="G596" s="120" t="s">
        <v>2526</v>
      </c>
      <c r="H596" s="120">
        <v>53.0</v>
      </c>
      <c r="I596" s="121">
        <v>0.06</v>
      </c>
      <c r="J596" s="121">
        <v>3.11</v>
      </c>
      <c r="K596" s="117"/>
    </row>
    <row r="597" ht="15.75" customHeight="1">
      <c r="A597" s="122" t="s">
        <v>2527</v>
      </c>
      <c r="B597" s="133" t="s">
        <v>2528</v>
      </c>
      <c r="C597" s="120" t="s">
        <v>321</v>
      </c>
      <c r="D597" s="120" t="s">
        <v>2340</v>
      </c>
      <c r="E597" s="120" t="s">
        <v>615</v>
      </c>
      <c r="F597" s="120" t="s">
        <v>306</v>
      </c>
      <c r="G597" s="120" t="s">
        <v>2529</v>
      </c>
      <c r="H597" s="120">
        <v>51.0</v>
      </c>
      <c r="I597" s="121">
        <v>0.05</v>
      </c>
      <c r="J597" s="121">
        <v>0.96</v>
      </c>
      <c r="K597" s="117"/>
    </row>
    <row r="598" ht="15.75" customHeight="1">
      <c r="A598" s="122" t="s">
        <v>650</v>
      </c>
      <c r="B598" s="133" t="s">
        <v>651</v>
      </c>
      <c r="C598" s="120" t="s">
        <v>321</v>
      </c>
      <c r="D598" s="120" t="s">
        <v>379</v>
      </c>
      <c r="E598" s="120" t="s">
        <v>615</v>
      </c>
      <c r="F598" s="120" t="s">
        <v>306</v>
      </c>
      <c r="G598" s="120" t="s">
        <v>1570</v>
      </c>
      <c r="H598" s="120">
        <v>34.0</v>
      </c>
      <c r="I598" s="121">
        <v>0.04</v>
      </c>
      <c r="J598" s="121">
        <v>1.62</v>
      </c>
      <c r="K598" s="117"/>
    </row>
    <row r="599" ht="15.75" customHeight="1">
      <c r="A599" s="122" t="s">
        <v>2534</v>
      </c>
      <c r="B599" s="133" t="s">
        <v>2535</v>
      </c>
      <c r="C599" s="120" t="s">
        <v>321</v>
      </c>
      <c r="D599" s="120" t="s">
        <v>2538</v>
      </c>
      <c r="E599" s="120" t="s">
        <v>615</v>
      </c>
      <c r="F599" s="120" t="s">
        <v>306</v>
      </c>
      <c r="G599" s="120" t="s">
        <v>2539</v>
      </c>
      <c r="H599" s="120">
        <v>34.0</v>
      </c>
      <c r="I599" s="121">
        <v>0.04</v>
      </c>
      <c r="J599" s="121">
        <v>1.32</v>
      </c>
      <c r="K599" s="117"/>
    </row>
    <row r="600" ht="15.75" customHeight="1">
      <c r="A600" s="122" t="s">
        <v>2540</v>
      </c>
      <c r="B600" s="133" t="s">
        <v>2541</v>
      </c>
      <c r="C600" s="120" t="s">
        <v>321</v>
      </c>
      <c r="D600" s="120" t="s">
        <v>2340</v>
      </c>
      <c r="E600" s="120" t="s">
        <v>615</v>
      </c>
      <c r="F600" s="120" t="s">
        <v>306</v>
      </c>
      <c r="G600" s="120" t="s">
        <v>2542</v>
      </c>
      <c r="H600" s="120">
        <v>33.0</v>
      </c>
      <c r="I600" s="121">
        <v>0.03</v>
      </c>
      <c r="J600" s="121">
        <v>1.79</v>
      </c>
      <c r="K600" s="117"/>
    </row>
    <row r="601" ht="15.75" customHeight="1">
      <c r="A601" s="122" t="s">
        <v>2544</v>
      </c>
      <c r="B601" s="133" t="s">
        <v>2545</v>
      </c>
      <c r="C601" s="120" t="s">
        <v>321</v>
      </c>
      <c r="D601" s="120" t="s">
        <v>2546</v>
      </c>
      <c r="E601" s="120" t="s">
        <v>615</v>
      </c>
      <c r="F601" s="120" t="s">
        <v>306</v>
      </c>
      <c r="G601" s="120" t="s">
        <v>2547</v>
      </c>
      <c r="H601" s="120">
        <v>30.0</v>
      </c>
      <c r="I601" s="121">
        <v>0.03</v>
      </c>
      <c r="J601" s="121">
        <v>1.17</v>
      </c>
      <c r="K601" s="117"/>
    </row>
    <row r="602" ht="15.75" customHeight="1">
      <c r="A602" s="122" t="s">
        <v>2550</v>
      </c>
      <c r="B602" s="133" t="s">
        <v>2551</v>
      </c>
      <c r="C602" s="120" t="s">
        <v>321</v>
      </c>
      <c r="D602" s="120" t="s">
        <v>2546</v>
      </c>
      <c r="E602" s="120" t="s">
        <v>615</v>
      </c>
      <c r="F602" s="120" t="s">
        <v>306</v>
      </c>
      <c r="G602" s="120" t="s">
        <v>2547</v>
      </c>
      <c r="H602" s="120">
        <v>24.0</v>
      </c>
      <c r="I602" s="121">
        <v>0.02</v>
      </c>
      <c r="J602" s="121">
        <v>1.08</v>
      </c>
      <c r="K602" s="117"/>
    </row>
    <row r="603" ht="15.75" customHeight="1">
      <c r="A603" s="122" t="s">
        <v>2554</v>
      </c>
      <c r="B603" s="133" t="s">
        <v>2555</v>
      </c>
      <c r="C603" s="120" t="s">
        <v>321</v>
      </c>
      <c r="D603" s="120" t="s">
        <v>2538</v>
      </c>
      <c r="E603" s="120" t="s">
        <v>615</v>
      </c>
      <c r="F603" s="120" t="s">
        <v>306</v>
      </c>
      <c r="G603" s="120" t="s">
        <v>2539</v>
      </c>
      <c r="H603" s="120">
        <v>24.0</v>
      </c>
      <c r="I603" s="121">
        <v>0.02</v>
      </c>
      <c r="J603" s="121">
        <v>0.83</v>
      </c>
      <c r="K603" s="117"/>
    </row>
    <row r="604" ht="15.75" customHeight="1">
      <c r="A604" s="122" t="s">
        <v>2556</v>
      </c>
      <c r="B604" s="133" t="s">
        <v>2557</v>
      </c>
      <c r="C604" s="120" t="s">
        <v>321</v>
      </c>
      <c r="D604" s="120" t="s">
        <v>2340</v>
      </c>
      <c r="E604" s="120" t="s">
        <v>615</v>
      </c>
      <c r="F604" s="120" t="s">
        <v>306</v>
      </c>
      <c r="G604" s="120" t="s">
        <v>2338</v>
      </c>
      <c r="H604" s="120">
        <v>23.0</v>
      </c>
      <c r="I604" s="121">
        <v>0.02</v>
      </c>
      <c r="J604" s="121">
        <v>0.22</v>
      </c>
      <c r="K604" s="117"/>
    </row>
    <row r="605" ht="15.75" customHeight="1">
      <c r="A605" s="122" t="s">
        <v>710</v>
      </c>
      <c r="B605" s="133" t="s">
        <v>711</v>
      </c>
      <c r="C605" s="120" t="s">
        <v>321</v>
      </c>
      <c r="D605" s="120" t="s">
        <v>375</v>
      </c>
      <c r="E605" s="120" t="s">
        <v>615</v>
      </c>
      <c r="F605" s="120" t="s">
        <v>306</v>
      </c>
      <c r="G605" s="120" t="s">
        <v>712</v>
      </c>
      <c r="H605" s="120">
        <v>22.0</v>
      </c>
      <c r="I605" s="121">
        <v>0.02</v>
      </c>
      <c r="J605" s="121">
        <v>0.5</v>
      </c>
      <c r="K605" s="117"/>
    </row>
    <row r="606" ht="15.75" customHeight="1">
      <c r="A606" s="122" t="s">
        <v>2558</v>
      </c>
      <c r="B606" s="133" t="s">
        <v>2559</v>
      </c>
      <c r="C606" s="120" t="s">
        <v>321</v>
      </c>
      <c r="D606" s="120" t="s">
        <v>2546</v>
      </c>
      <c r="E606" s="120" t="s">
        <v>615</v>
      </c>
      <c r="F606" s="120" t="s">
        <v>306</v>
      </c>
      <c r="G606" s="120" t="s">
        <v>2547</v>
      </c>
      <c r="H606" s="120">
        <v>22.0</v>
      </c>
      <c r="I606" s="121">
        <v>0.02</v>
      </c>
      <c r="J606" s="121">
        <v>0.68</v>
      </c>
      <c r="K606" s="117"/>
    </row>
    <row r="607" ht="15.75" customHeight="1">
      <c r="A607" s="122" t="s">
        <v>2560</v>
      </c>
      <c r="B607" s="133" t="s">
        <v>2561</v>
      </c>
      <c r="C607" s="120" t="s">
        <v>321</v>
      </c>
      <c r="D607" s="120" t="s">
        <v>2562</v>
      </c>
      <c r="E607" s="120" t="s">
        <v>615</v>
      </c>
      <c r="F607" s="120" t="s">
        <v>306</v>
      </c>
      <c r="G607" s="120" t="s">
        <v>2563</v>
      </c>
      <c r="H607" s="120">
        <v>21.0</v>
      </c>
      <c r="I607" s="121">
        <v>0.02</v>
      </c>
      <c r="J607" s="121">
        <v>1.52</v>
      </c>
      <c r="K607" s="117"/>
    </row>
    <row r="608" ht="15.75" customHeight="1">
      <c r="A608" s="122" t="s">
        <v>2564</v>
      </c>
      <c r="B608" s="133" t="s">
        <v>2565</v>
      </c>
      <c r="C608" s="120" t="s">
        <v>321</v>
      </c>
      <c r="D608" s="120" t="s">
        <v>2344</v>
      </c>
      <c r="E608" s="120" t="s">
        <v>615</v>
      </c>
      <c r="F608" s="120" t="s">
        <v>306</v>
      </c>
      <c r="G608" s="120" t="s">
        <v>2569</v>
      </c>
      <c r="H608" s="120">
        <v>18.0</v>
      </c>
      <c r="I608" s="121">
        <v>0.02</v>
      </c>
      <c r="J608" s="121">
        <v>0.78</v>
      </c>
      <c r="K608" s="117"/>
    </row>
    <row r="609" ht="15.75" customHeight="1">
      <c r="A609" s="122" t="s">
        <v>2570</v>
      </c>
      <c r="B609" s="133" t="s">
        <v>2571</v>
      </c>
      <c r="C609" s="120" t="s">
        <v>321</v>
      </c>
      <c r="D609" s="120" t="s">
        <v>2562</v>
      </c>
      <c r="E609" s="120" t="s">
        <v>615</v>
      </c>
      <c r="F609" s="120" t="s">
        <v>306</v>
      </c>
      <c r="G609" s="120" t="s">
        <v>2575</v>
      </c>
      <c r="H609" s="120">
        <v>18.0</v>
      </c>
      <c r="I609" s="121">
        <v>0.02</v>
      </c>
      <c r="J609" s="121">
        <v>1.22</v>
      </c>
      <c r="K609" s="117"/>
    </row>
    <row r="610" ht="15.75" customHeight="1">
      <c r="A610" s="122" t="s">
        <v>2576</v>
      </c>
      <c r="B610" s="133" t="s">
        <v>2577</v>
      </c>
      <c r="C610" s="120" t="s">
        <v>321</v>
      </c>
      <c r="D610" s="120" t="s">
        <v>2579</v>
      </c>
      <c r="E610" s="120" t="s">
        <v>615</v>
      </c>
      <c r="F610" s="120" t="s">
        <v>306</v>
      </c>
      <c r="G610" s="120" t="s">
        <v>2582</v>
      </c>
      <c r="H610" s="120">
        <v>16.0</v>
      </c>
      <c r="I610" s="121">
        <v>0.02</v>
      </c>
      <c r="J610" s="121">
        <v>1.13</v>
      </c>
      <c r="K610" s="117"/>
    </row>
    <row r="611" ht="15.75" customHeight="1">
      <c r="A611" s="122" t="s">
        <v>766</v>
      </c>
      <c r="B611" s="133" t="s">
        <v>767</v>
      </c>
      <c r="C611" s="120" t="s">
        <v>321</v>
      </c>
      <c r="D611" s="120" t="s">
        <v>304</v>
      </c>
      <c r="E611" s="120" t="s">
        <v>615</v>
      </c>
      <c r="F611" s="120" t="s">
        <v>306</v>
      </c>
      <c r="G611" s="120" t="s">
        <v>2584</v>
      </c>
      <c r="H611" s="120">
        <v>14.0</v>
      </c>
      <c r="I611" s="121">
        <v>0.01</v>
      </c>
      <c r="J611" s="121">
        <v>1.71</v>
      </c>
      <c r="K611" s="117"/>
    </row>
    <row r="612" ht="15.75" customHeight="1">
      <c r="A612" s="122" t="s">
        <v>2587</v>
      </c>
      <c r="B612" s="133" t="s">
        <v>2588</v>
      </c>
      <c r="C612" s="120" t="s">
        <v>321</v>
      </c>
      <c r="D612" s="120" t="s">
        <v>2546</v>
      </c>
      <c r="E612" s="120" t="s">
        <v>615</v>
      </c>
      <c r="F612" s="120" t="s">
        <v>306</v>
      </c>
      <c r="G612" s="120" t="s">
        <v>2547</v>
      </c>
      <c r="H612" s="120">
        <v>13.0</v>
      </c>
      <c r="I612" s="121">
        <v>0.01</v>
      </c>
      <c r="J612" s="121">
        <v>0.54</v>
      </c>
      <c r="K612" s="117"/>
    </row>
    <row r="613" ht="15.75" customHeight="1">
      <c r="A613" s="122" t="s">
        <v>2592</v>
      </c>
      <c r="B613" s="133" t="s">
        <v>2593</v>
      </c>
      <c r="C613" s="120" t="s">
        <v>321</v>
      </c>
      <c r="D613" s="120" t="s">
        <v>2340</v>
      </c>
      <c r="E613" s="120" t="s">
        <v>615</v>
      </c>
      <c r="F613" s="120" t="s">
        <v>306</v>
      </c>
      <c r="G613" s="120" t="s">
        <v>2594</v>
      </c>
      <c r="H613" s="120">
        <v>10.0</v>
      </c>
      <c r="I613" s="121">
        <v>0.01</v>
      </c>
      <c r="J613" s="121">
        <v>0.4</v>
      </c>
      <c r="K613" s="117"/>
    </row>
    <row r="614" ht="15.75" customHeight="1">
      <c r="A614" s="122" t="s">
        <v>2598</v>
      </c>
      <c r="B614" s="133" t="s">
        <v>2599</v>
      </c>
      <c r="C614" s="120" t="s">
        <v>321</v>
      </c>
      <c r="D614" s="120" t="s">
        <v>2562</v>
      </c>
      <c r="E614" s="120" t="s">
        <v>615</v>
      </c>
      <c r="F614" s="120" t="s">
        <v>306</v>
      </c>
      <c r="G614" s="120" t="s">
        <v>2600</v>
      </c>
      <c r="H614" s="120">
        <v>9.0</v>
      </c>
      <c r="I614" s="121">
        <v>0.01</v>
      </c>
      <c r="J614" s="121">
        <v>1.67</v>
      </c>
      <c r="K614" s="117"/>
    </row>
    <row r="615" ht="15.75" customHeight="1">
      <c r="A615" s="122" t="s">
        <v>754</v>
      </c>
      <c r="B615" s="133" t="s">
        <v>755</v>
      </c>
      <c r="C615" s="120" t="s">
        <v>321</v>
      </c>
      <c r="D615" s="120" t="s">
        <v>756</v>
      </c>
      <c r="E615" s="120" t="s">
        <v>615</v>
      </c>
      <c r="F615" s="120" t="s">
        <v>306</v>
      </c>
      <c r="G615" s="120" t="s">
        <v>2604</v>
      </c>
      <c r="H615" s="120">
        <v>8.0</v>
      </c>
      <c r="I615" s="121">
        <v>0.01</v>
      </c>
      <c r="J615" s="121">
        <v>0.63</v>
      </c>
      <c r="K615" s="117"/>
    </row>
    <row r="616" ht="15.75" customHeight="1">
      <c r="A616" s="122" t="s">
        <v>2608</v>
      </c>
      <c r="B616" s="133" t="s">
        <v>2609</v>
      </c>
      <c r="C616" s="120" t="s">
        <v>321</v>
      </c>
      <c r="D616" s="120" t="s">
        <v>2546</v>
      </c>
      <c r="E616" s="120" t="s">
        <v>615</v>
      </c>
      <c r="F616" s="120" t="s">
        <v>306</v>
      </c>
      <c r="G616" s="120" t="s">
        <v>2547</v>
      </c>
      <c r="H616" s="120">
        <v>6.0</v>
      </c>
      <c r="I616" s="121">
        <v>0.01</v>
      </c>
      <c r="J616" s="121">
        <v>2.33</v>
      </c>
      <c r="K616" s="117"/>
    </row>
    <row r="617" ht="15.75" customHeight="1">
      <c r="A617" s="122" t="s">
        <v>693</v>
      </c>
      <c r="B617" s="133" t="s">
        <v>694</v>
      </c>
      <c r="C617" s="120" t="s">
        <v>321</v>
      </c>
      <c r="D617" s="120" t="s">
        <v>379</v>
      </c>
      <c r="E617" s="120" t="s">
        <v>615</v>
      </c>
      <c r="F617" s="120" t="s">
        <v>306</v>
      </c>
      <c r="G617" s="120" t="s">
        <v>1570</v>
      </c>
      <c r="H617" s="120">
        <v>6.0</v>
      </c>
      <c r="I617" s="121">
        <v>0.01</v>
      </c>
      <c r="J617" s="121">
        <v>2.0</v>
      </c>
      <c r="K617" s="117"/>
    </row>
    <row r="618" ht="15.75" customHeight="1">
      <c r="A618" s="122" t="s">
        <v>872</v>
      </c>
      <c r="B618" s="133" t="s">
        <v>873</v>
      </c>
      <c r="C618" s="120" t="s">
        <v>321</v>
      </c>
      <c r="D618" s="120" t="s">
        <v>304</v>
      </c>
      <c r="E618" s="120" t="s">
        <v>615</v>
      </c>
      <c r="F618" s="120" t="s">
        <v>306</v>
      </c>
      <c r="G618" s="120" t="s">
        <v>874</v>
      </c>
      <c r="H618" s="120">
        <v>5.0</v>
      </c>
      <c r="I618" s="121">
        <v>0.01</v>
      </c>
      <c r="J618" s="121">
        <v>0.2</v>
      </c>
      <c r="K618" s="117"/>
    </row>
    <row r="619" ht="15.75" customHeight="1">
      <c r="A619" s="122" t="s">
        <v>2619</v>
      </c>
      <c r="B619" s="133" t="s">
        <v>2620</v>
      </c>
      <c r="C619" s="120" t="s">
        <v>321</v>
      </c>
      <c r="D619" s="120" t="s">
        <v>2340</v>
      </c>
      <c r="E619" s="120" t="s">
        <v>615</v>
      </c>
      <c r="F619" s="120" t="s">
        <v>306</v>
      </c>
      <c r="G619" s="120" t="s">
        <v>2624</v>
      </c>
      <c r="H619" s="120">
        <v>3.0</v>
      </c>
      <c r="I619" s="121">
        <v>0.0</v>
      </c>
      <c r="J619" s="121">
        <v>0.0</v>
      </c>
      <c r="K619" s="117"/>
    </row>
    <row r="620" ht="15.75" customHeight="1">
      <c r="A620" s="122" t="s">
        <v>2625</v>
      </c>
      <c r="B620" s="133" t="s">
        <v>2626</v>
      </c>
      <c r="C620" s="120" t="s">
        <v>321</v>
      </c>
      <c r="D620" s="120" t="s">
        <v>2579</v>
      </c>
      <c r="E620" s="120" t="s">
        <v>615</v>
      </c>
      <c r="F620" s="120" t="s">
        <v>306</v>
      </c>
      <c r="G620" s="120" t="s">
        <v>2630</v>
      </c>
      <c r="H620" s="120">
        <v>3.0</v>
      </c>
      <c r="I620" s="121">
        <v>0.0</v>
      </c>
      <c r="J620" s="121">
        <v>1.67</v>
      </c>
      <c r="K620" s="117"/>
    </row>
    <row r="621" ht="15.75" customHeight="1">
      <c r="A621" s="122" t="s">
        <v>810</v>
      </c>
      <c r="B621" s="133" t="s">
        <v>811</v>
      </c>
      <c r="C621" s="120" t="s">
        <v>321</v>
      </c>
      <c r="D621" s="120" t="s">
        <v>375</v>
      </c>
      <c r="E621" s="120" t="s">
        <v>615</v>
      </c>
      <c r="F621" s="120" t="s">
        <v>306</v>
      </c>
      <c r="G621" s="120" t="s">
        <v>813</v>
      </c>
      <c r="H621" s="120">
        <v>2.0</v>
      </c>
      <c r="I621" s="121">
        <v>0.0</v>
      </c>
      <c r="J621" s="121">
        <v>0.0</v>
      </c>
      <c r="K621" s="117"/>
    </row>
    <row r="622" ht="15.75" customHeight="1">
      <c r="A622" s="122" t="s">
        <v>952</v>
      </c>
      <c r="B622" s="133" t="s">
        <v>953</v>
      </c>
      <c r="C622" s="120" t="s">
        <v>321</v>
      </c>
      <c r="D622" s="120" t="s">
        <v>663</v>
      </c>
      <c r="E622" s="120" t="s">
        <v>615</v>
      </c>
      <c r="F622" s="120" t="s">
        <v>306</v>
      </c>
      <c r="G622" s="120" t="s">
        <v>2634</v>
      </c>
      <c r="H622" s="120">
        <v>2.0</v>
      </c>
      <c r="I622" s="121">
        <v>0.0</v>
      </c>
      <c r="J622" s="121">
        <v>1.0</v>
      </c>
      <c r="K622" s="117"/>
    </row>
    <row r="623" ht="15.75" customHeight="1">
      <c r="A623" s="122" t="s">
        <v>695</v>
      </c>
      <c r="B623" s="133" t="s">
        <v>696</v>
      </c>
      <c r="C623" s="120" t="s">
        <v>321</v>
      </c>
      <c r="D623" s="120" t="s">
        <v>663</v>
      </c>
      <c r="E623" s="120" t="s">
        <v>615</v>
      </c>
      <c r="F623" s="120" t="s">
        <v>306</v>
      </c>
      <c r="G623" s="120" t="s">
        <v>2638</v>
      </c>
      <c r="H623" s="120">
        <v>2.0</v>
      </c>
      <c r="I623" s="121">
        <v>0.0</v>
      </c>
      <c r="J623" s="121">
        <v>2.0</v>
      </c>
      <c r="K623" s="117"/>
    </row>
    <row r="624" ht="15.75" customHeight="1">
      <c r="A624" s="122" t="s">
        <v>2641</v>
      </c>
      <c r="B624" s="133" t="s">
        <v>654</v>
      </c>
      <c r="C624" s="120" t="s">
        <v>321</v>
      </c>
      <c r="D624" s="120" t="s">
        <v>655</v>
      </c>
      <c r="E624" s="120" t="s">
        <v>615</v>
      </c>
      <c r="F624" s="120" t="s">
        <v>306</v>
      </c>
      <c r="G624" s="120" t="s">
        <v>2643</v>
      </c>
      <c r="H624" s="120">
        <v>2.0</v>
      </c>
      <c r="I624" s="121">
        <v>0.0</v>
      </c>
      <c r="J624" s="121">
        <v>1.5</v>
      </c>
      <c r="K624" s="117"/>
    </row>
    <row r="625" ht="15.75" customHeight="1">
      <c r="A625" s="122" t="s">
        <v>1203</v>
      </c>
      <c r="B625" s="133" t="s">
        <v>1204</v>
      </c>
      <c r="C625" s="120" t="s">
        <v>321</v>
      </c>
      <c r="D625" s="120" t="s">
        <v>655</v>
      </c>
      <c r="E625" s="120" t="s">
        <v>615</v>
      </c>
      <c r="F625" s="120" t="s">
        <v>306</v>
      </c>
      <c r="G625" s="120" t="s">
        <v>2646</v>
      </c>
      <c r="H625" s="120">
        <v>2.0</v>
      </c>
      <c r="I625" s="121">
        <v>0.0</v>
      </c>
      <c r="J625" s="121">
        <v>0.0</v>
      </c>
      <c r="K625" s="117"/>
    </row>
    <row r="626" ht="15.75" customHeight="1">
      <c r="A626" s="122" t="s">
        <v>958</v>
      </c>
      <c r="B626" s="133" t="s">
        <v>959</v>
      </c>
      <c r="C626" s="120" t="s">
        <v>321</v>
      </c>
      <c r="D626" s="120" t="s">
        <v>304</v>
      </c>
      <c r="E626" s="120" t="s">
        <v>615</v>
      </c>
      <c r="F626" s="120" t="s">
        <v>306</v>
      </c>
      <c r="G626" s="120" t="s">
        <v>2649</v>
      </c>
      <c r="H626" s="120">
        <v>2.0</v>
      </c>
      <c r="I626" s="121">
        <v>0.0</v>
      </c>
      <c r="J626" s="121">
        <v>0.0</v>
      </c>
      <c r="K626" s="117"/>
    </row>
    <row r="627" ht="15.75" customHeight="1">
      <c r="A627" s="122" t="s">
        <v>706</v>
      </c>
      <c r="B627" s="133" t="s">
        <v>707</v>
      </c>
      <c r="C627" s="120" t="s">
        <v>321</v>
      </c>
      <c r="D627" s="120" t="s">
        <v>708</v>
      </c>
      <c r="E627" s="120" t="s">
        <v>615</v>
      </c>
      <c r="F627" s="120" t="s">
        <v>306</v>
      </c>
      <c r="G627" s="120" t="s">
        <v>2653</v>
      </c>
      <c r="H627" s="120">
        <v>2.0</v>
      </c>
      <c r="I627" s="121">
        <v>0.0</v>
      </c>
      <c r="J627" s="121">
        <v>0.5</v>
      </c>
      <c r="K627" s="117"/>
    </row>
    <row r="628" ht="15.75" customHeight="1">
      <c r="A628" s="122" t="s">
        <v>1276</v>
      </c>
      <c r="B628" s="133" t="s">
        <v>1277</v>
      </c>
      <c r="C628" s="120" t="s">
        <v>321</v>
      </c>
      <c r="D628" s="120" t="s">
        <v>708</v>
      </c>
      <c r="E628" s="120" t="s">
        <v>615</v>
      </c>
      <c r="F628" s="120" t="s">
        <v>306</v>
      </c>
      <c r="G628" s="120" t="s">
        <v>1003</v>
      </c>
      <c r="H628" s="120">
        <v>2.0</v>
      </c>
      <c r="I628" s="121">
        <v>0.0</v>
      </c>
      <c r="J628" s="121">
        <v>0.5</v>
      </c>
      <c r="K628" s="117"/>
    </row>
    <row r="629" ht="15.75" customHeight="1">
      <c r="A629" s="122" t="s">
        <v>2658</v>
      </c>
      <c r="B629" s="133" t="s">
        <v>2659</v>
      </c>
      <c r="C629" s="120" t="s">
        <v>321</v>
      </c>
      <c r="D629" s="120" t="s">
        <v>375</v>
      </c>
      <c r="E629" s="120" t="s">
        <v>615</v>
      </c>
      <c r="F629" s="120" t="s">
        <v>306</v>
      </c>
      <c r="G629" s="120" t="s">
        <v>2662</v>
      </c>
      <c r="H629" s="120">
        <v>1.0</v>
      </c>
      <c r="I629" s="121">
        <v>0.0</v>
      </c>
      <c r="J629" s="121">
        <v>1.0</v>
      </c>
      <c r="K629" s="117"/>
    </row>
    <row r="630" ht="15.75" customHeight="1">
      <c r="A630" s="122" t="s">
        <v>1118</v>
      </c>
      <c r="B630" s="133" t="s">
        <v>1119</v>
      </c>
      <c r="C630" s="120" t="s">
        <v>321</v>
      </c>
      <c r="D630" s="120" t="s">
        <v>375</v>
      </c>
      <c r="E630" s="120" t="s">
        <v>615</v>
      </c>
      <c r="F630" s="120" t="s">
        <v>306</v>
      </c>
      <c r="G630" s="120" t="s">
        <v>2663</v>
      </c>
      <c r="H630" s="120">
        <v>1.0</v>
      </c>
      <c r="I630" s="121">
        <v>0.0</v>
      </c>
      <c r="J630" s="121">
        <v>1.0</v>
      </c>
      <c r="K630" s="117"/>
    </row>
    <row r="631" ht="15.75" customHeight="1">
      <c r="A631" s="122" t="s">
        <v>2043</v>
      </c>
      <c r="B631" s="133" t="s">
        <v>2044</v>
      </c>
      <c r="C631" s="120" t="s">
        <v>321</v>
      </c>
      <c r="D631" s="120" t="s">
        <v>375</v>
      </c>
      <c r="E631" s="120" t="s">
        <v>615</v>
      </c>
      <c r="F631" s="120" t="s">
        <v>306</v>
      </c>
      <c r="G631" s="120" t="s">
        <v>376</v>
      </c>
      <c r="H631" s="120">
        <v>1.0</v>
      </c>
      <c r="I631" s="121">
        <v>0.0</v>
      </c>
      <c r="J631" s="121">
        <v>0.0</v>
      </c>
      <c r="K631" s="117"/>
    </row>
    <row r="632" ht="15.75" customHeight="1">
      <c r="A632" s="122" t="s">
        <v>2667</v>
      </c>
      <c r="B632" s="133" t="s">
        <v>2668</v>
      </c>
      <c r="C632" s="120" t="s">
        <v>321</v>
      </c>
      <c r="D632" s="120" t="s">
        <v>375</v>
      </c>
      <c r="E632" s="120" t="s">
        <v>615</v>
      </c>
      <c r="F632" s="120" t="s">
        <v>306</v>
      </c>
      <c r="G632" s="120" t="s">
        <v>2669</v>
      </c>
      <c r="H632" s="120">
        <v>1.0</v>
      </c>
      <c r="I632" s="121">
        <v>0.0</v>
      </c>
      <c r="J632" s="121">
        <v>1.0</v>
      </c>
      <c r="K632" s="117"/>
    </row>
    <row r="633" ht="15.75" customHeight="1">
      <c r="A633" s="122" t="s">
        <v>1027</v>
      </c>
      <c r="B633" s="133" t="s">
        <v>1028</v>
      </c>
      <c r="C633" s="120" t="s">
        <v>321</v>
      </c>
      <c r="D633" s="120" t="s">
        <v>375</v>
      </c>
      <c r="E633" s="120" t="s">
        <v>615</v>
      </c>
      <c r="F633" s="120" t="s">
        <v>306</v>
      </c>
      <c r="G633" s="120" t="s">
        <v>2663</v>
      </c>
      <c r="H633" s="120">
        <v>1.0</v>
      </c>
      <c r="I633" s="121">
        <v>0.0</v>
      </c>
      <c r="J633" s="121">
        <v>0.0</v>
      </c>
      <c r="K633" s="117"/>
    </row>
    <row r="634" ht="15.75" customHeight="1">
      <c r="A634" s="122" t="s">
        <v>1890</v>
      </c>
      <c r="B634" s="133" t="s">
        <v>985</v>
      </c>
      <c r="C634" s="120" t="s">
        <v>321</v>
      </c>
      <c r="D634" s="120" t="s">
        <v>375</v>
      </c>
      <c r="E634" s="120" t="s">
        <v>615</v>
      </c>
      <c r="F634" s="120" t="s">
        <v>306</v>
      </c>
      <c r="G634" s="120" t="s">
        <v>1893</v>
      </c>
      <c r="H634" s="120">
        <v>1.0</v>
      </c>
      <c r="I634" s="121">
        <v>0.0</v>
      </c>
      <c r="J634" s="121">
        <v>1.0</v>
      </c>
      <c r="K634" s="117"/>
    </row>
    <row r="635" ht="15.75" customHeight="1">
      <c r="A635" s="122" t="s">
        <v>2059</v>
      </c>
      <c r="B635" s="133" t="s">
        <v>2060</v>
      </c>
      <c r="C635" s="120" t="s">
        <v>321</v>
      </c>
      <c r="D635" s="120" t="s">
        <v>375</v>
      </c>
      <c r="E635" s="120" t="s">
        <v>615</v>
      </c>
      <c r="F635" s="120" t="s">
        <v>306</v>
      </c>
      <c r="G635" s="120" t="s">
        <v>2061</v>
      </c>
      <c r="H635" s="120">
        <v>1.0</v>
      </c>
      <c r="I635" s="121">
        <v>0.0</v>
      </c>
      <c r="J635" s="121">
        <v>0.0</v>
      </c>
      <c r="K635" s="117"/>
    </row>
    <row r="636" ht="15.75" customHeight="1">
      <c r="A636" s="122" t="s">
        <v>2066</v>
      </c>
      <c r="B636" s="133" t="s">
        <v>676</v>
      </c>
      <c r="C636" s="120" t="s">
        <v>321</v>
      </c>
      <c r="D636" s="120" t="s">
        <v>677</v>
      </c>
      <c r="E636" s="120" t="s">
        <v>615</v>
      </c>
      <c r="F636" s="120" t="s">
        <v>306</v>
      </c>
      <c r="G636" s="120" t="s">
        <v>2680</v>
      </c>
      <c r="H636" s="120">
        <v>1.0</v>
      </c>
      <c r="I636" s="121">
        <v>0.0</v>
      </c>
      <c r="J636" s="121">
        <v>1.0</v>
      </c>
      <c r="K636" s="117"/>
    </row>
    <row r="637" ht="15.75" customHeight="1">
      <c r="A637" s="122" t="s">
        <v>661</v>
      </c>
      <c r="B637" s="133" t="s">
        <v>662</v>
      </c>
      <c r="C637" s="120" t="s">
        <v>321</v>
      </c>
      <c r="D637" s="120" t="s">
        <v>663</v>
      </c>
      <c r="E637" s="120" t="s">
        <v>615</v>
      </c>
      <c r="F637" s="120" t="s">
        <v>306</v>
      </c>
      <c r="G637" s="120" t="s">
        <v>2684</v>
      </c>
      <c r="H637" s="120">
        <v>1.0</v>
      </c>
      <c r="I637" s="121">
        <v>0.0</v>
      </c>
      <c r="J637" s="121">
        <v>0.0</v>
      </c>
      <c r="K637" s="117"/>
    </row>
    <row r="638" ht="15.75" customHeight="1">
      <c r="A638" s="122" t="s">
        <v>713</v>
      </c>
      <c r="B638" s="133" t="s">
        <v>714</v>
      </c>
      <c r="C638" s="120" t="s">
        <v>321</v>
      </c>
      <c r="D638" s="120" t="s">
        <v>663</v>
      </c>
      <c r="E638" s="120" t="s">
        <v>615</v>
      </c>
      <c r="F638" s="120" t="s">
        <v>306</v>
      </c>
      <c r="G638" s="120" t="s">
        <v>2688</v>
      </c>
      <c r="H638" s="120">
        <v>1.0</v>
      </c>
      <c r="I638" s="121">
        <v>0.0</v>
      </c>
      <c r="J638" s="121">
        <v>1.0</v>
      </c>
      <c r="K638" s="117"/>
    </row>
    <row r="639" ht="15.75" customHeight="1">
      <c r="A639" s="122" t="s">
        <v>1990</v>
      </c>
      <c r="B639" s="133" t="s">
        <v>953</v>
      </c>
      <c r="C639" s="120" t="s">
        <v>321</v>
      </c>
      <c r="D639" s="120" t="s">
        <v>663</v>
      </c>
      <c r="E639" s="120" t="s">
        <v>615</v>
      </c>
      <c r="F639" s="120" t="s">
        <v>306</v>
      </c>
      <c r="G639" s="120" t="s">
        <v>2634</v>
      </c>
      <c r="H639" s="120">
        <v>1.0</v>
      </c>
      <c r="I639" s="121">
        <v>0.0</v>
      </c>
      <c r="J639" s="121">
        <v>3.0</v>
      </c>
      <c r="K639" s="117"/>
    </row>
    <row r="640" ht="15.75" customHeight="1">
      <c r="A640" s="122" t="s">
        <v>638</v>
      </c>
      <c r="B640" s="133" t="s">
        <v>639</v>
      </c>
      <c r="C640" s="120" t="s">
        <v>321</v>
      </c>
      <c r="D640" s="120" t="s">
        <v>640</v>
      </c>
      <c r="E640" s="120" t="s">
        <v>615</v>
      </c>
      <c r="F640" s="120" t="s">
        <v>306</v>
      </c>
      <c r="G640" s="120" t="s">
        <v>2692</v>
      </c>
      <c r="H640" s="120">
        <v>1.0</v>
      </c>
      <c r="I640" s="121">
        <v>0.0</v>
      </c>
      <c r="J640" s="121">
        <v>1.0</v>
      </c>
      <c r="K640" s="117"/>
    </row>
    <row r="641" ht="15.75" customHeight="1">
      <c r="A641" s="122" t="s">
        <v>2693</v>
      </c>
      <c r="B641" s="133" t="s">
        <v>2694</v>
      </c>
      <c r="C641" s="120" t="s">
        <v>321</v>
      </c>
      <c r="D641" s="120" t="s">
        <v>2546</v>
      </c>
      <c r="E641" s="120" t="s">
        <v>615</v>
      </c>
      <c r="F641" s="120" t="s">
        <v>306</v>
      </c>
      <c r="G641" s="120" t="s">
        <v>2547</v>
      </c>
      <c r="H641" s="120">
        <v>1.0</v>
      </c>
      <c r="I641" s="121">
        <v>0.0</v>
      </c>
      <c r="J641" s="121">
        <v>1.0</v>
      </c>
      <c r="K641" s="117"/>
    </row>
    <row r="642" ht="15.75" customHeight="1">
      <c r="A642" s="122" t="s">
        <v>995</v>
      </c>
      <c r="B642" s="133" t="s">
        <v>996</v>
      </c>
      <c r="C642" s="120" t="s">
        <v>321</v>
      </c>
      <c r="D642" s="120" t="s">
        <v>655</v>
      </c>
      <c r="E642" s="120" t="s">
        <v>615</v>
      </c>
      <c r="F642" s="120" t="s">
        <v>306</v>
      </c>
      <c r="G642" s="120" t="s">
        <v>2698</v>
      </c>
      <c r="H642" s="120">
        <v>1.0</v>
      </c>
      <c r="I642" s="121">
        <v>0.0</v>
      </c>
      <c r="J642" s="121">
        <v>0.0</v>
      </c>
      <c r="K642" s="117"/>
    </row>
    <row r="643" ht="15.75" customHeight="1">
      <c r="A643" s="122" t="s">
        <v>2702</v>
      </c>
      <c r="B643" s="133" t="s">
        <v>2703</v>
      </c>
      <c r="C643" s="120" t="s">
        <v>321</v>
      </c>
      <c r="D643" s="120" t="s">
        <v>756</v>
      </c>
      <c r="E643" s="120" t="s">
        <v>615</v>
      </c>
      <c r="F643" s="120" t="s">
        <v>306</v>
      </c>
      <c r="G643" s="120" t="s">
        <v>2705</v>
      </c>
      <c r="H643" s="120">
        <v>1.0</v>
      </c>
      <c r="I643" s="121">
        <v>0.0</v>
      </c>
      <c r="J643" s="121">
        <v>1.0</v>
      </c>
      <c r="K643" s="117"/>
    </row>
    <row r="644" ht="15.75" customHeight="1">
      <c r="A644" s="122" t="s">
        <v>1060</v>
      </c>
      <c r="B644" s="133" t="s">
        <v>1061</v>
      </c>
      <c r="C644" s="120" t="s">
        <v>321</v>
      </c>
      <c r="D644" s="120" t="s">
        <v>379</v>
      </c>
      <c r="E644" s="120" t="s">
        <v>615</v>
      </c>
      <c r="F644" s="120" t="s">
        <v>306</v>
      </c>
      <c r="G644" s="120" t="s">
        <v>2710</v>
      </c>
      <c r="H644" s="120">
        <v>1.0</v>
      </c>
      <c r="I644" s="121">
        <v>0.0</v>
      </c>
      <c r="J644" s="121">
        <v>1.0</v>
      </c>
      <c r="K644" s="117"/>
    </row>
    <row r="645" ht="15.75" customHeight="1">
      <c r="A645" s="122" t="s">
        <v>2712</v>
      </c>
      <c r="B645" s="133" t="s">
        <v>2713</v>
      </c>
      <c r="C645" s="120" t="s">
        <v>321</v>
      </c>
      <c r="D645" s="120" t="s">
        <v>2344</v>
      </c>
      <c r="E645" s="120" t="s">
        <v>615</v>
      </c>
      <c r="F645" s="120" t="s">
        <v>306</v>
      </c>
      <c r="G645" s="120" t="s">
        <v>2716</v>
      </c>
      <c r="H645" s="120">
        <v>1.0</v>
      </c>
      <c r="I645" s="121">
        <v>0.0</v>
      </c>
      <c r="J645" s="121">
        <v>1.0</v>
      </c>
      <c r="K645" s="117"/>
    </row>
    <row r="646" ht="15.75" customHeight="1">
      <c r="A646" s="122" t="s">
        <v>2717</v>
      </c>
      <c r="B646" s="133" t="s">
        <v>2718</v>
      </c>
      <c r="C646" s="120" t="s">
        <v>321</v>
      </c>
      <c r="D646" s="120" t="s">
        <v>2562</v>
      </c>
      <c r="E646" s="120" t="s">
        <v>615</v>
      </c>
      <c r="F646" s="120" t="s">
        <v>306</v>
      </c>
      <c r="G646" s="120" t="s">
        <v>2719</v>
      </c>
      <c r="H646" s="120">
        <v>1.0</v>
      </c>
      <c r="I646" s="121">
        <v>0.0</v>
      </c>
      <c r="J646" s="121">
        <v>1.0</v>
      </c>
      <c r="K646" s="117"/>
    </row>
    <row r="647" ht="15.75" customHeight="1">
      <c r="A647" s="122" t="s">
        <v>2720</v>
      </c>
      <c r="B647" s="133" t="s">
        <v>2721</v>
      </c>
      <c r="C647" s="120" t="s">
        <v>321</v>
      </c>
      <c r="D647" s="120" t="s">
        <v>330</v>
      </c>
      <c r="E647" s="120" t="s">
        <v>615</v>
      </c>
      <c r="F647" s="120" t="s">
        <v>306</v>
      </c>
      <c r="G647" s="120" t="s">
        <v>2722</v>
      </c>
      <c r="H647" s="120">
        <v>1.0</v>
      </c>
      <c r="I647" s="121">
        <v>0.0</v>
      </c>
      <c r="J647" s="121">
        <v>1.0</v>
      </c>
      <c r="K647" s="117"/>
    </row>
    <row r="648" ht="15.75" customHeight="1">
      <c r="A648" s="122" t="s">
        <v>2723</v>
      </c>
      <c r="B648" s="133" t="s">
        <v>2724</v>
      </c>
      <c r="C648" s="120" t="s">
        <v>321</v>
      </c>
      <c r="D648" s="120" t="s">
        <v>330</v>
      </c>
      <c r="E648" s="120" t="s">
        <v>615</v>
      </c>
      <c r="F648" s="120" t="s">
        <v>306</v>
      </c>
      <c r="G648" s="120" t="s">
        <v>2725</v>
      </c>
      <c r="H648" s="120">
        <v>1.0</v>
      </c>
      <c r="I648" s="121">
        <v>0.0</v>
      </c>
      <c r="J648" s="121">
        <v>2.0</v>
      </c>
      <c r="K648" s="117"/>
    </row>
    <row r="649" ht="15.75" customHeight="1">
      <c r="A649" s="122" t="s">
        <v>2726</v>
      </c>
      <c r="B649" s="133" t="s">
        <v>2727</v>
      </c>
      <c r="C649" s="120" t="s">
        <v>321</v>
      </c>
      <c r="D649" s="120" t="s">
        <v>1251</v>
      </c>
      <c r="E649" s="120" t="s">
        <v>615</v>
      </c>
      <c r="F649" s="120" t="s">
        <v>306</v>
      </c>
      <c r="G649" s="120" t="s">
        <v>2728</v>
      </c>
      <c r="H649" s="120">
        <v>1.0</v>
      </c>
      <c r="I649" s="121">
        <v>0.0</v>
      </c>
      <c r="J649" s="121">
        <v>0.0</v>
      </c>
      <c r="K649" s="117"/>
    </row>
    <row r="650" ht="15.75" customHeight="1">
      <c r="A650" s="122" t="s">
        <v>875</v>
      </c>
      <c r="B650" s="133" t="s">
        <v>876</v>
      </c>
      <c r="C650" s="120" t="s">
        <v>321</v>
      </c>
      <c r="D650" s="120" t="s">
        <v>879</v>
      </c>
      <c r="E650" s="120" t="s">
        <v>615</v>
      </c>
      <c r="F650" s="120" t="s">
        <v>306</v>
      </c>
      <c r="G650" s="120" t="s">
        <v>2729</v>
      </c>
      <c r="H650" s="120">
        <v>1.0</v>
      </c>
      <c r="I650" s="121">
        <v>0.0</v>
      </c>
      <c r="J650" s="121">
        <v>0.0</v>
      </c>
      <c r="K650" s="117"/>
    </row>
    <row r="651" ht="15.75" customHeight="1">
      <c r="A651" s="122" t="s">
        <v>2730</v>
      </c>
      <c r="B651" s="133" t="s">
        <v>2731</v>
      </c>
      <c r="C651" s="120" t="s">
        <v>321</v>
      </c>
      <c r="D651" s="120" t="s">
        <v>2421</v>
      </c>
      <c r="E651" s="120" t="s">
        <v>615</v>
      </c>
      <c r="F651" s="120" t="s">
        <v>306</v>
      </c>
      <c r="G651" s="120" t="s">
        <v>2732</v>
      </c>
      <c r="H651" s="120">
        <v>1.0</v>
      </c>
      <c r="I651" s="121">
        <v>0.0</v>
      </c>
      <c r="J651" s="121">
        <v>2.0</v>
      </c>
      <c r="K651" s="117"/>
    </row>
    <row r="652" ht="15.75" customHeight="1">
      <c r="A652" s="122" t="s">
        <v>902</v>
      </c>
      <c r="B652" s="133" t="s">
        <v>903</v>
      </c>
      <c r="C652" s="120" t="s">
        <v>321</v>
      </c>
      <c r="D652" s="120" t="s">
        <v>708</v>
      </c>
      <c r="E652" s="120" t="s">
        <v>615</v>
      </c>
      <c r="F652" s="120" t="s">
        <v>306</v>
      </c>
      <c r="G652" s="120" t="s">
        <v>2733</v>
      </c>
      <c r="H652" s="120">
        <v>1.0</v>
      </c>
      <c r="I652" s="121">
        <v>0.0</v>
      </c>
      <c r="J652" s="121">
        <v>1.0</v>
      </c>
      <c r="K652" s="117"/>
    </row>
    <row r="653" ht="15.75" customHeight="1">
      <c r="A653" s="122" t="s">
        <v>1271</v>
      </c>
      <c r="B653" s="133" t="s">
        <v>1272</v>
      </c>
      <c r="C653" s="120" t="s">
        <v>321</v>
      </c>
      <c r="D653" s="120" t="s">
        <v>708</v>
      </c>
      <c r="E653" s="120" t="s">
        <v>615</v>
      </c>
      <c r="F653" s="120" t="s">
        <v>306</v>
      </c>
      <c r="G653" s="120" t="s">
        <v>2734</v>
      </c>
      <c r="H653" s="120">
        <v>1.0</v>
      </c>
      <c r="I653" s="121">
        <v>0.0</v>
      </c>
      <c r="J653" s="121">
        <v>0.0</v>
      </c>
      <c r="K653" s="117"/>
    </row>
    <row r="654" ht="15.75" customHeight="1">
      <c r="A654" s="122" t="s">
        <v>2735</v>
      </c>
      <c r="B654" s="133" t="s">
        <v>2736</v>
      </c>
      <c r="C654" s="120" t="s">
        <v>321</v>
      </c>
      <c r="D654" s="120" t="s">
        <v>708</v>
      </c>
      <c r="E654" s="120" t="s">
        <v>615</v>
      </c>
      <c r="F654" s="120" t="s">
        <v>306</v>
      </c>
      <c r="G654" s="120" t="s">
        <v>2737</v>
      </c>
      <c r="H654" s="120">
        <v>1.0</v>
      </c>
      <c r="I654" s="121">
        <v>0.0</v>
      </c>
      <c r="J654" s="121">
        <v>1.0</v>
      </c>
      <c r="K654" s="117"/>
    </row>
    <row r="655" ht="15.75" customHeight="1">
      <c r="A655" s="122" t="s">
        <v>2738</v>
      </c>
      <c r="B655" s="133" t="s">
        <v>2739</v>
      </c>
      <c r="C655" s="120" t="s">
        <v>321</v>
      </c>
      <c r="D655" s="120" t="s">
        <v>2740</v>
      </c>
      <c r="E655" s="120" t="s">
        <v>615</v>
      </c>
      <c r="F655" s="120" t="s">
        <v>306</v>
      </c>
      <c r="G655" s="120" t="s">
        <v>2741</v>
      </c>
      <c r="H655" s="120">
        <v>1.0</v>
      </c>
      <c r="I655" s="121">
        <v>0.0</v>
      </c>
      <c r="J655" s="121">
        <v>1.0</v>
      </c>
      <c r="K655" s="117"/>
    </row>
    <row r="656" ht="15.75" customHeight="1">
      <c r="A656" s="122" t="s">
        <v>2742</v>
      </c>
      <c r="B656" s="133" t="s">
        <v>2743</v>
      </c>
      <c r="C656" s="120" t="s">
        <v>321</v>
      </c>
      <c r="D656" s="120" t="s">
        <v>503</v>
      </c>
      <c r="E656" s="120" t="s">
        <v>615</v>
      </c>
      <c r="F656" s="120" t="s">
        <v>306</v>
      </c>
      <c r="G656" s="120" t="s">
        <v>1087</v>
      </c>
      <c r="H656" s="120">
        <v>1.0</v>
      </c>
      <c r="I656" s="121">
        <v>0.0</v>
      </c>
      <c r="J656" s="121">
        <v>1.0</v>
      </c>
      <c r="K656" s="117"/>
    </row>
    <row r="657" ht="15.75" customHeight="1">
      <c r="A657" s="122" t="s">
        <v>2744</v>
      </c>
      <c r="B657" s="133" t="s">
        <v>2745</v>
      </c>
      <c r="C657" s="120" t="s">
        <v>321</v>
      </c>
      <c r="D657" s="120" t="s">
        <v>2538</v>
      </c>
      <c r="E657" s="120" t="s">
        <v>615</v>
      </c>
      <c r="F657" s="120" t="s">
        <v>306</v>
      </c>
      <c r="G657" s="120" t="s">
        <v>2746</v>
      </c>
      <c r="H657" s="120">
        <v>1.0</v>
      </c>
      <c r="I657" s="121">
        <v>0.0</v>
      </c>
      <c r="J657" s="121">
        <v>2.0</v>
      </c>
      <c r="K657" s="117"/>
    </row>
    <row r="658" ht="15.75" customHeight="1">
      <c r="A658" s="122" t="s">
        <v>2747</v>
      </c>
      <c r="B658" s="133" t="s">
        <v>2748</v>
      </c>
      <c r="C658" s="120" t="s">
        <v>321</v>
      </c>
      <c r="D658" s="120" t="s">
        <v>2538</v>
      </c>
      <c r="E658" s="120" t="s">
        <v>615</v>
      </c>
      <c r="F658" s="120" t="s">
        <v>306</v>
      </c>
      <c r="G658" s="120" t="s">
        <v>2749</v>
      </c>
      <c r="H658" s="120">
        <v>1.0</v>
      </c>
      <c r="I658" s="121">
        <v>0.0</v>
      </c>
      <c r="J658" s="121">
        <v>2.0</v>
      </c>
      <c r="K658" s="117"/>
    </row>
    <row r="659" ht="15.75" customHeight="1">
      <c r="A659" s="122" t="s">
        <v>298</v>
      </c>
      <c r="B659" s="133" t="s">
        <v>298</v>
      </c>
      <c r="C659" s="120" t="s">
        <v>298</v>
      </c>
      <c r="D659" s="120" t="s">
        <v>298</v>
      </c>
      <c r="E659" s="120" t="s">
        <v>298</v>
      </c>
      <c r="F659" s="120" t="s">
        <v>298</v>
      </c>
      <c r="G659" s="120" t="s">
        <v>298</v>
      </c>
      <c r="H659" s="120" t="s">
        <v>298</v>
      </c>
      <c r="I659" s="121" t="s">
        <v>298</v>
      </c>
      <c r="J659" s="121" t="s">
        <v>298</v>
      </c>
      <c r="K659" s="117"/>
    </row>
    <row r="660" ht="15.75" customHeight="1">
      <c r="A660" s="122" t="s">
        <v>2750</v>
      </c>
      <c r="B660" s="133" t="s">
        <v>298</v>
      </c>
      <c r="C660" s="120" t="s">
        <v>298</v>
      </c>
      <c r="D660" s="120" t="s">
        <v>298</v>
      </c>
      <c r="E660" s="120" t="s">
        <v>298</v>
      </c>
      <c r="F660" s="120" t="s">
        <v>298</v>
      </c>
      <c r="G660" s="120" t="s">
        <v>298</v>
      </c>
      <c r="H660" s="120" t="s">
        <v>298</v>
      </c>
      <c r="I660" s="121" t="s">
        <v>298</v>
      </c>
      <c r="J660" s="121" t="s">
        <v>298</v>
      </c>
      <c r="K660" s="117"/>
    </row>
    <row r="661" ht="15.75" customHeight="1">
      <c r="A661" s="122" t="s">
        <v>299</v>
      </c>
      <c r="B661" s="133" t="s">
        <v>298</v>
      </c>
      <c r="C661" s="120" t="s">
        <v>298</v>
      </c>
      <c r="D661" s="120" t="s">
        <v>298</v>
      </c>
      <c r="E661" s="120" t="s">
        <v>298</v>
      </c>
      <c r="F661" s="120" t="s">
        <v>298</v>
      </c>
      <c r="G661" s="120" t="s">
        <v>298</v>
      </c>
      <c r="H661" s="120" t="s">
        <v>298</v>
      </c>
      <c r="I661" s="121" t="s">
        <v>298</v>
      </c>
      <c r="J661" s="121" t="s">
        <v>298</v>
      </c>
      <c r="K661" s="117"/>
    </row>
    <row r="662" ht="15.75" customHeight="1">
      <c r="A662" s="122" t="s">
        <v>144</v>
      </c>
      <c r="B662" s="133" t="s">
        <v>298</v>
      </c>
      <c r="C662" s="120" t="s">
        <v>298</v>
      </c>
      <c r="D662" s="120" t="s">
        <v>298</v>
      </c>
      <c r="E662" s="120" t="s">
        <v>298</v>
      </c>
      <c r="F662" s="120" t="s">
        <v>298</v>
      </c>
      <c r="G662" s="120" t="s">
        <v>298</v>
      </c>
      <c r="H662" s="120" t="s">
        <v>298</v>
      </c>
      <c r="I662" s="121" t="s">
        <v>298</v>
      </c>
      <c r="J662" s="121" t="s">
        <v>298</v>
      </c>
      <c r="K662" s="117"/>
    </row>
    <row r="663" ht="15.75" customHeight="1">
      <c r="A663" s="122" t="s">
        <v>300</v>
      </c>
      <c r="B663" s="133" t="s">
        <v>298</v>
      </c>
      <c r="C663" s="120" t="s">
        <v>298</v>
      </c>
      <c r="D663" s="120" t="s">
        <v>298</v>
      </c>
      <c r="E663" s="120" t="s">
        <v>298</v>
      </c>
      <c r="F663" s="120" t="s">
        <v>298</v>
      </c>
      <c r="G663" s="120" t="s">
        <v>298</v>
      </c>
      <c r="H663" s="120" t="s">
        <v>298</v>
      </c>
      <c r="I663" s="121" t="s">
        <v>298</v>
      </c>
      <c r="J663" s="121" t="s">
        <v>298</v>
      </c>
      <c r="K663" s="117"/>
    </row>
    <row r="664" ht="15.75" customHeight="1">
      <c r="A664" s="122" t="s">
        <v>2762</v>
      </c>
      <c r="B664" s="133" t="s">
        <v>2764</v>
      </c>
      <c r="C664" s="120" t="s">
        <v>303</v>
      </c>
      <c r="D664" s="120" t="s">
        <v>1343</v>
      </c>
      <c r="E664" s="120" t="s">
        <v>2765</v>
      </c>
      <c r="F664" s="120" t="s">
        <v>306</v>
      </c>
      <c r="G664" s="120" t="s">
        <v>1342</v>
      </c>
      <c r="H664" s="120">
        <v>15.0</v>
      </c>
      <c r="I664" s="121">
        <v>0.01</v>
      </c>
      <c r="J664" s="121">
        <v>1.07</v>
      </c>
      <c r="K664" s="117"/>
    </row>
    <row r="665" ht="15.75" customHeight="1">
      <c r="A665" s="122" t="s">
        <v>2769</v>
      </c>
      <c r="B665" s="133" t="s">
        <v>2770</v>
      </c>
      <c r="C665" s="120" t="s">
        <v>303</v>
      </c>
      <c r="D665" s="120" t="s">
        <v>737</v>
      </c>
      <c r="E665" s="120" t="s">
        <v>2765</v>
      </c>
      <c r="F665" s="120" t="s">
        <v>306</v>
      </c>
      <c r="G665" s="120" t="s">
        <v>2771</v>
      </c>
      <c r="H665" s="120">
        <v>14.0</v>
      </c>
      <c r="I665" s="121">
        <v>0.01</v>
      </c>
      <c r="J665" s="121">
        <v>0.07</v>
      </c>
      <c r="K665" s="117"/>
    </row>
    <row r="666" ht="15.75" customHeight="1">
      <c r="A666" s="122" t="s">
        <v>2775</v>
      </c>
      <c r="B666" s="133" t="s">
        <v>2776</v>
      </c>
      <c r="C666" s="120" t="s">
        <v>303</v>
      </c>
      <c r="D666" s="120" t="s">
        <v>2777</v>
      </c>
      <c r="E666" s="120" t="s">
        <v>2765</v>
      </c>
      <c r="F666" s="120" t="s">
        <v>306</v>
      </c>
      <c r="G666" s="120" t="s">
        <v>2778</v>
      </c>
      <c r="H666" s="120">
        <v>7.0</v>
      </c>
      <c r="I666" s="121">
        <v>0.01</v>
      </c>
      <c r="J666" s="121">
        <v>1.43</v>
      </c>
      <c r="K666" s="117"/>
    </row>
    <row r="667" ht="15.75" customHeight="1">
      <c r="A667" s="122" t="s">
        <v>2782</v>
      </c>
      <c r="B667" s="133" t="s">
        <v>2783</v>
      </c>
      <c r="C667" s="120" t="s">
        <v>303</v>
      </c>
      <c r="D667" s="120" t="s">
        <v>334</v>
      </c>
      <c r="E667" s="120" t="s">
        <v>2765</v>
      </c>
      <c r="F667" s="120" t="s">
        <v>306</v>
      </c>
      <c r="G667" s="120" t="s">
        <v>2784</v>
      </c>
      <c r="H667" s="120">
        <v>7.0</v>
      </c>
      <c r="I667" s="121">
        <v>0.01</v>
      </c>
      <c r="J667" s="121">
        <v>1.14</v>
      </c>
      <c r="K667" s="117"/>
    </row>
    <row r="668" ht="15.75" customHeight="1">
      <c r="A668" s="122" t="s">
        <v>2788</v>
      </c>
      <c r="B668" s="133" t="s">
        <v>2789</v>
      </c>
      <c r="C668" s="120" t="s">
        <v>303</v>
      </c>
      <c r="D668" s="120" t="s">
        <v>334</v>
      </c>
      <c r="E668" s="120" t="s">
        <v>2765</v>
      </c>
      <c r="F668" s="120" t="s">
        <v>306</v>
      </c>
      <c r="G668" s="120" t="s">
        <v>2784</v>
      </c>
      <c r="H668" s="120">
        <v>7.0</v>
      </c>
      <c r="I668" s="121">
        <v>0.01</v>
      </c>
      <c r="J668" s="121">
        <v>1.29</v>
      </c>
      <c r="K668" s="117"/>
    </row>
    <row r="669" ht="15.75" customHeight="1">
      <c r="A669" s="122" t="s">
        <v>2793</v>
      </c>
      <c r="B669" s="133" t="s">
        <v>2794</v>
      </c>
      <c r="C669" s="120" t="s">
        <v>303</v>
      </c>
      <c r="D669" s="120" t="s">
        <v>379</v>
      </c>
      <c r="E669" s="120" t="s">
        <v>2765</v>
      </c>
      <c r="F669" s="120" t="s">
        <v>306</v>
      </c>
      <c r="G669" s="120" t="s">
        <v>380</v>
      </c>
      <c r="H669" s="120">
        <v>6.0</v>
      </c>
      <c r="I669" s="121">
        <v>0.01</v>
      </c>
      <c r="J669" s="121">
        <v>0.0</v>
      </c>
      <c r="K669" s="117"/>
    </row>
    <row r="670" ht="15.75" customHeight="1">
      <c r="A670" s="122" t="s">
        <v>2797</v>
      </c>
      <c r="B670" s="133" t="s">
        <v>2799</v>
      </c>
      <c r="C670" s="120" t="s">
        <v>303</v>
      </c>
      <c r="D670" s="120" t="s">
        <v>503</v>
      </c>
      <c r="E670" s="120" t="s">
        <v>2765</v>
      </c>
      <c r="F670" s="120" t="s">
        <v>306</v>
      </c>
      <c r="G670" s="120" t="s">
        <v>2800</v>
      </c>
      <c r="H670" s="120">
        <v>6.0</v>
      </c>
      <c r="I670" s="121">
        <v>0.01</v>
      </c>
      <c r="J670" s="121">
        <v>0.83</v>
      </c>
      <c r="K670" s="117"/>
    </row>
    <row r="671" ht="15.75" customHeight="1">
      <c r="A671" s="122" t="s">
        <v>2804</v>
      </c>
      <c r="B671" s="133" t="s">
        <v>2805</v>
      </c>
      <c r="C671" s="120" t="s">
        <v>303</v>
      </c>
      <c r="D671" s="120" t="s">
        <v>2806</v>
      </c>
      <c r="E671" s="120" t="s">
        <v>2765</v>
      </c>
      <c r="F671" s="120" t="s">
        <v>306</v>
      </c>
      <c r="G671" s="120" t="s">
        <v>2808</v>
      </c>
      <c r="H671" s="120">
        <v>5.0</v>
      </c>
      <c r="I671" s="121">
        <v>0.0</v>
      </c>
      <c r="J671" s="121">
        <v>1.2</v>
      </c>
      <c r="K671" s="117"/>
    </row>
    <row r="672" ht="15.75" customHeight="1">
      <c r="A672" s="122" t="s">
        <v>2811</v>
      </c>
      <c r="B672" s="133" t="s">
        <v>2812</v>
      </c>
      <c r="C672" s="120" t="s">
        <v>303</v>
      </c>
      <c r="D672" s="120" t="s">
        <v>564</v>
      </c>
      <c r="E672" s="120" t="s">
        <v>2765</v>
      </c>
      <c r="F672" s="120" t="s">
        <v>306</v>
      </c>
      <c r="G672" s="120" t="s">
        <v>2815</v>
      </c>
      <c r="H672" s="120">
        <v>5.0</v>
      </c>
      <c r="I672" s="121">
        <v>0.0</v>
      </c>
      <c r="J672" s="121">
        <v>1.4</v>
      </c>
      <c r="K672" s="117"/>
    </row>
    <row r="673" ht="15.75" customHeight="1">
      <c r="A673" s="122" t="s">
        <v>2817</v>
      </c>
      <c r="B673" s="133" t="s">
        <v>2818</v>
      </c>
      <c r="C673" s="120" t="s">
        <v>303</v>
      </c>
      <c r="D673" s="120" t="s">
        <v>718</v>
      </c>
      <c r="E673" s="120" t="s">
        <v>2765</v>
      </c>
      <c r="F673" s="120" t="s">
        <v>306</v>
      </c>
      <c r="G673" s="120" t="s">
        <v>2821</v>
      </c>
      <c r="H673" s="120">
        <v>5.0</v>
      </c>
      <c r="I673" s="121">
        <v>0.0</v>
      </c>
      <c r="J673" s="121">
        <v>1.8</v>
      </c>
      <c r="K673" s="117"/>
    </row>
    <row r="674" ht="15.75" customHeight="1">
      <c r="A674" s="122" t="s">
        <v>2822</v>
      </c>
      <c r="B674" s="133" t="s">
        <v>2823</v>
      </c>
      <c r="C674" s="120" t="s">
        <v>303</v>
      </c>
      <c r="D674" s="120" t="s">
        <v>2825</v>
      </c>
      <c r="E674" s="120" t="s">
        <v>2765</v>
      </c>
      <c r="F674" s="120" t="s">
        <v>306</v>
      </c>
      <c r="G674" s="120" t="s">
        <v>2828</v>
      </c>
      <c r="H674" s="120">
        <v>4.0</v>
      </c>
      <c r="I674" s="121">
        <v>0.0</v>
      </c>
      <c r="J674" s="121">
        <v>1.25</v>
      </c>
      <c r="K674" s="117"/>
    </row>
    <row r="675" ht="15.75" customHeight="1">
      <c r="A675" s="122" t="s">
        <v>2829</v>
      </c>
      <c r="B675" s="133" t="s">
        <v>2830</v>
      </c>
      <c r="C675" s="120" t="s">
        <v>303</v>
      </c>
      <c r="D675" s="120" t="s">
        <v>663</v>
      </c>
      <c r="E675" s="120" t="s">
        <v>2765</v>
      </c>
      <c r="F675" s="120" t="s">
        <v>306</v>
      </c>
      <c r="G675" s="120" t="s">
        <v>2832</v>
      </c>
      <c r="H675" s="120">
        <v>4.0</v>
      </c>
      <c r="I675" s="121">
        <v>0.0</v>
      </c>
      <c r="J675" s="121">
        <v>1.25</v>
      </c>
      <c r="K675" s="117"/>
    </row>
    <row r="676" ht="15.75" customHeight="1">
      <c r="A676" s="122" t="s">
        <v>2835</v>
      </c>
      <c r="B676" s="133" t="s">
        <v>2836</v>
      </c>
      <c r="C676" s="120" t="s">
        <v>303</v>
      </c>
      <c r="D676" s="120" t="s">
        <v>2837</v>
      </c>
      <c r="E676" s="120" t="s">
        <v>2765</v>
      </c>
      <c r="F676" s="120" t="s">
        <v>306</v>
      </c>
      <c r="G676" s="120" t="s">
        <v>2840</v>
      </c>
      <c r="H676" s="120">
        <v>3.0</v>
      </c>
      <c r="I676" s="121">
        <v>0.0</v>
      </c>
      <c r="J676" s="121">
        <v>1.0</v>
      </c>
      <c r="K676" s="117"/>
    </row>
    <row r="677" ht="15.75" customHeight="1">
      <c r="A677" s="122" t="s">
        <v>2842</v>
      </c>
      <c r="B677" s="133" t="s">
        <v>2843</v>
      </c>
      <c r="C677" s="120" t="s">
        <v>303</v>
      </c>
      <c r="D677" s="120" t="s">
        <v>334</v>
      </c>
      <c r="E677" s="120" t="s">
        <v>2765</v>
      </c>
      <c r="F677" s="120" t="s">
        <v>306</v>
      </c>
      <c r="G677" s="120" t="s">
        <v>2784</v>
      </c>
      <c r="H677" s="120">
        <v>3.0</v>
      </c>
      <c r="I677" s="121">
        <v>0.0</v>
      </c>
      <c r="J677" s="121">
        <v>0.0</v>
      </c>
      <c r="K677" s="117"/>
    </row>
    <row r="678" ht="15.75" customHeight="1">
      <c r="A678" s="122" t="s">
        <v>2845</v>
      </c>
      <c r="B678" s="133" t="s">
        <v>2847</v>
      </c>
      <c r="C678" s="120" t="s">
        <v>303</v>
      </c>
      <c r="D678" s="120" t="s">
        <v>379</v>
      </c>
      <c r="E678" s="120" t="s">
        <v>2765</v>
      </c>
      <c r="F678" s="120" t="s">
        <v>306</v>
      </c>
      <c r="G678" s="120" t="s">
        <v>380</v>
      </c>
      <c r="H678" s="120">
        <v>3.0</v>
      </c>
      <c r="I678" s="121">
        <v>0.0</v>
      </c>
      <c r="J678" s="121">
        <v>0.67</v>
      </c>
      <c r="K678" s="117"/>
    </row>
    <row r="679" ht="15.75" customHeight="1">
      <c r="A679" s="122" t="s">
        <v>2849</v>
      </c>
      <c r="B679" s="133" t="s">
        <v>2850</v>
      </c>
      <c r="C679" s="120" t="s">
        <v>303</v>
      </c>
      <c r="D679" s="120" t="s">
        <v>2851</v>
      </c>
      <c r="E679" s="120" t="s">
        <v>2765</v>
      </c>
      <c r="F679" s="120" t="s">
        <v>306</v>
      </c>
      <c r="G679" s="120" t="s">
        <v>2855</v>
      </c>
      <c r="H679" s="120">
        <v>3.0</v>
      </c>
      <c r="I679" s="121">
        <v>0.0</v>
      </c>
      <c r="J679" s="121">
        <v>0.67</v>
      </c>
      <c r="K679" s="117"/>
    </row>
    <row r="680" ht="15.75" customHeight="1">
      <c r="A680" s="122" t="s">
        <v>2856</v>
      </c>
      <c r="B680" s="133" t="s">
        <v>2857</v>
      </c>
      <c r="C680" s="120" t="s">
        <v>303</v>
      </c>
      <c r="D680" s="120" t="s">
        <v>1131</v>
      </c>
      <c r="E680" s="120" t="s">
        <v>2765</v>
      </c>
      <c r="F680" s="120" t="s">
        <v>306</v>
      </c>
      <c r="G680" s="120" t="s">
        <v>1130</v>
      </c>
      <c r="H680" s="120">
        <v>2.0</v>
      </c>
      <c r="I680" s="121">
        <v>0.0</v>
      </c>
      <c r="J680" s="121">
        <v>1.5</v>
      </c>
      <c r="K680" s="117"/>
    </row>
    <row r="681" ht="15.75" customHeight="1">
      <c r="A681" s="122" t="s">
        <v>2862</v>
      </c>
      <c r="B681" s="133" t="s">
        <v>2863</v>
      </c>
      <c r="C681" s="120" t="s">
        <v>303</v>
      </c>
      <c r="D681" s="120" t="s">
        <v>2866</v>
      </c>
      <c r="E681" s="120" t="s">
        <v>2765</v>
      </c>
      <c r="F681" s="120" t="s">
        <v>306</v>
      </c>
      <c r="G681" s="120" t="s">
        <v>2867</v>
      </c>
      <c r="H681" s="120">
        <v>2.0</v>
      </c>
      <c r="I681" s="121">
        <v>0.0</v>
      </c>
      <c r="J681" s="121">
        <v>1.0</v>
      </c>
      <c r="K681" s="117"/>
    </row>
    <row r="682" ht="15.75" customHeight="1">
      <c r="A682" s="122" t="s">
        <v>2869</v>
      </c>
      <c r="B682" s="133" t="s">
        <v>2871</v>
      </c>
      <c r="C682" s="120" t="s">
        <v>303</v>
      </c>
      <c r="D682" s="120" t="s">
        <v>2866</v>
      </c>
      <c r="E682" s="120" t="s">
        <v>2765</v>
      </c>
      <c r="F682" s="120" t="s">
        <v>306</v>
      </c>
      <c r="G682" s="120" t="s">
        <v>2867</v>
      </c>
      <c r="H682" s="120">
        <v>2.0</v>
      </c>
      <c r="I682" s="121">
        <v>0.0</v>
      </c>
      <c r="J682" s="121">
        <v>1.0</v>
      </c>
      <c r="K682" s="117"/>
    </row>
    <row r="683" ht="15.75" customHeight="1">
      <c r="A683" s="122" t="s">
        <v>2876</v>
      </c>
      <c r="B683" s="133" t="s">
        <v>457</v>
      </c>
      <c r="C683" s="120" t="s">
        <v>303</v>
      </c>
      <c r="D683" s="120" t="s">
        <v>384</v>
      </c>
      <c r="E683" s="120" t="s">
        <v>2765</v>
      </c>
      <c r="F683" s="120" t="s">
        <v>306</v>
      </c>
      <c r="G683" s="120" t="s">
        <v>526</v>
      </c>
      <c r="H683" s="120">
        <v>2.0</v>
      </c>
      <c r="I683" s="121">
        <v>0.0</v>
      </c>
      <c r="J683" s="121">
        <v>0.0</v>
      </c>
      <c r="K683" s="117"/>
    </row>
    <row r="684" ht="15.75" customHeight="1">
      <c r="A684" s="122" t="s">
        <v>2880</v>
      </c>
      <c r="B684" s="133" t="s">
        <v>2882</v>
      </c>
      <c r="C684" s="120" t="s">
        <v>303</v>
      </c>
      <c r="D684" s="120" t="s">
        <v>2884</v>
      </c>
      <c r="E684" s="120" t="s">
        <v>2765</v>
      </c>
      <c r="F684" s="120" t="s">
        <v>306</v>
      </c>
      <c r="G684" s="120" t="s">
        <v>2885</v>
      </c>
      <c r="H684" s="120">
        <v>2.0</v>
      </c>
      <c r="I684" s="121">
        <v>0.0</v>
      </c>
      <c r="J684" s="121">
        <v>1.0</v>
      </c>
      <c r="K684" s="117"/>
    </row>
    <row r="685" ht="15.75" customHeight="1">
      <c r="A685" s="122" t="s">
        <v>2887</v>
      </c>
      <c r="B685" s="133" t="s">
        <v>2889</v>
      </c>
      <c r="C685" s="120" t="s">
        <v>303</v>
      </c>
      <c r="D685" s="120" t="s">
        <v>379</v>
      </c>
      <c r="E685" s="120" t="s">
        <v>2765</v>
      </c>
      <c r="F685" s="120" t="s">
        <v>306</v>
      </c>
      <c r="G685" s="120" t="s">
        <v>380</v>
      </c>
      <c r="H685" s="120">
        <v>2.0</v>
      </c>
      <c r="I685" s="121">
        <v>0.0</v>
      </c>
      <c r="J685" s="121">
        <v>0.0</v>
      </c>
      <c r="K685" s="117"/>
    </row>
    <row r="686" ht="15.75" customHeight="1">
      <c r="A686" s="122" t="s">
        <v>2891</v>
      </c>
      <c r="B686" s="133" t="s">
        <v>2847</v>
      </c>
      <c r="C686" s="120" t="s">
        <v>303</v>
      </c>
      <c r="D686" s="120" t="s">
        <v>379</v>
      </c>
      <c r="E686" s="120" t="s">
        <v>2765</v>
      </c>
      <c r="F686" s="120" t="s">
        <v>306</v>
      </c>
      <c r="G686" s="120" t="s">
        <v>380</v>
      </c>
      <c r="H686" s="120">
        <v>2.0</v>
      </c>
      <c r="I686" s="121">
        <v>0.0</v>
      </c>
      <c r="J686" s="121">
        <v>0.0</v>
      </c>
      <c r="K686" s="117"/>
    </row>
    <row r="687" ht="15.75" customHeight="1">
      <c r="A687" s="122" t="s">
        <v>2892</v>
      </c>
      <c r="B687" s="133" t="s">
        <v>2893</v>
      </c>
      <c r="C687" s="120" t="s">
        <v>303</v>
      </c>
      <c r="D687" s="120" t="s">
        <v>2894</v>
      </c>
      <c r="E687" s="120" t="s">
        <v>2765</v>
      </c>
      <c r="F687" s="120" t="s">
        <v>306</v>
      </c>
      <c r="G687" s="120" t="s">
        <v>2895</v>
      </c>
      <c r="H687" s="120">
        <v>2.0</v>
      </c>
      <c r="I687" s="121">
        <v>0.0</v>
      </c>
      <c r="J687" s="121">
        <v>4.5</v>
      </c>
      <c r="K687" s="117"/>
    </row>
    <row r="688" ht="15.75" customHeight="1">
      <c r="A688" s="122" t="s">
        <v>2899</v>
      </c>
      <c r="B688" s="133" t="s">
        <v>2900</v>
      </c>
      <c r="C688" s="120" t="s">
        <v>303</v>
      </c>
      <c r="D688" s="120" t="s">
        <v>1131</v>
      </c>
      <c r="E688" s="120" t="s">
        <v>2765</v>
      </c>
      <c r="F688" s="120" t="s">
        <v>306</v>
      </c>
      <c r="G688" s="120" t="s">
        <v>1130</v>
      </c>
      <c r="H688" s="120">
        <v>1.0</v>
      </c>
      <c r="I688" s="121">
        <v>0.0</v>
      </c>
      <c r="J688" s="121">
        <v>1.0</v>
      </c>
      <c r="K688" s="117"/>
    </row>
    <row r="689" ht="15.75" customHeight="1">
      <c r="A689" s="122" t="s">
        <v>2904</v>
      </c>
      <c r="B689" s="133" t="s">
        <v>2906</v>
      </c>
      <c r="C689" s="120" t="s">
        <v>303</v>
      </c>
      <c r="D689" s="120" t="s">
        <v>1131</v>
      </c>
      <c r="E689" s="120" t="s">
        <v>2765</v>
      </c>
      <c r="F689" s="120" t="s">
        <v>306</v>
      </c>
      <c r="G689" s="120" t="s">
        <v>1130</v>
      </c>
      <c r="H689" s="120">
        <v>1.0</v>
      </c>
      <c r="I689" s="121">
        <v>0.0</v>
      </c>
      <c r="J689" s="121">
        <v>0.0</v>
      </c>
      <c r="K689" s="117"/>
    </row>
    <row r="690" ht="15.75" customHeight="1">
      <c r="A690" s="122" t="s">
        <v>2909</v>
      </c>
      <c r="B690" s="133" t="s">
        <v>2910</v>
      </c>
      <c r="C690" s="120" t="s">
        <v>303</v>
      </c>
      <c r="D690" s="120" t="s">
        <v>2866</v>
      </c>
      <c r="E690" s="120" t="s">
        <v>2765</v>
      </c>
      <c r="F690" s="120" t="s">
        <v>306</v>
      </c>
      <c r="G690" s="120" t="s">
        <v>2867</v>
      </c>
      <c r="H690" s="120">
        <v>1.0</v>
      </c>
      <c r="I690" s="121">
        <v>0.0</v>
      </c>
      <c r="J690" s="121">
        <v>1.0</v>
      </c>
      <c r="K690" s="117"/>
    </row>
    <row r="691" ht="15.75" customHeight="1">
      <c r="A691" s="122" t="s">
        <v>2911</v>
      </c>
      <c r="B691" s="133" t="s">
        <v>2912</v>
      </c>
      <c r="C691" s="120" t="s">
        <v>303</v>
      </c>
      <c r="D691" s="120" t="s">
        <v>2866</v>
      </c>
      <c r="E691" s="120" t="s">
        <v>2765</v>
      </c>
      <c r="F691" s="120" t="s">
        <v>306</v>
      </c>
      <c r="G691" s="120" t="s">
        <v>2913</v>
      </c>
      <c r="H691" s="120">
        <v>1.0</v>
      </c>
      <c r="I691" s="121">
        <v>0.0</v>
      </c>
      <c r="J691" s="121">
        <v>1.0</v>
      </c>
      <c r="K691" s="117"/>
    </row>
    <row r="692" ht="15.75" customHeight="1">
      <c r="A692" s="122" t="s">
        <v>2914</v>
      </c>
      <c r="B692" s="133" t="s">
        <v>2915</v>
      </c>
      <c r="C692" s="120" t="s">
        <v>303</v>
      </c>
      <c r="D692" s="120" t="s">
        <v>2806</v>
      </c>
      <c r="E692" s="120" t="s">
        <v>2765</v>
      </c>
      <c r="F692" s="120" t="s">
        <v>306</v>
      </c>
      <c r="G692" s="120" t="s">
        <v>2808</v>
      </c>
      <c r="H692" s="120">
        <v>1.0</v>
      </c>
      <c r="I692" s="121">
        <v>0.0</v>
      </c>
      <c r="J692" s="121">
        <v>0.0</v>
      </c>
      <c r="K692" s="117"/>
    </row>
    <row r="693" ht="15.75" customHeight="1">
      <c r="A693" s="122" t="s">
        <v>2919</v>
      </c>
      <c r="B693" s="133" t="s">
        <v>2920</v>
      </c>
      <c r="C693" s="120" t="s">
        <v>303</v>
      </c>
      <c r="D693" s="120" t="s">
        <v>384</v>
      </c>
      <c r="E693" s="120" t="s">
        <v>2765</v>
      </c>
      <c r="F693" s="120" t="s">
        <v>306</v>
      </c>
      <c r="G693" s="120" t="s">
        <v>526</v>
      </c>
      <c r="H693" s="120">
        <v>1.0</v>
      </c>
      <c r="I693" s="121">
        <v>0.0</v>
      </c>
      <c r="J693" s="121">
        <v>0.0</v>
      </c>
      <c r="K693" s="117"/>
    </row>
    <row r="694" ht="15.75" customHeight="1">
      <c r="A694" s="122" t="s">
        <v>2921</v>
      </c>
      <c r="B694" s="133" t="s">
        <v>2922</v>
      </c>
      <c r="C694" s="120" t="s">
        <v>303</v>
      </c>
      <c r="D694" s="120" t="s">
        <v>913</v>
      </c>
      <c r="E694" s="120" t="s">
        <v>2765</v>
      </c>
      <c r="F694" s="120" t="s">
        <v>306</v>
      </c>
      <c r="G694" s="120" t="s">
        <v>2925</v>
      </c>
      <c r="H694" s="120">
        <v>1.0</v>
      </c>
      <c r="I694" s="121">
        <v>0.0</v>
      </c>
      <c r="J694" s="121">
        <v>1.0</v>
      </c>
      <c r="K694" s="117"/>
    </row>
    <row r="695" ht="15.75" customHeight="1">
      <c r="A695" s="122" t="s">
        <v>2927</v>
      </c>
      <c r="B695" s="133" t="s">
        <v>2930</v>
      </c>
      <c r="C695" s="120" t="s">
        <v>303</v>
      </c>
      <c r="D695" s="120" t="s">
        <v>344</v>
      </c>
      <c r="E695" s="120" t="s">
        <v>2765</v>
      </c>
      <c r="F695" s="120" t="s">
        <v>306</v>
      </c>
      <c r="G695" s="120" t="s">
        <v>2932</v>
      </c>
      <c r="H695" s="120">
        <v>1.0</v>
      </c>
      <c r="I695" s="121">
        <v>0.0</v>
      </c>
      <c r="J695" s="121">
        <v>1.0</v>
      </c>
      <c r="K695" s="117"/>
    </row>
    <row r="696" ht="15.75" customHeight="1">
      <c r="A696" s="122" t="s">
        <v>2934</v>
      </c>
      <c r="B696" s="133" t="s">
        <v>2936</v>
      </c>
      <c r="C696" s="120" t="s">
        <v>303</v>
      </c>
      <c r="D696" s="120" t="s">
        <v>344</v>
      </c>
      <c r="E696" s="120" t="s">
        <v>2765</v>
      </c>
      <c r="F696" s="120" t="s">
        <v>306</v>
      </c>
      <c r="G696" s="120" t="s">
        <v>1201</v>
      </c>
      <c r="H696" s="120">
        <v>1.0</v>
      </c>
      <c r="I696" s="121">
        <v>0.0</v>
      </c>
      <c r="J696" s="121">
        <v>1.0</v>
      </c>
      <c r="K696" s="117"/>
    </row>
    <row r="697" ht="15.75" customHeight="1">
      <c r="A697" s="122" t="s">
        <v>2940</v>
      </c>
      <c r="B697" s="133" t="s">
        <v>2942</v>
      </c>
      <c r="C697" s="120" t="s">
        <v>303</v>
      </c>
      <c r="D697" s="120" t="s">
        <v>2866</v>
      </c>
      <c r="E697" s="120" t="s">
        <v>2765</v>
      </c>
      <c r="F697" s="120" t="s">
        <v>306</v>
      </c>
      <c r="G697" s="120" t="s">
        <v>2867</v>
      </c>
      <c r="H697" s="120">
        <v>1.0</v>
      </c>
      <c r="I697" s="121">
        <v>0.0</v>
      </c>
      <c r="J697" s="121">
        <v>1.0</v>
      </c>
      <c r="K697" s="117"/>
    </row>
    <row r="698" ht="15.75" customHeight="1">
      <c r="A698" s="122" t="s">
        <v>2945</v>
      </c>
      <c r="B698" s="133" t="s">
        <v>2947</v>
      </c>
      <c r="C698" s="120" t="s">
        <v>303</v>
      </c>
      <c r="D698" s="120" t="s">
        <v>2777</v>
      </c>
      <c r="E698" s="120" t="s">
        <v>2765</v>
      </c>
      <c r="F698" s="120" t="s">
        <v>306</v>
      </c>
      <c r="G698" s="120" t="s">
        <v>2948</v>
      </c>
      <c r="H698" s="120">
        <v>1.0</v>
      </c>
      <c r="I698" s="121">
        <v>0.0</v>
      </c>
      <c r="J698" s="121">
        <v>1.0</v>
      </c>
      <c r="K698" s="117"/>
    </row>
    <row r="699" ht="15.75" customHeight="1">
      <c r="A699" s="122" t="s">
        <v>2952</v>
      </c>
      <c r="B699" s="133" t="s">
        <v>2953</v>
      </c>
      <c r="C699" s="120" t="s">
        <v>303</v>
      </c>
      <c r="D699" s="120" t="s">
        <v>2954</v>
      </c>
      <c r="E699" s="120" t="s">
        <v>2765</v>
      </c>
      <c r="F699" s="120" t="s">
        <v>306</v>
      </c>
      <c r="G699" s="120" t="s">
        <v>2827</v>
      </c>
      <c r="H699" s="120">
        <v>1.0</v>
      </c>
      <c r="I699" s="121">
        <v>0.0</v>
      </c>
      <c r="J699" s="121">
        <v>2.0</v>
      </c>
      <c r="K699" s="117"/>
    </row>
    <row r="700" ht="15.75" customHeight="1">
      <c r="A700" s="122" t="s">
        <v>2958</v>
      </c>
      <c r="B700" s="133" t="s">
        <v>2959</v>
      </c>
      <c r="C700" s="120" t="s">
        <v>303</v>
      </c>
      <c r="D700" s="120" t="s">
        <v>2837</v>
      </c>
      <c r="E700" s="120" t="s">
        <v>2765</v>
      </c>
      <c r="F700" s="120" t="s">
        <v>306</v>
      </c>
      <c r="G700" s="120" t="s">
        <v>2840</v>
      </c>
      <c r="H700" s="120">
        <v>1.0</v>
      </c>
      <c r="I700" s="121">
        <v>0.0</v>
      </c>
      <c r="J700" s="121">
        <v>1.0</v>
      </c>
      <c r="K700" s="117"/>
    </row>
    <row r="701" ht="15.75" customHeight="1">
      <c r="A701" s="122" t="s">
        <v>2962</v>
      </c>
      <c r="B701" s="133" t="s">
        <v>2963</v>
      </c>
      <c r="C701" s="120" t="s">
        <v>303</v>
      </c>
      <c r="D701" s="120" t="s">
        <v>2837</v>
      </c>
      <c r="E701" s="120" t="s">
        <v>2765</v>
      </c>
      <c r="F701" s="120" t="s">
        <v>306</v>
      </c>
      <c r="G701" s="120" t="s">
        <v>2964</v>
      </c>
      <c r="H701" s="120">
        <v>1.0</v>
      </c>
      <c r="I701" s="121">
        <v>0.0</v>
      </c>
      <c r="J701" s="121">
        <v>1.0</v>
      </c>
      <c r="K701" s="117"/>
    </row>
    <row r="702" ht="15.75" customHeight="1">
      <c r="A702" s="122" t="s">
        <v>2966</v>
      </c>
      <c r="B702" s="133" t="s">
        <v>2967</v>
      </c>
      <c r="C702" s="120" t="s">
        <v>303</v>
      </c>
      <c r="D702" s="120" t="s">
        <v>2837</v>
      </c>
      <c r="E702" s="120" t="s">
        <v>2765</v>
      </c>
      <c r="F702" s="120" t="s">
        <v>306</v>
      </c>
      <c r="G702" s="120" t="s">
        <v>2840</v>
      </c>
      <c r="H702" s="120">
        <v>1.0</v>
      </c>
      <c r="I702" s="121">
        <v>0.0</v>
      </c>
      <c r="J702" s="121">
        <v>1.0</v>
      </c>
      <c r="K702" s="117"/>
    </row>
    <row r="703" ht="15.75" customHeight="1">
      <c r="A703" s="122" t="s">
        <v>2968</v>
      </c>
      <c r="B703" s="133" t="s">
        <v>2969</v>
      </c>
      <c r="C703" s="120" t="s">
        <v>303</v>
      </c>
      <c r="D703" s="120" t="s">
        <v>2837</v>
      </c>
      <c r="E703" s="120" t="s">
        <v>2765</v>
      </c>
      <c r="F703" s="120" t="s">
        <v>306</v>
      </c>
      <c r="G703" s="120" t="s">
        <v>2840</v>
      </c>
      <c r="H703" s="120">
        <v>1.0</v>
      </c>
      <c r="I703" s="121">
        <v>0.0</v>
      </c>
      <c r="J703" s="121">
        <v>1.0</v>
      </c>
      <c r="K703" s="117"/>
    </row>
    <row r="704" ht="15.75" customHeight="1">
      <c r="A704" s="122" t="s">
        <v>2973</v>
      </c>
      <c r="B704" s="133" t="s">
        <v>2974</v>
      </c>
      <c r="C704" s="120" t="s">
        <v>303</v>
      </c>
      <c r="D704" s="120" t="s">
        <v>1260</v>
      </c>
      <c r="E704" s="120" t="s">
        <v>2765</v>
      </c>
      <c r="F704" s="120" t="s">
        <v>306</v>
      </c>
      <c r="G704" s="120" t="s">
        <v>1259</v>
      </c>
      <c r="H704" s="120">
        <v>1.0</v>
      </c>
      <c r="I704" s="121">
        <v>0.0</v>
      </c>
      <c r="J704" s="121">
        <v>2.0</v>
      </c>
      <c r="K704" s="117"/>
    </row>
    <row r="705" ht="15.75" customHeight="1">
      <c r="A705" s="122" t="s">
        <v>2978</v>
      </c>
      <c r="B705" s="133" t="s">
        <v>2979</v>
      </c>
      <c r="C705" s="120" t="s">
        <v>303</v>
      </c>
      <c r="D705" s="120" t="s">
        <v>1260</v>
      </c>
      <c r="E705" s="120" t="s">
        <v>2765</v>
      </c>
      <c r="F705" s="120" t="s">
        <v>306</v>
      </c>
      <c r="G705" s="120" t="s">
        <v>2980</v>
      </c>
      <c r="H705" s="120">
        <v>1.0</v>
      </c>
      <c r="I705" s="121">
        <v>0.0</v>
      </c>
      <c r="J705" s="121">
        <v>1.0</v>
      </c>
      <c r="K705" s="117"/>
    </row>
    <row r="706" ht="15.75" customHeight="1">
      <c r="A706" s="122" t="s">
        <v>2983</v>
      </c>
      <c r="B706" s="133" t="s">
        <v>2984</v>
      </c>
      <c r="C706" s="120" t="s">
        <v>303</v>
      </c>
      <c r="D706" s="120" t="s">
        <v>756</v>
      </c>
      <c r="E706" s="120" t="s">
        <v>2765</v>
      </c>
      <c r="F706" s="120" t="s">
        <v>306</v>
      </c>
      <c r="G706" s="120" t="s">
        <v>2986</v>
      </c>
      <c r="H706" s="120">
        <v>1.0</v>
      </c>
      <c r="I706" s="121">
        <v>0.0</v>
      </c>
      <c r="J706" s="121">
        <v>0.0</v>
      </c>
      <c r="K706" s="117"/>
    </row>
    <row r="707" ht="15.75" customHeight="1">
      <c r="A707" s="122" t="s">
        <v>2989</v>
      </c>
      <c r="B707" s="133" t="s">
        <v>2990</v>
      </c>
      <c r="C707" s="120" t="s">
        <v>303</v>
      </c>
      <c r="D707" s="120" t="s">
        <v>2991</v>
      </c>
      <c r="E707" s="120" t="s">
        <v>2765</v>
      </c>
      <c r="F707" s="120" t="s">
        <v>306</v>
      </c>
      <c r="G707" s="120" t="s">
        <v>2993</v>
      </c>
      <c r="H707" s="120">
        <v>1.0</v>
      </c>
      <c r="I707" s="121">
        <v>0.0</v>
      </c>
      <c r="J707" s="121">
        <v>1.0</v>
      </c>
      <c r="K707" s="117"/>
    </row>
    <row r="708" ht="15.75" customHeight="1">
      <c r="A708" s="122" t="s">
        <v>2995</v>
      </c>
      <c r="B708" s="133" t="s">
        <v>2996</v>
      </c>
      <c r="C708" s="120" t="s">
        <v>303</v>
      </c>
      <c r="D708" s="120" t="s">
        <v>499</v>
      </c>
      <c r="E708" s="120" t="s">
        <v>2765</v>
      </c>
      <c r="F708" s="120" t="s">
        <v>306</v>
      </c>
      <c r="G708" s="120" t="s">
        <v>2999</v>
      </c>
      <c r="H708" s="120">
        <v>1.0</v>
      </c>
      <c r="I708" s="121">
        <v>0.0</v>
      </c>
      <c r="J708" s="121">
        <v>0.0</v>
      </c>
      <c r="K708" s="117"/>
    </row>
    <row r="709" ht="15.75" customHeight="1">
      <c r="A709" s="122" t="s">
        <v>3001</v>
      </c>
      <c r="B709" s="133" t="s">
        <v>3002</v>
      </c>
      <c r="C709" s="120" t="s">
        <v>303</v>
      </c>
      <c r="D709" s="120" t="s">
        <v>379</v>
      </c>
      <c r="E709" s="120" t="s">
        <v>2765</v>
      </c>
      <c r="F709" s="120" t="s">
        <v>306</v>
      </c>
      <c r="G709" s="120" t="s">
        <v>380</v>
      </c>
      <c r="H709" s="120">
        <v>1.0</v>
      </c>
      <c r="I709" s="121">
        <v>0.0</v>
      </c>
      <c r="J709" s="121">
        <v>1.0</v>
      </c>
      <c r="K709" s="117"/>
    </row>
    <row r="710" ht="15.75" customHeight="1">
      <c r="A710" s="122" t="s">
        <v>3003</v>
      </c>
      <c r="B710" s="133" t="s">
        <v>3004</v>
      </c>
      <c r="C710" s="120" t="s">
        <v>303</v>
      </c>
      <c r="D710" s="120" t="s">
        <v>379</v>
      </c>
      <c r="E710" s="120" t="s">
        <v>2765</v>
      </c>
      <c r="F710" s="120" t="s">
        <v>306</v>
      </c>
      <c r="G710" s="120" t="s">
        <v>380</v>
      </c>
      <c r="H710" s="120">
        <v>1.0</v>
      </c>
      <c r="I710" s="121">
        <v>0.0</v>
      </c>
      <c r="J710" s="121">
        <v>0.0</v>
      </c>
      <c r="K710" s="117"/>
    </row>
    <row r="711" ht="15.75" customHeight="1">
      <c r="A711" s="122" t="s">
        <v>3005</v>
      </c>
      <c r="B711" s="133" t="s">
        <v>3006</v>
      </c>
      <c r="C711" s="120" t="s">
        <v>303</v>
      </c>
      <c r="D711" s="120" t="s">
        <v>379</v>
      </c>
      <c r="E711" s="120" t="s">
        <v>2765</v>
      </c>
      <c r="F711" s="120" t="s">
        <v>306</v>
      </c>
      <c r="G711" s="120" t="s">
        <v>380</v>
      </c>
      <c r="H711" s="120">
        <v>1.0</v>
      </c>
      <c r="I711" s="121">
        <v>0.0</v>
      </c>
      <c r="J711" s="121">
        <v>0.0</v>
      </c>
      <c r="K711" s="117"/>
    </row>
    <row r="712" ht="15.75" customHeight="1">
      <c r="A712" s="122" t="s">
        <v>3010</v>
      </c>
      <c r="B712" s="133" t="s">
        <v>3011</v>
      </c>
      <c r="C712" s="120" t="s">
        <v>303</v>
      </c>
      <c r="D712" s="120" t="s">
        <v>3014</v>
      </c>
      <c r="E712" s="120" t="s">
        <v>2765</v>
      </c>
      <c r="F712" s="120" t="s">
        <v>306</v>
      </c>
      <c r="G712" s="120" t="s">
        <v>3016</v>
      </c>
      <c r="H712" s="120">
        <v>1.0</v>
      </c>
      <c r="I712" s="121">
        <v>0.0</v>
      </c>
      <c r="J712" s="121">
        <v>1.0</v>
      </c>
      <c r="K712" s="117"/>
    </row>
    <row r="713" ht="15.75" customHeight="1">
      <c r="A713" s="122" t="s">
        <v>3017</v>
      </c>
      <c r="B713" s="133" t="s">
        <v>3019</v>
      </c>
      <c r="C713" s="120" t="s">
        <v>303</v>
      </c>
      <c r="D713" s="120" t="s">
        <v>1092</v>
      </c>
      <c r="E713" s="120" t="s">
        <v>2765</v>
      </c>
      <c r="F713" s="120" t="s">
        <v>306</v>
      </c>
      <c r="G713" s="120" t="s">
        <v>1091</v>
      </c>
      <c r="H713" s="120">
        <v>1.0</v>
      </c>
      <c r="I713" s="121">
        <v>0.0</v>
      </c>
      <c r="J713" s="121">
        <v>1.0</v>
      </c>
      <c r="K713" s="117"/>
    </row>
    <row r="714" ht="15.75" customHeight="1">
      <c r="A714" s="122" t="s">
        <v>3022</v>
      </c>
      <c r="B714" s="133" t="s">
        <v>3023</v>
      </c>
      <c r="C714" s="120" t="s">
        <v>303</v>
      </c>
      <c r="D714" s="120" t="s">
        <v>667</v>
      </c>
      <c r="E714" s="120" t="s">
        <v>2765</v>
      </c>
      <c r="F714" s="120" t="s">
        <v>306</v>
      </c>
      <c r="G714" s="120" t="s">
        <v>3024</v>
      </c>
      <c r="H714" s="120">
        <v>1.0</v>
      </c>
      <c r="I714" s="121">
        <v>0.0</v>
      </c>
      <c r="J714" s="121">
        <v>1.0</v>
      </c>
      <c r="K714" s="117"/>
    </row>
    <row r="715" ht="15.75" customHeight="1">
      <c r="A715" s="122" t="s">
        <v>3025</v>
      </c>
      <c r="B715" s="133" t="s">
        <v>3026</v>
      </c>
      <c r="C715" s="120" t="s">
        <v>303</v>
      </c>
      <c r="D715" s="120" t="s">
        <v>1263</v>
      </c>
      <c r="E715" s="120" t="s">
        <v>2765</v>
      </c>
      <c r="F715" s="120" t="s">
        <v>306</v>
      </c>
      <c r="G715" s="120" t="s">
        <v>3027</v>
      </c>
      <c r="H715" s="120">
        <v>1.0</v>
      </c>
      <c r="I715" s="121">
        <v>0.0</v>
      </c>
      <c r="J715" s="121">
        <v>1.0</v>
      </c>
      <c r="K715" s="117"/>
    </row>
    <row r="716" ht="15.75" customHeight="1">
      <c r="A716" s="122" t="s">
        <v>3031</v>
      </c>
      <c r="B716" s="133" t="s">
        <v>3032</v>
      </c>
      <c r="C716" s="120" t="s">
        <v>303</v>
      </c>
      <c r="D716" s="120" t="s">
        <v>1263</v>
      </c>
      <c r="E716" s="120" t="s">
        <v>2765</v>
      </c>
      <c r="F716" s="120" t="s">
        <v>306</v>
      </c>
      <c r="G716" s="120" t="s">
        <v>3033</v>
      </c>
      <c r="H716" s="120">
        <v>1.0</v>
      </c>
      <c r="I716" s="121">
        <v>0.0</v>
      </c>
      <c r="J716" s="121">
        <v>1.0</v>
      </c>
      <c r="K716" s="117"/>
    </row>
    <row r="717" ht="15.75" customHeight="1">
      <c r="A717" s="122" t="s">
        <v>3037</v>
      </c>
      <c r="B717" s="133" t="s">
        <v>3038</v>
      </c>
      <c r="C717" s="120" t="s">
        <v>303</v>
      </c>
      <c r="D717" s="120" t="s">
        <v>968</v>
      </c>
      <c r="E717" s="120" t="s">
        <v>2765</v>
      </c>
      <c r="F717" s="120" t="s">
        <v>306</v>
      </c>
      <c r="G717" s="120" t="s">
        <v>1292</v>
      </c>
      <c r="H717" s="120">
        <v>1.0</v>
      </c>
      <c r="I717" s="121">
        <v>0.0</v>
      </c>
      <c r="J717" s="121">
        <v>2.0</v>
      </c>
      <c r="K717" s="117"/>
    </row>
    <row r="718" ht="15.75" customHeight="1">
      <c r="A718" s="122" t="s">
        <v>3041</v>
      </c>
      <c r="B718" s="133" t="s">
        <v>3042</v>
      </c>
      <c r="C718" s="120" t="s">
        <v>303</v>
      </c>
      <c r="D718" s="120" t="s">
        <v>572</v>
      </c>
      <c r="E718" s="120" t="s">
        <v>2765</v>
      </c>
      <c r="F718" s="120" t="s">
        <v>306</v>
      </c>
      <c r="G718" s="120" t="s">
        <v>1072</v>
      </c>
      <c r="H718" s="120">
        <v>1.0</v>
      </c>
      <c r="I718" s="121">
        <v>0.0</v>
      </c>
      <c r="J718" s="121">
        <v>1.0</v>
      </c>
      <c r="K718" s="117"/>
    </row>
    <row r="719" ht="15.75" customHeight="1">
      <c r="A719" s="122" t="s">
        <v>3046</v>
      </c>
      <c r="B719" s="133" t="s">
        <v>3047</v>
      </c>
      <c r="C719" s="120" t="s">
        <v>303</v>
      </c>
      <c r="D719" s="120" t="s">
        <v>572</v>
      </c>
      <c r="E719" s="120" t="s">
        <v>2765</v>
      </c>
      <c r="F719" s="120" t="s">
        <v>306</v>
      </c>
      <c r="G719" s="120" t="s">
        <v>1072</v>
      </c>
      <c r="H719" s="120">
        <v>1.0</v>
      </c>
      <c r="I719" s="121">
        <v>0.0</v>
      </c>
      <c r="J719" s="121">
        <v>2.0</v>
      </c>
      <c r="K719" s="117"/>
    </row>
    <row r="720" ht="15.75" customHeight="1">
      <c r="A720" s="122" t="s">
        <v>3051</v>
      </c>
      <c r="B720" s="133" t="s">
        <v>3052</v>
      </c>
      <c r="C720" s="120" t="s">
        <v>303</v>
      </c>
      <c r="D720" s="120" t="s">
        <v>1218</v>
      </c>
      <c r="E720" s="120" t="s">
        <v>2765</v>
      </c>
      <c r="F720" s="120" t="s">
        <v>306</v>
      </c>
      <c r="G720" s="120" t="s">
        <v>3054</v>
      </c>
      <c r="H720" s="120">
        <v>1.0</v>
      </c>
      <c r="I720" s="121">
        <v>0.0</v>
      </c>
      <c r="J720" s="121">
        <v>1.0</v>
      </c>
      <c r="K720" s="117"/>
    </row>
    <row r="721" ht="15.75" customHeight="1">
      <c r="A721" s="122" t="s">
        <v>3055</v>
      </c>
      <c r="B721" s="133" t="s">
        <v>3056</v>
      </c>
      <c r="C721" s="120" t="s">
        <v>576</v>
      </c>
      <c r="D721" s="120" t="s">
        <v>577</v>
      </c>
      <c r="E721" s="120" t="s">
        <v>2765</v>
      </c>
      <c r="F721" s="120" t="s">
        <v>306</v>
      </c>
      <c r="G721" s="120" t="s">
        <v>578</v>
      </c>
      <c r="H721" s="120">
        <v>30.0</v>
      </c>
      <c r="I721" s="121">
        <v>0.03</v>
      </c>
      <c r="J721" s="121">
        <v>1.4</v>
      </c>
      <c r="K721" s="117"/>
    </row>
    <row r="722" ht="15.75" customHeight="1">
      <c r="A722" s="122" t="s">
        <v>3057</v>
      </c>
      <c r="B722" s="133" t="s">
        <v>3058</v>
      </c>
      <c r="C722" s="120" t="s">
        <v>576</v>
      </c>
      <c r="D722" s="120" t="s">
        <v>1428</v>
      </c>
      <c r="E722" s="120" t="s">
        <v>2765</v>
      </c>
      <c r="F722" s="120" t="s">
        <v>306</v>
      </c>
      <c r="G722" s="120" t="s">
        <v>1473</v>
      </c>
      <c r="H722" s="120">
        <v>27.0</v>
      </c>
      <c r="I722" s="121">
        <v>0.03</v>
      </c>
      <c r="J722" s="121">
        <v>2.48</v>
      </c>
      <c r="K722" s="117"/>
    </row>
    <row r="723" ht="15.75" customHeight="1">
      <c r="A723" s="122" t="s">
        <v>3061</v>
      </c>
      <c r="B723" s="133" t="s">
        <v>3062</v>
      </c>
      <c r="C723" s="120" t="s">
        <v>576</v>
      </c>
      <c r="D723" s="120" t="s">
        <v>1514</v>
      </c>
      <c r="E723" s="120" t="s">
        <v>2765</v>
      </c>
      <c r="F723" s="120" t="s">
        <v>306</v>
      </c>
      <c r="G723" s="120" t="s">
        <v>3065</v>
      </c>
      <c r="H723" s="120">
        <v>26.0</v>
      </c>
      <c r="I723" s="121">
        <v>0.03</v>
      </c>
      <c r="J723" s="121">
        <v>1.12</v>
      </c>
      <c r="K723" s="117"/>
    </row>
    <row r="724" ht="15.75" customHeight="1">
      <c r="A724" s="122" t="s">
        <v>3067</v>
      </c>
      <c r="B724" s="133" t="s">
        <v>3068</v>
      </c>
      <c r="C724" s="120" t="s">
        <v>576</v>
      </c>
      <c r="D724" s="120" t="s">
        <v>1514</v>
      </c>
      <c r="E724" s="120" t="s">
        <v>2765</v>
      </c>
      <c r="F724" s="120" t="s">
        <v>306</v>
      </c>
      <c r="G724" s="120" t="s">
        <v>3071</v>
      </c>
      <c r="H724" s="120">
        <v>24.0</v>
      </c>
      <c r="I724" s="121">
        <v>0.03</v>
      </c>
      <c r="J724" s="121">
        <v>2.58</v>
      </c>
      <c r="K724" s="117"/>
    </row>
    <row r="725" ht="15.75" customHeight="1">
      <c r="A725" s="122" t="s">
        <v>3078</v>
      </c>
      <c r="B725" s="133" t="s">
        <v>3082</v>
      </c>
      <c r="C725" s="120" t="s">
        <v>576</v>
      </c>
      <c r="D725" s="120" t="s">
        <v>1514</v>
      </c>
      <c r="E725" s="120" t="s">
        <v>2765</v>
      </c>
      <c r="F725" s="120" t="s">
        <v>306</v>
      </c>
      <c r="G725" s="120" t="s">
        <v>3065</v>
      </c>
      <c r="H725" s="120">
        <v>23.0</v>
      </c>
      <c r="I725" s="121">
        <v>0.02</v>
      </c>
      <c r="J725" s="121">
        <v>1.39</v>
      </c>
      <c r="K725" s="117"/>
    </row>
    <row r="726" ht="15.75" customHeight="1">
      <c r="A726" s="122" t="s">
        <v>3086</v>
      </c>
      <c r="B726" s="133" t="s">
        <v>3087</v>
      </c>
      <c r="C726" s="120" t="s">
        <v>576</v>
      </c>
      <c r="D726" s="120" t="s">
        <v>1467</v>
      </c>
      <c r="E726" s="120" t="s">
        <v>2765</v>
      </c>
      <c r="F726" s="120" t="s">
        <v>306</v>
      </c>
      <c r="G726" s="120" t="s">
        <v>3091</v>
      </c>
      <c r="H726" s="120">
        <v>19.0</v>
      </c>
      <c r="I726" s="121">
        <v>0.02</v>
      </c>
      <c r="J726" s="121">
        <v>1.26</v>
      </c>
      <c r="K726" s="117"/>
    </row>
    <row r="727" ht="15.75" customHeight="1">
      <c r="A727" s="122" t="s">
        <v>3094</v>
      </c>
      <c r="B727" s="133" t="s">
        <v>3095</v>
      </c>
      <c r="C727" s="120" t="s">
        <v>576</v>
      </c>
      <c r="D727" s="120" t="s">
        <v>1364</v>
      </c>
      <c r="E727" s="120" t="s">
        <v>2765</v>
      </c>
      <c r="F727" s="120" t="s">
        <v>306</v>
      </c>
      <c r="G727" s="120" t="s">
        <v>3096</v>
      </c>
      <c r="H727" s="120">
        <v>17.0</v>
      </c>
      <c r="I727" s="121">
        <v>0.02</v>
      </c>
      <c r="J727" s="121">
        <v>1.06</v>
      </c>
      <c r="K727" s="117"/>
    </row>
    <row r="728" ht="15.75" customHeight="1">
      <c r="A728" s="122" t="s">
        <v>3100</v>
      </c>
      <c r="B728" s="133" t="s">
        <v>3101</v>
      </c>
      <c r="C728" s="120" t="s">
        <v>576</v>
      </c>
      <c r="D728" s="120" t="s">
        <v>1433</v>
      </c>
      <c r="E728" s="120" t="s">
        <v>2765</v>
      </c>
      <c r="F728" s="120" t="s">
        <v>306</v>
      </c>
      <c r="G728" s="120" t="s">
        <v>3104</v>
      </c>
      <c r="H728" s="120">
        <v>14.0</v>
      </c>
      <c r="I728" s="121">
        <v>0.01</v>
      </c>
      <c r="J728" s="121">
        <v>1.29</v>
      </c>
      <c r="K728" s="117"/>
    </row>
    <row r="729" ht="15.75" customHeight="1">
      <c r="A729" s="122" t="s">
        <v>3105</v>
      </c>
      <c r="B729" s="133" t="s">
        <v>3106</v>
      </c>
      <c r="C729" s="120" t="s">
        <v>576</v>
      </c>
      <c r="D729" s="120" t="s">
        <v>1514</v>
      </c>
      <c r="E729" s="120" t="s">
        <v>2765</v>
      </c>
      <c r="F729" s="120" t="s">
        <v>306</v>
      </c>
      <c r="G729" s="120" t="s">
        <v>3065</v>
      </c>
      <c r="H729" s="120">
        <v>14.0</v>
      </c>
      <c r="I729" s="121">
        <v>0.01</v>
      </c>
      <c r="J729" s="121">
        <v>1.07</v>
      </c>
      <c r="K729" s="117"/>
    </row>
    <row r="730" ht="15.75" customHeight="1">
      <c r="A730" s="122" t="s">
        <v>3109</v>
      </c>
      <c r="B730" s="133" t="s">
        <v>3110</v>
      </c>
      <c r="C730" s="120" t="s">
        <v>576</v>
      </c>
      <c r="D730" s="120" t="s">
        <v>3111</v>
      </c>
      <c r="E730" s="120" t="s">
        <v>2765</v>
      </c>
      <c r="F730" s="120" t="s">
        <v>306</v>
      </c>
      <c r="G730" s="120" t="s">
        <v>3112</v>
      </c>
      <c r="H730" s="120">
        <v>14.0</v>
      </c>
      <c r="I730" s="121">
        <v>0.01</v>
      </c>
      <c r="J730" s="121">
        <v>1.36</v>
      </c>
      <c r="K730" s="117"/>
    </row>
    <row r="731" ht="15.75" customHeight="1">
      <c r="A731" s="122" t="s">
        <v>3113</v>
      </c>
      <c r="B731" s="133" t="s">
        <v>3114</v>
      </c>
      <c r="C731" s="120" t="s">
        <v>576</v>
      </c>
      <c r="D731" s="120" t="s">
        <v>3115</v>
      </c>
      <c r="E731" s="120" t="s">
        <v>2765</v>
      </c>
      <c r="F731" s="120" t="s">
        <v>306</v>
      </c>
      <c r="G731" s="120" t="s">
        <v>3116</v>
      </c>
      <c r="H731" s="120">
        <v>13.0</v>
      </c>
      <c r="I731" s="121">
        <v>0.01</v>
      </c>
      <c r="J731" s="121">
        <v>1.54</v>
      </c>
      <c r="K731" s="117"/>
    </row>
    <row r="732" ht="15.75" customHeight="1">
      <c r="A732" s="122" t="s">
        <v>3117</v>
      </c>
      <c r="B732" s="133" t="s">
        <v>3119</v>
      </c>
      <c r="C732" s="120" t="s">
        <v>576</v>
      </c>
      <c r="D732" s="120" t="s">
        <v>1514</v>
      </c>
      <c r="E732" s="120" t="s">
        <v>2765</v>
      </c>
      <c r="F732" s="120" t="s">
        <v>306</v>
      </c>
      <c r="G732" s="120" t="s">
        <v>3122</v>
      </c>
      <c r="H732" s="120">
        <v>13.0</v>
      </c>
      <c r="I732" s="121">
        <v>0.01</v>
      </c>
      <c r="J732" s="121">
        <v>1.46</v>
      </c>
      <c r="K732" s="117"/>
    </row>
    <row r="733" ht="15.75" customHeight="1">
      <c r="A733" s="122" t="s">
        <v>3123</v>
      </c>
      <c r="B733" s="133" t="s">
        <v>3124</v>
      </c>
      <c r="C733" s="120" t="s">
        <v>576</v>
      </c>
      <c r="D733" s="120" t="s">
        <v>1514</v>
      </c>
      <c r="E733" s="120" t="s">
        <v>2765</v>
      </c>
      <c r="F733" s="120" t="s">
        <v>306</v>
      </c>
      <c r="G733" s="120" t="s">
        <v>3128</v>
      </c>
      <c r="H733" s="120">
        <v>13.0</v>
      </c>
      <c r="I733" s="121">
        <v>0.01</v>
      </c>
      <c r="J733" s="121">
        <v>0.85</v>
      </c>
      <c r="K733" s="117"/>
    </row>
    <row r="734" ht="15.75" customHeight="1">
      <c r="A734" s="122" t="s">
        <v>3129</v>
      </c>
      <c r="B734" s="133" t="s">
        <v>3130</v>
      </c>
      <c r="C734" s="120" t="s">
        <v>576</v>
      </c>
      <c r="D734" s="120" t="s">
        <v>3132</v>
      </c>
      <c r="E734" s="120" t="s">
        <v>2765</v>
      </c>
      <c r="F734" s="120" t="s">
        <v>306</v>
      </c>
      <c r="G734" s="120" t="s">
        <v>3134</v>
      </c>
      <c r="H734" s="120">
        <v>12.0</v>
      </c>
      <c r="I734" s="121">
        <v>0.01</v>
      </c>
      <c r="J734" s="121">
        <v>1.0</v>
      </c>
      <c r="K734" s="117"/>
    </row>
    <row r="735" ht="15.75" customHeight="1">
      <c r="A735" s="122" t="s">
        <v>3135</v>
      </c>
      <c r="B735" s="133" t="s">
        <v>3136</v>
      </c>
      <c r="C735" s="120" t="s">
        <v>576</v>
      </c>
      <c r="D735" s="120" t="s">
        <v>1364</v>
      </c>
      <c r="E735" s="120" t="s">
        <v>2765</v>
      </c>
      <c r="F735" s="120" t="s">
        <v>306</v>
      </c>
      <c r="G735" s="120" t="s">
        <v>3139</v>
      </c>
      <c r="H735" s="120">
        <v>10.0</v>
      </c>
      <c r="I735" s="121">
        <v>0.01</v>
      </c>
      <c r="J735" s="121">
        <v>1.1</v>
      </c>
      <c r="K735" s="117"/>
    </row>
    <row r="736" ht="15.75" customHeight="1">
      <c r="A736" s="122" t="s">
        <v>3141</v>
      </c>
      <c r="B736" s="133" t="s">
        <v>3142</v>
      </c>
      <c r="C736" s="120" t="s">
        <v>576</v>
      </c>
      <c r="D736" s="120" t="s">
        <v>1510</v>
      </c>
      <c r="E736" s="120" t="s">
        <v>2765</v>
      </c>
      <c r="F736" s="120" t="s">
        <v>306</v>
      </c>
      <c r="G736" s="120" t="s">
        <v>3146</v>
      </c>
      <c r="H736" s="120">
        <v>10.0</v>
      </c>
      <c r="I736" s="121">
        <v>0.01</v>
      </c>
      <c r="J736" s="121">
        <v>0.0</v>
      </c>
      <c r="K736" s="117"/>
    </row>
    <row r="737" ht="15.75" customHeight="1">
      <c r="A737" s="122" t="s">
        <v>2782</v>
      </c>
      <c r="B737" s="133" t="s">
        <v>2783</v>
      </c>
      <c r="C737" s="120" t="s">
        <v>576</v>
      </c>
      <c r="D737" s="120" t="s">
        <v>334</v>
      </c>
      <c r="E737" s="120" t="s">
        <v>2765</v>
      </c>
      <c r="F737" s="120" t="s">
        <v>306</v>
      </c>
      <c r="G737" s="120" t="s">
        <v>3150</v>
      </c>
      <c r="H737" s="120">
        <v>9.0</v>
      </c>
      <c r="I737" s="121">
        <v>0.01</v>
      </c>
      <c r="J737" s="121">
        <v>1.44</v>
      </c>
      <c r="K737" s="117"/>
    </row>
    <row r="738" ht="15.75" customHeight="1">
      <c r="A738" s="122" t="s">
        <v>3151</v>
      </c>
      <c r="B738" s="133" t="s">
        <v>3152</v>
      </c>
      <c r="C738" s="120" t="s">
        <v>576</v>
      </c>
      <c r="D738" s="120" t="s">
        <v>1467</v>
      </c>
      <c r="E738" s="120" t="s">
        <v>2765</v>
      </c>
      <c r="F738" s="120" t="s">
        <v>306</v>
      </c>
      <c r="G738" s="120" t="s">
        <v>3091</v>
      </c>
      <c r="H738" s="120">
        <v>9.0</v>
      </c>
      <c r="I738" s="121">
        <v>0.01</v>
      </c>
      <c r="J738" s="121">
        <v>1.0</v>
      </c>
      <c r="K738" s="117"/>
    </row>
    <row r="739" ht="15.75" customHeight="1">
      <c r="A739" s="122" t="s">
        <v>3153</v>
      </c>
      <c r="B739" s="133" t="s">
        <v>3154</v>
      </c>
      <c r="C739" s="120" t="s">
        <v>576</v>
      </c>
      <c r="D739" s="120" t="s">
        <v>1467</v>
      </c>
      <c r="E739" s="120" t="s">
        <v>2765</v>
      </c>
      <c r="F739" s="120" t="s">
        <v>306</v>
      </c>
      <c r="G739" s="120" t="s">
        <v>3155</v>
      </c>
      <c r="H739" s="120">
        <v>9.0</v>
      </c>
      <c r="I739" s="121">
        <v>0.01</v>
      </c>
      <c r="J739" s="121">
        <v>1.11</v>
      </c>
      <c r="K739" s="117"/>
    </row>
    <row r="740" ht="15.75" customHeight="1">
      <c r="A740" s="122" t="s">
        <v>3157</v>
      </c>
      <c r="B740" s="133" t="s">
        <v>3159</v>
      </c>
      <c r="C740" s="120" t="s">
        <v>576</v>
      </c>
      <c r="D740" s="120" t="s">
        <v>3161</v>
      </c>
      <c r="E740" s="120" t="s">
        <v>2765</v>
      </c>
      <c r="F740" s="120" t="s">
        <v>306</v>
      </c>
      <c r="G740" s="120" t="s">
        <v>3162</v>
      </c>
      <c r="H740" s="120">
        <v>8.0</v>
      </c>
      <c r="I740" s="121">
        <v>0.01</v>
      </c>
      <c r="J740" s="121">
        <v>1.0</v>
      </c>
      <c r="K740" s="117"/>
    </row>
    <row r="741" ht="15.75" customHeight="1">
      <c r="A741" s="122" t="s">
        <v>3164</v>
      </c>
      <c r="B741" s="133" t="s">
        <v>3165</v>
      </c>
      <c r="C741" s="120" t="s">
        <v>576</v>
      </c>
      <c r="D741" s="120" t="s">
        <v>1522</v>
      </c>
      <c r="E741" s="120" t="s">
        <v>2765</v>
      </c>
      <c r="F741" s="120" t="s">
        <v>306</v>
      </c>
      <c r="G741" s="120" t="s">
        <v>1521</v>
      </c>
      <c r="H741" s="120">
        <v>8.0</v>
      </c>
      <c r="I741" s="121">
        <v>0.01</v>
      </c>
      <c r="J741" s="121">
        <v>1.38</v>
      </c>
      <c r="K741" s="117"/>
    </row>
    <row r="742" ht="15.75" customHeight="1">
      <c r="A742" s="122" t="s">
        <v>3169</v>
      </c>
      <c r="B742" s="133" t="s">
        <v>3170</v>
      </c>
      <c r="C742" s="120" t="s">
        <v>576</v>
      </c>
      <c r="D742" s="120" t="s">
        <v>1514</v>
      </c>
      <c r="E742" s="120" t="s">
        <v>2765</v>
      </c>
      <c r="F742" s="120" t="s">
        <v>306</v>
      </c>
      <c r="G742" s="120" t="s">
        <v>3173</v>
      </c>
      <c r="H742" s="120">
        <v>8.0</v>
      </c>
      <c r="I742" s="121">
        <v>0.01</v>
      </c>
      <c r="J742" s="121">
        <v>1.13</v>
      </c>
      <c r="K742" s="117"/>
    </row>
    <row r="743" ht="15.75" customHeight="1">
      <c r="A743" s="122" t="s">
        <v>3175</v>
      </c>
      <c r="B743" s="133" t="s">
        <v>3177</v>
      </c>
      <c r="C743" s="120" t="s">
        <v>576</v>
      </c>
      <c r="D743" s="120" t="s">
        <v>3179</v>
      </c>
      <c r="E743" s="120" t="s">
        <v>2765</v>
      </c>
      <c r="F743" s="120" t="s">
        <v>306</v>
      </c>
      <c r="G743" s="120" t="s">
        <v>3180</v>
      </c>
      <c r="H743" s="120">
        <v>7.0</v>
      </c>
      <c r="I743" s="121">
        <v>0.01</v>
      </c>
      <c r="J743" s="121">
        <v>0.71</v>
      </c>
      <c r="K743" s="117"/>
    </row>
    <row r="744" ht="15.75" customHeight="1">
      <c r="A744" s="122" t="s">
        <v>3182</v>
      </c>
      <c r="B744" s="133" t="s">
        <v>3184</v>
      </c>
      <c r="C744" s="120" t="s">
        <v>576</v>
      </c>
      <c r="D744" s="120" t="s">
        <v>1364</v>
      </c>
      <c r="E744" s="120" t="s">
        <v>2765</v>
      </c>
      <c r="F744" s="120" t="s">
        <v>306</v>
      </c>
      <c r="G744" s="120" t="s">
        <v>3096</v>
      </c>
      <c r="H744" s="120">
        <v>7.0</v>
      </c>
      <c r="I744" s="121">
        <v>0.01</v>
      </c>
      <c r="J744" s="121">
        <v>1.0</v>
      </c>
      <c r="K744" s="117"/>
    </row>
    <row r="745" ht="15.75" customHeight="1">
      <c r="A745" s="122" t="s">
        <v>3186</v>
      </c>
      <c r="B745" s="133" t="s">
        <v>3188</v>
      </c>
      <c r="C745" s="120" t="s">
        <v>576</v>
      </c>
      <c r="D745" s="120" t="s">
        <v>1467</v>
      </c>
      <c r="E745" s="120" t="s">
        <v>2765</v>
      </c>
      <c r="F745" s="120" t="s">
        <v>306</v>
      </c>
      <c r="G745" s="120" t="s">
        <v>1465</v>
      </c>
      <c r="H745" s="120">
        <v>7.0</v>
      </c>
      <c r="I745" s="121">
        <v>0.01</v>
      </c>
      <c r="J745" s="121">
        <v>1.0</v>
      </c>
      <c r="K745" s="117"/>
    </row>
    <row r="746" ht="15.75" customHeight="1">
      <c r="A746" s="122" t="s">
        <v>3191</v>
      </c>
      <c r="B746" s="133" t="s">
        <v>3192</v>
      </c>
      <c r="C746" s="120" t="s">
        <v>576</v>
      </c>
      <c r="D746" s="120" t="s">
        <v>1326</v>
      </c>
      <c r="E746" s="120" t="s">
        <v>2765</v>
      </c>
      <c r="F746" s="120" t="s">
        <v>306</v>
      </c>
      <c r="G746" s="120" t="s">
        <v>3193</v>
      </c>
      <c r="H746" s="120">
        <v>6.0</v>
      </c>
      <c r="I746" s="121">
        <v>0.01</v>
      </c>
      <c r="J746" s="121">
        <v>0.83</v>
      </c>
      <c r="K746" s="117"/>
    </row>
    <row r="747" ht="15.75" customHeight="1">
      <c r="A747" s="122" t="s">
        <v>3196</v>
      </c>
      <c r="B747" s="133" t="s">
        <v>3198</v>
      </c>
      <c r="C747" s="120" t="s">
        <v>576</v>
      </c>
      <c r="D747" s="120" t="s">
        <v>3199</v>
      </c>
      <c r="E747" s="120" t="s">
        <v>2765</v>
      </c>
      <c r="F747" s="120" t="s">
        <v>306</v>
      </c>
      <c r="G747" s="120" t="s">
        <v>3200</v>
      </c>
      <c r="H747" s="120">
        <v>6.0</v>
      </c>
      <c r="I747" s="121">
        <v>0.01</v>
      </c>
      <c r="J747" s="121">
        <v>2.17</v>
      </c>
      <c r="K747" s="117"/>
    </row>
    <row r="748" ht="15.75" customHeight="1">
      <c r="A748" s="122" t="s">
        <v>3201</v>
      </c>
      <c r="B748" s="133" t="s">
        <v>3202</v>
      </c>
      <c r="C748" s="120" t="s">
        <v>576</v>
      </c>
      <c r="D748" s="120" t="s">
        <v>3203</v>
      </c>
      <c r="E748" s="120" t="s">
        <v>2765</v>
      </c>
      <c r="F748" s="120" t="s">
        <v>306</v>
      </c>
      <c r="G748" s="120" t="s">
        <v>3204</v>
      </c>
      <c r="H748" s="120">
        <v>5.0</v>
      </c>
      <c r="I748" s="121">
        <v>0.01</v>
      </c>
      <c r="J748" s="121">
        <v>0.2</v>
      </c>
      <c r="K748" s="117"/>
    </row>
    <row r="749" ht="15.75" customHeight="1">
      <c r="A749" s="122" t="s">
        <v>3206</v>
      </c>
      <c r="B749" s="133" t="s">
        <v>3208</v>
      </c>
      <c r="C749" s="120" t="s">
        <v>576</v>
      </c>
      <c r="D749" s="120" t="s">
        <v>1514</v>
      </c>
      <c r="E749" s="120" t="s">
        <v>2765</v>
      </c>
      <c r="F749" s="120" t="s">
        <v>306</v>
      </c>
      <c r="G749" s="120" t="s">
        <v>3065</v>
      </c>
      <c r="H749" s="120">
        <v>5.0</v>
      </c>
      <c r="I749" s="121">
        <v>0.01</v>
      </c>
      <c r="J749" s="121">
        <v>0.6</v>
      </c>
      <c r="K749" s="117"/>
    </row>
    <row r="750" ht="15.75" customHeight="1">
      <c r="A750" s="122" t="s">
        <v>3209</v>
      </c>
      <c r="B750" s="133" t="s">
        <v>3210</v>
      </c>
      <c r="C750" s="120" t="s">
        <v>576</v>
      </c>
      <c r="D750" s="120" t="s">
        <v>1514</v>
      </c>
      <c r="E750" s="120" t="s">
        <v>2765</v>
      </c>
      <c r="F750" s="120" t="s">
        <v>306</v>
      </c>
      <c r="G750" s="120" t="s">
        <v>3065</v>
      </c>
      <c r="H750" s="120">
        <v>5.0</v>
      </c>
      <c r="I750" s="121">
        <v>0.01</v>
      </c>
      <c r="J750" s="121">
        <v>0.4</v>
      </c>
      <c r="K750" s="117"/>
    </row>
    <row r="751" ht="15.75" customHeight="1">
      <c r="A751" s="122" t="s">
        <v>3211</v>
      </c>
      <c r="B751" s="133" t="s">
        <v>3068</v>
      </c>
      <c r="C751" s="120" t="s">
        <v>576</v>
      </c>
      <c r="D751" s="120" t="s">
        <v>1514</v>
      </c>
      <c r="E751" s="120" t="s">
        <v>2765</v>
      </c>
      <c r="F751" s="120" t="s">
        <v>306</v>
      </c>
      <c r="G751" s="120" t="s">
        <v>3071</v>
      </c>
      <c r="H751" s="120">
        <v>5.0</v>
      </c>
      <c r="I751" s="121">
        <v>0.01</v>
      </c>
      <c r="J751" s="121">
        <v>2.0</v>
      </c>
      <c r="K751" s="117"/>
    </row>
    <row r="752" ht="15.75" customHeight="1">
      <c r="A752" s="122" t="s">
        <v>3212</v>
      </c>
      <c r="B752" s="133" t="s">
        <v>3214</v>
      </c>
      <c r="C752" s="120" t="s">
        <v>576</v>
      </c>
      <c r="D752" s="120" t="s">
        <v>3179</v>
      </c>
      <c r="E752" s="120" t="s">
        <v>2765</v>
      </c>
      <c r="F752" s="120" t="s">
        <v>306</v>
      </c>
      <c r="G752" s="120" t="s">
        <v>3217</v>
      </c>
      <c r="H752" s="120">
        <v>4.0</v>
      </c>
      <c r="I752" s="121">
        <v>0.0</v>
      </c>
      <c r="J752" s="121">
        <v>1.0</v>
      </c>
      <c r="K752" s="117"/>
    </row>
    <row r="753" ht="15.75" customHeight="1">
      <c r="A753" s="122" t="s">
        <v>2788</v>
      </c>
      <c r="B753" s="133" t="s">
        <v>2789</v>
      </c>
      <c r="C753" s="120" t="s">
        <v>576</v>
      </c>
      <c r="D753" s="120" t="s">
        <v>334</v>
      </c>
      <c r="E753" s="120" t="s">
        <v>2765</v>
      </c>
      <c r="F753" s="120" t="s">
        <v>306</v>
      </c>
      <c r="G753" s="120" t="s">
        <v>2784</v>
      </c>
      <c r="H753" s="120">
        <v>4.0</v>
      </c>
      <c r="I753" s="121">
        <v>0.0</v>
      </c>
      <c r="J753" s="121">
        <v>1.25</v>
      </c>
      <c r="K753" s="117"/>
    </row>
    <row r="754" ht="15.75" customHeight="1">
      <c r="A754" s="122" t="s">
        <v>3221</v>
      </c>
      <c r="B754" s="133" t="s">
        <v>3222</v>
      </c>
      <c r="C754" s="120" t="s">
        <v>576</v>
      </c>
      <c r="D754" s="120" t="s">
        <v>1514</v>
      </c>
      <c r="E754" s="120" t="s">
        <v>2765</v>
      </c>
      <c r="F754" s="120" t="s">
        <v>306</v>
      </c>
      <c r="G754" s="120" t="s">
        <v>3065</v>
      </c>
      <c r="H754" s="120">
        <v>4.0</v>
      </c>
      <c r="I754" s="121">
        <v>0.0</v>
      </c>
      <c r="J754" s="121">
        <v>0.5</v>
      </c>
      <c r="K754" s="117"/>
    </row>
    <row r="755" ht="15.75" customHeight="1">
      <c r="A755" s="122" t="s">
        <v>3223</v>
      </c>
      <c r="B755" s="133" t="s">
        <v>3224</v>
      </c>
      <c r="C755" s="120" t="s">
        <v>576</v>
      </c>
      <c r="D755" s="120" t="s">
        <v>3225</v>
      </c>
      <c r="E755" s="120" t="s">
        <v>2765</v>
      </c>
      <c r="F755" s="120" t="s">
        <v>306</v>
      </c>
      <c r="G755" s="120" t="s">
        <v>3226</v>
      </c>
      <c r="H755" s="120">
        <v>3.0</v>
      </c>
      <c r="I755" s="121">
        <v>0.0</v>
      </c>
      <c r="J755" s="121">
        <v>2.0</v>
      </c>
      <c r="K755" s="117"/>
    </row>
    <row r="756" ht="15.75" customHeight="1">
      <c r="A756" s="122" t="s">
        <v>3227</v>
      </c>
      <c r="B756" s="133" t="s">
        <v>3228</v>
      </c>
      <c r="C756" s="120" t="s">
        <v>576</v>
      </c>
      <c r="D756" s="120" t="s">
        <v>3229</v>
      </c>
      <c r="E756" s="120" t="s">
        <v>2765</v>
      </c>
      <c r="F756" s="120" t="s">
        <v>306</v>
      </c>
      <c r="G756" s="120" t="s">
        <v>3230</v>
      </c>
      <c r="H756" s="120">
        <v>3.0</v>
      </c>
      <c r="I756" s="121">
        <v>0.0</v>
      </c>
      <c r="J756" s="121">
        <v>1.0</v>
      </c>
      <c r="K756" s="117"/>
    </row>
    <row r="757" ht="15.75" customHeight="1">
      <c r="A757" s="122" t="s">
        <v>3231</v>
      </c>
      <c r="B757" s="133" t="s">
        <v>3232</v>
      </c>
      <c r="C757" s="120" t="s">
        <v>576</v>
      </c>
      <c r="D757" s="120" t="s">
        <v>577</v>
      </c>
      <c r="E757" s="120" t="s">
        <v>2765</v>
      </c>
      <c r="F757" s="120" t="s">
        <v>306</v>
      </c>
      <c r="G757" s="120" t="s">
        <v>578</v>
      </c>
      <c r="H757" s="120">
        <v>3.0</v>
      </c>
      <c r="I757" s="121">
        <v>0.0</v>
      </c>
      <c r="J757" s="121">
        <v>1.0</v>
      </c>
      <c r="K757" s="117"/>
    </row>
    <row r="758" ht="15.75" customHeight="1">
      <c r="A758" s="122" t="s">
        <v>3236</v>
      </c>
      <c r="B758" s="133" t="s">
        <v>3237</v>
      </c>
      <c r="C758" s="120" t="s">
        <v>576</v>
      </c>
      <c r="D758" s="120" t="s">
        <v>3238</v>
      </c>
      <c r="E758" s="120" t="s">
        <v>2765</v>
      </c>
      <c r="F758" s="120" t="s">
        <v>306</v>
      </c>
      <c r="G758" s="120" t="s">
        <v>3239</v>
      </c>
      <c r="H758" s="120">
        <v>3.0</v>
      </c>
      <c r="I758" s="121">
        <v>0.0</v>
      </c>
      <c r="J758" s="121">
        <v>0.33</v>
      </c>
      <c r="K758" s="117"/>
    </row>
    <row r="759" ht="15.75" customHeight="1">
      <c r="A759" s="122" t="s">
        <v>3242</v>
      </c>
      <c r="B759" s="133" t="s">
        <v>3243</v>
      </c>
      <c r="C759" s="120" t="s">
        <v>576</v>
      </c>
      <c r="D759" s="120" t="s">
        <v>3245</v>
      </c>
      <c r="E759" s="120" t="s">
        <v>2765</v>
      </c>
      <c r="F759" s="120" t="s">
        <v>306</v>
      </c>
      <c r="G759" s="120" t="s">
        <v>3246</v>
      </c>
      <c r="H759" s="120">
        <v>2.0</v>
      </c>
      <c r="I759" s="121">
        <v>0.0</v>
      </c>
      <c r="J759" s="121">
        <v>1.0</v>
      </c>
      <c r="K759" s="117"/>
    </row>
    <row r="760" ht="15.75" customHeight="1">
      <c r="A760" s="122" t="s">
        <v>3247</v>
      </c>
      <c r="B760" s="133" t="s">
        <v>3248</v>
      </c>
      <c r="C760" s="120" t="s">
        <v>576</v>
      </c>
      <c r="D760" s="120" t="s">
        <v>3245</v>
      </c>
      <c r="E760" s="120" t="s">
        <v>2765</v>
      </c>
      <c r="F760" s="120" t="s">
        <v>306</v>
      </c>
      <c r="G760" s="120" t="s">
        <v>3246</v>
      </c>
      <c r="H760" s="120">
        <v>2.0</v>
      </c>
      <c r="I760" s="121">
        <v>0.0</v>
      </c>
      <c r="J760" s="121">
        <v>0.5</v>
      </c>
      <c r="K760" s="117"/>
    </row>
    <row r="761" ht="15.75" customHeight="1">
      <c r="A761" s="122" t="s">
        <v>3250</v>
      </c>
      <c r="B761" s="133" t="s">
        <v>3251</v>
      </c>
      <c r="C761" s="120" t="s">
        <v>576</v>
      </c>
      <c r="D761" s="120" t="s">
        <v>3161</v>
      </c>
      <c r="E761" s="120" t="s">
        <v>2765</v>
      </c>
      <c r="F761" s="120" t="s">
        <v>306</v>
      </c>
      <c r="G761" s="120" t="s">
        <v>3254</v>
      </c>
      <c r="H761" s="120">
        <v>2.0</v>
      </c>
      <c r="I761" s="121">
        <v>0.0</v>
      </c>
      <c r="J761" s="121">
        <v>1.0</v>
      </c>
      <c r="K761" s="117"/>
    </row>
    <row r="762" ht="15.75" customHeight="1">
      <c r="A762" s="122" t="s">
        <v>3255</v>
      </c>
      <c r="B762" s="133" t="s">
        <v>3257</v>
      </c>
      <c r="C762" s="120" t="s">
        <v>576</v>
      </c>
      <c r="D762" s="120" t="s">
        <v>3203</v>
      </c>
      <c r="E762" s="120" t="s">
        <v>2765</v>
      </c>
      <c r="F762" s="120" t="s">
        <v>306</v>
      </c>
      <c r="G762" s="120" t="s">
        <v>3204</v>
      </c>
      <c r="H762" s="120">
        <v>2.0</v>
      </c>
      <c r="I762" s="121">
        <v>0.0</v>
      </c>
      <c r="J762" s="121">
        <v>1.5</v>
      </c>
      <c r="K762" s="117"/>
    </row>
    <row r="763" ht="15.75" customHeight="1">
      <c r="A763" s="122" t="s">
        <v>3260</v>
      </c>
      <c r="B763" s="133" t="s">
        <v>3261</v>
      </c>
      <c r="C763" s="120" t="s">
        <v>576</v>
      </c>
      <c r="D763" s="120" t="s">
        <v>3263</v>
      </c>
      <c r="E763" s="120" t="s">
        <v>2765</v>
      </c>
      <c r="F763" s="120" t="s">
        <v>306</v>
      </c>
      <c r="G763" s="120" t="s">
        <v>3266</v>
      </c>
      <c r="H763" s="120">
        <v>2.0</v>
      </c>
      <c r="I763" s="121">
        <v>0.0</v>
      </c>
      <c r="J763" s="121">
        <v>1.0</v>
      </c>
      <c r="K763" s="117"/>
    </row>
    <row r="764" ht="15.75" customHeight="1">
      <c r="A764" s="122" t="s">
        <v>2842</v>
      </c>
      <c r="B764" s="133" t="s">
        <v>2843</v>
      </c>
      <c r="C764" s="120" t="s">
        <v>576</v>
      </c>
      <c r="D764" s="120" t="s">
        <v>334</v>
      </c>
      <c r="E764" s="120" t="s">
        <v>2765</v>
      </c>
      <c r="F764" s="120" t="s">
        <v>306</v>
      </c>
      <c r="G764" s="120" t="s">
        <v>3150</v>
      </c>
      <c r="H764" s="120">
        <v>2.0</v>
      </c>
      <c r="I764" s="121">
        <v>0.0</v>
      </c>
      <c r="J764" s="121">
        <v>0.0</v>
      </c>
      <c r="K764" s="117"/>
    </row>
    <row r="765" ht="15.75" customHeight="1">
      <c r="A765" s="122" t="s">
        <v>3271</v>
      </c>
      <c r="B765" s="133" t="s">
        <v>3272</v>
      </c>
      <c r="C765" s="120" t="s">
        <v>576</v>
      </c>
      <c r="D765" s="120" t="s">
        <v>3275</v>
      </c>
      <c r="E765" s="120" t="s">
        <v>2765</v>
      </c>
      <c r="F765" s="120" t="s">
        <v>306</v>
      </c>
      <c r="G765" s="120" t="s">
        <v>3276</v>
      </c>
      <c r="H765" s="120">
        <v>2.0</v>
      </c>
      <c r="I765" s="121">
        <v>0.0</v>
      </c>
      <c r="J765" s="121">
        <v>1.0</v>
      </c>
      <c r="K765" s="117"/>
    </row>
    <row r="766" ht="15.75" customHeight="1">
      <c r="A766" s="122" t="s">
        <v>3277</v>
      </c>
      <c r="B766" s="133" t="s">
        <v>3278</v>
      </c>
      <c r="C766" s="120" t="s">
        <v>576</v>
      </c>
      <c r="D766" s="120" t="s">
        <v>1478</v>
      </c>
      <c r="E766" s="120" t="s">
        <v>2765</v>
      </c>
      <c r="F766" s="120" t="s">
        <v>306</v>
      </c>
      <c r="G766" s="120" t="s">
        <v>1477</v>
      </c>
      <c r="H766" s="120">
        <v>2.0</v>
      </c>
      <c r="I766" s="121">
        <v>0.0</v>
      </c>
      <c r="J766" s="121">
        <v>1.0</v>
      </c>
      <c r="K766" s="117"/>
    </row>
    <row r="767" ht="15.75" customHeight="1">
      <c r="A767" s="122" t="s">
        <v>3279</v>
      </c>
      <c r="B767" s="133" t="s">
        <v>3280</v>
      </c>
      <c r="C767" s="120" t="s">
        <v>576</v>
      </c>
      <c r="D767" s="120" t="s">
        <v>3281</v>
      </c>
      <c r="E767" s="120" t="s">
        <v>2765</v>
      </c>
      <c r="F767" s="120" t="s">
        <v>306</v>
      </c>
      <c r="G767" s="120" t="s">
        <v>3283</v>
      </c>
      <c r="H767" s="120">
        <v>2.0</v>
      </c>
      <c r="I767" s="121">
        <v>0.0</v>
      </c>
      <c r="J767" s="121">
        <v>3.5</v>
      </c>
      <c r="K767" s="117"/>
    </row>
    <row r="768" ht="15.75" customHeight="1">
      <c r="A768" s="122" t="s">
        <v>3286</v>
      </c>
      <c r="B768" s="133" t="s">
        <v>3287</v>
      </c>
      <c r="C768" s="120" t="s">
        <v>576</v>
      </c>
      <c r="D768" s="120" t="s">
        <v>3288</v>
      </c>
      <c r="E768" s="120" t="s">
        <v>2765</v>
      </c>
      <c r="F768" s="120" t="s">
        <v>306</v>
      </c>
      <c r="G768" s="120" t="s">
        <v>3290</v>
      </c>
      <c r="H768" s="120">
        <v>1.0</v>
      </c>
      <c r="I768" s="121">
        <v>0.0</v>
      </c>
      <c r="J768" s="121">
        <v>1.0</v>
      </c>
      <c r="K768" s="117"/>
    </row>
    <row r="769" ht="15.75" customHeight="1">
      <c r="A769" s="122" t="s">
        <v>3293</v>
      </c>
      <c r="B769" s="133" t="s">
        <v>3294</v>
      </c>
      <c r="C769" s="120" t="s">
        <v>576</v>
      </c>
      <c r="D769" s="120" t="s">
        <v>3132</v>
      </c>
      <c r="E769" s="120" t="s">
        <v>2765</v>
      </c>
      <c r="F769" s="120" t="s">
        <v>306</v>
      </c>
      <c r="G769" s="120" t="s">
        <v>3297</v>
      </c>
      <c r="H769" s="120">
        <v>1.0</v>
      </c>
      <c r="I769" s="121">
        <v>0.0</v>
      </c>
      <c r="J769" s="121">
        <v>2.0</v>
      </c>
      <c r="K769" s="117"/>
    </row>
    <row r="770" ht="15.75" customHeight="1">
      <c r="A770" s="122" t="s">
        <v>3299</v>
      </c>
      <c r="B770" s="133" t="s">
        <v>3300</v>
      </c>
      <c r="C770" s="120" t="s">
        <v>576</v>
      </c>
      <c r="D770" s="120" t="s">
        <v>3132</v>
      </c>
      <c r="E770" s="120" t="s">
        <v>2765</v>
      </c>
      <c r="F770" s="120" t="s">
        <v>306</v>
      </c>
      <c r="G770" s="120" t="s">
        <v>3134</v>
      </c>
      <c r="H770" s="120">
        <v>1.0</v>
      </c>
      <c r="I770" s="121">
        <v>0.0</v>
      </c>
      <c r="J770" s="121">
        <v>3.0</v>
      </c>
      <c r="K770" s="117"/>
    </row>
    <row r="771" ht="15.75" customHeight="1">
      <c r="A771" s="122" t="s">
        <v>3301</v>
      </c>
      <c r="B771" s="133" t="s">
        <v>3302</v>
      </c>
      <c r="C771" s="120" t="s">
        <v>576</v>
      </c>
      <c r="D771" s="120" t="s">
        <v>3303</v>
      </c>
      <c r="E771" s="120" t="s">
        <v>2765</v>
      </c>
      <c r="F771" s="120" t="s">
        <v>306</v>
      </c>
      <c r="G771" s="120" t="s">
        <v>3305</v>
      </c>
      <c r="H771" s="120">
        <v>1.0</v>
      </c>
      <c r="I771" s="121">
        <v>0.0</v>
      </c>
      <c r="J771" s="121">
        <v>1.0</v>
      </c>
      <c r="K771" s="117"/>
    </row>
    <row r="772" ht="15.75" customHeight="1">
      <c r="A772" s="122" t="s">
        <v>3307</v>
      </c>
      <c r="B772" s="133" t="s">
        <v>3308</v>
      </c>
      <c r="C772" s="120" t="s">
        <v>576</v>
      </c>
      <c r="D772" s="120" t="s">
        <v>3309</v>
      </c>
      <c r="E772" s="120" t="s">
        <v>2765</v>
      </c>
      <c r="F772" s="120" t="s">
        <v>306</v>
      </c>
      <c r="G772" s="120" t="s">
        <v>3311</v>
      </c>
      <c r="H772" s="120">
        <v>1.0</v>
      </c>
      <c r="I772" s="121">
        <v>0.0</v>
      </c>
      <c r="J772" s="121">
        <v>1.0</v>
      </c>
      <c r="K772" s="117"/>
    </row>
    <row r="773" ht="15.75" customHeight="1">
      <c r="A773" s="122" t="s">
        <v>3314</v>
      </c>
      <c r="B773" s="133" t="s">
        <v>3315</v>
      </c>
      <c r="C773" s="120" t="s">
        <v>576</v>
      </c>
      <c r="D773" s="120" t="s">
        <v>3161</v>
      </c>
      <c r="E773" s="120" t="s">
        <v>2765</v>
      </c>
      <c r="F773" s="120" t="s">
        <v>306</v>
      </c>
      <c r="G773" s="120" t="s">
        <v>3318</v>
      </c>
      <c r="H773" s="120">
        <v>1.0</v>
      </c>
      <c r="I773" s="121">
        <v>0.0</v>
      </c>
      <c r="J773" s="121">
        <v>1.0</v>
      </c>
      <c r="K773" s="117"/>
    </row>
    <row r="774" ht="15.75" customHeight="1">
      <c r="A774" s="122" t="s">
        <v>3320</v>
      </c>
      <c r="B774" s="133" t="s">
        <v>3321</v>
      </c>
      <c r="C774" s="120" t="s">
        <v>576</v>
      </c>
      <c r="D774" s="120" t="s">
        <v>3161</v>
      </c>
      <c r="E774" s="120" t="s">
        <v>2765</v>
      </c>
      <c r="F774" s="120" t="s">
        <v>306</v>
      </c>
      <c r="G774" s="120" t="s">
        <v>3324</v>
      </c>
      <c r="H774" s="120">
        <v>1.0</v>
      </c>
      <c r="I774" s="121">
        <v>0.0</v>
      </c>
      <c r="J774" s="121">
        <v>2.0</v>
      </c>
      <c r="K774" s="117"/>
    </row>
    <row r="775" ht="15.75" customHeight="1">
      <c r="A775" s="122" t="s">
        <v>3326</v>
      </c>
      <c r="B775" s="133" t="s">
        <v>3327</v>
      </c>
      <c r="C775" s="120" t="s">
        <v>576</v>
      </c>
      <c r="D775" s="120" t="s">
        <v>3225</v>
      </c>
      <c r="E775" s="120" t="s">
        <v>2765</v>
      </c>
      <c r="F775" s="120" t="s">
        <v>306</v>
      </c>
      <c r="G775" s="120" t="s">
        <v>3226</v>
      </c>
      <c r="H775" s="120">
        <v>1.0</v>
      </c>
      <c r="I775" s="121">
        <v>0.0</v>
      </c>
      <c r="J775" s="121">
        <v>1.0</v>
      </c>
      <c r="K775" s="117"/>
    </row>
    <row r="776" ht="15.75" customHeight="1">
      <c r="A776" s="122" t="s">
        <v>3331</v>
      </c>
      <c r="B776" s="133" t="s">
        <v>3332</v>
      </c>
      <c r="C776" s="120" t="s">
        <v>576</v>
      </c>
      <c r="D776" s="120" t="s">
        <v>3225</v>
      </c>
      <c r="E776" s="120" t="s">
        <v>2765</v>
      </c>
      <c r="F776" s="120" t="s">
        <v>306</v>
      </c>
      <c r="G776" s="120" t="s">
        <v>3335</v>
      </c>
      <c r="H776" s="120">
        <v>1.0</v>
      </c>
      <c r="I776" s="121">
        <v>0.0</v>
      </c>
      <c r="J776" s="121">
        <v>1.0</v>
      </c>
      <c r="K776" s="117"/>
    </row>
    <row r="777" ht="15.75" customHeight="1">
      <c r="A777" s="122" t="s">
        <v>3337</v>
      </c>
      <c r="B777" s="133" t="s">
        <v>3339</v>
      </c>
      <c r="C777" s="120" t="s">
        <v>576</v>
      </c>
      <c r="D777" s="120" t="s">
        <v>3225</v>
      </c>
      <c r="E777" s="120" t="s">
        <v>2765</v>
      </c>
      <c r="F777" s="120" t="s">
        <v>306</v>
      </c>
      <c r="G777" s="120" t="s">
        <v>3226</v>
      </c>
      <c r="H777" s="120">
        <v>1.0</v>
      </c>
      <c r="I777" s="121">
        <v>0.0</v>
      </c>
      <c r="J777" s="121">
        <v>1.0</v>
      </c>
      <c r="K777" s="117"/>
    </row>
    <row r="778" ht="15.75" customHeight="1">
      <c r="A778" s="122" t="s">
        <v>3342</v>
      </c>
      <c r="B778" s="133" t="s">
        <v>3344</v>
      </c>
      <c r="C778" s="120" t="s">
        <v>576</v>
      </c>
      <c r="D778" s="120" t="s">
        <v>3225</v>
      </c>
      <c r="E778" s="120" t="s">
        <v>2765</v>
      </c>
      <c r="F778" s="120" t="s">
        <v>306</v>
      </c>
      <c r="G778" s="120" t="s">
        <v>3347</v>
      </c>
      <c r="H778" s="120">
        <v>1.0</v>
      </c>
      <c r="I778" s="121">
        <v>0.0</v>
      </c>
      <c r="J778" s="121">
        <v>1.0</v>
      </c>
      <c r="K778" s="117"/>
    </row>
    <row r="779" ht="15.75" customHeight="1">
      <c r="A779" s="122" t="s">
        <v>3349</v>
      </c>
      <c r="B779" s="133" t="s">
        <v>3350</v>
      </c>
      <c r="C779" s="120" t="s">
        <v>576</v>
      </c>
      <c r="D779" s="120" t="s">
        <v>3203</v>
      </c>
      <c r="E779" s="120" t="s">
        <v>2765</v>
      </c>
      <c r="F779" s="120" t="s">
        <v>306</v>
      </c>
      <c r="G779" s="120" t="s">
        <v>3204</v>
      </c>
      <c r="H779" s="120">
        <v>1.0</v>
      </c>
      <c r="I779" s="121">
        <v>0.0</v>
      </c>
      <c r="J779" s="121">
        <v>1.0</v>
      </c>
      <c r="K779" s="117"/>
    </row>
    <row r="780" ht="15.75" customHeight="1">
      <c r="A780" s="122" t="s">
        <v>3354</v>
      </c>
      <c r="B780" s="133" t="s">
        <v>3355</v>
      </c>
      <c r="C780" s="120" t="s">
        <v>576</v>
      </c>
      <c r="D780" s="120" t="s">
        <v>3358</v>
      </c>
      <c r="E780" s="120" t="s">
        <v>2765</v>
      </c>
      <c r="F780" s="120" t="s">
        <v>306</v>
      </c>
      <c r="G780" s="120" t="s">
        <v>3359</v>
      </c>
      <c r="H780" s="120">
        <v>1.0</v>
      </c>
      <c r="I780" s="121">
        <v>0.0</v>
      </c>
      <c r="J780" s="121">
        <v>6.0</v>
      </c>
      <c r="K780" s="117"/>
    </row>
    <row r="781" ht="15.75" customHeight="1">
      <c r="A781" s="122" t="s">
        <v>3360</v>
      </c>
      <c r="B781" s="133" t="s">
        <v>3361</v>
      </c>
      <c r="C781" s="120" t="s">
        <v>576</v>
      </c>
      <c r="D781" s="120" t="s">
        <v>3179</v>
      </c>
      <c r="E781" s="120" t="s">
        <v>2765</v>
      </c>
      <c r="F781" s="120" t="s">
        <v>306</v>
      </c>
      <c r="G781" s="120" t="s">
        <v>3217</v>
      </c>
      <c r="H781" s="120">
        <v>1.0</v>
      </c>
      <c r="I781" s="121">
        <v>0.0</v>
      </c>
      <c r="J781" s="121">
        <v>5.0</v>
      </c>
      <c r="K781" s="117"/>
    </row>
    <row r="782" ht="15.75" customHeight="1">
      <c r="A782" s="122" t="s">
        <v>3362</v>
      </c>
      <c r="B782" s="133" t="s">
        <v>3363</v>
      </c>
      <c r="C782" s="120" t="s">
        <v>576</v>
      </c>
      <c r="D782" s="120" t="s">
        <v>3179</v>
      </c>
      <c r="E782" s="120" t="s">
        <v>2765</v>
      </c>
      <c r="F782" s="120" t="s">
        <v>306</v>
      </c>
      <c r="G782" s="120" t="s">
        <v>3217</v>
      </c>
      <c r="H782" s="120">
        <v>1.0</v>
      </c>
      <c r="I782" s="121">
        <v>0.0</v>
      </c>
      <c r="J782" s="121">
        <v>1.0</v>
      </c>
      <c r="K782" s="117"/>
    </row>
    <row r="783" ht="15.75" customHeight="1">
      <c r="A783" s="122" t="s">
        <v>3364</v>
      </c>
      <c r="B783" s="133" t="s">
        <v>3365</v>
      </c>
      <c r="C783" s="120" t="s">
        <v>576</v>
      </c>
      <c r="D783" s="120" t="s">
        <v>1364</v>
      </c>
      <c r="E783" s="120" t="s">
        <v>2765</v>
      </c>
      <c r="F783" s="120" t="s">
        <v>306</v>
      </c>
      <c r="G783" s="120" t="s">
        <v>1490</v>
      </c>
      <c r="H783" s="120">
        <v>1.0</v>
      </c>
      <c r="I783" s="121">
        <v>0.0</v>
      </c>
      <c r="J783" s="121">
        <v>2.0</v>
      </c>
      <c r="K783" s="117"/>
    </row>
    <row r="784" ht="15.75" customHeight="1">
      <c r="A784" s="122" t="s">
        <v>3369</v>
      </c>
      <c r="B784" s="133" t="s">
        <v>3370</v>
      </c>
      <c r="C784" s="120" t="s">
        <v>576</v>
      </c>
      <c r="D784" s="120" t="s">
        <v>1364</v>
      </c>
      <c r="E784" s="120" t="s">
        <v>2765</v>
      </c>
      <c r="F784" s="120" t="s">
        <v>306</v>
      </c>
      <c r="G784" s="120" t="s">
        <v>3373</v>
      </c>
      <c r="H784" s="120">
        <v>1.0</v>
      </c>
      <c r="I784" s="121">
        <v>0.0</v>
      </c>
      <c r="J784" s="121">
        <v>1.0</v>
      </c>
      <c r="K784" s="117"/>
    </row>
    <row r="785" ht="15.75" customHeight="1">
      <c r="A785" s="122" t="s">
        <v>3375</v>
      </c>
      <c r="B785" s="133" t="s">
        <v>3376</v>
      </c>
      <c r="C785" s="120" t="s">
        <v>576</v>
      </c>
      <c r="D785" s="120" t="s">
        <v>1364</v>
      </c>
      <c r="E785" s="120" t="s">
        <v>2765</v>
      </c>
      <c r="F785" s="120" t="s">
        <v>306</v>
      </c>
      <c r="G785" s="120" t="s">
        <v>3139</v>
      </c>
      <c r="H785" s="120">
        <v>1.0</v>
      </c>
      <c r="I785" s="121">
        <v>0.0</v>
      </c>
      <c r="J785" s="121">
        <v>1.0</v>
      </c>
      <c r="K785" s="117"/>
    </row>
    <row r="786" ht="15.75" customHeight="1">
      <c r="A786" s="122" t="s">
        <v>3380</v>
      </c>
      <c r="B786" s="133" t="s">
        <v>3381</v>
      </c>
      <c r="C786" s="120" t="s">
        <v>576</v>
      </c>
      <c r="D786" s="120" t="s">
        <v>577</v>
      </c>
      <c r="E786" s="120" t="s">
        <v>2765</v>
      </c>
      <c r="F786" s="120" t="s">
        <v>306</v>
      </c>
      <c r="G786" s="120" t="s">
        <v>578</v>
      </c>
      <c r="H786" s="120">
        <v>1.0</v>
      </c>
      <c r="I786" s="121">
        <v>0.0</v>
      </c>
      <c r="J786" s="121">
        <v>1.0</v>
      </c>
      <c r="K786" s="117"/>
    </row>
    <row r="787" ht="15.75" customHeight="1">
      <c r="A787" s="122" t="s">
        <v>3385</v>
      </c>
      <c r="B787" s="133" t="s">
        <v>3386</v>
      </c>
      <c r="C787" s="120" t="s">
        <v>576</v>
      </c>
      <c r="D787" s="120" t="s">
        <v>577</v>
      </c>
      <c r="E787" s="120" t="s">
        <v>2765</v>
      </c>
      <c r="F787" s="120" t="s">
        <v>306</v>
      </c>
      <c r="G787" s="120" t="s">
        <v>578</v>
      </c>
      <c r="H787" s="120">
        <v>1.0</v>
      </c>
      <c r="I787" s="121">
        <v>0.0</v>
      </c>
      <c r="J787" s="121">
        <v>1.0</v>
      </c>
      <c r="K787" s="117"/>
    </row>
    <row r="788" ht="15.75" customHeight="1">
      <c r="A788" s="122" t="s">
        <v>3389</v>
      </c>
      <c r="B788" s="133" t="s">
        <v>3390</v>
      </c>
      <c r="C788" s="120" t="s">
        <v>576</v>
      </c>
      <c r="D788" s="120" t="s">
        <v>3238</v>
      </c>
      <c r="E788" s="120" t="s">
        <v>2765</v>
      </c>
      <c r="F788" s="120" t="s">
        <v>306</v>
      </c>
      <c r="G788" s="120" t="s">
        <v>3239</v>
      </c>
      <c r="H788" s="120">
        <v>1.0</v>
      </c>
      <c r="I788" s="121">
        <v>0.0</v>
      </c>
      <c r="J788" s="121">
        <v>1.0</v>
      </c>
      <c r="K788" s="117"/>
    </row>
    <row r="789" ht="15.75" customHeight="1">
      <c r="A789" s="122" t="s">
        <v>3394</v>
      </c>
      <c r="B789" s="133" t="s">
        <v>3395</v>
      </c>
      <c r="C789" s="120" t="s">
        <v>576</v>
      </c>
      <c r="D789" s="120" t="s">
        <v>1340</v>
      </c>
      <c r="E789" s="120" t="s">
        <v>2765</v>
      </c>
      <c r="F789" s="120" t="s">
        <v>306</v>
      </c>
      <c r="G789" s="120" t="s">
        <v>3399</v>
      </c>
      <c r="H789" s="120">
        <v>1.0</v>
      </c>
      <c r="I789" s="121">
        <v>0.0</v>
      </c>
      <c r="J789" s="121">
        <v>1.0</v>
      </c>
      <c r="K789" s="117"/>
    </row>
    <row r="790" ht="15.75" customHeight="1">
      <c r="A790" s="122" t="s">
        <v>3400</v>
      </c>
      <c r="B790" s="133" t="s">
        <v>3401</v>
      </c>
      <c r="C790" s="120" t="s">
        <v>576</v>
      </c>
      <c r="D790" s="120" t="s">
        <v>1340</v>
      </c>
      <c r="E790" s="120" t="s">
        <v>2765</v>
      </c>
      <c r="F790" s="120" t="s">
        <v>306</v>
      </c>
      <c r="G790" s="120" t="s">
        <v>3405</v>
      </c>
      <c r="H790" s="120">
        <v>1.0</v>
      </c>
      <c r="I790" s="121">
        <v>0.0</v>
      </c>
      <c r="J790" s="121">
        <v>1.0</v>
      </c>
      <c r="K790" s="117"/>
    </row>
    <row r="791" ht="15.75" customHeight="1">
      <c r="A791" s="122" t="s">
        <v>3406</v>
      </c>
      <c r="B791" s="133" t="s">
        <v>3407</v>
      </c>
      <c r="C791" s="120" t="s">
        <v>576</v>
      </c>
      <c r="D791" s="120" t="s">
        <v>756</v>
      </c>
      <c r="E791" s="120" t="s">
        <v>2765</v>
      </c>
      <c r="F791" s="120" t="s">
        <v>306</v>
      </c>
      <c r="G791" s="120" t="s">
        <v>3411</v>
      </c>
      <c r="H791" s="120">
        <v>1.0</v>
      </c>
      <c r="I791" s="121">
        <v>0.0</v>
      </c>
      <c r="J791" s="121">
        <v>0.0</v>
      </c>
      <c r="K791" s="117"/>
    </row>
    <row r="792" ht="15.75" customHeight="1">
      <c r="A792" s="122" t="s">
        <v>2845</v>
      </c>
      <c r="B792" s="133" t="s">
        <v>2847</v>
      </c>
      <c r="C792" s="120" t="s">
        <v>576</v>
      </c>
      <c r="D792" s="120" t="s">
        <v>379</v>
      </c>
      <c r="E792" s="120" t="s">
        <v>2765</v>
      </c>
      <c r="F792" s="120" t="s">
        <v>306</v>
      </c>
      <c r="G792" s="120" t="s">
        <v>380</v>
      </c>
      <c r="H792" s="120">
        <v>1.0</v>
      </c>
      <c r="I792" s="121">
        <v>0.0</v>
      </c>
      <c r="J792" s="121">
        <v>0.0</v>
      </c>
      <c r="K792" s="117"/>
    </row>
    <row r="793" ht="15.75" customHeight="1">
      <c r="A793" s="122" t="s">
        <v>3415</v>
      </c>
      <c r="B793" s="133" t="s">
        <v>3417</v>
      </c>
      <c r="C793" s="120" t="s">
        <v>576</v>
      </c>
      <c r="D793" s="120" t="s">
        <v>3419</v>
      </c>
      <c r="E793" s="120" t="s">
        <v>2765</v>
      </c>
      <c r="F793" s="120" t="s">
        <v>306</v>
      </c>
      <c r="G793" s="120" t="s">
        <v>3421</v>
      </c>
      <c r="H793" s="120">
        <v>1.0</v>
      </c>
      <c r="I793" s="121">
        <v>0.0</v>
      </c>
      <c r="J793" s="121">
        <v>1.0</v>
      </c>
      <c r="K793" s="117"/>
    </row>
    <row r="794" ht="15.75" customHeight="1">
      <c r="A794" s="122" t="s">
        <v>3422</v>
      </c>
      <c r="B794" s="133" t="s">
        <v>3424</v>
      </c>
      <c r="C794" s="120" t="s">
        <v>576</v>
      </c>
      <c r="D794" s="120" t="s">
        <v>1433</v>
      </c>
      <c r="E794" s="120" t="s">
        <v>2765</v>
      </c>
      <c r="F794" s="120" t="s">
        <v>306</v>
      </c>
      <c r="G794" s="120" t="s">
        <v>3104</v>
      </c>
      <c r="H794" s="120">
        <v>1.0</v>
      </c>
      <c r="I794" s="121">
        <v>0.0</v>
      </c>
      <c r="J794" s="121">
        <v>1.0</v>
      </c>
      <c r="K794" s="117"/>
    </row>
    <row r="795" ht="15.75" customHeight="1">
      <c r="A795" s="122" t="s">
        <v>3428</v>
      </c>
      <c r="B795" s="133" t="s">
        <v>3430</v>
      </c>
      <c r="C795" s="120" t="s">
        <v>576</v>
      </c>
      <c r="D795" s="120" t="s">
        <v>3432</v>
      </c>
      <c r="E795" s="120" t="s">
        <v>2765</v>
      </c>
      <c r="F795" s="120" t="s">
        <v>306</v>
      </c>
      <c r="G795" s="120" t="s">
        <v>3433</v>
      </c>
      <c r="H795" s="120">
        <v>1.0</v>
      </c>
      <c r="I795" s="121">
        <v>0.0</v>
      </c>
      <c r="J795" s="121">
        <v>1.0</v>
      </c>
      <c r="K795" s="117"/>
    </row>
    <row r="796" ht="15.75" customHeight="1">
      <c r="A796" s="122" t="s">
        <v>3435</v>
      </c>
      <c r="B796" s="133" t="s">
        <v>3436</v>
      </c>
      <c r="C796" s="120" t="s">
        <v>576</v>
      </c>
      <c r="D796" s="120" t="s">
        <v>1514</v>
      </c>
      <c r="E796" s="120" t="s">
        <v>2765</v>
      </c>
      <c r="F796" s="120" t="s">
        <v>306</v>
      </c>
      <c r="G796" s="120" t="s">
        <v>3122</v>
      </c>
      <c r="H796" s="120">
        <v>1.0</v>
      </c>
      <c r="I796" s="121">
        <v>0.0</v>
      </c>
      <c r="J796" s="121">
        <v>1.0</v>
      </c>
      <c r="K796" s="117"/>
    </row>
    <row r="797" ht="15.75" customHeight="1">
      <c r="A797" s="122" t="s">
        <v>3439</v>
      </c>
      <c r="B797" s="133" t="s">
        <v>3440</v>
      </c>
      <c r="C797" s="120" t="s">
        <v>576</v>
      </c>
      <c r="D797" s="120" t="s">
        <v>1514</v>
      </c>
      <c r="E797" s="120" t="s">
        <v>2765</v>
      </c>
      <c r="F797" s="120" t="s">
        <v>306</v>
      </c>
      <c r="G797" s="120" t="s">
        <v>3071</v>
      </c>
      <c r="H797" s="120">
        <v>1.0</v>
      </c>
      <c r="I797" s="121">
        <v>0.0</v>
      </c>
      <c r="J797" s="121">
        <v>8.0</v>
      </c>
      <c r="K797" s="117"/>
    </row>
    <row r="798" ht="15.75" customHeight="1">
      <c r="A798" s="122" t="s">
        <v>3441</v>
      </c>
      <c r="B798" s="133" t="s">
        <v>3442</v>
      </c>
      <c r="C798" s="120" t="s">
        <v>576</v>
      </c>
      <c r="D798" s="120" t="s">
        <v>1514</v>
      </c>
      <c r="E798" s="120" t="s">
        <v>2765</v>
      </c>
      <c r="F798" s="120" t="s">
        <v>306</v>
      </c>
      <c r="G798" s="120" t="s">
        <v>3071</v>
      </c>
      <c r="H798" s="120">
        <v>1.0</v>
      </c>
      <c r="I798" s="121">
        <v>0.0</v>
      </c>
      <c r="J798" s="121">
        <v>1.0</v>
      </c>
      <c r="K798" s="117"/>
    </row>
    <row r="799" ht="15.75" customHeight="1">
      <c r="A799" s="122" t="s">
        <v>3445</v>
      </c>
      <c r="B799" s="133" t="s">
        <v>3446</v>
      </c>
      <c r="C799" s="120" t="s">
        <v>576</v>
      </c>
      <c r="D799" s="120" t="s">
        <v>1514</v>
      </c>
      <c r="E799" s="120" t="s">
        <v>2765</v>
      </c>
      <c r="F799" s="120" t="s">
        <v>306</v>
      </c>
      <c r="G799" s="120" t="s">
        <v>3448</v>
      </c>
      <c r="H799" s="120">
        <v>1.0</v>
      </c>
      <c r="I799" s="121">
        <v>0.0</v>
      </c>
      <c r="J799" s="121">
        <v>0.0</v>
      </c>
      <c r="K799" s="117"/>
    </row>
    <row r="800" ht="15.75" customHeight="1">
      <c r="A800" s="122" t="s">
        <v>3451</v>
      </c>
      <c r="B800" s="133" t="s">
        <v>3453</v>
      </c>
      <c r="C800" s="120" t="s">
        <v>576</v>
      </c>
      <c r="D800" s="120" t="s">
        <v>1467</v>
      </c>
      <c r="E800" s="120" t="s">
        <v>2765</v>
      </c>
      <c r="F800" s="120" t="s">
        <v>306</v>
      </c>
      <c r="G800" s="120" t="s">
        <v>3155</v>
      </c>
      <c r="H800" s="120">
        <v>1.0</v>
      </c>
      <c r="I800" s="121">
        <v>0.0</v>
      </c>
      <c r="J800" s="121">
        <v>1.0</v>
      </c>
      <c r="K800" s="117"/>
    </row>
    <row r="801" ht="15.75" customHeight="1">
      <c r="A801" s="122" t="s">
        <v>3457</v>
      </c>
      <c r="B801" s="133" t="s">
        <v>3458</v>
      </c>
      <c r="C801" s="120" t="s">
        <v>576</v>
      </c>
      <c r="D801" s="120" t="s">
        <v>1467</v>
      </c>
      <c r="E801" s="120" t="s">
        <v>2765</v>
      </c>
      <c r="F801" s="120" t="s">
        <v>306</v>
      </c>
      <c r="G801" s="120" t="s">
        <v>1465</v>
      </c>
      <c r="H801" s="120">
        <v>1.0</v>
      </c>
      <c r="I801" s="121">
        <v>0.0</v>
      </c>
      <c r="J801" s="121">
        <v>1.0</v>
      </c>
      <c r="K801" s="117"/>
    </row>
    <row r="802" ht="15.75" customHeight="1">
      <c r="A802" s="122" t="s">
        <v>3462</v>
      </c>
      <c r="B802" s="133" t="s">
        <v>3463</v>
      </c>
      <c r="C802" s="120" t="s">
        <v>576</v>
      </c>
      <c r="D802" s="120" t="s">
        <v>3464</v>
      </c>
      <c r="E802" s="120" t="s">
        <v>2765</v>
      </c>
      <c r="F802" s="120" t="s">
        <v>306</v>
      </c>
      <c r="G802" s="120" t="s">
        <v>3465</v>
      </c>
      <c r="H802" s="120">
        <v>1.0</v>
      </c>
      <c r="I802" s="121">
        <v>0.0</v>
      </c>
      <c r="J802" s="121">
        <v>1.0</v>
      </c>
      <c r="K802" s="117"/>
    </row>
    <row r="803" ht="15.75" customHeight="1">
      <c r="A803" s="122" t="s">
        <v>3466</v>
      </c>
      <c r="B803" s="133" t="s">
        <v>3467</v>
      </c>
      <c r="C803" s="120" t="s">
        <v>576</v>
      </c>
      <c r="D803" s="120" t="s">
        <v>1379</v>
      </c>
      <c r="E803" s="120" t="s">
        <v>2765</v>
      </c>
      <c r="F803" s="120" t="s">
        <v>306</v>
      </c>
      <c r="G803" s="120" t="s">
        <v>3468</v>
      </c>
      <c r="H803" s="120">
        <v>1.0</v>
      </c>
      <c r="I803" s="121">
        <v>0.0</v>
      </c>
      <c r="J803" s="121">
        <v>1.0</v>
      </c>
      <c r="K803" s="117"/>
    </row>
    <row r="804" ht="15.75" customHeight="1">
      <c r="A804" s="122" t="s">
        <v>3469</v>
      </c>
      <c r="B804" s="133" t="s">
        <v>3470</v>
      </c>
      <c r="C804" s="120" t="s">
        <v>576</v>
      </c>
      <c r="D804" s="120" t="s">
        <v>3111</v>
      </c>
      <c r="E804" s="120" t="s">
        <v>2765</v>
      </c>
      <c r="F804" s="120" t="s">
        <v>306</v>
      </c>
      <c r="G804" s="120" t="s">
        <v>3471</v>
      </c>
      <c r="H804" s="120">
        <v>1.0</v>
      </c>
      <c r="I804" s="121">
        <v>0.0</v>
      </c>
      <c r="J804" s="121">
        <v>2.0</v>
      </c>
      <c r="K804" s="117"/>
    </row>
    <row r="805" ht="15.75" customHeight="1">
      <c r="A805" s="122" t="s">
        <v>3472</v>
      </c>
      <c r="B805" s="133" t="s">
        <v>3474</v>
      </c>
      <c r="C805" s="120" t="s">
        <v>576</v>
      </c>
      <c r="D805" s="120" t="s">
        <v>3477</v>
      </c>
      <c r="E805" s="120" t="s">
        <v>2765</v>
      </c>
      <c r="F805" s="120" t="s">
        <v>306</v>
      </c>
      <c r="G805" s="120" t="s">
        <v>3478</v>
      </c>
      <c r="H805" s="120">
        <v>1.0</v>
      </c>
      <c r="I805" s="121">
        <v>0.0</v>
      </c>
      <c r="J805" s="121">
        <v>1.0</v>
      </c>
      <c r="K805" s="117"/>
    </row>
    <row r="806" ht="15.75" customHeight="1">
      <c r="A806" s="122" t="s">
        <v>3482</v>
      </c>
      <c r="B806" s="133" t="s">
        <v>3483</v>
      </c>
      <c r="C806" s="120" t="s">
        <v>576</v>
      </c>
      <c r="D806" s="120" t="s">
        <v>1428</v>
      </c>
      <c r="E806" s="120" t="s">
        <v>2765</v>
      </c>
      <c r="F806" s="120" t="s">
        <v>306</v>
      </c>
      <c r="G806" s="120" t="s">
        <v>1473</v>
      </c>
      <c r="H806" s="120">
        <v>1.0</v>
      </c>
      <c r="I806" s="121">
        <v>0.0</v>
      </c>
      <c r="J806" s="121">
        <v>1.0</v>
      </c>
      <c r="K806" s="117"/>
    </row>
    <row r="807" ht="15.75" customHeight="1">
      <c r="A807" s="122" t="s">
        <v>3487</v>
      </c>
      <c r="B807" s="133" t="s">
        <v>3488</v>
      </c>
      <c r="C807" s="120" t="s">
        <v>576</v>
      </c>
      <c r="D807" s="120" t="s">
        <v>1428</v>
      </c>
      <c r="E807" s="120" t="s">
        <v>2765</v>
      </c>
      <c r="F807" s="120" t="s">
        <v>306</v>
      </c>
      <c r="G807" s="120" t="s">
        <v>1473</v>
      </c>
      <c r="H807" s="120">
        <v>1.0</v>
      </c>
      <c r="I807" s="121">
        <v>0.0</v>
      </c>
      <c r="J807" s="121">
        <v>1.0</v>
      </c>
      <c r="K807" s="117"/>
    </row>
    <row r="808" ht="15.75" customHeight="1">
      <c r="A808" s="122" t="s">
        <v>3492</v>
      </c>
      <c r="B808" s="133" t="s">
        <v>3493</v>
      </c>
      <c r="C808" s="120" t="s">
        <v>576</v>
      </c>
      <c r="D808" s="120" t="s">
        <v>1428</v>
      </c>
      <c r="E808" s="120" t="s">
        <v>2765</v>
      </c>
      <c r="F808" s="120" t="s">
        <v>306</v>
      </c>
      <c r="G808" s="120" t="s">
        <v>1473</v>
      </c>
      <c r="H808" s="120">
        <v>1.0</v>
      </c>
      <c r="I808" s="121">
        <v>0.0</v>
      </c>
      <c r="J808" s="121">
        <v>1.0</v>
      </c>
      <c r="K808" s="117"/>
    </row>
    <row r="809" ht="15.75" customHeight="1">
      <c r="A809" s="122" t="s">
        <v>3497</v>
      </c>
      <c r="B809" s="133" t="s">
        <v>3498</v>
      </c>
      <c r="C809" s="120" t="s">
        <v>311</v>
      </c>
      <c r="D809" s="120" t="s">
        <v>924</v>
      </c>
      <c r="E809" s="120" t="s">
        <v>2765</v>
      </c>
      <c r="F809" s="120" t="s">
        <v>306</v>
      </c>
      <c r="G809" s="120" t="s">
        <v>3502</v>
      </c>
      <c r="H809" s="120">
        <v>53.0</v>
      </c>
      <c r="I809" s="121">
        <v>0.05</v>
      </c>
      <c r="J809" s="121">
        <v>1.94</v>
      </c>
      <c r="K809" s="117"/>
    </row>
    <row r="810" ht="15.75" customHeight="1">
      <c r="A810" s="122" t="s">
        <v>3505</v>
      </c>
      <c r="B810" s="133" t="s">
        <v>3506</v>
      </c>
      <c r="C810" s="120" t="s">
        <v>311</v>
      </c>
      <c r="D810" s="120" t="s">
        <v>913</v>
      </c>
      <c r="E810" s="120" t="s">
        <v>2765</v>
      </c>
      <c r="F810" s="120" t="s">
        <v>306</v>
      </c>
      <c r="G810" s="120" t="s">
        <v>3507</v>
      </c>
      <c r="H810" s="120">
        <v>29.0</v>
      </c>
      <c r="I810" s="121">
        <v>0.03</v>
      </c>
      <c r="J810" s="121">
        <v>1.45</v>
      </c>
      <c r="K810" s="117"/>
    </row>
    <row r="811" ht="15.75" customHeight="1">
      <c r="A811" s="122" t="s">
        <v>3511</v>
      </c>
      <c r="B811" s="133" t="s">
        <v>3512</v>
      </c>
      <c r="C811" s="120" t="s">
        <v>311</v>
      </c>
      <c r="D811" s="120" t="s">
        <v>1644</v>
      </c>
      <c r="E811" s="120" t="s">
        <v>2765</v>
      </c>
      <c r="F811" s="120" t="s">
        <v>306</v>
      </c>
      <c r="G811" s="120" t="s">
        <v>3513</v>
      </c>
      <c r="H811" s="120">
        <v>26.0</v>
      </c>
      <c r="I811" s="121">
        <v>0.03</v>
      </c>
      <c r="J811" s="121">
        <v>0.92</v>
      </c>
      <c r="K811" s="117"/>
    </row>
    <row r="812" ht="15.75" customHeight="1">
      <c r="A812" s="122" t="s">
        <v>3516</v>
      </c>
      <c r="B812" s="133" t="s">
        <v>3517</v>
      </c>
      <c r="C812" s="120" t="s">
        <v>311</v>
      </c>
      <c r="D812" s="120" t="s">
        <v>1740</v>
      </c>
      <c r="E812" s="120" t="s">
        <v>2765</v>
      </c>
      <c r="F812" s="120" t="s">
        <v>306</v>
      </c>
      <c r="G812" s="120" t="s">
        <v>3518</v>
      </c>
      <c r="H812" s="120">
        <v>17.0</v>
      </c>
      <c r="I812" s="121">
        <v>0.02</v>
      </c>
      <c r="J812" s="121">
        <v>1.82</v>
      </c>
      <c r="K812" s="117"/>
    </row>
    <row r="813" ht="15.75" customHeight="1">
      <c r="A813" s="122" t="s">
        <v>3519</v>
      </c>
      <c r="B813" s="133" t="s">
        <v>3520</v>
      </c>
      <c r="C813" s="120" t="s">
        <v>311</v>
      </c>
      <c r="D813" s="120" t="s">
        <v>3521</v>
      </c>
      <c r="E813" s="120" t="s">
        <v>2765</v>
      </c>
      <c r="F813" s="120" t="s">
        <v>306</v>
      </c>
      <c r="G813" s="120" t="s">
        <v>3522</v>
      </c>
      <c r="H813" s="120">
        <v>8.0</v>
      </c>
      <c r="I813" s="121">
        <v>0.01</v>
      </c>
      <c r="J813" s="121">
        <v>1.5</v>
      </c>
      <c r="K813" s="117"/>
    </row>
    <row r="814" ht="15.75" customHeight="1">
      <c r="A814" s="122" t="s">
        <v>3523</v>
      </c>
      <c r="B814" s="133" t="s">
        <v>3506</v>
      </c>
      <c r="C814" s="120" t="s">
        <v>311</v>
      </c>
      <c r="D814" s="120" t="s">
        <v>913</v>
      </c>
      <c r="E814" s="120" t="s">
        <v>2765</v>
      </c>
      <c r="F814" s="120" t="s">
        <v>306</v>
      </c>
      <c r="G814" s="120" t="s">
        <v>3524</v>
      </c>
      <c r="H814" s="120">
        <v>7.0</v>
      </c>
      <c r="I814" s="121">
        <v>0.01</v>
      </c>
      <c r="J814" s="121">
        <v>0.29</v>
      </c>
      <c r="K814" s="117"/>
    </row>
    <row r="815" ht="15.75" customHeight="1">
      <c r="A815" s="122" t="s">
        <v>3525</v>
      </c>
      <c r="B815" s="133" t="s">
        <v>3526</v>
      </c>
      <c r="C815" s="120" t="s">
        <v>311</v>
      </c>
      <c r="D815" s="120" t="s">
        <v>3527</v>
      </c>
      <c r="E815" s="120" t="s">
        <v>2765</v>
      </c>
      <c r="F815" s="120" t="s">
        <v>306</v>
      </c>
      <c r="G815" s="120" t="s">
        <v>3528</v>
      </c>
      <c r="H815" s="120">
        <v>6.0</v>
      </c>
      <c r="I815" s="121">
        <v>0.01</v>
      </c>
      <c r="J815" s="121">
        <v>1.67</v>
      </c>
      <c r="K815" s="117"/>
    </row>
    <row r="816" ht="15.75" customHeight="1">
      <c r="A816" s="122" t="s">
        <v>3529</v>
      </c>
      <c r="B816" s="133" t="s">
        <v>3530</v>
      </c>
      <c r="C816" s="120" t="s">
        <v>311</v>
      </c>
      <c r="D816" s="120" t="s">
        <v>581</v>
      </c>
      <c r="E816" s="120" t="s">
        <v>2765</v>
      </c>
      <c r="F816" s="120" t="s">
        <v>306</v>
      </c>
      <c r="G816" s="120" t="s">
        <v>582</v>
      </c>
      <c r="H816" s="120">
        <v>6.0</v>
      </c>
      <c r="I816" s="121">
        <v>0.01</v>
      </c>
      <c r="J816" s="121">
        <v>2.17</v>
      </c>
      <c r="K816" s="117"/>
    </row>
    <row r="817" ht="15.75" customHeight="1">
      <c r="A817" s="122" t="s">
        <v>3532</v>
      </c>
      <c r="B817" s="133" t="s">
        <v>3533</v>
      </c>
      <c r="C817" s="120" t="s">
        <v>311</v>
      </c>
      <c r="D817" s="120" t="s">
        <v>581</v>
      </c>
      <c r="E817" s="120" t="s">
        <v>2765</v>
      </c>
      <c r="F817" s="120" t="s">
        <v>306</v>
      </c>
      <c r="G817" s="120" t="s">
        <v>582</v>
      </c>
      <c r="H817" s="120">
        <v>4.0</v>
      </c>
      <c r="I817" s="121">
        <v>0.0</v>
      </c>
      <c r="J817" s="121">
        <v>0.75</v>
      </c>
      <c r="K817" s="117"/>
    </row>
    <row r="818" ht="15.75" customHeight="1">
      <c r="A818" s="122" t="s">
        <v>2845</v>
      </c>
      <c r="B818" s="133" t="s">
        <v>2847</v>
      </c>
      <c r="C818" s="120" t="s">
        <v>311</v>
      </c>
      <c r="D818" s="120" t="s">
        <v>379</v>
      </c>
      <c r="E818" s="120" t="s">
        <v>2765</v>
      </c>
      <c r="F818" s="120" t="s">
        <v>306</v>
      </c>
      <c r="G818" s="120" t="s">
        <v>380</v>
      </c>
      <c r="H818" s="120">
        <v>4.0</v>
      </c>
      <c r="I818" s="121">
        <v>0.0</v>
      </c>
      <c r="J818" s="121">
        <v>0.5</v>
      </c>
      <c r="K818" s="117"/>
    </row>
    <row r="819" ht="15.75" customHeight="1">
      <c r="A819" s="122" t="s">
        <v>3534</v>
      </c>
      <c r="B819" s="133" t="s">
        <v>3535</v>
      </c>
      <c r="C819" s="120" t="s">
        <v>311</v>
      </c>
      <c r="D819" s="120" t="s">
        <v>932</v>
      </c>
      <c r="E819" s="120" t="s">
        <v>2765</v>
      </c>
      <c r="F819" s="120" t="s">
        <v>306</v>
      </c>
      <c r="G819" s="120" t="s">
        <v>931</v>
      </c>
      <c r="H819" s="120">
        <v>4.0</v>
      </c>
      <c r="I819" s="121">
        <v>0.0</v>
      </c>
      <c r="J819" s="121">
        <v>3.0</v>
      </c>
      <c r="K819" s="117"/>
    </row>
    <row r="820" ht="15.75" customHeight="1">
      <c r="A820" s="122" t="s">
        <v>3536</v>
      </c>
      <c r="B820" s="133" t="s">
        <v>3537</v>
      </c>
      <c r="C820" s="120" t="s">
        <v>311</v>
      </c>
      <c r="D820" s="120" t="s">
        <v>951</v>
      </c>
      <c r="E820" s="120" t="s">
        <v>2765</v>
      </c>
      <c r="F820" s="120" t="s">
        <v>306</v>
      </c>
      <c r="G820" s="120" t="s">
        <v>3538</v>
      </c>
      <c r="H820" s="120">
        <v>3.0</v>
      </c>
      <c r="I820" s="121">
        <v>0.0</v>
      </c>
      <c r="J820" s="121">
        <v>2.67</v>
      </c>
      <c r="K820" s="117"/>
    </row>
    <row r="821" ht="15.75" customHeight="1">
      <c r="A821" s="122" t="s">
        <v>3539</v>
      </c>
      <c r="B821" s="133" t="s">
        <v>3540</v>
      </c>
      <c r="C821" s="120" t="s">
        <v>311</v>
      </c>
      <c r="D821" s="120" t="s">
        <v>3527</v>
      </c>
      <c r="E821" s="120" t="s">
        <v>2765</v>
      </c>
      <c r="F821" s="120" t="s">
        <v>306</v>
      </c>
      <c r="G821" s="120" t="s">
        <v>3541</v>
      </c>
      <c r="H821" s="120">
        <v>3.0</v>
      </c>
      <c r="I821" s="121">
        <v>0.0</v>
      </c>
      <c r="J821" s="121">
        <v>0.0</v>
      </c>
      <c r="K821" s="117"/>
    </row>
    <row r="822" ht="15.75" customHeight="1">
      <c r="A822" s="122" t="s">
        <v>3542</v>
      </c>
      <c r="B822" s="133" t="s">
        <v>3543</v>
      </c>
      <c r="C822" s="120" t="s">
        <v>311</v>
      </c>
      <c r="D822" s="120" t="s">
        <v>924</v>
      </c>
      <c r="E822" s="120" t="s">
        <v>2765</v>
      </c>
      <c r="F822" s="120" t="s">
        <v>306</v>
      </c>
      <c r="G822" s="120" t="s">
        <v>3544</v>
      </c>
      <c r="H822" s="120">
        <v>3.0</v>
      </c>
      <c r="I822" s="121">
        <v>0.0</v>
      </c>
      <c r="J822" s="121">
        <v>0.0</v>
      </c>
      <c r="K822" s="117"/>
    </row>
    <row r="823" ht="15.75" customHeight="1">
      <c r="A823" s="122" t="s">
        <v>3545</v>
      </c>
      <c r="B823" s="133" t="s">
        <v>3546</v>
      </c>
      <c r="C823" s="120" t="s">
        <v>311</v>
      </c>
      <c r="D823" s="120" t="s">
        <v>951</v>
      </c>
      <c r="E823" s="120" t="s">
        <v>2765</v>
      </c>
      <c r="F823" s="120" t="s">
        <v>306</v>
      </c>
      <c r="G823" s="120" t="s">
        <v>3538</v>
      </c>
      <c r="H823" s="120">
        <v>2.0</v>
      </c>
      <c r="I823" s="121">
        <v>0.0</v>
      </c>
      <c r="J823" s="121">
        <v>0.5</v>
      </c>
      <c r="K823" s="117"/>
    </row>
    <row r="824" ht="15.75" customHeight="1">
      <c r="A824" s="122" t="s">
        <v>3550</v>
      </c>
      <c r="B824" s="133" t="s">
        <v>3551</v>
      </c>
      <c r="C824" s="120" t="s">
        <v>311</v>
      </c>
      <c r="D824" s="120" t="s">
        <v>3552</v>
      </c>
      <c r="E824" s="120" t="s">
        <v>2765</v>
      </c>
      <c r="F824" s="120" t="s">
        <v>306</v>
      </c>
      <c r="G824" s="120" t="s">
        <v>3556</v>
      </c>
      <c r="H824" s="120">
        <v>2.0</v>
      </c>
      <c r="I824" s="121">
        <v>0.0</v>
      </c>
      <c r="J824" s="121">
        <v>1.5</v>
      </c>
      <c r="K824" s="117"/>
    </row>
    <row r="825" ht="15.75" customHeight="1">
      <c r="A825" s="122" t="s">
        <v>3558</v>
      </c>
      <c r="B825" s="133" t="s">
        <v>3560</v>
      </c>
      <c r="C825" s="120" t="s">
        <v>311</v>
      </c>
      <c r="D825" s="120" t="s">
        <v>581</v>
      </c>
      <c r="E825" s="120" t="s">
        <v>2765</v>
      </c>
      <c r="F825" s="120" t="s">
        <v>306</v>
      </c>
      <c r="G825" s="120" t="s">
        <v>582</v>
      </c>
      <c r="H825" s="120">
        <v>2.0</v>
      </c>
      <c r="I825" s="121">
        <v>0.0</v>
      </c>
      <c r="J825" s="121">
        <v>2.0</v>
      </c>
      <c r="K825" s="117"/>
    </row>
    <row r="826" ht="15.75" customHeight="1">
      <c r="A826" s="122" t="s">
        <v>2891</v>
      </c>
      <c r="B826" s="133" t="s">
        <v>2847</v>
      </c>
      <c r="C826" s="120" t="s">
        <v>311</v>
      </c>
      <c r="D826" s="120" t="s">
        <v>379</v>
      </c>
      <c r="E826" s="120" t="s">
        <v>2765</v>
      </c>
      <c r="F826" s="120" t="s">
        <v>306</v>
      </c>
      <c r="G826" s="120" t="s">
        <v>380</v>
      </c>
      <c r="H826" s="120">
        <v>2.0</v>
      </c>
      <c r="I826" s="121">
        <v>0.0</v>
      </c>
      <c r="J826" s="121">
        <v>0.5</v>
      </c>
      <c r="K826" s="117"/>
    </row>
    <row r="827" ht="15.75" customHeight="1">
      <c r="A827" s="122" t="s">
        <v>3567</v>
      </c>
      <c r="B827" s="133" t="s">
        <v>3568</v>
      </c>
      <c r="C827" s="120" t="s">
        <v>311</v>
      </c>
      <c r="D827" s="120" t="s">
        <v>363</v>
      </c>
      <c r="E827" s="120" t="s">
        <v>2765</v>
      </c>
      <c r="F827" s="120" t="s">
        <v>306</v>
      </c>
      <c r="G827" s="120" t="s">
        <v>3570</v>
      </c>
      <c r="H827" s="120">
        <v>2.0</v>
      </c>
      <c r="I827" s="121">
        <v>0.0</v>
      </c>
      <c r="J827" s="121">
        <v>0.0</v>
      </c>
      <c r="K827" s="117"/>
    </row>
    <row r="828" ht="15.75" customHeight="1">
      <c r="A828" s="122" t="s">
        <v>3573</v>
      </c>
      <c r="B828" s="133" t="s">
        <v>3574</v>
      </c>
      <c r="C828" s="120" t="s">
        <v>311</v>
      </c>
      <c r="D828" s="120" t="s">
        <v>1343</v>
      </c>
      <c r="E828" s="120" t="s">
        <v>2765</v>
      </c>
      <c r="F828" s="120" t="s">
        <v>306</v>
      </c>
      <c r="G828" s="120" t="s">
        <v>3576</v>
      </c>
      <c r="H828" s="120">
        <v>1.0</v>
      </c>
      <c r="I828" s="121">
        <v>0.0</v>
      </c>
      <c r="J828" s="121">
        <v>1.0</v>
      </c>
      <c r="K828" s="117"/>
    </row>
    <row r="829" ht="15.75" customHeight="1">
      <c r="A829" s="122" t="s">
        <v>3579</v>
      </c>
      <c r="B829" s="133" t="s">
        <v>3580</v>
      </c>
      <c r="C829" s="120" t="s">
        <v>311</v>
      </c>
      <c r="D829" s="120" t="s">
        <v>1013</v>
      </c>
      <c r="E829" s="120" t="s">
        <v>2765</v>
      </c>
      <c r="F829" s="120" t="s">
        <v>306</v>
      </c>
      <c r="G829" s="120" t="s">
        <v>1012</v>
      </c>
      <c r="H829" s="120">
        <v>1.0</v>
      </c>
      <c r="I829" s="121">
        <v>0.0</v>
      </c>
      <c r="J829" s="121">
        <v>1.0</v>
      </c>
      <c r="K829" s="117"/>
    </row>
    <row r="830" ht="15.75" customHeight="1">
      <c r="A830" s="122" t="s">
        <v>3584</v>
      </c>
      <c r="B830" s="133" t="s">
        <v>3585</v>
      </c>
      <c r="C830" s="120" t="s">
        <v>311</v>
      </c>
      <c r="D830" s="120" t="s">
        <v>1013</v>
      </c>
      <c r="E830" s="120" t="s">
        <v>2765</v>
      </c>
      <c r="F830" s="120" t="s">
        <v>306</v>
      </c>
      <c r="G830" s="120" t="s">
        <v>3587</v>
      </c>
      <c r="H830" s="120">
        <v>1.0</v>
      </c>
      <c r="I830" s="121">
        <v>0.0</v>
      </c>
      <c r="J830" s="121">
        <v>1.0</v>
      </c>
      <c r="K830" s="117"/>
    </row>
    <row r="831" ht="15.75" customHeight="1">
      <c r="A831" s="122" t="s">
        <v>3590</v>
      </c>
      <c r="B831" s="133" t="s">
        <v>3591</v>
      </c>
      <c r="C831" s="120" t="s">
        <v>311</v>
      </c>
      <c r="D831" s="120" t="s">
        <v>626</v>
      </c>
      <c r="E831" s="120" t="s">
        <v>2765</v>
      </c>
      <c r="F831" s="120" t="s">
        <v>306</v>
      </c>
      <c r="G831" s="120" t="s">
        <v>870</v>
      </c>
      <c r="H831" s="120">
        <v>1.0</v>
      </c>
      <c r="I831" s="121">
        <v>0.0</v>
      </c>
      <c r="J831" s="121">
        <v>0.0</v>
      </c>
      <c r="K831" s="117"/>
    </row>
    <row r="832" ht="15.75" customHeight="1">
      <c r="A832" s="122" t="s">
        <v>3592</v>
      </c>
      <c r="B832" s="133" t="s">
        <v>3593</v>
      </c>
      <c r="C832" s="120" t="s">
        <v>311</v>
      </c>
      <c r="D832" s="120" t="s">
        <v>1783</v>
      </c>
      <c r="E832" s="120" t="s">
        <v>2765</v>
      </c>
      <c r="F832" s="120" t="s">
        <v>306</v>
      </c>
      <c r="G832" s="120" t="s">
        <v>3594</v>
      </c>
      <c r="H832" s="120">
        <v>1.0</v>
      </c>
      <c r="I832" s="121">
        <v>0.0</v>
      </c>
      <c r="J832" s="121">
        <v>1.0</v>
      </c>
      <c r="K832" s="117"/>
    </row>
    <row r="833" ht="15.75" customHeight="1">
      <c r="A833" s="122" t="s">
        <v>3595</v>
      </c>
      <c r="B833" s="133" t="s">
        <v>3596</v>
      </c>
      <c r="C833" s="120" t="s">
        <v>311</v>
      </c>
      <c r="D833" s="120" t="s">
        <v>854</v>
      </c>
      <c r="E833" s="120" t="s">
        <v>2765</v>
      </c>
      <c r="F833" s="120" t="s">
        <v>306</v>
      </c>
      <c r="G833" s="120" t="s">
        <v>853</v>
      </c>
      <c r="H833" s="120">
        <v>1.0</v>
      </c>
      <c r="I833" s="121">
        <v>0.0</v>
      </c>
      <c r="J833" s="121">
        <v>0.0</v>
      </c>
      <c r="K833" s="117"/>
    </row>
    <row r="834" ht="15.75" customHeight="1">
      <c r="A834" s="122" t="s">
        <v>3599</v>
      </c>
      <c r="B834" s="133" t="s">
        <v>3600</v>
      </c>
      <c r="C834" s="120" t="s">
        <v>311</v>
      </c>
      <c r="D834" s="120" t="s">
        <v>854</v>
      </c>
      <c r="E834" s="120" t="s">
        <v>2765</v>
      </c>
      <c r="F834" s="120" t="s">
        <v>306</v>
      </c>
      <c r="G834" s="120" t="s">
        <v>3603</v>
      </c>
      <c r="H834" s="120">
        <v>1.0</v>
      </c>
      <c r="I834" s="121">
        <v>0.0</v>
      </c>
      <c r="J834" s="121">
        <v>1.0</v>
      </c>
      <c r="K834" s="117"/>
    </row>
    <row r="835" ht="15.75" customHeight="1">
      <c r="A835" s="122" t="s">
        <v>3605</v>
      </c>
      <c r="B835" s="133" t="s">
        <v>3606</v>
      </c>
      <c r="C835" s="120" t="s">
        <v>311</v>
      </c>
      <c r="D835" s="120" t="s">
        <v>791</v>
      </c>
      <c r="E835" s="120" t="s">
        <v>2765</v>
      </c>
      <c r="F835" s="120" t="s">
        <v>306</v>
      </c>
      <c r="G835" s="120" t="s">
        <v>3610</v>
      </c>
      <c r="H835" s="120">
        <v>1.0</v>
      </c>
      <c r="I835" s="121">
        <v>0.0</v>
      </c>
      <c r="J835" s="121">
        <v>1.0</v>
      </c>
      <c r="K835" s="117"/>
    </row>
    <row r="836" ht="15.75" customHeight="1">
      <c r="A836" s="122" t="s">
        <v>3611</v>
      </c>
      <c r="B836" s="133" t="s">
        <v>3612</v>
      </c>
      <c r="C836" s="120" t="s">
        <v>311</v>
      </c>
      <c r="D836" s="120" t="s">
        <v>1592</v>
      </c>
      <c r="E836" s="120" t="s">
        <v>2765</v>
      </c>
      <c r="F836" s="120" t="s">
        <v>306</v>
      </c>
      <c r="G836" s="120" t="s">
        <v>3616</v>
      </c>
      <c r="H836" s="120">
        <v>1.0</v>
      </c>
      <c r="I836" s="121">
        <v>0.0</v>
      </c>
      <c r="J836" s="121">
        <v>0.0</v>
      </c>
      <c r="K836" s="117"/>
    </row>
    <row r="837" ht="15.75" customHeight="1">
      <c r="A837" s="122" t="s">
        <v>3617</v>
      </c>
      <c r="B837" s="133" t="s">
        <v>3619</v>
      </c>
      <c r="C837" s="120" t="s">
        <v>311</v>
      </c>
      <c r="D837" s="120" t="s">
        <v>814</v>
      </c>
      <c r="E837" s="120" t="s">
        <v>2765</v>
      </c>
      <c r="F837" s="120" t="s">
        <v>306</v>
      </c>
      <c r="G837" s="120" t="s">
        <v>3622</v>
      </c>
      <c r="H837" s="120">
        <v>1.0</v>
      </c>
      <c r="I837" s="121">
        <v>0.0</v>
      </c>
      <c r="J837" s="121">
        <v>1.0</v>
      </c>
      <c r="K837" s="117"/>
    </row>
    <row r="838" ht="15.75" customHeight="1">
      <c r="A838" s="122" t="s">
        <v>3624</v>
      </c>
      <c r="B838" s="133" t="s">
        <v>3626</v>
      </c>
      <c r="C838" s="120" t="s">
        <v>311</v>
      </c>
      <c r="D838" s="120" t="s">
        <v>814</v>
      </c>
      <c r="E838" s="120" t="s">
        <v>2765</v>
      </c>
      <c r="F838" s="120" t="s">
        <v>306</v>
      </c>
      <c r="G838" s="120" t="s">
        <v>812</v>
      </c>
      <c r="H838" s="120">
        <v>1.0</v>
      </c>
      <c r="I838" s="121">
        <v>0.0</v>
      </c>
      <c r="J838" s="121">
        <v>0.0</v>
      </c>
      <c r="K838" s="117"/>
    </row>
    <row r="839" ht="15.75" customHeight="1">
      <c r="A839" s="122" t="s">
        <v>3629</v>
      </c>
      <c r="B839" s="133" t="s">
        <v>3630</v>
      </c>
      <c r="C839" s="120" t="s">
        <v>311</v>
      </c>
      <c r="D839" s="120" t="s">
        <v>3521</v>
      </c>
      <c r="E839" s="120" t="s">
        <v>2765</v>
      </c>
      <c r="F839" s="120" t="s">
        <v>306</v>
      </c>
      <c r="G839" s="120" t="s">
        <v>3522</v>
      </c>
      <c r="H839" s="120">
        <v>1.0</v>
      </c>
      <c r="I839" s="121">
        <v>0.0</v>
      </c>
      <c r="J839" s="121">
        <v>0.0</v>
      </c>
      <c r="K839" s="117"/>
    </row>
    <row r="840" ht="15.75" customHeight="1">
      <c r="A840" s="122" t="s">
        <v>3010</v>
      </c>
      <c r="B840" s="133" t="s">
        <v>3011</v>
      </c>
      <c r="C840" s="120" t="s">
        <v>311</v>
      </c>
      <c r="D840" s="120" t="s">
        <v>3014</v>
      </c>
      <c r="E840" s="120" t="s">
        <v>2765</v>
      </c>
      <c r="F840" s="120" t="s">
        <v>306</v>
      </c>
      <c r="G840" s="120" t="s">
        <v>3016</v>
      </c>
      <c r="H840" s="120">
        <v>1.0</v>
      </c>
      <c r="I840" s="121">
        <v>0.0</v>
      </c>
      <c r="J840" s="121">
        <v>0.0</v>
      </c>
      <c r="K840" s="117"/>
    </row>
    <row r="841" ht="15.75" customHeight="1">
      <c r="A841" s="122" t="s">
        <v>3637</v>
      </c>
      <c r="B841" s="133" t="s">
        <v>3638</v>
      </c>
      <c r="C841" s="120" t="s">
        <v>311</v>
      </c>
      <c r="D841" s="120" t="s">
        <v>924</v>
      </c>
      <c r="E841" s="120" t="s">
        <v>2765</v>
      </c>
      <c r="F841" s="120" t="s">
        <v>306</v>
      </c>
      <c r="G841" s="120" t="s">
        <v>3640</v>
      </c>
      <c r="H841" s="120">
        <v>1.0</v>
      </c>
      <c r="I841" s="121">
        <v>0.0</v>
      </c>
      <c r="J841" s="121">
        <v>2.0</v>
      </c>
      <c r="K841" s="117"/>
    </row>
    <row r="842" ht="15.75" customHeight="1">
      <c r="A842" s="122" t="s">
        <v>3642</v>
      </c>
      <c r="B842" s="133" t="s">
        <v>3643</v>
      </c>
      <c r="C842" s="120" t="s">
        <v>311</v>
      </c>
      <c r="D842" s="120" t="s">
        <v>1771</v>
      </c>
      <c r="E842" s="120" t="s">
        <v>2765</v>
      </c>
      <c r="F842" s="120" t="s">
        <v>306</v>
      </c>
      <c r="G842" s="120" t="s">
        <v>3646</v>
      </c>
      <c r="H842" s="120">
        <v>1.0</v>
      </c>
      <c r="I842" s="121">
        <v>0.0</v>
      </c>
      <c r="J842" s="121">
        <v>1.0</v>
      </c>
      <c r="K842" s="117"/>
    </row>
    <row r="843" ht="15.75" customHeight="1">
      <c r="A843" s="122" t="s">
        <v>3647</v>
      </c>
      <c r="B843" s="133" t="s">
        <v>3648</v>
      </c>
      <c r="C843" s="120" t="s">
        <v>311</v>
      </c>
      <c r="D843" s="120" t="s">
        <v>844</v>
      </c>
      <c r="E843" s="120" t="s">
        <v>2765</v>
      </c>
      <c r="F843" s="120" t="s">
        <v>306</v>
      </c>
      <c r="G843" s="120" t="s">
        <v>3651</v>
      </c>
      <c r="H843" s="120">
        <v>1.0</v>
      </c>
      <c r="I843" s="121">
        <v>0.0</v>
      </c>
      <c r="J843" s="121">
        <v>1.0</v>
      </c>
      <c r="K843" s="117"/>
    </row>
    <row r="844" ht="15.75" customHeight="1">
      <c r="A844" s="122" t="s">
        <v>3652</v>
      </c>
      <c r="B844" s="133" t="s">
        <v>3654</v>
      </c>
      <c r="C844" s="120" t="s">
        <v>311</v>
      </c>
      <c r="D844" s="120" t="s">
        <v>3656</v>
      </c>
      <c r="E844" s="120" t="s">
        <v>2765</v>
      </c>
      <c r="F844" s="120" t="s">
        <v>306</v>
      </c>
      <c r="G844" s="120" t="s">
        <v>3658</v>
      </c>
      <c r="H844" s="120">
        <v>1.0</v>
      </c>
      <c r="I844" s="121">
        <v>0.0</v>
      </c>
      <c r="J844" s="121">
        <v>1.0</v>
      </c>
      <c r="K844" s="117"/>
    </row>
    <row r="845" ht="15.75" customHeight="1">
      <c r="A845" s="122" t="s">
        <v>2892</v>
      </c>
      <c r="B845" s="133" t="s">
        <v>2893</v>
      </c>
      <c r="C845" s="120" t="s">
        <v>311</v>
      </c>
      <c r="D845" s="120" t="s">
        <v>2894</v>
      </c>
      <c r="E845" s="120" t="s">
        <v>2765</v>
      </c>
      <c r="F845" s="120" t="s">
        <v>306</v>
      </c>
      <c r="G845" s="120" t="s">
        <v>2895</v>
      </c>
      <c r="H845" s="120">
        <v>1.0</v>
      </c>
      <c r="I845" s="121">
        <v>0.0</v>
      </c>
      <c r="J845" s="121">
        <v>5.0</v>
      </c>
      <c r="K845" s="117"/>
    </row>
    <row r="846" ht="15.75" customHeight="1">
      <c r="A846" s="122" t="s">
        <v>3663</v>
      </c>
      <c r="B846" s="133" t="s">
        <v>3667</v>
      </c>
      <c r="C846" s="135" t="s">
        <v>315</v>
      </c>
      <c r="D846" s="141" t="s">
        <v>1843</v>
      </c>
      <c r="E846" s="135" t="s">
        <v>2765</v>
      </c>
      <c r="F846" s="135" t="s">
        <v>306</v>
      </c>
      <c r="G846" s="135" t="s">
        <v>3668</v>
      </c>
      <c r="H846" s="135">
        <v>41.0</v>
      </c>
      <c r="I846" s="121">
        <v>0.04</v>
      </c>
      <c r="J846" s="121">
        <v>0.91</v>
      </c>
      <c r="K846" s="117"/>
    </row>
    <row r="847" ht="15.75" customHeight="1">
      <c r="A847" s="122" t="s">
        <v>3671</v>
      </c>
      <c r="B847" s="133" t="s">
        <v>3673</v>
      </c>
      <c r="C847" s="135" t="s">
        <v>315</v>
      </c>
      <c r="D847" s="141" t="s">
        <v>3676</v>
      </c>
      <c r="E847" s="135" t="s">
        <v>2765</v>
      </c>
      <c r="F847" s="135" t="s">
        <v>306</v>
      </c>
      <c r="G847" s="135" t="s">
        <v>3678</v>
      </c>
      <c r="H847" s="135">
        <v>32.0</v>
      </c>
      <c r="I847" s="121">
        <v>0.03</v>
      </c>
      <c r="J847" s="121">
        <v>1.28</v>
      </c>
      <c r="K847" s="117"/>
    </row>
    <row r="848" ht="15.75" customHeight="1">
      <c r="A848" s="122" t="s">
        <v>3679</v>
      </c>
      <c r="B848" s="133" t="s">
        <v>3682</v>
      </c>
      <c r="C848" s="135" t="s">
        <v>315</v>
      </c>
      <c r="D848" s="141" t="s">
        <v>3683</v>
      </c>
      <c r="E848" s="135" t="s">
        <v>2765</v>
      </c>
      <c r="F848" s="135" t="s">
        <v>306</v>
      </c>
      <c r="G848" s="135" t="s">
        <v>3684</v>
      </c>
      <c r="H848" s="135">
        <v>32.0</v>
      </c>
      <c r="I848" s="121">
        <v>0.02</v>
      </c>
      <c r="J848" s="121">
        <v>1.45</v>
      </c>
      <c r="K848" s="117"/>
    </row>
    <row r="849" ht="15.75" customHeight="1">
      <c r="A849" s="122" t="s">
        <v>3685</v>
      </c>
      <c r="B849" s="133" t="s">
        <v>3689</v>
      </c>
      <c r="C849" s="135" t="s">
        <v>315</v>
      </c>
      <c r="D849" s="141" t="s">
        <v>3690</v>
      </c>
      <c r="E849" s="135" t="s">
        <v>2765</v>
      </c>
      <c r="F849" s="135" t="s">
        <v>306</v>
      </c>
      <c r="G849" s="135" t="s">
        <v>3684</v>
      </c>
      <c r="H849" s="135">
        <v>31.0</v>
      </c>
      <c r="I849" s="121">
        <v>0.02</v>
      </c>
      <c r="J849" s="121">
        <v>0.56</v>
      </c>
      <c r="K849" s="117"/>
    </row>
    <row r="850" ht="15.75" customHeight="1">
      <c r="A850" s="122" t="s">
        <v>3696</v>
      </c>
      <c r="B850" s="133" t="s">
        <v>3699</v>
      </c>
      <c r="C850" s="135" t="s">
        <v>315</v>
      </c>
      <c r="D850" s="141" t="s">
        <v>2032</v>
      </c>
      <c r="E850" s="135" t="s">
        <v>2</v>
      </c>
      <c r="F850" s="135" t="s">
        <v>306</v>
      </c>
      <c r="G850" s="135" t="s">
        <v>3704</v>
      </c>
      <c r="H850" s="135">
        <v>31.0</v>
      </c>
      <c r="I850" s="121">
        <v>0.02</v>
      </c>
      <c r="J850" s="121">
        <v>0.28</v>
      </c>
      <c r="K850" s="117"/>
    </row>
    <row r="851" ht="15.75" customHeight="1">
      <c r="A851" s="122" t="s">
        <v>3705</v>
      </c>
      <c r="B851" s="133" t="s">
        <v>3708</v>
      </c>
      <c r="C851" s="135" t="s">
        <v>315</v>
      </c>
      <c r="D851" s="141" t="s">
        <v>3709</v>
      </c>
      <c r="E851" s="135" t="s">
        <v>2765</v>
      </c>
      <c r="F851" s="135" t="s">
        <v>306</v>
      </c>
      <c r="G851" s="135" t="s">
        <v>3710</v>
      </c>
      <c r="H851" s="135">
        <v>30.0</v>
      </c>
      <c r="I851" s="121">
        <v>0.02</v>
      </c>
      <c r="J851" s="121">
        <v>1.41</v>
      </c>
      <c r="K851" s="117"/>
    </row>
    <row r="852" ht="15.75" customHeight="1">
      <c r="A852" s="122" t="s">
        <v>3711</v>
      </c>
      <c r="B852" s="133" t="s">
        <v>3712</v>
      </c>
      <c r="C852" s="135" t="s">
        <v>315</v>
      </c>
      <c r="D852" s="141" t="s">
        <v>3714</v>
      </c>
      <c r="E852" s="135" t="s">
        <v>2765</v>
      </c>
      <c r="F852" s="135" t="s">
        <v>306</v>
      </c>
      <c r="G852" s="135" t="s">
        <v>3717</v>
      </c>
      <c r="H852" s="135">
        <v>27.0</v>
      </c>
      <c r="I852" s="121">
        <v>0.02</v>
      </c>
      <c r="J852" s="121">
        <v>1.0</v>
      </c>
      <c r="K852" s="117"/>
    </row>
    <row r="853" ht="15.75" customHeight="1">
      <c r="A853" s="122" t="s">
        <v>3720</v>
      </c>
      <c r="B853" s="133" t="s">
        <v>3724</v>
      </c>
      <c r="C853" s="135" t="s">
        <v>315</v>
      </c>
      <c r="D853" s="141" t="s">
        <v>3725</v>
      </c>
      <c r="E853" s="135" t="s">
        <v>2765</v>
      </c>
      <c r="F853" s="135" t="s">
        <v>306</v>
      </c>
      <c r="G853" s="135" t="s">
        <v>3726</v>
      </c>
      <c r="H853" s="135">
        <v>25.0</v>
      </c>
      <c r="I853" s="121">
        <v>0.02</v>
      </c>
      <c r="J853" s="121">
        <v>0.33</v>
      </c>
      <c r="K853" s="117"/>
    </row>
    <row r="854" ht="15.75" customHeight="1">
      <c r="A854" s="122"/>
      <c r="B854" s="133"/>
      <c r="C854" s="120"/>
      <c r="D854" s="120"/>
      <c r="E854" s="120"/>
      <c r="F854" s="120"/>
      <c r="G854" s="120"/>
      <c r="H854" s="120"/>
      <c r="I854" s="121">
        <v>0.02</v>
      </c>
      <c r="J854" s="121">
        <v>1.47</v>
      </c>
      <c r="K854" s="117"/>
    </row>
    <row r="855" ht="15.75" customHeight="1">
      <c r="A855" s="122"/>
      <c r="B855" s="133"/>
      <c r="C855" s="120"/>
      <c r="D855" s="120"/>
      <c r="E855" s="120"/>
      <c r="F855" s="120"/>
      <c r="G855" s="120"/>
      <c r="H855" s="120"/>
      <c r="I855" s="121">
        <v>0.01</v>
      </c>
      <c r="J855" s="121">
        <v>1.15</v>
      </c>
      <c r="K855" s="117"/>
    </row>
    <row r="856" ht="15.75" customHeight="1">
      <c r="A856" s="122"/>
      <c r="B856" s="133"/>
      <c r="C856" s="120"/>
      <c r="D856" s="120"/>
      <c r="E856" s="120"/>
      <c r="F856" s="120"/>
      <c r="G856" s="120"/>
      <c r="H856" s="120"/>
      <c r="I856" s="121">
        <v>0.01</v>
      </c>
      <c r="J856" s="121">
        <v>1.18</v>
      </c>
      <c r="K856" s="117"/>
    </row>
    <row r="857" ht="15.75" customHeight="1">
      <c r="A857" s="122"/>
      <c r="B857" s="133"/>
      <c r="C857" s="120"/>
      <c r="D857" s="120"/>
      <c r="E857" s="120"/>
      <c r="F857" s="120"/>
      <c r="G857" s="120"/>
      <c r="H857" s="120"/>
      <c r="I857" s="121">
        <v>0.01</v>
      </c>
      <c r="J857" s="121">
        <v>1.3</v>
      </c>
      <c r="K857" s="117"/>
    </row>
    <row r="858" ht="15.75" customHeight="1">
      <c r="A858" s="122"/>
      <c r="B858" s="133"/>
      <c r="C858" s="120"/>
      <c r="D858" s="120"/>
      <c r="E858" s="120"/>
      <c r="F858" s="120"/>
      <c r="G858" s="120"/>
      <c r="H858" s="120"/>
      <c r="I858" s="121">
        <v>0.01</v>
      </c>
      <c r="J858" s="121">
        <v>0.0</v>
      </c>
      <c r="K858" s="117"/>
    </row>
    <row r="859" ht="15.75" customHeight="1">
      <c r="A859" s="122"/>
      <c r="B859" s="133"/>
      <c r="C859" s="120"/>
      <c r="D859" s="120"/>
      <c r="E859" s="120"/>
      <c r="F859" s="120"/>
      <c r="G859" s="120"/>
      <c r="H859" s="120"/>
      <c r="I859" s="121">
        <v>0.01</v>
      </c>
      <c r="J859" s="121">
        <v>0.9</v>
      </c>
      <c r="K859" s="117"/>
    </row>
    <row r="860" ht="15.75" customHeight="1">
      <c r="A860" s="122"/>
      <c r="B860" s="133"/>
      <c r="C860" s="120"/>
      <c r="D860" s="120"/>
      <c r="E860" s="120"/>
      <c r="F860" s="120"/>
      <c r="G860" s="120"/>
      <c r="H860" s="120"/>
      <c r="I860" s="121">
        <v>0.01</v>
      </c>
      <c r="J860" s="121">
        <v>0.89</v>
      </c>
      <c r="K860" s="117"/>
    </row>
    <row r="861" ht="15.75" customHeight="1">
      <c r="A861" s="122"/>
      <c r="B861" s="133"/>
      <c r="C861" s="120"/>
      <c r="D861" s="120"/>
      <c r="E861" s="120"/>
      <c r="F861" s="120"/>
      <c r="G861" s="120"/>
      <c r="H861" s="120"/>
      <c r="I861" s="121">
        <v>0.01</v>
      </c>
      <c r="J861" s="121">
        <v>1.5</v>
      </c>
      <c r="K861" s="117"/>
    </row>
    <row r="862" ht="15.75" customHeight="1">
      <c r="A862" s="122"/>
      <c r="B862" s="133"/>
      <c r="C862" s="120"/>
      <c r="D862" s="120"/>
      <c r="E862" s="120"/>
      <c r="F862" s="120"/>
      <c r="G862" s="120"/>
      <c r="H862" s="120"/>
      <c r="I862" s="121">
        <v>0.01</v>
      </c>
      <c r="J862" s="121">
        <v>0.83</v>
      </c>
      <c r="K862" s="117"/>
    </row>
    <row r="863" ht="15.75" customHeight="1">
      <c r="A863" s="122"/>
      <c r="B863" s="133"/>
      <c r="C863" s="120"/>
      <c r="D863" s="120"/>
      <c r="E863" s="120"/>
      <c r="F863" s="120"/>
      <c r="G863" s="120"/>
      <c r="H863" s="120"/>
      <c r="I863" s="121">
        <v>0.01</v>
      </c>
      <c r="J863" s="121">
        <v>1.0</v>
      </c>
      <c r="K863" s="117"/>
    </row>
    <row r="864" ht="15.75" customHeight="1">
      <c r="A864" s="122"/>
      <c r="B864" s="133"/>
      <c r="C864" s="120"/>
      <c r="D864" s="120"/>
      <c r="E864" s="120"/>
      <c r="F864" s="120"/>
      <c r="G864" s="120"/>
      <c r="H864" s="120"/>
      <c r="I864" s="121">
        <v>0.0</v>
      </c>
      <c r="J864" s="121">
        <v>1.0</v>
      </c>
      <c r="K864" s="117"/>
    </row>
    <row r="865" ht="15.75" customHeight="1">
      <c r="A865" s="122"/>
      <c r="B865" s="133"/>
      <c r="C865" s="120"/>
      <c r="D865" s="120"/>
      <c r="E865" s="120"/>
      <c r="F865" s="120"/>
      <c r="G865" s="120"/>
      <c r="H865" s="120"/>
      <c r="I865" s="121">
        <v>0.0</v>
      </c>
      <c r="J865" s="121">
        <v>0.75</v>
      </c>
      <c r="K865" s="117"/>
    </row>
    <row r="866" ht="15.75" customHeight="1">
      <c r="A866" s="122"/>
      <c r="B866" s="133"/>
      <c r="C866" s="120"/>
      <c r="D866" s="120"/>
      <c r="E866" s="120"/>
      <c r="F866" s="120"/>
      <c r="G866" s="120"/>
      <c r="H866" s="120"/>
      <c r="I866" s="121">
        <v>0.0</v>
      </c>
      <c r="J866" s="121">
        <v>0.67</v>
      </c>
      <c r="K866" s="117"/>
    </row>
    <row r="867" ht="15.75" customHeight="1">
      <c r="A867" s="122"/>
      <c r="B867" s="133"/>
      <c r="C867" s="120"/>
      <c r="D867" s="120"/>
      <c r="E867" s="120"/>
      <c r="F867" s="120"/>
      <c r="G867" s="120"/>
      <c r="H867" s="120"/>
      <c r="I867" s="121">
        <v>0.0</v>
      </c>
      <c r="J867" s="121">
        <v>0.0</v>
      </c>
      <c r="K867" s="117"/>
    </row>
    <row r="868" ht="15.75" customHeight="1">
      <c r="A868" s="122"/>
      <c r="B868" s="133"/>
      <c r="C868" s="120"/>
      <c r="D868" s="120"/>
      <c r="E868" s="120"/>
      <c r="F868" s="120"/>
      <c r="G868" s="120"/>
      <c r="H868" s="120"/>
      <c r="I868" s="121">
        <v>0.0</v>
      </c>
      <c r="J868" s="121">
        <v>1.0</v>
      </c>
      <c r="K868" s="117"/>
    </row>
    <row r="869" ht="15.75" customHeight="1">
      <c r="A869" s="122"/>
      <c r="B869" s="133"/>
      <c r="C869" s="120"/>
      <c r="D869" s="120"/>
      <c r="E869" s="120"/>
      <c r="F869" s="120"/>
      <c r="G869" s="120"/>
      <c r="H869" s="120"/>
      <c r="I869" s="121">
        <v>0.0</v>
      </c>
      <c r="J869" s="121">
        <v>0.0</v>
      </c>
      <c r="K869" s="117"/>
    </row>
    <row r="870" ht="15.75" customHeight="1">
      <c r="A870" s="122"/>
      <c r="B870" s="133"/>
      <c r="C870" s="120"/>
      <c r="D870" s="120"/>
      <c r="E870" s="120"/>
      <c r="F870" s="120"/>
      <c r="G870" s="120"/>
      <c r="H870" s="120"/>
      <c r="I870" s="121">
        <v>0.0</v>
      </c>
      <c r="J870" s="121">
        <v>1.5</v>
      </c>
      <c r="K870" s="117"/>
    </row>
    <row r="871" ht="15.75" customHeight="1">
      <c r="A871" s="122"/>
      <c r="B871" s="133"/>
      <c r="C871" s="120"/>
      <c r="D871" s="120"/>
      <c r="E871" s="120"/>
      <c r="F871" s="120"/>
      <c r="G871" s="120"/>
      <c r="H871" s="120"/>
      <c r="I871" s="121">
        <v>0.0</v>
      </c>
      <c r="J871" s="121">
        <v>0.5</v>
      </c>
      <c r="K871" s="117"/>
    </row>
    <row r="872" ht="15.75" customHeight="1">
      <c r="A872" s="122"/>
      <c r="B872" s="133"/>
      <c r="C872" s="120"/>
      <c r="D872" s="120"/>
      <c r="E872" s="120"/>
      <c r="F872" s="120"/>
      <c r="G872" s="120"/>
      <c r="H872" s="120"/>
      <c r="I872" s="121">
        <v>0.0</v>
      </c>
      <c r="J872" s="121">
        <v>1.0</v>
      </c>
      <c r="K872" s="117"/>
    </row>
    <row r="873" ht="15.75" customHeight="1">
      <c r="A873" s="122"/>
      <c r="B873" s="133"/>
      <c r="C873" s="120"/>
      <c r="D873" s="120"/>
      <c r="E873" s="120"/>
      <c r="F873" s="120"/>
      <c r="G873" s="120"/>
      <c r="H873" s="120"/>
      <c r="I873" s="121">
        <v>0.0</v>
      </c>
      <c r="J873" s="121">
        <v>1.0</v>
      </c>
      <c r="K873" s="117"/>
    </row>
    <row r="874" ht="15.75" customHeight="1">
      <c r="A874" s="122"/>
      <c r="B874" s="133"/>
      <c r="C874" s="120"/>
      <c r="D874" s="120"/>
      <c r="E874" s="120"/>
      <c r="F874" s="120"/>
      <c r="G874" s="120"/>
      <c r="H874" s="120"/>
      <c r="I874" s="121">
        <v>0.0</v>
      </c>
      <c r="J874" s="121">
        <v>0.0</v>
      </c>
      <c r="K874" s="117"/>
    </row>
    <row r="875" ht="15.75" customHeight="1">
      <c r="A875" s="122"/>
      <c r="B875" s="133"/>
      <c r="C875" s="120"/>
      <c r="D875" s="120"/>
      <c r="E875" s="120"/>
      <c r="F875" s="120"/>
      <c r="G875" s="120"/>
      <c r="H875" s="120"/>
      <c r="I875" s="121">
        <v>0.0</v>
      </c>
      <c r="J875" s="121">
        <v>0.0</v>
      </c>
      <c r="K875" s="117"/>
    </row>
    <row r="876" ht="15.75" customHeight="1">
      <c r="A876" s="122"/>
      <c r="B876" s="133"/>
      <c r="C876" s="120"/>
      <c r="D876" s="120"/>
      <c r="E876" s="120"/>
      <c r="F876" s="120"/>
      <c r="G876" s="120"/>
      <c r="H876" s="120"/>
      <c r="I876" s="121">
        <v>0.0</v>
      </c>
      <c r="J876" s="121">
        <v>0.0</v>
      </c>
      <c r="K876" s="117"/>
    </row>
    <row r="877" ht="15.75" customHeight="1">
      <c r="A877" s="122"/>
      <c r="B877" s="133"/>
      <c r="C877" s="120"/>
      <c r="D877" s="120"/>
      <c r="E877" s="120"/>
      <c r="F877" s="120"/>
      <c r="G877" s="120"/>
      <c r="H877" s="120"/>
      <c r="I877" s="121">
        <v>0.0</v>
      </c>
      <c r="J877" s="121">
        <v>2.0</v>
      </c>
      <c r="K877" s="117"/>
    </row>
    <row r="878" ht="15.75" customHeight="1">
      <c r="A878" s="122"/>
      <c r="B878" s="133"/>
      <c r="C878" s="120"/>
      <c r="D878" s="120"/>
      <c r="E878" s="120"/>
      <c r="F878" s="120"/>
      <c r="G878" s="120"/>
      <c r="H878" s="120"/>
      <c r="I878" s="121">
        <v>0.0</v>
      </c>
      <c r="J878" s="121">
        <v>2.0</v>
      </c>
      <c r="K878" s="117"/>
    </row>
    <row r="879" ht="15.75" customHeight="1">
      <c r="A879" s="122"/>
      <c r="B879" s="133"/>
      <c r="C879" s="120"/>
      <c r="D879" s="120"/>
      <c r="E879" s="120"/>
      <c r="F879" s="120"/>
      <c r="G879" s="120"/>
      <c r="H879" s="120"/>
      <c r="I879" s="121">
        <v>0.0</v>
      </c>
      <c r="J879" s="121">
        <v>1.0</v>
      </c>
      <c r="K879" s="117"/>
    </row>
    <row r="880" ht="15.75" customHeight="1">
      <c r="A880" s="122"/>
      <c r="B880" s="133"/>
      <c r="C880" s="120"/>
      <c r="D880" s="120"/>
      <c r="E880" s="120"/>
      <c r="F880" s="120"/>
      <c r="G880" s="120"/>
      <c r="H880" s="120"/>
      <c r="I880" s="121">
        <v>0.0</v>
      </c>
      <c r="J880" s="121">
        <v>2.0</v>
      </c>
      <c r="K880" s="117"/>
    </row>
    <row r="881" ht="15.75" customHeight="1">
      <c r="A881" s="122"/>
      <c r="B881" s="133"/>
      <c r="C881" s="120"/>
      <c r="D881" s="120"/>
      <c r="E881" s="120"/>
      <c r="F881" s="120"/>
      <c r="G881" s="120"/>
      <c r="H881" s="120"/>
      <c r="I881" s="121">
        <v>0.0</v>
      </c>
      <c r="J881" s="121">
        <v>1.0</v>
      </c>
      <c r="K881" s="117"/>
    </row>
    <row r="882" ht="15.75" customHeight="1">
      <c r="A882" s="122"/>
      <c r="B882" s="133"/>
      <c r="C882" s="120"/>
      <c r="D882" s="120"/>
      <c r="E882" s="120"/>
      <c r="F882" s="120"/>
      <c r="G882" s="120"/>
      <c r="H882" s="120"/>
      <c r="I882" s="121">
        <v>0.0</v>
      </c>
      <c r="J882" s="121">
        <v>2.0</v>
      </c>
      <c r="K882" s="117"/>
    </row>
    <row r="883" ht="15.75" customHeight="1">
      <c r="A883" s="122"/>
      <c r="B883" s="133"/>
      <c r="C883" s="120"/>
      <c r="D883" s="120"/>
      <c r="E883" s="120"/>
      <c r="F883" s="120"/>
      <c r="G883" s="120"/>
      <c r="H883" s="120"/>
      <c r="I883" s="121">
        <v>0.0</v>
      </c>
      <c r="J883" s="121">
        <v>1.0</v>
      </c>
      <c r="K883" s="117"/>
    </row>
    <row r="884" ht="15.75" customHeight="1">
      <c r="A884" s="122"/>
      <c r="B884" s="133"/>
      <c r="C884" s="120"/>
      <c r="D884" s="120"/>
      <c r="E884" s="120"/>
      <c r="F884" s="120"/>
      <c r="G884" s="120"/>
      <c r="H884" s="120"/>
      <c r="I884" s="121">
        <v>0.0</v>
      </c>
      <c r="J884" s="121">
        <v>1.0</v>
      </c>
      <c r="K884" s="117"/>
    </row>
    <row r="885" ht="15.75" customHeight="1">
      <c r="A885" s="122"/>
      <c r="B885" s="133"/>
      <c r="C885" s="120"/>
      <c r="D885" s="120"/>
      <c r="E885" s="120"/>
      <c r="F885" s="120"/>
      <c r="G885" s="120"/>
      <c r="H885" s="120"/>
      <c r="I885" s="121">
        <v>0.0</v>
      </c>
      <c r="J885" s="121">
        <v>1.0</v>
      </c>
      <c r="K885" s="117"/>
    </row>
    <row r="886" ht="15.75" customHeight="1">
      <c r="A886" s="122"/>
      <c r="B886" s="133"/>
      <c r="C886" s="120"/>
      <c r="D886" s="120"/>
      <c r="E886" s="120"/>
      <c r="F886" s="120"/>
      <c r="G886" s="120"/>
      <c r="H886" s="120"/>
      <c r="I886" s="121">
        <v>0.0</v>
      </c>
      <c r="J886" s="121">
        <v>1.0</v>
      </c>
      <c r="K886" s="117"/>
    </row>
    <row r="887" ht="15.75" customHeight="1">
      <c r="A887" s="122"/>
      <c r="B887" s="133"/>
      <c r="C887" s="120"/>
      <c r="D887" s="120"/>
      <c r="E887" s="120"/>
      <c r="F887" s="120"/>
      <c r="G887" s="120"/>
      <c r="H887" s="120"/>
      <c r="I887" s="121">
        <v>0.0</v>
      </c>
      <c r="J887" s="121">
        <v>0.0</v>
      </c>
      <c r="K887" s="117"/>
    </row>
    <row r="888" ht="15.75" customHeight="1">
      <c r="A888" s="122"/>
      <c r="B888" s="133"/>
      <c r="C888" s="120"/>
      <c r="D888" s="120"/>
      <c r="E888" s="120"/>
      <c r="F888" s="120"/>
      <c r="G888" s="120"/>
      <c r="H888" s="120"/>
      <c r="I888" s="121">
        <v>0.0</v>
      </c>
      <c r="J888" s="121">
        <v>1.0</v>
      </c>
      <c r="K888" s="117"/>
    </row>
    <row r="889" ht="15.75" customHeight="1">
      <c r="A889" s="122"/>
      <c r="B889" s="133"/>
      <c r="C889" s="120"/>
      <c r="D889" s="120"/>
      <c r="E889" s="120"/>
      <c r="F889" s="120"/>
      <c r="G889" s="120"/>
      <c r="H889" s="120"/>
      <c r="I889" s="121">
        <v>0.0</v>
      </c>
      <c r="J889" s="121">
        <v>1.0</v>
      </c>
      <c r="K889" s="117"/>
    </row>
    <row r="890" ht="15.75" customHeight="1">
      <c r="A890" s="122"/>
      <c r="B890" s="133"/>
      <c r="C890" s="120"/>
      <c r="D890" s="120"/>
      <c r="E890" s="120"/>
      <c r="F890" s="120"/>
      <c r="G890" s="120"/>
      <c r="H890" s="120"/>
      <c r="I890" s="121">
        <v>0.0</v>
      </c>
      <c r="J890" s="121">
        <v>1.0</v>
      </c>
      <c r="K890" s="117"/>
    </row>
    <row r="891" ht="15.75" customHeight="1">
      <c r="A891" s="122"/>
      <c r="B891" s="133"/>
      <c r="C891" s="120"/>
      <c r="D891" s="120"/>
      <c r="E891" s="120"/>
      <c r="F891" s="120"/>
      <c r="G891" s="120"/>
      <c r="H891" s="120"/>
      <c r="I891" s="121">
        <v>0.0</v>
      </c>
      <c r="J891" s="121">
        <v>1.0</v>
      </c>
      <c r="K891" s="117"/>
    </row>
    <row r="892" ht="15.75" customHeight="1">
      <c r="A892" s="122"/>
      <c r="B892" s="133"/>
      <c r="C892" s="120"/>
      <c r="D892" s="120"/>
      <c r="E892" s="120"/>
      <c r="F892" s="120"/>
      <c r="G892" s="120"/>
      <c r="H892" s="120"/>
      <c r="I892" s="121">
        <v>0.0</v>
      </c>
      <c r="J892" s="121">
        <v>1.0</v>
      </c>
      <c r="K892" s="117"/>
    </row>
    <row r="893" ht="15.75" customHeight="1">
      <c r="A893" s="122"/>
      <c r="B893" s="133"/>
      <c r="C893" s="120"/>
      <c r="D893" s="120"/>
      <c r="E893" s="120"/>
      <c r="F893" s="120"/>
      <c r="G893" s="120"/>
      <c r="H893" s="120"/>
      <c r="I893" s="121">
        <v>0.0</v>
      </c>
      <c r="J893" s="121">
        <v>2.0</v>
      </c>
      <c r="K893" s="117"/>
    </row>
    <row r="894" ht="15.75" customHeight="1">
      <c r="A894" s="122"/>
      <c r="B894" s="133"/>
      <c r="C894" s="120"/>
      <c r="D894" s="120"/>
      <c r="E894" s="120"/>
      <c r="F894" s="120"/>
      <c r="G894" s="120"/>
      <c r="H894" s="120"/>
      <c r="I894" s="121">
        <v>0.0</v>
      </c>
      <c r="J894" s="121">
        <v>0.0</v>
      </c>
      <c r="K894" s="117"/>
    </row>
    <row r="895" ht="15.75" customHeight="1">
      <c r="A895" s="122" t="s">
        <v>3788</v>
      </c>
      <c r="B895" s="133" t="s">
        <v>3789</v>
      </c>
      <c r="C895" s="120" t="s">
        <v>321</v>
      </c>
      <c r="D895" s="120" t="s">
        <v>3790</v>
      </c>
      <c r="E895" s="120" t="s">
        <v>2765</v>
      </c>
      <c r="F895" s="120" t="s">
        <v>306</v>
      </c>
      <c r="G895" s="120" t="s">
        <v>3791</v>
      </c>
      <c r="H895" s="120">
        <v>35.0</v>
      </c>
      <c r="I895" s="121">
        <v>0.04</v>
      </c>
      <c r="J895" s="121">
        <v>0.91</v>
      </c>
      <c r="K895" s="117"/>
    </row>
    <row r="896" ht="15.75" customHeight="1">
      <c r="A896" s="122" t="s">
        <v>3792</v>
      </c>
      <c r="B896" s="133" t="s">
        <v>3793</v>
      </c>
      <c r="C896" s="120" t="s">
        <v>321</v>
      </c>
      <c r="D896" s="120" t="s">
        <v>368</v>
      </c>
      <c r="E896" s="120" t="s">
        <v>2765</v>
      </c>
      <c r="F896" s="120" t="s">
        <v>306</v>
      </c>
      <c r="G896" s="120" t="s">
        <v>369</v>
      </c>
      <c r="H896" s="120">
        <v>29.0</v>
      </c>
      <c r="I896" s="121">
        <v>0.03</v>
      </c>
      <c r="J896" s="121">
        <v>1.28</v>
      </c>
      <c r="K896" s="117"/>
    </row>
    <row r="897" ht="15.75" customHeight="1">
      <c r="A897" s="122" t="s">
        <v>3794</v>
      </c>
      <c r="B897" s="133" t="s">
        <v>3795</v>
      </c>
      <c r="C897" s="120" t="s">
        <v>321</v>
      </c>
      <c r="D897" s="120" t="s">
        <v>368</v>
      </c>
      <c r="E897" s="120" t="s">
        <v>2765</v>
      </c>
      <c r="F897" s="120" t="s">
        <v>306</v>
      </c>
      <c r="G897" s="120" t="s">
        <v>369</v>
      </c>
      <c r="H897" s="120">
        <v>22.0</v>
      </c>
      <c r="I897" s="121">
        <v>0.02</v>
      </c>
      <c r="J897" s="121">
        <v>1.45</v>
      </c>
      <c r="K897" s="117"/>
    </row>
    <row r="898" ht="15.75" customHeight="1">
      <c r="A898" s="122" t="s">
        <v>3796</v>
      </c>
      <c r="B898" s="133" t="s">
        <v>3797</v>
      </c>
      <c r="C898" s="120" t="s">
        <v>321</v>
      </c>
      <c r="D898" s="120" t="s">
        <v>2243</v>
      </c>
      <c r="E898" s="120" t="s">
        <v>2765</v>
      </c>
      <c r="F898" s="120" t="s">
        <v>306</v>
      </c>
      <c r="G898" s="120" t="s">
        <v>2242</v>
      </c>
      <c r="H898" s="120">
        <v>18.0</v>
      </c>
      <c r="I898" s="121">
        <v>0.02</v>
      </c>
      <c r="J898" s="121">
        <v>0.56</v>
      </c>
      <c r="K898" s="117"/>
    </row>
    <row r="899" ht="15.75" customHeight="1">
      <c r="A899" s="122" t="s">
        <v>3798</v>
      </c>
      <c r="B899" s="133" t="s">
        <v>3799</v>
      </c>
      <c r="C899" s="120" t="s">
        <v>321</v>
      </c>
      <c r="D899" s="120" t="s">
        <v>3800</v>
      </c>
      <c r="E899" s="120" t="s">
        <v>2765</v>
      </c>
      <c r="F899" s="120" t="s">
        <v>306</v>
      </c>
      <c r="G899" s="120" t="s">
        <v>3801</v>
      </c>
      <c r="H899" s="120">
        <v>18.0</v>
      </c>
      <c r="I899" s="121">
        <v>0.02</v>
      </c>
      <c r="J899" s="121">
        <v>0.28</v>
      </c>
      <c r="K899" s="117"/>
    </row>
    <row r="900" ht="15.75" customHeight="1">
      <c r="A900" s="122" t="s">
        <v>3802</v>
      </c>
      <c r="B900" s="133" t="s">
        <v>3803</v>
      </c>
      <c r="C900" s="120" t="s">
        <v>321</v>
      </c>
      <c r="D900" s="120" t="s">
        <v>2356</v>
      </c>
      <c r="E900" s="120" t="s">
        <v>2765</v>
      </c>
      <c r="F900" s="120" t="s">
        <v>306</v>
      </c>
      <c r="G900" s="120" t="s">
        <v>2355</v>
      </c>
      <c r="H900" s="120">
        <v>17.0</v>
      </c>
      <c r="I900" s="121">
        <v>0.02</v>
      </c>
      <c r="J900" s="121">
        <v>1.41</v>
      </c>
      <c r="K900" s="117"/>
    </row>
    <row r="901" ht="15.75" customHeight="1">
      <c r="A901" s="122" t="s">
        <v>3804</v>
      </c>
      <c r="B901" s="133" t="s">
        <v>3805</v>
      </c>
      <c r="C901" s="120" t="s">
        <v>321</v>
      </c>
      <c r="D901" s="120" t="s">
        <v>3790</v>
      </c>
      <c r="E901" s="120" t="s">
        <v>2765</v>
      </c>
      <c r="F901" s="120" t="s">
        <v>306</v>
      </c>
      <c r="G901" s="120" t="s">
        <v>3791</v>
      </c>
      <c r="H901" s="120">
        <v>16.0</v>
      </c>
      <c r="I901" s="121">
        <v>0.02</v>
      </c>
      <c r="J901" s="121">
        <v>1.0</v>
      </c>
      <c r="K901" s="117"/>
    </row>
    <row r="902" ht="15.75" customHeight="1">
      <c r="A902" s="122" t="s">
        <v>3806</v>
      </c>
      <c r="B902" s="133" t="s">
        <v>3807</v>
      </c>
      <c r="C902" s="120" t="s">
        <v>321</v>
      </c>
      <c r="D902" s="120" t="s">
        <v>737</v>
      </c>
      <c r="E902" s="120" t="s">
        <v>2765</v>
      </c>
      <c r="F902" s="120" t="s">
        <v>306</v>
      </c>
      <c r="G902" s="120" t="s">
        <v>3808</v>
      </c>
      <c r="H902" s="120">
        <v>15.0</v>
      </c>
      <c r="I902" s="121">
        <v>0.02</v>
      </c>
      <c r="J902" s="121">
        <v>0.33</v>
      </c>
      <c r="K902" s="117"/>
    </row>
    <row r="903" ht="15.75" customHeight="1">
      <c r="A903" s="122" t="s">
        <v>3809</v>
      </c>
      <c r="B903" s="133" t="s">
        <v>3810</v>
      </c>
      <c r="C903" s="120" t="s">
        <v>321</v>
      </c>
      <c r="D903" s="120" t="s">
        <v>607</v>
      </c>
      <c r="E903" s="120" t="s">
        <v>2765</v>
      </c>
      <c r="F903" s="120" t="s">
        <v>306</v>
      </c>
      <c r="G903" s="120" t="s">
        <v>3811</v>
      </c>
      <c r="H903" s="120">
        <v>15.0</v>
      </c>
      <c r="I903" s="121">
        <v>0.02</v>
      </c>
      <c r="J903" s="121">
        <v>1.47</v>
      </c>
      <c r="K903" s="117"/>
    </row>
    <row r="904" ht="15.75" customHeight="1">
      <c r="A904" s="122" t="s">
        <v>3812</v>
      </c>
      <c r="B904" s="133" t="s">
        <v>3813</v>
      </c>
      <c r="C904" s="120" t="s">
        <v>321</v>
      </c>
      <c r="D904" s="120" t="s">
        <v>3814</v>
      </c>
      <c r="E904" s="120" t="s">
        <v>2765</v>
      </c>
      <c r="F904" s="120" t="s">
        <v>306</v>
      </c>
      <c r="G904" s="120" t="s">
        <v>3815</v>
      </c>
      <c r="H904" s="120">
        <v>13.0</v>
      </c>
      <c r="I904" s="121">
        <v>0.01</v>
      </c>
      <c r="J904" s="121">
        <v>1.15</v>
      </c>
      <c r="K904" s="117"/>
    </row>
    <row r="905" ht="15.75" customHeight="1">
      <c r="A905" s="122" t="s">
        <v>3816</v>
      </c>
      <c r="B905" s="133" t="s">
        <v>3817</v>
      </c>
      <c r="C905" s="120" t="s">
        <v>321</v>
      </c>
      <c r="D905" s="120" t="s">
        <v>2243</v>
      </c>
      <c r="E905" s="120" t="s">
        <v>2765</v>
      </c>
      <c r="F905" s="120" t="s">
        <v>306</v>
      </c>
      <c r="G905" s="120" t="s">
        <v>2242</v>
      </c>
      <c r="H905" s="120">
        <v>11.0</v>
      </c>
      <c r="I905" s="121">
        <v>0.01</v>
      </c>
      <c r="J905" s="121">
        <v>1.18</v>
      </c>
      <c r="K905" s="117"/>
    </row>
    <row r="906" ht="15.75" customHeight="1">
      <c r="A906" s="122" t="s">
        <v>3818</v>
      </c>
      <c r="B906" s="133" t="s">
        <v>3819</v>
      </c>
      <c r="C906" s="120" t="s">
        <v>321</v>
      </c>
      <c r="D906" s="120" t="s">
        <v>2340</v>
      </c>
      <c r="E906" s="120" t="s">
        <v>2765</v>
      </c>
      <c r="F906" s="120" t="s">
        <v>306</v>
      </c>
      <c r="G906" s="120" t="s">
        <v>3820</v>
      </c>
      <c r="H906" s="120">
        <v>10.0</v>
      </c>
      <c r="I906" s="121">
        <v>0.01</v>
      </c>
      <c r="J906" s="121">
        <v>1.3</v>
      </c>
      <c r="K906" s="117"/>
    </row>
    <row r="907" ht="15.75" customHeight="1">
      <c r="A907" s="122" t="s">
        <v>2769</v>
      </c>
      <c r="B907" s="133" t="s">
        <v>2770</v>
      </c>
      <c r="C907" s="120" t="s">
        <v>321</v>
      </c>
      <c r="D907" s="120" t="s">
        <v>737</v>
      </c>
      <c r="E907" s="120" t="s">
        <v>2765</v>
      </c>
      <c r="F907" s="120" t="s">
        <v>306</v>
      </c>
      <c r="G907" s="120" t="s">
        <v>2771</v>
      </c>
      <c r="H907" s="120">
        <v>10.0</v>
      </c>
      <c r="I907" s="121">
        <v>0.01</v>
      </c>
      <c r="J907" s="121">
        <v>0.0</v>
      </c>
      <c r="K907" s="117"/>
    </row>
    <row r="908" ht="15.75" customHeight="1">
      <c r="A908" s="122" t="s">
        <v>3821</v>
      </c>
      <c r="B908" s="133" t="s">
        <v>3822</v>
      </c>
      <c r="C908" s="120" t="s">
        <v>321</v>
      </c>
      <c r="D908" s="120" t="s">
        <v>2255</v>
      </c>
      <c r="E908" s="120" t="s">
        <v>2765</v>
      </c>
      <c r="F908" s="120" t="s">
        <v>306</v>
      </c>
      <c r="G908" s="120" t="s">
        <v>3823</v>
      </c>
      <c r="H908" s="120">
        <v>10.0</v>
      </c>
      <c r="I908" s="121">
        <v>0.01</v>
      </c>
      <c r="J908" s="121">
        <v>0.9</v>
      </c>
      <c r="K908" s="117"/>
    </row>
    <row r="909" ht="15.75" customHeight="1">
      <c r="A909" s="122" t="s">
        <v>2775</v>
      </c>
      <c r="B909" s="133" t="s">
        <v>2776</v>
      </c>
      <c r="C909" s="120" t="s">
        <v>321</v>
      </c>
      <c r="D909" s="120" t="s">
        <v>2777</v>
      </c>
      <c r="E909" s="120" t="s">
        <v>2765</v>
      </c>
      <c r="F909" s="120" t="s">
        <v>306</v>
      </c>
      <c r="G909" s="120" t="s">
        <v>2778</v>
      </c>
      <c r="H909" s="120">
        <v>9.0</v>
      </c>
      <c r="I909" s="121">
        <v>0.01</v>
      </c>
      <c r="J909" s="121">
        <v>0.89</v>
      </c>
      <c r="K909" s="117"/>
    </row>
    <row r="910" ht="15.75" customHeight="1">
      <c r="A910" s="122" t="s">
        <v>3824</v>
      </c>
      <c r="B910" s="133" t="s">
        <v>3825</v>
      </c>
      <c r="C910" s="120" t="s">
        <v>321</v>
      </c>
      <c r="D910" s="120" t="s">
        <v>3826</v>
      </c>
      <c r="E910" s="120" t="s">
        <v>2765</v>
      </c>
      <c r="F910" s="120" t="s">
        <v>306</v>
      </c>
      <c r="G910" s="120" t="s">
        <v>3827</v>
      </c>
      <c r="H910" s="120">
        <v>8.0</v>
      </c>
      <c r="I910" s="121">
        <v>0.01</v>
      </c>
      <c r="J910" s="121">
        <v>1.5</v>
      </c>
      <c r="K910" s="117"/>
    </row>
    <row r="911" ht="15.75" customHeight="1">
      <c r="A911" s="122" t="s">
        <v>2845</v>
      </c>
      <c r="B911" s="133" t="s">
        <v>2847</v>
      </c>
      <c r="C911" s="120" t="s">
        <v>321</v>
      </c>
      <c r="D911" s="120" t="s">
        <v>379</v>
      </c>
      <c r="E911" s="120" t="s">
        <v>2765</v>
      </c>
      <c r="F911" s="120" t="s">
        <v>306</v>
      </c>
      <c r="G911" s="120" t="s">
        <v>380</v>
      </c>
      <c r="H911" s="120">
        <v>6.0</v>
      </c>
      <c r="I911" s="121">
        <v>0.01</v>
      </c>
      <c r="J911" s="121">
        <v>0.83</v>
      </c>
      <c r="K911" s="117"/>
    </row>
    <row r="912" ht="15.75" customHeight="1">
      <c r="A912" s="122" t="s">
        <v>3828</v>
      </c>
      <c r="B912" s="133" t="s">
        <v>3829</v>
      </c>
      <c r="C912" s="120" t="s">
        <v>321</v>
      </c>
      <c r="D912" s="120" t="s">
        <v>2356</v>
      </c>
      <c r="E912" s="120" t="s">
        <v>2765</v>
      </c>
      <c r="F912" s="120" t="s">
        <v>306</v>
      </c>
      <c r="G912" s="120" t="s">
        <v>2355</v>
      </c>
      <c r="H912" s="120">
        <v>6.0</v>
      </c>
      <c r="I912" s="121">
        <v>0.01</v>
      </c>
      <c r="J912" s="121">
        <v>1.0</v>
      </c>
      <c r="K912" s="117"/>
    </row>
    <row r="913" ht="15.75" customHeight="1">
      <c r="A913" s="122" t="s">
        <v>3830</v>
      </c>
      <c r="B913" s="133" t="s">
        <v>3831</v>
      </c>
      <c r="C913" s="120" t="s">
        <v>321</v>
      </c>
      <c r="D913" s="120" t="s">
        <v>3832</v>
      </c>
      <c r="E913" s="120" t="s">
        <v>2765</v>
      </c>
      <c r="F913" s="120" t="s">
        <v>306</v>
      </c>
      <c r="G913" s="120" t="s">
        <v>3833</v>
      </c>
      <c r="H913" s="120">
        <v>4.0</v>
      </c>
      <c r="I913" s="121">
        <v>0.0</v>
      </c>
      <c r="J913" s="121">
        <v>1.0</v>
      </c>
      <c r="K913" s="117"/>
    </row>
    <row r="914" ht="15.75" customHeight="1">
      <c r="A914" s="122" t="s">
        <v>3834</v>
      </c>
      <c r="B914" s="133" t="s">
        <v>3835</v>
      </c>
      <c r="C914" s="120" t="s">
        <v>321</v>
      </c>
      <c r="D914" s="120" t="s">
        <v>3014</v>
      </c>
      <c r="E914" s="120" t="s">
        <v>2765</v>
      </c>
      <c r="F914" s="120" t="s">
        <v>306</v>
      </c>
      <c r="G914" s="120" t="s">
        <v>3836</v>
      </c>
      <c r="H914" s="120">
        <v>4.0</v>
      </c>
      <c r="I914" s="121">
        <v>0.0</v>
      </c>
      <c r="J914" s="121">
        <v>0.75</v>
      </c>
      <c r="K914" s="117"/>
    </row>
    <row r="915" ht="15.75" customHeight="1">
      <c r="A915" s="122" t="s">
        <v>3837</v>
      </c>
      <c r="B915" s="133" t="s">
        <v>3838</v>
      </c>
      <c r="C915" s="120" t="s">
        <v>321</v>
      </c>
      <c r="D915" s="120" t="s">
        <v>3832</v>
      </c>
      <c r="E915" s="120" t="s">
        <v>2765</v>
      </c>
      <c r="F915" s="120" t="s">
        <v>306</v>
      </c>
      <c r="G915" s="120" t="s">
        <v>3833</v>
      </c>
      <c r="H915" s="120">
        <v>3.0</v>
      </c>
      <c r="I915" s="121">
        <v>0.0</v>
      </c>
      <c r="J915" s="121">
        <v>0.67</v>
      </c>
      <c r="K915" s="117"/>
    </row>
    <row r="916" ht="15.75" customHeight="1">
      <c r="A916" s="122" t="s">
        <v>3839</v>
      </c>
      <c r="B916" s="133" t="s">
        <v>3840</v>
      </c>
      <c r="C916" s="120" t="s">
        <v>321</v>
      </c>
      <c r="D916" s="120" t="s">
        <v>599</v>
      </c>
      <c r="E916" s="120" t="s">
        <v>2765</v>
      </c>
      <c r="F916" s="120" t="s">
        <v>306</v>
      </c>
      <c r="G916" s="120" t="s">
        <v>3841</v>
      </c>
      <c r="H916" s="120">
        <v>3.0</v>
      </c>
      <c r="I916" s="121">
        <v>0.0</v>
      </c>
      <c r="J916" s="121">
        <v>0.0</v>
      </c>
      <c r="K916" s="117"/>
    </row>
    <row r="917" ht="15.75" customHeight="1">
      <c r="A917" s="122" t="s">
        <v>3842</v>
      </c>
      <c r="B917" s="133" t="s">
        <v>3843</v>
      </c>
      <c r="C917" s="120" t="s">
        <v>321</v>
      </c>
      <c r="D917" s="120" t="s">
        <v>2579</v>
      </c>
      <c r="E917" s="120" t="s">
        <v>2765</v>
      </c>
      <c r="F917" s="120" t="s">
        <v>306</v>
      </c>
      <c r="G917" s="120" t="s">
        <v>3844</v>
      </c>
      <c r="H917" s="120">
        <v>3.0</v>
      </c>
      <c r="I917" s="121">
        <v>0.0</v>
      </c>
      <c r="J917" s="121">
        <v>1.0</v>
      </c>
      <c r="K917" s="117"/>
    </row>
    <row r="918" ht="15.75" customHeight="1">
      <c r="A918" s="122" t="s">
        <v>3845</v>
      </c>
      <c r="B918" s="133" t="s">
        <v>3846</v>
      </c>
      <c r="C918" s="120" t="s">
        <v>321</v>
      </c>
      <c r="D918" s="120" t="s">
        <v>3790</v>
      </c>
      <c r="E918" s="120" t="s">
        <v>2765</v>
      </c>
      <c r="F918" s="120" t="s">
        <v>306</v>
      </c>
      <c r="G918" s="120" t="s">
        <v>3791</v>
      </c>
      <c r="H918" s="120">
        <v>3.0</v>
      </c>
      <c r="I918" s="121">
        <v>0.0</v>
      </c>
      <c r="J918" s="121">
        <v>0.0</v>
      </c>
      <c r="K918" s="117"/>
    </row>
    <row r="919" ht="15.75" customHeight="1">
      <c r="A919" s="122" t="s">
        <v>3847</v>
      </c>
      <c r="B919" s="133" t="s">
        <v>3848</v>
      </c>
      <c r="C919" s="120" t="s">
        <v>321</v>
      </c>
      <c r="D919" s="120" t="s">
        <v>2260</v>
      </c>
      <c r="E919" s="120" t="s">
        <v>2765</v>
      </c>
      <c r="F919" s="120" t="s">
        <v>306</v>
      </c>
      <c r="G919" s="120" t="s">
        <v>2259</v>
      </c>
      <c r="H919" s="120">
        <v>2.0</v>
      </c>
      <c r="I919" s="121">
        <v>0.0</v>
      </c>
      <c r="J919" s="121">
        <v>1.5</v>
      </c>
      <c r="K919" s="117"/>
    </row>
    <row r="920" ht="15.75" customHeight="1">
      <c r="A920" s="122" t="s">
        <v>2891</v>
      </c>
      <c r="B920" s="133" t="s">
        <v>2847</v>
      </c>
      <c r="C920" s="120" t="s">
        <v>321</v>
      </c>
      <c r="D920" s="120" t="s">
        <v>379</v>
      </c>
      <c r="E920" s="120" t="s">
        <v>2765</v>
      </c>
      <c r="F920" s="120" t="s">
        <v>306</v>
      </c>
      <c r="G920" s="120" t="s">
        <v>380</v>
      </c>
      <c r="H920" s="120">
        <v>2.0</v>
      </c>
      <c r="I920" s="121">
        <v>0.0</v>
      </c>
      <c r="J920" s="121">
        <v>0.5</v>
      </c>
      <c r="K920" s="117"/>
    </row>
    <row r="921" ht="15.75" customHeight="1">
      <c r="A921" s="122" t="s">
        <v>3849</v>
      </c>
      <c r="B921" s="133" t="s">
        <v>3011</v>
      </c>
      <c r="C921" s="120" t="s">
        <v>321</v>
      </c>
      <c r="D921" s="120" t="s">
        <v>3014</v>
      </c>
      <c r="E921" s="120" t="s">
        <v>2765</v>
      </c>
      <c r="F921" s="120" t="s">
        <v>306</v>
      </c>
      <c r="G921" s="120" t="s">
        <v>3836</v>
      </c>
      <c r="H921" s="120">
        <v>2.0</v>
      </c>
      <c r="I921" s="121">
        <v>0.0</v>
      </c>
      <c r="J921" s="121">
        <v>1.0</v>
      </c>
      <c r="K921" s="117"/>
    </row>
    <row r="922" ht="15.75" customHeight="1">
      <c r="A922" s="122" t="s">
        <v>3850</v>
      </c>
      <c r="B922" s="133" t="s">
        <v>3851</v>
      </c>
      <c r="C922" s="120" t="s">
        <v>321</v>
      </c>
      <c r="D922" s="120" t="s">
        <v>2562</v>
      </c>
      <c r="E922" s="120" t="s">
        <v>2765</v>
      </c>
      <c r="F922" s="120" t="s">
        <v>306</v>
      </c>
      <c r="G922" s="120" t="s">
        <v>3852</v>
      </c>
      <c r="H922" s="120">
        <v>2.0</v>
      </c>
      <c r="I922" s="121">
        <v>0.0</v>
      </c>
      <c r="J922" s="121">
        <v>1.0</v>
      </c>
      <c r="K922" s="117"/>
    </row>
    <row r="923" ht="15.75" customHeight="1">
      <c r="A923" s="122" t="s">
        <v>3853</v>
      </c>
      <c r="B923" s="133" t="s">
        <v>3854</v>
      </c>
      <c r="C923" s="120" t="s">
        <v>321</v>
      </c>
      <c r="D923" s="120" t="s">
        <v>2397</v>
      </c>
      <c r="E923" s="120" t="s">
        <v>2765</v>
      </c>
      <c r="F923" s="120" t="s">
        <v>306</v>
      </c>
      <c r="G923" s="120" t="s">
        <v>2396</v>
      </c>
      <c r="H923" s="120">
        <v>2.0</v>
      </c>
      <c r="I923" s="121">
        <v>0.0</v>
      </c>
      <c r="J923" s="121">
        <v>0.0</v>
      </c>
      <c r="K923" s="117"/>
    </row>
    <row r="924" ht="15.75" customHeight="1">
      <c r="A924" s="122" t="s">
        <v>2856</v>
      </c>
      <c r="B924" s="133" t="s">
        <v>2857</v>
      </c>
      <c r="C924" s="120" t="s">
        <v>321</v>
      </c>
      <c r="D924" s="120" t="s">
        <v>1131</v>
      </c>
      <c r="E924" s="120" t="s">
        <v>2765</v>
      </c>
      <c r="F924" s="120" t="s">
        <v>306</v>
      </c>
      <c r="G924" s="120" t="s">
        <v>1130</v>
      </c>
      <c r="H924" s="120">
        <v>1.0</v>
      </c>
      <c r="I924" s="121">
        <v>0.0</v>
      </c>
      <c r="J924" s="121">
        <v>0.0</v>
      </c>
      <c r="K924" s="117"/>
    </row>
    <row r="925" ht="15.75" customHeight="1">
      <c r="A925" s="122" t="s">
        <v>3545</v>
      </c>
      <c r="B925" s="133" t="s">
        <v>3546</v>
      </c>
      <c r="C925" s="120" t="s">
        <v>321</v>
      </c>
      <c r="D925" s="120" t="s">
        <v>951</v>
      </c>
      <c r="E925" s="120" t="s">
        <v>2765</v>
      </c>
      <c r="F925" s="120" t="s">
        <v>306</v>
      </c>
      <c r="G925" s="120" t="s">
        <v>2434</v>
      </c>
      <c r="H925" s="120">
        <v>1.0</v>
      </c>
      <c r="I925" s="121">
        <v>0.0</v>
      </c>
      <c r="J925" s="121">
        <v>0.0</v>
      </c>
      <c r="K925" s="117"/>
    </row>
    <row r="926" ht="15.75" customHeight="1">
      <c r="A926" s="122" t="s">
        <v>3855</v>
      </c>
      <c r="B926" s="133" t="s">
        <v>3856</v>
      </c>
      <c r="C926" s="120" t="s">
        <v>321</v>
      </c>
      <c r="D926" s="120" t="s">
        <v>2340</v>
      </c>
      <c r="E926" s="120" t="s">
        <v>2765</v>
      </c>
      <c r="F926" s="120" t="s">
        <v>306</v>
      </c>
      <c r="G926" s="120" t="s">
        <v>2338</v>
      </c>
      <c r="H926" s="120">
        <v>1.0</v>
      </c>
      <c r="I926" s="121">
        <v>0.0</v>
      </c>
      <c r="J926" s="121">
        <v>2.0</v>
      </c>
      <c r="K926" s="117"/>
    </row>
    <row r="927" ht="15.75" customHeight="1">
      <c r="A927" s="122" t="s">
        <v>3550</v>
      </c>
      <c r="B927" s="133" t="s">
        <v>3551</v>
      </c>
      <c r="C927" s="120" t="s">
        <v>321</v>
      </c>
      <c r="D927" s="120" t="s">
        <v>3552</v>
      </c>
      <c r="E927" s="120" t="s">
        <v>2765</v>
      </c>
      <c r="F927" s="120" t="s">
        <v>306</v>
      </c>
      <c r="G927" s="120" t="s">
        <v>3556</v>
      </c>
      <c r="H927" s="120">
        <v>1.0</v>
      </c>
      <c r="I927" s="121">
        <v>0.0</v>
      </c>
      <c r="J927" s="121">
        <v>2.0</v>
      </c>
      <c r="K927" s="117"/>
    </row>
    <row r="928" ht="15.75" customHeight="1">
      <c r="A928" s="122" t="s">
        <v>3857</v>
      </c>
      <c r="B928" s="133" t="s">
        <v>3858</v>
      </c>
      <c r="C928" s="120" t="s">
        <v>321</v>
      </c>
      <c r="D928" s="120" t="s">
        <v>368</v>
      </c>
      <c r="E928" s="120" t="s">
        <v>2765</v>
      </c>
      <c r="F928" s="120" t="s">
        <v>306</v>
      </c>
      <c r="G928" s="120" t="s">
        <v>369</v>
      </c>
      <c r="H928" s="120">
        <v>1.0</v>
      </c>
      <c r="I928" s="121">
        <v>0.0</v>
      </c>
      <c r="J928" s="121">
        <v>1.0</v>
      </c>
      <c r="K928" s="117"/>
    </row>
    <row r="929" ht="15.75" customHeight="1">
      <c r="A929" s="122" t="s">
        <v>3859</v>
      </c>
      <c r="B929" s="133" t="s">
        <v>3860</v>
      </c>
      <c r="C929" s="120" t="s">
        <v>321</v>
      </c>
      <c r="D929" s="120" t="s">
        <v>3861</v>
      </c>
      <c r="E929" s="120" t="s">
        <v>2765</v>
      </c>
      <c r="F929" s="120" t="s">
        <v>306</v>
      </c>
      <c r="G929" s="120" t="s">
        <v>3862</v>
      </c>
      <c r="H929" s="120">
        <v>1.0</v>
      </c>
      <c r="I929" s="121">
        <v>0.0</v>
      </c>
      <c r="J929" s="121">
        <v>2.0</v>
      </c>
      <c r="K929" s="117"/>
    </row>
    <row r="930" ht="15.75" customHeight="1">
      <c r="A930" s="122" t="s">
        <v>3863</v>
      </c>
      <c r="B930" s="133" t="s">
        <v>3864</v>
      </c>
      <c r="C930" s="120" t="s">
        <v>321</v>
      </c>
      <c r="D930" s="120" t="s">
        <v>3832</v>
      </c>
      <c r="E930" s="120" t="s">
        <v>2765</v>
      </c>
      <c r="F930" s="120" t="s">
        <v>306</v>
      </c>
      <c r="G930" s="120" t="s">
        <v>3865</v>
      </c>
      <c r="H930" s="120">
        <v>1.0</v>
      </c>
      <c r="I930" s="121">
        <v>0.0</v>
      </c>
      <c r="J930" s="121">
        <v>1.0</v>
      </c>
      <c r="K930" s="117"/>
    </row>
    <row r="931" ht="15.75" customHeight="1">
      <c r="A931" s="122" t="s">
        <v>3866</v>
      </c>
      <c r="B931" s="133" t="s">
        <v>3867</v>
      </c>
      <c r="C931" s="120" t="s">
        <v>321</v>
      </c>
      <c r="D931" s="120" t="s">
        <v>2255</v>
      </c>
      <c r="E931" s="120" t="s">
        <v>2765</v>
      </c>
      <c r="F931" s="120" t="s">
        <v>306</v>
      </c>
      <c r="G931" s="120" t="s">
        <v>3868</v>
      </c>
      <c r="H931" s="120">
        <v>1.0</v>
      </c>
      <c r="I931" s="121">
        <v>0.0</v>
      </c>
      <c r="J931" s="121">
        <v>2.0</v>
      </c>
      <c r="K931" s="117"/>
    </row>
    <row r="932" ht="15.75" customHeight="1">
      <c r="A932" s="122" t="s">
        <v>2958</v>
      </c>
      <c r="B932" s="133" t="s">
        <v>2959</v>
      </c>
      <c r="C932" s="120" t="s">
        <v>321</v>
      </c>
      <c r="D932" s="120" t="s">
        <v>2837</v>
      </c>
      <c r="E932" s="120" t="s">
        <v>2765</v>
      </c>
      <c r="F932" s="120" t="s">
        <v>306</v>
      </c>
      <c r="G932" s="120" t="s">
        <v>2840</v>
      </c>
      <c r="H932" s="120">
        <v>1.0</v>
      </c>
      <c r="I932" s="121">
        <v>0.0</v>
      </c>
      <c r="J932" s="121">
        <v>1.0</v>
      </c>
      <c r="K932" s="117"/>
    </row>
    <row r="933" ht="15.75" customHeight="1">
      <c r="A933" s="122" t="s">
        <v>3869</v>
      </c>
      <c r="B933" s="133" t="s">
        <v>3870</v>
      </c>
      <c r="C933" s="120" t="s">
        <v>321</v>
      </c>
      <c r="D933" s="120" t="s">
        <v>2260</v>
      </c>
      <c r="E933" s="120" t="s">
        <v>2765</v>
      </c>
      <c r="F933" s="120" t="s">
        <v>306</v>
      </c>
      <c r="G933" s="120" t="s">
        <v>2259</v>
      </c>
      <c r="H933" s="120">
        <v>1.0</v>
      </c>
      <c r="I933" s="121">
        <v>0.0</v>
      </c>
      <c r="J933" s="121">
        <v>1.0</v>
      </c>
      <c r="K933" s="117"/>
    </row>
    <row r="934" ht="15.75" customHeight="1">
      <c r="A934" s="122" t="s">
        <v>3010</v>
      </c>
      <c r="B934" s="133" t="s">
        <v>3011</v>
      </c>
      <c r="C934" s="120" t="s">
        <v>321</v>
      </c>
      <c r="D934" s="120" t="s">
        <v>3014</v>
      </c>
      <c r="E934" s="120" t="s">
        <v>2765</v>
      </c>
      <c r="F934" s="120" t="s">
        <v>306</v>
      </c>
      <c r="G934" s="120" t="s">
        <v>3016</v>
      </c>
      <c r="H934" s="120">
        <v>1.0</v>
      </c>
      <c r="I934" s="121">
        <v>0.0</v>
      </c>
      <c r="J934" s="121">
        <v>1.0</v>
      </c>
      <c r="K934" s="117"/>
    </row>
    <row r="935" ht="15.75" customHeight="1">
      <c r="A935" s="122" t="s">
        <v>3871</v>
      </c>
      <c r="B935" s="133" t="s">
        <v>3872</v>
      </c>
      <c r="C935" s="120" t="s">
        <v>321</v>
      </c>
      <c r="D935" s="120" t="s">
        <v>2356</v>
      </c>
      <c r="E935" s="120" t="s">
        <v>2765</v>
      </c>
      <c r="F935" s="120" t="s">
        <v>306</v>
      </c>
      <c r="G935" s="120" t="s">
        <v>2355</v>
      </c>
      <c r="H935" s="120">
        <v>1.0</v>
      </c>
      <c r="I935" s="121">
        <v>0.0</v>
      </c>
      <c r="J935" s="121">
        <v>1.0</v>
      </c>
      <c r="K935" s="117"/>
    </row>
    <row r="936" ht="15.75" customHeight="1">
      <c r="A936" s="122" t="s">
        <v>3873</v>
      </c>
      <c r="B936" s="133" t="s">
        <v>3874</v>
      </c>
      <c r="C936" s="120" t="s">
        <v>321</v>
      </c>
      <c r="D936" s="120" t="s">
        <v>2253</v>
      </c>
      <c r="E936" s="120" t="s">
        <v>2765</v>
      </c>
      <c r="F936" s="120" t="s">
        <v>306</v>
      </c>
      <c r="G936" s="120" t="s">
        <v>2252</v>
      </c>
      <c r="H936" s="120">
        <v>1.0</v>
      </c>
      <c r="I936" s="121">
        <v>0.0</v>
      </c>
      <c r="J936" s="121">
        <v>0.0</v>
      </c>
      <c r="K936" s="117"/>
    </row>
    <row r="937" ht="15.75" customHeight="1">
      <c r="A937" s="122" t="s">
        <v>3875</v>
      </c>
      <c r="B937" s="133" t="s">
        <v>3876</v>
      </c>
      <c r="C937" s="120" t="s">
        <v>321</v>
      </c>
      <c r="D937" s="120" t="s">
        <v>3790</v>
      </c>
      <c r="E937" s="120" t="s">
        <v>2765</v>
      </c>
      <c r="F937" s="120" t="s">
        <v>306</v>
      </c>
      <c r="G937" s="120" t="s">
        <v>3791</v>
      </c>
      <c r="H937" s="120">
        <v>1.0</v>
      </c>
      <c r="I937" s="121">
        <v>0.0</v>
      </c>
      <c r="J937" s="121">
        <v>1.0</v>
      </c>
      <c r="K937" s="117"/>
    </row>
    <row r="938" ht="15.75" customHeight="1">
      <c r="A938" s="122" t="s">
        <v>3877</v>
      </c>
      <c r="B938" s="133" t="s">
        <v>3878</v>
      </c>
      <c r="C938" s="120" t="s">
        <v>321</v>
      </c>
      <c r="D938" s="120" t="s">
        <v>3790</v>
      </c>
      <c r="E938" s="120" t="s">
        <v>2765</v>
      </c>
      <c r="F938" s="120" t="s">
        <v>306</v>
      </c>
      <c r="G938" s="120" t="s">
        <v>3791</v>
      </c>
      <c r="H938" s="120">
        <v>1.0</v>
      </c>
      <c r="I938" s="121">
        <v>0.0</v>
      </c>
      <c r="J938" s="121">
        <v>1.0</v>
      </c>
      <c r="K938" s="117"/>
    </row>
    <row r="939" ht="15.75" customHeight="1">
      <c r="A939" s="122" t="s">
        <v>3879</v>
      </c>
      <c r="B939" s="133" t="s">
        <v>3880</v>
      </c>
      <c r="C939" s="120" t="s">
        <v>321</v>
      </c>
      <c r="D939" s="120" t="s">
        <v>3790</v>
      </c>
      <c r="E939" s="120" t="s">
        <v>2765</v>
      </c>
      <c r="F939" s="120" t="s">
        <v>306</v>
      </c>
      <c r="G939" s="120" t="s">
        <v>3791</v>
      </c>
      <c r="H939" s="120">
        <v>1.0</v>
      </c>
      <c r="I939" s="121">
        <v>0.0</v>
      </c>
      <c r="J939" s="121">
        <v>1.0</v>
      </c>
      <c r="K939" s="117"/>
    </row>
    <row r="940" ht="15.75" customHeight="1">
      <c r="A940" s="122" t="s">
        <v>3881</v>
      </c>
      <c r="B940" s="133" t="s">
        <v>3882</v>
      </c>
      <c r="C940" s="120" t="s">
        <v>321</v>
      </c>
      <c r="D940" s="120" t="s">
        <v>2349</v>
      </c>
      <c r="E940" s="120" t="s">
        <v>2765</v>
      </c>
      <c r="F940" s="120" t="s">
        <v>306</v>
      </c>
      <c r="G940" s="120" t="s">
        <v>2348</v>
      </c>
      <c r="H940" s="120">
        <v>1.0</v>
      </c>
      <c r="I940" s="121">
        <v>0.0</v>
      </c>
      <c r="J940" s="121">
        <v>1.0</v>
      </c>
      <c r="K940" s="117"/>
    </row>
    <row r="941" ht="15.75" customHeight="1">
      <c r="A941" s="122" t="s">
        <v>3883</v>
      </c>
      <c r="B941" s="133" t="s">
        <v>3884</v>
      </c>
      <c r="C941" s="120" t="s">
        <v>321</v>
      </c>
      <c r="D941" s="120" t="s">
        <v>330</v>
      </c>
      <c r="E941" s="120" t="s">
        <v>2765</v>
      </c>
      <c r="F941" s="120" t="s">
        <v>306</v>
      </c>
      <c r="G941" s="120" t="s">
        <v>3885</v>
      </c>
      <c r="H941" s="120">
        <v>1.0</v>
      </c>
      <c r="I941" s="121">
        <v>0.0</v>
      </c>
      <c r="J941" s="121">
        <v>1.0</v>
      </c>
      <c r="K941" s="117"/>
    </row>
    <row r="942" ht="15.75" customHeight="1">
      <c r="A942" s="122" t="s">
        <v>3886</v>
      </c>
      <c r="B942" s="133" t="s">
        <v>3887</v>
      </c>
      <c r="C942" s="120" t="s">
        <v>321</v>
      </c>
      <c r="D942" s="120" t="s">
        <v>2421</v>
      </c>
      <c r="E942" s="120" t="s">
        <v>2765</v>
      </c>
      <c r="F942" s="120" t="s">
        <v>306</v>
      </c>
      <c r="G942" s="120" t="s">
        <v>2420</v>
      </c>
      <c r="H942" s="120">
        <v>1.0</v>
      </c>
      <c r="I942" s="121">
        <v>0.0</v>
      </c>
      <c r="J942" s="121">
        <v>2.0</v>
      </c>
      <c r="K942" s="117"/>
    </row>
    <row r="943" ht="15.75" customHeight="1">
      <c r="A943" s="122" t="s">
        <v>3888</v>
      </c>
      <c r="B943" s="133" t="s">
        <v>3889</v>
      </c>
      <c r="C943" s="120" t="s">
        <v>321</v>
      </c>
      <c r="D943" s="120" t="s">
        <v>3890</v>
      </c>
      <c r="E943" s="120" t="s">
        <v>2765</v>
      </c>
      <c r="F943" s="120" t="s">
        <v>306</v>
      </c>
      <c r="G943" s="120" t="s">
        <v>3891</v>
      </c>
      <c r="H943" s="120">
        <v>1.0</v>
      </c>
      <c r="I943" s="121">
        <v>0.0</v>
      </c>
      <c r="J943" s="121">
        <v>0.0</v>
      </c>
      <c r="K943" s="117"/>
    </row>
    <row r="944" ht="15.75" customHeight="1">
      <c r="A944" s="122"/>
      <c r="B944" s="133"/>
      <c r="C944" s="120"/>
      <c r="D944" s="120"/>
      <c r="E944" s="120"/>
      <c r="F944" s="120"/>
      <c r="G944" s="120"/>
      <c r="H944" s="120"/>
      <c r="I944" s="121"/>
      <c r="J944" s="121"/>
      <c r="K944" s="117"/>
    </row>
    <row r="945" ht="15.75" customHeight="1">
      <c r="A945" s="122"/>
      <c r="B945" s="133"/>
      <c r="C945" s="120"/>
      <c r="D945" s="120"/>
      <c r="E945" s="120"/>
      <c r="F945" s="120"/>
      <c r="G945" s="120"/>
      <c r="H945" s="120"/>
      <c r="I945" s="121"/>
      <c r="J945" s="121"/>
      <c r="K945" s="117"/>
    </row>
    <row r="946" ht="15.75" customHeight="1">
      <c r="A946" s="122"/>
      <c r="B946" s="133"/>
      <c r="C946" s="120"/>
      <c r="D946" s="120"/>
      <c r="E946" s="120"/>
      <c r="F946" s="120"/>
      <c r="G946" s="120"/>
      <c r="H946" s="120"/>
      <c r="I946" s="121"/>
      <c r="J946" s="121"/>
      <c r="K946" s="117"/>
    </row>
    <row r="947" ht="15.75" customHeight="1">
      <c r="A947" s="122"/>
      <c r="B947" s="133"/>
      <c r="C947" s="120"/>
      <c r="D947" s="120"/>
      <c r="E947" s="120"/>
      <c r="F947" s="120"/>
      <c r="G947" s="120"/>
      <c r="H947" s="120"/>
      <c r="I947" s="121"/>
      <c r="J947" s="121"/>
      <c r="K947" s="117"/>
    </row>
    <row r="948" ht="15.75" customHeight="1">
      <c r="A948" s="122"/>
      <c r="B948" s="133"/>
      <c r="C948" s="120"/>
      <c r="D948" s="120"/>
      <c r="E948" s="120"/>
      <c r="F948" s="120"/>
      <c r="G948" s="120"/>
      <c r="H948" s="120"/>
      <c r="I948" s="121"/>
      <c r="J948" s="121"/>
      <c r="K948" s="117"/>
    </row>
    <row r="949" ht="15.75" customHeight="1">
      <c r="A949" s="122"/>
      <c r="B949" s="133"/>
      <c r="C949" s="120"/>
      <c r="D949" s="120"/>
      <c r="E949" s="120"/>
      <c r="F949" s="120"/>
      <c r="G949" s="120"/>
      <c r="H949" s="120"/>
      <c r="I949" s="121"/>
      <c r="J949" s="121"/>
      <c r="K949" s="117"/>
    </row>
    <row r="950" ht="15.75" customHeight="1">
      <c r="A950" s="122"/>
      <c r="B950" s="133"/>
      <c r="C950" s="120"/>
      <c r="D950" s="120"/>
      <c r="E950" s="120"/>
      <c r="F950" s="120"/>
      <c r="G950" s="120"/>
      <c r="H950" s="120"/>
      <c r="I950" s="121"/>
      <c r="J950" s="121"/>
      <c r="K950" s="117"/>
    </row>
    <row r="951" ht="15.75" customHeight="1">
      <c r="A951" s="122"/>
      <c r="B951" s="133"/>
      <c r="C951" s="120"/>
      <c r="D951" s="120"/>
      <c r="E951" s="120"/>
      <c r="F951" s="120"/>
      <c r="G951" s="120"/>
      <c r="H951" s="120"/>
      <c r="I951" s="121"/>
      <c r="J951" s="121"/>
      <c r="K951" s="117"/>
    </row>
    <row r="952" ht="15.75" customHeight="1">
      <c r="A952" s="122"/>
      <c r="B952" s="133"/>
      <c r="C952" s="120"/>
      <c r="D952" s="120"/>
      <c r="E952" s="120"/>
      <c r="F952" s="120"/>
      <c r="G952" s="120"/>
      <c r="H952" s="120"/>
      <c r="I952" s="121"/>
      <c r="J952" s="121"/>
      <c r="K952" s="117"/>
    </row>
    <row r="953" ht="15.75" customHeight="1">
      <c r="A953" s="122"/>
      <c r="B953" s="133"/>
      <c r="C953" s="120"/>
      <c r="D953" s="120"/>
      <c r="E953" s="120"/>
      <c r="F953" s="120"/>
      <c r="G953" s="120"/>
      <c r="H953" s="120"/>
      <c r="I953" s="121"/>
      <c r="J953" s="121"/>
      <c r="K953" s="117"/>
    </row>
    <row r="954" ht="15.75" customHeight="1">
      <c r="A954" s="122"/>
      <c r="B954" s="133"/>
      <c r="C954" s="120"/>
      <c r="D954" s="120"/>
      <c r="E954" s="120"/>
      <c r="F954" s="120"/>
      <c r="G954" s="120"/>
      <c r="H954" s="120"/>
      <c r="I954" s="121"/>
      <c r="J954" s="121"/>
      <c r="K954" s="117"/>
    </row>
    <row r="955" ht="15.75" customHeight="1">
      <c r="A955" s="122"/>
      <c r="B955" s="133"/>
      <c r="C955" s="120"/>
      <c r="D955" s="120"/>
      <c r="E955" s="120"/>
      <c r="F955" s="120"/>
      <c r="G955" s="120"/>
      <c r="H955" s="120"/>
      <c r="I955" s="121"/>
      <c r="J955" s="121"/>
      <c r="K955" s="117"/>
    </row>
    <row r="956" ht="15.75" customHeight="1">
      <c r="A956" s="122"/>
      <c r="B956" s="133"/>
      <c r="C956" s="120"/>
      <c r="D956" s="120"/>
      <c r="E956" s="120"/>
      <c r="F956" s="120"/>
      <c r="G956" s="120"/>
      <c r="H956" s="120"/>
      <c r="I956" s="121"/>
      <c r="J956" s="121"/>
      <c r="K956" s="117"/>
    </row>
    <row r="957" ht="15.75" customHeight="1">
      <c r="A957" s="122"/>
      <c r="B957" s="133"/>
      <c r="C957" s="120"/>
      <c r="D957" s="120"/>
      <c r="E957" s="120"/>
      <c r="F957" s="120"/>
      <c r="G957" s="120"/>
      <c r="H957" s="120"/>
      <c r="I957" s="121"/>
      <c r="J957" s="121"/>
      <c r="K957" s="117"/>
    </row>
    <row r="958" ht="15.75" customHeight="1">
      <c r="A958" s="122"/>
      <c r="B958" s="133"/>
      <c r="C958" s="120"/>
      <c r="D958" s="120"/>
      <c r="E958" s="120"/>
      <c r="F958" s="120"/>
      <c r="G958" s="120"/>
      <c r="H958" s="120"/>
      <c r="I958" s="121"/>
      <c r="J958" s="121"/>
      <c r="K958" s="117"/>
    </row>
    <row r="959" ht="15.75" customHeight="1">
      <c r="A959" s="122"/>
      <c r="B959" s="133"/>
      <c r="C959" s="120"/>
      <c r="D959" s="120"/>
      <c r="E959" s="120"/>
      <c r="F959" s="120"/>
      <c r="G959" s="120"/>
      <c r="H959" s="120"/>
      <c r="I959" s="121"/>
      <c r="J959" s="121"/>
      <c r="K959" s="117"/>
    </row>
    <row r="960" ht="15.75" customHeight="1">
      <c r="A960" s="122"/>
      <c r="B960" s="133"/>
      <c r="C960" s="120"/>
      <c r="D960" s="120"/>
      <c r="E960" s="120"/>
      <c r="F960" s="120"/>
      <c r="G960" s="120"/>
      <c r="H960" s="120"/>
      <c r="I960" s="121"/>
      <c r="J960" s="121"/>
      <c r="K960" s="117"/>
    </row>
    <row r="961" ht="15.75" customHeight="1">
      <c r="A961" s="122"/>
      <c r="B961" s="133"/>
      <c r="C961" s="120"/>
      <c r="D961" s="120"/>
      <c r="E961" s="120"/>
      <c r="F961" s="120"/>
      <c r="G961" s="120"/>
      <c r="H961" s="120"/>
      <c r="I961" s="121"/>
      <c r="J961" s="121"/>
      <c r="K961" s="117"/>
    </row>
    <row r="962" ht="15.75" customHeight="1">
      <c r="A962" s="122"/>
      <c r="B962" s="133"/>
      <c r="C962" s="120"/>
      <c r="D962" s="120"/>
      <c r="E962" s="120"/>
      <c r="F962" s="120"/>
      <c r="G962" s="120"/>
      <c r="H962" s="120"/>
      <c r="I962" s="121"/>
      <c r="J962" s="121"/>
      <c r="K962" s="117"/>
    </row>
    <row r="963" ht="15.75" customHeight="1">
      <c r="A963" s="122"/>
      <c r="B963" s="133"/>
      <c r="C963" s="120"/>
      <c r="D963" s="120"/>
      <c r="E963" s="120"/>
      <c r="F963" s="120"/>
      <c r="G963" s="120"/>
      <c r="H963" s="120"/>
      <c r="I963" s="121"/>
      <c r="J963" s="121"/>
      <c r="K963" s="117"/>
    </row>
    <row r="964" ht="15.75" customHeight="1">
      <c r="A964" s="122"/>
      <c r="B964" s="133"/>
      <c r="C964" s="120"/>
      <c r="D964" s="120"/>
      <c r="E964" s="120"/>
      <c r="F964" s="120"/>
      <c r="G964" s="120"/>
      <c r="H964" s="120"/>
      <c r="I964" s="121"/>
      <c r="J964" s="121"/>
      <c r="K964" s="117"/>
    </row>
    <row r="965" ht="15.75" customHeight="1">
      <c r="A965" s="122"/>
      <c r="B965" s="133"/>
      <c r="C965" s="120"/>
      <c r="D965" s="120"/>
      <c r="E965" s="120"/>
      <c r="F965" s="120"/>
      <c r="G965" s="120"/>
      <c r="H965" s="120"/>
      <c r="I965" s="121"/>
      <c r="J965" s="121"/>
      <c r="K965" s="117"/>
    </row>
    <row r="966" ht="15.75" customHeight="1">
      <c r="A966" s="122"/>
      <c r="B966" s="133"/>
      <c r="C966" s="120"/>
      <c r="D966" s="120"/>
      <c r="E966" s="120"/>
      <c r="F966" s="120"/>
      <c r="G966" s="120"/>
      <c r="H966" s="120"/>
      <c r="I966" s="121"/>
      <c r="J966" s="121"/>
      <c r="K966" s="117"/>
    </row>
    <row r="967" ht="15.75" customHeight="1">
      <c r="A967" s="122"/>
      <c r="B967" s="133"/>
      <c r="C967" s="120"/>
      <c r="D967" s="120"/>
      <c r="E967" s="120"/>
      <c r="F967" s="120"/>
      <c r="G967" s="120"/>
      <c r="H967" s="120"/>
      <c r="I967" s="121"/>
      <c r="J967" s="121"/>
      <c r="K967" s="117"/>
    </row>
    <row r="968" ht="15.75" customHeight="1">
      <c r="A968" s="122"/>
      <c r="B968" s="133"/>
      <c r="C968" s="120"/>
      <c r="D968" s="120"/>
      <c r="E968" s="120"/>
      <c r="F968" s="120"/>
      <c r="G968" s="120"/>
      <c r="H968" s="120"/>
      <c r="I968" s="121"/>
      <c r="J968" s="121"/>
      <c r="K968" s="117"/>
    </row>
    <row r="969" ht="15.75" customHeight="1">
      <c r="A969" s="122"/>
      <c r="B969" s="133"/>
      <c r="C969" s="120"/>
      <c r="D969" s="120"/>
      <c r="E969" s="120"/>
      <c r="F969" s="120"/>
      <c r="G969" s="120"/>
      <c r="H969" s="120"/>
      <c r="I969" s="121"/>
      <c r="J969" s="121"/>
      <c r="K969" s="117"/>
    </row>
    <row r="970" ht="15.75" customHeight="1">
      <c r="A970" s="122"/>
      <c r="B970" s="133"/>
      <c r="C970" s="120"/>
      <c r="D970" s="120"/>
      <c r="E970" s="120"/>
      <c r="F970" s="120"/>
      <c r="G970" s="120"/>
      <c r="H970" s="120"/>
      <c r="I970" s="121"/>
      <c r="J970" s="121"/>
      <c r="K970" s="117"/>
    </row>
    <row r="971" ht="15.75" customHeight="1">
      <c r="A971" s="122"/>
      <c r="B971" s="133"/>
      <c r="C971" s="120"/>
      <c r="D971" s="120"/>
      <c r="E971" s="120"/>
      <c r="F971" s="120"/>
      <c r="G971" s="120"/>
      <c r="H971" s="120"/>
      <c r="I971" s="121"/>
      <c r="J971" s="121"/>
      <c r="K971" s="117"/>
    </row>
    <row r="972" ht="15.75" customHeight="1">
      <c r="A972" s="122"/>
      <c r="B972" s="133"/>
      <c r="C972" s="120"/>
      <c r="D972" s="120"/>
      <c r="E972" s="120"/>
      <c r="F972" s="120"/>
      <c r="G972" s="120"/>
      <c r="H972" s="120"/>
      <c r="I972" s="121"/>
      <c r="J972" s="121"/>
      <c r="K972" s="117"/>
    </row>
    <row r="973" ht="15.75" customHeight="1">
      <c r="A973" s="122"/>
      <c r="B973" s="133"/>
      <c r="C973" s="120"/>
      <c r="D973" s="120"/>
      <c r="E973" s="120"/>
      <c r="F973" s="120"/>
      <c r="G973" s="120"/>
      <c r="H973" s="120"/>
      <c r="I973" s="121"/>
      <c r="J973" s="121"/>
      <c r="K973" s="117"/>
    </row>
    <row r="974" ht="15.75" customHeight="1">
      <c r="A974" s="122"/>
      <c r="B974" s="133"/>
      <c r="C974" s="120"/>
      <c r="D974" s="120"/>
      <c r="E974" s="120"/>
      <c r="F974" s="120"/>
      <c r="G974" s="120"/>
      <c r="H974" s="120"/>
      <c r="I974" s="121"/>
      <c r="J974" s="121"/>
      <c r="K974" s="117"/>
    </row>
    <row r="975" ht="15.75" customHeight="1">
      <c r="A975" s="122"/>
      <c r="B975" s="133"/>
      <c r="C975" s="120"/>
      <c r="D975" s="120"/>
      <c r="E975" s="120"/>
      <c r="F975" s="120"/>
      <c r="G975" s="120"/>
      <c r="H975" s="120"/>
      <c r="I975" s="121"/>
      <c r="J975" s="121"/>
      <c r="K975" s="117"/>
    </row>
    <row r="976" ht="15.75" customHeight="1">
      <c r="A976" s="122"/>
      <c r="B976" s="133"/>
      <c r="C976" s="120"/>
      <c r="D976" s="120"/>
      <c r="E976" s="120"/>
      <c r="F976" s="120"/>
      <c r="G976" s="120"/>
      <c r="H976" s="120"/>
      <c r="I976" s="121"/>
      <c r="J976" s="121"/>
      <c r="K976" s="117"/>
    </row>
    <row r="977" ht="15.75" customHeight="1">
      <c r="A977" s="122"/>
      <c r="B977" s="133"/>
      <c r="C977" s="120"/>
      <c r="D977" s="120"/>
      <c r="E977" s="120"/>
      <c r="F977" s="120"/>
      <c r="G977" s="120"/>
      <c r="H977" s="120"/>
      <c r="I977" s="121"/>
      <c r="J977" s="121"/>
      <c r="K977" s="117"/>
    </row>
    <row r="978" ht="15.75" customHeight="1">
      <c r="A978" s="122"/>
      <c r="B978" s="133"/>
      <c r="C978" s="120"/>
      <c r="D978" s="120"/>
      <c r="E978" s="120"/>
      <c r="F978" s="120"/>
      <c r="G978" s="120"/>
      <c r="H978" s="120"/>
      <c r="I978" s="121"/>
      <c r="J978" s="121"/>
      <c r="K978" s="117"/>
    </row>
    <row r="979" ht="15.75" customHeight="1">
      <c r="A979" s="122"/>
      <c r="B979" s="133"/>
      <c r="C979" s="120"/>
      <c r="D979" s="120"/>
      <c r="E979" s="120"/>
      <c r="F979" s="120"/>
      <c r="G979" s="120"/>
      <c r="H979" s="120"/>
      <c r="I979" s="121"/>
      <c r="J979" s="121"/>
      <c r="K979" s="117"/>
    </row>
    <row r="980" ht="15.75" customHeight="1">
      <c r="A980" s="122"/>
      <c r="B980" s="133"/>
      <c r="C980" s="120"/>
      <c r="D980" s="120"/>
      <c r="E980" s="120"/>
      <c r="F980" s="120"/>
      <c r="G980" s="120"/>
      <c r="H980" s="120"/>
      <c r="I980" s="121"/>
      <c r="J980" s="121"/>
      <c r="K980" s="117"/>
    </row>
    <row r="981" ht="15.75" customHeight="1">
      <c r="A981" s="122"/>
      <c r="B981" s="133"/>
      <c r="C981" s="120"/>
      <c r="D981" s="120"/>
      <c r="E981" s="120"/>
      <c r="F981" s="120"/>
      <c r="G981" s="120"/>
      <c r="H981" s="120"/>
      <c r="I981" s="121"/>
      <c r="J981" s="121"/>
      <c r="K981" s="117"/>
    </row>
    <row r="982" ht="15.75" customHeight="1">
      <c r="A982" s="122"/>
      <c r="B982" s="133"/>
      <c r="C982" s="120"/>
      <c r="D982" s="120"/>
      <c r="E982" s="120"/>
      <c r="F982" s="120"/>
      <c r="G982" s="120"/>
      <c r="H982" s="120"/>
      <c r="I982" s="121"/>
      <c r="J982" s="121"/>
      <c r="K982" s="117"/>
    </row>
    <row r="983" ht="15.75" customHeight="1">
      <c r="A983" s="122"/>
      <c r="B983" s="133"/>
      <c r="C983" s="120"/>
      <c r="D983" s="120"/>
      <c r="E983" s="120"/>
      <c r="F983" s="120"/>
      <c r="G983" s="120"/>
      <c r="H983" s="120"/>
      <c r="I983" s="121"/>
      <c r="J983" s="121"/>
      <c r="K983" s="117"/>
    </row>
    <row r="984" ht="15.75" customHeight="1">
      <c r="A984" s="122"/>
      <c r="B984" s="133"/>
      <c r="C984" s="120"/>
      <c r="D984" s="120"/>
      <c r="E984" s="120"/>
      <c r="F984" s="120"/>
      <c r="G984" s="120"/>
      <c r="H984" s="120"/>
      <c r="I984" s="121"/>
      <c r="J984" s="121"/>
      <c r="K984" s="117"/>
    </row>
    <row r="985" ht="15.75" customHeight="1">
      <c r="A985" s="122"/>
      <c r="B985" s="133"/>
      <c r="C985" s="120"/>
      <c r="D985" s="120"/>
      <c r="E985" s="120"/>
      <c r="F985" s="120"/>
      <c r="G985" s="120"/>
      <c r="H985" s="120"/>
      <c r="I985" s="121"/>
      <c r="J985" s="121"/>
      <c r="K985" s="117"/>
    </row>
    <row r="986" ht="15.75" customHeight="1">
      <c r="A986" s="122"/>
      <c r="B986" s="133"/>
      <c r="C986" s="120"/>
      <c r="D986" s="120"/>
      <c r="E986" s="120"/>
      <c r="F986" s="120"/>
      <c r="G986" s="120"/>
      <c r="H986" s="120"/>
      <c r="I986" s="121"/>
      <c r="J986" s="121"/>
      <c r="K986" s="117"/>
    </row>
    <row r="987" ht="15.75" customHeight="1">
      <c r="A987" s="122"/>
      <c r="B987" s="133"/>
      <c r="C987" s="120"/>
      <c r="D987" s="120"/>
      <c r="E987" s="120"/>
      <c r="F987" s="120"/>
      <c r="G987" s="120"/>
      <c r="H987" s="120"/>
      <c r="I987" s="121"/>
      <c r="J987" s="121"/>
      <c r="K987" s="117"/>
    </row>
    <row r="988" ht="15.75" customHeight="1">
      <c r="A988" s="122"/>
      <c r="B988" s="133"/>
      <c r="C988" s="120"/>
      <c r="D988" s="120"/>
      <c r="E988" s="120"/>
      <c r="F988" s="120"/>
      <c r="G988" s="120"/>
      <c r="H988" s="120"/>
      <c r="I988" s="121"/>
      <c r="J988" s="121"/>
      <c r="K988" s="117"/>
    </row>
    <row r="989" ht="15.75" customHeight="1">
      <c r="A989" s="122"/>
      <c r="B989" s="133"/>
      <c r="C989" s="120"/>
      <c r="D989" s="120"/>
      <c r="E989" s="120"/>
      <c r="F989" s="120"/>
      <c r="G989" s="120"/>
      <c r="H989" s="120"/>
      <c r="I989" s="121"/>
      <c r="J989" s="121"/>
      <c r="K989" s="117"/>
    </row>
    <row r="990" ht="15.75" customHeight="1">
      <c r="A990" s="122"/>
      <c r="B990" s="133"/>
      <c r="C990" s="120"/>
      <c r="D990" s="120"/>
      <c r="E990" s="120"/>
      <c r="F990" s="120"/>
      <c r="G990" s="120"/>
      <c r="H990" s="120"/>
      <c r="I990" s="121"/>
      <c r="J990" s="121"/>
      <c r="K990" s="117"/>
    </row>
    <row r="991" ht="15.75" customHeight="1">
      <c r="A991" s="122"/>
      <c r="B991" s="133"/>
      <c r="C991" s="120"/>
      <c r="D991" s="120"/>
      <c r="E991" s="120"/>
      <c r="F991" s="120"/>
      <c r="G991" s="120"/>
      <c r="H991" s="120"/>
      <c r="I991" s="121"/>
      <c r="J991" s="121"/>
      <c r="K991" s="117"/>
    </row>
    <row r="992" ht="15.75" customHeight="1">
      <c r="A992" s="122"/>
      <c r="B992" s="133"/>
      <c r="C992" s="120"/>
      <c r="D992" s="120"/>
      <c r="E992" s="120"/>
      <c r="F992" s="120"/>
      <c r="G992" s="120"/>
      <c r="H992" s="120"/>
      <c r="I992" s="121"/>
      <c r="J992" s="121"/>
      <c r="K992" s="117"/>
    </row>
    <row r="993" ht="15.75" customHeight="1">
      <c r="A993" s="122"/>
      <c r="B993" s="133"/>
      <c r="C993" s="120"/>
      <c r="D993" s="120"/>
      <c r="E993" s="120"/>
      <c r="F993" s="120"/>
      <c r="G993" s="120"/>
      <c r="H993" s="120"/>
      <c r="I993" s="121"/>
      <c r="J993" s="121"/>
      <c r="K993" s="117"/>
    </row>
    <row r="994" ht="15.75" customHeight="1">
      <c r="A994" s="122"/>
      <c r="B994" s="133"/>
      <c r="C994" s="120"/>
      <c r="D994" s="120"/>
      <c r="E994" s="120"/>
      <c r="F994" s="120"/>
      <c r="G994" s="120"/>
      <c r="H994" s="120"/>
      <c r="I994" s="121"/>
      <c r="J994" s="121"/>
      <c r="K994" s="117"/>
    </row>
    <row r="995" ht="15.75" customHeight="1">
      <c r="A995" s="122"/>
      <c r="B995" s="133"/>
      <c r="C995" s="120"/>
      <c r="D995" s="120"/>
      <c r="E995" s="120"/>
      <c r="F995" s="120"/>
      <c r="G995" s="120"/>
      <c r="H995" s="120"/>
      <c r="I995" s="121"/>
      <c r="J995" s="121"/>
      <c r="K995" s="117"/>
    </row>
    <row r="996" ht="15.75" customHeight="1">
      <c r="A996" s="122"/>
      <c r="B996" s="133"/>
      <c r="C996" s="120"/>
      <c r="D996" s="120"/>
      <c r="E996" s="120"/>
      <c r="F996" s="120"/>
      <c r="G996" s="120"/>
      <c r="H996" s="120"/>
      <c r="I996" s="121"/>
      <c r="J996" s="121"/>
      <c r="K996" s="117"/>
    </row>
    <row r="997" ht="15.75" customHeight="1">
      <c r="A997" s="122"/>
      <c r="B997" s="133"/>
      <c r="C997" s="120"/>
      <c r="D997" s="120"/>
      <c r="E997" s="120"/>
      <c r="F997" s="120"/>
      <c r="G997" s="120"/>
      <c r="H997" s="120"/>
      <c r="I997" s="121"/>
      <c r="J997" s="121"/>
      <c r="K997" s="117"/>
    </row>
    <row r="998" ht="15.75" customHeight="1">
      <c r="A998" s="122"/>
      <c r="B998" s="133"/>
      <c r="C998" s="120"/>
      <c r="D998" s="120"/>
      <c r="E998" s="120"/>
      <c r="F998" s="120"/>
      <c r="G998" s="120"/>
      <c r="H998" s="120"/>
      <c r="I998" s="121"/>
      <c r="J998" s="121"/>
      <c r="K998" s="117"/>
    </row>
    <row r="999" ht="15.75" customHeight="1">
      <c r="A999" s="122"/>
      <c r="B999" s="133"/>
      <c r="C999" s="120"/>
      <c r="D999" s="120"/>
      <c r="E999" s="120"/>
      <c r="F999" s="120"/>
      <c r="G999" s="120"/>
      <c r="H999" s="120"/>
      <c r="I999" s="121"/>
      <c r="J999" s="121"/>
      <c r="K999" s="117"/>
    </row>
    <row r="1000" ht="15.75" customHeight="1">
      <c r="A1000" s="122"/>
      <c r="B1000" s="133"/>
      <c r="C1000" s="120"/>
      <c r="D1000" s="120"/>
      <c r="E1000" s="120"/>
      <c r="F1000" s="120"/>
      <c r="G1000" s="120"/>
      <c r="H1000" s="120"/>
      <c r="I1000" s="121"/>
      <c r="J1000" s="121"/>
      <c r="K1000" s="117"/>
    </row>
    <row r="1001" ht="15.75" customHeight="1">
      <c r="A1001" s="122"/>
      <c r="B1001" s="133"/>
      <c r="C1001" s="120"/>
      <c r="D1001" s="120"/>
      <c r="E1001" s="120"/>
      <c r="F1001" s="120"/>
      <c r="G1001" s="120"/>
      <c r="H1001" s="120"/>
      <c r="I1001" s="121"/>
      <c r="J1001" s="121"/>
      <c r="K1001" s="117"/>
    </row>
    <row r="1002" ht="15.75" customHeight="1">
      <c r="A1002" s="122"/>
      <c r="B1002" s="133"/>
      <c r="C1002" s="120"/>
      <c r="D1002" s="120"/>
      <c r="E1002" s="120"/>
      <c r="F1002" s="120"/>
      <c r="G1002" s="120"/>
      <c r="H1002" s="120"/>
      <c r="I1002" s="121"/>
      <c r="J1002" s="121"/>
      <c r="K1002" s="117"/>
    </row>
    <row r="1003" ht="15.75" customHeight="1">
      <c r="A1003" s="122"/>
      <c r="B1003" s="133"/>
      <c r="C1003" s="120"/>
      <c r="D1003" s="120"/>
      <c r="E1003" s="120"/>
      <c r="F1003" s="120"/>
      <c r="G1003" s="120"/>
      <c r="H1003" s="120"/>
      <c r="I1003" s="121"/>
      <c r="J1003" s="121"/>
      <c r="K1003" s="117"/>
    </row>
    <row r="1004" ht="15.75" customHeight="1">
      <c r="A1004" s="122"/>
      <c r="B1004" s="133"/>
      <c r="C1004" s="120"/>
      <c r="D1004" s="120"/>
      <c r="E1004" s="120"/>
      <c r="F1004" s="120"/>
      <c r="G1004" s="120"/>
      <c r="H1004" s="120"/>
      <c r="I1004" s="121"/>
      <c r="J1004" s="121"/>
      <c r="K1004" s="117"/>
    </row>
    <row r="1005" ht="15.75" customHeight="1">
      <c r="A1005" s="122"/>
      <c r="B1005" s="133"/>
      <c r="C1005" s="120"/>
      <c r="D1005" s="120"/>
      <c r="E1005" s="120"/>
      <c r="F1005" s="120"/>
      <c r="G1005" s="120"/>
      <c r="H1005" s="120"/>
      <c r="I1005" s="121"/>
      <c r="J1005" s="121"/>
      <c r="K1005" s="117"/>
    </row>
    <row r="1006" ht="15.75" customHeight="1">
      <c r="A1006" s="122"/>
      <c r="B1006" s="133"/>
      <c r="C1006" s="120"/>
      <c r="D1006" s="120"/>
      <c r="E1006" s="120"/>
      <c r="F1006" s="120"/>
      <c r="G1006" s="120"/>
      <c r="H1006" s="120"/>
      <c r="I1006" s="121"/>
      <c r="J1006" s="121"/>
      <c r="K1006" s="117"/>
    </row>
    <row r="1007" ht="15.75" customHeight="1">
      <c r="A1007" s="122"/>
      <c r="B1007" s="133"/>
      <c r="C1007" s="120"/>
      <c r="D1007" s="120"/>
      <c r="E1007" s="120"/>
      <c r="F1007" s="120"/>
      <c r="G1007" s="120"/>
      <c r="H1007" s="120"/>
      <c r="I1007" s="121"/>
      <c r="J1007" s="121"/>
      <c r="K1007" s="117"/>
    </row>
    <row r="1008" ht="15.75" customHeight="1">
      <c r="A1008" s="122"/>
      <c r="B1008" s="133"/>
      <c r="C1008" s="120"/>
      <c r="D1008" s="120"/>
      <c r="E1008" s="120"/>
      <c r="F1008" s="120"/>
      <c r="G1008" s="120"/>
      <c r="H1008" s="120"/>
      <c r="I1008" s="121"/>
      <c r="J1008" s="121"/>
      <c r="K1008" s="117"/>
    </row>
    <row r="1009" ht="15.75" customHeight="1">
      <c r="A1009" s="122"/>
      <c r="B1009" s="133"/>
      <c r="C1009" s="120"/>
      <c r="D1009" s="120"/>
      <c r="E1009" s="120"/>
      <c r="F1009" s="120"/>
      <c r="G1009" s="120"/>
      <c r="H1009" s="120"/>
      <c r="I1009" s="121"/>
      <c r="J1009" s="121"/>
      <c r="K1009" s="117"/>
    </row>
    <row r="1010" ht="15.75" customHeight="1">
      <c r="A1010" s="122"/>
      <c r="B1010" s="133"/>
      <c r="C1010" s="120"/>
      <c r="D1010" s="120"/>
      <c r="E1010" s="120"/>
      <c r="F1010" s="120"/>
      <c r="G1010" s="120"/>
      <c r="H1010" s="120"/>
      <c r="I1010" s="121"/>
      <c r="J1010" s="121"/>
      <c r="K1010" s="117"/>
    </row>
    <row r="1011" ht="15.75" customHeight="1">
      <c r="A1011" s="122"/>
      <c r="B1011" s="133"/>
      <c r="C1011" s="120"/>
      <c r="D1011" s="120"/>
      <c r="E1011" s="120"/>
      <c r="F1011" s="120"/>
      <c r="G1011" s="120"/>
      <c r="H1011" s="120"/>
      <c r="I1011" s="121"/>
      <c r="J1011" s="121"/>
      <c r="K1011" s="117"/>
    </row>
    <row r="1012" ht="15.75" customHeight="1">
      <c r="A1012" s="122"/>
      <c r="B1012" s="133"/>
      <c r="C1012" s="120"/>
      <c r="D1012" s="120"/>
      <c r="E1012" s="120"/>
      <c r="F1012" s="120"/>
      <c r="G1012" s="120"/>
      <c r="H1012" s="120"/>
      <c r="I1012" s="121"/>
      <c r="J1012" s="121"/>
      <c r="K1012" s="117"/>
    </row>
    <row r="1013" ht="15.75" customHeight="1">
      <c r="A1013" s="122"/>
      <c r="B1013" s="133"/>
      <c r="C1013" s="120"/>
      <c r="D1013" s="120"/>
      <c r="E1013" s="120"/>
      <c r="F1013" s="120"/>
      <c r="G1013" s="120"/>
      <c r="H1013" s="120"/>
      <c r="I1013" s="121"/>
      <c r="J1013" s="121"/>
      <c r="K1013" s="117"/>
    </row>
    <row r="1014" ht="15.75" customHeight="1">
      <c r="A1014" s="122"/>
      <c r="B1014" s="133"/>
      <c r="C1014" s="120"/>
      <c r="D1014" s="120"/>
      <c r="E1014" s="120"/>
      <c r="F1014" s="120"/>
      <c r="G1014" s="120"/>
      <c r="H1014" s="120"/>
      <c r="I1014" s="121"/>
      <c r="J1014" s="121"/>
      <c r="K1014" s="117"/>
    </row>
    <row r="1015" ht="15.75" customHeight="1">
      <c r="A1015" s="122"/>
      <c r="B1015" s="133"/>
      <c r="C1015" s="120"/>
      <c r="D1015" s="120"/>
      <c r="E1015" s="120"/>
      <c r="F1015" s="120"/>
      <c r="G1015" s="120"/>
      <c r="H1015" s="120"/>
      <c r="I1015" s="121"/>
      <c r="J1015" s="121"/>
      <c r="K1015" s="117"/>
    </row>
    <row r="1016" ht="15.75" customHeight="1">
      <c r="A1016" s="122"/>
      <c r="B1016" s="133"/>
      <c r="C1016" s="120"/>
      <c r="D1016" s="120"/>
      <c r="E1016" s="120"/>
      <c r="F1016" s="120"/>
      <c r="G1016" s="120"/>
      <c r="H1016" s="120"/>
      <c r="I1016" s="121"/>
      <c r="J1016" s="121"/>
      <c r="K1016" s="117"/>
    </row>
    <row r="1017" ht="15.75" customHeight="1">
      <c r="A1017" s="122"/>
      <c r="B1017" s="133"/>
      <c r="C1017" s="120"/>
      <c r="D1017" s="120"/>
      <c r="E1017" s="120"/>
      <c r="F1017" s="120"/>
      <c r="G1017" s="120"/>
      <c r="H1017" s="120"/>
      <c r="I1017" s="121"/>
      <c r="J1017" s="121"/>
      <c r="K1017" s="117"/>
    </row>
    <row r="1018" ht="15.75" customHeight="1">
      <c r="A1018" s="122"/>
      <c r="B1018" s="133"/>
      <c r="C1018" s="120"/>
      <c r="D1018" s="120"/>
      <c r="E1018" s="120"/>
      <c r="F1018" s="120"/>
      <c r="G1018" s="120"/>
      <c r="H1018" s="120"/>
      <c r="I1018" s="121"/>
      <c r="J1018" s="121"/>
      <c r="K1018" s="117"/>
    </row>
    <row r="1019" ht="15.75" customHeight="1">
      <c r="A1019" s="122"/>
      <c r="B1019" s="133"/>
      <c r="C1019" s="120"/>
      <c r="D1019" s="120"/>
      <c r="E1019" s="120"/>
      <c r="F1019" s="120"/>
      <c r="G1019" s="120"/>
      <c r="H1019" s="120"/>
      <c r="I1019" s="121"/>
      <c r="J1019" s="121"/>
      <c r="K1019" s="117"/>
    </row>
    <row r="1020" ht="15.75" customHeight="1">
      <c r="A1020" s="122"/>
      <c r="B1020" s="133"/>
      <c r="C1020" s="120"/>
      <c r="D1020" s="120"/>
      <c r="E1020" s="120"/>
      <c r="F1020" s="120"/>
      <c r="G1020" s="120"/>
      <c r="H1020" s="120"/>
      <c r="I1020" s="121"/>
      <c r="J1020" s="121"/>
      <c r="K1020" s="117"/>
    </row>
    <row r="1021" ht="15.75" customHeight="1">
      <c r="A1021" s="122"/>
      <c r="B1021" s="133"/>
      <c r="C1021" s="120"/>
      <c r="D1021" s="120"/>
      <c r="E1021" s="120"/>
      <c r="F1021" s="120"/>
      <c r="G1021" s="120"/>
      <c r="H1021" s="120"/>
      <c r="I1021" s="121"/>
      <c r="J1021" s="121"/>
      <c r="K1021" s="117"/>
    </row>
    <row r="1022" ht="15.75" customHeight="1">
      <c r="A1022" s="122"/>
      <c r="B1022" s="133"/>
      <c r="C1022" s="120"/>
      <c r="D1022" s="120"/>
      <c r="E1022" s="120"/>
      <c r="F1022" s="120"/>
      <c r="G1022" s="120"/>
      <c r="H1022" s="120"/>
      <c r="I1022" s="121"/>
      <c r="J1022" s="121"/>
      <c r="K1022" s="117"/>
    </row>
    <row r="1023" ht="15.75" customHeight="1">
      <c r="A1023" s="122"/>
      <c r="B1023" s="133"/>
      <c r="C1023" s="120"/>
      <c r="D1023" s="120"/>
      <c r="E1023" s="120"/>
      <c r="F1023" s="120"/>
      <c r="G1023" s="120"/>
      <c r="H1023" s="120"/>
      <c r="I1023" s="121"/>
      <c r="J1023" s="121"/>
      <c r="K1023" s="117"/>
    </row>
    <row r="1024" ht="15.75" customHeight="1">
      <c r="A1024" s="122"/>
      <c r="B1024" s="133"/>
      <c r="C1024" s="120"/>
      <c r="D1024" s="120"/>
      <c r="E1024" s="120"/>
      <c r="F1024" s="120"/>
      <c r="G1024" s="120"/>
      <c r="H1024" s="120"/>
      <c r="I1024" s="121"/>
      <c r="J1024" s="121"/>
      <c r="K1024" s="117"/>
    </row>
    <row r="1025" ht="15.75" customHeight="1">
      <c r="A1025" s="122"/>
      <c r="B1025" s="133"/>
      <c r="C1025" s="120"/>
      <c r="D1025" s="120"/>
      <c r="E1025" s="120"/>
      <c r="F1025" s="120"/>
      <c r="G1025" s="120"/>
      <c r="H1025" s="120"/>
      <c r="I1025" s="121"/>
      <c r="J1025" s="121"/>
      <c r="K1025" s="117"/>
    </row>
    <row r="1026" ht="15.75" customHeight="1">
      <c r="A1026" s="122"/>
      <c r="B1026" s="133"/>
      <c r="C1026" s="120"/>
      <c r="D1026" s="120"/>
      <c r="E1026" s="120"/>
      <c r="F1026" s="120"/>
      <c r="G1026" s="120"/>
      <c r="H1026" s="120"/>
      <c r="I1026" s="121"/>
      <c r="J1026" s="121"/>
      <c r="K1026" s="117"/>
    </row>
    <row r="1027" ht="15.75" customHeight="1">
      <c r="A1027" s="122"/>
      <c r="B1027" s="133"/>
      <c r="C1027" s="120"/>
      <c r="D1027" s="120"/>
      <c r="E1027" s="120"/>
      <c r="F1027" s="120"/>
      <c r="G1027" s="120"/>
      <c r="H1027" s="120"/>
      <c r="I1027" s="121"/>
      <c r="J1027" s="121"/>
      <c r="K1027" s="117"/>
    </row>
    <row r="1028" ht="15.75" customHeight="1">
      <c r="A1028" s="122"/>
      <c r="B1028" s="133"/>
      <c r="C1028" s="120"/>
      <c r="D1028" s="120"/>
      <c r="E1028" s="120"/>
      <c r="F1028" s="120"/>
      <c r="G1028" s="120"/>
      <c r="H1028" s="120"/>
      <c r="I1028" s="121"/>
      <c r="J1028" s="121"/>
      <c r="K1028" s="117"/>
    </row>
    <row r="1029" ht="15.75" customHeight="1">
      <c r="A1029" s="122"/>
      <c r="B1029" s="133"/>
      <c r="C1029" s="120"/>
      <c r="D1029" s="120"/>
      <c r="E1029" s="120"/>
      <c r="F1029" s="120"/>
      <c r="G1029" s="120"/>
      <c r="H1029" s="120"/>
      <c r="I1029" s="121"/>
      <c r="J1029" s="121"/>
      <c r="K1029" s="117"/>
    </row>
    <row r="1030" ht="15.75" customHeight="1">
      <c r="A1030" s="122"/>
      <c r="B1030" s="133"/>
      <c r="C1030" s="120"/>
      <c r="D1030" s="120"/>
      <c r="E1030" s="120"/>
      <c r="F1030" s="120"/>
      <c r="G1030" s="120"/>
      <c r="H1030" s="120"/>
      <c r="I1030" s="121"/>
      <c r="J1030" s="121"/>
      <c r="K1030" s="117"/>
    </row>
    <row r="1031" ht="15.75" customHeight="1">
      <c r="A1031" s="122"/>
      <c r="B1031" s="133"/>
      <c r="C1031" s="120"/>
      <c r="D1031" s="120"/>
      <c r="E1031" s="120"/>
      <c r="F1031" s="120"/>
      <c r="G1031" s="120"/>
      <c r="H1031" s="120"/>
      <c r="I1031" s="121"/>
      <c r="J1031" s="121"/>
      <c r="K1031" s="117"/>
    </row>
    <row r="1032" ht="15.75" customHeight="1">
      <c r="A1032" s="122"/>
      <c r="B1032" s="133"/>
      <c r="C1032" s="120"/>
      <c r="D1032" s="120"/>
      <c r="E1032" s="120"/>
      <c r="F1032" s="120"/>
      <c r="G1032" s="120"/>
      <c r="H1032" s="120"/>
      <c r="I1032" s="121"/>
      <c r="J1032" s="121"/>
      <c r="K1032" s="117"/>
    </row>
    <row r="1033" ht="15.75" customHeight="1">
      <c r="A1033" s="122"/>
      <c r="B1033" s="133"/>
      <c r="C1033" s="120"/>
      <c r="D1033" s="120"/>
      <c r="E1033" s="120"/>
      <c r="F1033" s="120"/>
      <c r="G1033" s="120"/>
      <c r="H1033" s="120"/>
      <c r="I1033" s="121"/>
      <c r="J1033" s="121"/>
      <c r="K1033" s="117"/>
    </row>
    <row r="1034" ht="15.75" customHeight="1">
      <c r="A1034" s="122"/>
      <c r="B1034" s="133"/>
      <c r="C1034" s="120"/>
      <c r="D1034" s="120"/>
      <c r="E1034" s="120"/>
      <c r="F1034" s="120"/>
      <c r="G1034" s="120"/>
      <c r="H1034" s="120"/>
      <c r="I1034" s="121"/>
      <c r="J1034" s="121"/>
      <c r="K1034" s="117"/>
    </row>
    <row r="1035" ht="15.75" customHeight="1">
      <c r="A1035" s="122"/>
      <c r="B1035" s="133"/>
      <c r="C1035" s="120"/>
      <c r="D1035" s="120"/>
      <c r="E1035" s="120"/>
      <c r="F1035" s="120"/>
      <c r="G1035" s="120"/>
      <c r="H1035" s="120"/>
      <c r="I1035" s="121"/>
      <c r="J1035" s="121"/>
      <c r="K1035" s="117"/>
    </row>
    <row r="1036" ht="15.75" customHeight="1">
      <c r="A1036" s="122"/>
      <c r="B1036" s="133"/>
      <c r="C1036" s="120"/>
      <c r="D1036" s="120"/>
      <c r="E1036" s="120"/>
      <c r="F1036" s="120"/>
      <c r="G1036" s="120"/>
      <c r="H1036" s="120"/>
      <c r="I1036" s="121"/>
      <c r="J1036" s="121"/>
      <c r="K1036" s="117"/>
    </row>
    <row r="1037" ht="15.75" customHeight="1">
      <c r="A1037" s="122"/>
      <c r="B1037" s="133"/>
      <c r="C1037" s="120"/>
      <c r="D1037" s="120"/>
      <c r="E1037" s="120"/>
      <c r="F1037" s="120"/>
      <c r="G1037" s="120"/>
      <c r="H1037" s="120"/>
      <c r="I1037" s="121"/>
      <c r="J1037" s="121"/>
      <c r="K1037" s="117"/>
    </row>
    <row r="1038" ht="15.75" customHeight="1">
      <c r="A1038" s="122"/>
      <c r="B1038" s="133"/>
      <c r="C1038" s="120"/>
      <c r="D1038" s="120"/>
      <c r="E1038" s="120"/>
      <c r="F1038" s="120"/>
      <c r="G1038" s="120"/>
      <c r="H1038" s="120"/>
      <c r="I1038" s="121"/>
      <c r="J1038" s="121"/>
      <c r="K1038" s="117"/>
    </row>
    <row r="1039" ht="15.75" customHeight="1">
      <c r="A1039" s="122"/>
      <c r="B1039" s="133"/>
      <c r="C1039" s="120"/>
      <c r="D1039" s="120"/>
      <c r="E1039" s="120"/>
      <c r="F1039" s="120"/>
      <c r="G1039" s="120"/>
      <c r="H1039" s="120"/>
      <c r="I1039" s="121"/>
      <c r="J1039" s="121"/>
      <c r="K1039" s="117"/>
    </row>
    <row r="1040" ht="15.75" customHeight="1">
      <c r="A1040" s="122"/>
      <c r="B1040" s="133"/>
      <c r="C1040" s="120"/>
      <c r="D1040" s="120"/>
      <c r="E1040" s="120"/>
      <c r="F1040" s="120"/>
      <c r="G1040" s="120"/>
      <c r="H1040" s="120"/>
      <c r="I1040" s="121"/>
      <c r="J1040" s="121"/>
      <c r="K1040" s="117"/>
    </row>
    <row r="1041" ht="15.75" customHeight="1">
      <c r="A1041" s="122"/>
      <c r="B1041" s="133"/>
      <c r="C1041" s="120"/>
      <c r="D1041" s="120"/>
      <c r="E1041" s="120"/>
      <c r="F1041" s="120"/>
      <c r="G1041" s="120"/>
      <c r="H1041" s="120"/>
      <c r="I1041" s="121"/>
      <c r="J1041" s="121"/>
      <c r="K1041" s="117"/>
    </row>
    <row r="1042" ht="15.75" customHeight="1">
      <c r="A1042" s="122"/>
      <c r="B1042" s="133"/>
      <c r="C1042" s="120"/>
      <c r="D1042" s="120"/>
      <c r="E1042" s="120"/>
      <c r="F1042" s="120"/>
      <c r="G1042" s="120"/>
      <c r="H1042" s="120"/>
      <c r="I1042" s="121"/>
      <c r="J1042" s="121"/>
      <c r="K1042" s="117"/>
    </row>
    <row r="1043" ht="15.75" customHeight="1">
      <c r="A1043" s="122"/>
      <c r="B1043" s="133"/>
      <c r="C1043" s="120"/>
      <c r="D1043" s="120"/>
      <c r="E1043" s="120"/>
      <c r="F1043" s="120"/>
      <c r="G1043" s="120"/>
      <c r="H1043" s="120"/>
      <c r="I1043" s="121"/>
      <c r="J1043" s="121"/>
      <c r="K1043" s="117"/>
    </row>
    <row r="1044" ht="15.75" customHeight="1">
      <c r="A1044" s="122"/>
      <c r="B1044" s="133"/>
      <c r="C1044" s="120"/>
      <c r="D1044" s="120"/>
      <c r="E1044" s="120"/>
      <c r="F1044" s="120"/>
      <c r="G1044" s="120"/>
      <c r="H1044" s="120"/>
      <c r="I1044" s="121"/>
      <c r="J1044" s="121"/>
      <c r="K1044" s="117"/>
    </row>
    <row r="1045" ht="15.75" customHeight="1">
      <c r="A1045" s="122"/>
      <c r="B1045" s="133"/>
      <c r="C1045" s="120"/>
      <c r="D1045" s="120"/>
      <c r="E1045" s="120"/>
      <c r="F1045" s="120"/>
      <c r="G1045" s="120"/>
      <c r="H1045" s="120"/>
      <c r="I1045" s="121"/>
      <c r="J1045" s="121"/>
      <c r="K1045" s="117"/>
    </row>
    <row r="1046" ht="15.75" customHeight="1">
      <c r="A1046" s="122"/>
      <c r="B1046" s="133"/>
      <c r="C1046" s="120"/>
      <c r="D1046" s="120"/>
      <c r="E1046" s="120"/>
      <c r="F1046" s="120"/>
      <c r="G1046" s="120"/>
      <c r="H1046" s="120"/>
      <c r="I1046" s="121"/>
      <c r="J1046" s="121"/>
      <c r="K1046" s="117"/>
    </row>
    <row r="1047" ht="15.75" customHeight="1">
      <c r="A1047" s="122"/>
      <c r="B1047" s="133"/>
      <c r="C1047" s="120"/>
      <c r="D1047" s="120"/>
      <c r="E1047" s="120"/>
      <c r="F1047" s="120"/>
      <c r="G1047" s="120"/>
      <c r="H1047" s="120"/>
      <c r="I1047" s="121"/>
      <c r="J1047" s="121"/>
      <c r="K1047" s="117"/>
    </row>
    <row r="1048" ht="15.75" customHeight="1">
      <c r="A1048" s="122"/>
      <c r="B1048" s="133"/>
      <c r="C1048" s="120"/>
      <c r="D1048" s="120"/>
      <c r="E1048" s="120"/>
      <c r="F1048" s="120"/>
      <c r="G1048" s="120"/>
      <c r="H1048" s="120"/>
      <c r="I1048" s="121"/>
      <c r="J1048" s="121"/>
      <c r="K1048" s="117"/>
    </row>
    <row r="1049" ht="15.75" customHeight="1">
      <c r="A1049" s="122"/>
      <c r="B1049" s="133"/>
      <c r="C1049" s="120"/>
      <c r="D1049" s="120"/>
      <c r="E1049" s="120"/>
      <c r="F1049" s="120"/>
      <c r="G1049" s="120"/>
      <c r="H1049" s="120"/>
      <c r="I1049" s="121"/>
      <c r="J1049" s="121"/>
      <c r="K1049" s="117"/>
    </row>
    <row r="1050" ht="15.75" customHeight="1">
      <c r="A1050" s="122"/>
      <c r="B1050" s="133"/>
      <c r="C1050" s="120"/>
      <c r="D1050" s="120"/>
      <c r="E1050" s="120"/>
      <c r="F1050" s="120"/>
      <c r="G1050" s="120"/>
      <c r="H1050" s="120"/>
      <c r="I1050" s="121"/>
      <c r="J1050" s="121"/>
      <c r="K1050" s="117"/>
    </row>
    <row r="1051" ht="15.75" customHeight="1">
      <c r="A1051" s="122"/>
      <c r="B1051" s="133"/>
      <c r="C1051" s="120"/>
      <c r="D1051" s="120"/>
      <c r="E1051" s="120"/>
      <c r="F1051" s="120"/>
      <c r="G1051" s="120"/>
      <c r="H1051" s="120"/>
      <c r="I1051" s="121"/>
      <c r="J1051" s="121"/>
      <c r="K1051" s="117"/>
    </row>
    <row r="1052" ht="15.75" customHeight="1">
      <c r="A1052" s="122"/>
      <c r="B1052" s="133"/>
      <c r="C1052" s="120"/>
      <c r="D1052" s="120"/>
      <c r="E1052" s="120"/>
      <c r="F1052" s="120"/>
      <c r="G1052" s="120"/>
      <c r="H1052" s="120"/>
      <c r="I1052" s="121"/>
      <c r="J1052" s="121"/>
      <c r="K1052" s="117"/>
    </row>
    <row r="1053" ht="15.75" customHeight="1">
      <c r="A1053" s="122"/>
      <c r="B1053" s="133"/>
      <c r="C1053" s="120"/>
      <c r="D1053" s="120"/>
      <c r="E1053" s="120"/>
      <c r="F1053" s="120"/>
      <c r="G1053" s="120"/>
      <c r="H1053" s="120"/>
      <c r="I1053" s="121"/>
      <c r="J1053" s="121"/>
      <c r="K1053" s="117"/>
    </row>
    <row r="1054" ht="15.75" customHeight="1">
      <c r="A1054" s="122"/>
      <c r="B1054" s="133"/>
      <c r="C1054" s="120"/>
      <c r="D1054" s="120"/>
      <c r="E1054" s="120"/>
      <c r="F1054" s="120"/>
      <c r="G1054" s="120"/>
      <c r="H1054" s="120"/>
      <c r="I1054" s="121"/>
      <c r="J1054" s="121"/>
      <c r="K1054" s="117"/>
    </row>
    <row r="1055" ht="15.75" customHeight="1">
      <c r="A1055" s="122"/>
      <c r="B1055" s="133"/>
      <c r="C1055" s="120"/>
      <c r="D1055" s="120"/>
      <c r="E1055" s="120"/>
      <c r="F1055" s="120"/>
      <c r="G1055" s="120"/>
      <c r="H1055" s="120"/>
      <c r="I1055" s="121"/>
      <c r="J1055" s="121"/>
      <c r="K1055" s="117"/>
    </row>
    <row r="1056" ht="15.75" customHeight="1">
      <c r="A1056" s="122"/>
      <c r="B1056" s="133"/>
      <c r="C1056" s="120"/>
      <c r="D1056" s="120"/>
      <c r="E1056" s="120"/>
      <c r="F1056" s="120"/>
      <c r="G1056" s="120"/>
      <c r="H1056" s="120"/>
      <c r="I1056" s="121"/>
      <c r="J1056" s="121"/>
      <c r="K1056" s="117"/>
    </row>
    <row r="1057" ht="15.75" customHeight="1">
      <c r="A1057" s="122"/>
      <c r="B1057" s="133"/>
      <c r="C1057" s="120"/>
      <c r="D1057" s="120"/>
      <c r="E1057" s="120"/>
      <c r="F1057" s="120"/>
      <c r="G1057" s="120"/>
      <c r="H1057" s="120"/>
      <c r="I1057" s="121"/>
      <c r="J1057" s="121"/>
      <c r="K1057" s="117"/>
    </row>
    <row r="1058" ht="15.75" customHeight="1">
      <c r="A1058" s="122"/>
      <c r="B1058" s="133"/>
      <c r="C1058" s="120"/>
      <c r="D1058" s="120"/>
      <c r="E1058" s="120"/>
      <c r="F1058" s="120"/>
      <c r="G1058" s="120"/>
      <c r="H1058" s="120"/>
      <c r="I1058" s="121"/>
      <c r="J1058" s="121"/>
      <c r="K1058" s="117"/>
    </row>
    <row r="1059" ht="15.75" customHeight="1">
      <c r="A1059" s="122"/>
      <c r="B1059" s="133"/>
      <c r="C1059" s="120"/>
      <c r="D1059" s="120"/>
      <c r="E1059" s="120"/>
      <c r="F1059" s="120"/>
      <c r="G1059" s="120"/>
      <c r="H1059" s="120"/>
      <c r="I1059" s="121"/>
      <c r="J1059" s="121"/>
      <c r="K1059" s="117"/>
    </row>
    <row r="1060" ht="15.75" customHeight="1">
      <c r="A1060" s="122"/>
      <c r="B1060" s="133"/>
      <c r="C1060" s="120"/>
      <c r="D1060" s="120"/>
      <c r="E1060" s="120"/>
      <c r="F1060" s="120"/>
      <c r="G1060" s="120"/>
      <c r="H1060" s="120"/>
      <c r="I1060" s="121"/>
      <c r="J1060" s="121"/>
      <c r="K1060" s="117"/>
    </row>
    <row r="1061" ht="15.75" customHeight="1">
      <c r="A1061" s="122"/>
      <c r="B1061" s="133"/>
      <c r="C1061" s="120"/>
      <c r="D1061" s="120"/>
      <c r="E1061" s="120"/>
      <c r="F1061" s="120"/>
      <c r="G1061" s="120"/>
      <c r="H1061" s="120"/>
      <c r="I1061" s="121"/>
      <c r="J1061" s="121"/>
      <c r="K1061" s="117"/>
    </row>
    <row r="1062" ht="15.75" customHeight="1">
      <c r="A1062" s="122"/>
      <c r="B1062" s="133"/>
      <c r="C1062" s="120"/>
      <c r="D1062" s="120"/>
      <c r="E1062" s="120"/>
      <c r="F1062" s="120"/>
      <c r="G1062" s="120"/>
      <c r="H1062" s="120"/>
      <c r="I1062" s="121"/>
      <c r="J1062" s="121"/>
      <c r="K1062" s="117"/>
    </row>
    <row r="1063" ht="15.75" customHeight="1">
      <c r="A1063" s="122"/>
      <c r="B1063" s="133"/>
      <c r="C1063" s="120"/>
      <c r="D1063" s="120"/>
      <c r="E1063" s="120"/>
      <c r="F1063" s="120"/>
      <c r="G1063" s="120"/>
      <c r="H1063" s="120"/>
      <c r="I1063" s="121"/>
      <c r="J1063" s="121"/>
      <c r="K1063" s="117"/>
    </row>
    <row r="1064" ht="15.75" customHeight="1">
      <c r="A1064" s="122"/>
      <c r="B1064" s="133"/>
      <c r="C1064" s="120"/>
      <c r="D1064" s="120"/>
      <c r="E1064" s="120"/>
      <c r="F1064" s="120"/>
      <c r="G1064" s="120"/>
      <c r="H1064" s="120"/>
      <c r="I1064" s="121"/>
      <c r="J1064" s="121"/>
      <c r="K1064" s="117"/>
    </row>
    <row r="1065" ht="15.75" customHeight="1">
      <c r="A1065" s="122"/>
      <c r="B1065" s="133"/>
      <c r="C1065" s="120"/>
      <c r="D1065" s="120"/>
      <c r="E1065" s="120"/>
      <c r="F1065" s="120"/>
      <c r="G1065" s="120"/>
      <c r="H1065" s="120"/>
      <c r="I1065" s="121"/>
      <c r="J1065" s="121"/>
      <c r="K1065" s="117"/>
    </row>
    <row r="1066" ht="15.75" customHeight="1">
      <c r="A1066" s="122"/>
      <c r="B1066" s="133"/>
      <c r="C1066" s="120"/>
      <c r="D1066" s="120"/>
      <c r="E1066" s="120"/>
      <c r="F1066" s="120"/>
      <c r="G1066" s="120"/>
      <c r="H1066" s="120"/>
      <c r="I1066" s="121"/>
      <c r="J1066" s="121"/>
      <c r="K1066" s="117"/>
    </row>
    <row r="1067" ht="15.75" customHeight="1">
      <c r="A1067" s="122"/>
      <c r="B1067" s="133"/>
      <c r="C1067" s="120"/>
      <c r="D1067" s="120"/>
      <c r="E1067" s="120"/>
      <c r="F1067" s="120"/>
      <c r="G1067" s="120"/>
      <c r="H1067" s="120"/>
      <c r="I1067" s="121"/>
      <c r="J1067" s="121"/>
      <c r="K1067" s="117"/>
    </row>
    <row r="1068" ht="15.75" customHeight="1">
      <c r="A1068" s="122"/>
      <c r="B1068" s="133"/>
      <c r="C1068" s="120"/>
      <c r="D1068" s="120"/>
      <c r="E1068" s="120"/>
      <c r="F1068" s="120"/>
      <c r="G1068" s="120"/>
      <c r="H1068" s="120"/>
      <c r="I1068" s="121"/>
      <c r="J1068" s="121"/>
      <c r="K1068" s="117"/>
    </row>
    <row r="1069" ht="15.75" customHeight="1">
      <c r="A1069" s="122"/>
      <c r="B1069" s="133"/>
      <c r="C1069" s="120"/>
      <c r="D1069" s="120"/>
      <c r="E1069" s="120"/>
      <c r="F1069" s="120"/>
      <c r="G1069" s="120"/>
      <c r="H1069" s="120"/>
      <c r="I1069" s="121"/>
      <c r="J1069" s="121"/>
      <c r="K1069" s="117"/>
    </row>
    <row r="1070" ht="15.75" customHeight="1">
      <c r="A1070" s="122"/>
      <c r="B1070" s="133"/>
      <c r="C1070" s="120"/>
      <c r="D1070" s="120"/>
      <c r="E1070" s="120"/>
      <c r="F1070" s="120"/>
      <c r="G1070" s="120"/>
      <c r="H1070" s="120"/>
      <c r="I1070" s="121"/>
      <c r="J1070" s="121"/>
      <c r="K1070" s="117"/>
    </row>
    <row r="1071" ht="15.75" customHeight="1">
      <c r="A1071" s="122"/>
      <c r="B1071" s="133"/>
      <c r="C1071" s="120"/>
      <c r="D1071" s="120"/>
      <c r="E1071" s="120"/>
      <c r="F1071" s="120"/>
      <c r="G1071" s="120"/>
      <c r="H1071" s="120"/>
      <c r="I1071" s="121"/>
      <c r="J1071" s="121"/>
      <c r="K1071" s="117"/>
    </row>
    <row r="1072" ht="15.75" customHeight="1">
      <c r="A1072" s="122"/>
      <c r="B1072" s="133"/>
      <c r="C1072" s="120"/>
      <c r="D1072" s="120"/>
      <c r="E1072" s="120"/>
      <c r="F1072" s="120"/>
      <c r="G1072" s="120"/>
      <c r="H1072" s="120"/>
      <c r="I1072" s="121"/>
      <c r="J1072" s="121"/>
      <c r="K1072" s="117"/>
    </row>
    <row r="1073" ht="15.75" customHeight="1">
      <c r="A1073" s="122"/>
      <c r="B1073" s="133"/>
      <c r="C1073" s="120"/>
      <c r="D1073" s="120"/>
      <c r="E1073" s="120"/>
      <c r="F1073" s="120"/>
      <c r="G1073" s="120"/>
      <c r="H1073" s="120"/>
      <c r="I1073" s="121"/>
      <c r="J1073" s="121"/>
      <c r="K1073" s="117"/>
    </row>
    <row r="1074" ht="15.75" customHeight="1">
      <c r="A1074" s="122"/>
      <c r="B1074" s="133"/>
      <c r="C1074" s="120"/>
      <c r="D1074" s="120"/>
      <c r="E1074" s="120"/>
      <c r="F1074" s="120"/>
      <c r="G1074" s="120"/>
      <c r="H1074" s="120"/>
      <c r="I1074" s="121"/>
      <c r="J1074" s="121"/>
      <c r="K1074" s="117"/>
    </row>
    <row r="1075" ht="15.75" customHeight="1">
      <c r="A1075" s="122"/>
      <c r="B1075" s="133"/>
      <c r="C1075" s="120"/>
      <c r="D1075" s="120"/>
      <c r="E1075" s="120"/>
      <c r="F1075" s="120"/>
      <c r="G1075" s="120"/>
      <c r="H1075" s="120"/>
      <c r="I1075" s="121"/>
      <c r="J1075" s="121"/>
      <c r="K1075" s="117"/>
    </row>
    <row r="1076" ht="15.75" customHeight="1">
      <c r="A1076" s="122"/>
      <c r="B1076" s="133"/>
      <c r="C1076" s="120"/>
      <c r="D1076" s="120"/>
      <c r="E1076" s="120"/>
      <c r="F1076" s="120"/>
      <c r="G1076" s="120"/>
      <c r="H1076" s="120"/>
      <c r="I1076" s="121"/>
      <c r="J1076" s="121"/>
      <c r="K1076" s="117"/>
    </row>
    <row r="1077" ht="15.75" customHeight="1">
      <c r="A1077" s="122"/>
      <c r="B1077" s="133"/>
      <c r="C1077" s="120"/>
      <c r="D1077" s="120"/>
      <c r="E1077" s="120"/>
      <c r="F1077" s="120"/>
      <c r="G1077" s="120"/>
      <c r="H1077" s="120"/>
      <c r="I1077" s="121"/>
      <c r="J1077" s="121"/>
      <c r="K1077" s="117"/>
    </row>
    <row r="1078" ht="15.75" customHeight="1">
      <c r="A1078" s="122"/>
      <c r="B1078" s="133"/>
      <c r="C1078" s="120"/>
      <c r="D1078" s="120"/>
      <c r="E1078" s="120"/>
      <c r="F1078" s="120"/>
      <c r="G1078" s="120"/>
      <c r="H1078" s="120"/>
      <c r="I1078" s="121"/>
      <c r="J1078" s="121"/>
      <c r="K1078" s="117"/>
    </row>
    <row r="1079" ht="15.75" customHeight="1">
      <c r="A1079" s="122"/>
      <c r="B1079" s="133"/>
      <c r="C1079" s="120"/>
      <c r="D1079" s="120"/>
      <c r="E1079" s="120"/>
      <c r="F1079" s="120"/>
      <c r="G1079" s="120"/>
      <c r="H1079" s="120"/>
      <c r="I1079" s="121"/>
      <c r="J1079" s="121"/>
      <c r="K1079" s="117"/>
    </row>
    <row r="1080" ht="15.75" customHeight="1">
      <c r="A1080" s="122"/>
      <c r="B1080" s="133"/>
      <c r="C1080" s="120"/>
      <c r="D1080" s="120"/>
      <c r="E1080" s="120"/>
      <c r="F1080" s="120"/>
      <c r="G1080" s="120"/>
      <c r="H1080" s="120"/>
      <c r="I1080" s="121"/>
      <c r="J1080" s="121"/>
      <c r="K1080" s="117"/>
    </row>
    <row r="1081" ht="15.75" customHeight="1">
      <c r="A1081" s="122"/>
      <c r="B1081" s="133"/>
      <c r="C1081" s="120"/>
      <c r="D1081" s="120"/>
      <c r="E1081" s="120"/>
      <c r="F1081" s="120"/>
      <c r="G1081" s="120"/>
      <c r="H1081" s="120"/>
      <c r="I1081" s="121"/>
      <c r="J1081" s="121"/>
      <c r="K1081" s="117"/>
    </row>
    <row r="1082" ht="15.75" customHeight="1">
      <c r="A1082" s="122"/>
      <c r="B1082" s="133"/>
      <c r="C1082" s="120"/>
      <c r="D1082" s="120"/>
      <c r="E1082" s="120"/>
      <c r="F1082" s="120"/>
      <c r="G1082" s="120"/>
      <c r="H1082" s="120"/>
      <c r="I1082" s="121"/>
      <c r="J1082" s="121"/>
      <c r="K1082" s="117"/>
    </row>
    <row r="1083" ht="15.75" customHeight="1">
      <c r="A1083" s="122"/>
      <c r="B1083" s="133"/>
      <c r="C1083" s="120"/>
      <c r="D1083" s="120"/>
      <c r="E1083" s="120"/>
      <c r="F1083" s="120"/>
      <c r="G1083" s="120"/>
      <c r="H1083" s="120"/>
      <c r="I1083" s="121"/>
      <c r="J1083" s="121"/>
      <c r="K1083" s="117"/>
    </row>
    <row r="1084" ht="15.75" customHeight="1">
      <c r="A1084" s="122"/>
      <c r="B1084" s="133"/>
      <c r="C1084" s="120"/>
      <c r="D1084" s="120"/>
      <c r="E1084" s="120"/>
      <c r="F1084" s="120"/>
      <c r="G1084" s="120"/>
      <c r="H1084" s="120"/>
      <c r="I1084" s="121"/>
      <c r="J1084" s="121"/>
      <c r="K1084" s="117"/>
    </row>
    <row r="1085" ht="15.75" customHeight="1">
      <c r="A1085" s="122"/>
      <c r="B1085" s="133"/>
      <c r="C1085" s="120"/>
      <c r="D1085" s="120"/>
      <c r="E1085" s="120"/>
      <c r="F1085" s="120"/>
      <c r="G1085" s="120"/>
      <c r="H1085" s="120"/>
      <c r="I1085" s="121"/>
      <c r="J1085" s="121"/>
      <c r="K1085" s="117"/>
    </row>
    <row r="1086" ht="15.75" customHeight="1">
      <c r="A1086" s="122"/>
      <c r="B1086" s="133"/>
      <c r="C1086" s="120"/>
      <c r="D1086" s="120"/>
      <c r="E1086" s="120"/>
      <c r="F1086" s="120"/>
      <c r="G1086" s="120"/>
      <c r="H1086" s="120"/>
      <c r="I1086" s="121"/>
      <c r="J1086" s="121"/>
      <c r="K1086" s="117"/>
    </row>
    <row r="1087" ht="15.75" customHeight="1">
      <c r="A1087" s="122"/>
      <c r="B1087" s="133"/>
      <c r="C1087" s="120"/>
      <c r="D1087" s="120"/>
      <c r="E1087" s="120"/>
      <c r="F1087" s="120"/>
      <c r="G1087" s="120"/>
      <c r="H1087" s="120"/>
      <c r="I1087" s="121"/>
      <c r="J1087" s="121"/>
      <c r="K1087" s="117"/>
    </row>
    <row r="1088" ht="15.75" customHeight="1">
      <c r="A1088" s="122"/>
      <c r="B1088" s="133"/>
      <c r="C1088" s="120"/>
      <c r="D1088" s="120"/>
      <c r="E1088" s="120"/>
      <c r="F1088" s="120"/>
      <c r="G1088" s="120"/>
      <c r="H1088" s="120"/>
      <c r="I1088" s="121"/>
      <c r="J1088" s="121"/>
      <c r="K1088" s="117"/>
    </row>
    <row r="1089" ht="15.75" customHeight="1">
      <c r="A1089" s="122"/>
      <c r="B1089" s="133"/>
      <c r="C1089" s="120"/>
      <c r="D1089" s="120"/>
      <c r="E1089" s="120"/>
      <c r="F1089" s="120"/>
      <c r="G1089" s="120"/>
      <c r="H1089" s="120"/>
      <c r="I1089" s="121"/>
      <c r="J1089" s="121"/>
      <c r="K1089" s="117"/>
    </row>
    <row r="1090" ht="15.75" customHeight="1">
      <c r="A1090" s="122"/>
      <c r="B1090" s="133"/>
      <c r="C1090" s="120"/>
      <c r="D1090" s="120"/>
      <c r="E1090" s="120"/>
      <c r="F1090" s="120"/>
      <c r="G1090" s="120"/>
      <c r="H1090" s="120"/>
      <c r="I1090" s="121"/>
      <c r="J1090" s="121"/>
      <c r="K1090" s="117"/>
    </row>
    <row r="1091" ht="15.75" customHeight="1">
      <c r="A1091" s="122"/>
      <c r="B1091" s="133"/>
      <c r="C1091" s="120"/>
      <c r="D1091" s="120"/>
      <c r="E1091" s="120"/>
      <c r="F1091" s="120"/>
      <c r="G1091" s="120"/>
      <c r="H1091" s="120"/>
      <c r="I1091" s="121"/>
      <c r="J1091" s="121"/>
      <c r="K1091" s="117"/>
    </row>
    <row r="1092" ht="15.75" customHeight="1">
      <c r="A1092" s="122"/>
      <c r="B1092" s="133"/>
      <c r="C1092" s="120"/>
      <c r="D1092" s="120"/>
      <c r="E1092" s="120"/>
      <c r="F1092" s="120"/>
      <c r="G1092" s="120"/>
      <c r="H1092" s="120"/>
      <c r="I1092" s="121"/>
      <c r="J1092" s="121"/>
      <c r="K1092" s="117"/>
    </row>
    <row r="1093" ht="15.75" customHeight="1">
      <c r="A1093" s="122"/>
      <c r="B1093" s="133"/>
      <c r="C1093" s="120"/>
      <c r="D1093" s="120"/>
      <c r="E1093" s="120"/>
      <c r="F1093" s="120"/>
      <c r="G1093" s="120"/>
      <c r="H1093" s="120"/>
      <c r="I1093" s="121"/>
      <c r="J1093" s="121"/>
      <c r="K1093" s="117"/>
    </row>
    <row r="1094" ht="15.75" customHeight="1">
      <c r="A1094" s="122"/>
      <c r="B1094" s="133"/>
      <c r="C1094" s="120"/>
      <c r="D1094" s="120"/>
      <c r="E1094" s="120"/>
      <c r="F1094" s="120"/>
      <c r="G1094" s="120"/>
      <c r="H1094" s="120"/>
      <c r="I1094" s="121"/>
      <c r="J1094" s="121"/>
      <c r="K1094" s="117"/>
    </row>
    <row r="1095" ht="15.75" customHeight="1">
      <c r="A1095" s="122"/>
      <c r="B1095" s="133"/>
      <c r="C1095" s="120"/>
      <c r="D1095" s="120"/>
      <c r="E1095" s="120"/>
      <c r="F1095" s="120"/>
      <c r="G1095" s="120"/>
      <c r="H1095" s="120"/>
      <c r="I1095" s="121"/>
      <c r="J1095" s="121"/>
      <c r="K1095" s="117"/>
    </row>
    <row r="1096" ht="15.75" customHeight="1">
      <c r="A1096" s="122"/>
      <c r="B1096" s="133"/>
      <c r="C1096" s="120"/>
      <c r="D1096" s="120"/>
      <c r="E1096" s="120"/>
      <c r="F1096" s="120"/>
      <c r="G1096" s="120"/>
      <c r="H1096" s="120"/>
      <c r="I1096" s="121"/>
      <c r="J1096" s="121"/>
      <c r="K1096" s="117"/>
    </row>
    <row r="1097" ht="15.75" customHeight="1">
      <c r="A1097" s="122"/>
      <c r="B1097" s="133"/>
      <c r="C1097" s="120"/>
      <c r="D1097" s="120"/>
      <c r="E1097" s="120"/>
      <c r="F1097" s="120"/>
      <c r="G1097" s="120"/>
      <c r="H1097" s="120"/>
      <c r="I1097" s="121"/>
      <c r="J1097" s="121"/>
      <c r="K1097" s="117"/>
    </row>
    <row r="1098" ht="15.75" customHeight="1">
      <c r="A1098" s="122"/>
      <c r="B1098" s="133"/>
      <c r="C1098" s="120"/>
      <c r="D1098" s="120"/>
      <c r="E1098" s="120"/>
      <c r="F1098" s="120"/>
      <c r="G1098" s="120"/>
      <c r="H1098" s="120"/>
      <c r="I1098" s="121"/>
      <c r="J1098" s="121"/>
      <c r="K1098" s="117"/>
    </row>
    <row r="1099" ht="15.75" customHeight="1">
      <c r="A1099" s="122"/>
      <c r="B1099" s="133"/>
      <c r="C1099" s="120"/>
      <c r="D1099" s="120"/>
      <c r="E1099" s="120"/>
      <c r="F1099" s="120"/>
      <c r="G1099" s="120"/>
      <c r="H1099" s="120"/>
      <c r="I1099" s="121"/>
      <c r="J1099" s="121"/>
      <c r="K1099" s="117"/>
    </row>
    <row r="1100" ht="15.75" customHeight="1">
      <c r="A1100" s="122"/>
      <c r="B1100" s="133"/>
      <c r="C1100" s="120"/>
      <c r="D1100" s="120"/>
      <c r="E1100" s="120"/>
      <c r="F1100" s="120"/>
      <c r="G1100" s="120"/>
      <c r="H1100" s="120"/>
      <c r="I1100" s="121"/>
      <c r="J1100" s="121"/>
      <c r="K1100" s="117"/>
    </row>
    <row r="1101" ht="15.75" customHeight="1">
      <c r="A1101" s="122"/>
      <c r="B1101" s="133"/>
      <c r="C1101" s="120"/>
      <c r="D1101" s="120"/>
      <c r="E1101" s="120"/>
      <c r="F1101" s="120"/>
      <c r="G1101" s="120"/>
      <c r="H1101" s="120"/>
      <c r="I1101" s="121"/>
      <c r="J1101" s="121"/>
      <c r="K1101" s="117"/>
    </row>
    <row r="1102" ht="15.75" customHeight="1">
      <c r="A1102" s="122"/>
      <c r="B1102" s="133"/>
      <c r="C1102" s="120"/>
      <c r="D1102" s="120"/>
      <c r="E1102" s="120"/>
      <c r="F1102" s="120"/>
      <c r="G1102" s="120"/>
      <c r="H1102" s="120"/>
      <c r="I1102" s="121"/>
      <c r="J1102" s="121"/>
      <c r="K1102" s="117"/>
    </row>
    <row r="1103" ht="15.75" customHeight="1">
      <c r="A1103" s="122"/>
      <c r="B1103" s="133"/>
      <c r="C1103" s="120"/>
      <c r="D1103" s="120"/>
      <c r="E1103" s="120"/>
      <c r="F1103" s="120"/>
      <c r="G1103" s="120"/>
      <c r="H1103" s="120"/>
      <c r="I1103" s="121"/>
      <c r="J1103" s="121"/>
      <c r="K1103" s="117"/>
    </row>
    <row r="1104" ht="15.75" customHeight="1">
      <c r="A1104" s="122"/>
      <c r="B1104" s="133"/>
      <c r="C1104" s="120"/>
      <c r="D1104" s="120"/>
      <c r="E1104" s="120"/>
      <c r="F1104" s="120"/>
      <c r="G1104" s="120"/>
      <c r="H1104" s="120"/>
      <c r="I1104" s="121"/>
      <c r="J1104" s="121"/>
      <c r="K1104" s="117"/>
    </row>
    <row r="1105" ht="15.75" customHeight="1">
      <c r="A1105" s="122"/>
      <c r="B1105" s="133"/>
      <c r="C1105" s="120"/>
      <c r="D1105" s="120"/>
      <c r="E1105" s="120"/>
      <c r="F1105" s="120"/>
      <c r="G1105" s="120"/>
      <c r="H1105" s="120"/>
      <c r="I1105" s="121"/>
      <c r="J1105" s="121"/>
      <c r="K1105" s="117"/>
    </row>
    <row r="1106" ht="15.75" customHeight="1">
      <c r="A1106" s="122"/>
      <c r="B1106" s="133"/>
      <c r="C1106" s="120"/>
      <c r="D1106" s="120"/>
      <c r="E1106" s="120"/>
      <c r="F1106" s="120"/>
      <c r="G1106" s="120"/>
      <c r="H1106" s="120"/>
      <c r="I1106" s="121"/>
      <c r="J1106" s="121"/>
      <c r="K1106" s="117"/>
    </row>
    <row r="1107" ht="15.75" customHeight="1">
      <c r="A1107" s="122"/>
      <c r="B1107" s="133"/>
      <c r="C1107" s="120"/>
      <c r="D1107" s="120"/>
      <c r="E1107" s="120"/>
      <c r="F1107" s="120"/>
      <c r="G1107" s="120"/>
      <c r="H1107" s="120"/>
      <c r="I1107" s="121"/>
      <c r="J1107" s="121"/>
      <c r="K1107" s="117"/>
    </row>
    <row r="1108" ht="15.75" customHeight="1">
      <c r="A1108" s="122"/>
      <c r="B1108" s="133"/>
      <c r="C1108" s="120"/>
      <c r="D1108" s="120"/>
      <c r="E1108" s="120"/>
      <c r="F1108" s="120"/>
      <c r="G1108" s="120"/>
      <c r="H1108" s="120"/>
      <c r="I1108" s="121"/>
      <c r="J1108" s="121"/>
      <c r="K1108" s="117"/>
    </row>
    <row r="1109" ht="15.75" customHeight="1">
      <c r="A1109" s="122"/>
      <c r="B1109" s="133"/>
      <c r="C1109" s="120"/>
      <c r="D1109" s="120"/>
      <c r="E1109" s="120"/>
      <c r="F1109" s="120"/>
      <c r="G1109" s="120"/>
      <c r="H1109" s="120"/>
      <c r="I1109" s="121"/>
      <c r="J1109" s="121"/>
      <c r="K1109" s="117"/>
    </row>
    <row r="1110" ht="15.75" customHeight="1">
      <c r="A1110" s="122"/>
      <c r="B1110" s="133"/>
      <c r="C1110" s="120"/>
      <c r="D1110" s="120"/>
      <c r="E1110" s="120"/>
      <c r="F1110" s="120"/>
      <c r="G1110" s="120"/>
      <c r="H1110" s="120"/>
      <c r="I1110" s="121"/>
      <c r="J1110" s="121"/>
      <c r="K1110" s="117"/>
    </row>
    <row r="1111" ht="15.75" customHeight="1">
      <c r="A1111" s="122"/>
      <c r="B1111" s="133"/>
      <c r="C1111" s="120"/>
      <c r="D1111" s="120"/>
      <c r="E1111" s="120"/>
      <c r="F1111" s="120"/>
      <c r="G1111" s="120"/>
      <c r="H1111" s="120"/>
      <c r="I1111" s="121"/>
      <c r="J1111" s="121"/>
      <c r="K1111" s="117"/>
    </row>
    <row r="1112" ht="15.75" customHeight="1">
      <c r="A1112" s="122"/>
      <c r="B1112" s="133"/>
      <c r="C1112" s="120"/>
      <c r="D1112" s="120"/>
      <c r="E1112" s="120"/>
      <c r="F1112" s="120"/>
      <c r="G1112" s="120"/>
      <c r="H1112" s="120"/>
      <c r="I1112" s="121"/>
      <c r="J1112" s="121"/>
      <c r="K1112" s="117"/>
    </row>
    <row r="1113" ht="15.75" customHeight="1">
      <c r="A1113" s="122"/>
      <c r="B1113" s="133"/>
      <c r="C1113" s="120"/>
      <c r="D1113" s="120"/>
      <c r="E1113" s="120"/>
      <c r="F1113" s="120"/>
      <c r="G1113" s="120"/>
      <c r="H1113" s="120"/>
      <c r="I1113" s="121"/>
      <c r="J1113" s="121"/>
      <c r="K1113" s="117"/>
    </row>
    <row r="1114" ht="15.75" customHeight="1">
      <c r="A1114" s="122"/>
      <c r="B1114" s="133"/>
      <c r="C1114" s="120"/>
      <c r="D1114" s="120"/>
      <c r="E1114" s="120"/>
      <c r="F1114" s="120"/>
      <c r="G1114" s="120"/>
      <c r="H1114" s="120"/>
      <c r="I1114" s="121"/>
      <c r="J1114" s="121"/>
      <c r="K1114" s="117"/>
    </row>
    <row r="1115" ht="15.75" customHeight="1">
      <c r="A1115" s="122"/>
      <c r="B1115" s="133"/>
      <c r="C1115" s="120"/>
      <c r="D1115" s="120"/>
      <c r="E1115" s="120"/>
      <c r="F1115" s="120"/>
      <c r="G1115" s="120"/>
      <c r="H1115" s="120"/>
      <c r="I1115" s="121"/>
      <c r="J1115" s="121"/>
      <c r="K1115" s="117"/>
    </row>
    <row r="1116" ht="15.75" customHeight="1">
      <c r="A1116" s="122"/>
      <c r="B1116" s="133"/>
      <c r="C1116" s="120"/>
      <c r="D1116" s="120"/>
      <c r="E1116" s="120"/>
      <c r="F1116" s="120"/>
      <c r="G1116" s="120"/>
      <c r="H1116" s="120"/>
      <c r="I1116" s="121"/>
      <c r="J1116" s="121"/>
      <c r="K1116" s="117"/>
    </row>
    <row r="1117" ht="15.75" customHeight="1">
      <c r="A1117" s="122"/>
      <c r="B1117" s="133"/>
      <c r="C1117" s="120"/>
      <c r="D1117" s="120"/>
      <c r="E1117" s="120"/>
      <c r="F1117" s="120"/>
      <c r="G1117" s="120"/>
      <c r="H1117" s="120"/>
      <c r="I1117" s="121"/>
      <c r="J1117" s="121"/>
      <c r="K1117" s="117"/>
    </row>
    <row r="1118" ht="15.75" customHeight="1">
      <c r="A1118" s="122"/>
      <c r="B1118" s="133"/>
      <c r="C1118" s="120"/>
      <c r="D1118" s="120"/>
      <c r="E1118" s="120"/>
      <c r="F1118" s="120"/>
      <c r="G1118" s="120"/>
      <c r="H1118" s="120"/>
      <c r="I1118" s="121"/>
      <c r="J1118" s="121"/>
      <c r="K1118" s="117"/>
    </row>
    <row r="1119" ht="15.75" customHeight="1">
      <c r="A1119" s="122"/>
      <c r="B1119" s="133"/>
      <c r="C1119" s="120"/>
      <c r="D1119" s="120"/>
      <c r="E1119" s="120"/>
      <c r="F1119" s="120"/>
      <c r="G1119" s="120"/>
      <c r="H1119" s="120"/>
      <c r="I1119" s="121"/>
      <c r="J1119" s="121"/>
      <c r="K1119" s="117"/>
    </row>
    <row r="1120" ht="15.75" customHeight="1">
      <c r="A1120" s="122"/>
      <c r="B1120" s="133"/>
      <c r="C1120" s="120"/>
      <c r="D1120" s="120"/>
      <c r="E1120" s="120"/>
      <c r="F1120" s="120"/>
      <c r="G1120" s="120"/>
      <c r="H1120" s="120"/>
      <c r="I1120" s="121"/>
      <c r="J1120" s="121"/>
      <c r="K1120" s="117"/>
    </row>
    <row r="1121" ht="15.75" customHeight="1">
      <c r="A1121" s="122"/>
      <c r="B1121" s="133"/>
      <c r="C1121" s="120"/>
      <c r="D1121" s="120"/>
      <c r="E1121" s="120"/>
      <c r="F1121" s="120"/>
      <c r="G1121" s="120"/>
      <c r="H1121" s="120"/>
      <c r="I1121" s="121"/>
      <c r="J1121" s="121"/>
      <c r="K1121" s="117"/>
    </row>
    <row r="1122" ht="15.75" customHeight="1">
      <c r="A1122" s="122"/>
      <c r="B1122" s="133"/>
      <c r="C1122" s="120"/>
      <c r="D1122" s="120"/>
      <c r="E1122" s="120"/>
      <c r="F1122" s="120"/>
      <c r="G1122" s="120"/>
      <c r="H1122" s="120"/>
      <c r="I1122" s="121"/>
      <c r="J1122" s="121"/>
      <c r="K1122" s="117"/>
    </row>
    <row r="1123" ht="15.75" customHeight="1">
      <c r="A1123" s="122"/>
      <c r="B1123" s="133"/>
      <c r="C1123" s="120"/>
      <c r="D1123" s="120"/>
      <c r="E1123" s="120"/>
      <c r="F1123" s="120"/>
      <c r="G1123" s="120"/>
      <c r="H1123" s="120"/>
      <c r="I1123" s="121"/>
      <c r="J1123" s="121"/>
      <c r="K1123" s="117"/>
    </row>
    <row r="1124" ht="15.75" customHeight="1">
      <c r="A1124" s="122"/>
      <c r="B1124" s="133"/>
      <c r="C1124" s="120"/>
      <c r="D1124" s="120"/>
      <c r="E1124" s="120"/>
      <c r="F1124" s="120"/>
      <c r="G1124" s="120"/>
      <c r="H1124" s="120"/>
      <c r="I1124" s="121"/>
      <c r="J1124" s="121"/>
      <c r="K1124" s="117"/>
    </row>
    <row r="1125" ht="15.75" customHeight="1">
      <c r="A1125" s="122"/>
      <c r="B1125" s="133"/>
      <c r="C1125" s="120"/>
      <c r="D1125" s="120"/>
      <c r="E1125" s="120"/>
      <c r="F1125" s="120"/>
      <c r="G1125" s="120"/>
      <c r="H1125" s="120"/>
      <c r="I1125" s="121"/>
      <c r="J1125" s="121"/>
      <c r="K1125" s="117"/>
    </row>
    <row r="1126" ht="15.75" customHeight="1">
      <c r="A1126" s="122"/>
      <c r="B1126" s="133"/>
      <c r="C1126" s="120"/>
      <c r="D1126" s="120"/>
      <c r="E1126" s="120"/>
      <c r="F1126" s="120"/>
      <c r="G1126" s="120"/>
      <c r="H1126" s="120"/>
      <c r="I1126" s="121"/>
      <c r="J1126" s="121"/>
      <c r="K1126" s="117"/>
    </row>
    <row r="1127" ht="15.75" customHeight="1">
      <c r="A1127" s="122"/>
      <c r="B1127" s="133"/>
      <c r="C1127" s="120"/>
      <c r="D1127" s="120"/>
      <c r="E1127" s="120"/>
      <c r="F1127" s="120"/>
      <c r="G1127" s="120"/>
      <c r="H1127" s="120"/>
      <c r="I1127" s="121"/>
      <c r="J1127" s="121"/>
      <c r="K1127" s="117"/>
    </row>
    <row r="1128" ht="15.75" customHeight="1">
      <c r="A1128" s="122"/>
      <c r="B1128" s="133"/>
      <c r="C1128" s="120"/>
      <c r="D1128" s="120"/>
      <c r="E1128" s="120"/>
      <c r="F1128" s="120"/>
      <c r="G1128" s="120"/>
      <c r="H1128" s="120"/>
      <c r="I1128" s="121"/>
      <c r="J1128" s="121"/>
      <c r="K1128" s="117"/>
    </row>
    <row r="1129" ht="15.75" customHeight="1">
      <c r="A1129" s="122"/>
      <c r="B1129" s="133"/>
      <c r="C1129" s="120"/>
      <c r="D1129" s="120"/>
      <c r="E1129" s="120"/>
      <c r="F1129" s="120"/>
      <c r="G1129" s="120"/>
      <c r="H1129" s="120"/>
      <c r="I1129" s="121"/>
      <c r="J1129" s="121"/>
      <c r="K1129" s="117"/>
    </row>
    <row r="1130" ht="15.75" customHeight="1">
      <c r="A1130" s="122"/>
      <c r="B1130" s="133"/>
      <c r="C1130" s="120"/>
      <c r="D1130" s="120"/>
      <c r="E1130" s="120"/>
      <c r="F1130" s="120"/>
      <c r="G1130" s="120"/>
      <c r="H1130" s="120"/>
      <c r="I1130" s="121"/>
      <c r="J1130" s="121"/>
      <c r="K1130" s="117"/>
    </row>
    <row r="1131" ht="15.75" customHeight="1">
      <c r="A1131" s="122"/>
      <c r="B1131" s="133"/>
      <c r="C1131" s="120"/>
      <c r="D1131" s="120"/>
      <c r="E1131" s="120"/>
      <c r="F1131" s="120"/>
      <c r="G1131" s="120"/>
      <c r="H1131" s="120"/>
      <c r="I1131" s="121"/>
      <c r="J1131" s="121"/>
      <c r="K1131" s="117"/>
    </row>
    <row r="1132" ht="15.75" customHeight="1">
      <c r="A1132" s="122"/>
      <c r="B1132" s="133"/>
      <c r="C1132" s="120"/>
      <c r="D1132" s="120"/>
      <c r="E1132" s="120"/>
      <c r="F1132" s="120"/>
      <c r="G1132" s="120"/>
      <c r="H1132" s="120"/>
      <c r="I1132" s="121"/>
      <c r="J1132" s="121"/>
      <c r="K1132" s="117"/>
    </row>
    <row r="1133" ht="15.75" customHeight="1">
      <c r="A1133" s="122"/>
      <c r="B1133" s="133"/>
      <c r="C1133" s="120"/>
      <c r="D1133" s="120"/>
      <c r="E1133" s="120"/>
      <c r="F1133" s="120"/>
      <c r="G1133" s="120"/>
      <c r="H1133" s="120"/>
      <c r="I1133" s="121"/>
      <c r="J1133" s="121"/>
      <c r="K1133" s="117"/>
    </row>
    <row r="1134" ht="15.75" customHeight="1">
      <c r="A1134" s="122"/>
      <c r="B1134" s="133"/>
      <c r="C1134" s="120"/>
      <c r="D1134" s="120"/>
      <c r="E1134" s="120"/>
      <c r="F1134" s="120"/>
      <c r="G1134" s="120"/>
      <c r="H1134" s="120"/>
      <c r="I1134" s="121"/>
      <c r="J1134" s="121"/>
      <c r="K1134" s="117"/>
    </row>
    <row r="1135" ht="15.75" customHeight="1">
      <c r="A1135" s="122"/>
      <c r="B1135" s="133"/>
      <c r="C1135" s="120"/>
      <c r="D1135" s="120"/>
      <c r="E1135" s="120"/>
      <c r="F1135" s="120"/>
      <c r="G1135" s="120"/>
      <c r="H1135" s="120"/>
      <c r="I1135" s="121"/>
      <c r="J1135" s="121"/>
      <c r="K1135" s="117"/>
    </row>
    <row r="1136" ht="15.75" customHeight="1">
      <c r="A1136" s="122"/>
      <c r="B1136" s="133"/>
      <c r="C1136" s="120"/>
      <c r="D1136" s="120"/>
      <c r="E1136" s="120"/>
      <c r="F1136" s="120"/>
      <c r="G1136" s="120"/>
      <c r="H1136" s="120"/>
      <c r="I1136" s="121"/>
      <c r="J1136" s="121"/>
      <c r="K1136" s="117"/>
    </row>
    <row r="1137" ht="15.75" customHeight="1">
      <c r="A1137" s="122"/>
      <c r="B1137" s="133"/>
      <c r="C1137" s="120"/>
      <c r="D1137" s="120"/>
      <c r="E1137" s="120"/>
      <c r="F1137" s="120"/>
      <c r="G1137" s="120"/>
      <c r="H1137" s="120"/>
      <c r="I1137" s="121"/>
      <c r="J1137" s="121"/>
      <c r="K1137" s="117"/>
    </row>
    <row r="1138" ht="15.75" customHeight="1">
      <c r="A1138" s="122"/>
      <c r="B1138" s="133"/>
      <c r="C1138" s="120"/>
      <c r="D1138" s="120"/>
      <c r="E1138" s="120"/>
      <c r="F1138" s="120"/>
      <c r="G1138" s="120"/>
      <c r="H1138" s="120"/>
      <c r="I1138" s="121"/>
      <c r="J1138" s="121"/>
      <c r="K1138" s="117"/>
    </row>
    <row r="1139" ht="15.75" customHeight="1">
      <c r="A1139" s="122"/>
      <c r="B1139" s="133"/>
      <c r="C1139" s="120"/>
      <c r="D1139" s="120"/>
      <c r="E1139" s="120"/>
      <c r="F1139" s="120"/>
      <c r="G1139" s="120"/>
      <c r="H1139" s="120"/>
      <c r="I1139" s="121"/>
      <c r="J1139" s="121"/>
      <c r="K1139" s="117"/>
    </row>
    <row r="1140" ht="15.75" customHeight="1">
      <c r="A1140" s="122"/>
      <c r="B1140" s="133"/>
      <c r="C1140" s="120"/>
      <c r="D1140" s="120"/>
      <c r="E1140" s="120"/>
      <c r="F1140" s="120"/>
      <c r="G1140" s="120"/>
      <c r="H1140" s="120"/>
      <c r="I1140" s="121"/>
      <c r="J1140" s="121"/>
      <c r="K1140" s="117"/>
    </row>
    <row r="1141" ht="15.75" customHeight="1">
      <c r="A1141" s="122"/>
      <c r="B1141" s="133"/>
      <c r="C1141" s="120"/>
      <c r="D1141" s="120"/>
      <c r="E1141" s="120"/>
      <c r="F1141" s="120"/>
      <c r="G1141" s="120"/>
      <c r="H1141" s="120"/>
      <c r="I1141" s="121"/>
      <c r="J1141" s="121"/>
      <c r="K1141" s="117"/>
    </row>
    <row r="1142" ht="15.75" customHeight="1">
      <c r="A1142" s="122"/>
      <c r="B1142" s="133"/>
      <c r="C1142" s="120"/>
      <c r="D1142" s="120"/>
      <c r="E1142" s="120"/>
      <c r="F1142" s="120"/>
      <c r="G1142" s="120"/>
      <c r="H1142" s="120"/>
      <c r="I1142" s="121"/>
      <c r="J1142" s="121"/>
      <c r="K1142" s="117"/>
    </row>
    <row r="1143" ht="15.75" customHeight="1">
      <c r="A1143" s="122"/>
      <c r="B1143" s="133"/>
      <c r="C1143" s="120"/>
      <c r="D1143" s="120"/>
      <c r="E1143" s="120"/>
      <c r="F1143" s="120"/>
      <c r="G1143" s="120"/>
      <c r="H1143" s="120"/>
      <c r="I1143" s="121"/>
      <c r="J1143" s="121"/>
      <c r="K1143" s="117"/>
    </row>
    <row r="1144" ht="15.75" customHeight="1">
      <c r="A1144" s="122"/>
      <c r="B1144" s="133"/>
      <c r="C1144" s="120"/>
      <c r="D1144" s="120"/>
      <c r="E1144" s="120"/>
      <c r="F1144" s="120"/>
      <c r="G1144" s="120"/>
      <c r="H1144" s="120"/>
      <c r="I1144" s="121"/>
      <c r="J1144" s="121"/>
      <c r="K1144" s="117"/>
    </row>
    <row r="1145" ht="15.75" customHeight="1">
      <c r="A1145" s="122"/>
      <c r="B1145" s="133"/>
      <c r="C1145" s="120"/>
      <c r="D1145" s="120"/>
      <c r="E1145" s="120"/>
      <c r="F1145" s="120"/>
      <c r="G1145" s="120"/>
      <c r="H1145" s="120"/>
      <c r="I1145" s="121"/>
      <c r="J1145" s="121"/>
      <c r="K1145" s="117"/>
    </row>
    <row r="1146" ht="15.75" customHeight="1">
      <c r="A1146" s="122"/>
      <c r="B1146" s="133"/>
      <c r="C1146" s="120"/>
      <c r="D1146" s="120"/>
      <c r="E1146" s="120"/>
      <c r="F1146" s="120"/>
      <c r="G1146" s="120"/>
      <c r="H1146" s="120"/>
      <c r="I1146" s="121"/>
      <c r="J1146" s="121"/>
      <c r="K1146" s="117"/>
    </row>
    <row r="1147" ht="15.75" customHeight="1">
      <c r="A1147" s="122"/>
      <c r="B1147" s="133"/>
      <c r="C1147" s="120"/>
      <c r="D1147" s="120"/>
      <c r="E1147" s="120"/>
      <c r="F1147" s="120"/>
      <c r="G1147" s="120"/>
      <c r="H1147" s="120"/>
      <c r="I1147" s="121"/>
      <c r="J1147" s="121"/>
      <c r="K1147" s="117"/>
    </row>
    <row r="1148" ht="15.75" customHeight="1">
      <c r="A1148" s="122"/>
      <c r="B1148" s="133"/>
      <c r="C1148" s="120"/>
      <c r="D1148" s="120"/>
      <c r="E1148" s="120"/>
      <c r="F1148" s="120"/>
      <c r="G1148" s="120"/>
      <c r="H1148" s="120"/>
      <c r="I1148" s="121"/>
      <c r="J1148" s="121"/>
      <c r="K1148" s="117"/>
    </row>
    <row r="1149" ht="15.75" customHeight="1">
      <c r="A1149" s="122"/>
      <c r="B1149" s="133"/>
      <c r="C1149" s="120"/>
      <c r="D1149" s="120"/>
      <c r="E1149" s="120"/>
      <c r="F1149" s="120"/>
      <c r="G1149" s="120"/>
      <c r="H1149" s="120"/>
      <c r="I1149" s="121"/>
      <c r="J1149" s="121"/>
      <c r="K1149" s="117"/>
    </row>
    <row r="1150" ht="15.75" customHeight="1">
      <c r="A1150" s="122"/>
      <c r="B1150" s="133"/>
      <c r="C1150" s="120"/>
      <c r="D1150" s="120"/>
      <c r="E1150" s="120"/>
      <c r="F1150" s="120"/>
      <c r="G1150" s="120"/>
      <c r="H1150" s="120"/>
      <c r="I1150" s="121"/>
      <c r="J1150" s="121"/>
      <c r="K1150" s="117"/>
    </row>
    <row r="1151" ht="15.75" customHeight="1">
      <c r="A1151" s="122"/>
      <c r="B1151" s="133"/>
      <c r="C1151" s="120"/>
      <c r="D1151" s="120"/>
      <c r="E1151" s="120"/>
      <c r="F1151" s="120"/>
      <c r="G1151" s="120"/>
      <c r="H1151" s="120"/>
      <c r="I1151" s="121"/>
      <c r="J1151" s="121"/>
      <c r="K1151" s="117"/>
    </row>
    <row r="1152" ht="15.75" customHeight="1">
      <c r="A1152" s="122"/>
      <c r="B1152" s="133"/>
      <c r="C1152" s="120"/>
      <c r="D1152" s="120"/>
      <c r="E1152" s="120"/>
      <c r="F1152" s="120"/>
      <c r="G1152" s="120"/>
      <c r="H1152" s="120"/>
      <c r="I1152" s="121"/>
      <c r="J1152" s="121"/>
      <c r="K1152" s="117"/>
    </row>
    <row r="1153" ht="15.75" customHeight="1">
      <c r="A1153" s="122"/>
      <c r="B1153" s="133"/>
      <c r="C1153" s="120"/>
      <c r="D1153" s="120"/>
      <c r="E1153" s="120"/>
      <c r="F1153" s="120"/>
      <c r="G1153" s="120"/>
      <c r="H1153" s="120"/>
      <c r="I1153" s="121"/>
      <c r="J1153" s="121"/>
      <c r="K1153" s="117"/>
    </row>
    <row r="1154" ht="15.75" customHeight="1">
      <c r="A1154" s="122"/>
      <c r="B1154" s="133"/>
      <c r="C1154" s="120"/>
      <c r="D1154" s="120"/>
      <c r="E1154" s="120"/>
      <c r="F1154" s="120"/>
      <c r="G1154" s="120"/>
      <c r="H1154" s="120"/>
      <c r="I1154" s="121"/>
      <c r="J1154" s="121"/>
      <c r="K1154" s="117"/>
    </row>
    <row r="1155" ht="15.75" customHeight="1">
      <c r="A1155" s="122"/>
      <c r="B1155" s="133"/>
      <c r="C1155" s="120"/>
      <c r="D1155" s="120"/>
      <c r="E1155" s="120"/>
      <c r="F1155" s="120"/>
      <c r="G1155" s="120"/>
      <c r="H1155" s="120"/>
      <c r="I1155" s="121"/>
      <c r="J1155" s="121"/>
      <c r="K1155" s="117"/>
    </row>
    <row r="1156" ht="15.75" customHeight="1">
      <c r="A1156" s="122"/>
      <c r="B1156" s="133"/>
      <c r="C1156" s="120"/>
      <c r="D1156" s="120"/>
      <c r="E1156" s="120"/>
      <c r="F1156" s="120"/>
      <c r="G1156" s="120"/>
      <c r="H1156" s="120"/>
      <c r="I1156" s="121"/>
      <c r="J1156" s="121"/>
      <c r="K1156" s="117"/>
    </row>
    <row r="1157" ht="15.75" customHeight="1">
      <c r="A1157" s="122"/>
      <c r="B1157" s="133"/>
      <c r="C1157" s="120"/>
      <c r="D1157" s="120"/>
      <c r="E1157" s="120"/>
      <c r="F1157" s="120"/>
      <c r="G1157" s="120"/>
      <c r="H1157" s="120"/>
      <c r="I1157" s="121"/>
      <c r="J1157" s="121"/>
      <c r="K1157" s="117"/>
    </row>
    <row r="1158" ht="15.75" customHeight="1">
      <c r="A1158" s="122"/>
      <c r="B1158" s="133"/>
      <c r="C1158" s="120"/>
      <c r="D1158" s="120"/>
      <c r="E1158" s="120"/>
      <c r="F1158" s="120"/>
      <c r="G1158" s="120"/>
      <c r="H1158" s="120"/>
      <c r="I1158" s="121"/>
      <c r="J1158" s="121"/>
      <c r="K1158" s="117"/>
    </row>
    <row r="1159" ht="15.75" customHeight="1">
      <c r="A1159" s="122"/>
      <c r="B1159" s="133"/>
      <c r="C1159" s="120"/>
      <c r="D1159" s="120"/>
      <c r="E1159" s="120"/>
      <c r="F1159" s="120"/>
      <c r="G1159" s="120"/>
      <c r="H1159" s="120"/>
      <c r="I1159" s="121"/>
      <c r="J1159" s="121"/>
      <c r="K1159" s="117"/>
    </row>
    <row r="1160" ht="15.75" customHeight="1">
      <c r="A1160" s="122"/>
      <c r="B1160" s="133"/>
      <c r="C1160" s="120"/>
      <c r="D1160" s="120"/>
      <c r="E1160" s="120"/>
      <c r="F1160" s="120"/>
      <c r="G1160" s="120"/>
      <c r="H1160" s="120"/>
      <c r="I1160" s="121"/>
      <c r="J1160" s="121"/>
      <c r="K1160" s="117"/>
    </row>
    <row r="1161" ht="15.75" customHeight="1">
      <c r="A1161" s="122"/>
      <c r="B1161" s="133"/>
      <c r="C1161" s="120"/>
      <c r="D1161" s="120"/>
      <c r="E1161" s="120"/>
      <c r="F1161" s="120"/>
      <c r="G1161" s="120"/>
      <c r="H1161" s="120"/>
      <c r="I1161" s="121"/>
      <c r="J1161" s="121"/>
      <c r="K1161" s="117"/>
    </row>
    <row r="1162" ht="15.75" customHeight="1">
      <c r="A1162" s="122"/>
      <c r="B1162" s="133"/>
      <c r="C1162" s="120"/>
      <c r="D1162" s="120"/>
      <c r="E1162" s="120"/>
      <c r="F1162" s="120"/>
      <c r="G1162" s="120"/>
      <c r="H1162" s="120"/>
      <c r="I1162" s="121"/>
      <c r="J1162" s="121"/>
      <c r="K1162" s="117"/>
    </row>
    <row r="1163" ht="15.75" customHeight="1">
      <c r="A1163" s="122"/>
      <c r="B1163" s="133"/>
      <c r="C1163" s="120"/>
      <c r="D1163" s="120"/>
      <c r="E1163" s="120"/>
      <c r="F1163" s="120"/>
      <c r="G1163" s="120"/>
      <c r="H1163" s="120"/>
      <c r="I1163" s="121"/>
      <c r="J1163" s="121"/>
      <c r="K1163" s="117"/>
    </row>
    <row r="1164" ht="15.75" customHeight="1">
      <c r="A1164" s="122"/>
      <c r="B1164" s="133"/>
      <c r="C1164" s="120"/>
      <c r="D1164" s="120"/>
      <c r="E1164" s="120"/>
      <c r="F1164" s="120"/>
      <c r="G1164" s="120"/>
      <c r="H1164" s="120"/>
      <c r="I1164" s="121"/>
      <c r="J1164" s="121"/>
      <c r="K1164" s="117"/>
    </row>
    <row r="1165" ht="15.75" customHeight="1">
      <c r="A1165" s="122"/>
      <c r="B1165" s="133"/>
      <c r="C1165" s="120"/>
      <c r="D1165" s="120"/>
      <c r="E1165" s="120"/>
      <c r="F1165" s="120"/>
      <c r="G1165" s="120"/>
      <c r="H1165" s="120"/>
      <c r="I1165" s="121"/>
      <c r="J1165" s="121"/>
      <c r="K1165" s="117"/>
    </row>
    <row r="1166" ht="15.75" customHeight="1">
      <c r="A1166" s="122"/>
      <c r="B1166" s="133"/>
      <c r="C1166" s="120"/>
      <c r="D1166" s="120"/>
      <c r="E1166" s="120"/>
      <c r="F1166" s="120"/>
      <c r="G1166" s="120"/>
      <c r="H1166" s="120"/>
      <c r="I1166" s="121"/>
      <c r="J1166" s="121"/>
      <c r="K1166" s="117"/>
    </row>
    <row r="1167" ht="15.75" customHeight="1">
      <c r="A1167" s="122"/>
      <c r="B1167" s="133"/>
      <c r="C1167" s="120"/>
      <c r="D1167" s="120"/>
      <c r="E1167" s="120"/>
      <c r="F1167" s="120"/>
      <c r="G1167" s="120"/>
      <c r="H1167" s="120"/>
      <c r="I1167" s="121"/>
      <c r="J1167" s="121"/>
      <c r="K1167" s="117"/>
    </row>
    <row r="1168" ht="15.75" customHeight="1">
      <c r="A1168" s="122"/>
      <c r="B1168" s="133"/>
      <c r="C1168" s="120"/>
      <c r="D1168" s="120"/>
      <c r="E1168" s="120"/>
      <c r="F1168" s="120"/>
      <c r="G1168" s="120"/>
      <c r="H1168" s="120"/>
      <c r="I1168" s="121"/>
      <c r="J1168" s="121"/>
      <c r="K1168" s="117"/>
    </row>
    <row r="1169" ht="15.75" customHeight="1">
      <c r="A1169" s="122"/>
      <c r="B1169" s="133"/>
      <c r="C1169" s="120"/>
      <c r="D1169" s="120"/>
      <c r="E1169" s="120"/>
      <c r="F1169" s="120"/>
      <c r="G1169" s="120"/>
      <c r="H1169" s="120"/>
      <c r="I1169" s="121"/>
      <c r="J1169" s="121"/>
      <c r="K1169" s="117"/>
    </row>
    <row r="1170" ht="15.75" customHeight="1">
      <c r="A1170" s="122"/>
      <c r="B1170" s="133"/>
      <c r="C1170" s="120"/>
      <c r="D1170" s="120"/>
      <c r="E1170" s="120"/>
      <c r="F1170" s="120"/>
      <c r="G1170" s="120"/>
      <c r="H1170" s="120"/>
      <c r="I1170" s="121"/>
      <c r="J1170" s="121"/>
      <c r="K1170" s="117"/>
    </row>
    <row r="1171" ht="15.75" customHeight="1">
      <c r="A1171" s="122"/>
      <c r="B1171" s="133"/>
      <c r="C1171" s="120"/>
      <c r="D1171" s="120"/>
      <c r="E1171" s="120"/>
      <c r="F1171" s="120"/>
      <c r="G1171" s="120"/>
      <c r="H1171" s="120"/>
      <c r="I1171" s="121"/>
      <c r="J1171" s="121"/>
      <c r="K1171" s="117"/>
    </row>
    <row r="1172" ht="15.75" customHeight="1">
      <c r="A1172" s="122"/>
      <c r="B1172" s="133"/>
      <c r="C1172" s="120"/>
      <c r="D1172" s="120"/>
      <c r="E1172" s="120"/>
      <c r="F1172" s="120"/>
      <c r="G1172" s="120"/>
      <c r="H1172" s="120"/>
      <c r="I1172" s="121"/>
      <c r="J1172" s="121"/>
      <c r="K1172" s="117"/>
    </row>
    <row r="1173" ht="15.75" customHeight="1">
      <c r="A1173" s="122"/>
      <c r="B1173" s="133"/>
      <c r="C1173" s="120"/>
      <c r="D1173" s="120"/>
      <c r="E1173" s="120"/>
      <c r="F1173" s="120"/>
      <c r="G1173" s="120"/>
      <c r="H1173" s="120"/>
      <c r="I1173" s="121"/>
      <c r="J1173" s="121"/>
      <c r="K1173" s="117"/>
    </row>
    <row r="1174" ht="15.75" customHeight="1">
      <c r="A1174" s="122"/>
      <c r="B1174" s="133"/>
      <c r="C1174" s="120"/>
      <c r="D1174" s="120"/>
      <c r="E1174" s="120"/>
      <c r="F1174" s="120"/>
      <c r="G1174" s="120"/>
      <c r="H1174" s="120"/>
      <c r="I1174" s="121"/>
      <c r="J1174" s="121"/>
      <c r="K1174" s="117"/>
    </row>
    <row r="1175" ht="15.75" customHeight="1">
      <c r="A1175" s="122"/>
      <c r="B1175" s="133"/>
      <c r="C1175" s="120"/>
      <c r="D1175" s="120"/>
      <c r="E1175" s="120"/>
      <c r="F1175" s="120"/>
      <c r="G1175" s="120"/>
      <c r="H1175" s="120"/>
      <c r="I1175" s="121"/>
      <c r="J1175" s="121"/>
      <c r="K1175" s="117"/>
    </row>
    <row r="1176" ht="15.75" customHeight="1">
      <c r="A1176" s="122"/>
      <c r="B1176" s="133"/>
      <c r="C1176" s="120"/>
      <c r="D1176" s="120"/>
      <c r="E1176" s="120"/>
      <c r="F1176" s="120"/>
      <c r="G1176" s="120"/>
      <c r="H1176" s="120"/>
      <c r="I1176" s="121"/>
      <c r="J1176" s="121"/>
      <c r="K1176" s="117"/>
    </row>
    <row r="1177" ht="15.75" customHeight="1">
      <c r="A1177" s="122"/>
      <c r="B1177" s="133"/>
      <c r="C1177" s="120"/>
      <c r="D1177" s="120"/>
      <c r="E1177" s="120"/>
      <c r="F1177" s="120"/>
      <c r="G1177" s="120"/>
      <c r="H1177" s="120"/>
      <c r="I1177" s="121"/>
      <c r="J1177" s="121"/>
      <c r="K1177" s="117"/>
    </row>
    <row r="1178" ht="15.75" customHeight="1">
      <c r="A1178" s="122"/>
      <c r="B1178" s="133"/>
      <c r="C1178" s="120"/>
      <c r="D1178" s="120"/>
      <c r="E1178" s="120"/>
      <c r="F1178" s="120"/>
      <c r="G1178" s="120"/>
      <c r="H1178" s="120"/>
      <c r="I1178" s="121"/>
      <c r="J1178" s="121"/>
      <c r="K1178" s="117"/>
    </row>
    <row r="1179" ht="15.75" customHeight="1">
      <c r="A1179" s="122"/>
      <c r="B1179" s="133"/>
      <c r="C1179" s="120"/>
      <c r="D1179" s="120"/>
      <c r="E1179" s="120"/>
      <c r="F1179" s="120"/>
      <c r="G1179" s="120"/>
      <c r="H1179" s="120"/>
      <c r="I1179" s="121"/>
      <c r="J1179" s="121"/>
      <c r="K1179" s="117"/>
    </row>
    <row r="1180" ht="15.75" customHeight="1">
      <c r="A1180" s="122"/>
      <c r="B1180" s="133"/>
      <c r="C1180" s="120"/>
      <c r="D1180" s="120"/>
      <c r="E1180" s="120"/>
      <c r="F1180" s="120"/>
      <c r="G1180" s="120"/>
      <c r="H1180" s="120"/>
      <c r="I1180" s="121"/>
      <c r="J1180" s="121"/>
      <c r="K1180" s="117"/>
    </row>
    <row r="1181" ht="15.75" customHeight="1">
      <c r="A1181" s="122"/>
      <c r="B1181" s="133"/>
      <c r="C1181" s="120"/>
      <c r="D1181" s="120"/>
      <c r="E1181" s="120"/>
      <c r="F1181" s="120"/>
      <c r="G1181" s="120"/>
      <c r="H1181" s="120"/>
      <c r="I1181" s="121"/>
      <c r="J1181" s="121"/>
      <c r="K1181" s="117"/>
    </row>
    <row r="1182" ht="15.75" customHeight="1">
      <c r="A1182" s="122"/>
      <c r="B1182" s="133"/>
      <c r="C1182" s="120"/>
      <c r="D1182" s="120"/>
      <c r="E1182" s="120"/>
      <c r="F1182" s="120"/>
      <c r="G1182" s="120"/>
      <c r="H1182" s="120"/>
      <c r="I1182" s="121"/>
      <c r="J1182" s="121"/>
      <c r="K1182" s="117"/>
    </row>
    <row r="1183" ht="15.75" customHeight="1">
      <c r="A1183" s="122"/>
      <c r="B1183" s="133"/>
      <c r="C1183" s="120"/>
      <c r="D1183" s="120"/>
      <c r="E1183" s="120"/>
      <c r="F1183" s="120"/>
      <c r="G1183" s="120"/>
      <c r="H1183" s="120"/>
      <c r="I1183" s="121"/>
      <c r="J1183" s="121"/>
      <c r="K1183" s="117"/>
    </row>
    <row r="1184" ht="15.75" customHeight="1">
      <c r="A1184" s="122"/>
      <c r="B1184" s="133"/>
      <c r="C1184" s="120"/>
      <c r="D1184" s="120"/>
      <c r="E1184" s="120"/>
      <c r="F1184" s="120"/>
      <c r="G1184" s="120"/>
      <c r="H1184" s="120"/>
      <c r="I1184" s="121"/>
      <c r="J1184" s="121"/>
      <c r="K1184" s="117"/>
    </row>
    <row r="1185" ht="15.75" customHeight="1">
      <c r="A1185" s="122"/>
      <c r="B1185" s="133"/>
      <c r="C1185" s="120"/>
      <c r="D1185" s="120"/>
      <c r="E1185" s="120"/>
      <c r="F1185" s="120"/>
      <c r="G1185" s="120"/>
      <c r="H1185" s="120"/>
      <c r="I1185" s="121"/>
      <c r="J1185" s="121"/>
      <c r="K1185" s="117"/>
    </row>
    <row r="1186" ht="15.75" customHeight="1">
      <c r="A1186" s="122"/>
      <c r="B1186" s="133"/>
      <c r="C1186" s="120"/>
      <c r="D1186" s="120"/>
      <c r="E1186" s="120"/>
      <c r="F1186" s="120"/>
      <c r="G1186" s="120"/>
      <c r="H1186" s="120"/>
      <c r="I1186" s="121"/>
      <c r="J1186" s="121"/>
      <c r="K1186" s="117"/>
    </row>
    <row r="1187" ht="15.75" customHeight="1">
      <c r="A1187" s="122"/>
      <c r="B1187" s="133"/>
      <c r="C1187" s="120"/>
      <c r="D1187" s="120"/>
      <c r="E1187" s="120"/>
      <c r="F1187" s="120"/>
      <c r="G1187" s="120"/>
      <c r="H1187" s="120"/>
      <c r="I1187" s="121"/>
      <c r="J1187" s="121"/>
      <c r="K1187" s="117"/>
    </row>
    <row r="1188" ht="15.75" customHeight="1">
      <c r="A1188" s="122"/>
      <c r="B1188" s="133"/>
      <c r="C1188" s="120"/>
      <c r="D1188" s="120"/>
      <c r="E1188" s="120"/>
      <c r="F1188" s="120"/>
      <c r="G1188" s="120"/>
      <c r="H1188" s="120"/>
      <c r="I1188" s="121"/>
      <c r="J1188" s="121"/>
      <c r="K1188" s="117"/>
    </row>
    <row r="1189" ht="15.75" customHeight="1">
      <c r="A1189" s="122"/>
      <c r="B1189" s="133"/>
      <c r="C1189" s="120"/>
      <c r="D1189" s="120"/>
      <c r="E1189" s="120"/>
      <c r="F1189" s="120"/>
      <c r="G1189" s="120"/>
      <c r="H1189" s="120"/>
      <c r="I1189" s="121"/>
      <c r="J1189" s="121"/>
      <c r="K1189" s="117"/>
    </row>
    <row r="1190" ht="15.75" customHeight="1">
      <c r="A1190" s="122"/>
      <c r="B1190" s="133"/>
      <c r="C1190" s="120"/>
      <c r="D1190" s="120"/>
      <c r="E1190" s="120"/>
      <c r="F1190" s="120"/>
      <c r="G1190" s="120"/>
      <c r="H1190" s="120"/>
      <c r="I1190" s="121"/>
      <c r="J1190" s="121"/>
      <c r="K1190" s="117"/>
    </row>
    <row r="1191" ht="15.75" customHeight="1">
      <c r="A1191" s="122"/>
      <c r="B1191" s="133"/>
      <c r="C1191" s="120"/>
      <c r="D1191" s="120"/>
      <c r="E1191" s="120"/>
      <c r="F1191" s="120"/>
      <c r="G1191" s="120"/>
      <c r="H1191" s="120"/>
      <c r="I1191" s="121"/>
      <c r="J1191" s="121"/>
      <c r="K1191" s="117"/>
    </row>
    <row r="1192" ht="15.75" customHeight="1">
      <c r="A1192" s="122"/>
      <c r="B1192" s="133"/>
      <c r="C1192" s="120"/>
      <c r="D1192" s="120"/>
      <c r="E1192" s="120"/>
      <c r="F1192" s="120"/>
      <c r="G1192" s="120"/>
      <c r="H1192" s="120"/>
      <c r="I1192" s="121"/>
      <c r="J1192" s="121"/>
      <c r="K1192" s="117"/>
    </row>
    <row r="1193" ht="15.75" customHeight="1">
      <c r="A1193" s="122"/>
      <c r="B1193" s="133"/>
      <c r="C1193" s="120"/>
      <c r="D1193" s="120"/>
      <c r="E1193" s="120"/>
      <c r="F1193" s="120"/>
      <c r="G1193" s="120"/>
      <c r="H1193" s="120"/>
      <c r="I1193" s="121"/>
      <c r="J1193" s="121"/>
      <c r="K1193" s="117"/>
    </row>
    <row r="1194" ht="15.75" customHeight="1">
      <c r="A1194" s="122"/>
      <c r="B1194" s="133"/>
      <c r="C1194" s="120"/>
      <c r="D1194" s="120"/>
      <c r="E1194" s="120"/>
      <c r="F1194" s="120"/>
      <c r="G1194" s="120"/>
      <c r="H1194" s="120"/>
      <c r="I1194" s="121"/>
      <c r="J1194" s="121"/>
      <c r="K1194" s="117"/>
    </row>
    <row r="1195" ht="15.75" customHeight="1">
      <c r="A1195" s="122"/>
      <c r="B1195" s="133"/>
      <c r="C1195" s="120"/>
      <c r="D1195" s="120"/>
      <c r="E1195" s="120"/>
      <c r="F1195" s="120"/>
      <c r="G1195" s="120"/>
      <c r="H1195" s="120"/>
      <c r="I1195" s="121"/>
      <c r="J1195" s="121"/>
      <c r="K1195" s="117"/>
    </row>
    <row r="1196" ht="15.75" customHeight="1">
      <c r="A1196" s="122"/>
      <c r="B1196" s="133"/>
      <c r="C1196" s="120"/>
      <c r="D1196" s="120"/>
      <c r="E1196" s="120"/>
      <c r="F1196" s="120"/>
      <c r="G1196" s="120"/>
      <c r="H1196" s="120"/>
      <c r="I1196" s="121"/>
      <c r="J1196" s="121"/>
      <c r="K1196" s="117"/>
    </row>
    <row r="1197" ht="15.75" customHeight="1">
      <c r="A1197" s="122"/>
      <c r="B1197" s="133"/>
      <c r="C1197" s="120"/>
      <c r="D1197" s="120"/>
      <c r="E1197" s="120"/>
      <c r="F1197" s="120"/>
      <c r="G1197" s="120"/>
      <c r="H1197" s="120"/>
      <c r="I1197" s="121"/>
      <c r="J1197" s="121"/>
      <c r="K1197" s="117"/>
    </row>
    <row r="1198" ht="15.75" customHeight="1">
      <c r="A1198" s="122"/>
      <c r="B1198" s="133"/>
      <c r="C1198" s="120"/>
      <c r="D1198" s="120"/>
      <c r="E1198" s="120"/>
      <c r="F1198" s="120"/>
      <c r="G1198" s="120"/>
      <c r="H1198" s="120"/>
      <c r="I1198" s="121"/>
      <c r="J1198" s="121"/>
      <c r="K1198" s="117"/>
    </row>
    <row r="1199" ht="15.75" customHeight="1">
      <c r="A1199" s="122"/>
      <c r="B1199" s="133"/>
      <c r="C1199" s="120"/>
      <c r="D1199" s="120"/>
      <c r="E1199" s="120"/>
      <c r="F1199" s="120"/>
      <c r="G1199" s="120"/>
      <c r="H1199" s="120"/>
      <c r="I1199" s="121"/>
      <c r="J1199" s="121"/>
      <c r="K1199" s="117"/>
    </row>
    <row r="1200" ht="15.75" customHeight="1">
      <c r="A1200" s="122"/>
      <c r="B1200" s="133"/>
      <c r="C1200" s="120"/>
      <c r="D1200" s="120"/>
      <c r="E1200" s="120"/>
      <c r="F1200" s="120"/>
      <c r="G1200" s="120"/>
      <c r="H1200" s="120"/>
      <c r="I1200" s="121"/>
      <c r="J1200" s="121"/>
      <c r="K1200" s="117"/>
    </row>
    <row r="1201" ht="15.75" customHeight="1">
      <c r="A1201" s="122"/>
      <c r="B1201" s="133"/>
      <c r="C1201" s="120"/>
      <c r="D1201" s="120"/>
      <c r="E1201" s="120"/>
      <c r="F1201" s="120"/>
      <c r="G1201" s="120"/>
      <c r="H1201" s="120"/>
      <c r="I1201" s="121"/>
      <c r="J1201" s="121"/>
      <c r="K1201" s="117"/>
    </row>
    <row r="1202" ht="15.75" customHeight="1">
      <c r="A1202" s="122"/>
      <c r="B1202" s="133"/>
      <c r="C1202" s="120"/>
      <c r="D1202" s="120"/>
      <c r="E1202" s="120"/>
      <c r="F1202" s="120"/>
      <c r="G1202" s="120"/>
      <c r="H1202" s="120"/>
      <c r="I1202" s="121"/>
      <c r="J1202" s="121"/>
      <c r="K1202" s="117"/>
    </row>
    <row r="1203" ht="15.75" customHeight="1">
      <c r="A1203" s="122"/>
      <c r="B1203" s="133"/>
      <c r="C1203" s="120"/>
      <c r="D1203" s="120"/>
      <c r="E1203" s="120"/>
      <c r="F1203" s="120"/>
      <c r="G1203" s="120"/>
      <c r="H1203" s="120"/>
      <c r="I1203" s="121"/>
      <c r="J1203" s="121"/>
      <c r="K1203" s="117"/>
    </row>
    <row r="1204" ht="15.75" customHeight="1">
      <c r="A1204" s="122"/>
      <c r="B1204" s="133"/>
      <c r="C1204" s="120"/>
      <c r="D1204" s="120"/>
      <c r="E1204" s="120"/>
      <c r="F1204" s="120"/>
      <c r="G1204" s="120"/>
      <c r="H1204" s="120"/>
      <c r="I1204" s="121"/>
      <c r="J1204" s="121"/>
      <c r="K1204" s="117"/>
    </row>
    <row r="1205" ht="15.75" customHeight="1">
      <c r="A1205" s="122"/>
      <c r="B1205" s="133"/>
      <c r="C1205" s="120"/>
      <c r="D1205" s="120"/>
      <c r="E1205" s="120"/>
      <c r="F1205" s="120"/>
      <c r="G1205" s="120"/>
      <c r="H1205" s="120"/>
      <c r="I1205" s="121"/>
      <c r="J1205" s="121"/>
      <c r="K1205" s="117"/>
    </row>
    <row r="1206" ht="15.75" customHeight="1">
      <c r="A1206" s="122"/>
      <c r="B1206" s="133"/>
      <c r="C1206" s="120"/>
      <c r="D1206" s="120"/>
      <c r="E1206" s="120"/>
      <c r="F1206" s="120"/>
      <c r="G1206" s="120"/>
      <c r="H1206" s="120"/>
      <c r="I1206" s="121"/>
      <c r="J1206" s="121"/>
      <c r="K1206" s="117"/>
    </row>
    <row r="1207" ht="15.75" customHeight="1">
      <c r="A1207" s="122"/>
      <c r="B1207" s="133"/>
      <c r="C1207" s="120"/>
      <c r="D1207" s="120"/>
      <c r="E1207" s="120"/>
      <c r="F1207" s="120"/>
      <c r="G1207" s="120"/>
      <c r="H1207" s="120"/>
      <c r="I1207" s="121"/>
      <c r="J1207" s="121"/>
      <c r="K1207" s="117"/>
    </row>
    <row r="1208" ht="15.75" customHeight="1">
      <c r="A1208" s="122"/>
      <c r="B1208" s="133"/>
      <c r="C1208" s="120"/>
      <c r="D1208" s="120"/>
      <c r="E1208" s="120"/>
      <c r="F1208" s="120"/>
      <c r="G1208" s="120"/>
      <c r="H1208" s="120"/>
      <c r="I1208" s="121"/>
      <c r="J1208" s="121"/>
      <c r="K1208" s="117"/>
    </row>
    <row r="1209" ht="15.75" customHeight="1">
      <c r="A1209" s="122"/>
      <c r="B1209" s="133"/>
      <c r="C1209" s="120"/>
      <c r="D1209" s="120"/>
      <c r="E1209" s="120"/>
      <c r="F1209" s="120"/>
      <c r="G1209" s="120"/>
      <c r="H1209" s="120"/>
      <c r="I1209" s="121"/>
      <c r="J1209" s="121"/>
      <c r="K1209" s="117"/>
    </row>
    <row r="1210" ht="15.75" customHeight="1">
      <c r="A1210" s="122"/>
      <c r="B1210" s="133"/>
      <c r="C1210" s="120"/>
      <c r="D1210" s="120"/>
      <c r="E1210" s="120"/>
      <c r="F1210" s="120"/>
      <c r="G1210" s="120"/>
      <c r="H1210" s="120"/>
      <c r="I1210" s="121"/>
      <c r="J1210" s="121"/>
      <c r="K1210" s="117"/>
    </row>
    <row r="1211" ht="15.75" customHeight="1">
      <c r="A1211" s="122"/>
      <c r="B1211" s="133"/>
      <c r="C1211" s="120"/>
      <c r="D1211" s="120"/>
      <c r="E1211" s="120"/>
      <c r="F1211" s="120"/>
      <c r="G1211" s="120"/>
      <c r="H1211" s="120"/>
      <c r="I1211" s="121"/>
      <c r="J1211" s="121"/>
      <c r="K1211" s="117"/>
    </row>
    <row r="1212" ht="15.75" customHeight="1">
      <c r="A1212" s="122"/>
      <c r="B1212" s="133"/>
      <c r="C1212" s="120"/>
      <c r="D1212" s="120"/>
      <c r="E1212" s="120"/>
      <c r="F1212" s="120"/>
      <c r="G1212" s="120"/>
      <c r="H1212" s="120"/>
      <c r="I1212" s="121"/>
      <c r="J1212" s="121"/>
      <c r="K1212" s="117"/>
    </row>
    <row r="1213" ht="15.75" customHeight="1">
      <c r="A1213" s="122"/>
      <c r="B1213" s="133"/>
      <c r="C1213" s="120"/>
      <c r="D1213" s="120"/>
      <c r="E1213" s="120"/>
      <c r="F1213" s="120"/>
      <c r="G1213" s="120"/>
      <c r="H1213" s="120"/>
      <c r="I1213" s="121"/>
      <c r="J1213" s="121"/>
      <c r="K1213" s="117"/>
    </row>
    <row r="1214" ht="15.75" customHeight="1">
      <c r="A1214" s="122"/>
      <c r="B1214" s="133"/>
      <c r="C1214" s="120"/>
      <c r="D1214" s="120"/>
      <c r="E1214" s="120"/>
      <c r="F1214" s="120"/>
      <c r="G1214" s="120"/>
      <c r="H1214" s="120"/>
      <c r="I1214" s="121"/>
      <c r="J1214" s="121"/>
      <c r="K1214" s="117"/>
    </row>
    <row r="1215" ht="15.75" customHeight="1">
      <c r="A1215" s="122"/>
      <c r="B1215" s="133"/>
      <c r="C1215" s="120"/>
      <c r="D1215" s="120"/>
      <c r="E1215" s="120"/>
      <c r="F1215" s="120"/>
      <c r="G1215" s="120"/>
      <c r="H1215" s="120"/>
      <c r="I1215" s="121"/>
      <c r="J1215" s="121"/>
      <c r="K1215" s="117"/>
    </row>
    <row r="1216" ht="15.75" customHeight="1">
      <c r="A1216" s="122"/>
      <c r="B1216" s="133"/>
      <c r="C1216" s="120"/>
      <c r="D1216" s="120"/>
      <c r="E1216" s="120"/>
      <c r="F1216" s="120"/>
      <c r="G1216" s="120"/>
      <c r="H1216" s="120"/>
      <c r="I1216" s="121"/>
      <c r="J1216" s="121"/>
      <c r="K1216" s="117"/>
    </row>
    <row r="1217" ht="15.75" customHeight="1">
      <c r="A1217" s="122"/>
      <c r="B1217" s="133"/>
      <c r="C1217" s="120"/>
      <c r="D1217" s="120"/>
      <c r="E1217" s="120"/>
      <c r="F1217" s="120"/>
      <c r="G1217" s="120"/>
      <c r="H1217" s="120"/>
      <c r="I1217" s="121"/>
      <c r="J1217" s="121"/>
      <c r="K1217" s="117"/>
    </row>
    <row r="1218" ht="15.75" customHeight="1">
      <c r="A1218" s="122"/>
      <c r="B1218" s="133"/>
      <c r="C1218" s="120"/>
      <c r="D1218" s="120"/>
      <c r="E1218" s="120"/>
      <c r="F1218" s="120"/>
      <c r="G1218" s="120"/>
      <c r="H1218" s="120"/>
      <c r="I1218" s="121"/>
      <c r="J1218" s="121"/>
      <c r="K1218" s="117"/>
    </row>
    <row r="1219" ht="15.75" customHeight="1">
      <c r="A1219" s="122"/>
      <c r="B1219" s="133"/>
      <c r="C1219" s="120"/>
      <c r="D1219" s="120"/>
      <c r="E1219" s="120"/>
      <c r="F1219" s="120"/>
      <c r="G1219" s="120"/>
      <c r="H1219" s="120"/>
      <c r="I1219" s="121"/>
      <c r="J1219" s="121"/>
      <c r="K1219" s="117"/>
    </row>
    <row r="1220" ht="15.75" customHeight="1">
      <c r="A1220" s="122"/>
      <c r="B1220" s="133"/>
      <c r="C1220" s="120"/>
      <c r="D1220" s="120"/>
      <c r="E1220" s="120"/>
      <c r="F1220" s="120"/>
      <c r="G1220" s="120"/>
      <c r="H1220" s="120"/>
      <c r="I1220" s="121"/>
      <c r="J1220" s="121"/>
      <c r="K1220" s="117"/>
    </row>
    <row r="1221" ht="15.75" customHeight="1">
      <c r="A1221" s="122"/>
      <c r="B1221" s="133"/>
      <c r="C1221" s="120"/>
      <c r="D1221" s="120"/>
      <c r="E1221" s="120"/>
      <c r="F1221" s="120"/>
      <c r="G1221" s="120"/>
      <c r="H1221" s="120"/>
      <c r="I1221" s="121"/>
      <c r="J1221" s="121"/>
      <c r="K1221" s="117"/>
    </row>
    <row r="1222" ht="15.75" customHeight="1">
      <c r="A1222" s="122"/>
      <c r="B1222" s="133"/>
      <c r="C1222" s="120"/>
      <c r="D1222" s="120"/>
      <c r="E1222" s="120"/>
      <c r="F1222" s="120"/>
      <c r="G1222" s="120"/>
      <c r="H1222" s="120"/>
      <c r="I1222" s="121"/>
      <c r="J1222" s="121"/>
      <c r="K1222" s="117"/>
    </row>
    <row r="1223" ht="15.75" customHeight="1">
      <c r="A1223" s="122"/>
      <c r="B1223" s="133"/>
      <c r="C1223" s="120"/>
      <c r="D1223" s="120"/>
      <c r="E1223" s="120"/>
      <c r="F1223" s="120"/>
      <c r="G1223" s="120"/>
      <c r="H1223" s="120"/>
      <c r="I1223" s="121"/>
      <c r="J1223" s="121"/>
      <c r="K1223" s="117"/>
    </row>
    <row r="1224" ht="15.75" customHeight="1">
      <c r="A1224" s="122"/>
      <c r="B1224" s="133"/>
      <c r="C1224" s="120"/>
      <c r="D1224" s="120"/>
      <c r="E1224" s="120"/>
      <c r="F1224" s="120"/>
      <c r="G1224" s="120"/>
      <c r="H1224" s="120"/>
      <c r="I1224" s="121"/>
      <c r="J1224" s="121"/>
      <c r="K1224" s="117"/>
    </row>
    <row r="1225" ht="15.75" customHeight="1">
      <c r="A1225" s="122"/>
      <c r="B1225" s="133"/>
      <c r="C1225" s="120"/>
      <c r="D1225" s="120"/>
      <c r="E1225" s="120"/>
      <c r="F1225" s="120"/>
      <c r="G1225" s="120"/>
      <c r="H1225" s="120"/>
      <c r="I1225" s="121"/>
      <c r="J1225" s="121"/>
      <c r="K1225" s="117"/>
    </row>
    <row r="1226" ht="15.75" customHeight="1">
      <c r="A1226" s="122"/>
      <c r="B1226" s="133"/>
      <c r="C1226" s="120"/>
      <c r="D1226" s="120"/>
      <c r="E1226" s="120"/>
      <c r="F1226" s="120"/>
      <c r="G1226" s="120"/>
      <c r="H1226" s="120"/>
      <c r="I1226" s="121"/>
      <c r="J1226" s="121"/>
      <c r="K1226" s="117"/>
    </row>
    <row r="1227" ht="15.75" customHeight="1">
      <c r="A1227" s="122"/>
      <c r="B1227" s="133"/>
      <c r="C1227" s="120"/>
      <c r="D1227" s="120"/>
      <c r="E1227" s="120"/>
      <c r="F1227" s="120"/>
      <c r="G1227" s="120"/>
      <c r="H1227" s="120"/>
      <c r="I1227" s="121"/>
      <c r="J1227" s="121"/>
      <c r="K1227" s="117"/>
    </row>
    <row r="1228" ht="15.75" customHeight="1">
      <c r="A1228" s="122"/>
      <c r="B1228" s="133"/>
      <c r="C1228" s="120"/>
      <c r="D1228" s="120"/>
      <c r="E1228" s="120"/>
      <c r="F1228" s="120"/>
      <c r="G1228" s="120"/>
      <c r="H1228" s="120"/>
      <c r="I1228" s="121"/>
      <c r="J1228" s="121"/>
      <c r="K1228" s="117"/>
    </row>
    <row r="1229" ht="15.75" customHeight="1">
      <c r="A1229" s="122"/>
      <c r="B1229" s="133"/>
      <c r="C1229" s="120"/>
      <c r="D1229" s="120"/>
      <c r="E1229" s="120"/>
      <c r="F1229" s="120"/>
      <c r="G1229" s="120"/>
      <c r="H1229" s="120"/>
      <c r="I1229" s="121"/>
      <c r="J1229" s="121"/>
      <c r="K1229" s="117"/>
    </row>
    <row r="1230" ht="15.75" customHeight="1">
      <c r="A1230" s="122"/>
      <c r="B1230" s="133"/>
      <c r="C1230" s="120"/>
      <c r="D1230" s="120"/>
      <c r="E1230" s="120"/>
      <c r="F1230" s="120"/>
      <c r="G1230" s="120"/>
      <c r="H1230" s="120"/>
      <c r="I1230" s="121"/>
      <c r="J1230" s="121"/>
      <c r="K1230" s="117"/>
    </row>
    <row r="1231" ht="15.75" customHeight="1">
      <c r="A1231" s="122"/>
      <c r="B1231" s="133"/>
      <c r="C1231" s="120"/>
      <c r="D1231" s="120"/>
      <c r="E1231" s="120"/>
      <c r="F1231" s="120"/>
      <c r="G1231" s="120"/>
      <c r="H1231" s="120"/>
      <c r="I1231" s="121"/>
      <c r="J1231" s="121"/>
      <c r="K1231" s="117"/>
    </row>
    <row r="1232" ht="15.75" customHeight="1">
      <c r="A1232" s="122"/>
      <c r="B1232" s="133"/>
      <c r="C1232" s="120"/>
      <c r="D1232" s="120"/>
      <c r="E1232" s="120"/>
      <c r="F1232" s="120"/>
      <c r="G1232" s="120"/>
      <c r="H1232" s="120"/>
      <c r="I1232" s="121"/>
      <c r="J1232" s="121"/>
      <c r="K1232" s="117"/>
    </row>
    <row r="1233" ht="15.75" customHeight="1">
      <c r="A1233" s="122"/>
      <c r="B1233" s="133"/>
      <c r="C1233" s="120"/>
      <c r="D1233" s="120"/>
      <c r="E1233" s="120"/>
      <c r="F1233" s="120"/>
      <c r="G1233" s="120"/>
      <c r="H1233" s="120"/>
      <c r="I1233" s="121"/>
      <c r="J1233" s="121"/>
      <c r="K1233" s="117"/>
    </row>
    <row r="1234" ht="15.75" customHeight="1">
      <c r="A1234" s="122"/>
      <c r="B1234" s="133"/>
      <c r="C1234" s="120"/>
      <c r="D1234" s="120"/>
      <c r="E1234" s="120"/>
      <c r="F1234" s="120"/>
      <c r="G1234" s="120"/>
      <c r="H1234" s="120"/>
      <c r="I1234" s="121"/>
      <c r="J1234" s="121"/>
      <c r="K1234" s="117"/>
    </row>
    <row r="1235" ht="15.75" customHeight="1">
      <c r="A1235" s="122"/>
      <c r="B1235" s="133"/>
      <c r="C1235" s="120"/>
      <c r="D1235" s="120"/>
      <c r="E1235" s="120"/>
      <c r="F1235" s="120"/>
      <c r="G1235" s="120"/>
      <c r="H1235" s="120"/>
      <c r="I1235" s="121"/>
      <c r="J1235" s="121"/>
      <c r="K1235" s="117"/>
    </row>
    <row r="1236" ht="15.75" customHeight="1">
      <c r="A1236" s="122"/>
      <c r="B1236" s="133"/>
      <c r="C1236" s="120"/>
      <c r="D1236" s="120"/>
      <c r="E1236" s="120"/>
      <c r="F1236" s="120"/>
      <c r="G1236" s="120"/>
      <c r="H1236" s="120"/>
      <c r="I1236" s="121"/>
      <c r="J1236" s="121"/>
      <c r="K1236" s="117"/>
    </row>
    <row r="1237" ht="15.75" customHeight="1">
      <c r="A1237" s="122"/>
      <c r="B1237" s="133"/>
      <c r="C1237" s="120"/>
      <c r="D1237" s="120"/>
      <c r="E1237" s="120"/>
      <c r="F1237" s="120"/>
      <c r="G1237" s="120"/>
      <c r="H1237" s="120"/>
      <c r="I1237" s="121"/>
      <c r="J1237" s="121"/>
      <c r="K1237" s="117"/>
    </row>
    <row r="1238" ht="15.75" customHeight="1">
      <c r="A1238" s="122"/>
      <c r="B1238" s="133"/>
      <c r="C1238" s="120"/>
      <c r="D1238" s="120"/>
      <c r="E1238" s="120"/>
      <c r="F1238" s="120"/>
      <c r="G1238" s="120"/>
      <c r="H1238" s="120"/>
      <c r="I1238" s="121"/>
      <c r="J1238" s="121"/>
      <c r="K1238" s="117"/>
    </row>
    <row r="1239" ht="15.75" customHeight="1">
      <c r="A1239" s="122"/>
      <c r="B1239" s="133"/>
      <c r="C1239" s="120"/>
      <c r="D1239" s="120"/>
      <c r="E1239" s="120"/>
      <c r="F1239" s="120"/>
      <c r="G1239" s="120"/>
      <c r="H1239" s="120"/>
      <c r="I1239" s="121"/>
      <c r="J1239" s="121"/>
      <c r="K1239" s="117"/>
    </row>
    <row r="1240" ht="15.75" customHeight="1">
      <c r="A1240" s="122"/>
      <c r="B1240" s="133"/>
      <c r="C1240" s="120"/>
      <c r="D1240" s="120"/>
      <c r="E1240" s="120"/>
      <c r="F1240" s="120"/>
      <c r="G1240" s="120"/>
      <c r="H1240" s="120"/>
      <c r="I1240" s="121"/>
      <c r="J1240" s="121"/>
      <c r="K1240" s="117"/>
    </row>
    <row r="1241" ht="15.75" customHeight="1">
      <c r="A1241" s="122"/>
      <c r="B1241" s="133"/>
      <c r="C1241" s="120"/>
      <c r="D1241" s="120"/>
      <c r="E1241" s="120"/>
      <c r="F1241" s="120"/>
      <c r="G1241" s="120"/>
      <c r="H1241" s="120"/>
      <c r="I1241" s="121"/>
      <c r="J1241" s="121"/>
      <c r="K1241" s="117"/>
    </row>
    <row r="1242" ht="15.75" customHeight="1">
      <c r="A1242" s="122"/>
      <c r="B1242" s="133"/>
      <c r="C1242" s="120"/>
      <c r="D1242" s="120"/>
      <c r="E1242" s="120"/>
      <c r="F1242" s="120"/>
      <c r="G1242" s="120"/>
      <c r="H1242" s="120"/>
      <c r="I1242" s="121"/>
      <c r="J1242" s="121"/>
      <c r="K1242" s="117"/>
    </row>
    <row r="1243" ht="15.75" customHeight="1">
      <c r="A1243" s="122"/>
      <c r="B1243" s="133"/>
      <c r="C1243" s="120"/>
      <c r="D1243" s="120"/>
      <c r="E1243" s="120"/>
      <c r="F1243" s="120"/>
      <c r="G1243" s="120"/>
      <c r="H1243" s="120"/>
      <c r="I1243" s="121"/>
      <c r="J1243" s="121"/>
      <c r="K1243" s="117"/>
    </row>
    <row r="1244" ht="15.75" customHeight="1">
      <c r="A1244" s="122"/>
      <c r="B1244" s="133"/>
      <c r="C1244" s="120"/>
      <c r="D1244" s="120"/>
      <c r="E1244" s="120"/>
      <c r="F1244" s="120"/>
      <c r="G1244" s="120"/>
      <c r="H1244" s="120"/>
      <c r="I1244" s="121"/>
      <c r="J1244" s="121"/>
      <c r="K1244" s="117"/>
    </row>
    <row r="1245" ht="15.75" customHeight="1">
      <c r="A1245" s="122"/>
      <c r="B1245" s="133"/>
      <c r="C1245" s="120"/>
      <c r="D1245" s="120"/>
      <c r="E1245" s="120"/>
      <c r="F1245" s="120"/>
      <c r="G1245" s="120"/>
      <c r="H1245" s="120"/>
      <c r="I1245" s="121"/>
      <c r="J1245" s="121"/>
      <c r="K1245" s="117"/>
    </row>
    <row r="1246" ht="15.75" customHeight="1">
      <c r="A1246" s="122"/>
      <c r="B1246" s="133"/>
      <c r="C1246" s="120"/>
      <c r="D1246" s="120"/>
      <c r="E1246" s="120"/>
      <c r="F1246" s="120"/>
      <c r="G1246" s="120"/>
      <c r="H1246" s="120"/>
      <c r="I1246" s="121"/>
      <c r="J1246" s="121"/>
      <c r="K1246" s="117"/>
    </row>
    <row r="1247" ht="15.75" customHeight="1">
      <c r="A1247" s="122"/>
      <c r="B1247" s="133"/>
      <c r="C1247" s="120"/>
      <c r="D1247" s="120"/>
      <c r="E1247" s="120"/>
      <c r="F1247" s="120"/>
      <c r="G1247" s="120"/>
      <c r="H1247" s="120"/>
      <c r="I1247" s="121"/>
      <c r="J1247" s="121"/>
      <c r="K1247" s="117"/>
    </row>
    <row r="1248" ht="15.75" customHeight="1">
      <c r="A1248" s="122"/>
      <c r="B1248" s="133"/>
      <c r="C1248" s="120"/>
      <c r="D1248" s="120"/>
      <c r="E1248" s="120"/>
      <c r="F1248" s="120"/>
      <c r="G1248" s="120"/>
      <c r="H1248" s="120"/>
      <c r="I1248" s="121"/>
      <c r="J1248" s="121"/>
      <c r="K1248" s="117"/>
    </row>
    <row r="1249" ht="15.75" customHeight="1">
      <c r="A1249" s="122"/>
      <c r="B1249" s="133"/>
      <c r="C1249" s="120"/>
      <c r="D1249" s="120"/>
      <c r="E1249" s="120"/>
      <c r="F1249" s="120"/>
      <c r="G1249" s="120"/>
      <c r="H1249" s="120"/>
      <c r="I1249" s="121"/>
      <c r="J1249" s="121"/>
      <c r="K1249" s="117"/>
    </row>
    <row r="1250" ht="15.75" customHeight="1">
      <c r="A1250" s="122"/>
      <c r="B1250" s="133"/>
      <c r="C1250" s="120"/>
      <c r="D1250" s="120"/>
      <c r="E1250" s="120"/>
      <c r="F1250" s="120"/>
      <c r="G1250" s="120"/>
      <c r="H1250" s="120"/>
      <c r="I1250" s="121"/>
      <c r="J1250" s="121"/>
      <c r="K1250" s="117"/>
    </row>
    <row r="1251" ht="15.75" customHeight="1">
      <c r="A1251" s="122"/>
      <c r="B1251" s="133"/>
      <c r="C1251" s="120"/>
      <c r="D1251" s="120"/>
      <c r="E1251" s="120"/>
      <c r="F1251" s="120"/>
      <c r="G1251" s="120"/>
      <c r="H1251" s="120"/>
      <c r="I1251" s="121"/>
      <c r="J1251" s="121"/>
      <c r="K1251" s="117"/>
    </row>
    <row r="1252" ht="15.75" customHeight="1">
      <c r="A1252" s="122"/>
      <c r="B1252" s="133"/>
      <c r="C1252" s="120"/>
      <c r="D1252" s="120"/>
      <c r="E1252" s="120"/>
      <c r="F1252" s="120"/>
      <c r="G1252" s="120"/>
      <c r="H1252" s="120"/>
      <c r="I1252" s="121"/>
      <c r="J1252" s="121"/>
      <c r="K1252" s="117"/>
    </row>
    <row r="1253" ht="15.75" customHeight="1">
      <c r="A1253" s="122"/>
      <c r="B1253" s="133"/>
      <c r="C1253" s="120"/>
      <c r="D1253" s="120"/>
      <c r="E1253" s="120"/>
      <c r="F1253" s="120"/>
      <c r="G1253" s="120"/>
      <c r="H1253" s="120"/>
      <c r="I1253" s="121"/>
      <c r="J1253" s="121"/>
      <c r="K1253" s="117"/>
    </row>
    <row r="1254" ht="15.75" customHeight="1">
      <c r="A1254" s="122"/>
      <c r="B1254" s="133"/>
      <c r="C1254" s="120"/>
      <c r="D1254" s="120"/>
      <c r="E1254" s="120"/>
      <c r="F1254" s="120"/>
      <c r="G1254" s="120"/>
      <c r="H1254" s="120"/>
      <c r="I1254" s="121"/>
      <c r="J1254" s="121"/>
      <c r="K1254" s="117"/>
    </row>
    <row r="1255" ht="15.75" customHeight="1">
      <c r="A1255" s="122"/>
      <c r="B1255" s="133"/>
      <c r="C1255" s="120"/>
      <c r="D1255" s="120"/>
      <c r="E1255" s="120"/>
      <c r="F1255" s="120"/>
      <c r="G1255" s="120"/>
      <c r="H1255" s="120"/>
      <c r="I1255" s="121"/>
      <c r="J1255" s="121"/>
      <c r="K1255" s="117"/>
    </row>
    <row r="1256" ht="15.75" customHeight="1">
      <c r="A1256" s="122"/>
      <c r="B1256" s="133"/>
      <c r="C1256" s="120"/>
      <c r="D1256" s="120"/>
      <c r="E1256" s="120"/>
      <c r="F1256" s="120"/>
      <c r="G1256" s="120"/>
      <c r="H1256" s="120"/>
      <c r="I1256" s="121"/>
      <c r="J1256" s="121"/>
      <c r="K1256" s="117"/>
    </row>
    <row r="1257" ht="15.75" customHeight="1">
      <c r="A1257" s="122"/>
      <c r="B1257" s="133"/>
      <c r="C1257" s="120"/>
      <c r="D1257" s="120"/>
      <c r="E1257" s="120"/>
      <c r="F1257" s="120"/>
      <c r="G1257" s="120"/>
      <c r="H1257" s="120"/>
      <c r="I1257" s="121"/>
      <c r="J1257" s="121"/>
      <c r="K1257" s="117"/>
    </row>
    <row r="1258" ht="15.75" customHeight="1">
      <c r="A1258" s="122"/>
      <c r="B1258" s="133"/>
      <c r="C1258" s="120"/>
      <c r="D1258" s="120"/>
      <c r="E1258" s="120"/>
      <c r="F1258" s="120"/>
      <c r="G1258" s="120"/>
      <c r="H1258" s="120"/>
      <c r="I1258" s="121"/>
      <c r="J1258" s="121"/>
      <c r="K1258" s="117"/>
    </row>
    <row r="1259" ht="15.75" customHeight="1">
      <c r="A1259" s="122"/>
      <c r="B1259" s="133"/>
      <c r="C1259" s="120"/>
      <c r="D1259" s="120"/>
      <c r="E1259" s="120"/>
      <c r="F1259" s="120"/>
      <c r="G1259" s="120"/>
      <c r="H1259" s="120"/>
      <c r="I1259" s="121"/>
      <c r="J1259" s="121"/>
      <c r="K1259" s="117"/>
    </row>
    <row r="1260" ht="15.75" customHeight="1">
      <c r="A1260" s="122"/>
      <c r="B1260" s="133"/>
      <c r="C1260" s="120"/>
      <c r="D1260" s="120"/>
      <c r="E1260" s="120"/>
      <c r="F1260" s="120"/>
      <c r="G1260" s="120"/>
      <c r="H1260" s="120"/>
      <c r="I1260" s="121"/>
      <c r="J1260" s="121"/>
      <c r="K1260" s="117"/>
    </row>
    <row r="1261" ht="15.75" customHeight="1">
      <c r="A1261" s="122"/>
      <c r="B1261" s="133"/>
      <c r="C1261" s="120"/>
      <c r="D1261" s="120"/>
      <c r="E1261" s="120"/>
      <c r="F1261" s="120"/>
      <c r="G1261" s="120"/>
      <c r="H1261" s="120"/>
      <c r="I1261" s="121"/>
      <c r="J1261" s="121"/>
      <c r="K1261" s="117"/>
    </row>
    <row r="1262" ht="15.75" customHeight="1">
      <c r="A1262" s="122"/>
      <c r="B1262" s="133"/>
      <c r="C1262" s="120"/>
      <c r="D1262" s="120"/>
      <c r="E1262" s="120"/>
      <c r="F1262" s="120"/>
      <c r="G1262" s="120"/>
      <c r="H1262" s="120"/>
      <c r="I1262" s="121"/>
      <c r="J1262" s="121"/>
      <c r="K1262" s="117"/>
    </row>
    <row r="1263" ht="15.75" customHeight="1">
      <c r="A1263" s="122"/>
      <c r="B1263" s="133"/>
      <c r="C1263" s="120"/>
      <c r="D1263" s="120"/>
      <c r="E1263" s="120"/>
      <c r="F1263" s="120"/>
      <c r="G1263" s="120"/>
      <c r="H1263" s="120"/>
      <c r="I1263" s="121"/>
      <c r="J1263" s="121"/>
      <c r="K1263" s="117"/>
    </row>
    <row r="1264" ht="15.75" customHeight="1">
      <c r="A1264" s="122"/>
      <c r="B1264" s="133"/>
      <c r="C1264" s="120"/>
      <c r="D1264" s="120"/>
      <c r="E1264" s="120"/>
      <c r="F1264" s="120"/>
      <c r="G1264" s="120"/>
      <c r="H1264" s="120"/>
      <c r="I1264" s="121"/>
      <c r="J1264" s="121"/>
      <c r="K1264" s="117"/>
    </row>
    <row r="1265" ht="15.75" customHeight="1">
      <c r="A1265" s="122"/>
      <c r="B1265" s="133"/>
      <c r="C1265" s="120"/>
      <c r="D1265" s="120"/>
      <c r="E1265" s="120"/>
      <c r="F1265" s="120"/>
      <c r="G1265" s="120"/>
      <c r="H1265" s="120"/>
      <c r="I1265" s="121"/>
      <c r="J1265" s="121"/>
      <c r="K1265" s="117"/>
    </row>
    <row r="1266" ht="15.75" customHeight="1">
      <c r="A1266" s="122"/>
      <c r="B1266" s="133"/>
      <c r="C1266" s="120"/>
      <c r="D1266" s="120"/>
      <c r="E1266" s="120"/>
      <c r="F1266" s="120"/>
      <c r="G1266" s="120"/>
      <c r="H1266" s="120"/>
      <c r="I1266" s="121"/>
      <c r="J1266" s="121"/>
      <c r="K1266" s="117"/>
    </row>
    <row r="1267" ht="15.75" customHeight="1">
      <c r="A1267" s="122"/>
      <c r="B1267" s="133"/>
      <c r="C1267" s="120"/>
      <c r="D1267" s="120"/>
      <c r="E1267" s="120"/>
      <c r="F1267" s="120"/>
      <c r="G1267" s="120"/>
      <c r="H1267" s="120"/>
      <c r="I1267" s="121"/>
      <c r="J1267" s="121"/>
      <c r="K1267" s="117"/>
    </row>
    <row r="1268" ht="15.75" customHeight="1">
      <c r="A1268" s="122"/>
      <c r="B1268" s="133"/>
      <c r="C1268" s="120"/>
      <c r="D1268" s="120"/>
      <c r="E1268" s="120"/>
      <c r="F1268" s="120"/>
      <c r="G1268" s="120"/>
      <c r="H1268" s="120"/>
      <c r="I1268" s="121"/>
      <c r="J1268" s="121"/>
      <c r="K1268" s="117"/>
    </row>
    <row r="1269" ht="15.75" customHeight="1">
      <c r="A1269" s="122"/>
      <c r="B1269" s="133"/>
      <c r="C1269" s="120"/>
      <c r="D1269" s="120"/>
      <c r="E1269" s="120"/>
      <c r="F1269" s="120"/>
      <c r="G1269" s="120"/>
      <c r="H1269" s="120"/>
      <c r="I1269" s="121"/>
      <c r="J1269" s="121"/>
      <c r="K1269" s="117"/>
    </row>
    <row r="1270" ht="15.75" customHeight="1">
      <c r="A1270" s="122"/>
      <c r="B1270" s="133"/>
      <c r="C1270" s="120"/>
      <c r="D1270" s="120"/>
      <c r="E1270" s="120"/>
      <c r="F1270" s="120"/>
      <c r="G1270" s="120"/>
      <c r="H1270" s="120"/>
      <c r="I1270" s="121"/>
      <c r="J1270" s="121"/>
      <c r="K1270" s="117"/>
    </row>
    <row r="1271" ht="15.75" customHeight="1">
      <c r="A1271" s="122"/>
      <c r="B1271" s="133"/>
      <c r="C1271" s="120"/>
      <c r="D1271" s="120"/>
      <c r="E1271" s="120"/>
      <c r="F1271" s="120"/>
      <c r="G1271" s="120"/>
      <c r="H1271" s="120"/>
      <c r="I1271" s="121"/>
      <c r="J1271" s="121"/>
      <c r="K1271" s="117"/>
    </row>
    <row r="1272" ht="15.75" customHeight="1">
      <c r="A1272" s="122"/>
      <c r="B1272" s="133"/>
      <c r="C1272" s="120"/>
      <c r="D1272" s="120"/>
      <c r="E1272" s="120"/>
      <c r="F1272" s="120"/>
      <c r="G1272" s="120"/>
      <c r="H1272" s="120"/>
      <c r="I1272" s="121"/>
      <c r="J1272" s="121"/>
      <c r="K1272" s="117"/>
    </row>
    <row r="1273" ht="15.75" customHeight="1">
      <c r="A1273" s="122"/>
      <c r="B1273" s="133"/>
      <c r="C1273" s="120"/>
      <c r="D1273" s="120"/>
      <c r="E1273" s="120"/>
      <c r="F1273" s="120"/>
      <c r="G1273" s="120"/>
      <c r="H1273" s="120"/>
      <c r="I1273" s="121"/>
      <c r="J1273" s="121"/>
      <c r="K1273" s="117"/>
    </row>
    <row r="1274" ht="15.75" customHeight="1">
      <c r="A1274" s="122"/>
      <c r="B1274" s="133"/>
      <c r="C1274" s="120"/>
      <c r="D1274" s="120"/>
      <c r="E1274" s="120"/>
      <c r="F1274" s="120"/>
      <c r="G1274" s="120"/>
      <c r="H1274" s="120"/>
      <c r="I1274" s="121"/>
      <c r="J1274" s="121"/>
      <c r="K1274" s="117"/>
    </row>
    <row r="1275" ht="15.75" customHeight="1">
      <c r="A1275" s="122"/>
      <c r="B1275" s="133"/>
      <c r="C1275" s="120"/>
      <c r="D1275" s="120"/>
      <c r="E1275" s="120"/>
      <c r="F1275" s="120"/>
      <c r="G1275" s="120"/>
      <c r="H1275" s="120"/>
      <c r="I1275" s="121"/>
      <c r="J1275" s="121"/>
      <c r="K1275" s="117"/>
    </row>
    <row r="1276" ht="15.75" customHeight="1">
      <c r="A1276" s="122"/>
      <c r="B1276" s="133"/>
      <c r="C1276" s="120"/>
      <c r="D1276" s="120"/>
      <c r="E1276" s="120"/>
      <c r="F1276" s="120"/>
      <c r="G1276" s="120"/>
      <c r="H1276" s="120"/>
      <c r="I1276" s="121"/>
      <c r="J1276" s="121"/>
      <c r="K1276" s="117"/>
    </row>
    <row r="1277" ht="15.75" customHeight="1">
      <c r="A1277" s="122"/>
      <c r="B1277" s="133"/>
      <c r="C1277" s="120"/>
      <c r="D1277" s="120"/>
      <c r="E1277" s="120"/>
      <c r="F1277" s="120"/>
      <c r="G1277" s="120"/>
      <c r="H1277" s="120"/>
      <c r="I1277" s="121"/>
      <c r="J1277" s="121"/>
      <c r="K1277" s="117"/>
    </row>
    <row r="1278" ht="15.75" customHeight="1">
      <c r="A1278" s="122"/>
      <c r="B1278" s="133"/>
      <c r="C1278" s="120"/>
      <c r="D1278" s="120"/>
      <c r="E1278" s="120"/>
      <c r="F1278" s="120"/>
      <c r="G1278" s="120"/>
      <c r="H1278" s="120"/>
      <c r="I1278" s="121"/>
      <c r="J1278" s="121"/>
      <c r="K1278" s="117"/>
    </row>
    <row r="1279" ht="15.75" customHeight="1">
      <c r="A1279" s="122"/>
      <c r="B1279" s="133"/>
      <c r="C1279" s="120"/>
      <c r="D1279" s="120"/>
      <c r="E1279" s="120"/>
      <c r="F1279" s="120"/>
      <c r="G1279" s="120"/>
      <c r="H1279" s="120"/>
      <c r="I1279" s="121"/>
      <c r="J1279" s="121"/>
      <c r="K1279" s="117"/>
    </row>
    <row r="1280" ht="15.75" customHeight="1">
      <c r="A1280" s="122"/>
      <c r="B1280" s="133"/>
      <c r="C1280" s="120"/>
      <c r="D1280" s="120"/>
      <c r="E1280" s="120"/>
      <c r="F1280" s="120"/>
      <c r="G1280" s="120"/>
      <c r="H1280" s="120"/>
      <c r="I1280" s="121"/>
      <c r="J1280" s="121"/>
      <c r="K1280" s="117"/>
    </row>
    <row r="1281" ht="15.75" customHeight="1">
      <c r="A1281" s="122"/>
      <c r="B1281" s="133"/>
      <c r="C1281" s="120"/>
      <c r="D1281" s="120"/>
      <c r="E1281" s="120"/>
      <c r="F1281" s="120"/>
      <c r="G1281" s="120"/>
      <c r="H1281" s="120"/>
      <c r="I1281" s="121"/>
      <c r="J1281" s="121"/>
      <c r="K1281" s="117"/>
    </row>
    <row r="1282" ht="15.75" customHeight="1">
      <c r="A1282" s="122"/>
      <c r="B1282" s="133"/>
      <c r="C1282" s="120"/>
      <c r="D1282" s="120"/>
      <c r="E1282" s="120"/>
      <c r="F1282" s="120"/>
      <c r="G1282" s="120"/>
      <c r="H1282" s="120"/>
      <c r="I1282" s="121"/>
      <c r="J1282" s="121"/>
      <c r="K1282" s="117"/>
    </row>
    <row r="1283" ht="15.75" customHeight="1">
      <c r="A1283" s="122"/>
      <c r="B1283" s="133"/>
      <c r="C1283" s="120"/>
      <c r="D1283" s="120"/>
      <c r="E1283" s="120"/>
      <c r="F1283" s="120"/>
      <c r="G1283" s="120"/>
      <c r="H1283" s="120"/>
      <c r="I1283" s="121"/>
      <c r="J1283" s="121"/>
      <c r="K1283" s="117"/>
    </row>
    <row r="1284" ht="15.75" customHeight="1">
      <c r="A1284" s="122"/>
      <c r="B1284" s="133"/>
      <c r="C1284" s="120"/>
      <c r="D1284" s="120"/>
      <c r="E1284" s="120"/>
      <c r="F1284" s="120"/>
      <c r="G1284" s="120"/>
      <c r="H1284" s="120"/>
      <c r="I1284" s="121"/>
      <c r="J1284" s="121"/>
      <c r="K1284" s="117"/>
    </row>
    <row r="1285" ht="15.75" customHeight="1">
      <c r="A1285" s="122"/>
      <c r="B1285" s="133"/>
      <c r="C1285" s="120"/>
      <c r="D1285" s="120"/>
      <c r="E1285" s="120"/>
      <c r="F1285" s="120"/>
      <c r="G1285" s="120"/>
      <c r="H1285" s="120"/>
      <c r="I1285" s="121"/>
      <c r="J1285" s="121"/>
      <c r="K1285" s="117"/>
    </row>
    <row r="1286" ht="15.75" customHeight="1">
      <c r="A1286" s="122"/>
      <c r="B1286" s="133"/>
      <c r="C1286" s="120"/>
      <c r="D1286" s="120"/>
      <c r="E1286" s="120"/>
      <c r="F1286" s="120"/>
      <c r="G1286" s="120"/>
      <c r="H1286" s="120"/>
      <c r="I1286" s="121"/>
      <c r="J1286" s="121"/>
      <c r="K1286" s="117"/>
    </row>
    <row r="1287" ht="15.75" customHeight="1">
      <c r="A1287" s="122"/>
      <c r="B1287" s="133"/>
      <c r="C1287" s="120"/>
      <c r="D1287" s="120"/>
      <c r="E1287" s="120"/>
      <c r="F1287" s="120"/>
      <c r="G1287" s="120"/>
      <c r="H1287" s="120"/>
      <c r="I1287" s="121"/>
      <c r="J1287" s="121"/>
      <c r="K1287" s="117"/>
    </row>
    <row r="1288" ht="15.75" customHeight="1">
      <c r="A1288" s="122"/>
      <c r="B1288" s="133"/>
      <c r="C1288" s="120"/>
      <c r="D1288" s="120"/>
      <c r="E1288" s="120"/>
      <c r="F1288" s="120"/>
      <c r="G1288" s="120"/>
      <c r="H1288" s="120"/>
      <c r="I1288" s="121"/>
      <c r="J1288" s="121"/>
      <c r="K1288" s="117"/>
    </row>
    <row r="1289" ht="15.75" customHeight="1">
      <c r="A1289" s="122"/>
      <c r="B1289" s="133"/>
      <c r="C1289" s="120"/>
      <c r="D1289" s="120"/>
      <c r="E1289" s="120"/>
      <c r="F1289" s="120"/>
      <c r="G1289" s="120"/>
      <c r="H1289" s="120"/>
      <c r="I1289" s="121"/>
      <c r="J1289" s="121"/>
      <c r="K1289" s="117"/>
    </row>
    <row r="1290" ht="15.75" customHeight="1">
      <c r="A1290" s="122"/>
      <c r="B1290" s="133"/>
      <c r="C1290" s="120"/>
      <c r="D1290" s="120"/>
      <c r="E1290" s="120"/>
      <c r="F1290" s="120"/>
      <c r="G1290" s="120"/>
      <c r="H1290" s="120"/>
      <c r="I1290" s="121"/>
      <c r="J1290" s="121"/>
      <c r="K1290" s="117"/>
    </row>
    <row r="1291" ht="15.75" customHeight="1">
      <c r="A1291" s="122"/>
      <c r="B1291" s="133"/>
      <c r="C1291" s="120"/>
      <c r="D1291" s="120"/>
      <c r="E1291" s="120"/>
      <c r="F1291" s="120"/>
      <c r="G1291" s="120"/>
      <c r="H1291" s="120"/>
      <c r="I1291" s="121"/>
      <c r="J1291" s="121"/>
      <c r="K1291" s="117"/>
    </row>
    <row r="1292" ht="15.75" customHeight="1">
      <c r="A1292" s="122"/>
      <c r="B1292" s="133"/>
      <c r="C1292" s="120"/>
      <c r="D1292" s="120"/>
      <c r="E1292" s="120"/>
      <c r="F1292" s="120"/>
      <c r="G1292" s="120"/>
      <c r="H1292" s="120"/>
      <c r="I1292" s="121"/>
      <c r="J1292" s="121"/>
      <c r="K1292" s="117"/>
    </row>
    <row r="1293" ht="15.75" customHeight="1">
      <c r="A1293" s="122"/>
      <c r="B1293" s="133"/>
      <c r="C1293" s="120"/>
      <c r="D1293" s="120"/>
      <c r="E1293" s="120"/>
      <c r="F1293" s="120"/>
      <c r="G1293" s="120"/>
      <c r="H1293" s="120"/>
      <c r="I1293" s="121"/>
      <c r="J1293" s="121"/>
      <c r="K1293" s="117"/>
    </row>
    <row r="1294" ht="15.75" customHeight="1">
      <c r="A1294" s="122"/>
      <c r="B1294" s="133"/>
      <c r="C1294" s="120"/>
      <c r="D1294" s="120"/>
      <c r="E1294" s="120"/>
      <c r="F1294" s="120"/>
      <c r="G1294" s="120"/>
      <c r="H1294" s="120"/>
      <c r="I1294" s="121"/>
      <c r="J1294" s="121"/>
      <c r="K1294" s="117"/>
    </row>
    <row r="1295" ht="15.75" customHeight="1">
      <c r="A1295" s="122"/>
      <c r="B1295" s="133"/>
      <c r="C1295" s="120"/>
      <c r="D1295" s="120"/>
      <c r="E1295" s="120"/>
      <c r="F1295" s="120"/>
      <c r="G1295" s="120"/>
      <c r="H1295" s="120"/>
      <c r="I1295" s="121"/>
      <c r="J1295" s="121"/>
      <c r="K1295" s="117"/>
    </row>
    <row r="1296" ht="15.75" customHeight="1">
      <c r="A1296" s="122"/>
      <c r="B1296" s="133"/>
      <c r="C1296" s="120"/>
      <c r="D1296" s="120"/>
      <c r="E1296" s="120"/>
      <c r="F1296" s="120"/>
      <c r="G1296" s="120"/>
      <c r="H1296" s="120"/>
      <c r="I1296" s="121"/>
      <c r="J1296" s="121"/>
      <c r="K1296" s="117"/>
    </row>
    <row r="1297" ht="15.75" customHeight="1">
      <c r="A1297" s="122"/>
      <c r="B1297" s="133"/>
      <c r="C1297" s="120"/>
      <c r="D1297" s="120"/>
      <c r="E1297" s="120"/>
      <c r="F1297" s="120"/>
      <c r="G1297" s="120"/>
      <c r="H1297" s="120"/>
      <c r="I1297" s="121"/>
      <c r="J1297" s="121"/>
      <c r="K1297" s="117"/>
    </row>
    <row r="1298" ht="15.75" customHeight="1">
      <c r="A1298" s="122"/>
      <c r="B1298" s="133"/>
      <c r="C1298" s="120"/>
      <c r="D1298" s="120"/>
      <c r="E1298" s="120"/>
      <c r="F1298" s="120"/>
      <c r="G1298" s="120"/>
      <c r="H1298" s="120"/>
      <c r="I1298" s="121"/>
      <c r="J1298" s="121"/>
      <c r="K1298" s="117"/>
    </row>
    <row r="1299" ht="15.75" customHeight="1">
      <c r="A1299" s="122"/>
      <c r="B1299" s="133"/>
      <c r="C1299" s="120"/>
      <c r="D1299" s="120"/>
      <c r="E1299" s="120"/>
      <c r="F1299" s="120"/>
      <c r="G1299" s="120"/>
      <c r="H1299" s="120"/>
      <c r="I1299" s="121"/>
      <c r="J1299" s="121"/>
      <c r="K1299" s="117"/>
    </row>
    <row r="1300" ht="15.75" customHeight="1">
      <c r="A1300" s="122"/>
      <c r="B1300" s="133"/>
      <c r="C1300" s="120"/>
      <c r="D1300" s="120"/>
      <c r="E1300" s="120"/>
      <c r="F1300" s="120"/>
      <c r="G1300" s="120"/>
      <c r="H1300" s="120"/>
      <c r="I1300" s="121"/>
      <c r="J1300" s="121"/>
      <c r="K1300" s="117"/>
    </row>
    <row r="1301" ht="15.75" customHeight="1">
      <c r="A1301" s="122"/>
      <c r="B1301" s="133"/>
      <c r="C1301" s="120"/>
      <c r="D1301" s="120"/>
      <c r="E1301" s="120"/>
      <c r="F1301" s="120"/>
      <c r="G1301" s="120"/>
      <c r="H1301" s="120"/>
      <c r="I1301" s="121"/>
      <c r="J1301" s="121"/>
      <c r="K1301" s="117"/>
    </row>
    <row r="1302" ht="15.75" customHeight="1">
      <c r="A1302" s="122"/>
      <c r="B1302" s="133"/>
      <c r="C1302" s="120"/>
      <c r="D1302" s="120"/>
      <c r="E1302" s="120"/>
      <c r="F1302" s="120"/>
      <c r="G1302" s="120"/>
      <c r="H1302" s="120"/>
      <c r="I1302" s="121"/>
      <c r="J1302" s="121"/>
      <c r="K1302" s="117"/>
    </row>
    <row r="1303" ht="15.75" customHeight="1">
      <c r="A1303" s="122"/>
      <c r="B1303" s="133"/>
      <c r="C1303" s="120"/>
      <c r="D1303" s="120"/>
      <c r="E1303" s="120"/>
      <c r="F1303" s="120"/>
      <c r="G1303" s="120"/>
      <c r="H1303" s="120"/>
      <c r="I1303" s="121"/>
      <c r="J1303" s="121"/>
      <c r="K1303" s="117"/>
    </row>
    <row r="1304" ht="15.75" customHeight="1">
      <c r="A1304" s="122"/>
      <c r="B1304" s="133"/>
      <c r="C1304" s="120"/>
      <c r="D1304" s="120"/>
      <c r="E1304" s="120"/>
      <c r="F1304" s="120"/>
      <c r="G1304" s="120"/>
      <c r="H1304" s="120"/>
      <c r="I1304" s="121"/>
      <c r="J1304" s="121"/>
      <c r="K1304" s="117"/>
    </row>
    <row r="1305" ht="15.75" customHeight="1">
      <c r="A1305" s="122"/>
      <c r="B1305" s="133"/>
      <c r="C1305" s="120"/>
      <c r="D1305" s="120"/>
      <c r="E1305" s="120"/>
      <c r="F1305" s="120"/>
      <c r="G1305" s="120"/>
      <c r="H1305" s="120"/>
      <c r="I1305" s="121"/>
      <c r="J1305" s="121"/>
      <c r="K1305" s="117"/>
    </row>
    <row r="1306" ht="15.75" customHeight="1">
      <c r="A1306" s="122"/>
      <c r="B1306" s="133"/>
      <c r="C1306" s="120"/>
      <c r="D1306" s="120"/>
      <c r="E1306" s="120"/>
      <c r="F1306" s="120"/>
      <c r="G1306" s="120"/>
      <c r="H1306" s="120"/>
      <c r="I1306" s="121"/>
      <c r="J1306" s="121"/>
      <c r="K1306" s="117"/>
    </row>
    <row r="1307" ht="15.75" customHeight="1">
      <c r="A1307" s="122"/>
      <c r="B1307" s="133"/>
      <c r="C1307" s="120"/>
      <c r="D1307" s="120"/>
      <c r="E1307" s="120"/>
      <c r="F1307" s="120"/>
      <c r="G1307" s="120"/>
      <c r="H1307" s="120"/>
      <c r="I1307" s="121"/>
      <c r="J1307" s="121"/>
      <c r="K1307" s="117"/>
    </row>
    <row r="1308" ht="15.75" customHeight="1">
      <c r="A1308" s="122"/>
      <c r="B1308" s="133"/>
      <c r="C1308" s="120"/>
      <c r="D1308" s="120"/>
      <c r="E1308" s="120"/>
      <c r="F1308" s="120"/>
      <c r="G1308" s="120"/>
      <c r="H1308" s="120"/>
      <c r="I1308" s="121"/>
      <c r="J1308" s="121"/>
      <c r="K1308" s="117"/>
    </row>
    <row r="1309" ht="15.75" customHeight="1">
      <c r="A1309" s="122"/>
      <c r="B1309" s="133"/>
      <c r="C1309" s="120"/>
      <c r="D1309" s="120"/>
      <c r="E1309" s="120"/>
      <c r="F1309" s="120"/>
      <c r="G1309" s="120"/>
      <c r="H1309" s="120"/>
      <c r="I1309" s="121"/>
      <c r="J1309" s="121"/>
      <c r="K1309" s="117"/>
    </row>
    <row r="1310" ht="15.75" customHeight="1">
      <c r="A1310" s="122"/>
      <c r="B1310" s="133"/>
      <c r="C1310" s="120"/>
      <c r="D1310" s="120"/>
      <c r="E1310" s="120"/>
      <c r="F1310" s="120"/>
      <c r="G1310" s="120"/>
      <c r="H1310" s="120"/>
      <c r="I1310" s="121"/>
      <c r="J1310" s="121"/>
      <c r="K1310" s="117"/>
    </row>
    <row r="1311" ht="15.75" customHeight="1">
      <c r="A1311" s="122"/>
      <c r="B1311" s="133"/>
      <c r="C1311" s="120"/>
      <c r="D1311" s="120"/>
      <c r="E1311" s="120"/>
      <c r="F1311" s="120"/>
      <c r="G1311" s="120"/>
      <c r="H1311" s="120"/>
      <c r="I1311" s="121"/>
      <c r="J1311" s="121"/>
      <c r="K1311" s="117"/>
    </row>
    <row r="1312" ht="15.75" customHeight="1">
      <c r="A1312" s="122"/>
      <c r="B1312" s="133"/>
      <c r="C1312" s="120"/>
      <c r="D1312" s="120"/>
      <c r="E1312" s="120"/>
      <c r="F1312" s="120"/>
      <c r="G1312" s="120"/>
      <c r="H1312" s="120"/>
      <c r="I1312" s="121"/>
      <c r="J1312" s="121"/>
      <c r="K1312" s="117"/>
    </row>
    <row r="1313" ht="15.75" customHeight="1">
      <c r="A1313" s="122"/>
      <c r="B1313" s="133"/>
      <c r="C1313" s="120"/>
      <c r="D1313" s="120"/>
      <c r="E1313" s="120"/>
      <c r="F1313" s="120"/>
      <c r="G1313" s="120"/>
      <c r="H1313" s="120"/>
      <c r="I1313" s="121"/>
      <c r="J1313" s="121"/>
      <c r="K1313" s="117"/>
    </row>
    <row r="1314" ht="15.75" customHeight="1">
      <c r="A1314" s="122"/>
      <c r="B1314" s="133"/>
      <c r="C1314" s="120"/>
      <c r="D1314" s="120"/>
      <c r="E1314" s="120"/>
      <c r="F1314" s="120"/>
      <c r="G1314" s="120"/>
      <c r="H1314" s="120"/>
      <c r="I1314" s="121"/>
      <c r="J1314" s="121"/>
      <c r="K1314" s="117"/>
    </row>
    <row r="1315" ht="15.75" customHeight="1">
      <c r="A1315" s="122"/>
      <c r="B1315" s="133"/>
      <c r="C1315" s="120"/>
      <c r="D1315" s="120"/>
      <c r="E1315" s="120"/>
      <c r="F1315" s="120"/>
      <c r="G1315" s="120"/>
      <c r="H1315" s="120"/>
      <c r="I1315" s="121"/>
      <c r="J1315" s="121"/>
      <c r="K1315" s="117"/>
    </row>
    <row r="1316" ht="15.75" customHeight="1">
      <c r="A1316" s="122"/>
      <c r="B1316" s="133"/>
      <c r="C1316" s="120"/>
      <c r="D1316" s="120"/>
      <c r="E1316" s="120"/>
      <c r="F1316" s="120"/>
      <c r="G1316" s="120"/>
      <c r="H1316" s="120"/>
      <c r="I1316" s="121"/>
      <c r="J1316" s="121"/>
      <c r="K1316" s="117"/>
    </row>
    <row r="1317" ht="15.75" customHeight="1">
      <c r="A1317" s="122"/>
      <c r="B1317" s="133"/>
      <c r="C1317" s="120"/>
      <c r="D1317" s="120"/>
      <c r="E1317" s="120"/>
      <c r="F1317" s="120"/>
      <c r="G1317" s="120"/>
      <c r="H1317" s="120"/>
      <c r="I1317" s="121"/>
      <c r="J1317" s="121"/>
      <c r="K1317" s="117"/>
    </row>
    <row r="1318" ht="15.75" customHeight="1">
      <c r="A1318" s="122"/>
      <c r="B1318" s="133"/>
      <c r="C1318" s="120"/>
      <c r="D1318" s="120"/>
      <c r="E1318" s="120"/>
      <c r="F1318" s="120"/>
      <c r="G1318" s="120"/>
      <c r="H1318" s="120"/>
      <c r="I1318" s="121"/>
      <c r="J1318" s="121"/>
      <c r="K1318" s="117"/>
    </row>
    <row r="1319" ht="15.75" customHeight="1">
      <c r="A1319" s="122"/>
      <c r="B1319" s="133"/>
      <c r="C1319" s="120"/>
      <c r="D1319" s="120"/>
      <c r="E1319" s="120"/>
      <c r="F1319" s="120"/>
      <c r="G1319" s="120"/>
      <c r="H1319" s="120"/>
      <c r="I1319" s="121"/>
      <c r="J1319" s="121"/>
      <c r="K1319" s="117"/>
    </row>
    <row r="1320" ht="15.75" customHeight="1">
      <c r="A1320" s="122"/>
      <c r="B1320" s="133"/>
      <c r="C1320" s="120"/>
      <c r="D1320" s="120"/>
      <c r="E1320" s="120"/>
      <c r="F1320" s="120"/>
      <c r="G1320" s="120"/>
      <c r="H1320" s="120"/>
      <c r="I1320" s="121"/>
      <c r="J1320" s="121"/>
      <c r="K1320" s="117"/>
    </row>
    <row r="1321" ht="15.75" customHeight="1">
      <c r="A1321" s="122"/>
      <c r="B1321" s="133"/>
      <c r="C1321" s="120"/>
      <c r="D1321" s="120"/>
      <c r="E1321" s="120"/>
      <c r="F1321" s="120"/>
      <c r="G1321" s="120"/>
      <c r="H1321" s="120"/>
      <c r="I1321" s="121"/>
      <c r="J1321" s="121"/>
      <c r="K1321" s="117"/>
    </row>
    <row r="1322" ht="15.75" customHeight="1">
      <c r="A1322" s="122"/>
      <c r="B1322" s="133"/>
      <c r="C1322" s="120"/>
      <c r="D1322" s="120"/>
      <c r="E1322" s="120"/>
      <c r="F1322" s="120"/>
      <c r="G1322" s="120"/>
      <c r="H1322" s="120"/>
      <c r="I1322" s="121"/>
      <c r="J1322" s="121"/>
      <c r="K1322" s="117"/>
    </row>
    <row r="1323" ht="15.75" customHeight="1">
      <c r="A1323" s="122"/>
      <c r="B1323" s="133"/>
      <c r="C1323" s="120"/>
      <c r="D1323" s="120"/>
      <c r="E1323" s="120"/>
      <c r="F1323" s="120"/>
      <c r="G1323" s="120"/>
      <c r="H1323" s="120"/>
      <c r="I1323" s="121"/>
      <c r="J1323" s="121"/>
      <c r="K1323" s="117"/>
    </row>
    <row r="1324" ht="15.75" customHeight="1">
      <c r="A1324" s="122"/>
      <c r="B1324" s="133"/>
      <c r="C1324" s="120"/>
      <c r="D1324" s="120"/>
      <c r="E1324" s="120"/>
      <c r="F1324" s="120"/>
      <c r="G1324" s="120"/>
      <c r="H1324" s="120"/>
      <c r="I1324" s="121"/>
      <c r="J1324" s="121"/>
      <c r="K1324" s="117"/>
    </row>
    <row r="1325" ht="15.75" customHeight="1">
      <c r="A1325" s="122"/>
      <c r="B1325" s="133"/>
      <c r="C1325" s="120"/>
      <c r="D1325" s="120"/>
      <c r="E1325" s="120"/>
      <c r="F1325" s="120"/>
      <c r="G1325" s="120"/>
      <c r="H1325" s="120"/>
      <c r="I1325" s="121"/>
      <c r="J1325" s="121"/>
      <c r="K1325" s="117"/>
    </row>
    <row r="1326" ht="15.75" customHeight="1">
      <c r="A1326" s="122"/>
      <c r="B1326" s="133"/>
      <c r="C1326" s="120"/>
      <c r="D1326" s="120"/>
      <c r="E1326" s="120"/>
      <c r="F1326" s="120"/>
      <c r="G1326" s="120"/>
      <c r="H1326" s="120"/>
      <c r="I1326" s="121"/>
      <c r="J1326" s="121"/>
      <c r="K1326" s="117"/>
    </row>
    <row r="1327" ht="15.75" customHeight="1">
      <c r="A1327" s="122"/>
      <c r="B1327" s="133"/>
      <c r="C1327" s="120"/>
      <c r="D1327" s="120"/>
      <c r="E1327" s="120"/>
      <c r="F1327" s="120"/>
      <c r="G1327" s="120"/>
      <c r="H1327" s="120"/>
      <c r="I1327" s="121"/>
      <c r="J1327" s="121"/>
      <c r="K1327" s="117"/>
    </row>
    <row r="1328" ht="15.75" customHeight="1">
      <c r="A1328" s="122"/>
      <c r="B1328" s="133"/>
      <c r="C1328" s="120"/>
      <c r="D1328" s="120"/>
      <c r="E1328" s="120"/>
      <c r="F1328" s="120"/>
      <c r="G1328" s="120"/>
      <c r="H1328" s="120"/>
      <c r="I1328" s="121"/>
      <c r="J1328" s="121"/>
      <c r="K1328" s="117"/>
    </row>
    <row r="1329" ht="15.75" customHeight="1">
      <c r="A1329" s="122"/>
      <c r="B1329" s="133"/>
      <c r="C1329" s="120"/>
      <c r="D1329" s="120"/>
      <c r="E1329" s="120"/>
      <c r="F1329" s="120"/>
      <c r="G1329" s="120"/>
      <c r="H1329" s="120"/>
      <c r="I1329" s="121"/>
      <c r="J1329" s="121"/>
      <c r="K1329" s="117"/>
    </row>
    <row r="1330" ht="15.75" customHeight="1">
      <c r="A1330" s="122"/>
      <c r="B1330" s="133"/>
      <c r="C1330" s="120"/>
      <c r="D1330" s="120"/>
      <c r="E1330" s="120"/>
      <c r="F1330" s="120"/>
      <c r="G1330" s="120"/>
      <c r="H1330" s="120"/>
      <c r="I1330" s="121"/>
      <c r="J1330" s="121"/>
      <c r="K1330" s="117"/>
    </row>
    <row r="1331" ht="15.75" customHeight="1">
      <c r="A1331" s="122"/>
      <c r="B1331" s="133"/>
      <c r="C1331" s="120"/>
      <c r="D1331" s="120"/>
      <c r="E1331" s="120"/>
      <c r="F1331" s="120"/>
      <c r="G1331" s="120"/>
      <c r="H1331" s="120"/>
      <c r="I1331" s="121"/>
      <c r="J1331" s="121"/>
      <c r="K1331" s="117"/>
    </row>
    <row r="1332" ht="15.75" customHeight="1">
      <c r="A1332" s="122"/>
      <c r="B1332" s="133"/>
      <c r="C1332" s="120"/>
      <c r="D1332" s="120"/>
      <c r="E1332" s="120"/>
      <c r="F1332" s="120"/>
      <c r="G1332" s="120"/>
      <c r="H1332" s="120"/>
      <c r="I1332" s="121"/>
      <c r="J1332" s="121"/>
      <c r="K1332" s="117"/>
    </row>
    <row r="1333" ht="15.75" customHeight="1">
      <c r="A1333" s="122"/>
      <c r="B1333" s="133"/>
      <c r="C1333" s="120"/>
      <c r="D1333" s="120"/>
      <c r="E1333" s="120"/>
      <c r="F1333" s="120"/>
      <c r="G1333" s="120"/>
      <c r="H1333" s="120"/>
      <c r="I1333" s="121"/>
      <c r="J1333" s="121"/>
      <c r="K1333" s="117"/>
    </row>
    <row r="1334" ht="15.75" customHeight="1">
      <c r="A1334" s="122"/>
      <c r="B1334" s="133"/>
      <c r="C1334" s="120"/>
      <c r="D1334" s="120"/>
      <c r="E1334" s="120"/>
      <c r="F1334" s="120"/>
      <c r="G1334" s="120"/>
      <c r="H1334" s="120"/>
      <c r="I1334" s="121"/>
      <c r="J1334" s="121"/>
      <c r="K1334" s="117"/>
    </row>
    <row r="1335" ht="15.75" customHeight="1">
      <c r="A1335" s="122"/>
      <c r="B1335" s="133"/>
      <c r="C1335" s="120"/>
      <c r="D1335" s="120"/>
      <c r="E1335" s="120"/>
      <c r="F1335" s="120"/>
      <c r="G1335" s="120"/>
      <c r="H1335" s="120"/>
      <c r="I1335" s="121"/>
      <c r="J1335" s="121"/>
      <c r="K1335" s="117"/>
    </row>
    <row r="1336" ht="15.75" customHeight="1">
      <c r="A1336" s="122"/>
      <c r="B1336" s="133"/>
      <c r="C1336" s="120"/>
      <c r="D1336" s="120"/>
      <c r="E1336" s="120"/>
      <c r="F1336" s="120"/>
      <c r="G1336" s="120"/>
      <c r="H1336" s="120"/>
      <c r="I1336" s="121"/>
      <c r="J1336" s="121"/>
      <c r="K1336" s="117"/>
    </row>
    <row r="1337" ht="15.75" customHeight="1">
      <c r="A1337" s="122"/>
      <c r="B1337" s="133"/>
      <c r="C1337" s="120"/>
      <c r="D1337" s="120"/>
      <c r="E1337" s="120"/>
      <c r="F1337" s="120"/>
      <c r="G1337" s="120"/>
      <c r="H1337" s="120"/>
      <c r="I1337" s="121"/>
      <c r="J1337" s="121"/>
      <c r="K1337" s="117"/>
    </row>
    <row r="1338" ht="15.75" customHeight="1">
      <c r="A1338" s="122"/>
      <c r="B1338" s="133"/>
      <c r="C1338" s="120"/>
      <c r="D1338" s="120"/>
      <c r="E1338" s="120"/>
      <c r="F1338" s="120"/>
      <c r="G1338" s="120"/>
      <c r="H1338" s="120"/>
      <c r="I1338" s="121"/>
      <c r="J1338" s="121"/>
      <c r="K1338" s="117"/>
    </row>
    <row r="1339" ht="15.75" customHeight="1">
      <c r="A1339" s="122"/>
      <c r="B1339" s="133"/>
      <c r="C1339" s="120"/>
      <c r="D1339" s="120"/>
      <c r="E1339" s="120"/>
      <c r="F1339" s="120"/>
      <c r="G1339" s="120"/>
      <c r="H1339" s="120"/>
      <c r="I1339" s="121"/>
      <c r="J1339" s="121"/>
      <c r="K1339" s="117"/>
    </row>
    <row r="1340" ht="15.75" customHeight="1">
      <c r="A1340" s="122"/>
      <c r="B1340" s="133"/>
      <c r="C1340" s="120"/>
      <c r="D1340" s="120"/>
      <c r="E1340" s="120"/>
      <c r="F1340" s="120"/>
      <c r="G1340" s="120"/>
      <c r="H1340" s="120"/>
      <c r="I1340" s="121"/>
      <c r="J1340" s="121"/>
      <c r="K1340" s="117"/>
    </row>
    <row r="1341" ht="15.75" customHeight="1">
      <c r="A1341" s="122"/>
      <c r="B1341" s="133"/>
      <c r="C1341" s="120"/>
      <c r="D1341" s="120"/>
      <c r="E1341" s="120"/>
      <c r="F1341" s="120"/>
      <c r="G1341" s="120"/>
      <c r="H1341" s="120"/>
      <c r="I1341" s="121"/>
      <c r="J1341" s="121"/>
      <c r="K1341" s="117"/>
    </row>
    <row r="1342" ht="15.75" customHeight="1">
      <c r="A1342" s="122"/>
      <c r="B1342" s="133"/>
      <c r="C1342" s="120"/>
      <c r="D1342" s="120"/>
      <c r="E1342" s="120"/>
      <c r="F1342" s="120"/>
      <c r="G1342" s="120"/>
      <c r="H1342" s="120"/>
      <c r="I1342" s="121"/>
      <c r="J1342" s="121"/>
      <c r="K1342" s="117"/>
    </row>
    <row r="1343" ht="15.75" customHeight="1">
      <c r="A1343" s="122"/>
      <c r="B1343" s="133"/>
      <c r="C1343" s="120"/>
      <c r="D1343" s="120"/>
      <c r="E1343" s="120"/>
      <c r="F1343" s="120"/>
      <c r="G1343" s="120"/>
      <c r="H1343" s="120"/>
      <c r="I1343" s="121"/>
      <c r="J1343" s="121"/>
      <c r="K1343" s="117"/>
    </row>
    <row r="1344" ht="15.75" customHeight="1">
      <c r="A1344" s="122"/>
      <c r="B1344" s="133"/>
      <c r="C1344" s="120"/>
      <c r="D1344" s="120"/>
      <c r="E1344" s="120"/>
      <c r="F1344" s="120"/>
      <c r="G1344" s="120"/>
      <c r="H1344" s="120"/>
      <c r="I1344" s="121"/>
      <c r="J1344" s="121"/>
      <c r="K1344" s="117"/>
    </row>
    <row r="1345" ht="15.75" customHeight="1">
      <c r="A1345" s="122"/>
      <c r="B1345" s="133"/>
      <c r="C1345" s="120"/>
      <c r="D1345" s="120"/>
      <c r="E1345" s="120"/>
      <c r="F1345" s="120"/>
      <c r="G1345" s="120"/>
      <c r="H1345" s="120"/>
      <c r="I1345" s="121"/>
      <c r="J1345" s="121"/>
      <c r="K1345" s="117"/>
    </row>
    <row r="1346" ht="15.75" customHeight="1">
      <c r="A1346" s="122"/>
      <c r="B1346" s="133"/>
      <c r="C1346" s="120"/>
      <c r="D1346" s="120"/>
      <c r="E1346" s="120"/>
      <c r="F1346" s="120"/>
      <c r="G1346" s="120"/>
      <c r="H1346" s="120"/>
      <c r="I1346" s="121"/>
      <c r="J1346" s="121"/>
      <c r="K1346" s="117"/>
    </row>
    <row r="1347" ht="15.75" customHeight="1">
      <c r="A1347" s="122"/>
      <c r="B1347" s="133"/>
      <c r="C1347" s="120"/>
      <c r="D1347" s="120"/>
      <c r="E1347" s="120"/>
      <c r="F1347" s="120"/>
      <c r="G1347" s="120"/>
      <c r="H1347" s="120"/>
      <c r="I1347" s="121"/>
      <c r="J1347" s="121"/>
      <c r="K1347" s="117"/>
    </row>
    <row r="1348" ht="15.75" customHeight="1">
      <c r="A1348" s="122"/>
      <c r="B1348" s="133"/>
      <c r="C1348" s="120"/>
      <c r="D1348" s="120"/>
      <c r="E1348" s="120"/>
      <c r="F1348" s="120"/>
      <c r="G1348" s="120"/>
      <c r="H1348" s="120"/>
      <c r="I1348" s="121"/>
      <c r="J1348" s="121"/>
      <c r="K1348" s="117"/>
    </row>
    <row r="1349" ht="15.75" customHeight="1">
      <c r="A1349" s="122"/>
      <c r="B1349" s="133"/>
      <c r="C1349" s="120"/>
      <c r="D1349" s="120"/>
      <c r="E1349" s="120"/>
      <c r="F1349" s="120"/>
      <c r="G1349" s="120"/>
      <c r="H1349" s="120"/>
      <c r="I1349" s="121"/>
      <c r="J1349" s="121"/>
      <c r="K1349" s="117"/>
    </row>
    <row r="1350" ht="15.75" customHeight="1">
      <c r="A1350" s="122"/>
      <c r="B1350" s="133"/>
      <c r="C1350" s="120"/>
      <c r="D1350" s="120"/>
      <c r="E1350" s="120"/>
      <c r="F1350" s="120"/>
      <c r="G1350" s="120"/>
      <c r="H1350" s="120"/>
      <c r="I1350" s="121"/>
      <c r="J1350" s="121"/>
      <c r="K1350" s="117"/>
    </row>
    <row r="1351" ht="15.75" customHeight="1">
      <c r="A1351" s="122"/>
      <c r="B1351" s="133"/>
      <c r="C1351" s="120"/>
      <c r="D1351" s="120"/>
      <c r="E1351" s="120"/>
      <c r="F1351" s="120"/>
      <c r="G1351" s="120"/>
      <c r="H1351" s="120"/>
      <c r="I1351" s="121"/>
      <c r="J1351" s="121"/>
      <c r="K1351" s="117"/>
    </row>
    <row r="1352" ht="15.75" customHeight="1">
      <c r="A1352" s="122"/>
      <c r="B1352" s="133"/>
      <c r="C1352" s="120"/>
      <c r="D1352" s="120"/>
      <c r="E1352" s="120"/>
      <c r="F1352" s="120"/>
      <c r="G1352" s="120"/>
      <c r="H1352" s="120"/>
      <c r="I1352" s="121"/>
      <c r="J1352" s="121"/>
      <c r="K1352" s="117"/>
    </row>
    <row r="1353" ht="15.75" customHeight="1">
      <c r="A1353" s="122"/>
      <c r="B1353" s="133"/>
      <c r="C1353" s="120"/>
      <c r="D1353" s="120"/>
      <c r="E1353" s="120"/>
      <c r="F1353" s="120"/>
      <c r="G1353" s="120"/>
      <c r="H1353" s="120"/>
      <c r="I1353" s="121"/>
      <c r="J1353" s="121"/>
      <c r="K1353" s="117"/>
    </row>
    <row r="1354" ht="15.75" customHeight="1">
      <c r="A1354" s="122"/>
      <c r="B1354" s="133"/>
      <c r="C1354" s="120"/>
      <c r="D1354" s="120"/>
      <c r="E1354" s="120"/>
      <c r="F1354" s="120"/>
      <c r="G1354" s="120"/>
      <c r="H1354" s="120"/>
      <c r="I1354" s="121"/>
      <c r="J1354" s="121"/>
      <c r="K1354" s="117"/>
    </row>
    <row r="1355" ht="15.75" customHeight="1">
      <c r="A1355" s="122"/>
      <c r="B1355" s="133"/>
      <c r="C1355" s="120"/>
      <c r="D1355" s="120"/>
      <c r="E1355" s="120"/>
      <c r="F1355" s="120"/>
      <c r="G1355" s="120"/>
      <c r="H1355" s="120"/>
      <c r="I1355" s="121"/>
      <c r="J1355" s="121"/>
      <c r="K1355" s="117"/>
    </row>
    <row r="1356" ht="15.75" customHeight="1">
      <c r="A1356" s="122"/>
      <c r="B1356" s="133"/>
      <c r="C1356" s="120"/>
      <c r="D1356" s="120"/>
      <c r="E1356" s="120"/>
      <c r="F1356" s="120"/>
      <c r="G1356" s="120"/>
      <c r="H1356" s="120"/>
      <c r="I1356" s="121"/>
      <c r="J1356" s="121"/>
      <c r="K1356" s="117"/>
    </row>
    <row r="1357" ht="15.75" customHeight="1">
      <c r="A1357" s="122"/>
      <c r="B1357" s="133"/>
      <c r="C1357" s="120"/>
      <c r="D1357" s="120"/>
      <c r="E1357" s="120"/>
      <c r="F1357" s="120"/>
      <c r="G1357" s="120"/>
      <c r="H1357" s="120"/>
      <c r="I1357" s="121"/>
      <c r="J1357" s="121"/>
      <c r="K1357" s="117"/>
    </row>
    <row r="1358" ht="15.75" customHeight="1">
      <c r="A1358" s="122"/>
      <c r="B1358" s="133"/>
      <c r="C1358" s="120"/>
      <c r="D1358" s="120"/>
      <c r="E1358" s="120"/>
      <c r="F1358" s="120"/>
      <c r="G1358" s="120"/>
      <c r="H1358" s="120"/>
      <c r="I1358" s="121"/>
      <c r="J1358" s="121"/>
      <c r="K1358" s="117"/>
    </row>
    <row r="1359" ht="15.75" customHeight="1">
      <c r="A1359" s="122"/>
      <c r="B1359" s="133"/>
      <c r="C1359" s="120"/>
      <c r="D1359" s="120"/>
      <c r="E1359" s="120"/>
      <c r="F1359" s="120"/>
      <c r="G1359" s="120"/>
      <c r="H1359" s="120"/>
      <c r="I1359" s="121"/>
      <c r="J1359" s="121"/>
      <c r="K1359" s="117"/>
    </row>
    <row r="1360" ht="15.75" customHeight="1">
      <c r="A1360" s="122"/>
      <c r="B1360" s="133"/>
      <c r="C1360" s="120"/>
      <c r="D1360" s="120"/>
      <c r="E1360" s="120"/>
      <c r="F1360" s="120"/>
      <c r="G1360" s="120"/>
      <c r="H1360" s="120"/>
      <c r="I1360" s="121"/>
      <c r="J1360" s="121"/>
      <c r="K1360" s="117"/>
    </row>
    <row r="1361" ht="15.75" customHeight="1">
      <c r="A1361" s="122"/>
      <c r="B1361" s="133"/>
      <c r="C1361" s="120"/>
      <c r="D1361" s="120"/>
      <c r="E1361" s="120"/>
      <c r="F1361" s="120"/>
      <c r="G1361" s="120"/>
      <c r="H1361" s="120"/>
      <c r="I1361" s="121"/>
      <c r="J1361" s="121"/>
      <c r="K1361" s="117"/>
    </row>
    <row r="1362" ht="15.75" customHeight="1">
      <c r="A1362" s="122"/>
      <c r="B1362" s="133"/>
      <c r="C1362" s="120"/>
      <c r="D1362" s="120"/>
      <c r="E1362" s="120"/>
      <c r="F1362" s="120"/>
      <c r="G1362" s="120"/>
      <c r="H1362" s="120"/>
      <c r="I1362" s="121"/>
      <c r="J1362" s="121"/>
      <c r="K1362" s="117"/>
    </row>
    <row r="1363" ht="15.75" customHeight="1">
      <c r="A1363" s="122"/>
      <c r="B1363" s="133"/>
      <c r="C1363" s="120"/>
      <c r="D1363" s="120"/>
      <c r="E1363" s="120"/>
      <c r="F1363" s="120"/>
      <c r="G1363" s="120"/>
      <c r="H1363" s="120"/>
      <c r="I1363" s="121"/>
      <c r="J1363" s="121"/>
      <c r="K1363" s="117"/>
    </row>
    <row r="1364" ht="15.75" customHeight="1">
      <c r="A1364" s="122"/>
      <c r="B1364" s="133"/>
      <c r="C1364" s="120"/>
      <c r="D1364" s="120"/>
      <c r="E1364" s="120"/>
      <c r="F1364" s="120"/>
      <c r="G1364" s="120"/>
      <c r="H1364" s="120"/>
      <c r="I1364" s="121"/>
      <c r="J1364" s="121"/>
      <c r="K1364" s="117"/>
    </row>
    <row r="1365" ht="15.75" customHeight="1">
      <c r="A1365" s="122"/>
      <c r="B1365" s="133"/>
      <c r="C1365" s="120"/>
      <c r="D1365" s="120"/>
      <c r="E1365" s="120"/>
      <c r="F1365" s="120"/>
      <c r="G1365" s="120"/>
      <c r="H1365" s="120"/>
      <c r="I1365" s="121"/>
      <c r="J1365" s="121"/>
      <c r="K1365" s="117"/>
    </row>
    <row r="1366" ht="15.75" customHeight="1">
      <c r="A1366" s="122"/>
      <c r="B1366" s="133"/>
      <c r="C1366" s="120"/>
      <c r="D1366" s="120"/>
      <c r="E1366" s="120"/>
      <c r="F1366" s="120"/>
      <c r="G1366" s="120"/>
      <c r="H1366" s="120"/>
      <c r="I1366" s="121"/>
      <c r="J1366" s="121"/>
      <c r="K1366" s="117"/>
    </row>
    <row r="1367" ht="15.75" customHeight="1">
      <c r="A1367" s="122"/>
      <c r="B1367" s="133"/>
      <c r="C1367" s="120"/>
      <c r="D1367" s="120"/>
      <c r="E1367" s="120"/>
      <c r="F1367" s="120"/>
      <c r="G1367" s="120"/>
      <c r="H1367" s="120"/>
      <c r="I1367" s="121"/>
      <c r="J1367" s="121"/>
      <c r="K1367" s="117"/>
    </row>
    <row r="1368" ht="15.75" customHeight="1">
      <c r="A1368" s="122"/>
      <c r="B1368" s="133"/>
      <c r="C1368" s="120"/>
      <c r="D1368" s="120"/>
      <c r="E1368" s="120"/>
      <c r="F1368" s="120"/>
      <c r="G1368" s="120"/>
      <c r="H1368" s="120"/>
      <c r="I1368" s="121"/>
      <c r="J1368" s="121"/>
      <c r="K1368" s="117"/>
    </row>
    <row r="1369" ht="15.75" customHeight="1">
      <c r="A1369" s="122"/>
      <c r="B1369" s="133"/>
      <c r="C1369" s="120"/>
      <c r="D1369" s="120"/>
      <c r="E1369" s="120"/>
      <c r="F1369" s="120"/>
      <c r="G1369" s="120"/>
      <c r="H1369" s="120"/>
      <c r="I1369" s="121"/>
      <c r="J1369" s="121"/>
      <c r="K1369" s="117"/>
    </row>
    <row r="1370" ht="15.75" customHeight="1">
      <c r="A1370" s="122"/>
      <c r="B1370" s="133"/>
      <c r="C1370" s="120"/>
      <c r="D1370" s="120"/>
      <c r="E1370" s="120"/>
      <c r="F1370" s="120"/>
      <c r="G1370" s="120"/>
      <c r="H1370" s="120"/>
      <c r="I1370" s="121"/>
      <c r="J1370" s="121"/>
      <c r="K1370" s="117"/>
    </row>
    <row r="1371" ht="15.75" customHeight="1">
      <c r="A1371" s="122"/>
      <c r="B1371" s="133"/>
      <c r="C1371" s="120"/>
      <c r="D1371" s="120"/>
      <c r="E1371" s="120"/>
      <c r="F1371" s="120"/>
      <c r="G1371" s="120"/>
      <c r="H1371" s="120"/>
      <c r="I1371" s="121"/>
      <c r="J1371" s="121"/>
      <c r="K1371" s="117"/>
    </row>
    <row r="1372" ht="15.75" customHeight="1">
      <c r="A1372" s="122"/>
      <c r="B1372" s="133"/>
      <c r="C1372" s="120"/>
      <c r="D1372" s="120"/>
      <c r="E1372" s="120"/>
      <c r="F1372" s="120"/>
      <c r="G1372" s="120"/>
      <c r="H1372" s="120"/>
      <c r="I1372" s="121"/>
      <c r="J1372" s="121"/>
      <c r="K1372" s="117"/>
    </row>
    <row r="1373" ht="15.75" customHeight="1">
      <c r="A1373" s="122"/>
      <c r="B1373" s="133"/>
      <c r="C1373" s="120"/>
      <c r="D1373" s="120"/>
      <c r="E1373" s="120"/>
      <c r="F1373" s="120"/>
      <c r="G1373" s="120"/>
      <c r="H1373" s="120"/>
      <c r="I1373" s="121"/>
      <c r="J1373" s="121"/>
      <c r="K1373" s="117"/>
    </row>
    <row r="1374" ht="15.75" customHeight="1">
      <c r="A1374" s="122"/>
      <c r="B1374" s="133"/>
      <c r="C1374" s="120"/>
      <c r="D1374" s="120"/>
      <c r="E1374" s="120"/>
      <c r="F1374" s="120"/>
      <c r="G1374" s="120"/>
      <c r="H1374" s="120"/>
      <c r="I1374" s="121"/>
      <c r="J1374" s="121"/>
      <c r="K1374" s="117"/>
    </row>
    <row r="1375" ht="15.75" customHeight="1">
      <c r="A1375" s="122"/>
      <c r="B1375" s="133"/>
      <c r="C1375" s="120"/>
      <c r="D1375" s="120"/>
      <c r="E1375" s="120"/>
      <c r="F1375" s="120"/>
      <c r="G1375" s="120"/>
      <c r="H1375" s="120"/>
      <c r="I1375" s="121"/>
      <c r="J1375" s="121"/>
      <c r="K1375" s="117"/>
    </row>
    <row r="1376" ht="15.75" customHeight="1">
      <c r="A1376" s="122"/>
      <c r="B1376" s="133"/>
      <c r="C1376" s="120"/>
      <c r="D1376" s="120"/>
      <c r="E1376" s="120"/>
      <c r="F1376" s="120"/>
      <c r="G1376" s="120"/>
      <c r="H1376" s="120"/>
      <c r="I1376" s="121"/>
      <c r="J1376" s="121"/>
      <c r="K1376" s="117"/>
    </row>
    <row r="1377" ht="15.75" customHeight="1">
      <c r="A1377" s="122"/>
      <c r="B1377" s="133"/>
      <c r="C1377" s="120"/>
      <c r="D1377" s="120"/>
      <c r="E1377" s="120"/>
      <c r="F1377" s="120"/>
      <c r="G1377" s="120"/>
      <c r="H1377" s="120"/>
      <c r="I1377" s="121"/>
      <c r="J1377" s="121"/>
      <c r="K1377" s="117"/>
    </row>
    <row r="1378" ht="15.75" customHeight="1">
      <c r="A1378" s="122"/>
      <c r="B1378" s="133"/>
      <c r="C1378" s="120"/>
      <c r="D1378" s="120"/>
      <c r="E1378" s="120"/>
      <c r="F1378" s="120"/>
      <c r="G1378" s="120"/>
      <c r="H1378" s="120"/>
      <c r="I1378" s="121"/>
      <c r="J1378" s="121"/>
      <c r="K1378" s="117"/>
    </row>
    <row r="1379" ht="15.75" customHeight="1">
      <c r="A1379" s="122"/>
      <c r="B1379" s="133"/>
      <c r="C1379" s="120"/>
      <c r="D1379" s="120"/>
      <c r="E1379" s="120"/>
      <c r="F1379" s="120"/>
      <c r="G1379" s="120"/>
      <c r="H1379" s="120"/>
      <c r="I1379" s="121"/>
      <c r="J1379" s="121"/>
      <c r="K1379" s="117"/>
    </row>
    <row r="1380" ht="15.75" customHeight="1">
      <c r="A1380" s="122"/>
      <c r="B1380" s="133"/>
      <c r="C1380" s="120"/>
      <c r="D1380" s="120"/>
      <c r="E1380" s="120"/>
      <c r="F1380" s="120"/>
      <c r="G1380" s="120"/>
      <c r="H1380" s="120"/>
      <c r="I1380" s="121"/>
      <c r="J1380" s="121"/>
      <c r="K1380" s="117"/>
    </row>
    <row r="1381" ht="15.75" customHeight="1">
      <c r="A1381" s="122"/>
      <c r="B1381" s="133"/>
      <c r="C1381" s="120"/>
      <c r="D1381" s="120"/>
      <c r="E1381" s="120"/>
      <c r="F1381" s="120"/>
      <c r="G1381" s="120"/>
      <c r="H1381" s="120"/>
      <c r="I1381" s="121"/>
      <c r="J1381" s="121"/>
      <c r="K1381" s="117"/>
    </row>
    <row r="1382" ht="15.75" customHeight="1">
      <c r="A1382" s="122"/>
      <c r="B1382" s="133"/>
      <c r="C1382" s="120"/>
      <c r="D1382" s="120"/>
      <c r="E1382" s="120"/>
      <c r="F1382" s="120"/>
      <c r="G1382" s="120"/>
      <c r="H1382" s="120"/>
      <c r="I1382" s="121"/>
      <c r="J1382" s="121"/>
      <c r="K1382" s="117"/>
    </row>
    <row r="1383" ht="15.75" customHeight="1">
      <c r="A1383" s="122"/>
      <c r="B1383" s="133"/>
      <c r="C1383" s="120"/>
      <c r="D1383" s="120"/>
      <c r="E1383" s="120"/>
      <c r="F1383" s="120"/>
      <c r="G1383" s="120"/>
      <c r="H1383" s="120"/>
      <c r="I1383" s="121"/>
      <c r="J1383" s="121"/>
      <c r="K1383" s="117"/>
    </row>
    <row r="1384" ht="15.75" customHeight="1">
      <c r="A1384" s="122"/>
      <c r="B1384" s="133"/>
      <c r="C1384" s="120"/>
      <c r="D1384" s="120"/>
      <c r="E1384" s="120"/>
      <c r="F1384" s="120"/>
      <c r="G1384" s="120"/>
      <c r="H1384" s="120"/>
      <c r="I1384" s="121"/>
      <c r="J1384" s="121"/>
      <c r="K1384" s="117"/>
    </row>
    <row r="1385" ht="15.75" customHeight="1">
      <c r="A1385" s="122"/>
      <c r="B1385" s="133"/>
      <c r="C1385" s="120"/>
      <c r="D1385" s="120"/>
      <c r="E1385" s="120"/>
      <c r="F1385" s="120"/>
      <c r="G1385" s="120"/>
      <c r="H1385" s="120"/>
      <c r="I1385" s="121"/>
      <c r="J1385" s="121"/>
      <c r="K1385" s="117"/>
    </row>
    <row r="1386" ht="15.75" customHeight="1">
      <c r="A1386" s="122"/>
      <c r="B1386" s="133"/>
      <c r="C1386" s="120"/>
      <c r="D1386" s="120"/>
      <c r="E1386" s="120"/>
      <c r="F1386" s="120"/>
      <c r="G1386" s="120"/>
      <c r="H1386" s="120"/>
      <c r="I1386" s="121"/>
      <c r="J1386" s="121"/>
      <c r="K1386" s="117"/>
    </row>
    <row r="1387" ht="15.75" customHeight="1">
      <c r="A1387" s="122"/>
      <c r="B1387" s="133"/>
      <c r="C1387" s="120"/>
      <c r="D1387" s="120"/>
      <c r="E1387" s="120"/>
      <c r="F1387" s="120"/>
      <c r="G1387" s="120"/>
      <c r="H1387" s="120"/>
      <c r="I1387" s="121"/>
      <c r="J1387" s="121"/>
      <c r="K1387" s="117"/>
    </row>
    <row r="1388" ht="15.75" customHeight="1">
      <c r="A1388" s="122"/>
      <c r="B1388" s="133"/>
      <c r="C1388" s="120"/>
      <c r="D1388" s="120"/>
      <c r="E1388" s="120"/>
      <c r="F1388" s="120"/>
      <c r="G1388" s="120"/>
      <c r="H1388" s="120"/>
      <c r="I1388" s="121"/>
      <c r="J1388" s="121"/>
      <c r="K1388" s="117"/>
    </row>
    <row r="1389" ht="15.75" customHeight="1">
      <c r="A1389" s="122"/>
      <c r="B1389" s="133"/>
      <c r="C1389" s="120"/>
      <c r="D1389" s="120"/>
      <c r="E1389" s="120"/>
      <c r="F1389" s="120"/>
      <c r="G1389" s="120"/>
      <c r="H1389" s="120"/>
      <c r="I1389" s="121"/>
      <c r="J1389" s="121"/>
      <c r="K1389" s="117"/>
    </row>
    <row r="1390" ht="15.75" customHeight="1">
      <c r="A1390" s="122"/>
      <c r="B1390" s="133"/>
      <c r="C1390" s="120"/>
      <c r="D1390" s="120"/>
      <c r="E1390" s="120"/>
      <c r="F1390" s="120"/>
      <c r="G1390" s="120"/>
      <c r="H1390" s="120"/>
      <c r="I1390" s="121"/>
      <c r="J1390" s="121"/>
      <c r="K1390" s="117"/>
    </row>
    <row r="1391" ht="15.75" customHeight="1">
      <c r="A1391" s="122"/>
      <c r="B1391" s="133"/>
      <c r="C1391" s="120"/>
      <c r="D1391" s="120"/>
      <c r="E1391" s="120"/>
      <c r="F1391" s="120"/>
      <c r="G1391" s="120"/>
      <c r="H1391" s="120"/>
      <c r="I1391" s="121"/>
      <c r="J1391" s="121"/>
      <c r="K1391" s="117"/>
    </row>
    <row r="1392" ht="15.75" customHeight="1">
      <c r="A1392" s="122"/>
      <c r="B1392" s="133"/>
      <c r="C1392" s="120"/>
      <c r="D1392" s="120"/>
      <c r="E1392" s="120"/>
      <c r="F1392" s="120"/>
      <c r="G1392" s="120"/>
      <c r="H1392" s="120"/>
      <c r="I1392" s="121"/>
      <c r="J1392" s="121"/>
      <c r="K1392" s="117"/>
    </row>
    <row r="1393" ht="15.75" customHeight="1">
      <c r="A1393" s="122"/>
      <c r="B1393" s="133"/>
      <c r="C1393" s="120"/>
      <c r="D1393" s="120"/>
      <c r="E1393" s="120"/>
      <c r="F1393" s="120"/>
      <c r="G1393" s="120"/>
      <c r="H1393" s="120"/>
      <c r="I1393" s="121"/>
      <c r="J1393" s="121"/>
      <c r="K1393" s="117"/>
    </row>
    <row r="1394" ht="15.75" customHeight="1">
      <c r="A1394" s="122"/>
      <c r="B1394" s="133"/>
      <c r="C1394" s="120"/>
      <c r="D1394" s="120"/>
      <c r="E1394" s="120"/>
      <c r="F1394" s="120"/>
      <c r="G1394" s="120"/>
      <c r="H1394" s="120"/>
      <c r="I1394" s="121"/>
      <c r="J1394" s="121"/>
      <c r="K1394" s="117"/>
    </row>
    <row r="1395" ht="15.75" customHeight="1">
      <c r="A1395" s="122"/>
      <c r="B1395" s="133"/>
      <c r="C1395" s="120"/>
      <c r="D1395" s="120"/>
      <c r="E1395" s="120"/>
      <c r="F1395" s="120"/>
      <c r="G1395" s="120"/>
      <c r="H1395" s="120"/>
      <c r="I1395" s="121"/>
      <c r="J1395" s="121"/>
      <c r="K1395" s="117"/>
    </row>
    <row r="1396" ht="15.75" customHeight="1">
      <c r="A1396" s="122"/>
      <c r="B1396" s="133"/>
      <c r="C1396" s="120"/>
      <c r="D1396" s="120"/>
      <c r="E1396" s="120"/>
      <c r="F1396" s="120"/>
      <c r="G1396" s="120"/>
      <c r="H1396" s="120"/>
      <c r="I1396" s="121"/>
      <c r="J1396" s="121"/>
      <c r="K1396" s="117"/>
    </row>
    <row r="1397" ht="15.75" customHeight="1">
      <c r="A1397" s="122"/>
      <c r="B1397" s="133"/>
      <c r="C1397" s="120"/>
      <c r="D1397" s="120"/>
      <c r="E1397" s="120"/>
      <c r="F1397" s="120"/>
      <c r="G1397" s="120"/>
      <c r="H1397" s="120"/>
      <c r="I1397" s="121"/>
      <c r="J1397" s="121"/>
      <c r="K1397" s="117"/>
    </row>
    <row r="1398" ht="15.75" customHeight="1">
      <c r="A1398" s="122"/>
      <c r="B1398" s="133"/>
      <c r="C1398" s="120"/>
      <c r="D1398" s="120"/>
      <c r="E1398" s="120"/>
      <c r="F1398" s="120"/>
      <c r="G1398" s="120"/>
      <c r="H1398" s="120"/>
      <c r="I1398" s="121"/>
      <c r="J1398" s="121"/>
      <c r="K1398" s="117"/>
    </row>
    <row r="1399" ht="15.75" customHeight="1">
      <c r="A1399" s="122"/>
      <c r="B1399" s="133"/>
      <c r="C1399" s="120"/>
      <c r="D1399" s="120"/>
      <c r="E1399" s="120"/>
      <c r="F1399" s="120"/>
      <c r="G1399" s="120"/>
      <c r="H1399" s="120"/>
      <c r="I1399" s="121"/>
      <c r="J1399" s="121"/>
      <c r="K1399" s="117"/>
    </row>
    <row r="1400" ht="15.75" customHeight="1">
      <c r="A1400" s="122"/>
      <c r="B1400" s="133"/>
      <c r="C1400" s="120"/>
      <c r="D1400" s="120"/>
      <c r="E1400" s="120"/>
      <c r="F1400" s="120"/>
      <c r="G1400" s="120"/>
      <c r="H1400" s="120"/>
      <c r="I1400" s="121"/>
      <c r="J1400" s="121"/>
      <c r="K1400" s="117"/>
    </row>
    <row r="1401" ht="15.75" customHeight="1">
      <c r="A1401" s="122"/>
      <c r="B1401" s="133"/>
      <c r="C1401" s="120"/>
      <c r="D1401" s="120"/>
      <c r="E1401" s="120"/>
      <c r="F1401" s="120"/>
      <c r="G1401" s="120"/>
      <c r="H1401" s="120"/>
      <c r="I1401" s="121"/>
      <c r="J1401" s="121"/>
      <c r="K1401" s="117"/>
    </row>
    <row r="1402" ht="15.75" customHeight="1">
      <c r="A1402" s="122"/>
      <c r="B1402" s="133"/>
      <c r="C1402" s="120"/>
      <c r="D1402" s="120"/>
      <c r="E1402" s="120"/>
      <c r="F1402" s="120"/>
      <c r="G1402" s="120"/>
      <c r="H1402" s="120"/>
      <c r="I1402" s="121"/>
      <c r="J1402" s="121"/>
      <c r="K1402" s="117"/>
    </row>
    <row r="1403" ht="15.75" customHeight="1">
      <c r="A1403" s="122"/>
      <c r="B1403" s="133"/>
      <c r="C1403" s="120"/>
      <c r="D1403" s="120"/>
      <c r="E1403" s="120"/>
      <c r="F1403" s="120"/>
      <c r="G1403" s="120"/>
      <c r="H1403" s="120"/>
      <c r="I1403" s="121"/>
      <c r="J1403" s="121"/>
      <c r="K1403" s="117"/>
    </row>
    <row r="1404" ht="15.75" customHeight="1">
      <c r="A1404" s="122"/>
      <c r="B1404" s="133"/>
      <c r="C1404" s="120"/>
      <c r="D1404" s="120"/>
      <c r="E1404" s="120"/>
      <c r="F1404" s="120"/>
      <c r="G1404" s="120"/>
      <c r="H1404" s="120"/>
      <c r="I1404" s="121"/>
      <c r="J1404" s="121"/>
      <c r="K1404" s="117"/>
    </row>
    <row r="1405" ht="15.75" customHeight="1">
      <c r="A1405" s="122"/>
      <c r="B1405" s="133"/>
      <c r="C1405" s="120"/>
      <c r="D1405" s="120"/>
      <c r="E1405" s="120"/>
      <c r="F1405" s="120"/>
      <c r="G1405" s="120"/>
      <c r="H1405" s="120"/>
      <c r="I1405" s="121"/>
      <c r="J1405" s="121"/>
      <c r="K1405" s="117"/>
    </row>
    <row r="1406" ht="15.75" customHeight="1">
      <c r="A1406" s="122"/>
      <c r="B1406" s="133"/>
      <c r="C1406" s="120"/>
      <c r="D1406" s="120"/>
      <c r="E1406" s="120"/>
      <c r="F1406" s="120"/>
      <c r="G1406" s="120"/>
      <c r="H1406" s="120"/>
      <c r="I1406" s="121"/>
      <c r="J1406" s="121"/>
      <c r="K1406" s="117"/>
    </row>
    <row r="1407" ht="15.75" customHeight="1">
      <c r="A1407" s="122"/>
      <c r="B1407" s="133"/>
      <c r="C1407" s="120"/>
      <c r="D1407" s="120"/>
      <c r="E1407" s="120"/>
      <c r="F1407" s="120"/>
      <c r="G1407" s="120"/>
      <c r="H1407" s="120"/>
      <c r="I1407" s="121"/>
      <c r="J1407" s="121"/>
      <c r="K1407" s="117"/>
    </row>
    <row r="1408" ht="15.75" customHeight="1">
      <c r="A1408" s="122"/>
      <c r="B1408" s="133"/>
      <c r="C1408" s="120"/>
      <c r="D1408" s="120"/>
      <c r="E1408" s="120"/>
      <c r="F1408" s="120"/>
      <c r="G1408" s="120"/>
      <c r="H1408" s="120"/>
      <c r="I1408" s="121"/>
      <c r="J1408" s="121"/>
      <c r="K1408" s="117"/>
    </row>
    <row r="1409" ht="15.75" customHeight="1">
      <c r="A1409" s="122"/>
      <c r="B1409" s="133"/>
      <c r="C1409" s="120"/>
      <c r="D1409" s="120"/>
      <c r="E1409" s="120"/>
      <c r="F1409" s="120"/>
      <c r="G1409" s="120"/>
      <c r="H1409" s="120"/>
      <c r="I1409" s="121"/>
      <c r="J1409" s="121"/>
      <c r="K1409" s="117"/>
    </row>
    <row r="1410" ht="15.75" customHeight="1">
      <c r="A1410" s="122"/>
      <c r="B1410" s="133"/>
      <c r="C1410" s="120"/>
      <c r="D1410" s="120"/>
      <c r="E1410" s="120"/>
      <c r="F1410" s="120"/>
      <c r="G1410" s="120"/>
      <c r="H1410" s="120"/>
      <c r="I1410" s="121"/>
      <c r="J1410" s="121"/>
      <c r="K1410" s="117"/>
    </row>
    <row r="1411" ht="15.75" customHeight="1">
      <c r="A1411" s="122"/>
      <c r="B1411" s="133"/>
      <c r="C1411" s="120"/>
      <c r="D1411" s="120"/>
      <c r="E1411" s="120"/>
      <c r="F1411" s="120"/>
      <c r="G1411" s="120"/>
      <c r="H1411" s="120"/>
      <c r="I1411" s="121"/>
      <c r="J1411" s="121"/>
      <c r="K1411" s="117"/>
    </row>
    <row r="1412" ht="15.75" customHeight="1">
      <c r="A1412" s="122"/>
      <c r="B1412" s="133"/>
      <c r="C1412" s="120"/>
      <c r="D1412" s="120"/>
      <c r="E1412" s="120"/>
      <c r="F1412" s="120"/>
      <c r="G1412" s="120"/>
      <c r="H1412" s="120"/>
      <c r="I1412" s="121"/>
      <c r="J1412" s="121"/>
      <c r="K1412" s="117"/>
    </row>
    <row r="1413" ht="15.75" customHeight="1">
      <c r="A1413" s="122"/>
      <c r="B1413" s="133"/>
      <c r="C1413" s="120"/>
      <c r="D1413" s="120"/>
      <c r="E1413" s="120"/>
      <c r="F1413" s="120"/>
      <c r="G1413" s="120"/>
      <c r="H1413" s="120"/>
      <c r="I1413" s="121"/>
      <c r="J1413" s="121"/>
      <c r="K1413" s="117"/>
    </row>
    <row r="1414" ht="15.75" customHeight="1">
      <c r="A1414" s="122"/>
      <c r="B1414" s="133"/>
      <c r="C1414" s="120"/>
      <c r="D1414" s="120"/>
      <c r="E1414" s="120"/>
      <c r="F1414" s="120"/>
      <c r="G1414" s="120"/>
      <c r="H1414" s="120"/>
      <c r="I1414" s="121"/>
      <c r="J1414" s="121"/>
      <c r="K1414" s="117"/>
    </row>
    <row r="1415" ht="15.75" customHeight="1">
      <c r="A1415" s="122"/>
      <c r="B1415" s="133"/>
      <c r="C1415" s="120"/>
      <c r="D1415" s="120"/>
      <c r="E1415" s="120"/>
      <c r="F1415" s="120"/>
      <c r="G1415" s="120"/>
      <c r="H1415" s="120"/>
      <c r="I1415" s="121"/>
      <c r="J1415" s="121"/>
      <c r="K1415" s="117"/>
    </row>
    <row r="1416" ht="15.75" customHeight="1">
      <c r="A1416" s="122"/>
      <c r="B1416" s="133"/>
      <c r="C1416" s="120"/>
      <c r="D1416" s="120"/>
      <c r="E1416" s="120"/>
      <c r="F1416" s="120"/>
      <c r="G1416" s="120"/>
      <c r="H1416" s="120"/>
      <c r="I1416" s="121"/>
      <c r="J1416" s="121"/>
      <c r="K1416" s="117"/>
    </row>
    <row r="1417" ht="15.75" customHeight="1">
      <c r="A1417" s="122"/>
      <c r="B1417" s="133"/>
      <c r="C1417" s="120"/>
      <c r="D1417" s="120"/>
      <c r="E1417" s="120"/>
      <c r="F1417" s="120"/>
      <c r="G1417" s="120"/>
      <c r="H1417" s="120"/>
      <c r="I1417" s="121"/>
      <c r="J1417" s="121"/>
      <c r="K1417" s="117"/>
    </row>
    <row r="1418" ht="15.75" customHeight="1">
      <c r="A1418" s="122"/>
      <c r="B1418" s="133"/>
      <c r="C1418" s="120"/>
      <c r="D1418" s="120"/>
      <c r="E1418" s="120"/>
      <c r="F1418" s="120"/>
      <c r="G1418" s="120"/>
      <c r="H1418" s="120"/>
      <c r="I1418" s="121"/>
      <c r="J1418" s="121"/>
      <c r="K1418" s="117"/>
    </row>
    <row r="1419" ht="15.75" customHeight="1">
      <c r="A1419" s="122"/>
      <c r="B1419" s="133"/>
      <c r="C1419" s="120"/>
      <c r="D1419" s="120"/>
      <c r="E1419" s="120"/>
      <c r="F1419" s="120"/>
      <c r="G1419" s="120"/>
      <c r="H1419" s="120"/>
      <c r="I1419" s="121"/>
      <c r="J1419" s="121"/>
      <c r="K1419" s="117"/>
    </row>
    <row r="1420" ht="15.75" customHeight="1">
      <c r="A1420" s="122"/>
      <c r="B1420" s="133"/>
      <c r="C1420" s="120"/>
      <c r="D1420" s="120"/>
      <c r="E1420" s="120"/>
      <c r="F1420" s="120"/>
      <c r="G1420" s="120"/>
      <c r="H1420" s="120"/>
      <c r="I1420" s="121"/>
      <c r="J1420" s="121"/>
      <c r="K1420" s="117"/>
    </row>
    <row r="1421" ht="15.75" customHeight="1">
      <c r="A1421" s="122"/>
      <c r="B1421" s="133"/>
      <c r="C1421" s="120"/>
      <c r="D1421" s="120"/>
      <c r="E1421" s="120"/>
      <c r="F1421" s="120"/>
      <c r="G1421" s="120"/>
      <c r="H1421" s="120"/>
      <c r="I1421" s="121"/>
      <c r="J1421" s="121"/>
      <c r="K1421" s="117"/>
    </row>
    <row r="1422" ht="15.75" customHeight="1">
      <c r="A1422" s="122"/>
      <c r="B1422" s="133"/>
      <c r="C1422" s="120"/>
      <c r="D1422" s="120"/>
      <c r="E1422" s="120"/>
      <c r="F1422" s="120"/>
      <c r="G1422" s="120"/>
      <c r="H1422" s="120"/>
      <c r="I1422" s="121"/>
      <c r="J1422" s="121"/>
      <c r="K1422" s="117"/>
    </row>
    <row r="1423" ht="15.75" customHeight="1">
      <c r="A1423" s="122"/>
      <c r="B1423" s="133"/>
      <c r="C1423" s="120"/>
      <c r="D1423" s="120"/>
      <c r="E1423" s="120"/>
      <c r="F1423" s="120"/>
      <c r="G1423" s="120"/>
      <c r="H1423" s="120"/>
      <c r="I1423" s="121"/>
      <c r="J1423" s="121"/>
      <c r="K1423" s="117"/>
    </row>
    <row r="1424" ht="15.75" customHeight="1">
      <c r="A1424" s="122"/>
      <c r="B1424" s="133"/>
      <c r="C1424" s="120"/>
      <c r="D1424" s="120"/>
      <c r="E1424" s="120"/>
      <c r="F1424" s="120"/>
      <c r="G1424" s="120"/>
      <c r="H1424" s="120"/>
      <c r="I1424" s="121"/>
      <c r="J1424" s="121"/>
      <c r="K1424" s="117"/>
    </row>
    <row r="1425" ht="15.75" customHeight="1">
      <c r="A1425" s="122"/>
      <c r="B1425" s="133"/>
      <c r="C1425" s="120"/>
      <c r="D1425" s="120"/>
      <c r="E1425" s="120"/>
      <c r="F1425" s="120"/>
      <c r="G1425" s="120"/>
      <c r="H1425" s="120"/>
      <c r="I1425" s="121"/>
      <c r="J1425" s="121"/>
      <c r="K1425" s="117"/>
    </row>
    <row r="1426" ht="15.75" customHeight="1">
      <c r="A1426" s="122"/>
      <c r="B1426" s="133"/>
      <c r="C1426" s="120"/>
      <c r="D1426" s="120"/>
      <c r="E1426" s="120"/>
      <c r="F1426" s="120"/>
      <c r="G1426" s="120"/>
      <c r="H1426" s="120"/>
      <c r="I1426" s="121"/>
      <c r="J1426" s="121"/>
      <c r="K1426" s="117"/>
    </row>
    <row r="1427" ht="15.75" customHeight="1">
      <c r="A1427" s="122"/>
      <c r="B1427" s="133"/>
      <c r="C1427" s="120"/>
      <c r="D1427" s="120"/>
      <c r="E1427" s="120"/>
      <c r="F1427" s="120"/>
      <c r="G1427" s="120"/>
      <c r="H1427" s="120"/>
      <c r="I1427" s="121"/>
      <c r="J1427" s="121"/>
      <c r="K1427" s="117"/>
    </row>
    <row r="1428" ht="15.75" customHeight="1">
      <c r="A1428" s="122"/>
      <c r="B1428" s="133"/>
      <c r="C1428" s="120"/>
      <c r="D1428" s="120"/>
      <c r="E1428" s="120"/>
      <c r="F1428" s="120"/>
      <c r="G1428" s="120"/>
      <c r="H1428" s="120"/>
      <c r="I1428" s="121"/>
      <c r="J1428" s="121"/>
      <c r="K1428" s="117"/>
    </row>
    <row r="1429" ht="15.75" customHeight="1">
      <c r="A1429" s="122"/>
      <c r="B1429" s="133"/>
      <c r="C1429" s="120"/>
      <c r="D1429" s="120"/>
      <c r="E1429" s="120"/>
      <c r="F1429" s="120"/>
      <c r="G1429" s="120"/>
      <c r="H1429" s="120"/>
      <c r="I1429" s="121"/>
      <c r="J1429" s="121"/>
      <c r="K1429" s="117"/>
    </row>
    <row r="1430" ht="15.75" customHeight="1">
      <c r="A1430" s="122"/>
      <c r="B1430" s="133"/>
      <c r="C1430" s="120"/>
      <c r="D1430" s="120"/>
      <c r="E1430" s="120"/>
      <c r="F1430" s="120"/>
      <c r="G1430" s="120"/>
      <c r="H1430" s="120"/>
      <c r="I1430" s="121"/>
      <c r="J1430" s="121"/>
      <c r="K1430" s="117"/>
    </row>
    <row r="1431" ht="15.75" customHeight="1">
      <c r="A1431" s="122"/>
      <c r="B1431" s="133"/>
      <c r="C1431" s="120"/>
      <c r="D1431" s="120"/>
      <c r="E1431" s="120"/>
      <c r="F1431" s="120"/>
      <c r="G1431" s="120"/>
      <c r="H1431" s="120"/>
      <c r="I1431" s="121"/>
      <c r="J1431" s="121"/>
      <c r="K1431" s="117"/>
    </row>
    <row r="1432" ht="15.75" customHeight="1">
      <c r="A1432" s="122"/>
      <c r="B1432" s="133"/>
      <c r="C1432" s="120"/>
      <c r="D1432" s="120"/>
      <c r="E1432" s="120"/>
      <c r="F1432" s="120"/>
      <c r="G1432" s="120"/>
      <c r="H1432" s="120"/>
      <c r="I1432" s="121"/>
      <c r="J1432" s="121"/>
      <c r="K1432" s="117"/>
    </row>
    <row r="1433" ht="15.75" customHeight="1">
      <c r="A1433" s="122"/>
      <c r="B1433" s="133"/>
      <c r="C1433" s="120"/>
      <c r="D1433" s="120"/>
      <c r="E1433" s="120"/>
      <c r="F1433" s="120"/>
      <c r="G1433" s="120"/>
      <c r="H1433" s="120"/>
      <c r="I1433" s="121"/>
      <c r="J1433" s="121"/>
      <c r="K1433" s="117"/>
    </row>
    <row r="1434" ht="15.75" customHeight="1">
      <c r="A1434" s="122"/>
      <c r="B1434" s="133"/>
      <c r="C1434" s="120"/>
      <c r="D1434" s="120"/>
      <c r="E1434" s="120"/>
      <c r="F1434" s="120"/>
      <c r="G1434" s="120"/>
      <c r="H1434" s="120"/>
      <c r="I1434" s="121"/>
      <c r="J1434" s="121"/>
      <c r="K1434" s="117"/>
    </row>
    <row r="1435" ht="15.75" customHeight="1">
      <c r="A1435" s="122"/>
      <c r="B1435" s="133"/>
      <c r="C1435" s="120"/>
      <c r="D1435" s="120"/>
      <c r="E1435" s="120"/>
      <c r="F1435" s="120"/>
      <c r="G1435" s="120"/>
      <c r="H1435" s="120"/>
      <c r="I1435" s="121"/>
      <c r="J1435" s="121"/>
      <c r="K1435" s="117"/>
    </row>
    <row r="1436" ht="15.75" customHeight="1">
      <c r="A1436" s="122"/>
      <c r="B1436" s="133"/>
      <c r="C1436" s="120"/>
      <c r="D1436" s="120"/>
      <c r="E1436" s="120"/>
      <c r="F1436" s="120"/>
      <c r="G1436" s="120"/>
      <c r="H1436" s="120"/>
      <c r="I1436" s="121"/>
      <c r="J1436" s="121"/>
      <c r="K1436" s="117"/>
    </row>
    <row r="1437" ht="15.75" customHeight="1">
      <c r="A1437" s="122"/>
      <c r="B1437" s="133"/>
      <c r="C1437" s="120"/>
      <c r="D1437" s="120"/>
      <c r="E1437" s="120"/>
      <c r="F1437" s="120"/>
      <c r="G1437" s="120"/>
      <c r="H1437" s="120"/>
      <c r="I1437" s="121"/>
      <c r="J1437" s="121"/>
      <c r="K1437" s="117"/>
    </row>
    <row r="1438" ht="15.75" customHeight="1">
      <c r="A1438" s="122"/>
      <c r="B1438" s="133"/>
      <c r="C1438" s="120"/>
      <c r="D1438" s="120"/>
      <c r="E1438" s="120"/>
      <c r="F1438" s="120"/>
      <c r="G1438" s="120"/>
      <c r="H1438" s="120"/>
      <c r="I1438" s="121"/>
      <c r="J1438" s="121"/>
      <c r="K1438" s="117"/>
    </row>
    <row r="1439" ht="15.75" customHeight="1">
      <c r="A1439" s="122"/>
      <c r="B1439" s="133"/>
      <c r="C1439" s="120"/>
      <c r="D1439" s="120"/>
      <c r="E1439" s="120"/>
      <c r="F1439" s="120"/>
      <c r="G1439" s="120"/>
      <c r="H1439" s="120"/>
      <c r="I1439" s="121"/>
      <c r="J1439" s="121"/>
      <c r="K1439" s="117"/>
    </row>
    <row r="1440" ht="15.75" customHeight="1">
      <c r="A1440" s="122"/>
      <c r="B1440" s="133"/>
      <c r="C1440" s="120"/>
      <c r="D1440" s="120"/>
      <c r="E1440" s="120"/>
      <c r="F1440" s="120"/>
      <c r="G1440" s="120"/>
      <c r="H1440" s="120"/>
      <c r="I1440" s="121"/>
      <c r="J1440" s="121"/>
      <c r="K1440" s="117"/>
    </row>
    <row r="1441" ht="15.75" customHeight="1">
      <c r="A1441" s="122"/>
      <c r="B1441" s="133"/>
      <c r="C1441" s="120"/>
      <c r="D1441" s="120"/>
      <c r="E1441" s="120"/>
      <c r="F1441" s="120"/>
      <c r="G1441" s="120"/>
      <c r="H1441" s="120"/>
      <c r="I1441" s="121"/>
      <c r="J1441" s="121"/>
      <c r="K1441" s="117"/>
    </row>
    <row r="1442" ht="15.75" customHeight="1">
      <c r="A1442" s="122"/>
      <c r="B1442" s="133"/>
      <c r="C1442" s="120"/>
      <c r="D1442" s="120"/>
      <c r="E1442" s="120"/>
      <c r="F1442" s="120"/>
      <c r="G1442" s="120"/>
      <c r="H1442" s="120"/>
      <c r="I1442" s="121"/>
      <c r="J1442" s="121"/>
      <c r="K1442" s="117"/>
    </row>
    <row r="1443" ht="15.75" customHeight="1">
      <c r="A1443" s="122"/>
      <c r="B1443" s="133"/>
      <c r="C1443" s="120"/>
      <c r="D1443" s="120"/>
      <c r="E1443" s="120"/>
      <c r="F1443" s="120"/>
      <c r="G1443" s="120"/>
      <c r="H1443" s="120"/>
      <c r="I1443" s="121"/>
      <c r="J1443" s="121"/>
      <c r="K1443" s="117"/>
    </row>
    <row r="1444" ht="15.75" customHeight="1">
      <c r="A1444" s="122"/>
      <c r="B1444" s="133"/>
      <c r="C1444" s="120"/>
      <c r="D1444" s="120"/>
      <c r="E1444" s="120"/>
      <c r="F1444" s="120"/>
      <c r="G1444" s="120"/>
      <c r="H1444" s="120"/>
      <c r="I1444" s="121"/>
      <c r="J1444" s="121"/>
      <c r="K1444" s="117"/>
    </row>
    <row r="1445" ht="15.75" customHeight="1">
      <c r="A1445" s="122"/>
      <c r="B1445" s="133"/>
      <c r="C1445" s="120"/>
      <c r="D1445" s="120"/>
      <c r="E1445" s="120"/>
      <c r="F1445" s="120"/>
      <c r="G1445" s="120"/>
      <c r="H1445" s="120"/>
      <c r="I1445" s="121"/>
      <c r="J1445" s="121"/>
      <c r="K1445" s="117"/>
    </row>
    <row r="1446" ht="15.75" customHeight="1">
      <c r="A1446" s="122"/>
      <c r="B1446" s="133"/>
      <c r="C1446" s="120"/>
      <c r="D1446" s="120"/>
      <c r="E1446" s="120"/>
      <c r="F1446" s="120"/>
      <c r="G1446" s="120"/>
      <c r="H1446" s="120"/>
      <c r="I1446" s="121"/>
      <c r="J1446" s="121"/>
      <c r="K1446" s="117"/>
    </row>
    <row r="1447" ht="15.75" customHeight="1">
      <c r="A1447" s="122"/>
      <c r="B1447" s="133"/>
      <c r="C1447" s="120"/>
      <c r="D1447" s="120"/>
      <c r="E1447" s="120"/>
      <c r="F1447" s="120"/>
      <c r="G1447" s="120"/>
      <c r="H1447" s="120"/>
      <c r="I1447" s="121"/>
      <c r="J1447" s="121"/>
      <c r="K1447" s="117"/>
    </row>
    <row r="1448" ht="15.75" customHeight="1">
      <c r="A1448" s="122"/>
      <c r="B1448" s="133"/>
      <c r="C1448" s="120"/>
      <c r="D1448" s="120"/>
      <c r="E1448" s="120"/>
      <c r="F1448" s="120"/>
      <c r="G1448" s="120"/>
      <c r="H1448" s="120"/>
      <c r="I1448" s="121"/>
      <c r="J1448" s="121"/>
      <c r="K1448" s="117"/>
    </row>
    <row r="1449" ht="15.75" customHeight="1">
      <c r="A1449" s="122"/>
      <c r="B1449" s="133"/>
      <c r="C1449" s="120"/>
      <c r="D1449" s="120"/>
      <c r="E1449" s="120"/>
      <c r="F1449" s="120"/>
      <c r="G1449" s="120"/>
      <c r="H1449" s="120"/>
      <c r="I1449" s="121"/>
      <c r="J1449" s="121"/>
      <c r="K1449" s="117"/>
    </row>
    <row r="1450" ht="15.75" customHeight="1">
      <c r="A1450" s="122"/>
      <c r="B1450" s="133"/>
      <c r="C1450" s="120"/>
      <c r="D1450" s="120"/>
      <c r="E1450" s="120"/>
      <c r="F1450" s="120"/>
      <c r="G1450" s="120"/>
      <c r="H1450" s="120"/>
      <c r="I1450" s="121"/>
      <c r="J1450" s="121"/>
      <c r="K1450" s="117"/>
    </row>
    <row r="1451" ht="15.75" customHeight="1">
      <c r="A1451" s="122"/>
      <c r="B1451" s="133"/>
      <c r="C1451" s="120"/>
      <c r="D1451" s="120"/>
      <c r="E1451" s="120"/>
      <c r="F1451" s="120"/>
      <c r="G1451" s="120"/>
      <c r="H1451" s="120"/>
      <c r="I1451" s="121"/>
      <c r="J1451" s="121"/>
      <c r="K1451" s="117"/>
    </row>
    <row r="1452" ht="15.75" customHeight="1">
      <c r="A1452" s="122"/>
      <c r="B1452" s="133"/>
      <c r="C1452" s="120"/>
      <c r="D1452" s="120"/>
      <c r="E1452" s="120"/>
      <c r="F1452" s="120"/>
      <c r="G1452" s="120"/>
      <c r="H1452" s="120"/>
      <c r="I1452" s="121"/>
      <c r="J1452" s="121"/>
      <c r="K1452" s="117"/>
    </row>
    <row r="1453" ht="15.75" customHeight="1">
      <c r="A1453" s="122"/>
      <c r="B1453" s="133"/>
      <c r="C1453" s="120"/>
      <c r="D1453" s="120"/>
      <c r="E1453" s="120"/>
      <c r="F1453" s="120"/>
      <c r="G1453" s="120"/>
      <c r="H1453" s="120"/>
      <c r="I1453" s="121"/>
      <c r="J1453" s="121"/>
      <c r="K1453" s="117"/>
    </row>
    <row r="1454" ht="15.75" customHeight="1">
      <c r="A1454" s="122"/>
      <c r="B1454" s="133"/>
      <c r="C1454" s="120"/>
      <c r="D1454" s="120"/>
      <c r="E1454" s="120"/>
      <c r="F1454" s="120"/>
      <c r="G1454" s="120"/>
      <c r="H1454" s="120"/>
      <c r="I1454" s="121"/>
      <c r="J1454" s="121"/>
      <c r="K1454" s="117"/>
    </row>
    <row r="1455" ht="15.75" customHeight="1">
      <c r="A1455" s="122"/>
      <c r="B1455" s="133"/>
      <c r="C1455" s="120"/>
      <c r="D1455" s="120"/>
      <c r="E1455" s="120"/>
      <c r="F1455" s="120"/>
      <c r="G1455" s="120"/>
      <c r="H1455" s="120"/>
      <c r="I1455" s="121"/>
      <c r="J1455" s="121"/>
      <c r="K1455" s="117"/>
    </row>
    <row r="1456" ht="15.75" customHeight="1">
      <c r="A1456" s="122"/>
      <c r="B1456" s="133"/>
      <c r="C1456" s="120"/>
      <c r="D1456" s="120"/>
      <c r="E1456" s="120"/>
      <c r="F1456" s="120"/>
      <c r="G1456" s="120"/>
      <c r="H1456" s="120"/>
      <c r="I1456" s="121"/>
      <c r="J1456" s="121"/>
      <c r="K1456" s="117"/>
    </row>
    <row r="1457" ht="15.75" customHeight="1">
      <c r="A1457" s="122"/>
      <c r="B1457" s="133"/>
      <c r="C1457" s="120"/>
      <c r="D1457" s="120"/>
      <c r="E1457" s="120"/>
      <c r="F1457" s="120"/>
      <c r="G1457" s="120"/>
      <c r="H1457" s="120"/>
      <c r="I1457" s="121"/>
      <c r="J1457" s="121"/>
      <c r="K1457" s="117"/>
    </row>
    <row r="1458" ht="15.75" customHeight="1">
      <c r="A1458" s="122"/>
      <c r="B1458" s="133"/>
      <c r="C1458" s="120"/>
      <c r="D1458" s="120"/>
      <c r="E1458" s="120"/>
      <c r="F1458" s="120"/>
      <c r="G1458" s="120"/>
      <c r="H1458" s="120"/>
      <c r="I1458" s="121"/>
      <c r="J1458" s="121"/>
      <c r="K1458" s="117"/>
    </row>
    <row r="1459" ht="15.75" customHeight="1">
      <c r="A1459" s="122"/>
      <c r="B1459" s="133"/>
      <c r="C1459" s="120"/>
      <c r="D1459" s="120"/>
      <c r="E1459" s="120"/>
      <c r="F1459" s="120"/>
      <c r="G1459" s="120"/>
      <c r="H1459" s="120"/>
      <c r="I1459" s="121"/>
      <c r="J1459" s="121"/>
      <c r="K1459" s="117"/>
    </row>
    <row r="1460" ht="15.75" customHeight="1">
      <c r="A1460" s="122"/>
      <c r="B1460" s="133"/>
      <c r="C1460" s="120"/>
      <c r="D1460" s="120"/>
      <c r="E1460" s="120"/>
      <c r="F1460" s="120"/>
      <c r="G1460" s="120"/>
      <c r="H1460" s="120"/>
      <c r="I1460" s="121"/>
      <c r="J1460" s="121"/>
      <c r="K1460" s="117"/>
    </row>
    <row r="1461" ht="15.75" customHeight="1">
      <c r="A1461" s="122"/>
      <c r="B1461" s="133"/>
      <c r="C1461" s="120"/>
      <c r="D1461" s="120"/>
      <c r="E1461" s="120"/>
      <c r="F1461" s="120"/>
      <c r="G1461" s="120"/>
      <c r="H1461" s="120"/>
      <c r="I1461" s="121"/>
      <c r="J1461" s="121"/>
      <c r="K1461" s="117"/>
    </row>
    <row r="1462" ht="15.75" customHeight="1">
      <c r="A1462" s="122"/>
      <c r="B1462" s="133"/>
      <c r="C1462" s="120"/>
      <c r="D1462" s="120"/>
      <c r="E1462" s="120"/>
      <c r="F1462" s="120"/>
      <c r="G1462" s="120"/>
      <c r="H1462" s="120"/>
      <c r="I1462" s="121"/>
      <c r="J1462" s="121"/>
      <c r="K1462" s="117"/>
    </row>
    <row r="1463" ht="15.75" customHeight="1">
      <c r="A1463" s="122"/>
      <c r="B1463" s="133"/>
      <c r="C1463" s="120"/>
      <c r="D1463" s="120"/>
      <c r="E1463" s="120"/>
      <c r="F1463" s="120"/>
      <c r="G1463" s="120"/>
      <c r="H1463" s="120"/>
      <c r="I1463" s="121"/>
      <c r="J1463" s="121"/>
      <c r="K1463" s="117"/>
    </row>
    <row r="1464" ht="15.75" customHeight="1">
      <c r="A1464" s="122"/>
      <c r="B1464" s="133"/>
      <c r="C1464" s="120"/>
      <c r="D1464" s="120"/>
      <c r="E1464" s="120"/>
      <c r="F1464" s="120"/>
      <c r="G1464" s="120"/>
      <c r="H1464" s="120"/>
      <c r="I1464" s="121"/>
      <c r="J1464" s="121"/>
      <c r="K1464" s="117"/>
    </row>
    <row r="1465" ht="15.75" customHeight="1">
      <c r="A1465" s="122"/>
      <c r="B1465" s="133"/>
      <c r="C1465" s="120"/>
      <c r="D1465" s="120"/>
      <c r="E1465" s="120"/>
      <c r="F1465" s="120"/>
      <c r="G1465" s="120"/>
      <c r="H1465" s="120"/>
      <c r="I1465" s="121"/>
      <c r="J1465" s="121"/>
      <c r="K1465" s="117"/>
    </row>
    <row r="1466" ht="15.75" customHeight="1">
      <c r="A1466" s="122"/>
      <c r="B1466" s="133"/>
      <c r="C1466" s="120"/>
      <c r="D1466" s="120"/>
      <c r="E1466" s="120"/>
      <c r="F1466" s="120"/>
      <c r="G1466" s="120"/>
      <c r="H1466" s="120"/>
      <c r="I1466" s="121"/>
      <c r="J1466" s="121"/>
      <c r="K1466" s="117"/>
    </row>
    <row r="1467" ht="15.75" customHeight="1">
      <c r="A1467" s="122"/>
      <c r="B1467" s="133"/>
      <c r="C1467" s="120"/>
      <c r="D1467" s="120"/>
      <c r="E1467" s="120"/>
      <c r="F1467" s="120"/>
      <c r="G1467" s="120"/>
      <c r="H1467" s="120"/>
      <c r="I1467" s="121"/>
      <c r="J1467" s="121"/>
      <c r="K1467" s="117"/>
    </row>
    <row r="1468" ht="15.75" customHeight="1">
      <c r="A1468" s="122"/>
      <c r="B1468" s="133"/>
      <c r="C1468" s="120"/>
      <c r="D1468" s="120"/>
      <c r="E1468" s="120"/>
      <c r="F1468" s="120"/>
      <c r="G1468" s="120"/>
      <c r="H1468" s="120"/>
      <c r="I1468" s="121"/>
      <c r="J1468" s="121"/>
      <c r="K1468" s="117"/>
    </row>
    <row r="1469" ht="15.75" customHeight="1">
      <c r="A1469" s="122"/>
      <c r="B1469" s="133"/>
      <c r="C1469" s="120"/>
      <c r="D1469" s="120"/>
      <c r="E1469" s="120"/>
      <c r="F1469" s="120"/>
      <c r="G1469" s="120"/>
      <c r="H1469" s="120"/>
      <c r="I1469" s="121"/>
      <c r="J1469" s="121"/>
      <c r="K1469" s="117"/>
    </row>
    <row r="1470" ht="15.75" customHeight="1">
      <c r="A1470" s="122"/>
      <c r="B1470" s="133"/>
      <c r="C1470" s="120"/>
      <c r="D1470" s="120"/>
      <c r="E1470" s="120"/>
      <c r="F1470" s="120"/>
      <c r="G1470" s="120"/>
      <c r="H1470" s="120"/>
      <c r="I1470" s="121"/>
      <c r="J1470" s="121"/>
      <c r="K1470" s="117"/>
    </row>
    <row r="1471" ht="15.75" customHeight="1">
      <c r="A1471" s="122"/>
      <c r="B1471" s="133"/>
      <c r="C1471" s="120"/>
      <c r="D1471" s="120"/>
      <c r="E1471" s="120"/>
      <c r="F1471" s="120"/>
      <c r="G1471" s="120"/>
      <c r="H1471" s="120"/>
      <c r="I1471" s="121"/>
      <c r="J1471" s="121"/>
      <c r="K1471" s="117"/>
    </row>
    <row r="1472" ht="15.75" customHeight="1">
      <c r="A1472" s="122"/>
      <c r="B1472" s="133"/>
      <c r="C1472" s="120"/>
      <c r="D1472" s="120"/>
      <c r="E1472" s="120"/>
      <c r="F1472" s="120"/>
      <c r="G1472" s="120"/>
      <c r="H1472" s="120"/>
      <c r="I1472" s="121"/>
      <c r="J1472" s="121"/>
      <c r="K1472" s="117"/>
    </row>
    <row r="1473" ht="15.75" customHeight="1">
      <c r="A1473" s="122"/>
      <c r="B1473" s="133"/>
      <c r="C1473" s="120"/>
      <c r="D1473" s="120"/>
      <c r="E1473" s="120"/>
      <c r="F1473" s="120"/>
      <c r="G1473" s="120"/>
      <c r="H1473" s="120"/>
      <c r="I1473" s="121"/>
      <c r="J1473" s="121"/>
      <c r="K1473" s="117"/>
    </row>
    <row r="1474" ht="15.75" customHeight="1">
      <c r="A1474" s="122"/>
      <c r="B1474" s="133"/>
      <c r="C1474" s="120"/>
      <c r="D1474" s="120"/>
      <c r="E1474" s="120"/>
      <c r="F1474" s="120"/>
      <c r="G1474" s="120"/>
      <c r="H1474" s="120"/>
      <c r="I1474" s="121"/>
      <c r="J1474" s="121"/>
      <c r="K1474" s="117"/>
    </row>
    <row r="1475" ht="15.75" customHeight="1">
      <c r="A1475" s="122"/>
      <c r="B1475" s="133"/>
      <c r="C1475" s="120"/>
      <c r="D1475" s="120"/>
      <c r="E1475" s="120"/>
      <c r="F1475" s="120"/>
      <c r="G1475" s="120"/>
      <c r="H1475" s="120"/>
      <c r="I1475" s="121"/>
      <c r="J1475" s="121"/>
      <c r="K1475" s="117"/>
    </row>
    <row r="1476" ht="15.75" customHeight="1">
      <c r="A1476" s="122"/>
      <c r="B1476" s="133"/>
      <c r="C1476" s="120"/>
      <c r="D1476" s="120"/>
      <c r="E1476" s="120"/>
      <c r="F1476" s="120"/>
      <c r="G1476" s="120"/>
      <c r="H1476" s="120"/>
      <c r="I1476" s="121"/>
      <c r="J1476" s="121"/>
      <c r="K1476" s="117"/>
    </row>
    <row r="1477" ht="15.75" customHeight="1">
      <c r="A1477" s="122"/>
      <c r="B1477" s="133"/>
      <c r="C1477" s="120"/>
      <c r="D1477" s="120"/>
      <c r="E1477" s="120"/>
      <c r="F1477" s="120"/>
      <c r="G1477" s="120"/>
      <c r="H1477" s="120"/>
      <c r="I1477" s="121"/>
      <c r="J1477" s="121"/>
      <c r="K1477" s="117"/>
    </row>
    <row r="1478" ht="15.75" customHeight="1">
      <c r="A1478" s="122"/>
      <c r="B1478" s="133"/>
      <c r="C1478" s="120"/>
      <c r="D1478" s="120"/>
      <c r="E1478" s="120"/>
      <c r="F1478" s="120"/>
      <c r="G1478" s="120"/>
      <c r="H1478" s="120"/>
      <c r="I1478" s="121"/>
      <c r="J1478" s="121"/>
      <c r="K1478" s="117"/>
    </row>
    <row r="1479" ht="15.75" customHeight="1">
      <c r="A1479" s="122"/>
      <c r="B1479" s="133"/>
      <c r="C1479" s="120"/>
      <c r="D1479" s="120"/>
      <c r="E1479" s="120"/>
      <c r="F1479" s="120"/>
      <c r="G1479" s="120"/>
      <c r="H1479" s="120"/>
      <c r="I1479" s="121"/>
      <c r="J1479" s="121"/>
      <c r="K1479" s="117"/>
    </row>
    <row r="1480" ht="15.75" customHeight="1">
      <c r="A1480" s="122"/>
      <c r="B1480" s="133"/>
      <c r="C1480" s="120"/>
      <c r="D1480" s="120"/>
      <c r="E1480" s="120"/>
      <c r="F1480" s="120"/>
      <c r="G1480" s="120"/>
      <c r="H1480" s="120"/>
      <c r="I1480" s="121"/>
      <c r="J1480" s="121"/>
      <c r="K1480" s="117"/>
    </row>
    <row r="1481" ht="15.75" customHeight="1">
      <c r="A1481" s="122"/>
      <c r="B1481" s="133"/>
      <c r="C1481" s="120"/>
      <c r="D1481" s="120"/>
      <c r="E1481" s="120"/>
      <c r="F1481" s="120"/>
      <c r="G1481" s="120"/>
      <c r="H1481" s="120"/>
      <c r="I1481" s="121"/>
      <c r="J1481" s="121"/>
      <c r="K1481" s="117"/>
    </row>
    <row r="1482" ht="15.75" customHeight="1">
      <c r="A1482" s="122"/>
      <c r="B1482" s="133"/>
      <c r="C1482" s="120"/>
      <c r="D1482" s="120"/>
      <c r="E1482" s="120"/>
      <c r="F1482" s="120"/>
      <c r="G1482" s="120"/>
      <c r="H1482" s="120"/>
      <c r="I1482" s="121"/>
      <c r="J1482" s="121"/>
      <c r="K1482" s="117"/>
    </row>
    <row r="1483" ht="15.75" customHeight="1">
      <c r="A1483" s="122"/>
      <c r="B1483" s="133"/>
      <c r="C1483" s="120"/>
      <c r="D1483" s="120"/>
      <c r="E1483" s="120"/>
      <c r="F1483" s="120"/>
      <c r="G1483" s="120"/>
      <c r="H1483" s="120"/>
      <c r="I1483" s="121"/>
      <c r="J1483" s="121"/>
      <c r="K1483" s="117"/>
    </row>
    <row r="1484" ht="15.75" customHeight="1">
      <c r="A1484" s="122"/>
      <c r="B1484" s="133"/>
      <c r="C1484" s="120"/>
      <c r="D1484" s="120"/>
      <c r="E1484" s="120"/>
      <c r="F1484" s="120"/>
      <c r="G1484" s="120"/>
      <c r="H1484" s="120"/>
      <c r="I1484" s="121"/>
      <c r="J1484" s="121"/>
      <c r="K1484" s="117"/>
    </row>
    <row r="1485" ht="15.75" customHeight="1">
      <c r="A1485" s="122"/>
      <c r="B1485" s="133"/>
      <c r="C1485" s="120"/>
      <c r="D1485" s="120"/>
      <c r="E1485" s="120"/>
      <c r="F1485" s="120"/>
      <c r="G1485" s="120"/>
      <c r="H1485" s="120"/>
      <c r="I1485" s="121"/>
      <c r="J1485" s="121"/>
      <c r="K1485" s="117"/>
    </row>
    <row r="1486" ht="15.75" customHeight="1">
      <c r="A1486" s="122"/>
      <c r="B1486" s="133"/>
      <c r="C1486" s="120"/>
      <c r="D1486" s="120"/>
      <c r="E1486" s="120"/>
      <c r="F1486" s="120"/>
      <c r="G1486" s="120"/>
      <c r="H1486" s="120"/>
      <c r="I1486" s="121"/>
      <c r="J1486" s="121"/>
      <c r="K1486" s="117"/>
    </row>
    <row r="1487" ht="15.75" customHeight="1">
      <c r="A1487" s="122"/>
      <c r="B1487" s="133"/>
      <c r="C1487" s="120"/>
      <c r="D1487" s="120"/>
      <c r="E1487" s="120"/>
      <c r="F1487" s="120"/>
      <c r="G1487" s="120"/>
      <c r="H1487" s="120"/>
      <c r="I1487" s="121"/>
      <c r="J1487" s="121"/>
      <c r="K1487" s="117"/>
    </row>
    <row r="1488" ht="15.75" customHeight="1">
      <c r="A1488" s="122"/>
      <c r="B1488" s="133"/>
      <c r="C1488" s="120"/>
      <c r="D1488" s="120"/>
      <c r="E1488" s="120"/>
      <c r="F1488" s="120"/>
      <c r="G1488" s="120"/>
      <c r="H1488" s="120"/>
      <c r="I1488" s="121"/>
      <c r="J1488" s="121"/>
      <c r="K1488" s="117"/>
    </row>
    <row r="1489" ht="15.75" customHeight="1">
      <c r="A1489" s="122"/>
      <c r="B1489" s="133"/>
      <c r="C1489" s="120"/>
      <c r="D1489" s="120"/>
      <c r="E1489" s="120"/>
      <c r="F1489" s="120"/>
      <c r="G1489" s="120"/>
      <c r="H1489" s="120"/>
      <c r="I1489" s="121"/>
      <c r="J1489" s="121"/>
      <c r="K1489" s="117"/>
    </row>
    <row r="1490" ht="15.75" customHeight="1">
      <c r="A1490" s="122"/>
      <c r="B1490" s="133"/>
      <c r="C1490" s="120"/>
      <c r="D1490" s="120"/>
      <c r="E1490" s="120"/>
      <c r="F1490" s="120"/>
      <c r="G1490" s="120"/>
      <c r="H1490" s="120"/>
      <c r="I1490" s="121"/>
      <c r="J1490" s="121"/>
      <c r="K1490" s="117"/>
    </row>
    <row r="1491" ht="15.75" customHeight="1">
      <c r="A1491" s="122"/>
      <c r="B1491" s="133"/>
      <c r="C1491" s="120"/>
      <c r="D1491" s="120"/>
      <c r="E1491" s="120"/>
      <c r="F1491" s="120"/>
      <c r="G1491" s="120"/>
      <c r="H1491" s="120"/>
      <c r="I1491" s="121"/>
      <c r="J1491" s="121"/>
      <c r="K1491" s="117"/>
    </row>
    <row r="1492" ht="15.75" customHeight="1">
      <c r="A1492" s="122"/>
      <c r="B1492" s="133"/>
      <c r="C1492" s="120"/>
      <c r="D1492" s="120"/>
      <c r="E1492" s="120"/>
      <c r="F1492" s="120"/>
      <c r="G1492" s="120"/>
      <c r="H1492" s="120"/>
      <c r="I1492" s="121"/>
      <c r="J1492" s="121"/>
      <c r="K1492" s="117"/>
    </row>
    <row r="1493" ht="15.75" customHeight="1">
      <c r="A1493" s="122"/>
      <c r="B1493" s="133"/>
      <c r="C1493" s="120"/>
      <c r="D1493" s="120"/>
      <c r="E1493" s="120"/>
      <c r="F1493" s="120"/>
      <c r="G1493" s="120"/>
      <c r="H1493" s="120"/>
      <c r="I1493" s="121"/>
      <c r="J1493" s="121"/>
      <c r="K1493" s="117"/>
    </row>
    <row r="1494" ht="15.75" customHeight="1">
      <c r="A1494" s="122"/>
      <c r="B1494" s="133"/>
      <c r="C1494" s="120"/>
      <c r="D1494" s="120"/>
      <c r="E1494" s="120"/>
      <c r="F1494" s="120"/>
      <c r="G1494" s="120"/>
      <c r="H1494" s="120"/>
      <c r="I1494" s="121"/>
      <c r="J1494" s="121"/>
      <c r="K1494" s="117"/>
    </row>
    <row r="1495" ht="15.75" customHeight="1">
      <c r="A1495" s="122"/>
      <c r="B1495" s="133"/>
      <c r="C1495" s="120"/>
      <c r="D1495" s="120"/>
      <c r="E1495" s="120"/>
      <c r="F1495" s="120"/>
      <c r="G1495" s="120"/>
      <c r="H1495" s="120"/>
      <c r="I1495" s="121"/>
      <c r="J1495" s="121"/>
      <c r="K1495" s="117"/>
    </row>
    <row r="1496" ht="15.75" customHeight="1">
      <c r="A1496" s="122"/>
      <c r="B1496" s="133"/>
      <c r="C1496" s="120"/>
      <c r="D1496" s="120"/>
      <c r="E1496" s="120"/>
      <c r="F1496" s="120"/>
      <c r="G1496" s="120"/>
      <c r="H1496" s="120"/>
      <c r="I1496" s="121"/>
      <c r="J1496" s="121"/>
      <c r="K1496" s="117"/>
    </row>
    <row r="1497" ht="15.75" customHeight="1">
      <c r="A1497" s="122"/>
      <c r="B1497" s="133"/>
      <c r="C1497" s="120"/>
      <c r="D1497" s="120"/>
      <c r="E1497" s="120"/>
      <c r="F1497" s="120"/>
      <c r="G1497" s="120"/>
      <c r="H1497" s="120"/>
      <c r="I1497" s="121"/>
      <c r="J1497" s="121"/>
      <c r="K1497" s="117"/>
    </row>
    <row r="1498" ht="15.75" customHeight="1">
      <c r="A1498" s="122"/>
      <c r="B1498" s="133"/>
      <c r="C1498" s="120"/>
      <c r="D1498" s="120"/>
      <c r="E1498" s="120"/>
      <c r="F1498" s="120"/>
      <c r="G1498" s="120"/>
      <c r="H1498" s="120"/>
      <c r="I1498" s="121"/>
      <c r="J1498" s="121"/>
      <c r="K1498" s="117"/>
    </row>
    <row r="1499" ht="15.75" customHeight="1">
      <c r="A1499" s="122"/>
      <c r="B1499" s="133"/>
      <c r="C1499" s="120"/>
      <c r="D1499" s="120"/>
      <c r="E1499" s="120"/>
      <c r="F1499" s="120"/>
      <c r="G1499" s="120"/>
      <c r="H1499" s="120"/>
      <c r="I1499" s="121"/>
      <c r="J1499" s="121"/>
      <c r="K1499" s="117"/>
    </row>
    <row r="1500" ht="15.75" customHeight="1">
      <c r="A1500" s="122"/>
      <c r="B1500" s="133"/>
      <c r="C1500" s="120"/>
      <c r="D1500" s="120"/>
      <c r="E1500" s="120"/>
      <c r="F1500" s="120"/>
      <c r="G1500" s="120"/>
      <c r="H1500" s="120"/>
      <c r="I1500" s="121"/>
      <c r="J1500" s="121"/>
      <c r="K1500" s="117"/>
    </row>
    <row r="1501" ht="15.75" customHeight="1">
      <c r="A1501" s="122"/>
      <c r="B1501" s="133"/>
      <c r="C1501" s="120"/>
      <c r="D1501" s="120"/>
      <c r="E1501" s="120"/>
      <c r="F1501" s="120"/>
      <c r="G1501" s="120"/>
      <c r="H1501" s="120"/>
      <c r="I1501" s="121"/>
      <c r="J1501" s="121"/>
      <c r="K1501" s="117"/>
    </row>
    <row r="1502" ht="15.75" customHeight="1">
      <c r="A1502" s="122"/>
      <c r="B1502" s="133"/>
      <c r="C1502" s="120"/>
      <c r="D1502" s="120"/>
      <c r="E1502" s="120"/>
      <c r="F1502" s="120"/>
      <c r="G1502" s="120"/>
      <c r="H1502" s="120"/>
      <c r="I1502" s="121"/>
      <c r="J1502" s="121"/>
      <c r="K1502" s="117"/>
    </row>
    <row r="1503" ht="15.75" customHeight="1">
      <c r="A1503" s="122"/>
      <c r="B1503" s="133"/>
      <c r="C1503" s="120"/>
      <c r="D1503" s="120"/>
      <c r="E1503" s="120"/>
      <c r="F1503" s="120"/>
      <c r="G1503" s="120"/>
      <c r="H1503" s="120"/>
      <c r="I1503" s="121"/>
      <c r="J1503" s="121"/>
      <c r="K1503" s="117"/>
    </row>
    <row r="1504" ht="15.75" customHeight="1">
      <c r="A1504" s="122"/>
      <c r="B1504" s="133"/>
      <c r="C1504" s="120"/>
      <c r="D1504" s="120"/>
      <c r="E1504" s="120"/>
      <c r="F1504" s="120"/>
      <c r="G1504" s="120"/>
      <c r="H1504" s="120"/>
      <c r="I1504" s="121"/>
      <c r="J1504" s="121"/>
      <c r="K1504" s="117"/>
    </row>
    <row r="1505" ht="15.75" customHeight="1">
      <c r="A1505" s="122"/>
      <c r="B1505" s="133"/>
      <c r="C1505" s="120"/>
      <c r="D1505" s="120"/>
      <c r="E1505" s="120"/>
      <c r="F1505" s="120"/>
      <c r="G1505" s="120"/>
      <c r="H1505" s="120"/>
      <c r="I1505" s="121"/>
      <c r="J1505" s="121"/>
      <c r="K1505" s="117"/>
    </row>
    <row r="1506" ht="15.75" customHeight="1">
      <c r="A1506" s="122"/>
      <c r="B1506" s="133"/>
      <c r="C1506" s="120"/>
      <c r="D1506" s="120"/>
      <c r="E1506" s="120"/>
      <c r="F1506" s="120"/>
      <c r="G1506" s="120"/>
      <c r="H1506" s="120"/>
      <c r="I1506" s="121"/>
      <c r="J1506" s="121"/>
      <c r="K1506" s="117"/>
    </row>
    <row r="1507" ht="15.75" customHeight="1">
      <c r="A1507" s="122"/>
      <c r="B1507" s="133"/>
      <c r="C1507" s="120"/>
      <c r="D1507" s="120"/>
      <c r="E1507" s="120"/>
      <c r="F1507" s="120"/>
      <c r="G1507" s="120"/>
      <c r="H1507" s="120"/>
      <c r="I1507" s="121"/>
      <c r="J1507" s="121"/>
      <c r="K1507" s="117"/>
    </row>
    <row r="1508" ht="15.75" customHeight="1">
      <c r="A1508" s="122"/>
      <c r="B1508" s="133"/>
      <c r="C1508" s="120"/>
      <c r="D1508" s="120"/>
      <c r="E1508" s="120"/>
      <c r="F1508" s="120"/>
      <c r="G1508" s="120"/>
      <c r="H1508" s="120"/>
      <c r="I1508" s="121"/>
      <c r="J1508" s="121"/>
      <c r="K1508" s="117"/>
    </row>
    <row r="1509" ht="15.75" customHeight="1">
      <c r="A1509" s="122"/>
      <c r="B1509" s="133"/>
      <c r="C1509" s="120"/>
      <c r="D1509" s="120"/>
      <c r="E1509" s="120"/>
      <c r="F1509" s="120"/>
      <c r="G1509" s="120"/>
      <c r="H1509" s="120"/>
      <c r="I1509" s="121"/>
      <c r="J1509" s="121"/>
      <c r="K1509" s="117"/>
    </row>
    <row r="1510" ht="15.75" customHeight="1">
      <c r="A1510" s="122"/>
      <c r="B1510" s="133"/>
      <c r="C1510" s="120"/>
      <c r="D1510" s="120"/>
      <c r="E1510" s="120"/>
      <c r="F1510" s="120"/>
      <c r="G1510" s="120"/>
      <c r="H1510" s="120"/>
      <c r="I1510" s="121"/>
      <c r="J1510" s="121"/>
      <c r="K1510" s="117"/>
    </row>
    <row r="1511" ht="15.75" customHeight="1">
      <c r="A1511" s="122"/>
      <c r="B1511" s="133"/>
      <c r="C1511" s="120"/>
      <c r="D1511" s="120"/>
      <c r="E1511" s="120"/>
      <c r="F1511" s="120"/>
      <c r="G1511" s="120"/>
      <c r="H1511" s="120"/>
      <c r="I1511" s="121"/>
      <c r="J1511" s="121"/>
      <c r="K1511" s="117"/>
    </row>
    <row r="1512" ht="15.75" customHeight="1">
      <c r="A1512" s="122"/>
      <c r="B1512" s="133"/>
      <c r="C1512" s="120"/>
      <c r="D1512" s="120"/>
      <c r="E1512" s="120"/>
      <c r="F1512" s="120"/>
      <c r="G1512" s="120"/>
      <c r="H1512" s="120"/>
      <c r="I1512" s="121"/>
      <c r="J1512" s="121"/>
      <c r="K1512" s="117"/>
    </row>
    <row r="1513" ht="15.75" customHeight="1">
      <c r="A1513" s="122"/>
      <c r="B1513" s="133"/>
      <c r="C1513" s="120"/>
      <c r="D1513" s="120"/>
      <c r="E1513" s="120"/>
      <c r="F1513" s="120"/>
      <c r="G1513" s="120"/>
      <c r="H1513" s="120"/>
      <c r="I1513" s="121"/>
      <c r="J1513" s="121"/>
      <c r="K1513" s="117"/>
    </row>
    <row r="1514" ht="15.75" customHeight="1">
      <c r="A1514" s="122"/>
      <c r="B1514" s="133"/>
      <c r="C1514" s="120"/>
      <c r="D1514" s="120"/>
      <c r="E1514" s="120"/>
      <c r="F1514" s="120"/>
      <c r="G1514" s="120"/>
      <c r="H1514" s="120"/>
      <c r="I1514" s="121"/>
      <c r="J1514" s="121"/>
      <c r="K1514" s="117"/>
    </row>
    <row r="1515" ht="15.75" customHeight="1">
      <c r="A1515" s="122"/>
      <c r="B1515" s="133"/>
      <c r="C1515" s="120"/>
      <c r="D1515" s="120"/>
      <c r="E1515" s="120"/>
      <c r="F1515" s="120"/>
      <c r="G1515" s="120"/>
      <c r="H1515" s="120"/>
      <c r="I1515" s="121"/>
      <c r="J1515" s="121"/>
      <c r="K1515" s="117"/>
    </row>
    <row r="1516" ht="15.75" customHeight="1">
      <c r="A1516" s="122"/>
      <c r="B1516" s="133"/>
      <c r="C1516" s="120"/>
      <c r="D1516" s="120"/>
      <c r="E1516" s="120"/>
      <c r="F1516" s="120"/>
      <c r="G1516" s="120"/>
      <c r="H1516" s="120"/>
      <c r="I1516" s="121"/>
      <c r="J1516" s="121"/>
      <c r="K1516" s="117"/>
    </row>
    <row r="1517" ht="15.75" customHeight="1">
      <c r="A1517" s="122"/>
      <c r="B1517" s="133"/>
      <c r="C1517" s="120"/>
      <c r="D1517" s="120"/>
      <c r="E1517" s="120"/>
      <c r="F1517" s="120"/>
      <c r="G1517" s="120"/>
      <c r="H1517" s="120"/>
      <c r="I1517" s="121"/>
      <c r="J1517" s="121"/>
      <c r="K1517" s="117"/>
    </row>
    <row r="1518" ht="15.75" customHeight="1">
      <c r="A1518" s="122"/>
      <c r="B1518" s="133"/>
      <c r="C1518" s="120"/>
      <c r="D1518" s="120"/>
      <c r="E1518" s="120"/>
      <c r="F1518" s="120"/>
      <c r="G1518" s="120"/>
      <c r="H1518" s="120"/>
      <c r="I1518" s="121"/>
      <c r="J1518" s="121"/>
      <c r="K1518" s="117"/>
    </row>
    <row r="1519" ht="15.75" customHeight="1">
      <c r="A1519" s="122"/>
      <c r="B1519" s="133"/>
      <c r="C1519" s="120"/>
      <c r="D1519" s="120"/>
      <c r="E1519" s="120"/>
      <c r="F1519" s="120"/>
      <c r="G1519" s="120"/>
      <c r="H1519" s="120"/>
      <c r="I1519" s="121"/>
      <c r="J1519" s="121"/>
      <c r="K1519" s="117"/>
    </row>
    <row r="1520" ht="15.75" customHeight="1">
      <c r="A1520" s="122"/>
      <c r="B1520" s="133"/>
      <c r="C1520" s="120"/>
      <c r="D1520" s="120"/>
      <c r="E1520" s="120"/>
      <c r="F1520" s="120"/>
      <c r="G1520" s="120"/>
      <c r="H1520" s="120"/>
      <c r="I1520" s="121"/>
      <c r="J1520" s="121"/>
      <c r="K1520" s="117"/>
    </row>
    <row r="1521" ht="15.75" customHeight="1">
      <c r="A1521" s="122"/>
      <c r="B1521" s="133"/>
      <c r="C1521" s="120"/>
      <c r="D1521" s="120"/>
      <c r="E1521" s="120"/>
      <c r="F1521" s="120"/>
      <c r="G1521" s="120"/>
      <c r="H1521" s="120"/>
      <c r="I1521" s="121"/>
      <c r="J1521" s="121"/>
      <c r="K1521" s="117"/>
    </row>
    <row r="1522" ht="15.75" customHeight="1">
      <c r="A1522" s="122"/>
      <c r="B1522" s="133"/>
      <c r="C1522" s="120"/>
      <c r="D1522" s="120"/>
      <c r="E1522" s="120"/>
      <c r="F1522" s="120"/>
      <c r="G1522" s="120"/>
      <c r="H1522" s="120"/>
      <c r="I1522" s="121"/>
      <c r="J1522" s="121"/>
      <c r="K1522" s="117"/>
    </row>
    <row r="1523" ht="15.75" customHeight="1">
      <c r="A1523" s="122"/>
      <c r="B1523" s="133"/>
      <c r="C1523" s="120"/>
      <c r="D1523" s="120"/>
      <c r="E1523" s="120"/>
      <c r="F1523" s="120"/>
      <c r="G1523" s="120"/>
      <c r="H1523" s="120"/>
      <c r="I1523" s="121"/>
      <c r="J1523" s="121"/>
      <c r="K1523" s="117"/>
    </row>
    <row r="1524" ht="15.75" customHeight="1">
      <c r="A1524" s="122"/>
      <c r="B1524" s="133"/>
      <c r="C1524" s="120"/>
      <c r="D1524" s="120"/>
      <c r="E1524" s="120"/>
      <c r="F1524" s="120"/>
      <c r="G1524" s="120"/>
      <c r="H1524" s="120"/>
      <c r="I1524" s="121"/>
      <c r="J1524" s="121"/>
      <c r="K1524" s="117"/>
    </row>
    <row r="1525" ht="15.75" customHeight="1">
      <c r="A1525" s="122"/>
      <c r="B1525" s="133"/>
      <c r="C1525" s="120"/>
      <c r="D1525" s="120"/>
      <c r="E1525" s="120"/>
      <c r="F1525" s="120"/>
      <c r="G1525" s="120"/>
      <c r="H1525" s="120"/>
      <c r="I1525" s="121"/>
      <c r="J1525" s="121"/>
      <c r="K1525" s="117"/>
    </row>
    <row r="1526" ht="15.75" customHeight="1">
      <c r="A1526" s="122"/>
      <c r="B1526" s="133"/>
      <c r="C1526" s="120"/>
      <c r="D1526" s="120"/>
      <c r="E1526" s="120"/>
      <c r="F1526" s="120"/>
      <c r="G1526" s="120"/>
      <c r="H1526" s="120"/>
      <c r="I1526" s="121"/>
      <c r="J1526" s="121"/>
      <c r="K1526" s="117"/>
    </row>
    <row r="1527" ht="15.75" customHeight="1">
      <c r="A1527" s="122"/>
      <c r="B1527" s="133"/>
      <c r="C1527" s="120"/>
      <c r="D1527" s="120"/>
      <c r="E1527" s="120"/>
      <c r="F1527" s="120"/>
      <c r="G1527" s="120"/>
      <c r="H1527" s="120"/>
      <c r="I1527" s="121"/>
      <c r="J1527" s="121"/>
      <c r="K1527" s="117"/>
    </row>
    <row r="1528" ht="15.75" customHeight="1">
      <c r="A1528" s="122"/>
      <c r="B1528" s="133"/>
      <c r="C1528" s="120"/>
      <c r="D1528" s="120"/>
      <c r="E1528" s="120"/>
      <c r="F1528" s="120"/>
      <c r="G1528" s="120"/>
      <c r="H1528" s="120"/>
      <c r="I1528" s="121"/>
      <c r="J1528" s="121"/>
      <c r="K1528" s="117"/>
    </row>
    <row r="1529" ht="15.75" customHeight="1">
      <c r="A1529" s="122"/>
      <c r="B1529" s="133"/>
      <c r="C1529" s="120"/>
      <c r="D1529" s="120"/>
      <c r="E1529" s="120"/>
      <c r="F1529" s="120"/>
      <c r="G1529" s="120"/>
      <c r="H1529" s="120"/>
      <c r="I1529" s="121"/>
      <c r="J1529" s="121"/>
      <c r="K1529" s="117"/>
    </row>
    <row r="1530" ht="15.75" customHeight="1">
      <c r="A1530" s="122"/>
      <c r="B1530" s="133"/>
      <c r="C1530" s="120"/>
      <c r="D1530" s="120"/>
      <c r="E1530" s="120"/>
      <c r="F1530" s="120"/>
      <c r="G1530" s="120"/>
      <c r="H1530" s="120"/>
      <c r="I1530" s="121"/>
      <c r="J1530" s="121"/>
      <c r="K1530" s="117"/>
    </row>
    <row r="1531" ht="15.75" customHeight="1">
      <c r="A1531" s="122"/>
      <c r="B1531" s="133"/>
      <c r="C1531" s="120"/>
      <c r="D1531" s="120"/>
      <c r="E1531" s="120"/>
      <c r="F1531" s="120"/>
      <c r="G1531" s="120"/>
      <c r="H1531" s="120"/>
      <c r="I1531" s="121"/>
      <c r="J1531" s="121"/>
      <c r="K1531" s="117"/>
    </row>
    <row r="1532" ht="15.75" customHeight="1">
      <c r="A1532" s="122"/>
      <c r="B1532" s="133"/>
      <c r="C1532" s="120"/>
      <c r="D1532" s="120"/>
      <c r="E1532" s="120"/>
      <c r="F1532" s="120"/>
      <c r="G1532" s="120"/>
      <c r="H1532" s="120"/>
      <c r="I1532" s="121"/>
      <c r="J1532" s="121"/>
      <c r="K1532" s="117"/>
    </row>
    <row r="1533" ht="15.75" customHeight="1">
      <c r="A1533" s="122"/>
      <c r="B1533" s="133"/>
      <c r="C1533" s="120"/>
      <c r="D1533" s="120"/>
      <c r="E1533" s="120"/>
      <c r="F1533" s="120"/>
      <c r="G1533" s="120"/>
      <c r="H1533" s="120"/>
      <c r="I1533" s="121"/>
      <c r="J1533" s="121"/>
      <c r="K1533" s="117"/>
    </row>
    <row r="1534" ht="15.75" customHeight="1">
      <c r="A1534" s="122"/>
      <c r="B1534" s="133"/>
      <c r="C1534" s="120"/>
      <c r="D1534" s="120"/>
      <c r="E1534" s="120"/>
      <c r="F1534" s="120"/>
      <c r="G1534" s="120"/>
      <c r="H1534" s="120"/>
      <c r="I1534" s="121"/>
      <c r="J1534" s="121"/>
      <c r="K1534" s="117"/>
    </row>
    <row r="1535" ht="15.75" customHeight="1">
      <c r="A1535" s="122"/>
      <c r="B1535" s="133"/>
      <c r="C1535" s="120"/>
      <c r="D1535" s="120"/>
      <c r="E1535" s="120"/>
      <c r="F1535" s="120"/>
      <c r="G1535" s="120"/>
      <c r="H1535" s="120"/>
      <c r="I1535" s="121"/>
      <c r="J1535" s="121"/>
      <c r="K1535" s="117"/>
    </row>
    <row r="1536" ht="15.75" customHeight="1">
      <c r="A1536" s="122"/>
      <c r="B1536" s="133"/>
      <c r="C1536" s="120"/>
      <c r="D1536" s="120"/>
      <c r="E1536" s="120"/>
      <c r="F1536" s="120"/>
      <c r="G1536" s="120"/>
      <c r="H1536" s="120"/>
      <c r="I1536" s="121"/>
      <c r="J1536" s="121"/>
      <c r="K1536" s="117"/>
    </row>
    <row r="1537" ht="15.75" customHeight="1">
      <c r="A1537" s="122"/>
      <c r="B1537" s="133"/>
      <c r="C1537" s="120"/>
      <c r="D1537" s="120"/>
      <c r="E1537" s="120"/>
      <c r="F1537" s="120"/>
      <c r="G1537" s="120"/>
      <c r="H1537" s="120"/>
      <c r="I1537" s="121"/>
      <c r="J1537" s="121"/>
      <c r="K1537" s="117"/>
    </row>
    <row r="1538" ht="15.75" customHeight="1">
      <c r="A1538" s="122"/>
      <c r="B1538" s="133"/>
      <c r="C1538" s="120"/>
      <c r="D1538" s="120"/>
      <c r="E1538" s="120"/>
      <c r="F1538" s="120"/>
      <c r="G1538" s="120"/>
      <c r="H1538" s="120"/>
      <c r="I1538" s="121"/>
      <c r="J1538" s="121"/>
      <c r="K1538" s="117"/>
    </row>
    <row r="1539" ht="15.75" customHeight="1">
      <c r="A1539" s="122"/>
      <c r="B1539" s="133"/>
      <c r="C1539" s="120"/>
      <c r="D1539" s="120"/>
      <c r="E1539" s="120"/>
      <c r="F1539" s="120"/>
      <c r="G1539" s="120"/>
      <c r="H1539" s="120"/>
      <c r="I1539" s="121"/>
      <c r="J1539" s="121"/>
      <c r="K1539" s="117"/>
    </row>
    <row r="1540" ht="15.75" customHeight="1">
      <c r="A1540" s="122"/>
      <c r="B1540" s="133"/>
      <c r="C1540" s="120"/>
      <c r="D1540" s="120"/>
      <c r="E1540" s="120"/>
      <c r="F1540" s="120"/>
      <c r="G1540" s="120"/>
      <c r="H1540" s="120"/>
      <c r="I1540" s="121"/>
      <c r="J1540" s="121"/>
      <c r="K1540" s="117"/>
    </row>
    <row r="1541" ht="15.75" customHeight="1">
      <c r="A1541" s="122"/>
      <c r="B1541" s="133"/>
      <c r="C1541" s="120"/>
      <c r="D1541" s="120"/>
      <c r="E1541" s="120"/>
      <c r="F1541" s="120"/>
      <c r="G1541" s="120"/>
      <c r="H1541" s="120"/>
      <c r="I1541" s="121"/>
      <c r="J1541" s="121"/>
      <c r="K1541" s="117"/>
    </row>
    <row r="1542" ht="15.75" customHeight="1">
      <c r="A1542" s="122"/>
      <c r="B1542" s="133"/>
      <c r="C1542" s="120"/>
      <c r="D1542" s="120"/>
      <c r="E1542" s="120"/>
      <c r="F1542" s="120"/>
      <c r="G1542" s="120"/>
      <c r="H1542" s="120"/>
      <c r="I1542" s="121"/>
      <c r="J1542" s="121"/>
      <c r="K1542" s="117"/>
    </row>
    <row r="1543" ht="15.75" customHeight="1">
      <c r="A1543" s="122"/>
      <c r="B1543" s="133"/>
      <c r="C1543" s="120"/>
      <c r="D1543" s="120"/>
      <c r="E1543" s="120"/>
      <c r="F1543" s="120"/>
      <c r="G1543" s="120"/>
      <c r="H1543" s="120"/>
      <c r="I1543" s="121"/>
      <c r="J1543" s="121"/>
      <c r="K1543" s="117"/>
    </row>
    <row r="1544" ht="15.75" customHeight="1">
      <c r="A1544" s="122"/>
      <c r="B1544" s="133"/>
      <c r="C1544" s="120"/>
      <c r="D1544" s="120"/>
      <c r="E1544" s="120"/>
      <c r="F1544" s="120"/>
      <c r="G1544" s="120"/>
      <c r="H1544" s="120"/>
      <c r="I1544" s="121"/>
      <c r="J1544" s="121"/>
      <c r="K1544" s="117"/>
    </row>
    <row r="1545" ht="15.75" customHeight="1">
      <c r="A1545" s="122"/>
      <c r="B1545" s="133"/>
      <c r="C1545" s="120"/>
      <c r="D1545" s="120"/>
      <c r="E1545" s="120"/>
      <c r="F1545" s="120"/>
      <c r="G1545" s="120"/>
      <c r="H1545" s="120"/>
      <c r="I1545" s="121"/>
      <c r="J1545" s="121"/>
      <c r="K1545" s="117"/>
    </row>
    <row r="1546" ht="15.75" customHeight="1">
      <c r="A1546" s="122"/>
      <c r="B1546" s="133"/>
      <c r="C1546" s="120"/>
      <c r="D1546" s="120"/>
      <c r="E1546" s="120"/>
      <c r="F1546" s="120"/>
      <c r="G1546" s="120"/>
      <c r="H1546" s="120"/>
      <c r="I1546" s="121"/>
      <c r="J1546" s="121"/>
      <c r="K1546" s="117"/>
    </row>
    <row r="1547" ht="15.75" customHeight="1">
      <c r="A1547" s="122"/>
      <c r="B1547" s="133"/>
      <c r="C1547" s="120"/>
      <c r="D1547" s="120"/>
      <c r="E1547" s="120"/>
      <c r="F1547" s="120"/>
      <c r="G1547" s="120"/>
      <c r="H1547" s="120"/>
      <c r="I1547" s="121"/>
      <c r="J1547" s="121"/>
      <c r="K1547" s="117"/>
    </row>
    <row r="1548" ht="15.75" customHeight="1">
      <c r="A1548" s="122"/>
      <c r="B1548" s="133"/>
      <c r="C1548" s="120"/>
      <c r="D1548" s="120"/>
      <c r="E1548" s="120"/>
      <c r="F1548" s="120"/>
      <c r="G1548" s="120"/>
      <c r="H1548" s="120"/>
      <c r="I1548" s="121"/>
      <c r="J1548" s="121"/>
      <c r="K1548" s="117"/>
    </row>
    <row r="1549" ht="15.75" customHeight="1">
      <c r="A1549" s="122"/>
      <c r="B1549" s="133"/>
      <c r="C1549" s="120"/>
      <c r="D1549" s="120"/>
      <c r="E1549" s="120"/>
      <c r="F1549" s="120"/>
      <c r="G1549" s="120"/>
      <c r="H1549" s="120"/>
      <c r="I1549" s="121"/>
      <c r="J1549" s="121"/>
      <c r="K1549" s="117"/>
    </row>
    <row r="1550" ht="15.75" customHeight="1">
      <c r="A1550" s="122"/>
      <c r="B1550" s="133"/>
      <c r="C1550" s="120"/>
      <c r="D1550" s="120"/>
      <c r="E1550" s="120"/>
      <c r="F1550" s="120"/>
      <c r="G1550" s="120"/>
      <c r="H1550" s="120"/>
      <c r="I1550" s="121"/>
      <c r="J1550" s="121"/>
      <c r="K1550" s="117"/>
    </row>
    <row r="1551" ht="15.75" customHeight="1">
      <c r="A1551" s="122"/>
      <c r="B1551" s="133"/>
      <c r="C1551" s="120"/>
      <c r="D1551" s="120"/>
      <c r="E1551" s="120"/>
      <c r="F1551" s="120"/>
      <c r="G1551" s="120"/>
      <c r="H1551" s="120"/>
      <c r="I1551" s="121"/>
      <c r="J1551" s="121"/>
      <c r="K1551" s="117"/>
    </row>
    <row r="1552" ht="15.75" customHeight="1">
      <c r="A1552" s="122"/>
      <c r="B1552" s="133"/>
      <c r="C1552" s="120"/>
      <c r="D1552" s="120"/>
      <c r="E1552" s="120"/>
      <c r="F1552" s="120"/>
      <c r="G1552" s="120"/>
      <c r="H1552" s="120"/>
      <c r="I1552" s="121"/>
      <c r="J1552" s="121"/>
      <c r="K1552" s="117"/>
    </row>
    <row r="1553" ht="15.75" customHeight="1">
      <c r="A1553" s="122"/>
      <c r="B1553" s="133"/>
      <c r="C1553" s="120"/>
      <c r="D1553" s="120"/>
      <c r="E1553" s="120"/>
      <c r="F1553" s="120"/>
      <c r="G1553" s="120"/>
      <c r="H1553" s="120"/>
      <c r="I1553" s="121"/>
      <c r="J1553" s="121"/>
      <c r="K1553" s="117"/>
    </row>
    <row r="1554" ht="15.75" customHeight="1">
      <c r="A1554" s="122"/>
      <c r="B1554" s="133"/>
      <c r="C1554" s="120"/>
      <c r="D1554" s="120"/>
      <c r="E1554" s="120"/>
      <c r="F1554" s="120"/>
      <c r="G1554" s="120"/>
      <c r="H1554" s="120"/>
      <c r="I1554" s="121"/>
      <c r="J1554" s="121"/>
      <c r="K1554" s="117"/>
    </row>
    <row r="1555" ht="15.75" customHeight="1">
      <c r="A1555" s="122"/>
      <c r="B1555" s="133"/>
      <c r="C1555" s="120"/>
      <c r="D1555" s="120"/>
      <c r="E1555" s="120"/>
      <c r="F1555" s="120"/>
      <c r="G1555" s="120"/>
      <c r="H1555" s="120"/>
      <c r="I1555" s="121"/>
      <c r="J1555" s="121"/>
      <c r="K1555" s="117"/>
    </row>
    <row r="1556" ht="15.75" customHeight="1">
      <c r="A1556" s="122"/>
      <c r="B1556" s="133"/>
      <c r="C1556" s="120"/>
      <c r="D1556" s="120"/>
      <c r="E1556" s="120"/>
      <c r="F1556" s="120"/>
      <c r="G1556" s="120"/>
      <c r="H1556" s="120"/>
      <c r="I1556" s="121"/>
      <c r="J1556" s="121"/>
      <c r="K1556" s="117"/>
    </row>
    <row r="1557" ht="15.75" customHeight="1">
      <c r="A1557" s="122"/>
      <c r="B1557" s="133"/>
      <c r="C1557" s="120"/>
      <c r="D1557" s="120"/>
      <c r="E1557" s="120"/>
      <c r="F1557" s="120"/>
      <c r="G1557" s="120"/>
      <c r="H1557" s="120"/>
      <c r="I1557" s="121"/>
      <c r="J1557" s="121"/>
      <c r="K1557" s="117"/>
    </row>
    <row r="1558" ht="15.75" customHeight="1">
      <c r="A1558" s="122"/>
      <c r="B1558" s="133"/>
      <c r="C1558" s="120"/>
      <c r="D1558" s="120"/>
      <c r="E1558" s="120"/>
      <c r="F1558" s="120"/>
      <c r="G1558" s="120"/>
      <c r="H1558" s="120"/>
      <c r="I1558" s="121"/>
      <c r="J1558" s="121"/>
      <c r="K1558" s="117"/>
    </row>
    <row r="1559" ht="15.75" customHeight="1">
      <c r="A1559" s="122"/>
      <c r="B1559" s="133"/>
      <c r="C1559" s="120"/>
      <c r="D1559" s="120"/>
      <c r="E1559" s="120"/>
      <c r="F1559" s="120"/>
      <c r="G1559" s="120"/>
      <c r="H1559" s="120"/>
      <c r="I1559" s="121"/>
      <c r="J1559" s="121"/>
      <c r="K1559" s="117"/>
    </row>
    <row r="1560" ht="15.75" customHeight="1">
      <c r="A1560" s="122"/>
      <c r="B1560" s="133"/>
      <c r="C1560" s="120"/>
      <c r="D1560" s="120"/>
      <c r="E1560" s="120"/>
      <c r="F1560" s="120"/>
      <c r="G1560" s="120"/>
      <c r="H1560" s="120"/>
      <c r="I1560" s="121"/>
      <c r="J1560" s="121"/>
      <c r="K1560" s="117"/>
    </row>
    <row r="1561" ht="15.75" customHeight="1">
      <c r="A1561" s="122"/>
      <c r="B1561" s="133"/>
      <c r="C1561" s="120"/>
      <c r="D1561" s="120"/>
      <c r="E1561" s="120"/>
      <c r="F1561" s="120"/>
      <c r="G1561" s="120"/>
      <c r="H1561" s="120"/>
      <c r="I1561" s="121"/>
      <c r="J1561" s="121"/>
      <c r="K1561" s="117"/>
    </row>
    <row r="1562" ht="15.75" customHeight="1">
      <c r="A1562" s="122"/>
      <c r="B1562" s="133"/>
      <c r="C1562" s="120"/>
      <c r="D1562" s="120"/>
      <c r="E1562" s="120"/>
      <c r="F1562" s="120"/>
      <c r="G1562" s="120"/>
      <c r="H1562" s="120"/>
      <c r="I1562" s="121"/>
      <c r="J1562" s="121"/>
      <c r="K1562" s="117"/>
    </row>
    <row r="1563" ht="15.75" customHeight="1">
      <c r="A1563" s="122"/>
      <c r="B1563" s="133"/>
      <c r="C1563" s="120"/>
      <c r="D1563" s="120"/>
      <c r="E1563" s="120"/>
      <c r="F1563" s="120"/>
      <c r="G1563" s="120"/>
      <c r="H1563" s="120"/>
      <c r="I1563" s="121"/>
      <c r="J1563" s="121"/>
      <c r="K1563" s="117"/>
    </row>
    <row r="1564" ht="15.75" customHeight="1">
      <c r="A1564" s="122"/>
      <c r="B1564" s="133"/>
      <c r="C1564" s="120"/>
      <c r="D1564" s="120"/>
      <c r="E1564" s="120"/>
      <c r="F1564" s="120"/>
      <c r="G1564" s="120"/>
      <c r="H1564" s="120"/>
      <c r="I1564" s="121"/>
      <c r="J1564" s="121"/>
      <c r="K1564" s="117"/>
    </row>
    <row r="1565" ht="15.75" customHeight="1">
      <c r="A1565" s="122"/>
      <c r="B1565" s="133"/>
      <c r="C1565" s="120"/>
      <c r="D1565" s="120"/>
      <c r="E1565" s="120"/>
      <c r="F1565" s="120"/>
      <c r="G1565" s="120"/>
      <c r="H1565" s="120"/>
      <c r="I1565" s="121"/>
      <c r="J1565" s="121"/>
      <c r="K1565" s="117"/>
    </row>
    <row r="1566" ht="15.75" customHeight="1">
      <c r="A1566" s="122"/>
      <c r="B1566" s="133"/>
      <c r="C1566" s="120"/>
      <c r="D1566" s="120"/>
      <c r="E1566" s="120"/>
      <c r="F1566" s="120"/>
      <c r="G1566" s="120"/>
      <c r="H1566" s="120"/>
      <c r="I1566" s="121"/>
      <c r="J1566" s="121"/>
      <c r="K1566" s="117"/>
    </row>
    <row r="1567" ht="15.75" customHeight="1">
      <c r="A1567" s="122"/>
      <c r="B1567" s="133"/>
      <c r="C1567" s="120"/>
      <c r="D1567" s="120"/>
      <c r="E1567" s="120"/>
      <c r="F1567" s="120"/>
      <c r="G1567" s="120"/>
      <c r="H1567" s="120"/>
      <c r="I1567" s="121"/>
      <c r="J1567" s="121"/>
      <c r="K1567" s="117"/>
    </row>
    <row r="1568" ht="15.75" customHeight="1">
      <c r="A1568" s="122"/>
      <c r="B1568" s="133"/>
      <c r="C1568" s="120"/>
      <c r="D1568" s="120"/>
      <c r="E1568" s="120"/>
      <c r="F1568" s="120"/>
      <c r="G1568" s="120"/>
      <c r="H1568" s="120"/>
      <c r="I1568" s="121"/>
      <c r="J1568" s="121"/>
      <c r="K1568" s="117"/>
    </row>
    <row r="1569" ht="15.75" customHeight="1">
      <c r="A1569" s="122"/>
      <c r="B1569" s="133"/>
      <c r="C1569" s="120"/>
      <c r="D1569" s="120"/>
      <c r="E1569" s="120"/>
      <c r="F1569" s="120"/>
      <c r="G1569" s="120"/>
      <c r="H1569" s="120"/>
      <c r="I1569" s="121"/>
      <c r="J1569" s="121"/>
      <c r="K1569" s="117"/>
    </row>
    <row r="1570" ht="15.75" customHeight="1">
      <c r="A1570" s="122"/>
      <c r="B1570" s="133"/>
      <c r="C1570" s="120"/>
      <c r="D1570" s="120"/>
      <c r="E1570" s="120"/>
      <c r="F1570" s="120"/>
      <c r="G1570" s="120"/>
      <c r="H1570" s="120"/>
      <c r="I1570" s="121"/>
      <c r="J1570" s="121"/>
      <c r="K1570" s="117"/>
    </row>
    <row r="1571" ht="15.75" customHeight="1">
      <c r="A1571" s="122"/>
      <c r="B1571" s="133"/>
      <c r="C1571" s="120"/>
      <c r="D1571" s="120"/>
      <c r="E1571" s="120"/>
      <c r="F1571" s="120"/>
      <c r="G1571" s="120"/>
      <c r="H1571" s="120"/>
      <c r="I1571" s="121"/>
      <c r="J1571" s="121"/>
      <c r="K1571" s="117"/>
    </row>
    <row r="1572" ht="15.75" customHeight="1">
      <c r="A1572" s="122"/>
      <c r="B1572" s="133"/>
      <c r="C1572" s="120"/>
      <c r="D1572" s="120"/>
      <c r="E1572" s="120"/>
      <c r="F1572" s="120"/>
      <c r="G1572" s="120"/>
      <c r="H1572" s="120"/>
      <c r="I1572" s="121"/>
      <c r="J1572" s="121"/>
      <c r="K1572" s="117"/>
    </row>
    <row r="1573" ht="15.75" customHeight="1">
      <c r="A1573" s="122"/>
      <c r="B1573" s="133"/>
      <c r="C1573" s="120"/>
      <c r="D1573" s="120"/>
      <c r="E1573" s="120"/>
      <c r="F1573" s="120"/>
      <c r="G1573" s="120"/>
      <c r="H1573" s="120"/>
      <c r="I1573" s="121"/>
      <c r="J1573" s="121"/>
      <c r="K1573" s="117"/>
    </row>
    <row r="1574" ht="15.75" customHeight="1">
      <c r="A1574" s="122"/>
      <c r="B1574" s="133"/>
      <c r="C1574" s="120"/>
      <c r="D1574" s="120"/>
      <c r="E1574" s="120"/>
      <c r="F1574" s="120"/>
      <c r="G1574" s="120"/>
      <c r="H1574" s="120"/>
      <c r="I1574" s="121"/>
      <c r="J1574" s="121"/>
      <c r="K1574" s="117"/>
    </row>
    <row r="1575" ht="15.75" customHeight="1">
      <c r="A1575" s="122"/>
      <c r="B1575" s="133"/>
      <c r="C1575" s="120"/>
      <c r="D1575" s="120"/>
      <c r="E1575" s="120"/>
      <c r="F1575" s="120"/>
      <c r="G1575" s="120"/>
      <c r="H1575" s="120"/>
      <c r="I1575" s="121"/>
      <c r="J1575" s="121"/>
      <c r="K1575" s="117"/>
    </row>
    <row r="1576" ht="15.75" customHeight="1">
      <c r="A1576" s="122"/>
      <c r="B1576" s="133"/>
      <c r="C1576" s="120"/>
      <c r="D1576" s="120"/>
      <c r="E1576" s="120"/>
      <c r="F1576" s="120"/>
      <c r="G1576" s="120"/>
      <c r="H1576" s="120"/>
      <c r="I1576" s="121"/>
      <c r="J1576" s="121"/>
      <c r="K1576" s="117"/>
    </row>
    <row r="1577" ht="15.75" customHeight="1">
      <c r="A1577" s="122"/>
      <c r="B1577" s="133"/>
      <c r="C1577" s="120"/>
      <c r="D1577" s="120"/>
      <c r="E1577" s="120"/>
      <c r="F1577" s="120"/>
      <c r="G1577" s="120"/>
      <c r="H1577" s="120"/>
      <c r="I1577" s="121"/>
      <c r="J1577" s="121"/>
      <c r="K1577" s="117"/>
    </row>
    <row r="1578" ht="15.75" customHeight="1">
      <c r="A1578" s="122"/>
      <c r="B1578" s="133"/>
      <c r="C1578" s="120"/>
      <c r="D1578" s="120"/>
      <c r="E1578" s="120"/>
      <c r="F1578" s="120"/>
      <c r="G1578" s="120"/>
      <c r="H1578" s="120"/>
      <c r="I1578" s="121"/>
      <c r="J1578" s="121"/>
      <c r="K1578" s="117"/>
    </row>
    <row r="1579" ht="15.75" customHeight="1">
      <c r="A1579" s="122"/>
      <c r="B1579" s="133"/>
      <c r="C1579" s="120"/>
      <c r="D1579" s="120"/>
      <c r="E1579" s="120"/>
      <c r="F1579" s="120"/>
      <c r="G1579" s="120"/>
      <c r="H1579" s="120"/>
      <c r="I1579" s="121"/>
      <c r="J1579" s="121"/>
      <c r="K1579" s="117"/>
    </row>
    <row r="1580" ht="15.75" customHeight="1">
      <c r="A1580" s="122"/>
      <c r="B1580" s="133"/>
      <c r="C1580" s="120"/>
      <c r="D1580" s="120"/>
      <c r="E1580" s="120"/>
      <c r="F1580" s="120"/>
      <c r="G1580" s="120"/>
      <c r="H1580" s="120"/>
      <c r="I1580" s="121"/>
      <c r="J1580" s="121"/>
      <c r="K1580" s="117"/>
    </row>
    <row r="1581" ht="15.75" customHeight="1">
      <c r="A1581" s="122"/>
      <c r="B1581" s="133"/>
      <c r="C1581" s="120"/>
      <c r="D1581" s="120"/>
      <c r="E1581" s="120"/>
      <c r="F1581" s="120"/>
      <c r="G1581" s="120"/>
      <c r="H1581" s="120"/>
      <c r="I1581" s="121"/>
      <c r="J1581" s="121"/>
      <c r="K1581" s="117"/>
    </row>
    <row r="1582" ht="15.75" customHeight="1">
      <c r="A1582" s="122"/>
      <c r="B1582" s="133"/>
      <c r="C1582" s="120"/>
      <c r="D1582" s="120"/>
      <c r="E1582" s="120"/>
      <c r="F1582" s="120"/>
      <c r="G1582" s="120"/>
      <c r="H1582" s="120"/>
      <c r="I1582" s="121"/>
      <c r="J1582" s="121"/>
      <c r="K1582" s="117"/>
    </row>
    <row r="1583" ht="15.75" customHeight="1">
      <c r="A1583" s="122"/>
      <c r="B1583" s="133"/>
      <c r="C1583" s="120"/>
      <c r="D1583" s="120"/>
      <c r="E1583" s="120"/>
      <c r="F1583" s="120"/>
      <c r="G1583" s="120"/>
      <c r="H1583" s="120"/>
      <c r="I1583" s="121"/>
      <c r="J1583" s="121"/>
      <c r="K1583" s="117"/>
    </row>
    <row r="1584" ht="15.75" customHeight="1">
      <c r="A1584" s="122"/>
      <c r="B1584" s="133"/>
      <c r="C1584" s="120"/>
      <c r="D1584" s="120"/>
      <c r="E1584" s="120"/>
      <c r="F1584" s="120"/>
      <c r="G1584" s="120"/>
      <c r="H1584" s="120"/>
      <c r="I1584" s="121"/>
      <c r="J1584" s="121"/>
      <c r="K1584" s="117"/>
    </row>
    <row r="1585" ht="15.75" customHeight="1">
      <c r="A1585" s="122"/>
      <c r="B1585" s="133"/>
      <c r="C1585" s="120"/>
      <c r="D1585" s="120"/>
      <c r="E1585" s="120"/>
      <c r="F1585" s="120"/>
      <c r="G1585" s="120"/>
      <c r="H1585" s="120"/>
      <c r="I1585" s="121"/>
      <c r="J1585" s="121"/>
      <c r="K1585" s="117"/>
    </row>
    <row r="1586" ht="15.75" customHeight="1">
      <c r="A1586" s="122"/>
      <c r="B1586" s="133"/>
      <c r="C1586" s="120"/>
      <c r="D1586" s="120"/>
      <c r="E1586" s="120"/>
      <c r="F1586" s="120"/>
      <c r="G1586" s="120"/>
      <c r="H1586" s="120"/>
      <c r="I1586" s="121"/>
      <c r="J1586" s="121"/>
      <c r="K1586" s="117"/>
    </row>
    <row r="1587" ht="15.75" customHeight="1">
      <c r="A1587" s="122"/>
      <c r="B1587" s="133"/>
      <c r="C1587" s="120"/>
      <c r="D1587" s="120"/>
      <c r="E1587" s="120"/>
      <c r="F1587" s="120"/>
      <c r="G1587" s="120"/>
      <c r="H1587" s="120"/>
      <c r="I1587" s="121"/>
      <c r="J1587" s="121"/>
      <c r="K1587" s="117"/>
    </row>
    <row r="1588" ht="15.75" customHeight="1">
      <c r="A1588" s="122"/>
      <c r="B1588" s="133"/>
      <c r="C1588" s="120"/>
      <c r="D1588" s="120"/>
      <c r="E1588" s="120"/>
      <c r="F1588" s="120"/>
      <c r="G1588" s="120"/>
      <c r="H1588" s="120"/>
      <c r="I1588" s="121"/>
      <c r="J1588" s="121"/>
      <c r="K1588" s="117"/>
    </row>
    <row r="1589" ht="15.75" customHeight="1">
      <c r="A1589" s="122"/>
      <c r="B1589" s="133"/>
      <c r="C1589" s="120"/>
      <c r="D1589" s="120"/>
      <c r="E1589" s="120"/>
      <c r="F1589" s="120"/>
      <c r="G1589" s="120"/>
      <c r="H1589" s="120"/>
      <c r="I1589" s="121"/>
      <c r="J1589" s="121"/>
      <c r="K1589" s="117"/>
    </row>
    <row r="1590" ht="15.75" customHeight="1">
      <c r="A1590" s="122"/>
      <c r="B1590" s="133"/>
      <c r="C1590" s="120"/>
      <c r="D1590" s="120"/>
      <c r="E1590" s="120"/>
      <c r="F1590" s="120"/>
      <c r="G1590" s="120"/>
      <c r="H1590" s="120"/>
      <c r="I1590" s="121"/>
      <c r="J1590" s="121"/>
      <c r="K1590" s="117"/>
    </row>
    <row r="1591" ht="15.75" customHeight="1">
      <c r="A1591" s="122"/>
      <c r="B1591" s="133"/>
      <c r="C1591" s="120"/>
      <c r="D1591" s="120"/>
      <c r="E1591" s="120"/>
      <c r="F1591" s="120"/>
      <c r="G1591" s="120"/>
      <c r="H1591" s="120"/>
      <c r="I1591" s="121"/>
      <c r="J1591" s="121"/>
      <c r="K1591" s="117"/>
    </row>
    <row r="1592" ht="15.75" customHeight="1">
      <c r="A1592" s="122"/>
      <c r="B1592" s="133"/>
      <c r="C1592" s="120"/>
      <c r="D1592" s="120"/>
      <c r="E1592" s="120"/>
      <c r="F1592" s="120"/>
      <c r="G1592" s="120"/>
      <c r="H1592" s="120"/>
      <c r="I1592" s="121"/>
      <c r="J1592" s="121"/>
      <c r="K1592" s="117"/>
    </row>
    <row r="1593" ht="15.75" customHeight="1">
      <c r="A1593" s="122"/>
      <c r="B1593" s="133"/>
      <c r="C1593" s="120"/>
      <c r="D1593" s="120"/>
      <c r="E1593" s="120"/>
      <c r="F1593" s="120"/>
      <c r="G1593" s="120"/>
      <c r="H1593" s="120"/>
      <c r="I1593" s="121"/>
      <c r="J1593" s="121"/>
      <c r="K1593" s="117"/>
    </row>
    <row r="1594" ht="15.75" customHeight="1">
      <c r="A1594" s="122"/>
      <c r="B1594" s="133"/>
      <c r="C1594" s="120"/>
      <c r="D1594" s="120"/>
      <c r="E1594" s="120"/>
      <c r="F1594" s="120"/>
      <c r="G1594" s="120"/>
      <c r="H1594" s="120"/>
      <c r="I1594" s="121"/>
      <c r="J1594" s="121"/>
      <c r="K1594" s="117"/>
    </row>
    <row r="1595" ht="15.75" customHeight="1">
      <c r="A1595" s="122"/>
      <c r="B1595" s="133"/>
      <c r="C1595" s="120"/>
      <c r="D1595" s="120"/>
      <c r="E1595" s="120"/>
      <c r="F1595" s="120"/>
      <c r="G1595" s="120"/>
      <c r="H1595" s="120"/>
      <c r="I1595" s="121"/>
      <c r="J1595" s="121"/>
      <c r="K1595" s="117"/>
    </row>
    <row r="1596" ht="15.75" customHeight="1">
      <c r="A1596" s="122"/>
      <c r="B1596" s="133"/>
      <c r="C1596" s="120"/>
      <c r="D1596" s="120"/>
      <c r="E1596" s="120"/>
      <c r="F1596" s="120"/>
      <c r="G1596" s="120"/>
      <c r="H1596" s="120"/>
      <c r="I1596" s="121"/>
      <c r="J1596" s="121"/>
      <c r="K1596" s="117"/>
    </row>
    <row r="1597" ht="15.75" customHeight="1">
      <c r="A1597" s="122"/>
      <c r="B1597" s="133"/>
      <c r="C1597" s="120"/>
      <c r="D1597" s="120"/>
      <c r="E1597" s="120"/>
      <c r="F1597" s="120"/>
      <c r="G1597" s="120"/>
      <c r="H1597" s="120"/>
      <c r="I1597" s="121"/>
      <c r="J1597" s="121"/>
      <c r="K1597" s="117"/>
    </row>
    <row r="1598" ht="15.75" customHeight="1">
      <c r="A1598" s="122"/>
      <c r="B1598" s="133"/>
      <c r="C1598" s="120"/>
      <c r="D1598" s="120"/>
      <c r="E1598" s="120"/>
      <c r="F1598" s="120"/>
      <c r="G1598" s="120"/>
      <c r="H1598" s="120"/>
      <c r="I1598" s="121"/>
      <c r="J1598" s="121"/>
      <c r="K1598" s="117"/>
    </row>
    <row r="1599" ht="15.75" customHeight="1">
      <c r="A1599" s="122"/>
      <c r="B1599" s="133"/>
      <c r="C1599" s="120"/>
      <c r="D1599" s="120"/>
      <c r="E1599" s="120"/>
      <c r="F1599" s="120"/>
      <c r="G1599" s="120"/>
      <c r="H1599" s="120"/>
      <c r="I1599" s="121"/>
      <c r="J1599" s="121"/>
      <c r="K1599" s="117"/>
    </row>
    <row r="1600" ht="15.75" customHeight="1">
      <c r="A1600" s="122"/>
      <c r="B1600" s="133"/>
      <c r="C1600" s="120"/>
      <c r="D1600" s="120"/>
      <c r="E1600" s="120"/>
      <c r="F1600" s="120"/>
      <c r="G1600" s="120"/>
      <c r="H1600" s="120"/>
      <c r="I1600" s="121"/>
      <c r="J1600" s="121"/>
      <c r="K1600" s="117"/>
    </row>
    <row r="1601" ht="15.75" customHeight="1">
      <c r="A1601" s="122"/>
      <c r="B1601" s="133"/>
      <c r="C1601" s="120"/>
      <c r="D1601" s="120"/>
      <c r="E1601" s="120"/>
      <c r="F1601" s="120"/>
      <c r="G1601" s="120"/>
      <c r="H1601" s="120"/>
      <c r="I1601" s="121"/>
      <c r="J1601" s="121"/>
      <c r="K1601" s="117"/>
    </row>
    <row r="1602" ht="15.75" customHeight="1">
      <c r="A1602" s="122"/>
      <c r="B1602" s="133"/>
      <c r="C1602" s="120"/>
      <c r="D1602" s="120"/>
      <c r="E1602" s="120"/>
      <c r="F1602" s="120"/>
      <c r="G1602" s="120"/>
      <c r="H1602" s="120"/>
      <c r="I1602" s="121"/>
      <c r="J1602" s="121"/>
      <c r="K1602" s="117"/>
    </row>
    <row r="1603" ht="15.75" customHeight="1">
      <c r="A1603" s="122"/>
      <c r="B1603" s="133"/>
      <c r="C1603" s="120"/>
      <c r="D1603" s="120"/>
      <c r="E1603" s="120"/>
      <c r="F1603" s="120"/>
      <c r="G1603" s="120"/>
      <c r="H1603" s="120"/>
      <c r="I1603" s="121"/>
      <c r="J1603" s="121"/>
      <c r="K1603" s="117"/>
    </row>
    <row r="1604" ht="15.75" customHeight="1">
      <c r="A1604" s="122"/>
      <c r="B1604" s="133"/>
      <c r="C1604" s="120"/>
      <c r="D1604" s="120"/>
      <c r="E1604" s="120"/>
      <c r="F1604" s="120"/>
      <c r="G1604" s="120"/>
      <c r="H1604" s="120"/>
      <c r="I1604" s="121"/>
      <c r="J1604" s="121"/>
      <c r="K1604" s="117"/>
    </row>
    <row r="1605" ht="15.75" customHeight="1">
      <c r="A1605" s="122"/>
      <c r="B1605" s="133"/>
      <c r="C1605" s="120"/>
      <c r="D1605" s="120"/>
      <c r="E1605" s="120"/>
      <c r="F1605" s="120"/>
      <c r="G1605" s="120"/>
      <c r="H1605" s="120"/>
      <c r="I1605" s="121"/>
      <c r="J1605" s="121"/>
      <c r="K1605" s="117"/>
    </row>
    <row r="1606" ht="15.75" customHeight="1">
      <c r="A1606" s="122"/>
      <c r="B1606" s="133"/>
      <c r="C1606" s="120"/>
      <c r="D1606" s="120"/>
      <c r="E1606" s="120"/>
      <c r="F1606" s="120"/>
      <c r="G1606" s="120"/>
      <c r="H1606" s="120"/>
      <c r="I1606" s="121"/>
      <c r="J1606" s="121"/>
      <c r="K1606" s="117"/>
    </row>
    <row r="1607" ht="15.75" customHeight="1">
      <c r="A1607" s="122"/>
      <c r="B1607" s="133"/>
      <c r="C1607" s="120"/>
      <c r="D1607" s="120"/>
      <c r="E1607" s="120"/>
      <c r="F1607" s="120"/>
      <c r="G1607" s="120"/>
      <c r="H1607" s="120"/>
      <c r="I1607" s="121"/>
      <c r="J1607" s="121"/>
      <c r="K1607" s="117"/>
    </row>
    <row r="1608" ht="15.75" customHeight="1">
      <c r="A1608" s="122"/>
      <c r="B1608" s="133"/>
      <c r="C1608" s="120"/>
      <c r="D1608" s="120"/>
      <c r="E1608" s="120"/>
      <c r="F1608" s="120"/>
      <c r="G1608" s="120"/>
      <c r="H1608" s="120"/>
      <c r="I1608" s="121"/>
      <c r="J1608" s="121"/>
      <c r="K1608" s="117"/>
    </row>
    <row r="1609" ht="15.75" customHeight="1">
      <c r="A1609" s="122"/>
      <c r="B1609" s="133"/>
      <c r="C1609" s="120"/>
      <c r="D1609" s="120"/>
      <c r="E1609" s="120"/>
      <c r="F1609" s="120"/>
      <c r="G1609" s="120"/>
      <c r="H1609" s="120"/>
      <c r="I1609" s="121"/>
      <c r="J1609" s="121"/>
      <c r="K1609" s="117"/>
    </row>
    <row r="1610" ht="15.75" customHeight="1">
      <c r="A1610" s="122"/>
      <c r="B1610" s="133"/>
      <c r="C1610" s="120"/>
      <c r="D1610" s="120"/>
      <c r="E1610" s="120"/>
      <c r="F1610" s="120"/>
      <c r="G1610" s="120"/>
      <c r="H1610" s="120"/>
      <c r="I1610" s="121"/>
      <c r="J1610" s="121"/>
      <c r="K1610" s="117"/>
    </row>
    <row r="1611" ht="15.75" customHeight="1">
      <c r="A1611" s="122"/>
      <c r="B1611" s="133"/>
      <c r="C1611" s="120"/>
      <c r="D1611" s="120"/>
      <c r="E1611" s="120"/>
      <c r="F1611" s="120"/>
      <c r="G1611" s="120"/>
      <c r="H1611" s="120"/>
      <c r="I1611" s="121"/>
      <c r="J1611" s="121"/>
      <c r="K1611" s="117"/>
    </row>
    <row r="1612" ht="15.75" customHeight="1">
      <c r="A1612" s="122"/>
      <c r="B1612" s="133"/>
      <c r="C1612" s="120"/>
      <c r="D1612" s="120"/>
      <c r="E1612" s="120"/>
      <c r="F1612" s="120"/>
      <c r="G1612" s="120"/>
      <c r="H1612" s="120"/>
      <c r="I1612" s="121"/>
      <c r="J1612" s="121"/>
      <c r="K1612" s="117"/>
    </row>
    <row r="1613" ht="15.75" customHeight="1">
      <c r="A1613" s="122"/>
      <c r="B1613" s="133"/>
      <c r="C1613" s="120"/>
      <c r="D1613" s="120"/>
      <c r="E1613" s="120"/>
      <c r="F1613" s="120"/>
      <c r="G1613" s="120"/>
      <c r="H1613" s="120"/>
      <c r="I1613" s="121"/>
      <c r="J1613" s="121"/>
      <c r="K1613" s="117"/>
    </row>
    <row r="1614" ht="15.75" customHeight="1">
      <c r="A1614" s="122"/>
      <c r="B1614" s="133"/>
      <c r="C1614" s="120"/>
      <c r="D1614" s="120"/>
      <c r="E1614" s="120"/>
      <c r="F1614" s="120"/>
      <c r="G1614" s="120"/>
      <c r="H1614" s="120"/>
      <c r="I1614" s="121"/>
      <c r="J1614" s="121"/>
      <c r="K1614" s="117"/>
    </row>
    <row r="1615" ht="15.75" customHeight="1">
      <c r="A1615" s="122"/>
      <c r="B1615" s="133"/>
      <c r="C1615" s="120"/>
      <c r="D1615" s="120"/>
      <c r="E1615" s="120"/>
      <c r="F1615" s="120"/>
      <c r="G1615" s="120"/>
      <c r="H1615" s="120"/>
      <c r="I1615" s="121"/>
      <c r="J1615" s="121"/>
      <c r="K1615" s="117"/>
    </row>
    <row r="1616" ht="15.75" customHeight="1">
      <c r="A1616" s="122"/>
      <c r="B1616" s="133"/>
      <c r="C1616" s="120"/>
      <c r="D1616" s="120"/>
      <c r="E1616" s="120"/>
      <c r="F1616" s="120"/>
      <c r="G1616" s="120"/>
      <c r="H1616" s="120"/>
      <c r="I1616" s="121"/>
      <c r="J1616" s="121"/>
      <c r="K1616" s="117"/>
    </row>
    <row r="1617" ht="15.75" customHeight="1">
      <c r="A1617" s="122"/>
      <c r="B1617" s="133"/>
      <c r="C1617" s="120"/>
      <c r="D1617" s="120"/>
      <c r="E1617" s="120"/>
      <c r="F1617" s="120"/>
      <c r="G1617" s="120"/>
      <c r="H1617" s="120"/>
      <c r="I1617" s="121"/>
      <c r="J1617" s="121"/>
      <c r="K1617" s="117"/>
    </row>
    <row r="1618" ht="15.75" customHeight="1">
      <c r="A1618" s="122"/>
      <c r="B1618" s="133"/>
      <c r="C1618" s="120"/>
      <c r="D1618" s="120"/>
      <c r="E1618" s="120"/>
      <c r="F1618" s="120"/>
      <c r="G1618" s="120"/>
      <c r="H1618" s="120"/>
      <c r="I1618" s="121"/>
      <c r="J1618" s="121"/>
      <c r="K1618" s="117"/>
    </row>
    <row r="1619" ht="15.75" customHeight="1">
      <c r="A1619" s="122"/>
      <c r="B1619" s="133"/>
      <c r="C1619" s="120"/>
      <c r="D1619" s="120"/>
      <c r="E1619" s="120"/>
      <c r="F1619" s="120"/>
      <c r="G1619" s="120"/>
      <c r="H1619" s="120"/>
      <c r="I1619" s="121"/>
      <c r="J1619" s="121"/>
      <c r="K1619" s="117"/>
    </row>
    <row r="1620" ht="15.75" customHeight="1">
      <c r="A1620" s="122"/>
      <c r="B1620" s="133"/>
      <c r="C1620" s="120"/>
      <c r="D1620" s="120"/>
      <c r="E1620" s="120"/>
      <c r="F1620" s="120"/>
      <c r="G1620" s="120"/>
      <c r="H1620" s="120"/>
      <c r="I1620" s="121"/>
      <c r="J1620" s="121"/>
      <c r="K1620" s="117"/>
    </row>
    <row r="1621" ht="15.75" customHeight="1">
      <c r="A1621" s="122"/>
      <c r="B1621" s="133"/>
      <c r="C1621" s="120"/>
      <c r="D1621" s="120"/>
      <c r="E1621" s="120"/>
      <c r="F1621" s="120"/>
      <c r="G1621" s="120"/>
      <c r="H1621" s="120"/>
      <c r="I1621" s="121"/>
      <c r="J1621" s="121"/>
      <c r="K1621" s="117"/>
    </row>
    <row r="1622" ht="15.75" customHeight="1">
      <c r="A1622" s="122"/>
      <c r="B1622" s="133"/>
      <c r="C1622" s="120"/>
      <c r="D1622" s="120"/>
      <c r="E1622" s="120"/>
      <c r="F1622" s="120"/>
      <c r="G1622" s="120"/>
      <c r="H1622" s="120"/>
      <c r="I1622" s="121"/>
      <c r="J1622" s="121"/>
      <c r="K1622" s="117"/>
    </row>
    <row r="1623" ht="15.75" customHeight="1">
      <c r="A1623" s="122"/>
      <c r="B1623" s="133"/>
      <c r="C1623" s="120"/>
      <c r="D1623" s="120"/>
      <c r="E1623" s="120"/>
      <c r="F1623" s="120"/>
      <c r="G1623" s="120"/>
      <c r="H1623" s="120"/>
      <c r="I1623" s="121"/>
      <c r="J1623" s="121"/>
      <c r="K1623" s="117"/>
    </row>
    <row r="1624" ht="15.75" customHeight="1">
      <c r="A1624" s="122"/>
      <c r="B1624" s="133"/>
      <c r="C1624" s="120"/>
      <c r="D1624" s="120"/>
      <c r="E1624" s="120"/>
      <c r="F1624" s="120"/>
      <c r="G1624" s="120"/>
      <c r="H1624" s="120"/>
      <c r="I1624" s="121"/>
      <c r="J1624" s="121"/>
      <c r="K1624" s="117"/>
    </row>
    <row r="1625" ht="15.75" customHeight="1">
      <c r="A1625" s="122"/>
      <c r="B1625" s="133"/>
      <c r="C1625" s="120"/>
      <c r="D1625" s="120"/>
      <c r="E1625" s="120"/>
      <c r="F1625" s="120"/>
      <c r="G1625" s="120"/>
      <c r="H1625" s="120"/>
      <c r="I1625" s="121"/>
      <c r="J1625" s="121"/>
      <c r="K1625" s="117"/>
    </row>
    <row r="1626" ht="15.75" customHeight="1">
      <c r="A1626" s="122"/>
      <c r="B1626" s="133"/>
      <c r="C1626" s="120"/>
      <c r="D1626" s="120"/>
      <c r="E1626" s="120"/>
      <c r="F1626" s="120"/>
      <c r="G1626" s="120"/>
      <c r="H1626" s="120"/>
      <c r="I1626" s="121"/>
      <c r="J1626" s="121"/>
      <c r="K1626" s="117"/>
    </row>
    <row r="1627" ht="15.75" customHeight="1">
      <c r="A1627" s="122"/>
      <c r="B1627" s="133"/>
      <c r="C1627" s="120"/>
      <c r="D1627" s="120"/>
      <c r="E1627" s="120"/>
      <c r="F1627" s="120"/>
      <c r="G1627" s="120"/>
      <c r="H1627" s="120"/>
      <c r="I1627" s="121"/>
      <c r="J1627" s="121"/>
      <c r="K1627" s="117"/>
    </row>
    <row r="1628" ht="15.75" customHeight="1">
      <c r="A1628" s="122"/>
      <c r="B1628" s="133"/>
      <c r="C1628" s="120"/>
      <c r="D1628" s="120"/>
      <c r="E1628" s="120"/>
      <c r="F1628" s="120"/>
      <c r="G1628" s="120"/>
      <c r="H1628" s="120"/>
      <c r="I1628" s="121"/>
      <c r="J1628" s="121"/>
      <c r="K1628" s="117"/>
    </row>
    <row r="1629" ht="15.75" customHeight="1">
      <c r="A1629" s="122"/>
      <c r="B1629" s="133"/>
      <c r="C1629" s="120"/>
      <c r="D1629" s="120"/>
      <c r="E1629" s="120"/>
      <c r="F1629" s="120"/>
      <c r="G1629" s="120"/>
      <c r="H1629" s="120"/>
      <c r="I1629" s="121"/>
      <c r="J1629" s="121"/>
      <c r="K1629" s="117"/>
    </row>
    <row r="1630" ht="15.75" customHeight="1">
      <c r="A1630" s="122"/>
      <c r="B1630" s="133"/>
      <c r="C1630" s="120"/>
      <c r="D1630" s="120"/>
      <c r="E1630" s="120"/>
      <c r="F1630" s="120"/>
      <c r="G1630" s="120"/>
      <c r="H1630" s="120"/>
      <c r="I1630" s="121"/>
      <c r="J1630" s="121"/>
      <c r="K1630" s="117"/>
    </row>
    <row r="1631" ht="15.75" customHeight="1">
      <c r="A1631" s="122"/>
      <c r="B1631" s="133"/>
      <c r="C1631" s="120"/>
      <c r="D1631" s="120"/>
      <c r="E1631" s="120"/>
      <c r="F1631" s="120"/>
      <c r="G1631" s="120"/>
      <c r="H1631" s="120"/>
      <c r="I1631" s="121"/>
      <c r="J1631" s="121"/>
      <c r="K1631" s="117"/>
    </row>
    <row r="1632" ht="15.75" customHeight="1">
      <c r="A1632" s="122"/>
      <c r="B1632" s="133"/>
      <c r="C1632" s="120"/>
      <c r="D1632" s="120"/>
      <c r="E1632" s="120"/>
      <c r="F1632" s="120"/>
      <c r="G1632" s="120"/>
      <c r="H1632" s="120"/>
      <c r="I1632" s="121"/>
      <c r="J1632" s="121"/>
      <c r="K1632" s="117"/>
    </row>
    <row r="1633" ht="15.75" customHeight="1">
      <c r="A1633" s="122"/>
      <c r="B1633" s="133"/>
      <c r="C1633" s="120"/>
      <c r="D1633" s="120"/>
      <c r="E1633" s="120"/>
      <c r="F1633" s="120"/>
      <c r="G1633" s="120"/>
      <c r="H1633" s="120"/>
      <c r="I1633" s="121"/>
      <c r="J1633" s="121"/>
      <c r="K1633" s="117"/>
    </row>
    <row r="1634" ht="15.75" customHeight="1">
      <c r="A1634" s="122"/>
      <c r="B1634" s="133"/>
      <c r="C1634" s="120"/>
      <c r="D1634" s="120"/>
      <c r="E1634" s="120"/>
      <c r="F1634" s="120"/>
      <c r="G1634" s="120"/>
      <c r="H1634" s="120"/>
      <c r="I1634" s="121"/>
      <c r="J1634" s="121"/>
      <c r="K1634" s="117"/>
    </row>
    <row r="1635" ht="15.75" customHeight="1">
      <c r="A1635" s="122"/>
      <c r="B1635" s="133"/>
      <c r="C1635" s="120"/>
      <c r="D1635" s="120"/>
      <c r="E1635" s="120"/>
      <c r="F1635" s="120"/>
      <c r="G1635" s="120"/>
      <c r="H1635" s="120"/>
      <c r="I1635" s="121"/>
      <c r="J1635" s="121"/>
      <c r="K1635" s="117"/>
    </row>
    <row r="1636" ht="15.75" customHeight="1">
      <c r="A1636" s="122"/>
      <c r="B1636" s="133"/>
      <c r="C1636" s="120"/>
      <c r="D1636" s="120"/>
      <c r="E1636" s="120"/>
      <c r="F1636" s="120"/>
      <c r="G1636" s="120"/>
      <c r="H1636" s="120"/>
      <c r="I1636" s="121"/>
      <c r="J1636" s="121"/>
      <c r="K1636" s="117"/>
    </row>
    <row r="1637" ht="15.75" customHeight="1">
      <c r="A1637" s="122"/>
      <c r="B1637" s="133"/>
      <c r="C1637" s="120"/>
      <c r="D1637" s="120"/>
      <c r="E1637" s="120"/>
      <c r="F1637" s="120"/>
      <c r="G1637" s="120"/>
      <c r="H1637" s="120"/>
      <c r="I1637" s="121"/>
      <c r="J1637" s="121"/>
      <c r="K1637" s="117"/>
    </row>
    <row r="1638" ht="15.75" customHeight="1">
      <c r="A1638" s="122"/>
      <c r="B1638" s="133"/>
      <c r="C1638" s="120"/>
      <c r="D1638" s="120"/>
      <c r="E1638" s="120"/>
      <c r="F1638" s="120"/>
      <c r="G1638" s="120"/>
      <c r="H1638" s="120"/>
      <c r="I1638" s="121"/>
      <c r="J1638" s="121"/>
      <c r="K1638" s="117"/>
    </row>
    <row r="1639" ht="15.75" customHeight="1">
      <c r="A1639" s="122"/>
      <c r="B1639" s="133"/>
      <c r="C1639" s="120"/>
      <c r="D1639" s="120"/>
      <c r="E1639" s="120"/>
      <c r="F1639" s="120"/>
      <c r="G1639" s="120"/>
      <c r="H1639" s="120"/>
      <c r="I1639" s="121"/>
      <c r="J1639" s="121"/>
      <c r="K1639" s="117"/>
    </row>
    <row r="1640" ht="15.75" customHeight="1">
      <c r="A1640" s="122"/>
      <c r="B1640" s="133"/>
      <c r="C1640" s="120"/>
      <c r="D1640" s="120"/>
      <c r="E1640" s="120"/>
      <c r="F1640" s="120"/>
      <c r="G1640" s="120"/>
      <c r="H1640" s="120"/>
      <c r="I1640" s="121"/>
      <c r="J1640" s="121"/>
      <c r="K1640" s="117"/>
    </row>
    <row r="1641" ht="15.75" customHeight="1">
      <c r="A1641" s="122"/>
      <c r="B1641" s="133"/>
      <c r="C1641" s="120"/>
      <c r="D1641" s="120"/>
      <c r="E1641" s="120"/>
      <c r="F1641" s="120"/>
      <c r="G1641" s="120"/>
      <c r="H1641" s="120"/>
      <c r="I1641" s="121"/>
      <c r="J1641" s="121"/>
      <c r="K1641" s="117"/>
    </row>
    <row r="1642" ht="15.75" customHeight="1">
      <c r="A1642" s="122"/>
      <c r="B1642" s="133"/>
      <c r="C1642" s="120"/>
      <c r="D1642" s="120"/>
      <c r="E1642" s="120"/>
      <c r="F1642" s="120"/>
      <c r="G1642" s="120"/>
      <c r="H1642" s="120"/>
      <c r="I1642" s="121"/>
      <c r="J1642" s="121"/>
      <c r="K1642" s="117"/>
    </row>
    <row r="1643" ht="15.75" customHeight="1">
      <c r="A1643" s="122"/>
      <c r="B1643" s="133"/>
      <c r="C1643" s="120"/>
      <c r="D1643" s="120"/>
      <c r="E1643" s="120"/>
      <c r="F1643" s="120"/>
      <c r="G1643" s="120"/>
      <c r="H1643" s="120"/>
      <c r="I1643" s="121"/>
      <c r="J1643" s="121"/>
      <c r="K1643" s="117"/>
    </row>
    <row r="1644" ht="15.75" customHeight="1">
      <c r="A1644" s="122"/>
      <c r="B1644" s="133"/>
      <c r="C1644" s="120"/>
      <c r="D1644" s="120"/>
      <c r="E1644" s="120"/>
      <c r="F1644" s="120"/>
      <c r="G1644" s="120"/>
      <c r="H1644" s="120"/>
      <c r="I1644" s="121"/>
      <c r="J1644" s="121"/>
      <c r="K1644" s="117"/>
    </row>
    <row r="1645" ht="15.75" customHeight="1">
      <c r="A1645" s="122"/>
      <c r="B1645" s="133"/>
      <c r="C1645" s="120"/>
      <c r="D1645" s="120"/>
      <c r="E1645" s="120"/>
      <c r="F1645" s="120"/>
      <c r="G1645" s="120"/>
      <c r="H1645" s="120"/>
      <c r="I1645" s="121"/>
      <c r="J1645" s="121"/>
      <c r="K1645" s="117"/>
    </row>
    <row r="1646" ht="15.75" customHeight="1">
      <c r="A1646" s="122"/>
      <c r="B1646" s="133"/>
      <c r="C1646" s="120"/>
      <c r="D1646" s="120"/>
      <c r="E1646" s="120"/>
      <c r="F1646" s="120"/>
      <c r="G1646" s="120"/>
      <c r="H1646" s="120"/>
      <c r="I1646" s="121"/>
      <c r="J1646" s="121"/>
      <c r="K1646" s="117"/>
    </row>
    <row r="1647" ht="15.75" customHeight="1">
      <c r="A1647" s="122"/>
      <c r="B1647" s="133"/>
      <c r="C1647" s="120"/>
      <c r="D1647" s="120"/>
      <c r="E1647" s="120"/>
      <c r="F1647" s="120"/>
      <c r="G1647" s="120"/>
      <c r="H1647" s="120"/>
      <c r="I1647" s="121"/>
      <c r="J1647" s="121"/>
      <c r="K1647" s="117"/>
    </row>
    <row r="1648" ht="15.75" customHeight="1">
      <c r="A1648" s="122"/>
      <c r="B1648" s="133"/>
      <c r="C1648" s="120"/>
      <c r="D1648" s="120"/>
      <c r="E1648" s="120"/>
      <c r="F1648" s="120"/>
      <c r="G1648" s="120"/>
      <c r="H1648" s="120"/>
      <c r="I1648" s="121"/>
      <c r="J1648" s="121"/>
      <c r="K1648" s="117"/>
    </row>
    <row r="1649" ht="15.75" customHeight="1">
      <c r="A1649" s="122"/>
      <c r="B1649" s="133"/>
      <c r="C1649" s="120"/>
      <c r="D1649" s="120"/>
      <c r="E1649" s="120"/>
      <c r="F1649" s="120"/>
      <c r="G1649" s="120"/>
      <c r="H1649" s="120"/>
      <c r="I1649" s="121"/>
      <c r="J1649" s="121"/>
      <c r="K1649" s="117"/>
    </row>
    <row r="1650" ht="15.75" customHeight="1">
      <c r="A1650" s="122"/>
      <c r="B1650" s="133"/>
      <c r="C1650" s="120"/>
      <c r="D1650" s="120"/>
      <c r="E1650" s="120"/>
      <c r="F1650" s="120"/>
      <c r="G1650" s="120"/>
      <c r="H1650" s="120"/>
      <c r="I1650" s="121"/>
      <c r="J1650" s="121"/>
      <c r="K1650" s="117"/>
    </row>
    <row r="1651" ht="15.75" customHeight="1">
      <c r="A1651" s="122"/>
      <c r="B1651" s="133"/>
      <c r="C1651" s="120"/>
      <c r="D1651" s="120"/>
      <c r="E1651" s="120"/>
      <c r="F1651" s="120"/>
      <c r="G1651" s="120"/>
      <c r="H1651" s="120"/>
      <c r="I1651" s="121"/>
      <c r="J1651" s="121"/>
      <c r="K1651" s="117"/>
    </row>
    <row r="1652" ht="15.75" customHeight="1">
      <c r="A1652" s="122"/>
      <c r="B1652" s="133"/>
      <c r="C1652" s="120"/>
      <c r="D1652" s="120"/>
      <c r="E1652" s="120"/>
      <c r="F1652" s="120"/>
      <c r="G1652" s="120"/>
      <c r="H1652" s="120"/>
      <c r="I1652" s="121"/>
      <c r="J1652" s="121"/>
      <c r="K1652" s="117"/>
    </row>
    <row r="1653" ht="15.75" customHeight="1">
      <c r="A1653" s="122"/>
      <c r="B1653" s="133"/>
      <c r="C1653" s="120"/>
      <c r="D1653" s="120"/>
      <c r="E1653" s="120"/>
      <c r="F1653" s="120"/>
      <c r="G1653" s="120"/>
      <c r="H1653" s="120"/>
      <c r="I1653" s="121"/>
      <c r="J1653" s="121"/>
      <c r="K1653" s="117"/>
    </row>
    <row r="1654" ht="15.75" customHeight="1">
      <c r="A1654" s="122"/>
      <c r="B1654" s="133"/>
      <c r="C1654" s="120"/>
      <c r="D1654" s="120"/>
      <c r="E1654" s="120"/>
      <c r="F1654" s="120"/>
      <c r="G1654" s="120"/>
      <c r="H1654" s="120"/>
      <c r="I1654" s="121"/>
      <c r="J1654" s="121"/>
      <c r="K1654" s="117"/>
    </row>
    <row r="1655" ht="15.75" customHeight="1">
      <c r="A1655" s="122"/>
      <c r="B1655" s="133"/>
      <c r="C1655" s="120"/>
      <c r="D1655" s="120"/>
      <c r="E1655" s="120"/>
      <c r="F1655" s="120"/>
      <c r="G1655" s="120"/>
      <c r="H1655" s="120"/>
      <c r="I1655" s="121"/>
      <c r="J1655" s="121"/>
      <c r="K1655" s="117"/>
    </row>
    <row r="1656" ht="15.75" customHeight="1">
      <c r="A1656" s="122"/>
      <c r="B1656" s="133"/>
      <c r="C1656" s="120"/>
      <c r="D1656" s="120"/>
      <c r="E1656" s="120"/>
      <c r="F1656" s="120"/>
      <c r="G1656" s="120"/>
      <c r="H1656" s="120"/>
      <c r="I1656" s="121"/>
      <c r="J1656" s="121"/>
      <c r="K1656" s="117"/>
    </row>
    <row r="1657" ht="15.75" customHeight="1">
      <c r="A1657" s="122"/>
      <c r="B1657" s="133"/>
      <c r="C1657" s="120"/>
      <c r="D1657" s="120"/>
      <c r="E1657" s="120"/>
      <c r="F1657" s="120"/>
      <c r="G1657" s="120"/>
      <c r="H1657" s="120"/>
      <c r="I1657" s="121"/>
      <c r="J1657" s="121"/>
      <c r="K1657" s="117"/>
    </row>
    <row r="1658" ht="15.75" customHeight="1">
      <c r="A1658" s="122"/>
      <c r="B1658" s="133"/>
      <c r="C1658" s="120"/>
      <c r="D1658" s="120"/>
      <c r="E1658" s="120"/>
      <c r="F1658" s="120"/>
      <c r="G1658" s="120"/>
      <c r="H1658" s="120"/>
      <c r="I1658" s="121"/>
      <c r="J1658" s="121"/>
      <c r="K1658" s="117"/>
    </row>
    <row r="1659" ht="15.75" customHeight="1">
      <c r="A1659" s="122"/>
      <c r="B1659" s="133"/>
      <c r="C1659" s="120"/>
      <c r="D1659" s="120"/>
      <c r="E1659" s="120"/>
      <c r="F1659" s="120"/>
      <c r="G1659" s="120"/>
      <c r="H1659" s="120"/>
      <c r="I1659" s="121"/>
      <c r="J1659" s="121"/>
      <c r="K1659" s="117"/>
    </row>
    <row r="1660" ht="15.75" customHeight="1">
      <c r="A1660" s="122"/>
      <c r="B1660" s="133"/>
      <c r="C1660" s="120"/>
      <c r="D1660" s="120"/>
      <c r="E1660" s="120"/>
      <c r="F1660" s="120"/>
      <c r="G1660" s="120"/>
      <c r="H1660" s="120"/>
      <c r="I1660" s="121"/>
      <c r="J1660" s="121"/>
      <c r="K1660" s="117"/>
    </row>
    <row r="1661" ht="15.75" customHeight="1">
      <c r="A1661" s="122"/>
      <c r="B1661" s="133"/>
      <c r="C1661" s="120"/>
      <c r="D1661" s="120"/>
      <c r="E1661" s="120"/>
      <c r="F1661" s="120"/>
      <c r="G1661" s="120"/>
      <c r="H1661" s="120"/>
      <c r="I1661" s="121"/>
      <c r="J1661" s="121"/>
      <c r="K1661" s="117"/>
    </row>
    <row r="1662" ht="15.75" customHeight="1">
      <c r="A1662" s="122"/>
      <c r="B1662" s="133"/>
      <c r="C1662" s="120"/>
      <c r="D1662" s="120"/>
      <c r="E1662" s="120"/>
      <c r="F1662" s="120"/>
      <c r="G1662" s="120"/>
      <c r="H1662" s="120"/>
      <c r="I1662" s="121"/>
      <c r="J1662" s="121"/>
      <c r="K1662" s="117"/>
    </row>
    <row r="1663" ht="15.75" customHeight="1">
      <c r="A1663" s="122"/>
      <c r="B1663" s="133"/>
      <c r="C1663" s="120"/>
      <c r="D1663" s="120"/>
      <c r="E1663" s="120"/>
      <c r="F1663" s="120"/>
      <c r="G1663" s="120"/>
      <c r="H1663" s="120"/>
      <c r="I1663" s="121"/>
      <c r="J1663" s="121"/>
      <c r="K1663" s="117"/>
    </row>
    <row r="1664" ht="15.75" customHeight="1">
      <c r="A1664" s="122"/>
      <c r="B1664" s="133"/>
      <c r="C1664" s="120"/>
      <c r="D1664" s="120"/>
      <c r="E1664" s="120"/>
      <c r="F1664" s="120"/>
      <c r="G1664" s="120"/>
      <c r="H1664" s="120"/>
      <c r="I1664" s="121"/>
      <c r="J1664" s="121"/>
      <c r="K1664" s="117"/>
    </row>
    <row r="1665" ht="15.75" customHeight="1">
      <c r="A1665" s="122"/>
      <c r="B1665" s="133"/>
      <c r="C1665" s="120"/>
      <c r="D1665" s="120"/>
      <c r="E1665" s="120"/>
      <c r="F1665" s="120"/>
      <c r="G1665" s="120"/>
      <c r="H1665" s="120"/>
      <c r="I1665" s="121"/>
      <c r="J1665" s="121"/>
      <c r="K1665" s="117"/>
    </row>
    <row r="1666" ht="15.75" customHeight="1">
      <c r="A1666" s="122"/>
      <c r="B1666" s="133"/>
      <c r="C1666" s="120"/>
      <c r="D1666" s="120"/>
      <c r="E1666" s="120"/>
      <c r="F1666" s="120"/>
      <c r="G1666" s="120"/>
      <c r="H1666" s="120"/>
      <c r="I1666" s="121"/>
      <c r="J1666" s="121"/>
      <c r="K1666" s="117"/>
    </row>
    <row r="1667" ht="15.75" customHeight="1">
      <c r="A1667" s="122"/>
      <c r="B1667" s="133"/>
      <c r="C1667" s="120"/>
      <c r="D1667" s="120"/>
      <c r="E1667" s="120"/>
      <c r="F1667" s="120"/>
      <c r="G1667" s="120"/>
      <c r="H1667" s="120"/>
      <c r="I1667" s="121"/>
      <c r="J1667" s="121"/>
      <c r="K1667" s="117"/>
    </row>
    <row r="1668" ht="15.75" customHeight="1">
      <c r="A1668" s="122"/>
      <c r="B1668" s="133"/>
      <c r="C1668" s="120"/>
      <c r="D1668" s="120"/>
      <c r="E1668" s="120"/>
      <c r="F1668" s="120"/>
      <c r="G1668" s="120"/>
      <c r="H1668" s="120"/>
      <c r="I1668" s="121"/>
      <c r="J1668" s="121"/>
      <c r="K1668" s="117"/>
    </row>
    <row r="1669" ht="15.75" customHeight="1">
      <c r="A1669" s="122"/>
      <c r="B1669" s="133"/>
      <c r="C1669" s="120"/>
      <c r="D1669" s="120"/>
      <c r="E1669" s="120"/>
      <c r="F1669" s="120"/>
      <c r="G1669" s="120"/>
      <c r="H1669" s="120"/>
      <c r="I1669" s="121"/>
      <c r="J1669" s="121"/>
      <c r="K1669" s="117"/>
    </row>
    <row r="1670" ht="15.75" customHeight="1">
      <c r="A1670" s="122"/>
      <c r="B1670" s="133"/>
      <c r="C1670" s="120"/>
      <c r="D1670" s="120"/>
      <c r="E1670" s="120"/>
      <c r="F1670" s="120"/>
      <c r="G1670" s="120"/>
      <c r="H1670" s="120"/>
      <c r="I1670" s="121"/>
      <c r="J1670" s="121"/>
      <c r="K1670" s="117"/>
    </row>
    <row r="1671" ht="15.75" customHeight="1">
      <c r="A1671" s="122"/>
      <c r="B1671" s="133"/>
      <c r="C1671" s="120"/>
      <c r="D1671" s="120"/>
      <c r="E1671" s="120"/>
      <c r="F1671" s="120"/>
      <c r="G1671" s="120"/>
      <c r="H1671" s="120"/>
      <c r="I1671" s="121"/>
      <c r="J1671" s="121"/>
      <c r="K1671" s="117"/>
    </row>
    <row r="1672" ht="15.75" customHeight="1">
      <c r="A1672" s="122"/>
      <c r="B1672" s="133"/>
      <c r="C1672" s="120"/>
      <c r="D1672" s="120"/>
      <c r="E1672" s="120"/>
      <c r="F1672" s="120"/>
      <c r="G1672" s="120"/>
      <c r="H1672" s="120"/>
      <c r="I1672" s="121"/>
      <c r="J1672" s="121"/>
      <c r="K1672" s="117"/>
    </row>
    <row r="1673" ht="15.75" customHeight="1">
      <c r="A1673" s="122"/>
      <c r="B1673" s="133"/>
      <c r="C1673" s="120"/>
      <c r="D1673" s="120"/>
      <c r="E1673" s="120"/>
      <c r="F1673" s="120"/>
      <c r="G1673" s="120"/>
      <c r="H1673" s="120"/>
      <c r="I1673" s="121"/>
      <c r="J1673" s="121"/>
      <c r="K1673" s="117"/>
    </row>
    <row r="1674" ht="15.75" customHeight="1">
      <c r="A1674" s="122"/>
      <c r="B1674" s="133"/>
      <c r="C1674" s="120"/>
      <c r="D1674" s="120"/>
      <c r="E1674" s="120"/>
      <c r="F1674" s="120"/>
      <c r="G1674" s="120"/>
      <c r="H1674" s="120"/>
      <c r="I1674" s="121"/>
      <c r="J1674" s="121"/>
      <c r="K1674" s="117"/>
    </row>
    <row r="1675" ht="15.75" customHeight="1">
      <c r="A1675" s="122"/>
      <c r="B1675" s="133"/>
      <c r="C1675" s="120"/>
      <c r="D1675" s="120"/>
      <c r="E1675" s="120"/>
      <c r="F1675" s="120"/>
      <c r="G1675" s="120"/>
      <c r="H1675" s="120"/>
      <c r="I1675" s="121"/>
      <c r="J1675" s="121"/>
      <c r="K1675" s="117"/>
    </row>
    <row r="1676" ht="15.75" customHeight="1">
      <c r="A1676" s="122"/>
      <c r="B1676" s="133"/>
      <c r="C1676" s="120"/>
      <c r="D1676" s="120"/>
      <c r="E1676" s="120"/>
      <c r="F1676" s="120"/>
      <c r="G1676" s="120"/>
      <c r="H1676" s="120"/>
      <c r="I1676" s="121"/>
      <c r="J1676" s="121"/>
      <c r="K1676" s="117"/>
    </row>
    <row r="1677" ht="15.75" customHeight="1">
      <c r="A1677" s="122"/>
      <c r="B1677" s="133"/>
      <c r="C1677" s="120"/>
      <c r="D1677" s="120"/>
      <c r="E1677" s="120"/>
      <c r="F1677" s="120"/>
      <c r="G1677" s="120"/>
      <c r="H1677" s="120"/>
      <c r="I1677" s="121"/>
      <c r="J1677" s="121"/>
      <c r="K1677" s="117"/>
    </row>
    <row r="1678" ht="15.75" customHeight="1">
      <c r="A1678" s="122"/>
      <c r="B1678" s="133"/>
      <c r="C1678" s="120"/>
      <c r="D1678" s="120"/>
      <c r="E1678" s="120"/>
      <c r="F1678" s="120"/>
      <c r="G1678" s="120"/>
      <c r="H1678" s="120"/>
      <c r="I1678" s="121"/>
      <c r="J1678" s="121"/>
      <c r="K1678" s="117"/>
    </row>
    <row r="1679" ht="15.75" customHeight="1">
      <c r="A1679" s="122"/>
      <c r="B1679" s="133"/>
      <c r="C1679" s="120"/>
      <c r="D1679" s="120"/>
      <c r="E1679" s="120"/>
      <c r="F1679" s="120"/>
      <c r="G1679" s="120"/>
      <c r="H1679" s="120"/>
      <c r="I1679" s="121"/>
      <c r="J1679" s="121"/>
      <c r="K1679" s="117"/>
    </row>
    <row r="1680" ht="15.75" customHeight="1">
      <c r="A1680" s="122"/>
      <c r="B1680" s="133"/>
      <c r="C1680" s="120"/>
      <c r="D1680" s="120"/>
      <c r="E1680" s="120"/>
      <c r="F1680" s="120"/>
      <c r="G1680" s="120"/>
      <c r="H1680" s="120"/>
      <c r="I1680" s="121"/>
      <c r="J1680" s="121"/>
      <c r="K1680" s="117"/>
    </row>
    <row r="1681" ht="15.75" customHeight="1">
      <c r="A1681" s="122"/>
      <c r="B1681" s="133"/>
      <c r="C1681" s="120"/>
      <c r="D1681" s="120"/>
      <c r="E1681" s="120"/>
      <c r="F1681" s="120"/>
      <c r="G1681" s="120"/>
      <c r="H1681" s="120"/>
      <c r="I1681" s="121"/>
      <c r="J1681" s="121"/>
      <c r="K1681" s="117"/>
    </row>
    <row r="1682" ht="15.75" customHeight="1">
      <c r="A1682" s="122"/>
      <c r="B1682" s="133"/>
      <c r="C1682" s="120"/>
      <c r="D1682" s="120"/>
      <c r="E1682" s="120"/>
      <c r="F1682" s="120"/>
      <c r="G1682" s="120"/>
      <c r="H1682" s="120"/>
      <c r="I1682" s="121"/>
      <c r="J1682" s="121"/>
      <c r="K1682" s="117"/>
    </row>
    <row r="1683" ht="15.75" customHeight="1">
      <c r="A1683" s="122"/>
      <c r="B1683" s="133"/>
      <c r="C1683" s="120"/>
      <c r="D1683" s="120"/>
      <c r="E1683" s="120"/>
      <c r="F1683" s="120"/>
      <c r="G1683" s="120"/>
      <c r="H1683" s="120"/>
      <c r="I1683" s="121"/>
      <c r="J1683" s="121"/>
      <c r="K1683" s="117"/>
    </row>
    <row r="1684" ht="15.75" customHeight="1">
      <c r="A1684" s="122"/>
      <c r="B1684" s="133"/>
      <c r="C1684" s="120"/>
      <c r="D1684" s="120"/>
      <c r="E1684" s="120"/>
      <c r="F1684" s="120"/>
      <c r="G1684" s="120"/>
      <c r="H1684" s="120"/>
      <c r="I1684" s="121"/>
      <c r="J1684" s="121"/>
      <c r="K1684" s="117"/>
    </row>
    <row r="1685" ht="15.75" customHeight="1">
      <c r="A1685" s="122"/>
      <c r="B1685" s="133"/>
      <c r="C1685" s="120"/>
      <c r="D1685" s="120"/>
      <c r="E1685" s="120"/>
      <c r="F1685" s="120"/>
      <c r="G1685" s="120"/>
      <c r="H1685" s="120"/>
      <c r="I1685" s="121"/>
      <c r="J1685" s="121"/>
      <c r="K1685" s="117"/>
    </row>
    <row r="1686" ht="15.75" customHeight="1">
      <c r="A1686" s="122"/>
      <c r="B1686" s="133"/>
      <c r="C1686" s="120"/>
      <c r="D1686" s="120"/>
      <c r="E1686" s="120"/>
      <c r="F1686" s="120"/>
      <c r="G1686" s="120"/>
      <c r="H1686" s="120"/>
      <c r="I1686" s="121"/>
      <c r="J1686" s="121"/>
      <c r="K1686" s="117"/>
    </row>
    <row r="1687" ht="15.75" customHeight="1">
      <c r="A1687" s="122"/>
      <c r="B1687" s="133"/>
      <c r="C1687" s="120"/>
      <c r="D1687" s="120"/>
      <c r="E1687" s="120"/>
      <c r="F1687" s="120"/>
      <c r="G1687" s="120"/>
      <c r="H1687" s="120"/>
      <c r="I1687" s="121"/>
      <c r="J1687" s="121"/>
      <c r="K1687" s="117"/>
    </row>
    <row r="1688" ht="15.75" customHeight="1">
      <c r="A1688" s="122"/>
      <c r="B1688" s="133"/>
      <c r="C1688" s="120"/>
      <c r="D1688" s="120"/>
      <c r="E1688" s="120"/>
      <c r="F1688" s="120"/>
      <c r="G1688" s="120"/>
      <c r="H1688" s="120"/>
      <c r="I1688" s="121"/>
      <c r="J1688" s="121"/>
      <c r="K1688" s="117"/>
    </row>
    <row r="1689" ht="15.75" customHeight="1">
      <c r="A1689" s="122"/>
      <c r="B1689" s="133"/>
      <c r="C1689" s="120"/>
      <c r="D1689" s="120"/>
      <c r="E1689" s="120"/>
      <c r="F1689" s="120"/>
      <c r="G1689" s="120"/>
      <c r="H1689" s="120"/>
      <c r="I1689" s="121"/>
      <c r="J1689" s="121"/>
      <c r="K1689" s="117"/>
    </row>
    <row r="1690" ht="15.75" customHeight="1">
      <c r="A1690" s="122"/>
      <c r="B1690" s="133"/>
      <c r="C1690" s="120"/>
      <c r="D1690" s="120"/>
      <c r="E1690" s="120"/>
      <c r="F1690" s="120"/>
      <c r="G1690" s="120"/>
      <c r="H1690" s="120"/>
      <c r="I1690" s="121"/>
      <c r="J1690" s="121"/>
      <c r="K1690" s="117"/>
    </row>
    <row r="1691" ht="15.75" customHeight="1">
      <c r="A1691" s="122"/>
      <c r="B1691" s="133"/>
      <c r="C1691" s="120"/>
      <c r="D1691" s="120"/>
      <c r="E1691" s="120"/>
      <c r="F1691" s="120"/>
      <c r="G1691" s="120"/>
      <c r="H1691" s="120"/>
      <c r="I1691" s="121"/>
      <c r="J1691" s="121"/>
      <c r="K1691" s="117"/>
    </row>
    <row r="1692" ht="15.75" customHeight="1">
      <c r="A1692" s="122"/>
      <c r="B1692" s="133"/>
      <c r="C1692" s="120"/>
      <c r="D1692" s="120"/>
      <c r="E1692" s="120"/>
      <c r="F1692" s="120"/>
      <c r="G1692" s="120"/>
      <c r="H1692" s="120"/>
      <c r="I1692" s="121"/>
      <c r="J1692" s="121"/>
      <c r="K1692" s="117"/>
    </row>
    <row r="1693" ht="15.75" customHeight="1">
      <c r="A1693" s="122"/>
      <c r="B1693" s="133"/>
      <c r="C1693" s="120"/>
      <c r="D1693" s="120"/>
      <c r="E1693" s="120"/>
      <c r="F1693" s="120"/>
      <c r="G1693" s="120"/>
      <c r="H1693" s="120"/>
      <c r="I1693" s="121"/>
      <c r="J1693" s="121"/>
      <c r="K1693" s="117"/>
    </row>
    <row r="1694" ht="15.75" customHeight="1">
      <c r="A1694" s="122"/>
      <c r="B1694" s="133"/>
      <c r="C1694" s="120"/>
      <c r="D1694" s="120"/>
      <c r="E1694" s="120"/>
      <c r="F1694" s="120"/>
      <c r="G1694" s="120"/>
      <c r="H1694" s="120"/>
      <c r="I1694" s="121"/>
      <c r="J1694" s="121"/>
      <c r="K1694" s="117"/>
    </row>
    <row r="1695" ht="15.75" customHeight="1">
      <c r="A1695" s="122"/>
      <c r="B1695" s="133"/>
      <c r="C1695" s="120"/>
      <c r="D1695" s="120"/>
      <c r="E1695" s="120"/>
      <c r="F1695" s="120"/>
      <c r="G1695" s="120"/>
      <c r="H1695" s="120"/>
      <c r="I1695" s="121"/>
      <c r="J1695" s="121"/>
      <c r="K1695" s="117"/>
    </row>
    <row r="1696" ht="15.75" customHeight="1">
      <c r="A1696" s="122"/>
      <c r="B1696" s="133"/>
      <c r="C1696" s="120"/>
      <c r="D1696" s="120"/>
      <c r="E1696" s="120"/>
      <c r="F1696" s="120"/>
      <c r="G1696" s="120"/>
      <c r="H1696" s="120"/>
      <c r="I1696" s="121"/>
      <c r="J1696" s="121"/>
      <c r="K1696" s="117"/>
    </row>
    <row r="1697" ht="15.75" customHeight="1">
      <c r="A1697" s="122"/>
      <c r="B1697" s="133"/>
      <c r="C1697" s="120"/>
      <c r="D1697" s="120"/>
      <c r="E1697" s="120"/>
      <c r="F1697" s="120"/>
      <c r="G1697" s="120"/>
      <c r="H1697" s="120"/>
      <c r="I1697" s="121"/>
      <c r="J1697" s="121"/>
      <c r="K1697" s="117"/>
    </row>
    <row r="1698" ht="15.75" customHeight="1">
      <c r="A1698" s="122"/>
      <c r="B1698" s="133"/>
      <c r="C1698" s="120"/>
      <c r="D1698" s="120"/>
      <c r="E1698" s="120"/>
      <c r="F1698" s="120"/>
      <c r="G1698" s="120"/>
      <c r="H1698" s="120"/>
      <c r="I1698" s="121"/>
      <c r="J1698" s="121"/>
      <c r="K1698" s="117"/>
    </row>
    <row r="1699" ht="15.75" customHeight="1">
      <c r="A1699" s="122"/>
      <c r="B1699" s="133"/>
      <c r="C1699" s="120"/>
      <c r="D1699" s="120"/>
      <c r="E1699" s="120"/>
      <c r="F1699" s="120"/>
      <c r="G1699" s="120"/>
      <c r="H1699" s="120"/>
      <c r="I1699" s="121"/>
      <c r="J1699" s="121"/>
      <c r="K1699" s="117"/>
    </row>
    <row r="1700" ht="15.75" customHeight="1">
      <c r="A1700" s="122"/>
      <c r="B1700" s="133"/>
      <c r="C1700" s="120"/>
      <c r="D1700" s="120"/>
      <c r="E1700" s="120"/>
      <c r="F1700" s="120"/>
      <c r="G1700" s="120"/>
      <c r="H1700" s="120"/>
      <c r="I1700" s="121"/>
      <c r="J1700" s="121"/>
      <c r="K1700" s="117"/>
    </row>
    <row r="1701" ht="15.75" customHeight="1">
      <c r="A1701" s="122"/>
      <c r="B1701" s="133"/>
      <c r="C1701" s="120"/>
      <c r="D1701" s="120"/>
      <c r="E1701" s="120"/>
      <c r="F1701" s="120"/>
      <c r="G1701" s="120"/>
      <c r="H1701" s="120"/>
      <c r="I1701" s="121"/>
      <c r="J1701" s="121"/>
      <c r="K1701" s="117"/>
    </row>
    <row r="1702" ht="15.75" customHeight="1">
      <c r="A1702" s="122"/>
      <c r="B1702" s="133"/>
      <c r="C1702" s="120"/>
      <c r="D1702" s="120"/>
      <c r="E1702" s="120"/>
      <c r="F1702" s="120"/>
      <c r="G1702" s="120"/>
      <c r="H1702" s="120"/>
      <c r="I1702" s="121"/>
      <c r="J1702" s="121"/>
      <c r="K1702" s="117"/>
    </row>
    <row r="1703" ht="15.75" customHeight="1">
      <c r="A1703" s="122"/>
      <c r="B1703" s="133"/>
      <c r="C1703" s="120"/>
      <c r="D1703" s="120"/>
      <c r="E1703" s="120"/>
      <c r="F1703" s="120"/>
      <c r="G1703" s="120"/>
      <c r="H1703" s="120"/>
      <c r="I1703" s="121"/>
      <c r="J1703" s="121"/>
      <c r="K1703" s="117"/>
    </row>
    <row r="1704" ht="15.75" customHeight="1">
      <c r="A1704" s="122"/>
      <c r="B1704" s="133"/>
      <c r="C1704" s="120"/>
      <c r="D1704" s="120"/>
      <c r="E1704" s="120"/>
      <c r="F1704" s="120"/>
      <c r="G1704" s="120"/>
      <c r="H1704" s="120"/>
      <c r="I1704" s="121"/>
      <c r="J1704" s="121"/>
      <c r="K1704" s="117"/>
    </row>
    <row r="1705" ht="15.75" customHeight="1">
      <c r="A1705" s="122"/>
      <c r="B1705" s="133"/>
      <c r="C1705" s="120"/>
      <c r="D1705" s="120"/>
      <c r="E1705" s="120"/>
      <c r="F1705" s="120"/>
      <c r="G1705" s="120"/>
      <c r="H1705" s="120"/>
      <c r="I1705" s="121"/>
      <c r="J1705" s="121"/>
      <c r="K1705" s="117"/>
    </row>
    <row r="1706" ht="15.75" customHeight="1">
      <c r="A1706" s="122"/>
      <c r="B1706" s="133"/>
      <c r="C1706" s="120"/>
      <c r="D1706" s="120"/>
      <c r="E1706" s="120"/>
      <c r="F1706" s="120"/>
      <c r="G1706" s="120"/>
      <c r="H1706" s="120"/>
      <c r="I1706" s="121"/>
      <c r="J1706" s="121"/>
      <c r="K1706" s="117"/>
    </row>
    <row r="1707" ht="15.75" customHeight="1">
      <c r="A1707" s="122"/>
      <c r="B1707" s="133"/>
      <c r="C1707" s="120"/>
      <c r="D1707" s="120"/>
      <c r="E1707" s="120"/>
      <c r="F1707" s="120"/>
      <c r="G1707" s="120"/>
      <c r="H1707" s="120"/>
      <c r="I1707" s="121"/>
      <c r="J1707" s="121"/>
      <c r="K1707" s="117"/>
    </row>
    <row r="1708" ht="15.75" customHeight="1">
      <c r="A1708" s="122"/>
      <c r="B1708" s="133"/>
      <c r="C1708" s="120"/>
      <c r="D1708" s="120"/>
      <c r="E1708" s="120"/>
      <c r="F1708" s="120"/>
      <c r="G1708" s="120"/>
      <c r="H1708" s="120"/>
      <c r="I1708" s="121"/>
      <c r="J1708" s="121"/>
      <c r="K1708" s="117"/>
    </row>
    <row r="1709" ht="15.75" customHeight="1">
      <c r="A1709" s="122"/>
      <c r="B1709" s="133"/>
      <c r="C1709" s="120"/>
      <c r="D1709" s="120"/>
      <c r="E1709" s="120"/>
      <c r="F1709" s="120"/>
      <c r="G1709" s="120"/>
      <c r="H1709" s="120"/>
      <c r="I1709" s="121"/>
      <c r="J1709" s="121"/>
      <c r="K1709" s="117"/>
    </row>
    <row r="1710" ht="15.75" customHeight="1">
      <c r="A1710" s="122"/>
      <c r="B1710" s="133"/>
      <c r="C1710" s="120"/>
      <c r="D1710" s="120"/>
      <c r="E1710" s="120"/>
      <c r="F1710" s="120"/>
      <c r="G1710" s="120"/>
      <c r="H1710" s="120"/>
      <c r="I1710" s="121"/>
      <c r="J1710" s="121"/>
      <c r="K1710" s="117"/>
    </row>
    <row r="1711" ht="15.75" customHeight="1">
      <c r="A1711" s="122"/>
      <c r="B1711" s="133"/>
      <c r="C1711" s="120"/>
      <c r="D1711" s="120"/>
      <c r="E1711" s="120"/>
      <c r="F1711" s="120"/>
      <c r="G1711" s="120"/>
      <c r="H1711" s="120"/>
      <c r="I1711" s="121"/>
      <c r="J1711" s="121"/>
      <c r="K1711" s="117"/>
    </row>
    <row r="1712" ht="15.75" customHeight="1">
      <c r="A1712" s="122"/>
      <c r="B1712" s="133"/>
      <c r="C1712" s="120"/>
      <c r="D1712" s="120"/>
      <c r="E1712" s="120"/>
      <c r="F1712" s="120"/>
      <c r="G1712" s="120"/>
      <c r="H1712" s="120"/>
      <c r="I1712" s="121"/>
      <c r="J1712" s="121"/>
      <c r="K1712" s="117"/>
    </row>
    <row r="1713" ht="15.75" customHeight="1">
      <c r="A1713" s="122"/>
      <c r="B1713" s="133"/>
      <c r="C1713" s="120"/>
      <c r="D1713" s="120"/>
      <c r="E1713" s="120"/>
      <c r="F1713" s="120"/>
      <c r="G1713" s="120"/>
      <c r="H1713" s="120"/>
      <c r="I1713" s="121"/>
      <c r="J1713" s="121"/>
      <c r="K1713" s="117"/>
    </row>
    <row r="1714" ht="15.75" customHeight="1">
      <c r="A1714" s="122"/>
      <c r="B1714" s="133"/>
      <c r="C1714" s="120"/>
      <c r="D1714" s="120"/>
      <c r="E1714" s="120"/>
      <c r="F1714" s="120"/>
      <c r="G1714" s="120"/>
      <c r="H1714" s="120"/>
      <c r="I1714" s="121"/>
      <c r="J1714" s="121"/>
      <c r="K1714" s="117"/>
    </row>
    <row r="1715" ht="15.75" customHeight="1">
      <c r="A1715" s="122"/>
      <c r="B1715" s="133"/>
      <c r="C1715" s="120"/>
      <c r="D1715" s="120"/>
      <c r="E1715" s="120"/>
      <c r="F1715" s="120"/>
      <c r="G1715" s="120"/>
      <c r="H1715" s="120"/>
      <c r="I1715" s="121"/>
      <c r="J1715" s="121"/>
      <c r="K1715" s="117"/>
    </row>
    <row r="1716" ht="15.75" customHeight="1">
      <c r="A1716" s="122"/>
      <c r="B1716" s="133"/>
      <c r="C1716" s="120"/>
      <c r="D1716" s="120"/>
      <c r="E1716" s="120"/>
      <c r="F1716" s="120"/>
      <c r="G1716" s="120"/>
      <c r="H1716" s="120"/>
      <c r="I1716" s="121"/>
      <c r="J1716" s="121"/>
      <c r="K1716" s="117"/>
    </row>
    <row r="1717" ht="15.75" customHeight="1">
      <c r="A1717" s="122"/>
      <c r="B1717" s="133"/>
      <c r="C1717" s="120"/>
      <c r="D1717" s="120"/>
      <c r="E1717" s="120"/>
      <c r="F1717" s="120"/>
      <c r="G1717" s="120"/>
      <c r="H1717" s="120"/>
      <c r="I1717" s="121"/>
      <c r="J1717" s="121"/>
      <c r="K1717" s="117"/>
    </row>
    <row r="1718" ht="15.75" customHeight="1">
      <c r="A1718" s="122"/>
      <c r="B1718" s="133"/>
      <c r="C1718" s="120"/>
      <c r="D1718" s="120"/>
      <c r="E1718" s="120"/>
      <c r="F1718" s="120"/>
      <c r="G1718" s="120"/>
      <c r="H1718" s="120"/>
      <c r="I1718" s="121"/>
      <c r="J1718" s="121"/>
      <c r="K1718" s="117"/>
    </row>
    <row r="1719" ht="15.75" customHeight="1">
      <c r="A1719" s="122"/>
      <c r="B1719" s="133"/>
      <c r="C1719" s="120"/>
      <c r="D1719" s="120"/>
      <c r="E1719" s="120"/>
      <c r="F1719" s="120"/>
      <c r="G1719" s="120"/>
      <c r="H1719" s="120"/>
      <c r="I1719" s="121"/>
      <c r="J1719" s="121"/>
      <c r="K1719" s="117"/>
    </row>
    <row r="1720" ht="15.75" customHeight="1">
      <c r="A1720" s="122"/>
      <c r="B1720" s="133"/>
      <c r="C1720" s="120"/>
      <c r="D1720" s="120"/>
      <c r="E1720" s="120"/>
      <c r="F1720" s="120"/>
      <c r="G1720" s="120"/>
      <c r="H1720" s="120"/>
      <c r="I1720" s="121"/>
      <c r="J1720" s="121"/>
      <c r="K1720" s="117"/>
    </row>
    <row r="1721" ht="15.75" customHeight="1">
      <c r="A1721" s="122"/>
      <c r="B1721" s="133"/>
      <c r="C1721" s="120"/>
      <c r="D1721" s="120"/>
      <c r="E1721" s="120"/>
      <c r="F1721" s="120"/>
      <c r="G1721" s="120"/>
      <c r="H1721" s="120"/>
      <c r="I1721" s="121"/>
      <c r="J1721" s="121"/>
      <c r="K1721" s="117"/>
    </row>
    <row r="1722" ht="15.75" customHeight="1">
      <c r="A1722" s="122"/>
      <c r="B1722" s="133"/>
      <c r="C1722" s="120"/>
      <c r="D1722" s="120"/>
      <c r="E1722" s="120"/>
      <c r="F1722" s="120"/>
      <c r="G1722" s="120"/>
      <c r="H1722" s="120"/>
      <c r="I1722" s="121"/>
      <c r="J1722" s="121"/>
      <c r="K1722" s="117"/>
    </row>
    <row r="1723" ht="15.75" customHeight="1">
      <c r="A1723" s="122"/>
      <c r="B1723" s="133"/>
      <c r="C1723" s="120"/>
      <c r="D1723" s="120"/>
      <c r="E1723" s="120"/>
      <c r="F1723" s="120"/>
      <c r="G1723" s="120"/>
      <c r="H1723" s="120"/>
      <c r="I1723" s="121"/>
      <c r="J1723" s="121"/>
      <c r="K1723" s="117"/>
    </row>
    <row r="1724" ht="15.75" customHeight="1">
      <c r="A1724" s="122"/>
      <c r="B1724" s="133"/>
      <c r="C1724" s="120"/>
      <c r="D1724" s="120"/>
      <c r="E1724" s="120"/>
      <c r="F1724" s="120"/>
      <c r="G1724" s="120"/>
      <c r="H1724" s="120"/>
      <c r="I1724" s="121"/>
      <c r="J1724" s="121"/>
      <c r="K1724" s="117"/>
    </row>
    <row r="1725" ht="15.75" customHeight="1">
      <c r="A1725" s="122"/>
      <c r="B1725" s="133"/>
      <c r="C1725" s="120"/>
      <c r="D1725" s="120"/>
      <c r="E1725" s="120"/>
      <c r="F1725" s="120"/>
      <c r="G1725" s="120"/>
      <c r="H1725" s="120"/>
      <c r="I1725" s="121"/>
      <c r="J1725" s="121"/>
      <c r="K1725" s="117"/>
    </row>
    <row r="1726" ht="15.75" customHeight="1">
      <c r="A1726" s="122"/>
      <c r="B1726" s="133"/>
      <c r="C1726" s="120"/>
      <c r="D1726" s="120"/>
      <c r="E1726" s="120"/>
      <c r="F1726" s="120"/>
      <c r="G1726" s="120"/>
      <c r="H1726" s="120"/>
      <c r="I1726" s="121"/>
      <c r="J1726" s="121"/>
      <c r="K1726" s="117"/>
    </row>
    <row r="1727" ht="15.75" customHeight="1">
      <c r="A1727" s="122"/>
      <c r="B1727" s="133"/>
      <c r="C1727" s="120"/>
      <c r="D1727" s="120"/>
      <c r="E1727" s="120"/>
      <c r="F1727" s="120"/>
      <c r="G1727" s="120"/>
      <c r="H1727" s="120"/>
      <c r="I1727" s="121"/>
      <c r="J1727" s="121"/>
      <c r="K1727" s="117"/>
    </row>
    <row r="1728" ht="15.75" customHeight="1">
      <c r="A1728" s="122"/>
      <c r="B1728" s="133"/>
      <c r="C1728" s="120"/>
      <c r="D1728" s="120"/>
      <c r="E1728" s="120"/>
      <c r="F1728" s="120"/>
      <c r="G1728" s="120"/>
      <c r="H1728" s="120"/>
      <c r="I1728" s="121"/>
      <c r="J1728" s="121"/>
      <c r="K1728" s="117"/>
    </row>
    <row r="1729" ht="15.75" customHeight="1">
      <c r="A1729" s="122"/>
      <c r="B1729" s="133"/>
      <c r="C1729" s="120"/>
      <c r="D1729" s="120"/>
      <c r="E1729" s="120"/>
      <c r="F1729" s="120"/>
      <c r="G1729" s="120"/>
      <c r="H1729" s="120"/>
      <c r="I1729" s="121"/>
      <c r="J1729" s="121"/>
      <c r="K1729" s="117"/>
    </row>
    <row r="1730" ht="15.75" customHeight="1">
      <c r="A1730" s="122"/>
      <c r="B1730" s="133"/>
      <c r="C1730" s="120"/>
      <c r="D1730" s="120"/>
      <c r="E1730" s="120"/>
      <c r="F1730" s="120"/>
      <c r="G1730" s="120"/>
      <c r="H1730" s="120"/>
      <c r="I1730" s="121"/>
      <c r="J1730" s="121"/>
      <c r="K1730" s="117"/>
    </row>
    <row r="1731" ht="15.75" customHeight="1">
      <c r="A1731" s="122"/>
      <c r="B1731" s="133"/>
      <c r="C1731" s="120"/>
      <c r="D1731" s="120"/>
      <c r="E1731" s="120"/>
      <c r="F1731" s="120"/>
      <c r="G1731" s="120"/>
      <c r="H1731" s="120"/>
      <c r="I1731" s="121"/>
      <c r="J1731" s="121"/>
      <c r="K1731" s="117"/>
    </row>
    <row r="1732" ht="15.75" customHeight="1">
      <c r="A1732" s="122"/>
      <c r="B1732" s="133"/>
      <c r="C1732" s="120"/>
      <c r="D1732" s="120"/>
      <c r="E1732" s="120"/>
      <c r="F1732" s="120"/>
      <c r="G1732" s="120"/>
      <c r="H1732" s="120"/>
      <c r="I1732" s="121"/>
      <c r="J1732" s="121"/>
      <c r="K1732" s="117"/>
    </row>
    <row r="1733" ht="15.75" customHeight="1">
      <c r="A1733" s="122"/>
      <c r="B1733" s="133"/>
      <c r="C1733" s="120"/>
      <c r="D1733" s="120"/>
      <c r="E1733" s="120"/>
      <c r="F1733" s="120"/>
      <c r="G1733" s="120"/>
      <c r="H1733" s="120"/>
      <c r="I1733" s="121"/>
      <c r="J1733" s="121"/>
      <c r="K1733" s="117"/>
    </row>
    <row r="1734" ht="15.75" customHeight="1">
      <c r="A1734" s="122"/>
      <c r="B1734" s="133"/>
      <c r="C1734" s="120"/>
      <c r="D1734" s="120"/>
      <c r="E1734" s="120"/>
      <c r="F1734" s="120"/>
      <c r="G1734" s="120"/>
      <c r="H1734" s="120"/>
      <c r="I1734" s="121"/>
      <c r="J1734" s="121"/>
      <c r="K1734" s="117"/>
    </row>
    <row r="1735" ht="15.75" customHeight="1">
      <c r="A1735" s="122"/>
      <c r="B1735" s="133"/>
      <c r="C1735" s="120"/>
      <c r="D1735" s="120"/>
      <c r="E1735" s="120"/>
      <c r="F1735" s="120"/>
      <c r="G1735" s="120"/>
      <c r="H1735" s="120"/>
      <c r="I1735" s="121"/>
      <c r="J1735" s="121"/>
      <c r="K1735" s="117"/>
    </row>
    <row r="1736" ht="15.75" customHeight="1">
      <c r="A1736" s="122"/>
      <c r="B1736" s="133"/>
      <c r="C1736" s="120"/>
      <c r="D1736" s="120"/>
      <c r="E1736" s="120"/>
      <c r="F1736" s="120"/>
      <c r="G1736" s="120"/>
      <c r="H1736" s="120"/>
      <c r="I1736" s="121"/>
      <c r="J1736" s="121"/>
      <c r="K1736" s="117"/>
    </row>
    <row r="1737" ht="15.75" customHeight="1">
      <c r="A1737" s="122"/>
      <c r="B1737" s="133"/>
      <c r="C1737" s="120"/>
      <c r="D1737" s="120"/>
      <c r="E1737" s="120"/>
      <c r="F1737" s="120"/>
      <c r="G1737" s="120"/>
      <c r="H1737" s="120"/>
      <c r="I1737" s="121"/>
      <c r="J1737" s="121"/>
      <c r="K1737" s="117"/>
    </row>
    <row r="1738" ht="15.75" customHeight="1">
      <c r="A1738" s="122"/>
      <c r="B1738" s="133"/>
      <c r="C1738" s="120"/>
      <c r="D1738" s="120"/>
      <c r="E1738" s="120"/>
      <c r="F1738" s="120"/>
      <c r="G1738" s="120"/>
      <c r="H1738" s="120"/>
      <c r="I1738" s="121"/>
      <c r="J1738" s="121"/>
      <c r="K1738" s="117"/>
    </row>
    <row r="1739" ht="15.75" customHeight="1">
      <c r="A1739" s="122"/>
      <c r="B1739" s="133"/>
      <c r="C1739" s="120"/>
      <c r="D1739" s="120"/>
      <c r="E1739" s="120"/>
      <c r="F1739" s="120"/>
      <c r="G1739" s="120"/>
      <c r="H1739" s="120"/>
      <c r="I1739" s="121"/>
      <c r="J1739" s="121"/>
      <c r="K1739" s="117"/>
    </row>
    <row r="1740" ht="15.75" customHeight="1">
      <c r="A1740" s="122"/>
      <c r="B1740" s="133"/>
      <c r="C1740" s="120"/>
      <c r="D1740" s="120"/>
      <c r="E1740" s="120"/>
      <c r="F1740" s="120"/>
      <c r="G1740" s="120"/>
      <c r="H1740" s="120"/>
      <c r="I1740" s="121"/>
      <c r="J1740" s="121"/>
      <c r="K1740" s="117"/>
    </row>
    <row r="1741" ht="15.75" customHeight="1">
      <c r="A1741" s="122"/>
      <c r="B1741" s="133"/>
      <c r="C1741" s="120"/>
      <c r="D1741" s="120"/>
      <c r="E1741" s="120"/>
      <c r="F1741" s="120"/>
      <c r="G1741" s="120"/>
      <c r="H1741" s="120"/>
      <c r="I1741" s="121"/>
      <c r="J1741" s="121"/>
      <c r="K1741" s="117"/>
    </row>
    <row r="1742" ht="15.75" customHeight="1">
      <c r="A1742" s="122"/>
      <c r="B1742" s="133"/>
      <c r="C1742" s="120"/>
      <c r="D1742" s="120"/>
      <c r="E1742" s="120"/>
      <c r="F1742" s="120"/>
      <c r="G1742" s="120"/>
      <c r="H1742" s="120"/>
      <c r="I1742" s="121"/>
      <c r="J1742" s="121"/>
      <c r="K1742" s="117"/>
    </row>
    <row r="1743" ht="15.75" customHeight="1">
      <c r="A1743" s="122"/>
      <c r="B1743" s="133"/>
      <c r="C1743" s="120"/>
      <c r="D1743" s="120"/>
      <c r="E1743" s="120"/>
      <c r="F1743" s="120"/>
      <c r="G1743" s="120"/>
      <c r="H1743" s="120"/>
      <c r="I1743" s="121"/>
      <c r="J1743" s="121"/>
      <c r="K1743" s="117"/>
    </row>
    <row r="1744" ht="15.75" customHeight="1">
      <c r="A1744" s="122"/>
      <c r="B1744" s="133"/>
      <c r="C1744" s="120"/>
      <c r="D1744" s="120"/>
      <c r="E1744" s="120"/>
      <c r="F1744" s="120"/>
      <c r="G1744" s="120"/>
      <c r="H1744" s="120"/>
      <c r="I1744" s="121"/>
      <c r="J1744" s="121"/>
      <c r="K1744" s="117"/>
    </row>
    <row r="1745" ht="15.75" customHeight="1">
      <c r="A1745" s="122"/>
      <c r="B1745" s="133"/>
      <c r="C1745" s="120"/>
      <c r="D1745" s="120"/>
      <c r="E1745" s="120"/>
      <c r="F1745" s="120"/>
      <c r="G1745" s="120"/>
      <c r="H1745" s="120"/>
      <c r="I1745" s="121"/>
      <c r="J1745" s="121"/>
      <c r="K1745" s="117"/>
    </row>
    <row r="1746" ht="15.75" customHeight="1">
      <c r="A1746" s="122"/>
      <c r="B1746" s="133"/>
      <c r="C1746" s="120"/>
      <c r="D1746" s="120"/>
      <c r="E1746" s="120"/>
      <c r="F1746" s="120"/>
      <c r="G1746" s="120"/>
      <c r="H1746" s="120"/>
      <c r="I1746" s="121"/>
      <c r="J1746" s="121"/>
      <c r="K1746" s="117"/>
    </row>
    <row r="1747" ht="15.75" customHeight="1">
      <c r="A1747" s="122"/>
      <c r="B1747" s="133"/>
      <c r="C1747" s="120"/>
      <c r="D1747" s="120"/>
      <c r="E1747" s="120"/>
      <c r="F1747" s="120"/>
      <c r="G1747" s="120"/>
      <c r="H1747" s="120"/>
      <c r="I1747" s="121"/>
      <c r="J1747" s="121"/>
      <c r="K1747" s="117"/>
    </row>
    <row r="1748" ht="15.75" customHeight="1">
      <c r="A1748" s="122"/>
      <c r="B1748" s="133"/>
      <c r="C1748" s="120"/>
      <c r="D1748" s="120"/>
      <c r="E1748" s="120"/>
      <c r="F1748" s="120"/>
      <c r="G1748" s="120"/>
      <c r="H1748" s="120"/>
      <c r="I1748" s="121"/>
      <c r="J1748" s="121"/>
      <c r="K1748" s="117"/>
    </row>
    <row r="1749" ht="15.75" customHeight="1">
      <c r="A1749" s="122"/>
      <c r="B1749" s="133"/>
      <c r="C1749" s="120"/>
      <c r="D1749" s="120"/>
      <c r="E1749" s="120"/>
      <c r="F1749" s="120"/>
      <c r="G1749" s="120"/>
      <c r="H1749" s="120"/>
      <c r="I1749" s="121"/>
      <c r="J1749" s="121"/>
      <c r="K1749" s="117"/>
    </row>
    <row r="1750" ht="15.75" customHeight="1">
      <c r="A1750" s="122"/>
      <c r="B1750" s="133"/>
      <c r="C1750" s="120"/>
      <c r="D1750" s="120"/>
      <c r="E1750" s="120"/>
      <c r="F1750" s="120"/>
      <c r="G1750" s="120"/>
      <c r="H1750" s="120"/>
      <c r="I1750" s="121"/>
      <c r="J1750" s="121"/>
      <c r="K1750" s="117"/>
    </row>
    <row r="1751" ht="15.75" customHeight="1">
      <c r="A1751" s="122"/>
      <c r="B1751" s="133"/>
      <c r="C1751" s="120"/>
      <c r="D1751" s="120"/>
      <c r="E1751" s="120"/>
      <c r="F1751" s="120"/>
      <c r="G1751" s="120"/>
      <c r="H1751" s="120"/>
      <c r="I1751" s="121"/>
      <c r="J1751" s="121"/>
      <c r="K1751" s="117"/>
    </row>
    <row r="1752" ht="15.75" customHeight="1">
      <c r="A1752" s="122"/>
      <c r="B1752" s="133"/>
      <c r="C1752" s="120"/>
      <c r="D1752" s="120"/>
      <c r="E1752" s="120"/>
      <c r="F1752" s="120"/>
      <c r="G1752" s="120"/>
      <c r="H1752" s="120"/>
      <c r="I1752" s="121"/>
      <c r="J1752" s="121"/>
      <c r="K1752" s="117"/>
    </row>
    <row r="1753" ht="15.75" customHeight="1">
      <c r="A1753" s="122"/>
      <c r="B1753" s="133"/>
      <c r="C1753" s="120"/>
      <c r="D1753" s="120"/>
      <c r="E1753" s="120"/>
      <c r="F1753" s="120"/>
      <c r="G1753" s="120"/>
      <c r="H1753" s="120"/>
      <c r="I1753" s="121"/>
      <c r="J1753" s="121"/>
      <c r="K1753" s="117"/>
    </row>
    <row r="1754" ht="15.75" customHeight="1">
      <c r="A1754" s="122"/>
      <c r="B1754" s="133"/>
      <c r="C1754" s="120"/>
      <c r="D1754" s="120"/>
      <c r="E1754" s="120"/>
      <c r="F1754" s="120"/>
      <c r="G1754" s="120"/>
      <c r="H1754" s="120"/>
      <c r="I1754" s="121"/>
      <c r="J1754" s="121"/>
      <c r="K1754" s="117"/>
    </row>
    <row r="1755" ht="15.75" customHeight="1">
      <c r="A1755" s="122"/>
      <c r="B1755" s="133"/>
      <c r="C1755" s="120"/>
      <c r="D1755" s="120"/>
      <c r="E1755" s="120"/>
      <c r="F1755" s="120"/>
      <c r="G1755" s="120"/>
      <c r="H1755" s="120"/>
      <c r="I1755" s="121"/>
      <c r="J1755" s="121"/>
      <c r="K1755" s="117"/>
    </row>
    <row r="1756" ht="15.75" customHeight="1">
      <c r="A1756" s="122"/>
      <c r="B1756" s="133"/>
      <c r="C1756" s="120"/>
      <c r="D1756" s="120"/>
      <c r="E1756" s="120"/>
      <c r="F1756" s="120"/>
      <c r="G1756" s="120"/>
      <c r="H1756" s="120"/>
      <c r="I1756" s="121"/>
      <c r="J1756" s="121"/>
      <c r="K1756" s="117"/>
    </row>
    <row r="1757" ht="15.75" customHeight="1">
      <c r="A1757" s="122"/>
      <c r="B1757" s="133"/>
      <c r="C1757" s="120"/>
      <c r="D1757" s="120"/>
      <c r="E1757" s="120"/>
      <c r="F1757" s="120"/>
      <c r="G1757" s="120"/>
      <c r="H1757" s="120"/>
      <c r="I1757" s="121"/>
      <c r="J1757" s="121"/>
      <c r="K1757" s="117"/>
    </row>
    <row r="1758" ht="15.75" customHeight="1">
      <c r="A1758" s="122"/>
      <c r="B1758" s="133"/>
      <c r="C1758" s="120"/>
      <c r="D1758" s="120"/>
      <c r="E1758" s="120"/>
      <c r="F1758" s="120"/>
      <c r="G1758" s="120"/>
      <c r="H1758" s="120"/>
      <c r="I1758" s="121"/>
      <c r="J1758" s="121"/>
      <c r="K1758" s="117"/>
    </row>
    <row r="1759" ht="15.75" customHeight="1">
      <c r="A1759" s="122"/>
      <c r="B1759" s="133"/>
      <c r="C1759" s="120"/>
      <c r="D1759" s="120"/>
      <c r="E1759" s="120"/>
      <c r="F1759" s="120"/>
      <c r="G1759" s="120"/>
      <c r="H1759" s="120"/>
      <c r="I1759" s="121"/>
      <c r="J1759" s="121"/>
      <c r="K1759" s="117"/>
    </row>
    <row r="1760" ht="15.75" customHeight="1">
      <c r="A1760" s="122"/>
      <c r="B1760" s="133"/>
      <c r="C1760" s="120"/>
      <c r="D1760" s="120"/>
      <c r="E1760" s="120"/>
      <c r="F1760" s="120"/>
      <c r="G1760" s="120"/>
      <c r="H1760" s="120"/>
      <c r="I1760" s="121"/>
      <c r="J1760" s="121"/>
      <c r="K1760" s="117"/>
    </row>
    <row r="1761" ht="15.75" customHeight="1">
      <c r="A1761" s="122"/>
      <c r="B1761" s="133"/>
      <c r="C1761" s="120"/>
      <c r="D1761" s="120"/>
      <c r="E1761" s="120"/>
      <c r="F1761" s="120"/>
      <c r="G1761" s="120"/>
      <c r="H1761" s="120"/>
      <c r="I1761" s="121"/>
      <c r="J1761" s="121"/>
      <c r="K1761" s="117"/>
    </row>
    <row r="1762" ht="15.75" customHeight="1">
      <c r="A1762" s="122"/>
      <c r="B1762" s="133"/>
      <c r="C1762" s="120"/>
      <c r="D1762" s="120"/>
      <c r="E1762" s="120"/>
      <c r="F1762" s="120"/>
      <c r="G1762" s="120"/>
      <c r="H1762" s="120"/>
      <c r="I1762" s="121"/>
      <c r="J1762" s="121"/>
      <c r="K1762" s="117"/>
    </row>
    <row r="1763" ht="15.75" customHeight="1">
      <c r="A1763" s="122"/>
      <c r="B1763" s="133"/>
      <c r="C1763" s="120"/>
      <c r="D1763" s="120"/>
      <c r="E1763" s="120"/>
      <c r="F1763" s="120"/>
      <c r="G1763" s="120"/>
      <c r="H1763" s="120"/>
      <c r="I1763" s="121"/>
      <c r="J1763" s="121"/>
      <c r="K1763" s="117"/>
    </row>
    <row r="1764" ht="15.75" customHeight="1">
      <c r="A1764" s="122"/>
      <c r="B1764" s="133"/>
      <c r="C1764" s="120"/>
      <c r="D1764" s="120"/>
      <c r="E1764" s="120"/>
      <c r="F1764" s="120"/>
      <c r="G1764" s="120"/>
      <c r="H1764" s="120"/>
      <c r="I1764" s="121"/>
      <c r="J1764" s="121"/>
      <c r="K1764" s="117"/>
    </row>
    <row r="1765" ht="15.75" customHeight="1">
      <c r="A1765" s="122"/>
      <c r="B1765" s="133"/>
      <c r="C1765" s="120"/>
      <c r="D1765" s="120"/>
      <c r="E1765" s="120"/>
      <c r="F1765" s="120"/>
      <c r="G1765" s="120"/>
      <c r="H1765" s="120"/>
      <c r="I1765" s="121"/>
      <c r="J1765" s="121"/>
      <c r="K1765" s="117"/>
    </row>
    <row r="1766" ht="15.75" customHeight="1">
      <c r="A1766" s="122"/>
      <c r="B1766" s="133"/>
      <c r="C1766" s="120"/>
      <c r="D1766" s="120"/>
      <c r="E1766" s="120"/>
      <c r="F1766" s="120"/>
      <c r="G1766" s="120"/>
      <c r="H1766" s="120"/>
      <c r="I1766" s="121"/>
      <c r="J1766" s="121"/>
      <c r="K1766" s="117"/>
    </row>
    <row r="1767" ht="15.75" customHeight="1">
      <c r="A1767" s="122"/>
      <c r="B1767" s="133"/>
      <c r="C1767" s="120"/>
      <c r="D1767" s="120"/>
      <c r="E1767" s="120"/>
      <c r="F1767" s="120"/>
      <c r="G1767" s="120"/>
      <c r="H1767" s="120"/>
      <c r="I1767" s="121"/>
      <c r="J1767" s="121"/>
      <c r="K1767" s="117"/>
    </row>
    <row r="1768" ht="15.75" customHeight="1">
      <c r="A1768" s="122"/>
      <c r="B1768" s="133"/>
      <c r="C1768" s="120"/>
      <c r="D1768" s="120"/>
      <c r="E1768" s="120"/>
      <c r="F1768" s="120"/>
      <c r="G1768" s="120"/>
      <c r="H1768" s="120"/>
      <c r="I1768" s="121"/>
      <c r="J1768" s="121"/>
      <c r="K1768" s="117"/>
    </row>
    <row r="1769" ht="15.75" customHeight="1">
      <c r="A1769" s="122"/>
      <c r="B1769" s="133"/>
      <c r="C1769" s="120"/>
      <c r="D1769" s="120"/>
      <c r="E1769" s="120"/>
      <c r="F1769" s="120"/>
      <c r="G1769" s="120"/>
      <c r="H1769" s="120"/>
      <c r="I1769" s="121"/>
      <c r="J1769" s="121"/>
      <c r="K1769" s="117"/>
    </row>
    <row r="1770" ht="15.75" customHeight="1">
      <c r="A1770" s="122"/>
      <c r="B1770" s="133"/>
      <c r="C1770" s="120"/>
      <c r="D1770" s="120"/>
      <c r="E1770" s="120"/>
      <c r="F1770" s="120"/>
      <c r="G1770" s="120"/>
      <c r="H1770" s="120"/>
      <c r="I1770" s="121"/>
      <c r="J1770" s="121"/>
      <c r="K1770" s="117"/>
    </row>
    <row r="1771" ht="15.75" customHeight="1">
      <c r="A1771" s="122"/>
      <c r="B1771" s="133"/>
      <c r="C1771" s="120"/>
      <c r="D1771" s="120"/>
      <c r="E1771" s="120"/>
      <c r="F1771" s="120"/>
      <c r="G1771" s="120"/>
      <c r="H1771" s="120"/>
      <c r="I1771" s="121"/>
      <c r="J1771" s="121"/>
      <c r="K1771" s="117"/>
    </row>
    <row r="1772" ht="15.75" customHeight="1">
      <c r="A1772" s="122"/>
      <c r="B1772" s="133"/>
      <c r="C1772" s="120"/>
      <c r="D1772" s="120"/>
      <c r="E1772" s="120"/>
      <c r="F1772" s="120"/>
      <c r="G1772" s="120"/>
      <c r="H1772" s="120"/>
      <c r="I1772" s="121"/>
      <c r="J1772" s="121"/>
      <c r="K1772" s="117"/>
    </row>
    <row r="1773" ht="15.75" customHeight="1">
      <c r="A1773" s="122"/>
      <c r="B1773" s="133"/>
      <c r="C1773" s="120"/>
      <c r="D1773" s="120"/>
      <c r="E1773" s="120"/>
      <c r="F1773" s="120"/>
      <c r="G1773" s="120"/>
      <c r="H1773" s="120"/>
      <c r="I1773" s="121"/>
      <c r="J1773" s="121"/>
      <c r="K1773" s="117"/>
    </row>
    <row r="1774" ht="15.75" customHeight="1">
      <c r="A1774" s="122"/>
      <c r="B1774" s="133"/>
      <c r="C1774" s="120"/>
      <c r="D1774" s="120"/>
      <c r="E1774" s="120"/>
      <c r="F1774" s="120"/>
      <c r="G1774" s="120"/>
      <c r="H1774" s="120"/>
      <c r="I1774" s="121"/>
      <c r="J1774" s="121"/>
      <c r="K1774" s="117"/>
    </row>
    <row r="1775" ht="15.75" customHeight="1">
      <c r="A1775" s="122"/>
      <c r="B1775" s="133"/>
      <c r="C1775" s="120"/>
      <c r="D1775" s="120"/>
      <c r="E1775" s="120"/>
      <c r="F1775" s="120"/>
      <c r="G1775" s="120"/>
      <c r="H1775" s="120"/>
      <c r="I1775" s="121"/>
      <c r="J1775" s="121"/>
      <c r="K1775" s="117"/>
    </row>
    <row r="1776" ht="15.75" customHeight="1">
      <c r="A1776" s="122"/>
      <c r="B1776" s="133"/>
      <c r="C1776" s="120"/>
      <c r="D1776" s="120"/>
      <c r="E1776" s="120"/>
      <c r="F1776" s="120"/>
      <c r="G1776" s="120"/>
      <c r="H1776" s="120"/>
      <c r="I1776" s="121"/>
      <c r="J1776" s="121"/>
      <c r="K1776" s="117"/>
    </row>
    <row r="1777" ht="15.75" customHeight="1">
      <c r="A1777" s="122"/>
      <c r="B1777" s="133"/>
      <c r="C1777" s="120"/>
      <c r="D1777" s="120"/>
      <c r="E1777" s="120"/>
      <c r="F1777" s="120"/>
      <c r="G1777" s="120"/>
      <c r="H1777" s="120"/>
      <c r="I1777" s="121"/>
      <c r="J1777" s="121"/>
      <c r="K1777" s="117"/>
    </row>
    <row r="1778" ht="15.75" customHeight="1">
      <c r="A1778" s="122"/>
      <c r="B1778" s="133"/>
      <c r="C1778" s="120"/>
      <c r="D1778" s="120"/>
      <c r="E1778" s="120"/>
      <c r="F1778" s="120"/>
      <c r="G1778" s="120"/>
      <c r="H1778" s="120"/>
      <c r="I1778" s="121"/>
      <c r="J1778" s="121"/>
      <c r="K1778" s="117"/>
    </row>
    <row r="1779" ht="15.75" customHeight="1">
      <c r="A1779" s="122"/>
      <c r="B1779" s="133"/>
      <c r="C1779" s="120"/>
      <c r="D1779" s="120"/>
      <c r="E1779" s="120"/>
      <c r="F1779" s="120"/>
      <c r="G1779" s="120"/>
      <c r="H1779" s="120"/>
      <c r="I1779" s="121"/>
      <c r="J1779" s="121"/>
      <c r="K1779" s="117"/>
    </row>
    <row r="1780" ht="15.75" customHeight="1">
      <c r="A1780" s="122"/>
      <c r="B1780" s="133"/>
      <c r="C1780" s="120"/>
      <c r="D1780" s="120"/>
      <c r="E1780" s="120"/>
      <c r="F1780" s="120"/>
      <c r="G1780" s="120"/>
      <c r="H1780" s="120"/>
      <c r="I1780" s="121"/>
      <c r="J1780" s="121"/>
      <c r="K1780" s="117"/>
    </row>
    <row r="1781" ht="15.75" customHeight="1">
      <c r="A1781" s="122"/>
      <c r="B1781" s="133"/>
      <c r="C1781" s="120"/>
      <c r="D1781" s="120"/>
      <c r="E1781" s="120"/>
      <c r="F1781" s="120"/>
      <c r="G1781" s="120"/>
      <c r="H1781" s="120"/>
      <c r="I1781" s="121"/>
      <c r="J1781" s="121"/>
      <c r="K1781" s="117"/>
    </row>
    <row r="1782" ht="15.75" customHeight="1">
      <c r="A1782" s="122"/>
      <c r="B1782" s="133"/>
      <c r="C1782" s="120"/>
      <c r="D1782" s="120"/>
      <c r="E1782" s="120"/>
      <c r="F1782" s="120"/>
      <c r="G1782" s="120"/>
      <c r="H1782" s="120"/>
      <c r="I1782" s="121"/>
      <c r="J1782" s="121"/>
      <c r="K1782" s="117"/>
    </row>
    <row r="1783" ht="15.75" customHeight="1">
      <c r="A1783" s="122"/>
      <c r="B1783" s="133"/>
      <c r="C1783" s="120"/>
      <c r="D1783" s="120"/>
      <c r="E1783" s="120"/>
      <c r="F1783" s="120"/>
      <c r="G1783" s="120"/>
      <c r="H1783" s="120"/>
      <c r="I1783" s="121"/>
      <c r="J1783" s="121"/>
      <c r="K1783" s="117"/>
    </row>
    <row r="1784" ht="15.75" customHeight="1">
      <c r="A1784" s="122"/>
      <c r="B1784" s="133"/>
      <c r="C1784" s="120"/>
      <c r="D1784" s="120"/>
      <c r="E1784" s="120"/>
      <c r="F1784" s="120"/>
      <c r="G1784" s="120"/>
      <c r="H1784" s="120"/>
      <c r="I1784" s="121"/>
      <c r="J1784" s="121"/>
      <c r="K1784" s="117"/>
    </row>
    <row r="1785" ht="15.75" customHeight="1">
      <c r="A1785" s="122"/>
      <c r="B1785" s="133"/>
      <c r="C1785" s="120"/>
      <c r="D1785" s="120"/>
      <c r="E1785" s="120"/>
      <c r="F1785" s="120"/>
      <c r="G1785" s="120"/>
      <c r="H1785" s="120"/>
      <c r="I1785" s="121"/>
      <c r="J1785" s="121"/>
      <c r="K1785" s="117"/>
    </row>
    <row r="1786" ht="15.75" customHeight="1">
      <c r="A1786" s="122"/>
      <c r="B1786" s="133"/>
      <c r="C1786" s="120"/>
      <c r="D1786" s="120"/>
      <c r="E1786" s="120"/>
      <c r="F1786" s="120"/>
      <c r="G1786" s="120"/>
      <c r="H1786" s="120"/>
      <c r="I1786" s="121"/>
      <c r="J1786" s="121"/>
      <c r="K1786" s="117"/>
    </row>
    <row r="1787" ht="15.75" customHeight="1">
      <c r="A1787" s="122"/>
      <c r="B1787" s="133"/>
      <c r="C1787" s="120"/>
      <c r="D1787" s="120"/>
      <c r="E1787" s="120"/>
      <c r="F1787" s="120"/>
      <c r="G1787" s="120"/>
      <c r="H1787" s="120"/>
      <c r="I1787" s="121"/>
      <c r="J1787" s="121"/>
      <c r="K1787" s="117"/>
    </row>
    <row r="1788" ht="15.75" customHeight="1">
      <c r="A1788" s="122"/>
      <c r="B1788" s="133"/>
      <c r="C1788" s="120"/>
      <c r="D1788" s="120"/>
      <c r="E1788" s="120"/>
      <c r="F1788" s="120"/>
      <c r="G1788" s="120"/>
      <c r="H1788" s="120"/>
      <c r="I1788" s="121"/>
      <c r="J1788" s="121"/>
      <c r="K1788" s="117"/>
    </row>
    <row r="1789" ht="15.75" customHeight="1">
      <c r="A1789" s="122"/>
      <c r="B1789" s="133"/>
      <c r="C1789" s="120"/>
      <c r="D1789" s="120"/>
      <c r="E1789" s="120"/>
      <c r="F1789" s="120"/>
      <c r="G1789" s="120"/>
      <c r="H1789" s="120"/>
      <c r="I1789" s="121"/>
      <c r="J1789" s="121"/>
      <c r="K1789" s="117"/>
    </row>
    <row r="1790" ht="15.75" customHeight="1">
      <c r="A1790" s="122"/>
      <c r="B1790" s="133"/>
      <c r="C1790" s="120"/>
      <c r="D1790" s="120"/>
      <c r="E1790" s="120"/>
      <c r="F1790" s="120"/>
      <c r="G1790" s="120"/>
      <c r="H1790" s="120"/>
      <c r="I1790" s="121"/>
      <c r="J1790" s="121"/>
      <c r="K1790" s="117"/>
    </row>
    <row r="1791" ht="15.75" customHeight="1">
      <c r="A1791" s="122"/>
      <c r="B1791" s="133"/>
      <c r="C1791" s="120"/>
      <c r="D1791" s="120"/>
      <c r="E1791" s="120"/>
      <c r="F1791" s="120"/>
      <c r="G1791" s="120"/>
      <c r="H1791" s="120"/>
      <c r="I1791" s="121"/>
      <c r="J1791" s="121"/>
      <c r="K1791" s="117"/>
    </row>
    <row r="1792" ht="15.75" customHeight="1">
      <c r="A1792" s="122"/>
      <c r="B1792" s="133"/>
      <c r="C1792" s="120"/>
      <c r="D1792" s="120"/>
      <c r="E1792" s="120"/>
      <c r="F1792" s="120"/>
      <c r="G1792" s="120"/>
      <c r="H1792" s="120"/>
      <c r="I1792" s="121"/>
      <c r="J1792" s="121"/>
      <c r="K1792" s="117"/>
    </row>
    <row r="1793" ht="15.75" customHeight="1">
      <c r="A1793" s="122"/>
      <c r="B1793" s="133"/>
      <c r="C1793" s="120"/>
      <c r="D1793" s="120"/>
      <c r="E1793" s="120"/>
      <c r="F1793" s="120"/>
      <c r="G1793" s="120"/>
      <c r="H1793" s="120"/>
      <c r="I1793" s="121"/>
      <c r="J1793" s="121"/>
      <c r="K1793" s="117"/>
    </row>
    <row r="1794" ht="15.75" customHeight="1">
      <c r="A1794" s="122"/>
      <c r="B1794" s="133"/>
      <c r="C1794" s="120"/>
      <c r="D1794" s="120"/>
      <c r="E1794" s="120"/>
      <c r="F1794" s="120"/>
      <c r="G1794" s="120"/>
      <c r="H1794" s="120"/>
      <c r="I1794" s="121"/>
      <c r="J1794" s="121"/>
      <c r="K1794" s="117"/>
    </row>
    <row r="1795" ht="15.75" customHeight="1">
      <c r="A1795" s="122"/>
      <c r="B1795" s="133"/>
      <c r="C1795" s="120"/>
      <c r="D1795" s="120"/>
      <c r="E1795" s="120"/>
      <c r="F1795" s="120"/>
      <c r="G1795" s="120"/>
      <c r="H1795" s="120"/>
      <c r="I1795" s="121"/>
      <c r="J1795" s="121"/>
      <c r="K1795" s="117"/>
    </row>
    <row r="1796" ht="15.75" customHeight="1">
      <c r="A1796" s="122"/>
      <c r="B1796" s="133"/>
      <c r="C1796" s="120"/>
      <c r="D1796" s="120"/>
      <c r="E1796" s="120"/>
      <c r="F1796" s="120"/>
      <c r="G1796" s="120"/>
      <c r="H1796" s="120"/>
      <c r="I1796" s="121"/>
      <c r="J1796" s="121"/>
      <c r="K1796" s="117"/>
    </row>
    <row r="1797" ht="15.75" customHeight="1">
      <c r="A1797" s="122"/>
      <c r="B1797" s="133"/>
      <c r="C1797" s="120"/>
      <c r="D1797" s="120"/>
      <c r="E1797" s="120"/>
      <c r="F1797" s="120"/>
      <c r="G1797" s="120"/>
      <c r="H1797" s="120"/>
      <c r="I1797" s="121"/>
      <c r="J1797" s="121"/>
      <c r="K1797" s="117"/>
    </row>
    <row r="1798" ht="15.75" customHeight="1">
      <c r="A1798" s="122"/>
      <c r="B1798" s="133"/>
      <c r="C1798" s="120"/>
      <c r="D1798" s="120"/>
      <c r="E1798" s="120"/>
      <c r="F1798" s="120"/>
      <c r="G1798" s="120"/>
      <c r="H1798" s="120"/>
      <c r="I1798" s="121"/>
      <c r="J1798" s="121"/>
      <c r="K1798" s="117"/>
    </row>
    <row r="1799" ht="15.75" customHeight="1">
      <c r="A1799" s="122"/>
      <c r="B1799" s="133"/>
      <c r="C1799" s="120"/>
      <c r="D1799" s="120"/>
      <c r="E1799" s="120"/>
      <c r="F1799" s="120"/>
      <c r="G1799" s="120"/>
      <c r="H1799" s="120"/>
      <c r="I1799" s="121"/>
      <c r="J1799" s="121"/>
      <c r="K1799" s="117"/>
    </row>
    <row r="1800" ht="15.75" customHeight="1">
      <c r="A1800" s="122"/>
      <c r="B1800" s="133"/>
      <c r="C1800" s="120"/>
      <c r="D1800" s="120"/>
      <c r="E1800" s="120"/>
      <c r="F1800" s="120"/>
      <c r="G1800" s="120"/>
      <c r="H1800" s="120"/>
      <c r="I1800" s="121"/>
      <c r="J1800" s="121"/>
      <c r="K1800" s="117"/>
    </row>
    <row r="1801" ht="15.75" customHeight="1">
      <c r="A1801" s="122"/>
      <c r="B1801" s="133"/>
      <c r="C1801" s="120"/>
      <c r="D1801" s="120"/>
      <c r="E1801" s="120"/>
      <c r="F1801" s="120"/>
      <c r="G1801" s="120"/>
      <c r="H1801" s="120"/>
      <c r="I1801" s="121"/>
      <c r="J1801" s="121"/>
      <c r="K1801" s="117"/>
    </row>
    <row r="1802" ht="15.75" customHeight="1">
      <c r="A1802" s="122"/>
      <c r="B1802" s="133"/>
      <c r="C1802" s="120"/>
      <c r="D1802" s="120"/>
      <c r="E1802" s="120"/>
      <c r="F1802" s="120"/>
      <c r="G1802" s="120"/>
      <c r="H1802" s="120"/>
      <c r="I1802" s="121"/>
      <c r="J1802" s="121"/>
      <c r="K1802" s="117"/>
    </row>
    <row r="1803" ht="15.75" customHeight="1">
      <c r="A1803" s="122"/>
      <c r="B1803" s="133"/>
      <c r="C1803" s="120"/>
      <c r="D1803" s="120"/>
      <c r="E1803" s="120"/>
      <c r="F1803" s="120"/>
      <c r="G1803" s="120"/>
      <c r="H1803" s="120"/>
      <c r="I1803" s="121"/>
      <c r="J1803" s="121"/>
      <c r="K1803" s="117"/>
    </row>
    <row r="1804" ht="15.75" customHeight="1">
      <c r="A1804" s="122"/>
      <c r="B1804" s="133"/>
      <c r="C1804" s="120"/>
      <c r="D1804" s="120"/>
      <c r="E1804" s="120"/>
      <c r="F1804" s="120"/>
      <c r="G1804" s="120"/>
      <c r="H1804" s="120"/>
      <c r="I1804" s="121"/>
      <c r="J1804" s="121"/>
      <c r="K1804" s="117"/>
    </row>
    <row r="1805" ht="15.75" customHeight="1">
      <c r="A1805" s="122"/>
      <c r="B1805" s="133"/>
      <c r="C1805" s="120"/>
      <c r="D1805" s="120"/>
      <c r="E1805" s="120"/>
      <c r="F1805" s="120"/>
      <c r="G1805" s="120"/>
      <c r="H1805" s="120"/>
      <c r="I1805" s="121"/>
      <c r="J1805" s="121"/>
      <c r="K1805" s="117"/>
    </row>
    <row r="1806" ht="15.75" customHeight="1">
      <c r="A1806" s="122"/>
      <c r="B1806" s="133"/>
      <c r="C1806" s="120"/>
      <c r="D1806" s="120"/>
      <c r="E1806" s="120"/>
      <c r="F1806" s="120"/>
      <c r="G1806" s="120"/>
      <c r="H1806" s="120"/>
      <c r="I1806" s="121"/>
      <c r="J1806" s="121"/>
      <c r="K1806" s="117"/>
    </row>
    <row r="1807" ht="15.75" customHeight="1">
      <c r="A1807" s="122"/>
      <c r="B1807" s="133"/>
      <c r="C1807" s="120"/>
      <c r="D1807" s="120"/>
      <c r="E1807" s="120"/>
      <c r="F1807" s="120"/>
      <c r="G1807" s="120"/>
      <c r="H1807" s="120"/>
      <c r="I1807" s="121"/>
      <c r="J1807" s="121"/>
      <c r="K1807" s="117"/>
    </row>
    <row r="1808" ht="15.75" customHeight="1">
      <c r="A1808" s="122"/>
      <c r="B1808" s="133"/>
      <c r="C1808" s="120"/>
      <c r="D1808" s="120"/>
      <c r="E1808" s="120"/>
      <c r="F1808" s="120"/>
      <c r="G1808" s="120"/>
      <c r="H1808" s="120"/>
      <c r="I1808" s="121"/>
      <c r="J1808" s="121"/>
      <c r="K1808" s="117"/>
    </row>
    <row r="1809" ht="15.75" customHeight="1">
      <c r="A1809" s="122"/>
      <c r="B1809" s="133"/>
      <c r="C1809" s="120"/>
      <c r="D1809" s="120"/>
      <c r="E1809" s="120"/>
      <c r="F1809" s="120"/>
      <c r="G1809" s="120"/>
      <c r="H1809" s="120"/>
      <c r="I1809" s="121"/>
      <c r="J1809" s="121"/>
      <c r="K1809" s="117"/>
    </row>
    <row r="1810" ht="15.75" customHeight="1">
      <c r="A1810" s="122"/>
      <c r="B1810" s="133"/>
      <c r="C1810" s="120"/>
      <c r="D1810" s="120"/>
      <c r="E1810" s="120"/>
      <c r="F1810" s="120"/>
      <c r="G1810" s="120"/>
      <c r="H1810" s="120"/>
      <c r="I1810" s="121"/>
      <c r="J1810" s="121"/>
      <c r="K1810" s="117"/>
    </row>
    <row r="1811" ht="15.75" customHeight="1">
      <c r="A1811" s="122"/>
      <c r="B1811" s="133"/>
      <c r="C1811" s="120"/>
      <c r="D1811" s="120"/>
      <c r="E1811" s="120"/>
      <c r="F1811" s="120"/>
      <c r="G1811" s="120"/>
      <c r="H1811" s="120"/>
      <c r="I1811" s="121"/>
      <c r="J1811" s="121"/>
      <c r="K1811" s="117"/>
    </row>
    <row r="1812" ht="15.75" customHeight="1">
      <c r="A1812" s="122"/>
      <c r="B1812" s="133"/>
      <c r="C1812" s="120"/>
      <c r="D1812" s="120"/>
      <c r="E1812" s="120"/>
      <c r="F1812" s="120"/>
      <c r="G1812" s="120"/>
      <c r="H1812" s="120"/>
      <c r="I1812" s="121"/>
      <c r="J1812" s="121"/>
      <c r="K1812" s="117"/>
    </row>
    <row r="1813" ht="15.75" customHeight="1">
      <c r="A1813" s="122"/>
      <c r="B1813" s="133"/>
      <c r="C1813" s="120"/>
      <c r="D1813" s="120"/>
      <c r="E1813" s="120"/>
      <c r="F1813" s="120"/>
      <c r="G1813" s="120"/>
      <c r="H1813" s="120"/>
      <c r="I1813" s="121"/>
      <c r="J1813" s="121"/>
      <c r="K1813" s="117"/>
    </row>
    <row r="1814" ht="15.75" customHeight="1">
      <c r="A1814" s="122"/>
      <c r="B1814" s="133"/>
      <c r="C1814" s="120"/>
      <c r="D1814" s="120"/>
      <c r="E1814" s="120"/>
      <c r="F1814" s="120"/>
      <c r="G1814" s="120"/>
      <c r="H1814" s="120"/>
      <c r="I1814" s="121"/>
      <c r="J1814" s="121"/>
      <c r="K1814" s="117"/>
    </row>
    <row r="1815" ht="15.75" customHeight="1">
      <c r="A1815" s="122"/>
      <c r="B1815" s="133"/>
      <c r="C1815" s="120"/>
      <c r="D1815" s="120"/>
      <c r="E1815" s="120"/>
      <c r="F1815" s="120"/>
      <c r="G1815" s="120"/>
      <c r="H1815" s="120"/>
      <c r="I1815" s="121"/>
      <c r="J1815" s="121"/>
      <c r="K1815" s="117"/>
    </row>
    <row r="1816" ht="15.75" customHeight="1">
      <c r="A1816" s="122"/>
      <c r="B1816" s="133"/>
      <c r="C1816" s="120"/>
      <c r="D1816" s="120"/>
      <c r="E1816" s="120"/>
      <c r="F1816" s="120"/>
      <c r="G1816" s="120"/>
      <c r="H1816" s="120"/>
      <c r="I1816" s="121"/>
      <c r="J1816" s="121"/>
      <c r="K1816" s="117"/>
    </row>
    <row r="1817" ht="15.75" customHeight="1">
      <c r="A1817" s="122"/>
      <c r="B1817" s="133"/>
      <c r="C1817" s="120"/>
      <c r="D1817" s="120"/>
      <c r="E1817" s="120"/>
      <c r="F1817" s="120"/>
      <c r="G1817" s="120"/>
      <c r="H1817" s="120"/>
      <c r="I1817" s="121"/>
      <c r="J1817" s="121"/>
      <c r="K1817" s="117"/>
    </row>
    <row r="1818" ht="15.75" customHeight="1">
      <c r="A1818" s="122"/>
      <c r="B1818" s="133"/>
      <c r="C1818" s="120"/>
      <c r="D1818" s="120"/>
      <c r="E1818" s="120"/>
      <c r="F1818" s="120"/>
      <c r="G1818" s="120"/>
      <c r="H1818" s="120"/>
      <c r="I1818" s="121"/>
      <c r="J1818" s="121"/>
      <c r="K1818" s="117"/>
    </row>
    <row r="1819" ht="15.75" customHeight="1">
      <c r="A1819" s="122"/>
      <c r="B1819" s="133"/>
      <c r="C1819" s="120"/>
      <c r="D1819" s="120"/>
      <c r="E1819" s="120"/>
      <c r="F1819" s="120"/>
      <c r="G1819" s="120"/>
      <c r="H1819" s="120"/>
      <c r="I1819" s="121"/>
      <c r="J1819" s="121"/>
      <c r="K1819" s="117"/>
    </row>
    <row r="1820" ht="15.75" customHeight="1">
      <c r="A1820" s="122"/>
      <c r="B1820" s="133"/>
      <c r="C1820" s="120"/>
      <c r="D1820" s="120"/>
      <c r="E1820" s="120"/>
      <c r="F1820" s="120"/>
      <c r="G1820" s="120"/>
      <c r="H1820" s="120"/>
      <c r="I1820" s="121"/>
      <c r="J1820" s="121"/>
      <c r="K1820" s="117"/>
    </row>
    <row r="1821" ht="15.75" customHeight="1">
      <c r="A1821" s="122"/>
      <c r="B1821" s="133"/>
      <c r="C1821" s="120"/>
      <c r="D1821" s="120"/>
      <c r="E1821" s="120"/>
      <c r="F1821" s="120"/>
      <c r="G1821" s="120"/>
      <c r="H1821" s="120"/>
      <c r="I1821" s="121"/>
      <c r="J1821" s="121"/>
      <c r="K1821" s="117"/>
    </row>
    <row r="1822" ht="15.75" customHeight="1">
      <c r="A1822" s="122"/>
      <c r="B1822" s="133"/>
      <c r="C1822" s="120"/>
      <c r="D1822" s="120"/>
      <c r="E1822" s="120"/>
      <c r="F1822" s="120"/>
      <c r="G1822" s="120"/>
      <c r="H1822" s="120"/>
      <c r="I1822" s="121"/>
      <c r="J1822" s="121"/>
      <c r="K1822" s="117"/>
    </row>
    <row r="1823" ht="15.75" customHeight="1">
      <c r="A1823" s="122"/>
      <c r="B1823" s="133"/>
      <c r="C1823" s="120"/>
      <c r="D1823" s="120"/>
      <c r="E1823" s="120"/>
      <c r="F1823" s="120"/>
      <c r="G1823" s="120"/>
      <c r="H1823" s="120"/>
      <c r="I1823" s="121"/>
      <c r="J1823" s="121"/>
      <c r="K1823" s="117"/>
    </row>
    <row r="1824" ht="15.75" customHeight="1">
      <c r="A1824" s="122"/>
      <c r="B1824" s="133"/>
      <c r="C1824" s="120"/>
      <c r="D1824" s="120"/>
      <c r="E1824" s="120"/>
      <c r="F1824" s="120"/>
      <c r="G1824" s="120"/>
      <c r="H1824" s="120"/>
      <c r="I1824" s="121"/>
      <c r="J1824" s="121"/>
      <c r="K1824" s="117"/>
    </row>
    <row r="1825" ht="15.75" customHeight="1">
      <c r="A1825" s="122"/>
      <c r="B1825" s="133"/>
      <c r="C1825" s="120"/>
      <c r="D1825" s="120"/>
      <c r="E1825" s="120"/>
      <c r="F1825" s="120"/>
      <c r="G1825" s="120"/>
      <c r="H1825" s="120"/>
      <c r="I1825" s="121"/>
      <c r="J1825" s="121"/>
      <c r="K1825" s="117"/>
    </row>
    <row r="1826" ht="15.75" customHeight="1">
      <c r="A1826" s="122"/>
      <c r="B1826" s="133"/>
      <c r="C1826" s="120"/>
      <c r="D1826" s="120"/>
      <c r="E1826" s="120"/>
      <c r="F1826" s="120"/>
      <c r="G1826" s="120"/>
      <c r="H1826" s="120"/>
      <c r="I1826" s="121"/>
      <c r="J1826" s="121"/>
      <c r="K1826" s="117"/>
    </row>
    <row r="1827" ht="15.75" customHeight="1">
      <c r="A1827" s="122"/>
      <c r="B1827" s="133"/>
      <c r="C1827" s="120"/>
      <c r="D1827" s="120"/>
      <c r="E1827" s="120"/>
      <c r="F1827" s="120"/>
      <c r="G1827" s="120"/>
      <c r="H1827" s="120"/>
      <c r="I1827" s="121"/>
      <c r="J1827" s="121"/>
      <c r="K1827" s="117"/>
    </row>
    <row r="1828" ht="15.75" customHeight="1">
      <c r="A1828" s="122"/>
      <c r="B1828" s="133"/>
      <c r="C1828" s="120"/>
      <c r="D1828" s="120"/>
      <c r="E1828" s="120"/>
      <c r="F1828" s="120"/>
      <c r="G1828" s="120"/>
      <c r="H1828" s="120"/>
      <c r="I1828" s="121"/>
      <c r="J1828" s="121"/>
      <c r="K1828" s="117"/>
    </row>
    <row r="1829" ht="15.75" customHeight="1">
      <c r="A1829" s="122"/>
      <c r="B1829" s="133"/>
      <c r="C1829" s="120"/>
      <c r="D1829" s="120"/>
      <c r="E1829" s="120"/>
      <c r="F1829" s="120"/>
      <c r="G1829" s="120"/>
      <c r="H1829" s="120"/>
      <c r="I1829" s="121"/>
      <c r="J1829" s="121"/>
      <c r="K1829" s="117"/>
    </row>
    <row r="1830" ht="15.75" customHeight="1">
      <c r="A1830" s="122"/>
      <c r="B1830" s="133"/>
      <c r="C1830" s="120"/>
      <c r="D1830" s="120"/>
      <c r="E1830" s="120"/>
      <c r="F1830" s="120"/>
      <c r="G1830" s="120"/>
      <c r="H1830" s="120"/>
      <c r="I1830" s="121"/>
      <c r="J1830" s="121"/>
      <c r="K1830" s="117"/>
    </row>
    <row r="1831" ht="15.75" customHeight="1">
      <c r="A1831" s="122"/>
      <c r="B1831" s="133"/>
      <c r="C1831" s="120"/>
      <c r="D1831" s="120"/>
      <c r="E1831" s="120"/>
      <c r="F1831" s="120"/>
      <c r="G1831" s="120"/>
      <c r="H1831" s="120"/>
      <c r="I1831" s="121"/>
      <c r="J1831" s="121"/>
      <c r="K1831" s="117"/>
    </row>
    <row r="1832" ht="15.75" customHeight="1">
      <c r="A1832" s="122"/>
      <c r="B1832" s="133"/>
      <c r="C1832" s="120"/>
      <c r="D1832" s="120"/>
      <c r="E1832" s="120"/>
      <c r="F1832" s="120"/>
      <c r="G1832" s="120"/>
      <c r="H1832" s="120"/>
      <c r="I1832" s="121"/>
      <c r="J1832" s="121"/>
      <c r="K1832" s="117"/>
    </row>
    <row r="1833" ht="15.75" customHeight="1">
      <c r="A1833" s="122"/>
      <c r="B1833" s="133"/>
      <c r="C1833" s="120"/>
      <c r="D1833" s="120"/>
      <c r="E1833" s="120"/>
      <c r="F1833" s="120"/>
      <c r="G1833" s="120"/>
      <c r="H1833" s="120"/>
      <c r="I1833" s="121"/>
      <c r="J1833" s="121"/>
      <c r="K1833" s="117"/>
    </row>
    <row r="1834" ht="15.75" customHeight="1">
      <c r="A1834" s="122"/>
      <c r="B1834" s="133"/>
      <c r="C1834" s="120"/>
      <c r="D1834" s="120"/>
      <c r="E1834" s="120"/>
      <c r="F1834" s="120"/>
      <c r="G1834" s="120"/>
      <c r="H1834" s="120"/>
      <c r="I1834" s="121"/>
      <c r="J1834" s="121"/>
      <c r="K1834" s="117"/>
    </row>
    <row r="1835" ht="15.75" customHeight="1">
      <c r="A1835" s="122"/>
      <c r="B1835" s="133"/>
      <c r="C1835" s="120"/>
      <c r="D1835" s="120"/>
      <c r="E1835" s="120"/>
      <c r="F1835" s="120"/>
      <c r="G1835" s="120"/>
      <c r="H1835" s="120"/>
      <c r="I1835" s="121"/>
      <c r="J1835" s="121"/>
      <c r="K1835" s="117"/>
    </row>
    <row r="1836" ht="15.75" customHeight="1">
      <c r="A1836" s="122"/>
      <c r="B1836" s="133"/>
      <c r="C1836" s="120"/>
      <c r="D1836" s="120"/>
      <c r="E1836" s="120"/>
      <c r="F1836" s="120"/>
      <c r="G1836" s="120"/>
      <c r="H1836" s="120"/>
      <c r="I1836" s="121"/>
      <c r="J1836" s="121"/>
      <c r="K1836" s="117"/>
    </row>
    <row r="1837" ht="15.75" customHeight="1">
      <c r="A1837" s="122"/>
      <c r="B1837" s="133"/>
      <c r="C1837" s="120"/>
      <c r="D1837" s="120"/>
      <c r="E1837" s="120"/>
      <c r="F1837" s="120"/>
      <c r="G1837" s="120"/>
      <c r="H1837" s="120"/>
      <c r="I1837" s="121"/>
      <c r="J1837" s="121"/>
      <c r="K1837" s="117"/>
    </row>
    <row r="1838" ht="15.75" customHeight="1">
      <c r="A1838" s="122"/>
      <c r="B1838" s="133"/>
      <c r="C1838" s="120"/>
      <c r="D1838" s="120"/>
      <c r="E1838" s="120"/>
      <c r="F1838" s="120"/>
      <c r="G1838" s="120"/>
      <c r="H1838" s="120"/>
      <c r="I1838" s="121"/>
      <c r="J1838" s="121"/>
      <c r="K1838" s="117"/>
    </row>
    <row r="1839" ht="15.75" customHeight="1">
      <c r="A1839" s="122"/>
      <c r="B1839" s="133"/>
      <c r="C1839" s="120"/>
      <c r="D1839" s="120"/>
      <c r="E1839" s="120"/>
      <c r="F1839" s="120"/>
      <c r="G1839" s="120"/>
      <c r="H1839" s="120"/>
      <c r="I1839" s="121"/>
      <c r="J1839" s="121"/>
      <c r="K1839" s="117"/>
    </row>
    <row r="1840" ht="15.75" customHeight="1">
      <c r="A1840" s="122"/>
      <c r="B1840" s="133"/>
      <c r="C1840" s="120"/>
      <c r="D1840" s="120"/>
      <c r="E1840" s="120"/>
      <c r="F1840" s="120"/>
      <c r="G1840" s="120"/>
      <c r="H1840" s="120"/>
      <c r="I1840" s="121"/>
      <c r="J1840" s="121"/>
      <c r="K1840" s="117"/>
    </row>
    <row r="1841" ht="15.75" customHeight="1">
      <c r="A1841" s="122"/>
      <c r="B1841" s="133"/>
      <c r="C1841" s="120"/>
      <c r="D1841" s="120"/>
      <c r="E1841" s="120"/>
      <c r="F1841" s="120"/>
      <c r="G1841" s="120"/>
      <c r="H1841" s="120"/>
      <c r="I1841" s="121"/>
      <c r="J1841" s="121"/>
      <c r="K1841" s="117"/>
    </row>
    <row r="1842" ht="15.75" customHeight="1">
      <c r="A1842" s="122"/>
      <c r="B1842" s="133"/>
      <c r="C1842" s="120"/>
      <c r="D1842" s="120"/>
      <c r="E1842" s="120"/>
      <c r="F1842" s="120"/>
      <c r="G1842" s="120"/>
      <c r="H1842" s="120"/>
      <c r="I1842" s="121"/>
      <c r="J1842" s="121"/>
      <c r="K1842" s="117"/>
    </row>
    <row r="1843" ht="15.75" customHeight="1">
      <c r="A1843" s="122"/>
      <c r="B1843" s="133"/>
      <c r="C1843" s="120"/>
      <c r="D1843" s="120"/>
      <c r="E1843" s="120"/>
      <c r="F1843" s="120"/>
      <c r="G1843" s="120"/>
      <c r="H1843" s="120"/>
      <c r="I1843" s="121"/>
      <c r="J1843" s="121"/>
      <c r="K1843" s="117"/>
    </row>
    <row r="1844" ht="15.75" customHeight="1">
      <c r="A1844" s="122"/>
      <c r="B1844" s="133"/>
      <c r="C1844" s="120"/>
      <c r="D1844" s="120"/>
      <c r="E1844" s="120"/>
      <c r="F1844" s="120"/>
      <c r="G1844" s="120"/>
      <c r="H1844" s="120"/>
      <c r="I1844" s="121"/>
      <c r="J1844" s="121"/>
      <c r="K1844" s="117"/>
    </row>
    <row r="1845" ht="15.75" customHeight="1">
      <c r="A1845" s="122"/>
      <c r="B1845" s="133"/>
      <c r="C1845" s="120"/>
      <c r="D1845" s="120"/>
      <c r="E1845" s="120"/>
      <c r="F1845" s="120"/>
      <c r="G1845" s="120"/>
      <c r="H1845" s="120"/>
      <c r="I1845" s="121"/>
      <c r="J1845" s="121"/>
      <c r="K1845" s="117"/>
    </row>
    <row r="1846" ht="15.75" customHeight="1">
      <c r="A1846" s="122"/>
      <c r="B1846" s="133"/>
      <c r="C1846" s="120"/>
      <c r="D1846" s="120"/>
      <c r="E1846" s="120"/>
      <c r="F1846" s="120"/>
      <c r="G1846" s="120"/>
      <c r="H1846" s="120"/>
      <c r="I1846" s="121"/>
      <c r="J1846" s="121"/>
      <c r="K1846" s="117"/>
    </row>
    <row r="1847" ht="15.75" customHeight="1">
      <c r="A1847" s="122"/>
      <c r="B1847" s="133"/>
      <c r="C1847" s="120"/>
      <c r="D1847" s="120"/>
      <c r="E1847" s="120"/>
      <c r="F1847" s="120"/>
      <c r="G1847" s="120"/>
      <c r="H1847" s="120"/>
      <c r="I1847" s="121"/>
      <c r="J1847" s="121"/>
      <c r="K1847" s="117"/>
    </row>
    <row r="1848" ht="15.75" customHeight="1">
      <c r="A1848" s="122"/>
      <c r="B1848" s="133"/>
      <c r="C1848" s="120"/>
      <c r="D1848" s="120"/>
      <c r="E1848" s="120"/>
      <c r="F1848" s="120"/>
      <c r="G1848" s="120"/>
      <c r="H1848" s="120"/>
      <c r="I1848" s="121"/>
      <c r="J1848" s="121"/>
      <c r="K1848" s="117"/>
    </row>
    <row r="1849" ht="15.75" customHeight="1">
      <c r="A1849" s="122"/>
      <c r="B1849" s="133"/>
      <c r="C1849" s="120"/>
      <c r="D1849" s="120"/>
      <c r="E1849" s="120"/>
      <c r="F1849" s="120"/>
      <c r="G1849" s="120"/>
      <c r="H1849" s="120"/>
      <c r="I1849" s="121"/>
      <c r="J1849" s="121"/>
      <c r="K1849" s="117"/>
    </row>
    <row r="1850" ht="15.75" customHeight="1">
      <c r="A1850" s="122"/>
      <c r="B1850" s="133"/>
      <c r="C1850" s="120"/>
      <c r="D1850" s="120"/>
      <c r="E1850" s="120"/>
      <c r="F1850" s="120"/>
      <c r="G1850" s="120"/>
      <c r="H1850" s="120"/>
      <c r="I1850" s="121"/>
      <c r="J1850" s="121"/>
      <c r="K1850" s="117"/>
    </row>
    <row r="1851" ht="15.75" customHeight="1">
      <c r="A1851" s="122"/>
      <c r="B1851" s="133"/>
      <c r="C1851" s="120"/>
      <c r="D1851" s="120"/>
      <c r="E1851" s="120"/>
      <c r="F1851" s="120"/>
      <c r="G1851" s="120"/>
      <c r="H1851" s="120"/>
      <c r="I1851" s="121"/>
      <c r="J1851" s="121"/>
      <c r="K1851" s="117"/>
    </row>
    <row r="1852" ht="15.75" customHeight="1">
      <c r="A1852" s="122"/>
      <c r="B1852" s="133"/>
      <c r="C1852" s="120"/>
      <c r="D1852" s="120"/>
      <c r="E1852" s="120"/>
      <c r="F1852" s="120"/>
      <c r="G1852" s="120"/>
      <c r="H1852" s="120"/>
      <c r="I1852" s="121"/>
      <c r="J1852" s="121"/>
      <c r="K1852" s="117"/>
    </row>
    <row r="1853" ht="15.75" customHeight="1">
      <c r="A1853" s="122"/>
      <c r="B1853" s="133"/>
      <c r="C1853" s="120"/>
      <c r="D1853" s="120"/>
      <c r="E1853" s="120"/>
      <c r="F1853" s="120"/>
      <c r="G1853" s="120"/>
      <c r="H1853" s="120"/>
      <c r="I1853" s="121"/>
      <c r="J1853" s="121"/>
      <c r="K1853" s="117"/>
    </row>
    <row r="1854" ht="15.75" customHeight="1">
      <c r="A1854" s="122"/>
      <c r="B1854" s="133"/>
      <c r="C1854" s="120"/>
      <c r="D1854" s="120"/>
      <c r="E1854" s="120"/>
      <c r="F1854" s="120"/>
      <c r="G1854" s="120"/>
      <c r="H1854" s="120"/>
      <c r="I1854" s="121"/>
      <c r="J1854" s="121"/>
      <c r="K1854" s="117"/>
    </row>
    <row r="1855" ht="15.75" customHeight="1">
      <c r="A1855" s="122"/>
      <c r="B1855" s="133"/>
      <c r="C1855" s="120"/>
      <c r="D1855" s="120"/>
      <c r="E1855" s="120"/>
      <c r="F1855" s="120"/>
      <c r="G1855" s="120"/>
      <c r="H1855" s="120"/>
      <c r="I1855" s="121"/>
      <c r="J1855" s="121"/>
      <c r="K1855" s="117"/>
    </row>
    <row r="1856" ht="15.75" customHeight="1">
      <c r="A1856" s="122"/>
      <c r="B1856" s="133"/>
      <c r="C1856" s="120"/>
      <c r="D1856" s="120"/>
      <c r="E1856" s="120"/>
      <c r="F1856" s="120"/>
      <c r="G1856" s="120"/>
      <c r="H1856" s="120"/>
      <c r="I1856" s="121"/>
      <c r="J1856" s="121"/>
      <c r="K1856" s="117"/>
    </row>
    <row r="1857" ht="15.75" customHeight="1">
      <c r="A1857" s="122"/>
      <c r="B1857" s="133"/>
      <c r="C1857" s="120"/>
      <c r="D1857" s="120"/>
      <c r="E1857" s="120"/>
      <c r="F1857" s="120"/>
      <c r="G1857" s="120"/>
      <c r="H1857" s="120"/>
      <c r="I1857" s="121"/>
      <c r="J1857" s="121"/>
      <c r="K1857" s="117"/>
    </row>
    <row r="1858" ht="15.75" customHeight="1">
      <c r="A1858" s="122"/>
      <c r="B1858" s="133"/>
      <c r="C1858" s="120"/>
      <c r="D1858" s="120"/>
      <c r="E1858" s="120"/>
      <c r="F1858" s="120"/>
      <c r="G1858" s="120"/>
      <c r="H1858" s="120"/>
      <c r="I1858" s="121"/>
      <c r="J1858" s="121"/>
      <c r="K1858" s="117"/>
    </row>
    <row r="1859" ht="15.75" customHeight="1">
      <c r="A1859" s="122"/>
      <c r="B1859" s="133"/>
      <c r="C1859" s="120"/>
      <c r="D1859" s="120"/>
      <c r="E1859" s="120"/>
      <c r="F1859" s="120"/>
      <c r="G1859" s="120"/>
      <c r="H1859" s="120"/>
      <c r="I1859" s="121"/>
      <c r="J1859" s="121"/>
      <c r="K1859" s="117"/>
    </row>
    <row r="1860" ht="15.75" customHeight="1">
      <c r="A1860" s="122"/>
      <c r="B1860" s="133"/>
      <c r="C1860" s="120"/>
      <c r="D1860" s="120"/>
      <c r="E1860" s="120"/>
      <c r="F1860" s="120"/>
      <c r="G1860" s="120"/>
      <c r="H1860" s="120"/>
      <c r="I1860" s="121"/>
      <c r="J1860" s="121"/>
      <c r="K1860" s="117"/>
    </row>
    <row r="1861" ht="15.75" customHeight="1">
      <c r="A1861" s="122"/>
      <c r="B1861" s="133"/>
      <c r="C1861" s="120"/>
      <c r="D1861" s="120"/>
      <c r="E1861" s="120"/>
      <c r="F1861" s="120"/>
      <c r="G1861" s="120"/>
      <c r="H1861" s="120"/>
      <c r="I1861" s="121"/>
      <c r="J1861" s="121"/>
      <c r="K1861" s="117"/>
    </row>
    <row r="1862" ht="15.75" customHeight="1">
      <c r="A1862" s="122"/>
      <c r="B1862" s="133"/>
      <c r="C1862" s="120"/>
      <c r="D1862" s="120"/>
      <c r="E1862" s="120"/>
      <c r="F1862" s="120"/>
      <c r="G1862" s="120"/>
      <c r="H1862" s="120"/>
      <c r="I1862" s="121"/>
      <c r="J1862" s="121"/>
      <c r="K1862" s="117"/>
    </row>
    <row r="1863" ht="15.75" customHeight="1">
      <c r="A1863" s="122"/>
      <c r="B1863" s="133"/>
      <c r="C1863" s="120"/>
      <c r="D1863" s="120"/>
      <c r="E1863" s="120"/>
      <c r="F1863" s="120"/>
      <c r="G1863" s="120"/>
      <c r="H1863" s="120"/>
      <c r="I1863" s="121"/>
      <c r="J1863" s="121"/>
      <c r="K1863" s="117"/>
    </row>
    <row r="1864" ht="15.75" customHeight="1">
      <c r="A1864" s="122"/>
      <c r="B1864" s="133"/>
      <c r="C1864" s="120"/>
      <c r="D1864" s="120"/>
      <c r="E1864" s="120"/>
      <c r="F1864" s="120"/>
      <c r="G1864" s="120"/>
      <c r="H1864" s="120"/>
      <c r="I1864" s="121"/>
      <c r="J1864" s="121"/>
      <c r="K1864" s="117"/>
    </row>
    <row r="1865" ht="15.75" customHeight="1">
      <c r="A1865" s="122"/>
      <c r="B1865" s="133"/>
      <c r="C1865" s="120"/>
      <c r="D1865" s="120"/>
      <c r="E1865" s="120"/>
      <c r="F1865" s="120"/>
      <c r="G1865" s="120"/>
      <c r="H1865" s="120"/>
      <c r="I1865" s="121"/>
      <c r="J1865" s="121"/>
      <c r="K1865" s="117"/>
    </row>
    <row r="1866" ht="15.75" customHeight="1">
      <c r="A1866" s="122"/>
      <c r="B1866" s="133"/>
      <c r="C1866" s="120"/>
      <c r="D1866" s="120"/>
      <c r="E1866" s="120"/>
      <c r="F1866" s="120"/>
      <c r="G1866" s="120"/>
      <c r="H1866" s="120"/>
      <c r="I1866" s="121"/>
      <c r="J1866" s="121"/>
      <c r="K1866" s="117"/>
    </row>
    <row r="1867" ht="15.75" customHeight="1">
      <c r="A1867" s="122"/>
      <c r="B1867" s="133"/>
      <c r="C1867" s="120"/>
      <c r="D1867" s="120"/>
      <c r="E1867" s="120"/>
      <c r="F1867" s="120"/>
      <c r="G1867" s="120"/>
      <c r="H1867" s="120"/>
      <c r="I1867" s="121"/>
      <c r="J1867" s="121"/>
      <c r="K1867" s="117"/>
    </row>
    <row r="1868" ht="15.75" customHeight="1">
      <c r="A1868" s="122"/>
      <c r="B1868" s="133"/>
      <c r="C1868" s="120"/>
      <c r="D1868" s="120"/>
      <c r="E1868" s="120"/>
      <c r="F1868" s="120"/>
      <c r="G1868" s="120"/>
      <c r="H1868" s="120"/>
      <c r="I1868" s="121"/>
      <c r="J1868" s="121"/>
      <c r="K1868" s="117"/>
    </row>
    <row r="1869" ht="15.75" customHeight="1">
      <c r="A1869" s="122"/>
      <c r="B1869" s="133"/>
      <c r="C1869" s="120"/>
      <c r="D1869" s="120"/>
      <c r="E1869" s="120"/>
      <c r="F1869" s="120"/>
      <c r="G1869" s="120"/>
      <c r="H1869" s="120"/>
      <c r="I1869" s="121"/>
      <c r="J1869" s="121"/>
      <c r="K1869" s="117"/>
    </row>
    <row r="1870" ht="15.75" customHeight="1">
      <c r="A1870" s="122"/>
      <c r="B1870" s="133"/>
      <c r="C1870" s="120"/>
      <c r="D1870" s="120"/>
      <c r="E1870" s="120"/>
      <c r="F1870" s="120"/>
      <c r="G1870" s="120"/>
      <c r="H1870" s="120"/>
      <c r="I1870" s="121"/>
      <c r="J1870" s="121"/>
      <c r="K1870" s="117"/>
    </row>
    <row r="1871" ht="15.75" customHeight="1">
      <c r="A1871" s="122"/>
      <c r="B1871" s="133"/>
      <c r="C1871" s="120"/>
      <c r="D1871" s="120"/>
      <c r="E1871" s="120"/>
      <c r="F1871" s="120"/>
      <c r="G1871" s="120"/>
      <c r="H1871" s="120"/>
      <c r="I1871" s="121"/>
      <c r="J1871" s="121"/>
      <c r="K1871" s="117"/>
    </row>
    <row r="1872" ht="15.75" customHeight="1">
      <c r="A1872" s="122"/>
      <c r="B1872" s="133"/>
      <c r="C1872" s="120"/>
      <c r="D1872" s="120"/>
      <c r="E1872" s="120"/>
      <c r="F1872" s="120"/>
      <c r="G1872" s="120"/>
      <c r="H1872" s="120"/>
      <c r="I1872" s="121"/>
      <c r="J1872" s="121"/>
      <c r="K1872" s="117"/>
    </row>
    <row r="1873" ht="15.75" customHeight="1">
      <c r="A1873" s="122"/>
      <c r="B1873" s="133"/>
      <c r="C1873" s="120"/>
      <c r="D1873" s="120"/>
      <c r="E1873" s="120"/>
      <c r="F1873" s="120"/>
      <c r="G1873" s="120"/>
      <c r="H1873" s="120"/>
      <c r="I1873" s="121"/>
      <c r="J1873" s="121"/>
      <c r="K1873" s="117"/>
    </row>
    <row r="1874" ht="15.75" customHeight="1">
      <c r="A1874" s="122"/>
      <c r="B1874" s="133"/>
      <c r="C1874" s="120"/>
      <c r="D1874" s="120"/>
      <c r="E1874" s="120"/>
      <c r="F1874" s="120"/>
      <c r="G1874" s="120"/>
      <c r="H1874" s="120"/>
      <c r="I1874" s="121"/>
      <c r="J1874" s="121"/>
      <c r="K1874" s="117"/>
    </row>
    <row r="1875" ht="15.75" customHeight="1">
      <c r="A1875" s="122"/>
      <c r="B1875" s="133"/>
      <c r="C1875" s="120"/>
      <c r="D1875" s="120"/>
      <c r="E1875" s="120"/>
      <c r="F1875" s="120"/>
      <c r="G1875" s="120"/>
      <c r="H1875" s="120"/>
      <c r="I1875" s="121"/>
      <c r="J1875" s="121"/>
      <c r="K1875" s="117"/>
    </row>
    <row r="1876" ht="15.75" customHeight="1">
      <c r="A1876" s="122"/>
      <c r="B1876" s="133"/>
      <c r="C1876" s="120"/>
      <c r="D1876" s="120"/>
      <c r="E1876" s="120"/>
      <c r="F1876" s="120"/>
      <c r="G1876" s="120"/>
      <c r="H1876" s="120"/>
      <c r="I1876" s="121"/>
      <c r="J1876" s="121"/>
      <c r="K1876" s="117"/>
    </row>
    <row r="1877" ht="15.75" customHeight="1">
      <c r="A1877" s="122"/>
      <c r="B1877" s="133"/>
      <c r="C1877" s="120"/>
      <c r="D1877" s="120"/>
      <c r="E1877" s="120"/>
      <c r="F1877" s="120"/>
      <c r="G1877" s="120"/>
      <c r="H1877" s="120"/>
      <c r="I1877" s="121"/>
      <c r="J1877" s="121"/>
      <c r="K1877" s="117"/>
    </row>
    <row r="1878" ht="15.75" customHeight="1">
      <c r="A1878" s="122"/>
      <c r="B1878" s="133"/>
      <c r="C1878" s="120"/>
      <c r="D1878" s="120"/>
      <c r="E1878" s="120"/>
      <c r="F1878" s="120"/>
      <c r="G1878" s="120"/>
      <c r="H1878" s="120"/>
      <c r="I1878" s="121"/>
      <c r="J1878" s="121"/>
      <c r="K1878" s="117"/>
    </row>
    <row r="1879" ht="15.75" customHeight="1">
      <c r="A1879" s="122"/>
      <c r="B1879" s="133"/>
      <c r="C1879" s="120"/>
      <c r="D1879" s="120"/>
      <c r="E1879" s="120"/>
      <c r="F1879" s="120"/>
      <c r="G1879" s="120"/>
      <c r="H1879" s="120"/>
      <c r="I1879" s="121"/>
      <c r="J1879" s="121"/>
      <c r="K1879" s="117"/>
    </row>
    <row r="1880" ht="15.75" customHeight="1">
      <c r="A1880" s="122"/>
      <c r="B1880" s="133"/>
      <c r="C1880" s="120"/>
      <c r="D1880" s="120"/>
      <c r="E1880" s="120"/>
      <c r="F1880" s="120"/>
      <c r="G1880" s="120"/>
      <c r="H1880" s="120"/>
      <c r="I1880" s="121"/>
      <c r="J1880" s="121"/>
      <c r="K1880" s="117"/>
    </row>
    <row r="1881" ht="15.75" customHeight="1">
      <c r="A1881" s="122"/>
      <c r="B1881" s="133"/>
      <c r="C1881" s="120"/>
      <c r="D1881" s="120"/>
      <c r="E1881" s="120"/>
      <c r="F1881" s="120"/>
      <c r="G1881" s="120"/>
      <c r="H1881" s="120"/>
      <c r="I1881" s="121"/>
      <c r="J1881" s="121"/>
      <c r="K1881" s="117"/>
    </row>
    <row r="1882" ht="15.75" customHeight="1">
      <c r="A1882" s="122"/>
      <c r="B1882" s="133"/>
      <c r="C1882" s="120"/>
      <c r="D1882" s="120"/>
      <c r="E1882" s="120"/>
      <c r="F1882" s="120"/>
      <c r="G1882" s="120"/>
      <c r="H1882" s="120"/>
      <c r="I1882" s="121"/>
      <c r="J1882" s="121"/>
      <c r="K1882" s="117"/>
    </row>
    <row r="1883" ht="15.75" customHeight="1">
      <c r="A1883" s="122"/>
      <c r="B1883" s="133"/>
      <c r="C1883" s="120"/>
      <c r="D1883" s="120"/>
      <c r="E1883" s="120"/>
      <c r="F1883" s="120"/>
      <c r="G1883" s="120"/>
      <c r="H1883" s="120"/>
      <c r="I1883" s="121"/>
      <c r="J1883" s="121"/>
      <c r="K1883" s="117"/>
    </row>
    <row r="1884" ht="15.75" customHeight="1">
      <c r="A1884" s="122"/>
      <c r="B1884" s="133"/>
      <c r="C1884" s="120"/>
      <c r="D1884" s="120"/>
      <c r="E1884" s="120"/>
      <c r="F1884" s="120"/>
      <c r="G1884" s="120"/>
      <c r="H1884" s="120"/>
      <c r="I1884" s="121"/>
      <c r="J1884" s="121"/>
      <c r="K1884" s="117"/>
    </row>
    <row r="1885" ht="15.75" customHeight="1">
      <c r="A1885" s="122"/>
      <c r="B1885" s="133"/>
      <c r="C1885" s="120"/>
      <c r="D1885" s="120"/>
      <c r="E1885" s="120"/>
      <c r="F1885" s="120"/>
      <c r="G1885" s="120"/>
      <c r="H1885" s="120"/>
      <c r="I1885" s="121"/>
      <c r="J1885" s="121"/>
      <c r="K1885" s="117"/>
    </row>
    <row r="1886" ht="15.75" customHeight="1">
      <c r="A1886" s="122"/>
      <c r="B1886" s="133"/>
      <c r="C1886" s="120"/>
      <c r="D1886" s="120"/>
      <c r="E1886" s="120"/>
      <c r="F1886" s="120"/>
      <c r="G1886" s="120"/>
      <c r="H1886" s="120"/>
      <c r="I1886" s="121"/>
      <c r="J1886" s="121"/>
      <c r="K1886" s="117"/>
    </row>
    <row r="1887" ht="15.75" customHeight="1">
      <c r="A1887" s="122"/>
      <c r="B1887" s="133"/>
      <c r="C1887" s="120"/>
      <c r="D1887" s="120"/>
      <c r="E1887" s="120"/>
      <c r="F1887" s="120"/>
      <c r="G1887" s="120"/>
      <c r="H1887" s="120"/>
      <c r="I1887" s="121"/>
      <c r="J1887" s="121"/>
      <c r="K1887" s="117"/>
    </row>
    <row r="1888" ht="15.75" customHeight="1">
      <c r="A1888" s="122"/>
      <c r="B1888" s="133"/>
      <c r="C1888" s="120"/>
      <c r="D1888" s="120"/>
      <c r="E1888" s="120"/>
      <c r="F1888" s="120"/>
      <c r="G1888" s="120"/>
      <c r="H1888" s="120"/>
      <c r="I1888" s="121"/>
      <c r="J1888" s="121"/>
      <c r="K1888" s="117"/>
    </row>
    <row r="1889" ht="15.75" customHeight="1">
      <c r="A1889" s="122"/>
      <c r="B1889" s="133"/>
      <c r="C1889" s="120"/>
      <c r="D1889" s="120"/>
      <c r="E1889" s="120"/>
      <c r="F1889" s="120"/>
      <c r="G1889" s="120"/>
      <c r="H1889" s="120"/>
      <c r="I1889" s="121"/>
      <c r="J1889" s="121"/>
      <c r="K1889" s="117"/>
    </row>
    <row r="1890" ht="15.75" customHeight="1">
      <c r="A1890" s="122"/>
      <c r="B1890" s="133"/>
      <c r="C1890" s="120"/>
      <c r="D1890" s="120"/>
      <c r="E1890" s="120"/>
      <c r="F1890" s="120"/>
      <c r="G1890" s="120"/>
      <c r="H1890" s="120"/>
      <c r="I1890" s="121"/>
      <c r="J1890" s="121"/>
      <c r="K1890" s="117"/>
    </row>
    <row r="1891" ht="15.75" customHeight="1">
      <c r="A1891" s="122"/>
      <c r="B1891" s="133"/>
      <c r="C1891" s="120"/>
      <c r="D1891" s="120"/>
      <c r="E1891" s="120"/>
      <c r="F1891" s="120"/>
      <c r="G1891" s="120"/>
      <c r="H1891" s="120"/>
      <c r="I1891" s="121"/>
      <c r="J1891" s="121"/>
      <c r="K1891" s="117"/>
    </row>
    <row r="1892" ht="15.75" customHeight="1">
      <c r="A1892" s="122"/>
      <c r="B1892" s="133"/>
      <c r="C1892" s="120"/>
      <c r="D1892" s="120"/>
      <c r="E1892" s="120"/>
      <c r="F1892" s="120"/>
      <c r="G1892" s="120"/>
      <c r="H1892" s="120"/>
      <c r="I1892" s="121"/>
      <c r="J1892" s="121"/>
      <c r="K1892" s="117"/>
    </row>
    <row r="1893" ht="15.75" customHeight="1">
      <c r="A1893" s="122"/>
      <c r="B1893" s="133"/>
      <c r="C1893" s="120"/>
      <c r="D1893" s="120"/>
      <c r="E1893" s="120"/>
      <c r="F1893" s="120"/>
      <c r="G1893" s="120"/>
      <c r="H1893" s="120"/>
      <c r="I1893" s="121"/>
      <c r="J1893" s="121"/>
      <c r="K1893" s="117"/>
    </row>
    <row r="1894" ht="15.75" customHeight="1">
      <c r="A1894" s="122"/>
      <c r="B1894" s="133"/>
      <c r="C1894" s="120"/>
      <c r="D1894" s="120"/>
      <c r="E1894" s="120"/>
      <c r="F1894" s="120"/>
      <c r="G1894" s="120"/>
      <c r="H1894" s="120"/>
      <c r="I1894" s="121"/>
      <c r="J1894" s="121"/>
      <c r="K1894" s="117"/>
    </row>
    <row r="1895" ht="15.75" customHeight="1">
      <c r="A1895" s="122"/>
      <c r="B1895" s="133"/>
      <c r="C1895" s="120"/>
      <c r="D1895" s="120"/>
      <c r="E1895" s="120"/>
      <c r="F1895" s="120"/>
      <c r="G1895" s="120"/>
      <c r="H1895" s="120"/>
      <c r="I1895" s="121"/>
      <c r="J1895" s="121"/>
      <c r="K1895" s="117"/>
    </row>
    <row r="1896" ht="15.75" customHeight="1">
      <c r="A1896" s="122"/>
      <c r="B1896" s="133"/>
      <c r="C1896" s="120"/>
      <c r="D1896" s="120"/>
      <c r="E1896" s="120"/>
      <c r="F1896" s="120"/>
      <c r="G1896" s="120"/>
      <c r="H1896" s="120"/>
      <c r="I1896" s="121"/>
      <c r="J1896" s="121"/>
      <c r="K1896" s="117"/>
    </row>
    <row r="1897" ht="15.75" customHeight="1">
      <c r="A1897" s="122"/>
      <c r="B1897" s="133"/>
      <c r="C1897" s="120"/>
      <c r="D1897" s="120"/>
      <c r="E1897" s="120"/>
      <c r="F1897" s="120"/>
      <c r="G1897" s="120"/>
      <c r="H1897" s="120"/>
      <c r="I1897" s="121"/>
      <c r="J1897" s="121"/>
      <c r="K1897" s="117"/>
    </row>
    <row r="1898" ht="15.75" customHeight="1">
      <c r="A1898" s="122"/>
      <c r="B1898" s="133"/>
      <c r="C1898" s="120"/>
      <c r="D1898" s="120"/>
      <c r="E1898" s="120"/>
      <c r="F1898" s="120"/>
      <c r="G1898" s="120"/>
      <c r="H1898" s="120"/>
      <c r="I1898" s="121"/>
      <c r="J1898" s="121"/>
      <c r="K1898" s="117"/>
    </row>
    <row r="1899" ht="15.75" customHeight="1">
      <c r="A1899" s="122"/>
      <c r="B1899" s="133"/>
      <c r="C1899" s="120"/>
      <c r="D1899" s="120"/>
      <c r="E1899" s="120"/>
      <c r="F1899" s="120"/>
      <c r="G1899" s="120"/>
      <c r="H1899" s="120"/>
      <c r="I1899" s="121"/>
      <c r="J1899" s="121"/>
      <c r="K1899" s="117"/>
    </row>
    <row r="1900" ht="15.75" customHeight="1">
      <c r="A1900" s="122"/>
      <c r="B1900" s="133"/>
      <c r="C1900" s="120"/>
      <c r="D1900" s="120"/>
      <c r="E1900" s="120"/>
      <c r="F1900" s="120"/>
      <c r="G1900" s="120"/>
      <c r="H1900" s="120"/>
      <c r="I1900" s="121"/>
      <c r="J1900" s="121"/>
      <c r="K1900" s="117"/>
    </row>
    <row r="1901" ht="15.75" customHeight="1">
      <c r="A1901" s="122"/>
      <c r="B1901" s="133"/>
      <c r="C1901" s="120"/>
      <c r="D1901" s="120"/>
      <c r="E1901" s="120"/>
      <c r="F1901" s="120"/>
      <c r="G1901" s="120"/>
      <c r="H1901" s="120"/>
      <c r="I1901" s="121"/>
      <c r="J1901" s="121"/>
      <c r="K1901" s="117"/>
    </row>
    <row r="1902" ht="15.75" customHeight="1">
      <c r="A1902" s="122"/>
      <c r="B1902" s="133"/>
      <c r="C1902" s="120"/>
      <c r="D1902" s="120"/>
      <c r="E1902" s="120"/>
      <c r="F1902" s="120"/>
      <c r="G1902" s="120"/>
      <c r="H1902" s="120"/>
      <c r="I1902" s="121"/>
      <c r="J1902" s="121"/>
      <c r="K1902" s="117"/>
    </row>
    <row r="1903" ht="15.75" customHeight="1">
      <c r="A1903" s="122"/>
      <c r="B1903" s="133"/>
      <c r="C1903" s="120"/>
      <c r="D1903" s="120"/>
      <c r="E1903" s="120"/>
      <c r="F1903" s="120"/>
      <c r="G1903" s="120"/>
      <c r="H1903" s="120"/>
      <c r="I1903" s="121"/>
      <c r="J1903" s="121"/>
      <c r="K1903" s="117"/>
    </row>
    <row r="1904" ht="15.75" customHeight="1">
      <c r="A1904" s="122"/>
      <c r="B1904" s="133"/>
      <c r="C1904" s="120"/>
      <c r="D1904" s="120"/>
      <c r="E1904" s="120"/>
      <c r="F1904" s="120"/>
      <c r="G1904" s="120"/>
      <c r="H1904" s="120"/>
      <c r="I1904" s="121"/>
      <c r="J1904" s="121"/>
      <c r="K1904" s="117"/>
    </row>
    <row r="1905" ht="15.75" customHeight="1">
      <c r="A1905" s="122"/>
      <c r="B1905" s="133"/>
      <c r="C1905" s="120"/>
      <c r="D1905" s="120"/>
      <c r="E1905" s="120"/>
      <c r="F1905" s="120"/>
      <c r="G1905" s="120"/>
      <c r="H1905" s="120"/>
      <c r="I1905" s="121"/>
      <c r="J1905" s="121"/>
      <c r="K1905" s="117"/>
    </row>
    <row r="1906" ht="15.75" customHeight="1">
      <c r="A1906" s="122"/>
      <c r="B1906" s="133"/>
      <c r="C1906" s="120"/>
      <c r="D1906" s="120"/>
      <c r="E1906" s="120"/>
      <c r="F1906" s="120"/>
      <c r="G1906" s="120"/>
      <c r="H1906" s="120"/>
      <c r="I1906" s="121"/>
      <c r="J1906" s="121"/>
      <c r="K1906" s="117"/>
    </row>
    <row r="1907" ht="15.75" customHeight="1">
      <c r="A1907" s="122"/>
      <c r="B1907" s="133"/>
      <c r="C1907" s="120"/>
      <c r="D1907" s="120"/>
      <c r="E1907" s="120"/>
      <c r="F1907" s="120"/>
      <c r="G1907" s="120"/>
      <c r="H1907" s="120"/>
      <c r="I1907" s="121"/>
      <c r="J1907" s="121"/>
      <c r="K1907" s="117"/>
    </row>
    <row r="1908" ht="15.75" customHeight="1">
      <c r="A1908" s="122"/>
      <c r="B1908" s="133"/>
      <c r="C1908" s="120"/>
      <c r="D1908" s="120"/>
      <c r="E1908" s="120"/>
      <c r="F1908" s="120"/>
      <c r="G1908" s="120"/>
      <c r="H1908" s="120"/>
      <c r="I1908" s="121"/>
      <c r="J1908" s="121"/>
      <c r="K1908" s="117"/>
    </row>
    <row r="1909" ht="15.75" customHeight="1">
      <c r="A1909" s="122"/>
      <c r="B1909" s="133"/>
      <c r="C1909" s="120"/>
      <c r="D1909" s="120"/>
      <c r="E1909" s="120"/>
      <c r="F1909" s="120"/>
      <c r="G1909" s="120"/>
      <c r="H1909" s="120"/>
      <c r="I1909" s="121"/>
      <c r="J1909" s="121"/>
      <c r="K1909" s="117"/>
    </row>
    <row r="1910" ht="15.75" customHeight="1">
      <c r="A1910" s="122"/>
      <c r="B1910" s="133"/>
      <c r="C1910" s="120"/>
      <c r="D1910" s="120"/>
      <c r="E1910" s="120"/>
      <c r="F1910" s="120"/>
      <c r="G1910" s="120"/>
      <c r="H1910" s="120"/>
      <c r="I1910" s="121"/>
      <c r="J1910" s="121"/>
      <c r="K1910" s="117"/>
    </row>
    <row r="1911" ht="15.75" customHeight="1">
      <c r="A1911" s="122"/>
      <c r="B1911" s="133"/>
      <c r="C1911" s="120"/>
      <c r="D1911" s="120"/>
      <c r="E1911" s="120"/>
      <c r="F1911" s="120"/>
      <c r="G1911" s="120"/>
      <c r="H1911" s="120"/>
      <c r="I1911" s="121"/>
      <c r="J1911" s="121"/>
      <c r="K1911" s="117"/>
    </row>
    <row r="1912" ht="15.75" customHeight="1">
      <c r="A1912" s="122"/>
      <c r="B1912" s="133"/>
      <c r="C1912" s="120"/>
      <c r="D1912" s="120"/>
      <c r="E1912" s="120"/>
      <c r="F1912" s="120"/>
      <c r="G1912" s="120"/>
      <c r="H1912" s="120"/>
      <c r="I1912" s="121"/>
      <c r="J1912" s="121"/>
      <c r="K1912" s="117"/>
    </row>
    <row r="1913" ht="15.75" customHeight="1">
      <c r="A1913" s="122"/>
      <c r="B1913" s="133"/>
      <c r="C1913" s="120"/>
      <c r="D1913" s="120"/>
      <c r="E1913" s="120"/>
      <c r="F1913" s="120"/>
      <c r="G1913" s="120"/>
      <c r="H1913" s="120"/>
      <c r="I1913" s="121"/>
      <c r="J1913" s="121"/>
      <c r="K1913" s="117"/>
    </row>
    <row r="1914" ht="15.75" customHeight="1">
      <c r="A1914" s="122"/>
      <c r="B1914" s="133"/>
      <c r="C1914" s="120"/>
      <c r="D1914" s="120"/>
      <c r="E1914" s="120"/>
      <c r="F1914" s="120"/>
      <c r="G1914" s="120"/>
      <c r="H1914" s="120"/>
      <c r="I1914" s="121"/>
      <c r="J1914" s="121"/>
      <c r="K1914" s="117"/>
    </row>
    <row r="1915" ht="15.75" customHeight="1">
      <c r="A1915" s="122"/>
      <c r="B1915" s="133"/>
      <c r="C1915" s="120"/>
      <c r="D1915" s="120"/>
      <c r="E1915" s="120"/>
      <c r="F1915" s="120"/>
      <c r="G1915" s="120"/>
      <c r="H1915" s="120"/>
      <c r="I1915" s="121"/>
      <c r="J1915" s="121"/>
      <c r="K1915" s="117"/>
    </row>
    <row r="1916" ht="15.75" customHeight="1">
      <c r="A1916" s="122"/>
      <c r="B1916" s="133"/>
      <c r="C1916" s="120"/>
      <c r="D1916" s="120"/>
      <c r="E1916" s="120"/>
      <c r="F1916" s="120"/>
      <c r="G1916" s="120"/>
      <c r="H1916" s="120"/>
      <c r="I1916" s="121"/>
      <c r="J1916" s="121"/>
      <c r="K1916" s="117"/>
    </row>
    <row r="1917" ht="15.75" customHeight="1">
      <c r="A1917" s="122"/>
      <c r="B1917" s="133"/>
      <c r="C1917" s="120"/>
      <c r="D1917" s="120"/>
      <c r="E1917" s="120"/>
      <c r="F1917" s="120"/>
      <c r="G1917" s="120"/>
      <c r="H1917" s="120"/>
      <c r="I1917" s="121"/>
      <c r="J1917" s="121"/>
      <c r="K1917" s="117"/>
    </row>
    <row r="1918" ht="15.75" customHeight="1">
      <c r="A1918" s="122"/>
      <c r="B1918" s="133"/>
      <c r="C1918" s="120"/>
      <c r="D1918" s="120"/>
      <c r="E1918" s="120"/>
      <c r="F1918" s="120"/>
      <c r="G1918" s="120"/>
      <c r="H1918" s="120"/>
      <c r="I1918" s="121"/>
      <c r="J1918" s="121"/>
      <c r="K1918" s="117"/>
    </row>
    <row r="1919" ht="15.75" customHeight="1">
      <c r="A1919" s="122"/>
      <c r="B1919" s="133"/>
      <c r="C1919" s="120"/>
      <c r="D1919" s="120"/>
      <c r="E1919" s="120"/>
      <c r="F1919" s="120"/>
      <c r="G1919" s="120"/>
      <c r="H1919" s="120"/>
      <c r="I1919" s="121"/>
      <c r="J1919" s="121"/>
      <c r="K1919" s="117"/>
    </row>
    <row r="1920" ht="15.75" customHeight="1">
      <c r="A1920" s="122"/>
      <c r="B1920" s="133"/>
      <c r="C1920" s="120"/>
      <c r="D1920" s="120"/>
      <c r="E1920" s="120"/>
      <c r="F1920" s="120"/>
      <c r="G1920" s="120"/>
      <c r="H1920" s="120"/>
      <c r="I1920" s="121"/>
      <c r="J1920" s="121"/>
      <c r="K1920" s="117"/>
    </row>
    <row r="1921" ht="15.75" customHeight="1">
      <c r="A1921" s="122"/>
      <c r="B1921" s="133"/>
      <c r="C1921" s="120"/>
      <c r="D1921" s="120"/>
      <c r="E1921" s="120"/>
      <c r="F1921" s="120"/>
      <c r="G1921" s="120"/>
      <c r="H1921" s="120"/>
      <c r="I1921" s="121"/>
      <c r="J1921" s="121"/>
      <c r="K1921" s="117"/>
    </row>
    <row r="1922" ht="15.75" customHeight="1">
      <c r="A1922" s="122"/>
      <c r="B1922" s="133"/>
      <c r="C1922" s="120"/>
      <c r="D1922" s="120"/>
      <c r="E1922" s="120"/>
      <c r="F1922" s="120"/>
      <c r="G1922" s="120"/>
      <c r="H1922" s="120"/>
      <c r="I1922" s="121"/>
      <c r="J1922" s="121"/>
      <c r="K1922" s="117"/>
    </row>
    <row r="1923" ht="15.75" customHeight="1">
      <c r="A1923" s="122"/>
      <c r="B1923" s="133"/>
      <c r="C1923" s="120"/>
      <c r="D1923" s="120"/>
      <c r="E1923" s="120"/>
      <c r="F1923" s="120"/>
      <c r="G1923" s="120"/>
      <c r="H1923" s="120"/>
      <c r="I1923" s="121"/>
      <c r="J1923" s="121"/>
      <c r="K1923" s="117"/>
    </row>
    <row r="1924" ht="15.75" customHeight="1">
      <c r="A1924" s="122"/>
      <c r="B1924" s="133"/>
      <c r="C1924" s="120"/>
      <c r="D1924" s="120"/>
      <c r="E1924" s="120"/>
      <c r="F1924" s="120"/>
      <c r="G1924" s="120"/>
      <c r="H1924" s="120"/>
      <c r="I1924" s="121"/>
      <c r="J1924" s="121"/>
      <c r="K1924" s="117"/>
    </row>
    <row r="1925" ht="15.75" customHeight="1">
      <c r="A1925" s="122"/>
      <c r="B1925" s="133"/>
      <c r="C1925" s="120"/>
      <c r="D1925" s="120"/>
      <c r="E1925" s="120"/>
      <c r="F1925" s="120"/>
      <c r="G1925" s="120"/>
      <c r="H1925" s="120"/>
      <c r="I1925" s="121"/>
      <c r="J1925" s="121"/>
      <c r="K1925" s="117"/>
    </row>
    <row r="1926" ht="15.75" customHeight="1">
      <c r="A1926" s="122"/>
      <c r="B1926" s="133"/>
      <c r="C1926" s="120"/>
      <c r="D1926" s="120"/>
      <c r="E1926" s="120"/>
      <c r="F1926" s="120"/>
      <c r="G1926" s="120"/>
      <c r="H1926" s="120"/>
      <c r="I1926" s="121"/>
      <c r="J1926" s="121"/>
      <c r="K1926" s="117"/>
    </row>
    <row r="1927" ht="15.75" customHeight="1">
      <c r="A1927" s="122"/>
      <c r="B1927" s="133"/>
      <c r="C1927" s="120"/>
      <c r="D1927" s="120"/>
      <c r="E1927" s="120"/>
      <c r="F1927" s="120"/>
      <c r="G1927" s="120"/>
      <c r="H1927" s="120"/>
      <c r="I1927" s="121"/>
      <c r="J1927" s="121"/>
      <c r="K1927" s="117"/>
    </row>
    <row r="1928" ht="15.75" customHeight="1">
      <c r="A1928" s="122"/>
      <c r="B1928" s="133"/>
      <c r="C1928" s="120"/>
      <c r="D1928" s="120"/>
      <c r="E1928" s="120"/>
      <c r="F1928" s="120"/>
      <c r="G1928" s="120"/>
      <c r="H1928" s="120"/>
      <c r="I1928" s="121"/>
      <c r="J1928" s="121"/>
      <c r="K1928" s="117"/>
    </row>
    <row r="1929" ht="15.75" customHeight="1">
      <c r="A1929" s="122"/>
      <c r="B1929" s="133"/>
      <c r="C1929" s="120"/>
      <c r="D1929" s="120"/>
      <c r="E1929" s="120"/>
      <c r="F1929" s="120"/>
      <c r="G1929" s="120"/>
      <c r="H1929" s="120"/>
      <c r="I1929" s="121"/>
      <c r="J1929" s="121"/>
      <c r="K1929" s="117"/>
    </row>
    <row r="1930" ht="15.75" customHeight="1">
      <c r="A1930" s="122"/>
      <c r="B1930" s="133"/>
      <c r="C1930" s="120"/>
      <c r="D1930" s="120"/>
      <c r="E1930" s="120"/>
      <c r="F1930" s="120"/>
      <c r="G1930" s="120"/>
      <c r="H1930" s="120"/>
      <c r="I1930" s="121"/>
      <c r="J1930" s="121"/>
      <c r="K1930" s="117"/>
    </row>
    <row r="1931" ht="15.75" customHeight="1">
      <c r="A1931" s="122"/>
      <c r="B1931" s="133"/>
      <c r="C1931" s="120"/>
      <c r="D1931" s="120"/>
      <c r="E1931" s="120"/>
      <c r="F1931" s="120"/>
      <c r="G1931" s="120"/>
      <c r="H1931" s="120"/>
      <c r="I1931" s="121"/>
      <c r="J1931" s="121"/>
      <c r="K1931" s="117"/>
    </row>
    <row r="1932" ht="15.75" customHeight="1">
      <c r="A1932" s="122"/>
      <c r="B1932" s="133"/>
      <c r="C1932" s="120"/>
      <c r="D1932" s="120"/>
      <c r="E1932" s="120"/>
      <c r="F1932" s="120"/>
      <c r="G1932" s="120"/>
      <c r="H1932" s="120"/>
      <c r="I1932" s="121"/>
      <c r="J1932" s="121"/>
      <c r="K1932" s="117"/>
    </row>
    <row r="1933" ht="15.75" customHeight="1">
      <c r="A1933" s="122"/>
      <c r="B1933" s="133"/>
      <c r="C1933" s="120"/>
      <c r="D1933" s="120"/>
      <c r="E1933" s="120"/>
      <c r="F1933" s="120"/>
      <c r="G1933" s="120"/>
      <c r="H1933" s="120"/>
      <c r="I1933" s="121"/>
      <c r="J1933" s="121"/>
      <c r="K1933" s="117"/>
    </row>
    <row r="1934" ht="15.75" customHeight="1">
      <c r="A1934" s="122"/>
      <c r="B1934" s="133"/>
      <c r="C1934" s="120"/>
      <c r="D1934" s="120"/>
      <c r="E1934" s="120"/>
      <c r="F1934" s="120"/>
      <c r="G1934" s="120"/>
      <c r="H1934" s="120"/>
      <c r="I1934" s="121"/>
      <c r="J1934" s="121"/>
      <c r="K1934" s="117"/>
    </row>
    <row r="1935" ht="15.75" customHeight="1">
      <c r="A1935" s="122"/>
      <c r="B1935" s="133"/>
      <c r="C1935" s="120"/>
      <c r="D1935" s="120"/>
      <c r="E1935" s="120"/>
      <c r="F1935" s="120"/>
      <c r="G1935" s="120"/>
      <c r="H1935" s="120"/>
      <c r="I1935" s="121"/>
      <c r="J1935" s="121"/>
      <c r="K1935" s="117"/>
    </row>
    <row r="1936" ht="15.75" customHeight="1">
      <c r="A1936" s="122"/>
      <c r="B1936" s="133"/>
      <c r="C1936" s="120"/>
      <c r="D1936" s="120"/>
      <c r="E1936" s="120"/>
      <c r="F1936" s="120"/>
      <c r="G1936" s="120"/>
      <c r="H1936" s="120"/>
      <c r="I1936" s="121"/>
      <c r="J1936" s="121"/>
      <c r="K1936" s="117"/>
    </row>
    <row r="1937" ht="15.75" customHeight="1">
      <c r="A1937" s="122"/>
      <c r="B1937" s="133"/>
      <c r="C1937" s="120"/>
      <c r="D1937" s="120"/>
      <c r="E1937" s="120"/>
      <c r="F1937" s="120"/>
      <c r="G1937" s="120"/>
      <c r="H1937" s="120"/>
      <c r="I1937" s="121"/>
      <c r="J1937" s="121"/>
      <c r="K1937" s="117"/>
    </row>
    <row r="1938" ht="15.75" customHeight="1">
      <c r="A1938" s="122"/>
      <c r="B1938" s="133"/>
      <c r="C1938" s="120"/>
      <c r="D1938" s="120"/>
      <c r="E1938" s="120"/>
      <c r="F1938" s="120"/>
      <c r="G1938" s="120"/>
      <c r="H1938" s="120"/>
      <c r="I1938" s="121"/>
      <c r="J1938" s="121"/>
      <c r="K1938" s="117"/>
    </row>
    <row r="1939" ht="15.75" customHeight="1">
      <c r="A1939" s="122"/>
      <c r="B1939" s="133"/>
      <c r="C1939" s="120"/>
      <c r="D1939" s="120"/>
      <c r="E1939" s="120"/>
      <c r="F1939" s="120"/>
      <c r="G1939" s="120"/>
      <c r="H1939" s="120"/>
      <c r="I1939" s="121"/>
      <c r="J1939" s="121"/>
      <c r="K1939" s="117"/>
    </row>
    <row r="1940" ht="15.75" customHeight="1">
      <c r="A1940" s="122"/>
      <c r="B1940" s="133"/>
      <c r="C1940" s="120"/>
      <c r="D1940" s="120"/>
      <c r="E1940" s="120"/>
      <c r="F1940" s="120"/>
      <c r="G1940" s="120"/>
      <c r="H1940" s="120"/>
      <c r="I1940" s="121"/>
      <c r="J1940" s="121"/>
      <c r="K1940" s="117"/>
    </row>
    <row r="1941" ht="15.75" customHeight="1">
      <c r="A1941" s="122"/>
      <c r="B1941" s="133"/>
      <c r="C1941" s="120"/>
      <c r="D1941" s="120"/>
      <c r="E1941" s="120"/>
      <c r="F1941" s="120"/>
      <c r="G1941" s="120"/>
      <c r="H1941" s="120"/>
      <c r="I1941" s="121"/>
      <c r="J1941" s="121"/>
      <c r="K1941" s="117"/>
    </row>
    <row r="1942" ht="15.75" customHeight="1">
      <c r="A1942" s="122"/>
      <c r="B1942" s="133"/>
      <c r="C1942" s="120"/>
      <c r="D1942" s="120"/>
      <c r="E1942" s="120"/>
      <c r="F1942" s="120"/>
      <c r="G1942" s="120"/>
      <c r="H1942" s="120"/>
      <c r="I1942" s="121"/>
      <c r="J1942" s="121"/>
      <c r="K1942" s="117"/>
    </row>
    <row r="1943" ht="15.75" customHeight="1">
      <c r="A1943" s="122"/>
      <c r="B1943" s="133"/>
      <c r="C1943" s="120"/>
      <c r="D1943" s="120"/>
      <c r="E1943" s="120"/>
      <c r="F1943" s="120"/>
      <c r="G1943" s="120"/>
      <c r="H1943" s="120"/>
      <c r="I1943" s="121"/>
      <c r="J1943" s="121"/>
      <c r="K1943" s="117"/>
    </row>
    <row r="1944" ht="15.75" customHeight="1">
      <c r="A1944" s="122"/>
      <c r="B1944" s="133"/>
      <c r="C1944" s="120"/>
      <c r="D1944" s="120"/>
      <c r="E1944" s="120"/>
      <c r="F1944" s="120"/>
      <c r="G1944" s="120"/>
      <c r="H1944" s="120"/>
      <c r="I1944" s="121"/>
      <c r="J1944" s="121"/>
      <c r="K1944" s="117"/>
    </row>
    <row r="1945" ht="15.75" customHeight="1">
      <c r="A1945" s="122"/>
      <c r="B1945" s="133"/>
      <c r="C1945" s="120"/>
      <c r="D1945" s="120"/>
      <c r="E1945" s="120"/>
      <c r="F1945" s="120"/>
      <c r="G1945" s="120"/>
      <c r="H1945" s="120"/>
      <c r="I1945" s="121"/>
      <c r="J1945" s="121"/>
      <c r="K1945" s="117"/>
    </row>
    <row r="1946" ht="15.75" customHeight="1">
      <c r="A1946" s="122"/>
      <c r="B1946" s="133"/>
      <c r="C1946" s="120"/>
      <c r="D1946" s="120"/>
      <c r="E1946" s="120"/>
      <c r="F1946" s="120"/>
      <c r="G1946" s="120"/>
      <c r="H1946" s="120"/>
      <c r="I1946" s="121"/>
      <c r="J1946" s="121"/>
      <c r="K1946" s="117"/>
    </row>
    <row r="1947" ht="15.75" customHeight="1">
      <c r="A1947" s="122"/>
      <c r="B1947" s="133"/>
      <c r="C1947" s="120"/>
      <c r="D1947" s="120"/>
      <c r="E1947" s="120"/>
      <c r="F1947" s="120"/>
      <c r="G1947" s="120"/>
      <c r="H1947" s="120"/>
      <c r="I1947" s="121"/>
      <c r="J1947" s="121"/>
      <c r="K1947" s="117"/>
    </row>
    <row r="1948" ht="15.75" customHeight="1">
      <c r="A1948" s="122"/>
      <c r="B1948" s="133"/>
      <c r="C1948" s="120"/>
      <c r="D1948" s="120"/>
      <c r="E1948" s="120"/>
      <c r="F1948" s="120"/>
      <c r="G1948" s="120"/>
      <c r="H1948" s="120"/>
      <c r="I1948" s="121"/>
      <c r="J1948" s="121"/>
      <c r="K1948" s="117"/>
    </row>
    <row r="1949" ht="15.75" customHeight="1">
      <c r="A1949" s="122"/>
      <c r="B1949" s="133"/>
      <c r="C1949" s="120"/>
      <c r="D1949" s="120"/>
      <c r="E1949" s="120"/>
      <c r="F1949" s="120"/>
      <c r="G1949" s="120"/>
      <c r="H1949" s="120"/>
      <c r="I1949" s="121"/>
      <c r="J1949" s="121"/>
      <c r="K1949" s="117"/>
    </row>
    <row r="1950" ht="15.75" customHeight="1">
      <c r="A1950" s="122"/>
      <c r="B1950" s="133"/>
      <c r="C1950" s="120"/>
      <c r="D1950" s="120"/>
      <c r="E1950" s="120"/>
      <c r="F1950" s="120"/>
      <c r="G1950" s="120"/>
      <c r="H1950" s="120"/>
      <c r="I1950" s="121"/>
      <c r="J1950" s="121"/>
      <c r="K1950" s="117"/>
    </row>
    <row r="1951" ht="15.75" customHeight="1">
      <c r="A1951" s="122"/>
      <c r="B1951" s="133"/>
      <c r="C1951" s="120"/>
      <c r="D1951" s="120"/>
      <c r="E1951" s="120"/>
      <c r="F1951" s="120"/>
      <c r="G1951" s="120"/>
      <c r="H1951" s="120"/>
      <c r="I1951" s="121"/>
      <c r="J1951" s="121"/>
      <c r="K1951" s="117"/>
    </row>
    <row r="1952" ht="15.75" customHeight="1">
      <c r="A1952" s="122"/>
      <c r="B1952" s="133"/>
      <c r="C1952" s="120"/>
      <c r="D1952" s="120"/>
      <c r="E1952" s="120"/>
      <c r="F1952" s="120"/>
      <c r="G1952" s="120"/>
      <c r="H1952" s="120"/>
      <c r="I1952" s="121"/>
      <c r="J1952" s="121"/>
      <c r="K1952" s="117"/>
    </row>
    <row r="1953" ht="15.75" customHeight="1">
      <c r="A1953" s="122"/>
      <c r="B1953" s="133"/>
      <c r="C1953" s="120"/>
      <c r="D1953" s="120"/>
      <c r="E1953" s="120"/>
      <c r="F1953" s="120"/>
      <c r="G1953" s="120"/>
      <c r="H1953" s="120"/>
      <c r="I1953" s="121"/>
      <c r="J1953" s="121"/>
      <c r="K1953" s="117"/>
    </row>
    <row r="1954" ht="15.75" customHeight="1">
      <c r="A1954" s="122"/>
      <c r="B1954" s="133"/>
      <c r="C1954" s="120"/>
      <c r="D1954" s="120"/>
      <c r="E1954" s="120"/>
      <c r="F1954" s="120"/>
      <c r="G1954" s="120"/>
      <c r="H1954" s="120"/>
      <c r="I1954" s="121"/>
      <c r="J1954" s="121"/>
      <c r="K1954" s="117"/>
    </row>
    <row r="1955" ht="15.75" customHeight="1">
      <c r="A1955" s="122"/>
      <c r="B1955" s="133"/>
      <c r="C1955" s="120"/>
      <c r="D1955" s="120"/>
      <c r="E1955" s="120"/>
      <c r="F1955" s="120"/>
      <c r="G1955" s="120"/>
      <c r="H1955" s="120"/>
      <c r="I1955" s="121"/>
      <c r="J1955" s="121"/>
      <c r="K1955" s="117"/>
    </row>
    <row r="1956" ht="15.75" customHeight="1">
      <c r="A1956" s="122"/>
      <c r="B1956" s="133"/>
      <c r="C1956" s="120"/>
      <c r="D1956" s="120"/>
      <c r="E1956" s="120"/>
      <c r="F1956" s="120"/>
      <c r="G1956" s="120"/>
      <c r="H1956" s="120"/>
      <c r="I1956" s="121"/>
      <c r="J1956" s="121"/>
      <c r="K1956" s="117"/>
    </row>
    <row r="1957" ht="15.75" customHeight="1">
      <c r="A1957" s="122"/>
      <c r="B1957" s="133"/>
      <c r="C1957" s="120"/>
      <c r="D1957" s="120"/>
      <c r="E1957" s="120"/>
      <c r="F1957" s="120"/>
      <c r="G1957" s="120"/>
      <c r="H1957" s="120"/>
      <c r="I1957" s="121"/>
      <c r="J1957" s="121"/>
      <c r="K1957" s="117"/>
    </row>
    <row r="1958" ht="15.75" customHeight="1">
      <c r="A1958" s="122"/>
      <c r="B1958" s="133"/>
      <c r="C1958" s="120"/>
      <c r="D1958" s="120"/>
      <c r="E1958" s="120"/>
      <c r="F1958" s="120"/>
      <c r="G1958" s="120"/>
      <c r="H1958" s="120"/>
      <c r="I1958" s="121"/>
      <c r="J1958" s="121"/>
      <c r="K1958" s="117"/>
    </row>
    <row r="1959" ht="15.75" customHeight="1">
      <c r="A1959" s="122"/>
      <c r="B1959" s="133"/>
      <c r="C1959" s="120"/>
      <c r="D1959" s="120"/>
      <c r="E1959" s="120"/>
      <c r="F1959" s="120"/>
      <c r="G1959" s="120"/>
      <c r="H1959" s="120"/>
      <c r="I1959" s="121"/>
      <c r="J1959" s="121"/>
      <c r="K1959" s="117"/>
    </row>
    <row r="1960" ht="15.75" customHeight="1">
      <c r="A1960" s="122"/>
      <c r="B1960" s="133"/>
      <c r="C1960" s="120"/>
      <c r="D1960" s="120"/>
      <c r="E1960" s="120"/>
      <c r="F1960" s="120"/>
      <c r="G1960" s="120"/>
      <c r="H1960" s="120"/>
      <c r="I1960" s="121"/>
      <c r="J1960" s="121"/>
      <c r="K1960" s="117"/>
    </row>
    <row r="1961" ht="15.75" customHeight="1">
      <c r="A1961" s="122"/>
      <c r="B1961" s="133"/>
      <c r="C1961" s="120"/>
      <c r="D1961" s="120"/>
      <c r="E1961" s="120"/>
      <c r="F1961" s="120"/>
      <c r="G1961" s="120"/>
      <c r="H1961" s="120"/>
      <c r="I1961" s="121"/>
      <c r="J1961" s="121"/>
      <c r="K1961" s="117"/>
    </row>
    <row r="1962" ht="15.75" customHeight="1">
      <c r="A1962" s="122"/>
      <c r="B1962" s="133"/>
      <c r="C1962" s="120"/>
      <c r="D1962" s="120"/>
      <c r="E1962" s="120"/>
      <c r="F1962" s="120"/>
      <c r="G1962" s="120"/>
      <c r="H1962" s="120"/>
      <c r="I1962" s="121"/>
      <c r="J1962" s="121"/>
      <c r="K1962" s="117"/>
    </row>
    <row r="1963" ht="15.75" customHeight="1">
      <c r="A1963" s="122"/>
      <c r="B1963" s="133"/>
      <c r="C1963" s="120"/>
      <c r="D1963" s="120"/>
      <c r="E1963" s="120"/>
      <c r="F1963" s="120"/>
      <c r="G1963" s="120"/>
      <c r="H1963" s="120"/>
      <c r="I1963" s="121"/>
      <c r="J1963" s="121"/>
      <c r="K1963" s="117"/>
    </row>
    <row r="1964" ht="15.75" customHeight="1">
      <c r="A1964" s="122"/>
      <c r="B1964" s="133"/>
      <c r="C1964" s="120"/>
      <c r="D1964" s="120"/>
      <c r="E1964" s="120"/>
      <c r="F1964" s="120"/>
      <c r="G1964" s="120"/>
      <c r="H1964" s="120"/>
      <c r="I1964" s="121"/>
      <c r="J1964" s="121"/>
      <c r="K1964" s="117"/>
    </row>
    <row r="1965" ht="15.75" customHeight="1">
      <c r="A1965" s="122"/>
      <c r="B1965" s="133"/>
      <c r="C1965" s="120"/>
      <c r="D1965" s="120"/>
      <c r="E1965" s="120"/>
      <c r="F1965" s="120"/>
      <c r="G1965" s="120"/>
      <c r="H1965" s="120"/>
      <c r="I1965" s="121"/>
      <c r="J1965" s="121"/>
      <c r="K1965" s="117"/>
    </row>
    <row r="1966" ht="15.75" customHeight="1">
      <c r="A1966" s="122"/>
      <c r="B1966" s="133"/>
      <c r="C1966" s="120"/>
      <c r="D1966" s="120"/>
      <c r="E1966" s="120"/>
      <c r="F1966" s="120"/>
      <c r="G1966" s="120"/>
      <c r="H1966" s="120"/>
      <c r="I1966" s="121"/>
      <c r="J1966" s="121"/>
      <c r="K1966" s="117"/>
    </row>
    <row r="1967" ht="15.75" customHeight="1">
      <c r="A1967" s="122"/>
      <c r="B1967" s="133"/>
      <c r="C1967" s="120"/>
      <c r="D1967" s="120"/>
      <c r="E1967" s="120"/>
      <c r="F1967" s="120"/>
      <c r="G1967" s="120"/>
      <c r="H1967" s="120"/>
      <c r="I1967" s="121"/>
      <c r="J1967" s="121"/>
      <c r="K1967" s="117"/>
    </row>
    <row r="1968" ht="15.75" customHeight="1">
      <c r="A1968" s="122"/>
      <c r="B1968" s="133"/>
      <c r="C1968" s="120"/>
      <c r="D1968" s="120"/>
      <c r="E1968" s="120"/>
      <c r="F1968" s="120"/>
      <c r="G1968" s="120"/>
      <c r="H1968" s="120"/>
      <c r="I1968" s="121"/>
      <c r="J1968" s="121"/>
      <c r="K1968" s="117"/>
    </row>
    <row r="1969" ht="15.75" customHeight="1">
      <c r="A1969" s="122"/>
      <c r="B1969" s="133"/>
      <c r="C1969" s="120"/>
      <c r="D1969" s="120"/>
      <c r="E1969" s="120"/>
      <c r="F1969" s="120"/>
      <c r="G1969" s="120"/>
      <c r="H1969" s="120"/>
      <c r="I1969" s="121"/>
      <c r="J1969" s="121"/>
      <c r="K1969" s="117"/>
    </row>
    <row r="1970" ht="15.75" customHeight="1">
      <c r="A1970" s="122"/>
      <c r="B1970" s="133"/>
      <c r="C1970" s="120"/>
      <c r="D1970" s="120"/>
      <c r="E1970" s="120"/>
      <c r="F1970" s="120"/>
      <c r="G1970" s="120"/>
      <c r="H1970" s="120"/>
      <c r="I1970" s="121"/>
      <c r="J1970" s="121"/>
      <c r="K1970" s="117"/>
    </row>
    <row r="1971" ht="15.75" customHeight="1">
      <c r="A1971" s="122"/>
      <c r="B1971" s="133"/>
      <c r="C1971" s="120"/>
      <c r="D1971" s="120"/>
      <c r="E1971" s="120"/>
      <c r="F1971" s="120"/>
      <c r="G1971" s="120"/>
      <c r="H1971" s="120"/>
      <c r="I1971" s="121"/>
      <c r="J1971" s="121"/>
      <c r="K1971" s="117"/>
    </row>
    <row r="1972" ht="15.75" customHeight="1">
      <c r="A1972" s="122"/>
      <c r="B1972" s="133"/>
      <c r="C1972" s="120"/>
      <c r="D1972" s="120"/>
      <c r="E1972" s="120"/>
      <c r="F1972" s="120"/>
      <c r="G1972" s="120"/>
      <c r="H1972" s="120"/>
      <c r="I1972" s="121"/>
      <c r="J1972" s="121"/>
      <c r="K1972" s="117"/>
    </row>
    <row r="1973" ht="15.75" customHeight="1">
      <c r="A1973" s="122"/>
      <c r="B1973" s="133"/>
      <c r="C1973" s="120"/>
      <c r="D1973" s="120"/>
      <c r="E1973" s="120"/>
      <c r="F1973" s="120"/>
      <c r="G1973" s="120"/>
      <c r="H1973" s="120"/>
      <c r="I1973" s="121"/>
      <c r="J1973" s="121"/>
      <c r="K1973" s="117"/>
    </row>
    <row r="1974" ht="15.75" customHeight="1">
      <c r="A1974" s="122"/>
      <c r="B1974" s="133"/>
      <c r="C1974" s="120"/>
      <c r="D1974" s="120"/>
      <c r="E1974" s="120"/>
      <c r="F1974" s="120"/>
      <c r="G1974" s="120"/>
      <c r="H1974" s="120"/>
      <c r="I1974" s="121"/>
      <c r="J1974" s="121"/>
      <c r="K1974" s="117"/>
    </row>
    <row r="1975" ht="15.75" customHeight="1">
      <c r="A1975" s="122"/>
      <c r="B1975" s="133"/>
      <c r="C1975" s="120"/>
      <c r="D1975" s="120"/>
      <c r="E1975" s="120"/>
      <c r="F1975" s="120"/>
      <c r="G1975" s="120"/>
      <c r="H1975" s="120"/>
      <c r="I1975" s="121"/>
      <c r="J1975" s="121"/>
      <c r="K1975" s="117"/>
    </row>
    <row r="1976" ht="15.75" customHeight="1">
      <c r="A1976" s="122"/>
      <c r="B1976" s="133"/>
      <c r="C1976" s="120"/>
      <c r="D1976" s="120"/>
      <c r="E1976" s="120"/>
      <c r="F1976" s="120"/>
      <c r="G1976" s="120"/>
      <c r="H1976" s="120"/>
      <c r="I1976" s="121"/>
      <c r="J1976" s="121"/>
      <c r="K1976" s="117"/>
    </row>
    <row r="1977" ht="15.75" customHeight="1">
      <c r="A1977" s="122"/>
      <c r="B1977" s="133"/>
      <c r="C1977" s="120"/>
      <c r="D1977" s="120"/>
      <c r="E1977" s="120"/>
      <c r="F1977" s="120"/>
      <c r="G1977" s="120"/>
      <c r="H1977" s="120"/>
      <c r="I1977" s="121"/>
      <c r="J1977" s="121"/>
      <c r="K1977" s="117"/>
    </row>
    <row r="1978" ht="15.75" customHeight="1">
      <c r="A1978" s="122"/>
      <c r="B1978" s="133"/>
      <c r="C1978" s="120"/>
      <c r="D1978" s="120"/>
      <c r="E1978" s="120"/>
      <c r="F1978" s="120"/>
      <c r="G1978" s="120"/>
      <c r="H1978" s="120"/>
      <c r="I1978" s="121"/>
      <c r="J1978" s="121"/>
      <c r="K1978" s="117"/>
    </row>
    <row r="1979" ht="15.75" customHeight="1">
      <c r="A1979" s="122"/>
      <c r="B1979" s="133"/>
      <c r="C1979" s="120"/>
      <c r="D1979" s="120"/>
      <c r="E1979" s="120"/>
      <c r="F1979" s="120"/>
      <c r="G1979" s="120"/>
      <c r="H1979" s="120"/>
      <c r="I1979" s="121"/>
      <c r="J1979" s="121"/>
      <c r="K1979" s="117"/>
    </row>
    <row r="1980" ht="15.75" customHeight="1">
      <c r="A1980" s="122"/>
      <c r="B1980" s="133"/>
      <c r="C1980" s="120"/>
      <c r="D1980" s="120"/>
      <c r="E1980" s="120"/>
      <c r="F1980" s="120"/>
      <c r="G1980" s="120"/>
      <c r="H1980" s="120"/>
      <c r="I1980" s="121"/>
      <c r="J1980" s="121"/>
      <c r="K1980" s="117"/>
    </row>
    <row r="1981" ht="15.75" customHeight="1">
      <c r="A1981" s="122"/>
      <c r="B1981" s="133"/>
      <c r="C1981" s="120"/>
      <c r="D1981" s="120"/>
      <c r="E1981" s="120"/>
      <c r="F1981" s="120"/>
      <c r="G1981" s="120"/>
      <c r="H1981" s="120"/>
      <c r="I1981" s="121"/>
      <c r="J1981" s="121"/>
      <c r="K1981" s="117"/>
    </row>
    <row r="1982" ht="15.75" customHeight="1">
      <c r="A1982" s="122"/>
      <c r="B1982" s="133"/>
      <c r="C1982" s="120"/>
      <c r="D1982" s="120"/>
      <c r="E1982" s="120"/>
      <c r="F1982" s="120"/>
      <c r="G1982" s="120"/>
      <c r="H1982" s="120"/>
      <c r="I1982" s="121"/>
      <c r="J1982" s="121"/>
      <c r="K1982" s="117"/>
    </row>
    <row r="1983" ht="15.75" customHeight="1">
      <c r="A1983" s="122"/>
      <c r="B1983" s="133"/>
      <c r="C1983" s="120"/>
      <c r="D1983" s="120"/>
      <c r="E1983" s="120"/>
      <c r="F1983" s="120"/>
      <c r="G1983" s="120"/>
      <c r="H1983" s="120"/>
      <c r="I1983" s="121"/>
      <c r="J1983" s="121"/>
      <c r="K1983" s="117"/>
    </row>
    <row r="1984" ht="15.75" customHeight="1">
      <c r="A1984" s="122"/>
      <c r="B1984" s="133"/>
      <c r="C1984" s="120"/>
      <c r="D1984" s="120"/>
      <c r="E1984" s="120"/>
      <c r="F1984" s="120"/>
      <c r="G1984" s="120"/>
      <c r="H1984" s="120"/>
      <c r="I1984" s="121"/>
      <c r="J1984" s="121"/>
      <c r="K1984" s="117"/>
    </row>
    <row r="1985" ht="15.75" customHeight="1">
      <c r="A1985" s="122"/>
      <c r="B1985" s="133"/>
      <c r="C1985" s="120"/>
      <c r="D1985" s="120"/>
      <c r="E1985" s="120"/>
      <c r="F1985" s="120"/>
      <c r="G1985" s="120"/>
      <c r="H1985" s="120"/>
      <c r="I1985" s="121"/>
      <c r="J1985" s="121"/>
      <c r="K1985" s="117"/>
    </row>
    <row r="1986" ht="15.75" customHeight="1">
      <c r="A1986" s="122"/>
      <c r="B1986" s="133"/>
      <c r="C1986" s="120"/>
      <c r="D1986" s="120"/>
      <c r="E1986" s="120"/>
      <c r="F1986" s="120"/>
      <c r="G1986" s="120"/>
      <c r="H1986" s="120"/>
      <c r="I1986" s="121"/>
      <c r="J1986" s="121"/>
      <c r="K1986" s="117"/>
    </row>
    <row r="1987" ht="15.75" customHeight="1">
      <c r="A1987" s="122"/>
      <c r="B1987" s="133"/>
      <c r="C1987" s="120"/>
      <c r="D1987" s="120"/>
      <c r="E1987" s="120"/>
      <c r="F1987" s="120"/>
      <c r="G1987" s="120"/>
      <c r="H1987" s="120"/>
      <c r="I1987" s="121"/>
      <c r="J1987" s="121"/>
      <c r="K1987" s="117"/>
    </row>
    <row r="1988" ht="15.75" customHeight="1">
      <c r="A1988" s="122"/>
      <c r="B1988" s="133"/>
      <c r="C1988" s="120"/>
      <c r="D1988" s="120"/>
      <c r="E1988" s="120"/>
      <c r="F1988" s="120"/>
      <c r="G1988" s="120"/>
      <c r="H1988" s="120"/>
      <c r="I1988" s="121"/>
      <c r="J1988" s="121"/>
      <c r="K1988" s="117"/>
    </row>
    <row r="1989" ht="15.75" customHeight="1">
      <c r="A1989" s="122"/>
      <c r="B1989" s="133"/>
      <c r="C1989" s="120"/>
      <c r="D1989" s="120"/>
      <c r="E1989" s="120"/>
      <c r="F1989" s="120"/>
      <c r="G1989" s="120"/>
      <c r="H1989" s="120"/>
      <c r="I1989" s="121"/>
      <c r="J1989" s="121"/>
      <c r="K1989" s="117"/>
    </row>
    <row r="1990" ht="15.75" customHeight="1">
      <c r="A1990" s="122"/>
      <c r="B1990" s="133"/>
      <c r="C1990" s="120"/>
      <c r="D1990" s="120"/>
      <c r="E1990" s="120"/>
      <c r="F1990" s="120"/>
      <c r="G1990" s="120"/>
      <c r="H1990" s="120"/>
      <c r="I1990" s="121"/>
      <c r="J1990" s="121"/>
      <c r="K1990" s="117"/>
    </row>
    <row r="1991" ht="15.75" customHeight="1">
      <c r="A1991" s="122"/>
      <c r="B1991" s="133"/>
      <c r="C1991" s="120"/>
      <c r="D1991" s="120"/>
      <c r="E1991" s="120"/>
      <c r="F1991" s="120"/>
      <c r="G1991" s="120"/>
      <c r="H1991" s="120"/>
      <c r="I1991" s="121"/>
      <c r="J1991" s="121"/>
      <c r="K1991" s="117"/>
    </row>
    <row r="1992" ht="15.75" customHeight="1">
      <c r="A1992" s="122"/>
      <c r="B1992" s="133"/>
      <c r="C1992" s="120"/>
      <c r="D1992" s="120"/>
      <c r="E1992" s="120"/>
      <c r="F1992" s="120"/>
      <c r="G1992" s="120"/>
      <c r="H1992" s="120"/>
      <c r="I1992" s="121"/>
      <c r="J1992" s="121"/>
      <c r="K1992" s="117"/>
    </row>
    <row r="1993" ht="15.75" customHeight="1">
      <c r="A1993" s="122"/>
      <c r="B1993" s="133"/>
      <c r="C1993" s="120"/>
      <c r="D1993" s="120"/>
      <c r="E1993" s="120"/>
      <c r="F1993" s="120"/>
      <c r="G1993" s="120"/>
      <c r="H1993" s="120"/>
      <c r="I1993" s="121"/>
      <c r="J1993" s="121"/>
      <c r="K1993" s="117"/>
    </row>
    <row r="1994" ht="15.75" customHeight="1">
      <c r="A1994" s="122"/>
      <c r="B1994" s="133"/>
      <c r="C1994" s="120"/>
      <c r="D1994" s="120"/>
      <c r="E1994" s="120"/>
      <c r="F1994" s="120"/>
      <c r="G1994" s="120"/>
      <c r="H1994" s="120"/>
      <c r="I1994" s="121"/>
      <c r="J1994" s="121"/>
      <c r="K1994" s="117"/>
    </row>
    <row r="1995" ht="15.75" customHeight="1">
      <c r="A1995" s="122"/>
      <c r="B1995" s="133"/>
      <c r="C1995" s="120"/>
      <c r="D1995" s="120"/>
      <c r="E1995" s="120"/>
      <c r="F1995" s="120"/>
      <c r="G1995" s="120"/>
      <c r="H1995" s="120"/>
      <c r="I1995" s="121"/>
      <c r="J1995" s="121"/>
      <c r="K1995" s="117"/>
    </row>
    <row r="1996" ht="15.75" customHeight="1">
      <c r="A1996" s="122"/>
      <c r="B1996" s="133"/>
      <c r="C1996" s="120"/>
      <c r="D1996" s="120"/>
      <c r="E1996" s="120"/>
      <c r="F1996" s="120"/>
      <c r="G1996" s="120"/>
      <c r="H1996" s="120"/>
      <c r="I1996" s="121"/>
      <c r="J1996" s="121"/>
      <c r="K1996" s="117"/>
    </row>
    <row r="1997" ht="15.75" customHeight="1">
      <c r="A1997" s="122"/>
      <c r="B1997" s="133"/>
      <c r="C1997" s="120"/>
      <c r="D1997" s="120"/>
      <c r="E1997" s="120"/>
      <c r="F1997" s="120"/>
      <c r="G1997" s="120"/>
      <c r="H1997" s="120"/>
      <c r="I1997" s="121"/>
      <c r="J1997" s="121"/>
      <c r="K1997" s="117"/>
    </row>
    <row r="1998" ht="15.75" customHeight="1">
      <c r="A1998" s="122"/>
      <c r="B1998" s="133"/>
      <c r="C1998" s="120"/>
      <c r="D1998" s="120"/>
      <c r="E1998" s="120"/>
      <c r="F1998" s="120"/>
      <c r="G1998" s="120"/>
      <c r="H1998" s="120"/>
      <c r="I1998" s="121"/>
      <c r="J1998" s="121"/>
      <c r="K1998" s="117"/>
    </row>
    <row r="1999" ht="15.75" customHeight="1">
      <c r="A1999" s="122"/>
      <c r="B1999" s="133"/>
      <c r="C1999" s="120"/>
      <c r="D1999" s="120"/>
      <c r="E1999" s="120"/>
      <c r="F1999" s="120"/>
      <c r="G1999" s="120"/>
      <c r="H1999" s="120"/>
      <c r="I1999" s="121"/>
      <c r="J1999" s="121"/>
      <c r="K1999" s="117"/>
    </row>
    <row r="2000" ht="15.75" customHeight="1">
      <c r="A2000" s="122"/>
      <c r="B2000" s="133"/>
      <c r="C2000" s="120"/>
      <c r="D2000" s="120"/>
      <c r="E2000" s="120"/>
      <c r="F2000" s="120"/>
      <c r="G2000" s="120"/>
      <c r="H2000" s="120"/>
      <c r="I2000" s="121"/>
      <c r="J2000" s="121"/>
      <c r="K2000" s="117"/>
    </row>
    <row r="2001" ht="15.75" customHeight="1">
      <c r="A2001" s="122"/>
      <c r="B2001" s="133"/>
      <c r="C2001" s="120"/>
      <c r="D2001" s="120"/>
      <c r="E2001" s="120"/>
      <c r="F2001" s="120"/>
      <c r="G2001" s="120"/>
      <c r="H2001" s="120"/>
      <c r="I2001" s="121"/>
      <c r="J2001" s="121"/>
      <c r="K2001" s="117"/>
    </row>
    <row r="2002" ht="15.75" customHeight="1">
      <c r="A2002" s="122"/>
      <c r="B2002" s="133"/>
      <c r="C2002" s="120"/>
      <c r="D2002" s="120"/>
      <c r="E2002" s="120"/>
      <c r="F2002" s="120"/>
      <c r="G2002" s="120"/>
      <c r="H2002" s="120"/>
      <c r="I2002" s="121"/>
      <c r="J2002" s="121"/>
      <c r="K2002" s="117"/>
    </row>
    <row r="2003" ht="15.75" customHeight="1">
      <c r="A2003" s="122"/>
      <c r="B2003" s="133"/>
      <c r="C2003" s="120"/>
      <c r="D2003" s="120"/>
      <c r="E2003" s="120"/>
      <c r="F2003" s="120"/>
      <c r="G2003" s="120"/>
      <c r="H2003" s="120"/>
      <c r="I2003" s="121"/>
      <c r="J2003" s="121"/>
      <c r="K2003" s="117"/>
    </row>
    <row r="2004" ht="15.75" customHeight="1">
      <c r="A2004" s="122"/>
      <c r="B2004" s="133"/>
      <c r="C2004" s="120"/>
      <c r="D2004" s="120"/>
      <c r="E2004" s="120"/>
      <c r="F2004" s="120"/>
      <c r="G2004" s="120"/>
      <c r="H2004" s="120"/>
      <c r="I2004" s="121"/>
      <c r="J2004" s="121"/>
      <c r="K2004" s="117"/>
    </row>
    <row r="2005" ht="15.75" customHeight="1">
      <c r="A2005" s="122"/>
      <c r="B2005" s="133"/>
      <c r="C2005" s="120"/>
      <c r="D2005" s="120"/>
      <c r="E2005" s="120"/>
      <c r="F2005" s="120"/>
      <c r="G2005" s="120"/>
      <c r="H2005" s="120"/>
      <c r="I2005" s="121"/>
      <c r="J2005" s="121"/>
      <c r="K2005" s="117"/>
    </row>
    <row r="2006" ht="15.75" customHeight="1">
      <c r="A2006" s="122"/>
      <c r="B2006" s="133"/>
      <c r="C2006" s="120"/>
      <c r="D2006" s="120"/>
      <c r="E2006" s="120"/>
      <c r="F2006" s="120"/>
      <c r="G2006" s="120"/>
      <c r="H2006" s="120"/>
      <c r="I2006" s="121"/>
      <c r="J2006" s="121"/>
      <c r="K2006" s="117"/>
    </row>
    <row r="2007" ht="15.75" customHeight="1">
      <c r="A2007" s="122"/>
      <c r="B2007" s="133"/>
      <c r="C2007" s="120"/>
      <c r="D2007" s="120"/>
      <c r="E2007" s="120"/>
      <c r="F2007" s="120"/>
      <c r="G2007" s="120"/>
      <c r="H2007" s="120"/>
      <c r="I2007" s="121"/>
      <c r="J2007" s="121"/>
      <c r="K2007" s="117"/>
    </row>
    <row r="2008" ht="15.75" customHeight="1">
      <c r="A2008" s="122"/>
      <c r="B2008" s="133"/>
      <c r="C2008" s="120"/>
      <c r="D2008" s="120"/>
      <c r="E2008" s="120"/>
      <c r="F2008" s="120"/>
      <c r="G2008" s="120"/>
      <c r="H2008" s="120"/>
      <c r="I2008" s="121"/>
      <c r="J2008" s="121"/>
      <c r="K2008" s="117"/>
    </row>
    <row r="2009" ht="15.75" customHeight="1">
      <c r="A2009" s="122"/>
      <c r="B2009" s="133"/>
      <c r="C2009" s="120"/>
      <c r="D2009" s="120"/>
      <c r="E2009" s="120"/>
      <c r="F2009" s="120"/>
      <c r="G2009" s="120"/>
      <c r="H2009" s="120"/>
      <c r="I2009" s="121"/>
      <c r="J2009" s="121"/>
      <c r="K2009" s="117"/>
    </row>
    <row r="2010" ht="15.75" customHeight="1">
      <c r="A2010" s="122"/>
      <c r="B2010" s="133"/>
      <c r="C2010" s="120"/>
      <c r="D2010" s="120"/>
      <c r="E2010" s="120"/>
      <c r="F2010" s="120"/>
      <c r="G2010" s="120"/>
      <c r="H2010" s="120"/>
      <c r="I2010" s="121"/>
      <c r="J2010" s="121"/>
      <c r="K2010" s="117"/>
    </row>
    <row r="2011" ht="15.75" customHeight="1">
      <c r="A2011" s="122"/>
      <c r="B2011" s="133"/>
      <c r="C2011" s="120"/>
      <c r="D2011" s="120"/>
      <c r="E2011" s="120"/>
      <c r="F2011" s="120"/>
      <c r="G2011" s="120"/>
      <c r="H2011" s="120"/>
      <c r="I2011" s="121"/>
      <c r="J2011" s="121"/>
      <c r="K2011" s="117"/>
    </row>
    <row r="2012" ht="15.75" customHeight="1">
      <c r="A2012" s="122"/>
      <c r="B2012" s="133"/>
      <c r="C2012" s="120"/>
      <c r="D2012" s="120"/>
      <c r="E2012" s="120"/>
      <c r="F2012" s="120"/>
      <c r="G2012" s="120"/>
      <c r="H2012" s="120"/>
      <c r="I2012" s="121"/>
      <c r="J2012" s="121"/>
      <c r="K2012" s="117"/>
    </row>
    <row r="2013" ht="15.75" customHeight="1">
      <c r="A2013" s="122"/>
      <c r="B2013" s="133"/>
      <c r="C2013" s="120"/>
      <c r="D2013" s="120"/>
      <c r="E2013" s="120"/>
      <c r="F2013" s="120"/>
      <c r="G2013" s="120"/>
      <c r="H2013" s="120"/>
      <c r="I2013" s="121"/>
      <c r="J2013" s="121"/>
      <c r="K2013" s="117"/>
    </row>
    <row r="2014" ht="15.75" customHeight="1">
      <c r="A2014" s="122"/>
      <c r="B2014" s="133"/>
      <c r="C2014" s="120"/>
      <c r="D2014" s="120"/>
      <c r="E2014" s="120"/>
      <c r="F2014" s="120"/>
      <c r="G2014" s="120"/>
      <c r="H2014" s="120"/>
      <c r="I2014" s="121"/>
      <c r="J2014" s="121"/>
      <c r="K2014" s="117"/>
    </row>
    <row r="2015" ht="15.75" customHeight="1">
      <c r="A2015" s="122"/>
      <c r="B2015" s="133"/>
      <c r="C2015" s="120"/>
      <c r="D2015" s="120"/>
      <c r="E2015" s="120"/>
      <c r="F2015" s="120"/>
      <c r="G2015" s="120"/>
      <c r="H2015" s="120"/>
      <c r="I2015" s="121"/>
      <c r="J2015" s="121"/>
      <c r="K2015" s="117"/>
    </row>
    <row r="2016" ht="15.75" customHeight="1">
      <c r="A2016" s="122"/>
      <c r="B2016" s="133"/>
      <c r="C2016" s="120"/>
      <c r="D2016" s="120"/>
      <c r="E2016" s="120"/>
      <c r="F2016" s="120"/>
      <c r="G2016" s="120"/>
      <c r="H2016" s="120"/>
      <c r="I2016" s="121"/>
      <c r="J2016" s="121"/>
      <c r="K2016" s="117"/>
    </row>
    <row r="2017" ht="15.75" customHeight="1">
      <c r="A2017" s="122"/>
      <c r="B2017" s="133"/>
      <c r="C2017" s="120"/>
      <c r="D2017" s="120"/>
      <c r="E2017" s="120"/>
      <c r="F2017" s="120"/>
      <c r="G2017" s="120"/>
      <c r="H2017" s="120"/>
      <c r="I2017" s="121"/>
      <c r="J2017" s="121"/>
      <c r="K2017" s="117"/>
    </row>
    <row r="2018" ht="15.75" customHeight="1">
      <c r="A2018" s="122"/>
      <c r="B2018" s="133"/>
      <c r="C2018" s="120"/>
      <c r="D2018" s="120"/>
      <c r="E2018" s="120"/>
      <c r="F2018" s="120"/>
      <c r="G2018" s="120"/>
      <c r="H2018" s="120"/>
      <c r="I2018" s="121"/>
      <c r="J2018" s="121"/>
      <c r="K2018" s="117"/>
    </row>
    <row r="2019" ht="15.75" customHeight="1">
      <c r="A2019" s="122"/>
      <c r="B2019" s="133"/>
      <c r="C2019" s="120"/>
      <c r="D2019" s="120"/>
      <c r="E2019" s="120"/>
      <c r="F2019" s="120"/>
      <c r="G2019" s="120"/>
      <c r="H2019" s="120"/>
      <c r="I2019" s="121"/>
      <c r="J2019" s="121"/>
      <c r="K2019" s="117"/>
    </row>
    <row r="2020" ht="15.75" customHeight="1">
      <c r="A2020" s="122"/>
      <c r="B2020" s="133"/>
      <c r="C2020" s="120"/>
      <c r="D2020" s="120"/>
      <c r="E2020" s="120"/>
      <c r="F2020" s="120"/>
      <c r="G2020" s="120"/>
      <c r="H2020" s="120"/>
      <c r="I2020" s="121"/>
      <c r="J2020" s="121"/>
      <c r="K2020" s="117"/>
    </row>
    <row r="2021" ht="15.75" customHeight="1">
      <c r="A2021" s="122"/>
      <c r="B2021" s="133"/>
      <c r="C2021" s="120"/>
      <c r="D2021" s="120"/>
      <c r="E2021" s="120"/>
      <c r="F2021" s="120"/>
      <c r="G2021" s="120"/>
      <c r="H2021" s="120"/>
      <c r="I2021" s="121"/>
      <c r="J2021" s="121"/>
      <c r="K2021" s="117"/>
    </row>
    <row r="2022" ht="15.75" customHeight="1">
      <c r="A2022" s="122"/>
      <c r="B2022" s="133"/>
      <c r="C2022" s="120"/>
      <c r="D2022" s="120"/>
      <c r="E2022" s="120"/>
      <c r="F2022" s="120"/>
      <c r="G2022" s="120"/>
      <c r="H2022" s="120"/>
      <c r="I2022" s="121"/>
      <c r="J2022" s="121"/>
      <c r="K2022" s="117"/>
    </row>
    <row r="2023" ht="15.75" customHeight="1">
      <c r="A2023" s="122"/>
      <c r="B2023" s="133"/>
      <c r="C2023" s="120"/>
      <c r="D2023" s="120"/>
      <c r="E2023" s="120"/>
      <c r="F2023" s="120"/>
      <c r="G2023" s="120"/>
      <c r="H2023" s="120"/>
      <c r="I2023" s="121"/>
      <c r="J2023" s="121"/>
      <c r="K2023" s="117"/>
    </row>
    <row r="2024" ht="15.75" customHeight="1">
      <c r="A2024" s="122"/>
      <c r="B2024" s="133"/>
      <c r="C2024" s="120"/>
      <c r="D2024" s="120"/>
      <c r="E2024" s="120"/>
      <c r="F2024" s="120"/>
      <c r="G2024" s="120"/>
      <c r="H2024" s="120"/>
      <c r="I2024" s="121"/>
      <c r="J2024" s="121"/>
      <c r="K2024" s="117"/>
    </row>
    <row r="2025" ht="15.75" customHeight="1">
      <c r="A2025" s="122"/>
      <c r="B2025" s="133"/>
      <c r="C2025" s="120"/>
      <c r="D2025" s="120"/>
      <c r="E2025" s="120"/>
      <c r="F2025" s="120"/>
      <c r="G2025" s="120"/>
      <c r="H2025" s="120"/>
      <c r="I2025" s="121"/>
      <c r="J2025" s="121"/>
      <c r="K2025" s="117"/>
    </row>
    <row r="2026" ht="15.75" customHeight="1">
      <c r="A2026" s="122"/>
      <c r="B2026" s="133"/>
      <c r="C2026" s="120"/>
      <c r="D2026" s="120"/>
      <c r="E2026" s="120"/>
      <c r="F2026" s="120"/>
      <c r="G2026" s="120"/>
      <c r="H2026" s="120"/>
      <c r="I2026" s="121"/>
      <c r="J2026" s="121"/>
      <c r="K2026" s="117"/>
    </row>
    <row r="2027" ht="15.75" customHeight="1">
      <c r="A2027" s="122"/>
      <c r="B2027" s="133"/>
      <c r="C2027" s="120"/>
      <c r="D2027" s="120"/>
      <c r="E2027" s="120"/>
      <c r="F2027" s="120"/>
      <c r="G2027" s="120"/>
      <c r="H2027" s="120"/>
      <c r="I2027" s="121"/>
      <c r="J2027" s="121"/>
      <c r="K2027" s="117"/>
    </row>
    <row r="2028" ht="15.75" customHeight="1">
      <c r="A2028" s="122"/>
      <c r="B2028" s="133"/>
      <c r="C2028" s="120"/>
      <c r="D2028" s="120"/>
      <c r="E2028" s="120"/>
      <c r="F2028" s="120"/>
      <c r="G2028" s="120"/>
      <c r="H2028" s="120"/>
      <c r="I2028" s="121"/>
      <c r="J2028" s="121"/>
      <c r="K2028" s="117"/>
    </row>
    <row r="2029" ht="15.75" customHeight="1">
      <c r="A2029" s="122"/>
      <c r="B2029" s="133"/>
      <c r="C2029" s="120"/>
      <c r="D2029" s="120"/>
      <c r="E2029" s="120"/>
      <c r="F2029" s="120"/>
      <c r="G2029" s="120"/>
      <c r="H2029" s="120"/>
      <c r="I2029" s="121"/>
      <c r="J2029" s="121"/>
      <c r="K2029" s="117"/>
    </row>
    <row r="2030" ht="15.75" customHeight="1">
      <c r="A2030" s="122"/>
      <c r="B2030" s="133"/>
      <c r="C2030" s="120"/>
      <c r="D2030" s="120"/>
      <c r="E2030" s="120"/>
      <c r="F2030" s="120"/>
      <c r="G2030" s="120"/>
      <c r="H2030" s="120"/>
      <c r="I2030" s="121"/>
      <c r="J2030" s="121"/>
      <c r="K2030" s="117"/>
    </row>
    <row r="2031" ht="15.75" customHeight="1">
      <c r="A2031" s="122"/>
      <c r="B2031" s="133"/>
      <c r="C2031" s="120"/>
      <c r="D2031" s="120"/>
      <c r="E2031" s="120"/>
      <c r="F2031" s="120"/>
      <c r="G2031" s="120"/>
      <c r="H2031" s="120"/>
      <c r="I2031" s="121"/>
      <c r="J2031" s="121"/>
      <c r="K2031" s="117"/>
    </row>
    <row r="2032" ht="15.75" customHeight="1">
      <c r="A2032" s="122"/>
      <c r="B2032" s="133"/>
      <c r="C2032" s="120"/>
      <c r="D2032" s="120"/>
      <c r="E2032" s="120"/>
      <c r="F2032" s="120"/>
      <c r="G2032" s="120"/>
      <c r="H2032" s="120"/>
      <c r="I2032" s="121"/>
      <c r="J2032" s="121"/>
      <c r="K2032" s="117"/>
    </row>
    <row r="2033" ht="15.75" customHeight="1">
      <c r="A2033" s="122"/>
      <c r="B2033" s="133"/>
      <c r="C2033" s="120"/>
      <c r="D2033" s="120"/>
      <c r="E2033" s="120"/>
      <c r="F2033" s="120"/>
      <c r="G2033" s="120"/>
      <c r="H2033" s="120"/>
      <c r="I2033" s="121"/>
      <c r="J2033" s="121"/>
      <c r="K2033" s="117"/>
    </row>
    <row r="2034" ht="15.75" customHeight="1">
      <c r="A2034" s="122"/>
      <c r="B2034" s="133"/>
      <c r="C2034" s="120"/>
      <c r="D2034" s="120"/>
      <c r="E2034" s="120"/>
      <c r="F2034" s="120"/>
      <c r="G2034" s="120"/>
      <c r="H2034" s="120"/>
      <c r="I2034" s="121"/>
      <c r="J2034" s="121"/>
      <c r="K2034" s="117"/>
    </row>
    <row r="2035" ht="15.75" customHeight="1">
      <c r="A2035" s="122"/>
      <c r="B2035" s="133"/>
      <c r="C2035" s="120"/>
      <c r="D2035" s="120"/>
      <c r="E2035" s="120"/>
      <c r="F2035" s="120"/>
      <c r="G2035" s="120"/>
      <c r="H2035" s="120"/>
      <c r="I2035" s="121"/>
      <c r="J2035" s="121"/>
      <c r="K2035" s="117"/>
    </row>
    <row r="2036" ht="15.75" customHeight="1">
      <c r="A2036" s="122"/>
      <c r="B2036" s="133"/>
      <c r="C2036" s="120"/>
      <c r="D2036" s="120"/>
      <c r="E2036" s="120"/>
      <c r="F2036" s="120"/>
      <c r="G2036" s="120"/>
      <c r="H2036" s="120"/>
      <c r="I2036" s="121"/>
      <c r="J2036" s="121"/>
      <c r="K2036" s="117"/>
    </row>
    <row r="2037" ht="15.75" customHeight="1">
      <c r="A2037" s="122"/>
      <c r="B2037" s="133"/>
      <c r="C2037" s="120"/>
      <c r="D2037" s="120"/>
      <c r="E2037" s="120"/>
      <c r="F2037" s="120"/>
      <c r="G2037" s="120"/>
      <c r="H2037" s="120"/>
      <c r="I2037" s="121"/>
      <c r="J2037" s="121"/>
      <c r="K2037" s="117"/>
    </row>
    <row r="2038" ht="15.75" customHeight="1">
      <c r="A2038" s="122"/>
      <c r="B2038" s="133"/>
      <c r="C2038" s="120"/>
      <c r="D2038" s="120"/>
      <c r="E2038" s="120"/>
      <c r="F2038" s="120"/>
      <c r="G2038" s="120"/>
      <c r="H2038" s="120"/>
      <c r="I2038" s="121"/>
      <c r="J2038" s="121"/>
      <c r="K2038" s="117"/>
    </row>
    <row r="2039" ht="15.75" customHeight="1">
      <c r="A2039" s="122"/>
      <c r="B2039" s="133"/>
      <c r="C2039" s="120"/>
      <c r="D2039" s="120"/>
      <c r="E2039" s="120"/>
      <c r="F2039" s="120"/>
      <c r="G2039" s="120"/>
      <c r="H2039" s="120"/>
      <c r="I2039" s="121"/>
      <c r="J2039" s="121"/>
      <c r="K2039" s="117"/>
    </row>
    <row r="2040" ht="15.75" customHeight="1">
      <c r="A2040" s="122"/>
      <c r="B2040" s="133"/>
      <c r="C2040" s="120"/>
      <c r="D2040" s="120"/>
      <c r="E2040" s="120"/>
      <c r="F2040" s="120"/>
      <c r="G2040" s="120"/>
      <c r="H2040" s="120"/>
      <c r="I2040" s="121"/>
      <c r="J2040" s="121"/>
      <c r="K2040" s="117"/>
    </row>
    <row r="2041" ht="15.75" customHeight="1">
      <c r="A2041" s="122"/>
      <c r="B2041" s="133"/>
      <c r="C2041" s="120"/>
      <c r="D2041" s="120"/>
      <c r="E2041" s="120"/>
      <c r="F2041" s="120"/>
      <c r="G2041" s="120"/>
      <c r="H2041" s="120"/>
      <c r="I2041" s="121"/>
      <c r="J2041" s="121"/>
      <c r="K2041" s="117"/>
    </row>
    <row r="2042" ht="15.75" customHeight="1">
      <c r="A2042" s="122"/>
      <c r="B2042" s="133"/>
      <c r="C2042" s="120"/>
      <c r="D2042" s="120"/>
      <c r="E2042" s="120"/>
      <c r="F2042" s="120"/>
      <c r="G2042" s="120"/>
      <c r="H2042" s="120"/>
      <c r="I2042" s="121"/>
      <c r="J2042" s="121"/>
      <c r="K2042" s="117"/>
    </row>
    <row r="2043" ht="15.75" customHeight="1">
      <c r="A2043" s="122"/>
      <c r="B2043" s="133"/>
      <c r="C2043" s="120"/>
      <c r="D2043" s="120"/>
      <c r="E2043" s="120"/>
      <c r="F2043" s="120"/>
      <c r="G2043" s="120"/>
      <c r="H2043" s="120"/>
      <c r="I2043" s="121"/>
      <c r="J2043" s="121"/>
      <c r="K2043" s="117"/>
    </row>
    <row r="2044" ht="15.75" customHeight="1">
      <c r="A2044" s="122"/>
      <c r="B2044" s="133"/>
      <c r="C2044" s="120"/>
      <c r="D2044" s="120"/>
      <c r="E2044" s="120"/>
      <c r="F2044" s="120"/>
      <c r="G2044" s="120"/>
      <c r="H2044" s="120"/>
      <c r="I2044" s="121"/>
      <c r="J2044" s="121"/>
      <c r="K2044" s="117"/>
    </row>
    <row r="2045" ht="15.75" customHeight="1">
      <c r="A2045" s="122"/>
      <c r="B2045" s="133"/>
      <c r="C2045" s="120"/>
      <c r="D2045" s="120"/>
      <c r="E2045" s="120"/>
      <c r="F2045" s="120"/>
      <c r="G2045" s="120"/>
      <c r="H2045" s="120"/>
      <c r="I2045" s="121"/>
      <c r="J2045" s="121"/>
      <c r="K2045" s="117"/>
    </row>
    <row r="2046" ht="15.75" customHeight="1">
      <c r="A2046" s="122"/>
      <c r="B2046" s="133"/>
      <c r="C2046" s="120"/>
      <c r="D2046" s="120"/>
      <c r="E2046" s="120"/>
      <c r="F2046" s="120"/>
      <c r="G2046" s="120"/>
      <c r="H2046" s="120"/>
      <c r="I2046" s="121"/>
      <c r="J2046" s="121"/>
      <c r="K2046" s="117"/>
    </row>
    <row r="2047" ht="15.75" customHeight="1">
      <c r="A2047" s="122"/>
      <c r="B2047" s="133"/>
      <c r="C2047" s="120"/>
      <c r="D2047" s="120"/>
      <c r="E2047" s="120"/>
      <c r="F2047" s="120"/>
      <c r="G2047" s="120"/>
      <c r="H2047" s="120"/>
      <c r="I2047" s="121"/>
      <c r="J2047" s="121"/>
      <c r="K2047" s="117"/>
    </row>
    <row r="2048" ht="15.75" customHeight="1">
      <c r="A2048" s="122"/>
      <c r="B2048" s="133"/>
      <c r="C2048" s="120"/>
      <c r="D2048" s="120"/>
      <c r="E2048" s="120"/>
      <c r="F2048" s="120"/>
      <c r="G2048" s="120"/>
      <c r="H2048" s="120"/>
      <c r="I2048" s="121"/>
      <c r="J2048" s="121"/>
      <c r="K2048" s="117"/>
    </row>
    <row r="2049" ht="15.75" customHeight="1">
      <c r="A2049" s="122"/>
      <c r="B2049" s="133"/>
      <c r="C2049" s="120"/>
      <c r="D2049" s="120"/>
      <c r="E2049" s="120"/>
      <c r="F2049" s="120"/>
      <c r="G2049" s="120"/>
      <c r="H2049" s="120"/>
      <c r="I2049" s="121"/>
      <c r="J2049" s="121"/>
      <c r="K2049" s="117"/>
    </row>
    <row r="2050" ht="15.75" customHeight="1">
      <c r="A2050" s="122"/>
      <c r="B2050" s="133"/>
      <c r="C2050" s="120"/>
      <c r="D2050" s="120"/>
      <c r="E2050" s="120"/>
      <c r="F2050" s="120"/>
      <c r="G2050" s="120"/>
      <c r="H2050" s="120"/>
      <c r="I2050" s="121"/>
      <c r="J2050" s="121"/>
      <c r="K2050" s="117"/>
    </row>
    <row r="2051" ht="15.75" customHeight="1">
      <c r="A2051" s="122"/>
      <c r="B2051" s="133"/>
      <c r="C2051" s="120"/>
      <c r="D2051" s="120"/>
      <c r="E2051" s="120"/>
      <c r="F2051" s="120"/>
      <c r="G2051" s="120"/>
      <c r="H2051" s="120"/>
      <c r="I2051" s="121"/>
      <c r="J2051" s="121"/>
      <c r="K2051" s="117"/>
    </row>
    <row r="2052" ht="15.75" customHeight="1">
      <c r="A2052" s="122"/>
      <c r="B2052" s="133"/>
      <c r="C2052" s="120"/>
      <c r="D2052" s="120"/>
      <c r="E2052" s="120"/>
      <c r="F2052" s="120"/>
      <c r="G2052" s="120"/>
      <c r="H2052" s="120"/>
      <c r="I2052" s="121"/>
      <c r="J2052" s="121"/>
      <c r="K2052" s="117"/>
    </row>
    <row r="2053" ht="15.75" customHeight="1">
      <c r="A2053" s="122"/>
      <c r="B2053" s="133"/>
      <c r="C2053" s="120"/>
      <c r="D2053" s="120"/>
      <c r="E2053" s="120"/>
      <c r="F2053" s="120"/>
      <c r="G2053" s="120"/>
      <c r="H2053" s="120"/>
      <c r="I2053" s="121"/>
      <c r="J2053" s="121"/>
      <c r="K2053" s="117"/>
    </row>
    <row r="2054" ht="15.75" customHeight="1">
      <c r="A2054" s="122"/>
      <c r="B2054" s="133"/>
      <c r="C2054" s="120"/>
      <c r="D2054" s="120"/>
      <c r="E2054" s="120"/>
      <c r="F2054" s="120"/>
      <c r="G2054" s="120"/>
      <c r="H2054" s="120"/>
      <c r="I2054" s="121"/>
      <c r="J2054" s="121"/>
      <c r="K2054" s="117"/>
    </row>
    <row r="2055" ht="15.75" customHeight="1">
      <c r="A2055" s="122"/>
      <c r="B2055" s="133"/>
      <c r="C2055" s="120"/>
      <c r="D2055" s="120"/>
      <c r="E2055" s="120"/>
      <c r="F2055" s="120"/>
      <c r="G2055" s="120"/>
      <c r="H2055" s="120"/>
      <c r="I2055" s="121"/>
      <c r="J2055" s="121"/>
      <c r="K2055" s="117"/>
    </row>
    <row r="2056" ht="15.75" customHeight="1">
      <c r="A2056" s="122"/>
      <c r="B2056" s="133"/>
      <c r="C2056" s="120"/>
      <c r="D2056" s="120"/>
      <c r="E2056" s="120"/>
      <c r="F2056" s="120"/>
      <c r="G2056" s="120"/>
      <c r="H2056" s="120"/>
      <c r="I2056" s="121"/>
      <c r="J2056" s="121"/>
      <c r="K2056" s="117"/>
    </row>
    <row r="2057" ht="15.75" customHeight="1">
      <c r="A2057" s="122"/>
      <c r="B2057" s="133"/>
      <c r="C2057" s="120"/>
      <c r="D2057" s="120"/>
      <c r="E2057" s="120"/>
      <c r="F2057" s="120"/>
      <c r="G2057" s="120"/>
      <c r="H2057" s="120"/>
      <c r="I2057" s="121"/>
      <c r="J2057" s="121"/>
      <c r="K2057" s="117"/>
    </row>
    <row r="2058" ht="15.75" customHeight="1">
      <c r="A2058" s="122"/>
      <c r="B2058" s="133"/>
      <c r="C2058" s="120"/>
      <c r="D2058" s="120"/>
      <c r="E2058" s="120"/>
      <c r="F2058" s="120"/>
      <c r="G2058" s="120"/>
      <c r="H2058" s="120"/>
      <c r="I2058" s="121"/>
      <c r="J2058" s="121"/>
      <c r="K2058" s="117"/>
    </row>
    <row r="2059" ht="15.75" customHeight="1">
      <c r="A2059" s="122"/>
      <c r="B2059" s="133"/>
      <c r="C2059" s="120"/>
      <c r="D2059" s="120"/>
      <c r="E2059" s="120"/>
      <c r="F2059" s="120"/>
      <c r="G2059" s="120"/>
      <c r="H2059" s="120"/>
      <c r="I2059" s="121"/>
      <c r="J2059" s="121"/>
      <c r="K2059" s="117"/>
    </row>
    <row r="2060" ht="15.75" customHeight="1">
      <c r="A2060" s="122"/>
      <c r="B2060" s="133"/>
      <c r="C2060" s="120"/>
      <c r="D2060" s="120"/>
      <c r="E2060" s="120"/>
      <c r="F2060" s="120"/>
      <c r="G2060" s="120"/>
      <c r="H2060" s="120"/>
      <c r="I2060" s="121"/>
      <c r="J2060" s="121"/>
      <c r="K2060" s="117"/>
    </row>
    <row r="2061" ht="15.75" customHeight="1">
      <c r="A2061" s="122"/>
      <c r="B2061" s="133"/>
      <c r="C2061" s="120"/>
      <c r="D2061" s="120"/>
      <c r="E2061" s="120"/>
      <c r="F2061" s="120"/>
      <c r="G2061" s="120"/>
      <c r="H2061" s="120"/>
      <c r="I2061" s="121"/>
      <c r="J2061" s="121"/>
      <c r="K2061" s="117"/>
    </row>
    <row r="2062" ht="15.75" customHeight="1">
      <c r="A2062" s="122"/>
      <c r="B2062" s="133"/>
      <c r="C2062" s="120"/>
      <c r="D2062" s="120"/>
      <c r="E2062" s="120"/>
      <c r="F2062" s="120"/>
      <c r="G2062" s="120"/>
      <c r="H2062" s="120"/>
      <c r="I2062" s="121"/>
      <c r="J2062" s="121"/>
      <c r="K2062" s="117"/>
    </row>
    <row r="2063" ht="15.75" customHeight="1">
      <c r="A2063" s="122"/>
      <c r="B2063" s="133"/>
      <c r="C2063" s="120"/>
      <c r="D2063" s="120"/>
      <c r="E2063" s="120"/>
      <c r="F2063" s="120"/>
      <c r="G2063" s="120"/>
      <c r="H2063" s="120"/>
      <c r="I2063" s="121"/>
      <c r="J2063" s="121"/>
      <c r="K2063" s="117"/>
    </row>
    <row r="2064" ht="15.75" customHeight="1">
      <c r="A2064" s="122"/>
      <c r="B2064" s="133"/>
      <c r="C2064" s="120"/>
      <c r="D2064" s="120"/>
      <c r="E2064" s="120"/>
      <c r="F2064" s="120"/>
      <c r="G2064" s="120"/>
      <c r="H2064" s="120"/>
      <c r="I2064" s="121"/>
      <c r="J2064" s="121"/>
      <c r="K2064" s="117"/>
    </row>
    <row r="2065" ht="15.75" customHeight="1">
      <c r="A2065" s="122"/>
      <c r="B2065" s="133"/>
      <c r="C2065" s="120"/>
      <c r="D2065" s="120"/>
      <c r="E2065" s="120"/>
      <c r="F2065" s="120"/>
      <c r="G2065" s="120"/>
      <c r="H2065" s="120"/>
      <c r="I2065" s="121"/>
      <c r="J2065" s="121"/>
      <c r="K2065" s="117"/>
    </row>
    <row r="2066" ht="15.75" customHeight="1">
      <c r="A2066" s="122"/>
      <c r="B2066" s="133"/>
      <c r="C2066" s="120"/>
      <c r="D2066" s="120"/>
      <c r="E2066" s="120"/>
      <c r="F2066" s="120"/>
      <c r="G2066" s="120"/>
      <c r="H2066" s="120"/>
      <c r="I2066" s="121"/>
      <c r="J2066" s="121"/>
      <c r="K2066" s="117"/>
    </row>
    <row r="2067" ht="15.75" customHeight="1">
      <c r="A2067" s="122"/>
      <c r="B2067" s="133"/>
      <c r="C2067" s="120"/>
      <c r="D2067" s="120"/>
      <c r="E2067" s="120"/>
      <c r="F2067" s="120"/>
      <c r="G2067" s="120"/>
      <c r="H2067" s="120"/>
      <c r="I2067" s="121"/>
      <c r="J2067" s="121"/>
      <c r="K2067" s="117"/>
    </row>
    <row r="2068" ht="15.75" customHeight="1">
      <c r="A2068" s="122"/>
      <c r="B2068" s="133"/>
      <c r="C2068" s="120"/>
      <c r="D2068" s="120"/>
      <c r="E2068" s="120"/>
      <c r="F2068" s="120"/>
      <c r="G2068" s="120"/>
      <c r="H2068" s="120"/>
      <c r="I2068" s="121"/>
      <c r="J2068" s="121"/>
      <c r="K2068" s="117"/>
    </row>
    <row r="2069" ht="15.75" customHeight="1">
      <c r="A2069" s="122"/>
      <c r="B2069" s="133"/>
      <c r="C2069" s="120"/>
      <c r="D2069" s="120"/>
      <c r="E2069" s="120"/>
      <c r="F2069" s="120"/>
      <c r="G2069" s="120"/>
      <c r="H2069" s="120"/>
      <c r="I2069" s="121"/>
      <c r="J2069" s="121"/>
      <c r="K2069" s="117"/>
    </row>
    <row r="2070" ht="15.75" customHeight="1">
      <c r="A2070" s="122"/>
      <c r="B2070" s="133"/>
      <c r="C2070" s="120"/>
      <c r="D2070" s="120"/>
      <c r="E2070" s="120"/>
      <c r="F2070" s="120"/>
      <c r="G2070" s="120"/>
      <c r="H2070" s="120"/>
      <c r="I2070" s="121"/>
      <c r="J2070" s="121"/>
      <c r="K2070" s="117"/>
    </row>
    <row r="2071" ht="15.75" customHeight="1">
      <c r="A2071" s="122"/>
      <c r="B2071" s="133"/>
      <c r="C2071" s="120"/>
      <c r="D2071" s="120"/>
      <c r="E2071" s="120"/>
      <c r="F2071" s="120"/>
      <c r="G2071" s="120"/>
      <c r="H2071" s="120"/>
      <c r="I2071" s="121"/>
      <c r="J2071" s="121"/>
      <c r="K2071" s="117"/>
    </row>
    <row r="2072" ht="15.75" customHeight="1">
      <c r="A2072" s="122"/>
      <c r="B2072" s="133"/>
      <c r="C2072" s="120"/>
      <c r="D2072" s="120"/>
      <c r="E2072" s="120"/>
      <c r="F2072" s="120"/>
      <c r="G2072" s="120"/>
      <c r="H2072" s="120"/>
      <c r="I2072" s="121"/>
      <c r="J2072" s="121"/>
      <c r="K2072" s="117"/>
    </row>
    <row r="2073" ht="15.75" customHeight="1">
      <c r="A2073" s="122"/>
      <c r="B2073" s="133"/>
      <c r="C2073" s="120"/>
      <c r="D2073" s="120"/>
      <c r="E2073" s="120"/>
      <c r="F2073" s="120"/>
      <c r="G2073" s="120"/>
      <c r="H2073" s="120"/>
      <c r="I2073" s="121"/>
      <c r="J2073" s="121"/>
      <c r="K2073" s="117"/>
    </row>
    <row r="2074" ht="15.75" customHeight="1">
      <c r="A2074" s="122"/>
      <c r="B2074" s="133"/>
      <c r="C2074" s="120"/>
      <c r="D2074" s="120"/>
      <c r="E2074" s="120"/>
      <c r="F2074" s="120"/>
      <c r="G2074" s="120"/>
      <c r="H2074" s="120"/>
      <c r="I2074" s="121"/>
      <c r="J2074" s="121"/>
      <c r="K2074" s="117"/>
    </row>
    <row r="2075" ht="15.75" customHeight="1">
      <c r="A2075" s="122"/>
      <c r="B2075" s="133"/>
      <c r="C2075" s="120"/>
      <c r="D2075" s="120"/>
      <c r="E2075" s="120"/>
      <c r="F2075" s="120"/>
      <c r="G2075" s="120"/>
      <c r="H2075" s="120"/>
      <c r="I2075" s="121"/>
      <c r="J2075" s="121"/>
      <c r="K2075" s="117"/>
    </row>
    <row r="2076" ht="15.75" customHeight="1">
      <c r="A2076" s="122"/>
      <c r="B2076" s="133"/>
      <c r="C2076" s="120"/>
      <c r="D2076" s="120"/>
      <c r="E2076" s="120"/>
      <c r="F2076" s="120"/>
      <c r="G2076" s="120"/>
      <c r="H2076" s="120"/>
      <c r="I2076" s="121"/>
      <c r="J2076" s="121"/>
      <c r="K2076" s="117"/>
    </row>
    <row r="2077" ht="15.75" customHeight="1">
      <c r="A2077" s="122"/>
      <c r="B2077" s="133"/>
      <c r="C2077" s="120"/>
      <c r="D2077" s="120"/>
      <c r="E2077" s="120"/>
      <c r="F2077" s="120"/>
      <c r="G2077" s="120"/>
      <c r="H2077" s="120"/>
      <c r="I2077" s="121"/>
      <c r="J2077" s="121"/>
      <c r="K2077" s="117"/>
    </row>
    <row r="2078" ht="15.75" customHeight="1">
      <c r="A2078" s="122"/>
      <c r="B2078" s="133"/>
      <c r="C2078" s="120"/>
      <c r="D2078" s="120"/>
      <c r="E2078" s="120"/>
      <c r="F2078" s="120"/>
      <c r="G2078" s="120"/>
      <c r="H2078" s="120"/>
      <c r="I2078" s="121"/>
      <c r="J2078" s="121"/>
      <c r="K2078" s="117"/>
    </row>
    <row r="2079" ht="15.75" customHeight="1">
      <c r="A2079" s="122"/>
      <c r="B2079" s="133"/>
      <c r="C2079" s="120"/>
      <c r="D2079" s="120"/>
      <c r="E2079" s="120"/>
      <c r="F2079" s="120"/>
      <c r="G2079" s="120"/>
      <c r="H2079" s="120"/>
      <c r="I2079" s="121"/>
      <c r="J2079" s="121"/>
      <c r="K2079" s="117"/>
    </row>
    <row r="2080" ht="15.75" customHeight="1">
      <c r="A2080" s="122"/>
      <c r="B2080" s="133"/>
      <c r="C2080" s="120"/>
      <c r="D2080" s="120"/>
      <c r="E2080" s="120"/>
      <c r="F2080" s="120"/>
      <c r="G2080" s="120"/>
      <c r="H2080" s="120"/>
      <c r="I2080" s="121"/>
      <c r="J2080" s="121"/>
      <c r="K2080" s="117"/>
    </row>
    <row r="2081" ht="15.75" customHeight="1">
      <c r="A2081" s="122"/>
      <c r="B2081" s="133"/>
      <c r="C2081" s="120"/>
      <c r="D2081" s="120"/>
      <c r="E2081" s="120"/>
      <c r="F2081" s="120"/>
      <c r="G2081" s="120"/>
      <c r="H2081" s="120"/>
      <c r="I2081" s="121"/>
      <c r="J2081" s="121"/>
      <c r="K2081" s="117"/>
    </row>
    <row r="2082" ht="15.75" customHeight="1">
      <c r="A2082" s="122"/>
      <c r="B2082" s="133"/>
      <c r="C2082" s="120"/>
      <c r="D2082" s="120"/>
      <c r="E2082" s="120"/>
      <c r="F2082" s="120"/>
      <c r="G2082" s="120"/>
      <c r="H2082" s="120"/>
      <c r="I2082" s="121"/>
      <c r="J2082" s="121"/>
      <c r="K2082" s="117"/>
    </row>
    <row r="2083" ht="15.75" customHeight="1">
      <c r="A2083" s="122"/>
      <c r="B2083" s="133"/>
      <c r="C2083" s="120"/>
      <c r="D2083" s="120"/>
      <c r="E2083" s="120"/>
      <c r="F2083" s="120"/>
      <c r="G2083" s="120"/>
      <c r="H2083" s="120"/>
      <c r="I2083" s="121"/>
      <c r="J2083" s="121"/>
      <c r="K2083" s="117"/>
    </row>
    <row r="2084" ht="15.75" customHeight="1">
      <c r="A2084" s="122"/>
      <c r="B2084" s="133"/>
      <c r="C2084" s="120"/>
      <c r="D2084" s="120"/>
      <c r="E2084" s="120"/>
      <c r="F2084" s="120"/>
      <c r="G2084" s="120"/>
      <c r="H2084" s="120"/>
      <c r="I2084" s="121"/>
      <c r="J2084" s="121"/>
      <c r="K2084" s="117"/>
    </row>
    <row r="2085" ht="15.75" customHeight="1">
      <c r="A2085" s="122"/>
      <c r="B2085" s="133"/>
      <c r="C2085" s="120"/>
      <c r="D2085" s="120"/>
      <c r="E2085" s="120"/>
      <c r="F2085" s="120"/>
      <c r="G2085" s="120"/>
      <c r="H2085" s="120"/>
      <c r="I2085" s="121"/>
      <c r="J2085" s="121"/>
      <c r="K2085" s="117"/>
    </row>
    <row r="2086" ht="15.75" customHeight="1">
      <c r="A2086" s="122"/>
      <c r="B2086" s="133"/>
      <c r="C2086" s="120"/>
      <c r="D2086" s="120"/>
      <c r="E2086" s="120"/>
      <c r="F2086" s="120"/>
      <c r="G2086" s="120"/>
      <c r="H2086" s="120"/>
      <c r="I2086" s="121"/>
      <c r="J2086" s="121"/>
      <c r="K2086" s="117"/>
    </row>
    <row r="2087" ht="15.75" customHeight="1">
      <c r="A2087" s="122"/>
      <c r="B2087" s="133"/>
      <c r="C2087" s="120"/>
      <c r="D2087" s="120"/>
      <c r="E2087" s="120"/>
      <c r="F2087" s="120"/>
      <c r="G2087" s="120"/>
      <c r="H2087" s="120"/>
      <c r="I2087" s="121"/>
      <c r="J2087" s="121"/>
      <c r="K2087" s="117"/>
    </row>
    <row r="2088" ht="15.75" customHeight="1">
      <c r="A2088" s="122"/>
      <c r="B2088" s="133"/>
      <c r="C2088" s="120"/>
      <c r="D2088" s="120"/>
      <c r="E2088" s="120"/>
      <c r="F2088" s="120"/>
      <c r="G2088" s="120"/>
      <c r="H2088" s="120"/>
      <c r="I2088" s="121"/>
      <c r="J2088" s="121"/>
      <c r="K2088" s="117"/>
    </row>
    <row r="2089" ht="15.75" customHeight="1">
      <c r="A2089" s="122"/>
      <c r="B2089" s="133"/>
      <c r="C2089" s="120"/>
      <c r="D2089" s="120"/>
      <c r="E2089" s="120"/>
      <c r="F2089" s="120"/>
      <c r="G2089" s="120"/>
      <c r="H2089" s="120"/>
      <c r="I2089" s="121"/>
      <c r="J2089" s="121"/>
      <c r="K2089" s="117"/>
    </row>
    <row r="2090" ht="15.75" customHeight="1">
      <c r="A2090" s="122"/>
      <c r="B2090" s="133"/>
      <c r="C2090" s="120"/>
      <c r="D2090" s="120"/>
      <c r="E2090" s="120"/>
      <c r="F2090" s="120"/>
      <c r="G2090" s="120"/>
      <c r="H2090" s="120"/>
      <c r="I2090" s="121"/>
      <c r="J2090" s="121"/>
      <c r="K2090" s="117"/>
    </row>
    <row r="2091" ht="15.75" customHeight="1">
      <c r="A2091" s="122"/>
      <c r="B2091" s="133"/>
      <c r="C2091" s="120"/>
      <c r="D2091" s="120"/>
      <c r="E2091" s="120"/>
      <c r="F2091" s="120"/>
      <c r="G2091" s="120"/>
      <c r="H2091" s="120"/>
      <c r="I2091" s="121"/>
      <c r="J2091" s="121"/>
      <c r="K2091" s="117"/>
    </row>
    <row r="2092" ht="15.75" customHeight="1">
      <c r="A2092" s="122"/>
      <c r="B2092" s="133"/>
      <c r="C2092" s="120"/>
      <c r="D2092" s="120"/>
      <c r="E2092" s="120"/>
      <c r="F2092" s="120"/>
      <c r="G2092" s="120"/>
      <c r="H2092" s="120"/>
      <c r="I2092" s="121"/>
      <c r="J2092" s="121"/>
      <c r="K2092" s="117"/>
    </row>
    <row r="2093" ht="15.75" customHeight="1">
      <c r="A2093" s="122"/>
      <c r="B2093" s="133"/>
      <c r="C2093" s="120"/>
      <c r="D2093" s="120"/>
      <c r="E2093" s="120"/>
      <c r="F2093" s="120"/>
      <c r="G2093" s="120"/>
      <c r="H2093" s="120"/>
      <c r="I2093" s="121"/>
      <c r="J2093" s="121"/>
      <c r="K2093" s="117"/>
    </row>
    <row r="2094" ht="15.75" customHeight="1">
      <c r="A2094" s="122"/>
      <c r="B2094" s="133"/>
      <c r="C2094" s="120"/>
      <c r="D2094" s="120"/>
      <c r="E2094" s="120"/>
      <c r="F2094" s="120"/>
      <c r="G2094" s="120"/>
      <c r="H2094" s="120"/>
      <c r="I2094" s="121"/>
      <c r="J2094" s="121"/>
      <c r="K2094" s="117"/>
    </row>
    <row r="2095" ht="15.75" customHeight="1">
      <c r="A2095" s="122"/>
      <c r="B2095" s="133"/>
      <c r="C2095" s="120"/>
      <c r="D2095" s="120"/>
      <c r="E2095" s="120"/>
      <c r="F2095" s="120"/>
      <c r="G2095" s="120"/>
      <c r="H2095" s="120"/>
      <c r="I2095" s="121"/>
      <c r="J2095" s="121"/>
      <c r="K2095" s="117"/>
    </row>
    <row r="2096" ht="15.75" customHeight="1">
      <c r="A2096" s="122"/>
      <c r="B2096" s="133"/>
      <c r="C2096" s="120"/>
      <c r="D2096" s="120"/>
      <c r="E2096" s="120"/>
      <c r="F2096" s="120"/>
      <c r="G2096" s="120"/>
      <c r="H2096" s="120"/>
      <c r="I2096" s="121"/>
      <c r="J2096" s="121"/>
      <c r="K2096" s="117"/>
    </row>
    <row r="2097" ht="15.75" customHeight="1">
      <c r="A2097" s="122"/>
      <c r="B2097" s="133"/>
      <c r="C2097" s="120"/>
      <c r="D2097" s="120"/>
      <c r="E2097" s="120"/>
      <c r="F2097" s="120"/>
      <c r="G2097" s="120"/>
      <c r="H2097" s="120"/>
      <c r="I2097" s="121"/>
      <c r="J2097" s="121"/>
      <c r="K2097" s="117"/>
    </row>
    <row r="2098" ht="15.75" customHeight="1">
      <c r="A2098" s="122"/>
      <c r="B2098" s="133"/>
      <c r="C2098" s="120"/>
      <c r="D2098" s="120"/>
      <c r="E2098" s="120"/>
      <c r="F2098" s="120"/>
      <c r="G2098" s="120"/>
      <c r="H2098" s="120"/>
      <c r="I2098" s="121"/>
      <c r="J2098" s="121"/>
      <c r="K2098" s="117"/>
    </row>
    <row r="2099" ht="15.75" customHeight="1">
      <c r="A2099" s="122"/>
      <c r="B2099" s="133"/>
      <c r="C2099" s="120"/>
      <c r="D2099" s="120"/>
      <c r="E2099" s="120"/>
      <c r="F2099" s="120"/>
      <c r="G2099" s="120"/>
      <c r="H2099" s="120"/>
      <c r="I2099" s="121"/>
      <c r="J2099" s="121"/>
      <c r="K2099" s="117"/>
    </row>
    <row r="2100" ht="15.75" customHeight="1">
      <c r="A2100" s="122"/>
      <c r="B2100" s="133"/>
      <c r="C2100" s="120"/>
      <c r="D2100" s="120"/>
      <c r="E2100" s="120"/>
      <c r="F2100" s="120"/>
      <c r="G2100" s="120"/>
      <c r="H2100" s="120"/>
      <c r="I2100" s="121"/>
      <c r="J2100" s="121"/>
      <c r="K2100" s="117"/>
    </row>
    <row r="2101" ht="15.75" customHeight="1">
      <c r="A2101" s="122"/>
      <c r="B2101" s="133"/>
      <c r="C2101" s="120"/>
      <c r="D2101" s="120"/>
      <c r="E2101" s="120"/>
      <c r="F2101" s="120"/>
      <c r="G2101" s="120"/>
      <c r="H2101" s="120"/>
      <c r="I2101" s="121"/>
      <c r="J2101" s="121"/>
      <c r="K2101" s="117"/>
    </row>
    <row r="2102" ht="15.75" customHeight="1">
      <c r="A2102" s="122"/>
      <c r="B2102" s="133"/>
      <c r="C2102" s="120"/>
      <c r="D2102" s="120"/>
      <c r="E2102" s="120"/>
      <c r="F2102" s="120"/>
      <c r="G2102" s="120"/>
      <c r="H2102" s="120"/>
      <c r="I2102" s="121"/>
      <c r="J2102" s="121"/>
      <c r="K2102" s="117"/>
    </row>
    <row r="2103" ht="15.75" customHeight="1">
      <c r="A2103" s="122"/>
      <c r="B2103" s="133"/>
      <c r="C2103" s="120"/>
      <c r="D2103" s="120"/>
      <c r="E2103" s="120"/>
      <c r="F2103" s="120"/>
      <c r="G2103" s="120"/>
      <c r="H2103" s="120"/>
      <c r="I2103" s="121"/>
      <c r="J2103" s="121"/>
      <c r="K2103" s="117"/>
    </row>
    <row r="2104" ht="15.75" customHeight="1">
      <c r="A2104" s="122"/>
      <c r="B2104" s="133"/>
      <c r="C2104" s="120"/>
      <c r="D2104" s="120"/>
      <c r="E2104" s="120"/>
      <c r="F2104" s="120"/>
      <c r="G2104" s="120"/>
      <c r="H2104" s="120"/>
      <c r="I2104" s="121"/>
      <c r="J2104" s="121"/>
      <c r="K2104" s="117"/>
    </row>
    <row r="2105" ht="15.75" customHeight="1">
      <c r="A2105" s="122"/>
      <c r="B2105" s="133"/>
      <c r="C2105" s="120"/>
      <c r="D2105" s="120"/>
      <c r="E2105" s="120"/>
      <c r="F2105" s="120"/>
      <c r="G2105" s="120"/>
      <c r="H2105" s="120"/>
      <c r="I2105" s="121"/>
      <c r="J2105" s="121"/>
      <c r="K2105" s="117"/>
    </row>
    <row r="2106" ht="15.75" customHeight="1">
      <c r="A2106" s="122"/>
      <c r="B2106" s="133"/>
      <c r="C2106" s="120"/>
      <c r="D2106" s="120"/>
      <c r="E2106" s="120"/>
      <c r="F2106" s="120"/>
      <c r="G2106" s="120"/>
      <c r="H2106" s="120"/>
      <c r="I2106" s="121"/>
      <c r="J2106" s="121"/>
      <c r="K2106" s="117"/>
    </row>
    <row r="2107" ht="15.75" customHeight="1">
      <c r="A2107" s="122"/>
      <c r="B2107" s="133"/>
      <c r="C2107" s="120"/>
      <c r="D2107" s="120"/>
      <c r="E2107" s="120"/>
      <c r="F2107" s="120"/>
      <c r="G2107" s="120"/>
      <c r="H2107" s="120"/>
      <c r="I2107" s="121"/>
      <c r="J2107" s="121"/>
      <c r="K2107" s="117"/>
    </row>
    <row r="2108" ht="15.75" customHeight="1">
      <c r="A2108" s="122"/>
      <c r="B2108" s="133"/>
      <c r="C2108" s="120"/>
      <c r="D2108" s="120"/>
      <c r="E2108" s="120"/>
      <c r="F2108" s="120"/>
      <c r="G2108" s="120"/>
      <c r="H2108" s="120"/>
      <c r="I2108" s="121"/>
      <c r="J2108" s="121"/>
      <c r="K2108" s="117"/>
    </row>
    <row r="2109" ht="15.75" customHeight="1">
      <c r="A2109" s="122"/>
      <c r="B2109" s="133"/>
      <c r="C2109" s="120"/>
      <c r="D2109" s="120"/>
      <c r="E2109" s="120"/>
      <c r="F2109" s="120"/>
      <c r="G2109" s="120"/>
      <c r="H2109" s="120"/>
      <c r="I2109" s="121"/>
      <c r="J2109" s="121"/>
      <c r="K2109" s="117"/>
    </row>
    <row r="2110" ht="15.75" customHeight="1">
      <c r="A2110" s="122"/>
      <c r="B2110" s="133"/>
      <c r="C2110" s="120"/>
      <c r="D2110" s="120"/>
      <c r="E2110" s="120"/>
      <c r="F2110" s="120"/>
      <c r="G2110" s="120"/>
      <c r="H2110" s="120"/>
      <c r="I2110" s="121"/>
      <c r="J2110" s="121"/>
      <c r="K2110" s="117"/>
    </row>
    <row r="2111" ht="15.75" customHeight="1">
      <c r="A2111" s="122"/>
      <c r="B2111" s="133"/>
      <c r="C2111" s="120"/>
      <c r="D2111" s="120"/>
      <c r="E2111" s="120"/>
      <c r="F2111" s="120"/>
      <c r="G2111" s="120"/>
      <c r="H2111" s="120"/>
      <c r="I2111" s="121"/>
      <c r="J2111" s="121"/>
      <c r="K2111" s="117"/>
    </row>
    <row r="2112" ht="15.75" customHeight="1">
      <c r="A2112" s="122"/>
      <c r="B2112" s="133"/>
      <c r="C2112" s="120"/>
      <c r="D2112" s="120"/>
      <c r="E2112" s="120"/>
      <c r="F2112" s="120"/>
      <c r="G2112" s="120"/>
      <c r="H2112" s="120"/>
      <c r="I2112" s="121"/>
      <c r="J2112" s="121"/>
      <c r="K2112" s="117"/>
    </row>
    <row r="2113" ht="15.75" customHeight="1">
      <c r="A2113" s="122"/>
      <c r="B2113" s="133"/>
      <c r="C2113" s="120"/>
      <c r="D2113" s="120"/>
      <c r="E2113" s="120"/>
      <c r="F2113" s="120"/>
      <c r="G2113" s="120"/>
      <c r="H2113" s="120"/>
      <c r="I2113" s="121"/>
      <c r="J2113" s="121"/>
      <c r="K2113" s="117"/>
    </row>
    <row r="2114" ht="15.75" customHeight="1">
      <c r="A2114" s="122"/>
      <c r="B2114" s="133"/>
      <c r="C2114" s="120"/>
      <c r="D2114" s="120"/>
      <c r="E2114" s="120"/>
      <c r="F2114" s="120"/>
      <c r="G2114" s="120"/>
      <c r="H2114" s="120"/>
      <c r="I2114" s="121"/>
      <c r="J2114" s="121"/>
      <c r="K2114" s="117"/>
    </row>
    <row r="2115" ht="15.75" customHeight="1">
      <c r="A2115" s="122"/>
      <c r="B2115" s="133"/>
      <c r="C2115" s="120"/>
      <c r="D2115" s="120"/>
      <c r="E2115" s="120"/>
      <c r="F2115" s="120"/>
      <c r="G2115" s="120"/>
      <c r="H2115" s="120"/>
      <c r="I2115" s="121"/>
      <c r="J2115" s="121"/>
      <c r="K2115" s="117"/>
    </row>
    <row r="2116" ht="15.75" customHeight="1">
      <c r="A2116" s="122"/>
      <c r="B2116" s="133"/>
      <c r="C2116" s="120"/>
      <c r="D2116" s="120"/>
      <c r="E2116" s="120"/>
      <c r="F2116" s="120"/>
      <c r="G2116" s="120"/>
      <c r="H2116" s="120"/>
      <c r="I2116" s="121"/>
      <c r="J2116" s="121"/>
      <c r="K2116" s="117"/>
    </row>
    <row r="2117" ht="15.75" customHeight="1">
      <c r="A2117" s="122"/>
      <c r="B2117" s="133"/>
      <c r="C2117" s="120"/>
      <c r="D2117" s="120"/>
      <c r="E2117" s="120"/>
      <c r="F2117" s="120"/>
      <c r="G2117" s="120"/>
      <c r="H2117" s="120"/>
      <c r="I2117" s="121"/>
      <c r="J2117" s="121"/>
      <c r="K2117" s="117"/>
    </row>
    <row r="2118" ht="15.75" customHeight="1">
      <c r="A2118" s="122"/>
      <c r="B2118" s="133"/>
      <c r="C2118" s="120"/>
      <c r="D2118" s="120"/>
      <c r="E2118" s="120"/>
      <c r="F2118" s="120"/>
      <c r="G2118" s="120"/>
      <c r="H2118" s="120"/>
      <c r="I2118" s="121"/>
      <c r="J2118" s="121"/>
      <c r="K2118" s="117"/>
    </row>
    <row r="2119" ht="15.75" customHeight="1">
      <c r="A2119" s="122"/>
      <c r="B2119" s="133"/>
      <c r="C2119" s="120"/>
      <c r="D2119" s="120"/>
      <c r="E2119" s="120"/>
      <c r="F2119" s="120"/>
      <c r="G2119" s="120"/>
      <c r="H2119" s="120"/>
      <c r="I2119" s="121"/>
      <c r="J2119" s="121"/>
      <c r="K2119" s="117"/>
    </row>
    <row r="2120" ht="15.75" customHeight="1">
      <c r="A2120" s="122"/>
      <c r="B2120" s="133"/>
      <c r="C2120" s="120"/>
      <c r="D2120" s="120"/>
      <c r="E2120" s="120"/>
      <c r="F2120" s="120"/>
      <c r="G2120" s="120"/>
      <c r="H2120" s="120"/>
      <c r="I2120" s="121"/>
      <c r="J2120" s="121"/>
      <c r="K2120" s="117"/>
    </row>
    <row r="2121" ht="15.75" customHeight="1">
      <c r="A2121" s="122"/>
      <c r="B2121" s="133"/>
      <c r="C2121" s="120"/>
      <c r="D2121" s="120"/>
      <c r="E2121" s="120"/>
      <c r="F2121" s="120"/>
      <c r="G2121" s="120"/>
      <c r="H2121" s="120"/>
      <c r="I2121" s="121"/>
      <c r="J2121" s="121"/>
      <c r="K2121" s="117"/>
    </row>
    <row r="2122" ht="15.75" customHeight="1">
      <c r="A2122" s="122"/>
      <c r="B2122" s="133"/>
      <c r="C2122" s="120"/>
      <c r="D2122" s="120"/>
      <c r="E2122" s="120"/>
      <c r="F2122" s="120"/>
      <c r="G2122" s="120"/>
      <c r="H2122" s="120"/>
      <c r="I2122" s="121"/>
      <c r="J2122" s="121"/>
      <c r="K2122" s="117"/>
    </row>
    <row r="2123" ht="15.75" customHeight="1">
      <c r="A2123" s="122"/>
      <c r="B2123" s="133"/>
      <c r="C2123" s="120"/>
      <c r="D2123" s="120"/>
      <c r="E2123" s="120"/>
      <c r="F2123" s="120"/>
      <c r="G2123" s="120"/>
      <c r="H2123" s="120"/>
      <c r="I2123" s="121"/>
      <c r="J2123" s="121"/>
      <c r="K2123" s="117"/>
    </row>
    <row r="2124" ht="15.75" customHeight="1">
      <c r="A2124" s="122"/>
      <c r="B2124" s="133"/>
      <c r="C2124" s="120"/>
      <c r="D2124" s="120"/>
      <c r="E2124" s="120"/>
      <c r="F2124" s="120"/>
      <c r="G2124" s="120"/>
      <c r="H2124" s="120"/>
      <c r="I2124" s="121"/>
      <c r="J2124" s="121"/>
      <c r="K2124" s="117"/>
    </row>
    <row r="2125" ht="15.75" customHeight="1">
      <c r="A2125" s="122"/>
      <c r="B2125" s="133"/>
      <c r="C2125" s="120"/>
      <c r="D2125" s="120"/>
      <c r="E2125" s="120"/>
      <c r="F2125" s="120"/>
      <c r="G2125" s="120"/>
      <c r="H2125" s="120"/>
      <c r="I2125" s="121"/>
      <c r="J2125" s="121"/>
      <c r="K2125" s="117"/>
    </row>
    <row r="2126" ht="15.75" customHeight="1">
      <c r="A2126" s="122"/>
      <c r="B2126" s="133"/>
      <c r="C2126" s="120"/>
      <c r="D2126" s="120"/>
      <c r="E2126" s="120"/>
      <c r="F2126" s="120"/>
      <c r="G2126" s="120"/>
      <c r="H2126" s="120"/>
      <c r="I2126" s="121"/>
      <c r="J2126" s="121"/>
      <c r="K2126" s="117"/>
    </row>
    <row r="2127" ht="15.75" customHeight="1">
      <c r="A2127" s="122"/>
      <c r="B2127" s="133"/>
      <c r="C2127" s="120"/>
      <c r="D2127" s="120"/>
      <c r="E2127" s="120"/>
      <c r="F2127" s="120"/>
      <c r="G2127" s="120"/>
      <c r="H2127" s="120"/>
      <c r="I2127" s="121"/>
      <c r="J2127" s="121"/>
      <c r="K2127" s="117"/>
    </row>
    <row r="2128" ht="15.75" customHeight="1">
      <c r="A2128" s="122"/>
      <c r="B2128" s="133"/>
      <c r="C2128" s="120"/>
      <c r="D2128" s="120"/>
      <c r="E2128" s="120"/>
      <c r="F2128" s="120"/>
      <c r="G2128" s="120"/>
      <c r="H2128" s="120"/>
      <c r="I2128" s="121"/>
      <c r="J2128" s="121"/>
      <c r="K2128" s="117"/>
    </row>
    <row r="2129" ht="15.75" customHeight="1">
      <c r="A2129" s="122"/>
      <c r="B2129" s="133"/>
      <c r="C2129" s="120"/>
      <c r="D2129" s="120"/>
      <c r="E2129" s="120"/>
      <c r="F2129" s="120"/>
      <c r="G2129" s="120"/>
      <c r="H2129" s="120"/>
      <c r="I2129" s="121"/>
      <c r="J2129" s="121"/>
      <c r="K2129" s="117"/>
    </row>
    <row r="2130" ht="15.75" customHeight="1">
      <c r="A2130" s="122"/>
      <c r="B2130" s="133"/>
      <c r="C2130" s="120"/>
      <c r="D2130" s="120"/>
      <c r="E2130" s="120"/>
      <c r="F2130" s="120"/>
      <c r="G2130" s="120"/>
      <c r="H2130" s="120"/>
      <c r="I2130" s="121"/>
      <c r="J2130" s="121"/>
      <c r="K2130" s="117"/>
    </row>
    <row r="2131" ht="15.75" customHeight="1">
      <c r="A2131" s="122"/>
      <c r="B2131" s="133"/>
      <c r="C2131" s="120"/>
      <c r="D2131" s="120"/>
      <c r="E2131" s="120"/>
      <c r="F2131" s="120"/>
      <c r="G2131" s="120"/>
      <c r="H2131" s="120"/>
      <c r="I2131" s="121"/>
      <c r="J2131" s="121"/>
      <c r="K2131" s="117"/>
    </row>
    <row r="2132" ht="15.75" customHeight="1">
      <c r="A2132" s="122"/>
      <c r="B2132" s="133"/>
      <c r="C2132" s="120"/>
      <c r="D2132" s="120"/>
      <c r="E2132" s="120"/>
      <c r="F2132" s="120"/>
      <c r="G2132" s="120"/>
      <c r="H2132" s="120"/>
      <c r="I2132" s="121"/>
      <c r="J2132" s="121"/>
      <c r="K2132" s="117"/>
    </row>
    <row r="2133" ht="15.75" customHeight="1">
      <c r="A2133" s="122"/>
      <c r="B2133" s="133"/>
      <c r="C2133" s="120"/>
      <c r="D2133" s="120"/>
      <c r="E2133" s="120"/>
      <c r="F2133" s="120"/>
      <c r="G2133" s="120"/>
      <c r="H2133" s="120"/>
      <c r="I2133" s="121"/>
      <c r="J2133" s="121"/>
      <c r="K2133" s="117"/>
    </row>
    <row r="2134" ht="15.75" customHeight="1">
      <c r="A2134" s="122"/>
      <c r="B2134" s="133"/>
      <c r="C2134" s="120"/>
      <c r="D2134" s="120"/>
      <c r="E2134" s="120"/>
      <c r="F2134" s="120"/>
      <c r="G2134" s="120"/>
      <c r="H2134" s="120"/>
      <c r="I2134" s="121"/>
      <c r="J2134" s="121"/>
      <c r="K2134" s="117"/>
    </row>
    <row r="2135" ht="15.75" customHeight="1">
      <c r="A2135" s="122"/>
      <c r="B2135" s="133"/>
      <c r="C2135" s="120"/>
      <c r="D2135" s="120"/>
      <c r="E2135" s="120"/>
      <c r="F2135" s="120"/>
      <c r="G2135" s="120"/>
      <c r="H2135" s="120"/>
      <c r="I2135" s="121"/>
      <c r="J2135" s="121"/>
      <c r="K2135" s="117"/>
    </row>
    <row r="2136" ht="15.75" customHeight="1">
      <c r="A2136" s="122"/>
      <c r="B2136" s="133"/>
      <c r="C2136" s="120"/>
      <c r="D2136" s="120"/>
      <c r="E2136" s="120"/>
      <c r="F2136" s="120"/>
      <c r="G2136" s="120"/>
      <c r="H2136" s="120"/>
      <c r="I2136" s="121"/>
      <c r="J2136" s="121"/>
      <c r="K2136" s="117"/>
    </row>
    <row r="2137" ht="15.75" customHeight="1">
      <c r="A2137" s="122"/>
      <c r="B2137" s="133"/>
      <c r="C2137" s="120"/>
      <c r="D2137" s="120"/>
      <c r="E2137" s="120"/>
      <c r="F2137" s="120"/>
      <c r="G2137" s="120"/>
      <c r="H2137" s="120"/>
      <c r="I2137" s="121"/>
      <c r="J2137" s="121"/>
      <c r="K2137" s="117"/>
    </row>
    <row r="2138" ht="15.75" customHeight="1">
      <c r="A2138" s="122"/>
      <c r="B2138" s="133"/>
      <c r="C2138" s="120"/>
      <c r="D2138" s="120"/>
      <c r="E2138" s="120"/>
      <c r="F2138" s="120"/>
      <c r="G2138" s="120"/>
      <c r="H2138" s="120"/>
      <c r="I2138" s="121"/>
      <c r="J2138" s="121"/>
      <c r="K2138" s="117"/>
    </row>
    <row r="2139" ht="15.75" customHeight="1">
      <c r="A2139" s="122"/>
      <c r="B2139" s="133"/>
      <c r="C2139" s="120"/>
      <c r="D2139" s="120"/>
      <c r="E2139" s="120"/>
      <c r="F2139" s="120"/>
      <c r="G2139" s="120"/>
      <c r="H2139" s="120"/>
      <c r="I2139" s="121"/>
      <c r="J2139" s="121"/>
      <c r="K2139" s="117"/>
    </row>
    <row r="2140" ht="15.75" customHeight="1">
      <c r="A2140" s="122"/>
      <c r="B2140" s="133"/>
      <c r="C2140" s="120"/>
      <c r="D2140" s="120"/>
      <c r="E2140" s="120"/>
      <c r="F2140" s="120"/>
      <c r="G2140" s="120"/>
      <c r="H2140" s="120"/>
      <c r="I2140" s="121"/>
      <c r="J2140" s="121"/>
      <c r="K2140" s="117"/>
    </row>
    <row r="2141" ht="15.75" customHeight="1">
      <c r="A2141" s="122"/>
      <c r="B2141" s="133"/>
      <c r="C2141" s="120"/>
      <c r="D2141" s="120"/>
      <c r="E2141" s="120"/>
      <c r="F2141" s="120"/>
      <c r="G2141" s="120"/>
      <c r="H2141" s="120"/>
      <c r="I2141" s="121"/>
      <c r="J2141" s="121"/>
      <c r="K2141" s="117"/>
    </row>
    <row r="2142" ht="15.75" customHeight="1">
      <c r="A2142" s="122"/>
      <c r="B2142" s="133"/>
      <c r="C2142" s="120"/>
      <c r="D2142" s="120"/>
      <c r="E2142" s="120"/>
      <c r="F2142" s="120"/>
      <c r="G2142" s="120"/>
      <c r="H2142" s="120"/>
      <c r="I2142" s="121"/>
      <c r="J2142" s="121"/>
      <c r="K2142" s="117"/>
    </row>
    <row r="2143" ht="15.75" customHeight="1">
      <c r="A2143" s="122"/>
      <c r="B2143" s="133"/>
      <c r="C2143" s="120"/>
      <c r="D2143" s="120"/>
      <c r="E2143" s="120"/>
      <c r="F2143" s="120"/>
      <c r="G2143" s="120"/>
      <c r="H2143" s="120"/>
      <c r="I2143" s="121"/>
      <c r="J2143" s="121"/>
      <c r="K2143" s="117"/>
    </row>
    <row r="2144" ht="15.75" customHeight="1">
      <c r="A2144" s="122"/>
      <c r="B2144" s="133"/>
      <c r="C2144" s="120"/>
      <c r="D2144" s="120"/>
      <c r="E2144" s="120"/>
      <c r="F2144" s="120"/>
      <c r="G2144" s="120"/>
      <c r="H2144" s="120"/>
      <c r="I2144" s="121"/>
      <c r="J2144" s="121"/>
      <c r="K2144" s="117"/>
    </row>
    <row r="2145" ht="15.75" customHeight="1">
      <c r="A2145" s="122"/>
      <c r="B2145" s="133"/>
      <c r="C2145" s="120"/>
      <c r="D2145" s="120"/>
      <c r="E2145" s="120"/>
      <c r="F2145" s="120"/>
      <c r="G2145" s="120"/>
      <c r="H2145" s="120"/>
      <c r="I2145" s="121"/>
      <c r="J2145" s="121"/>
      <c r="K2145" s="117"/>
    </row>
    <row r="2146" ht="15.75" customHeight="1">
      <c r="A2146" s="122"/>
      <c r="B2146" s="133"/>
      <c r="C2146" s="120"/>
      <c r="D2146" s="120"/>
      <c r="E2146" s="120"/>
      <c r="F2146" s="120"/>
      <c r="G2146" s="120"/>
      <c r="H2146" s="120"/>
      <c r="I2146" s="121"/>
      <c r="J2146" s="121"/>
      <c r="K2146" s="117"/>
    </row>
    <row r="2147" ht="15.75" customHeight="1">
      <c r="A2147" s="122"/>
      <c r="B2147" s="133"/>
      <c r="C2147" s="120"/>
      <c r="D2147" s="120"/>
      <c r="E2147" s="120"/>
      <c r="F2147" s="120"/>
      <c r="G2147" s="120"/>
      <c r="H2147" s="120"/>
      <c r="I2147" s="121"/>
      <c r="J2147" s="121"/>
      <c r="K2147" s="117"/>
    </row>
    <row r="2148" ht="15.75" customHeight="1">
      <c r="A2148" s="122"/>
      <c r="B2148" s="133"/>
      <c r="C2148" s="120"/>
      <c r="D2148" s="120"/>
      <c r="E2148" s="120"/>
      <c r="F2148" s="120"/>
      <c r="G2148" s="120"/>
      <c r="H2148" s="120"/>
      <c r="I2148" s="121"/>
      <c r="J2148" s="121"/>
      <c r="K2148" s="117"/>
    </row>
    <row r="2149" ht="15.75" customHeight="1">
      <c r="A2149" s="122"/>
      <c r="B2149" s="133"/>
      <c r="C2149" s="120"/>
      <c r="D2149" s="120"/>
      <c r="E2149" s="120"/>
      <c r="F2149" s="120"/>
      <c r="G2149" s="120"/>
      <c r="H2149" s="120"/>
      <c r="I2149" s="121"/>
      <c r="J2149" s="121"/>
      <c r="K2149" s="117"/>
    </row>
    <row r="2150" ht="15.75" customHeight="1">
      <c r="A2150" s="122"/>
      <c r="B2150" s="133"/>
      <c r="C2150" s="120"/>
      <c r="D2150" s="120"/>
      <c r="E2150" s="120"/>
      <c r="F2150" s="120"/>
      <c r="G2150" s="120"/>
      <c r="H2150" s="120"/>
      <c r="I2150" s="121"/>
      <c r="J2150" s="121"/>
      <c r="K2150" s="117"/>
    </row>
    <row r="2151" ht="15.75" customHeight="1">
      <c r="A2151" s="122"/>
      <c r="B2151" s="133"/>
      <c r="C2151" s="120"/>
      <c r="D2151" s="120"/>
      <c r="E2151" s="120"/>
      <c r="F2151" s="120"/>
      <c r="G2151" s="120"/>
      <c r="H2151" s="120"/>
      <c r="I2151" s="121"/>
      <c r="J2151" s="121"/>
      <c r="K2151" s="117"/>
    </row>
    <row r="2152" ht="15.75" customHeight="1">
      <c r="A2152" s="122"/>
      <c r="B2152" s="133"/>
      <c r="C2152" s="120"/>
      <c r="D2152" s="120"/>
      <c r="E2152" s="120"/>
      <c r="F2152" s="120"/>
      <c r="G2152" s="120"/>
      <c r="H2152" s="120"/>
      <c r="I2152" s="121"/>
      <c r="J2152" s="121"/>
      <c r="K2152" s="117"/>
    </row>
    <row r="2153" ht="15.75" customHeight="1">
      <c r="A2153" s="122"/>
      <c r="B2153" s="133"/>
      <c r="C2153" s="120"/>
      <c r="D2153" s="120"/>
      <c r="E2153" s="120"/>
      <c r="F2153" s="120"/>
      <c r="G2153" s="120"/>
      <c r="H2153" s="120"/>
      <c r="I2153" s="121"/>
      <c r="J2153" s="121"/>
      <c r="K2153" s="117"/>
    </row>
    <row r="2154" ht="15.75" customHeight="1">
      <c r="A2154" s="122"/>
      <c r="B2154" s="133"/>
      <c r="C2154" s="120"/>
      <c r="D2154" s="120"/>
      <c r="E2154" s="120"/>
      <c r="F2154" s="120"/>
      <c r="G2154" s="120"/>
      <c r="H2154" s="120"/>
      <c r="I2154" s="121"/>
      <c r="J2154" s="121"/>
      <c r="K2154" s="117"/>
    </row>
    <row r="2155" ht="15.75" customHeight="1">
      <c r="A2155" s="122"/>
      <c r="B2155" s="133"/>
      <c r="C2155" s="120"/>
      <c r="D2155" s="120"/>
      <c r="E2155" s="120"/>
      <c r="F2155" s="120"/>
      <c r="G2155" s="120"/>
      <c r="H2155" s="120"/>
      <c r="I2155" s="121"/>
      <c r="J2155" s="121"/>
      <c r="K2155" s="117"/>
    </row>
    <row r="2156" ht="15.75" customHeight="1">
      <c r="A2156" s="122"/>
      <c r="B2156" s="133"/>
      <c r="C2156" s="120"/>
      <c r="D2156" s="120"/>
      <c r="E2156" s="120"/>
      <c r="F2156" s="120"/>
      <c r="G2156" s="120"/>
      <c r="H2156" s="120"/>
      <c r="I2156" s="121"/>
      <c r="J2156" s="121"/>
      <c r="K2156" s="117"/>
    </row>
    <row r="2157" ht="15.75" customHeight="1">
      <c r="A2157" s="122"/>
      <c r="B2157" s="133"/>
      <c r="C2157" s="120"/>
      <c r="D2157" s="120"/>
      <c r="E2157" s="120"/>
      <c r="F2157" s="120"/>
      <c r="G2157" s="120"/>
      <c r="H2157" s="120"/>
      <c r="I2157" s="121"/>
      <c r="J2157" s="121"/>
      <c r="K2157" s="117"/>
    </row>
    <row r="2158" ht="15.75" customHeight="1">
      <c r="A2158" s="122"/>
      <c r="B2158" s="133"/>
      <c r="C2158" s="120"/>
      <c r="D2158" s="120"/>
      <c r="E2158" s="120"/>
      <c r="F2158" s="120"/>
      <c r="G2158" s="120"/>
      <c r="H2158" s="120"/>
      <c r="I2158" s="121"/>
      <c r="J2158" s="121"/>
      <c r="K2158" s="117"/>
    </row>
    <row r="2159" ht="15.75" customHeight="1">
      <c r="A2159" s="122"/>
      <c r="B2159" s="133"/>
      <c r="C2159" s="120"/>
      <c r="D2159" s="120"/>
      <c r="E2159" s="120"/>
      <c r="F2159" s="120"/>
      <c r="G2159" s="120"/>
      <c r="H2159" s="120"/>
      <c r="I2159" s="121"/>
      <c r="J2159" s="121"/>
      <c r="K2159" s="117"/>
    </row>
    <row r="2160" ht="15.75" customHeight="1">
      <c r="A2160" s="122"/>
      <c r="B2160" s="133"/>
      <c r="C2160" s="120"/>
      <c r="D2160" s="120"/>
      <c r="E2160" s="120"/>
      <c r="F2160" s="120"/>
      <c r="G2160" s="120"/>
      <c r="H2160" s="120"/>
      <c r="I2160" s="121"/>
      <c r="J2160" s="121"/>
      <c r="K2160" s="117"/>
    </row>
    <row r="2161" ht="15.75" customHeight="1">
      <c r="A2161" s="122"/>
      <c r="B2161" s="133"/>
      <c r="C2161" s="120"/>
      <c r="D2161" s="120"/>
      <c r="E2161" s="120"/>
      <c r="F2161" s="120"/>
      <c r="G2161" s="120"/>
      <c r="H2161" s="120"/>
      <c r="I2161" s="121"/>
      <c r="J2161" s="121"/>
      <c r="K2161" s="117"/>
    </row>
    <row r="2162" ht="15.75" customHeight="1">
      <c r="A2162" s="122"/>
      <c r="B2162" s="133"/>
      <c r="C2162" s="120"/>
      <c r="D2162" s="120"/>
      <c r="E2162" s="120"/>
      <c r="F2162" s="120"/>
      <c r="G2162" s="120"/>
      <c r="H2162" s="120"/>
      <c r="I2162" s="121"/>
      <c r="J2162" s="121"/>
      <c r="K2162" s="117"/>
    </row>
    <row r="2163" ht="15.75" customHeight="1">
      <c r="A2163" s="122"/>
      <c r="B2163" s="133"/>
      <c r="C2163" s="120"/>
      <c r="D2163" s="120"/>
      <c r="E2163" s="120"/>
      <c r="F2163" s="120"/>
      <c r="G2163" s="120"/>
      <c r="H2163" s="120"/>
      <c r="I2163" s="121"/>
      <c r="J2163" s="121"/>
      <c r="K2163" s="117"/>
    </row>
    <row r="2164" ht="15.75" customHeight="1">
      <c r="A2164" s="122"/>
      <c r="B2164" s="133"/>
      <c r="C2164" s="120"/>
      <c r="D2164" s="120"/>
      <c r="E2164" s="120"/>
      <c r="F2164" s="120"/>
      <c r="G2164" s="120"/>
      <c r="H2164" s="120"/>
      <c r="I2164" s="121"/>
      <c r="J2164" s="121"/>
      <c r="K2164" s="117"/>
    </row>
    <row r="2165" ht="15.75" customHeight="1">
      <c r="A2165" s="122"/>
      <c r="B2165" s="133"/>
      <c r="C2165" s="120"/>
      <c r="D2165" s="120"/>
      <c r="E2165" s="120"/>
      <c r="F2165" s="120"/>
      <c r="G2165" s="120"/>
      <c r="H2165" s="120"/>
      <c r="I2165" s="121"/>
      <c r="J2165" s="121"/>
      <c r="K2165" s="117"/>
    </row>
    <row r="2166" ht="15.75" customHeight="1">
      <c r="A2166" s="122"/>
      <c r="B2166" s="133"/>
      <c r="C2166" s="120"/>
      <c r="D2166" s="120"/>
      <c r="E2166" s="120"/>
      <c r="F2166" s="120"/>
      <c r="G2166" s="120"/>
      <c r="H2166" s="120"/>
      <c r="I2166" s="121"/>
      <c r="J2166" s="121"/>
      <c r="K2166" s="117"/>
    </row>
    <row r="2167" ht="15.75" customHeight="1">
      <c r="A2167" s="122"/>
      <c r="B2167" s="133"/>
      <c r="C2167" s="120"/>
      <c r="D2167" s="120"/>
      <c r="E2167" s="120"/>
      <c r="F2167" s="120"/>
      <c r="G2167" s="120"/>
      <c r="H2167" s="120"/>
      <c r="I2167" s="121"/>
      <c r="J2167" s="121"/>
      <c r="K2167" s="117"/>
    </row>
    <row r="2168" ht="15.75" customHeight="1">
      <c r="A2168" s="122"/>
      <c r="B2168" s="133"/>
      <c r="C2168" s="120"/>
      <c r="D2168" s="120"/>
      <c r="E2168" s="120"/>
      <c r="F2168" s="120"/>
      <c r="G2168" s="120"/>
      <c r="H2168" s="120"/>
      <c r="I2168" s="121"/>
      <c r="J2168" s="121"/>
      <c r="K2168" s="117"/>
    </row>
    <row r="2169" ht="15.75" customHeight="1">
      <c r="A2169" s="122"/>
      <c r="B2169" s="133"/>
      <c r="C2169" s="120"/>
      <c r="D2169" s="120"/>
      <c r="E2169" s="120"/>
      <c r="F2169" s="120"/>
      <c r="G2169" s="120"/>
      <c r="H2169" s="120"/>
      <c r="I2169" s="121"/>
      <c r="J2169" s="121"/>
      <c r="K2169" s="117"/>
    </row>
    <row r="2170" ht="15.75" customHeight="1">
      <c r="A2170" s="122"/>
      <c r="B2170" s="133"/>
      <c r="C2170" s="120"/>
      <c r="D2170" s="120"/>
      <c r="E2170" s="120"/>
      <c r="F2170" s="120"/>
      <c r="G2170" s="120"/>
      <c r="H2170" s="120"/>
      <c r="I2170" s="121"/>
      <c r="J2170" s="121"/>
      <c r="K2170" s="117"/>
    </row>
    <row r="2171" ht="15.75" customHeight="1">
      <c r="A2171" s="122"/>
      <c r="B2171" s="133"/>
      <c r="C2171" s="120"/>
      <c r="D2171" s="120"/>
      <c r="E2171" s="120"/>
      <c r="F2171" s="120"/>
      <c r="G2171" s="120"/>
      <c r="H2171" s="120"/>
      <c r="I2171" s="121"/>
      <c r="J2171" s="121"/>
      <c r="K2171" s="117"/>
    </row>
    <row r="2172" ht="15.75" customHeight="1">
      <c r="A2172" s="122"/>
      <c r="B2172" s="133"/>
      <c r="C2172" s="120"/>
      <c r="D2172" s="120"/>
      <c r="E2172" s="120"/>
      <c r="F2172" s="120"/>
      <c r="G2172" s="120"/>
      <c r="H2172" s="120"/>
      <c r="I2172" s="121"/>
      <c r="J2172" s="121"/>
      <c r="K2172" s="117"/>
    </row>
    <row r="2173" ht="15.75" customHeight="1">
      <c r="A2173" s="122"/>
      <c r="B2173" s="133"/>
      <c r="C2173" s="120"/>
      <c r="D2173" s="120"/>
      <c r="E2173" s="120"/>
      <c r="F2173" s="120"/>
      <c r="G2173" s="120"/>
      <c r="H2173" s="120"/>
      <c r="I2173" s="121"/>
      <c r="J2173" s="121"/>
      <c r="K2173" s="117"/>
    </row>
    <row r="2174" ht="15.75" customHeight="1">
      <c r="A2174" s="122"/>
      <c r="B2174" s="133"/>
      <c r="C2174" s="120"/>
      <c r="D2174" s="120"/>
      <c r="E2174" s="120"/>
      <c r="F2174" s="120"/>
      <c r="G2174" s="120"/>
      <c r="H2174" s="120"/>
      <c r="I2174" s="121"/>
      <c r="J2174" s="121"/>
      <c r="K2174" s="117"/>
    </row>
    <row r="2175" ht="15.75" customHeight="1">
      <c r="A2175" s="122"/>
      <c r="B2175" s="133"/>
      <c r="C2175" s="120"/>
      <c r="D2175" s="120"/>
      <c r="E2175" s="120"/>
      <c r="F2175" s="120"/>
      <c r="G2175" s="120"/>
      <c r="H2175" s="120"/>
      <c r="I2175" s="121"/>
      <c r="J2175" s="121"/>
      <c r="K2175" s="117"/>
    </row>
    <row r="2176" ht="15.75" customHeight="1">
      <c r="A2176" s="122"/>
      <c r="B2176" s="133"/>
      <c r="C2176" s="120"/>
      <c r="D2176" s="120"/>
      <c r="E2176" s="120"/>
      <c r="F2176" s="120"/>
      <c r="G2176" s="120"/>
      <c r="H2176" s="120"/>
      <c r="I2176" s="121"/>
      <c r="J2176" s="121"/>
      <c r="K2176" s="117"/>
    </row>
    <row r="2177" ht="15.75" customHeight="1">
      <c r="A2177" s="122"/>
      <c r="B2177" s="133"/>
      <c r="C2177" s="120"/>
      <c r="D2177" s="120"/>
      <c r="E2177" s="120"/>
      <c r="F2177" s="120"/>
      <c r="G2177" s="120"/>
      <c r="H2177" s="120"/>
      <c r="I2177" s="121"/>
      <c r="J2177" s="121"/>
      <c r="K2177" s="117"/>
    </row>
    <row r="2178" ht="15.75" customHeight="1">
      <c r="A2178" s="122"/>
      <c r="B2178" s="133"/>
      <c r="C2178" s="120"/>
      <c r="D2178" s="120"/>
      <c r="E2178" s="120"/>
      <c r="F2178" s="120"/>
      <c r="G2178" s="120"/>
      <c r="H2178" s="120"/>
      <c r="I2178" s="121"/>
      <c r="J2178" s="121"/>
      <c r="K2178" s="117"/>
    </row>
    <row r="2179" ht="15.75" customHeight="1">
      <c r="A2179" s="122"/>
      <c r="B2179" s="133"/>
      <c r="C2179" s="120"/>
      <c r="D2179" s="120"/>
      <c r="E2179" s="120"/>
      <c r="F2179" s="120"/>
      <c r="G2179" s="120"/>
      <c r="H2179" s="120"/>
      <c r="I2179" s="121"/>
      <c r="J2179" s="121"/>
      <c r="K2179" s="117"/>
    </row>
    <row r="2180" ht="15.75" customHeight="1">
      <c r="A2180" s="122"/>
      <c r="B2180" s="133"/>
      <c r="C2180" s="120"/>
      <c r="D2180" s="120"/>
      <c r="E2180" s="120"/>
      <c r="F2180" s="120"/>
      <c r="G2180" s="120"/>
      <c r="H2180" s="120"/>
      <c r="I2180" s="121"/>
      <c r="J2180" s="121"/>
      <c r="K2180" s="117"/>
    </row>
    <row r="2181" ht="15.75" customHeight="1">
      <c r="A2181" s="122"/>
      <c r="B2181" s="133"/>
      <c r="C2181" s="120"/>
      <c r="D2181" s="120"/>
      <c r="E2181" s="120"/>
      <c r="F2181" s="120"/>
      <c r="G2181" s="120"/>
      <c r="H2181" s="120"/>
      <c r="I2181" s="121"/>
      <c r="J2181" s="121"/>
      <c r="K2181" s="117"/>
    </row>
    <row r="2182" ht="15.75" customHeight="1">
      <c r="A2182" s="122"/>
      <c r="B2182" s="133"/>
      <c r="C2182" s="120"/>
      <c r="D2182" s="120"/>
      <c r="E2182" s="120"/>
      <c r="F2182" s="120"/>
      <c r="G2182" s="120"/>
      <c r="H2182" s="120"/>
      <c r="I2182" s="121"/>
      <c r="J2182" s="121"/>
      <c r="K2182" s="117"/>
    </row>
    <row r="2183" ht="15.75" customHeight="1">
      <c r="A2183" s="122"/>
      <c r="B2183" s="133"/>
      <c r="C2183" s="120"/>
      <c r="D2183" s="120"/>
      <c r="E2183" s="120"/>
      <c r="F2183" s="120"/>
      <c r="G2183" s="120"/>
      <c r="H2183" s="120"/>
      <c r="I2183" s="121"/>
      <c r="J2183" s="121"/>
      <c r="K2183" s="117"/>
    </row>
    <row r="2184" ht="15.75" customHeight="1">
      <c r="A2184" s="122"/>
      <c r="B2184" s="133"/>
      <c r="C2184" s="120"/>
      <c r="D2184" s="120"/>
      <c r="E2184" s="120"/>
      <c r="F2184" s="120"/>
      <c r="G2184" s="120"/>
      <c r="H2184" s="120"/>
      <c r="I2184" s="121"/>
      <c r="J2184" s="121"/>
      <c r="K2184" s="117"/>
    </row>
    <row r="2185" ht="15.75" customHeight="1">
      <c r="A2185" s="122"/>
      <c r="B2185" s="133"/>
      <c r="C2185" s="120"/>
      <c r="D2185" s="120"/>
      <c r="E2185" s="120"/>
      <c r="F2185" s="120"/>
      <c r="G2185" s="120"/>
      <c r="H2185" s="120"/>
      <c r="I2185" s="121"/>
      <c r="J2185" s="121"/>
      <c r="K2185" s="117"/>
    </row>
    <row r="2186" ht="15.75" customHeight="1">
      <c r="A2186" s="122"/>
      <c r="B2186" s="133"/>
      <c r="C2186" s="120"/>
      <c r="D2186" s="120"/>
      <c r="E2186" s="120"/>
      <c r="F2186" s="120"/>
      <c r="G2186" s="120"/>
      <c r="H2186" s="120"/>
      <c r="I2186" s="121"/>
      <c r="J2186" s="121"/>
      <c r="K2186" s="117"/>
    </row>
    <row r="2187" ht="15.75" customHeight="1">
      <c r="A2187" s="122"/>
      <c r="B2187" s="133"/>
      <c r="C2187" s="120"/>
      <c r="D2187" s="120"/>
      <c r="E2187" s="120"/>
      <c r="F2187" s="120"/>
      <c r="G2187" s="120"/>
      <c r="H2187" s="120"/>
      <c r="I2187" s="121"/>
      <c r="J2187" s="121"/>
      <c r="K2187" s="117"/>
    </row>
    <row r="2188" ht="15.75" customHeight="1">
      <c r="A2188" s="122"/>
      <c r="B2188" s="133"/>
      <c r="C2188" s="120"/>
      <c r="D2188" s="120"/>
      <c r="E2188" s="120"/>
      <c r="F2188" s="120"/>
      <c r="G2188" s="120"/>
      <c r="H2188" s="120"/>
      <c r="I2188" s="121"/>
      <c r="J2188" s="121"/>
      <c r="K2188" s="117"/>
    </row>
    <row r="2189" ht="15.75" customHeight="1">
      <c r="A2189" s="122"/>
      <c r="B2189" s="133"/>
      <c r="C2189" s="120"/>
      <c r="D2189" s="120"/>
      <c r="E2189" s="120"/>
      <c r="F2189" s="120"/>
      <c r="G2189" s="120"/>
      <c r="H2189" s="120"/>
      <c r="I2189" s="121"/>
      <c r="J2189" s="121"/>
      <c r="K2189" s="117"/>
    </row>
    <row r="2190" ht="15.75" customHeight="1">
      <c r="A2190" s="122"/>
      <c r="B2190" s="133"/>
      <c r="C2190" s="120"/>
      <c r="D2190" s="120"/>
      <c r="E2190" s="120"/>
      <c r="F2190" s="120"/>
      <c r="G2190" s="120"/>
      <c r="H2190" s="120"/>
      <c r="I2190" s="121"/>
      <c r="J2190" s="121"/>
      <c r="K2190" s="117"/>
    </row>
    <row r="2191" ht="15.75" customHeight="1">
      <c r="A2191" s="122"/>
      <c r="B2191" s="133"/>
      <c r="C2191" s="120"/>
      <c r="D2191" s="120"/>
      <c r="E2191" s="120"/>
      <c r="F2191" s="120"/>
      <c r="G2191" s="120"/>
      <c r="H2191" s="120"/>
      <c r="I2191" s="121"/>
      <c r="J2191" s="121"/>
      <c r="K2191" s="117"/>
    </row>
    <row r="2192" ht="15.75" customHeight="1">
      <c r="A2192" s="122"/>
      <c r="B2192" s="133"/>
      <c r="C2192" s="120"/>
      <c r="D2192" s="120"/>
      <c r="E2192" s="120"/>
      <c r="F2192" s="120"/>
      <c r="G2192" s="120"/>
      <c r="H2192" s="120"/>
      <c r="I2192" s="121"/>
      <c r="J2192" s="121"/>
      <c r="K2192" s="117"/>
    </row>
    <row r="2193" ht="15.75" customHeight="1">
      <c r="A2193" s="122"/>
      <c r="B2193" s="133"/>
      <c r="C2193" s="120"/>
      <c r="D2193" s="120"/>
      <c r="E2193" s="120"/>
      <c r="F2193" s="120"/>
      <c r="G2193" s="120"/>
      <c r="H2193" s="120"/>
      <c r="I2193" s="121"/>
      <c r="J2193" s="121"/>
      <c r="K2193" s="117"/>
    </row>
    <row r="2194" ht="15.75" customHeight="1">
      <c r="A2194" s="122"/>
      <c r="B2194" s="133"/>
      <c r="C2194" s="120"/>
      <c r="D2194" s="120"/>
      <c r="E2194" s="120"/>
      <c r="F2194" s="120"/>
      <c r="G2194" s="120"/>
      <c r="H2194" s="120"/>
      <c r="I2194" s="121"/>
      <c r="J2194" s="121"/>
      <c r="K2194" s="117"/>
    </row>
    <row r="2195" ht="15.75" customHeight="1">
      <c r="A2195" s="122"/>
      <c r="B2195" s="133"/>
      <c r="C2195" s="120"/>
      <c r="D2195" s="120"/>
      <c r="E2195" s="120"/>
      <c r="F2195" s="120"/>
      <c r="G2195" s="120"/>
      <c r="H2195" s="120"/>
      <c r="I2195" s="121"/>
      <c r="J2195" s="121"/>
      <c r="K2195" s="117"/>
    </row>
    <row r="2196" ht="15.75" customHeight="1">
      <c r="A2196" s="122"/>
      <c r="B2196" s="133"/>
      <c r="C2196" s="120"/>
      <c r="D2196" s="120"/>
      <c r="E2196" s="120"/>
      <c r="F2196" s="120"/>
      <c r="G2196" s="120"/>
      <c r="H2196" s="120"/>
      <c r="I2196" s="121"/>
      <c r="J2196" s="121"/>
      <c r="K2196" s="117"/>
    </row>
    <row r="2197" ht="15.75" customHeight="1">
      <c r="A2197" s="122"/>
      <c r="B2197" s="133"/>
      <c r="C2197" s="120"/>
      <c r="D2197" s="120"/>
      <c r="E2197" s="120"/>
      <c r="F2197" s="120"/>
      <c r="G2197" s="120"/>
      <c r="H2197" s="120"/>
      <c r="I2197" s="121"/>
      <c r="J2197" s="121"/>
      <c r="K2197" s="117"/>
    </row>
    <row r="2198" ht="15.75" customHeight="1">
      <c r="A2198" s="122"/>
      <c r="B2198" s="133"/>
      <c r="C2198" s="120"/>
      <c r="D2198" s="120"/>
      <c r="E2198" s="120"/>
      <c r="F2198" s="120"/>
      <c r="G2198" s="120"/>
      <c r="H2198" s="120"/>
      <c r="I2198" s="121"/>
      <c r="J2198" s="121"/>
      <c r="K2198" s="117"/>
    </row>
    <row r="2199" ht="15.75" customHeight="1">
      <c r="A2199" s="122"/>
      <c r="B2199" s="133"/>
      <c r="C2199" s="120"/>
      <c r="D2199" s="120"/>
      <c r="E2199" s="120"/>
      <c r="F2199" s="120"/>
      <c r="G2199" s="120"/>
      <c r="H2199" s="120"/>
      <c r="I2199" s="121"/>
      <c r="J2199" s="121"/>
      <c r="K2199" s="117"/>
    </row>
    <row r="2200" ht="15.75" customHeight="1">
      <c r="A2200" s="122"/>
      <c r="B2200" s="133"/>
      <c r="C2200" s="120"/>
      <c r="D2200" s="120"/>
      <c r="E2200" s="120"/>
      <c r="F2200" s="120"/>
      <c r="G2200" s="120"/>
      <c r="H2200" s="120"/>
      <c r="I2200" s="121"/>
      <c r="J2200" s="121"/>
      <c r="K2200" s="117"/>
    </row>
    <row r="2201" ht="15.75" customHeight="1">
      <c r="A2201" s="122"/>
      <c r="B2201" s="133"/>
      <c r="C2201" s="120"/>
      <c r="D2201" s="120"/>
      <c r="E2201" s="120"/>
      <c r="F2201" s="120"/>
      <c r="G2201" s="120"/>
      <c r="H2201" s="120"/>
      <c r="I2201" s="121"/>
      <c r="J2201" s="121"/>
      <c r="K2201" s="117"/>
    </row>
    <row r="2202" ht="15.75" customHeight="1">
      <c r="A2202" s="122"/>
      <c r="B2202" s="133"/>
      <c r="C2202" s="120"/>
      <c r="D2202" s="120"/>
      <c r="E2202" s="120"/>
      <c r="F2202" s="120"/>
      <c r="G2202" s="120"/>
      <c r="H2202" s="120"/>
      <c r="I2202" s="121"/>
      <c r="J2202" s="121"/>
      <c r="K2202" s="117"/>
    </row>
    <row r="2203" ht="15.75" customHeight="1">
      <c r="A2203" s="122"/>
      <c r="B2203" s="133"/>
      <c r="C2203" s="120"/>
      <c r="D2203" s="120"/>
      <c r="E2203" s="120"/>
      <c r="F2203" s="120"/>
      <c r="G2203" s="120"/>
      <c r="H2203" s="120"/>
      <c r="I2203" s="121"/>
      <c r="J2203" s="121"/>
      <c r="K2203" s="117"/>
    </row>
    <row r="2204" ht="15.75" customHeight="1">
      <c r="A2204" s="122"/>
      <c r="B2204" s="133"/>
      <c r="C2204" s="120"/>
      <c r="D2204" s="120"/>
      <c r="E2204" s="120"/>
      <c r="F2204" s="120"/>
      <c r="G2204" s="120"/>
      <c r="H2204" s="120"/>
      <c r="I2204" s="121"/>
      <c r="J2204" s="121"/>
      <c r="K2204" s="117"/>
    </row>
    <row r="2205" ht="15.75" customHeight="1">
      <c r="A2205" s="122"/>
      <c r="B2205" s="133"/>
      <c r="C2205" s="120"/>
      <c r="D2205" s="120"/>
      <c r="E2205" s="120"/>
      <c r="F2205" s="120"/>
      <c r="G2205" s="120"/>
      <c r="H2205" s="120"/>
      <c r="I2205" s="121"/>
      <c r="J2205" s="121"/>
      <c r="K2205" s="117"/>
    </row>
    <row r="2206" ht="15.75" customHeight="1">
      <c r="A2206" s="122"/>
      <c r="B2206" s="133"/>
      <c r="C2206" s="120"/>
      <c r="D2206" s="120"/>
      <c r="E2206" s="120"/>
      <c r="F2206" s="120"/>
      <c r="G2206" s="120"/>
      <c r="H2206" s="120"/>
      <c r="I2206" s="121"/>
      <c r="J2206" s="121"/>
      <c r="K2206" s="117"/>
    </row>
    <row r="2207" ht="15.75" customHeight="1">
      <c r="A2207" s="122"/>
      <c r="B2207" s="133"/>
      <c r="C2207" s="120"/>
      <c r="D2207" s="120"/>
      <c r="E2207" s="120"/>
      <c r="F2207" s="120"/>
      <c r="G2207" s="120"/>
      <c r="H2207" s="120"/>
      <c r="I2207" s="121"/>
      <c r="J2207" s="121"/>
      <c r="K2207" s="117"/>
    </row>
    <row r="2208" ht="15.75" customHeight="1">
      <c r="A2208" s="122"/>
      <c r="B2208" s="133"/>
      <c r="C2208" s="120"/>
      <c r="D2208" s="120"/>
      <c r="E2208" s="120"/>
      <c r="F2208" s="120"/>
      <c r="G2208" s="120"/>
      <c r="H2208" s="120"/>
      <c r="I2208" s="121"/>
      <c r="J2208" s="121"/>
      <c r="K2208" s="117"/>
    </row>
    <row r="2209" ht="15.75" customHeight="1">
      <c r="A2209" s="122"/>
      <c r="B2209" s="133"/>
      <c r="C2209" s="120"/>
      <c r="D2209" s="120"/>
      <c r="E2209" s="120"/>
      <c r="F2209" s="120"/>
      <c r="G2209" s="120"/>
      <c r="H2209" s="120"/>
      <c r="I2209" s="121"/>
      <c r="J2209" s="121"/>
      <c r="K2209" s="117"/>
    </row>
    <row r="2210" ht="15.75" customHeight="1">
      <c r="A2210" s="122"/>
      <c r="B2210" s="133"/>
      <c r="C2210" s="120"/>
      <c r="D2210" s="120"/>
      <c r="E2210" s="120"/>
      <c r="F2210" s="120"/>
      <c r="G2210" s="120"/>
      <c r="H2210" s="120"/>
      <c r="I2210" s="121"/>
      <c r="J2210" s="121"/>
      <c r="K2210" s="117"/>
    </row>
    <row r="2211" ht="15.75" customHeight="1">
      <c r="A2211" s="122"/>
      <c r="B2211" s="133"/>
      <c r="C2211" s="120"/>
      <c r="D2211" s="120"/>
      <c r="E2211" s="120"/>
      <c r="F2211" s="120"/>
      <c r="G2211" s="120"/>
      <c r="H2211" s="120"/>
      <c r="I2211" s="121"/>
      <c r="J2211" s="121"/>
      <c r="K2211" s="117"/>
    </row>
    <row r="2212" ht="15.75" customHeight="1">
      <c r="A2212" s="122"/>
      <c r="B2212" s="133"/>
      <c r="C2212" s="120"/>
      <c r="D2212" s="120"/>
      <c r="E2212" s="120"/>
      <c r="F2212" s="120"/>
      <c r="G2212" s="120"/>
      <c r="H2212" s="120"/>
      <c r="I2212" s="121"/>
      <c r="J2212" s="121"/>
      <c r="K2212" s="117"/>
    </row>
    <row r="2213" ht="15.75" customHeight="1">
      <c r="A2213" s="122"/>
      <c r="B2213" s="133"/>
      <c r="C2213" s="120"/>
      <c r="D2213" s="120"/>
      <c r="E2213" s="120"/>
      <c r="F2213" s="120"/>
      <c r="G2213" s="120"/>
      <c r="H2213" s="120"/>
      <c r="I2213" s="121"/>
      <c r="J2213" s="121"/>
      <c r="K2213" s="117"/>
    </row>
    <row r="2214" ht="15.75" customHeight="1">
      <c r="A2214" s="122"/>
      <c r="B2214" s="133"/>
      <c r="C2214" s="120"/>
      <c r="D2214" s="120"/>
      <c r="E2214" s="120"/>
      <c r="F2214" s="120"/>
      <c r="G2214" s="120"/>
      <c r="H2214" s="120"/>
      <c r="I2214" s="121"/>
      <c r="J2214" s="121"/>
      <c r="K2214" s="117"/>
    </row>
    <row r="2215" ht="15.75" customHeight="1">
      <c r="A2215" s="122"/>
      <c r="B2215" s="133"/>
      <c r="C2215" s="120"/>
      <c r="D2215" s="120"/>
      <c r="E2215" s="120"/>
      <c r="F2215" s="120"/>
      <c r="G2215" s="120"/>
      <c r="H2215" s="120"/>
      <c r="I2215" s="121"/>
      <c r="J2215" s="121"/>
      <c r="K2215" s="117"/>
    </row>
    <row r="2216" ht="15.75" customHeight="1">
      <c r="A2216" s="122"/>
      <c r="B2216" s="133"/>
      <c r="C2216" s="120"/>
      <c r="D2216" s="120"/>
      <c r="E2216" s="120"/>
      <c r="F2216" s="120"/>
      <c r="G2216" s="120"/>
      <c r="H2216" s="120"/>
      <c r="I2216" s="121"/>
      <c r="J2216" s="121"/>
      <c r="K2216" s="117"/>
    </row>
    <row r="2217" ht="15.75" customHeight="1">
      <c r="A2217" s="122"/>
      <c r="B2217" s="133"/>
      <c r="C2217" s="120"/>
      <c r="D2217" s="120"/>
      <c r="E2217" s="120"/>
      <c r="F2217" s="120"/>
      <c r="G2217" s="120"/>
      <c r="H2217" s="120"/>
      <c r="I2217" s="121"/>
      <c r="J2217" s="121"/>
      <c r="K2217" s="117"/>
    </row>
    <row r="2218" ht="15.75" customHeight="1">
      <c r="A2218" s="122"/>
      <c r="B2218" s="133"/>
      <c r="C2218" s="120"/>
      <c r="D2218" s="120"/>
      <c r="E2218" s="120"/>
      <c r="F2218" s="120"/>
      <c r="G2218" s="120"/>
      <c r="H2218" s="120"/>
      <c r="I2218" s="121"/>
      <c r="J2218" s="121"/>
      <c r="K2218" s="117"/>
    </row>
    <row r="2219" ht="15.75" customHeight="1">
      <c r="A2219" s="122"/>
      <c r="B2219" s="133"/>
      <c r="C2219" s="120"/>
      <c r="D2219" s="120"/>
      <c r="E2219" s="120"/>
      <c r="F2219" s="120"/>
      <c r="G2219" s="120"/>
      <c r="H2219" s="120"/>
      <c r="I2219" s="121"/>
      <c r="J2219" s="121"/>
      <c r="K2219" s="117"/>
    </row>
    <row r="2220" ht="15.75" customHeight="1">
      <c r="A2220" s="122"/>
      <c r="B2220" s="133"/>
      <c r="C2220" s="120"/>
      <c r="D2220" s="120"/>
      <c r="E2220" s="120"/>
      <c r="F2220" s="120"/>
      <c r="G2220" s="120"/>
      <c r="H2220" s="120"/>
      <c r="I2220" s="121"/>
      <c r="J2220" s="121"/>
      <c r="K2220" s="117"/>
    </row>
    <row r="2221" ht="15.75" customHeight="1">
      <c r="A2221" s="122"/>
      <c r="B2221" s="133"/>
      <c r="C2221" s="120"/>
      <c r="D2221" s="120"/>
      <c r="E2221" s="120"/>
      <c r="F2221" s="120"/>
      <c r="G2221" s="120"/>
      <c r="H2221" s="120"/>
      <c r="I2221" s="121"/>
      <c r="J2221" s="121"/>
      <c r="K2221" s="117"/>
    </row>
    <row r="2222" ht="15.75" customHeight="1">
      <c r="A2222" s="122"/>
      <c r="B2222" s="133"/>
      <c r="C2222" s="120"/>
      <c r="D2222" s="120"/>
      <c r="E2222" s="120"/>
      <c r="F2222" s="120"/>
      <c r="G2222" s="120"/>
      <c r="H2222" s="120"/>
      <c r="I2222" s="121"/>
      <c r="J2222" s="121"/>
      <c r="K2222" s="117"/>
    </row>
    <row r="2223" ht="15.75" customHeight="1">
      <c r="A2223" s="122"/>
      <c r="B2223" s="133"/>
      <c r="C2223" s="120"/>
      <c r="D2223" s="120"/>
      <c r="E2223" s="120"/>
      <c r="F2223" s="120"/>
      <c r="G2223" s="120"/>
      <c r="H2223" s="120"/>
      <c r="I2223" s="121"/>
      <c r="J2223" s="121"/>
      <c r="K2223" s="117"/>
    </row>
    <row r="2224" ht="15.75" customHeight="1">
      <c r="A2224" s="122"/>
      <c r="B2224" s="133"/>
      <c r="C2224" s="120"/>
      <c r="D2224" s="120"/>
      <c r="E2224" s="120"/>
      <c r="F2224" s="120"/>
      <c r="G2224" s="120"/>
      <c r="H2224" s="120"/>
      <c r="I2224" s="121"/>
      <c r="J2224" s="121"/>
      <c r="K2224" s="117"/>
    </row>
    <row r="2225" ht="15.75" customHeight="1">
      <c r="A2225" s="122"/>
      <c r="B2225" s="133"/>
      <c r="C2225" s="120"/>
      <c r="D2225" s="120"/>
      <c r="E2225" s="120"/>
      <c r="F2225" s="120"/>
      <c r="G2225" s="120"/>
      <c r="H2225" s="120"/>
      <c r="I2225" s="121"/>
      <c r="J2225" s="121"/>
      <c r="K2225" s="117"/>
    </row>
    <row r="2226" ht="15.75" customHeight="1">
      <c r="A2226" s="122"/>
      <c r="B2226" s="133"/>
      <c r="C2226" s="120"/>
      <c r="D2226" s="120"/>
      <c r="E2226" s="120"/>
      <c r="F2226" s="120"/>
      <c r="G2226" s="120"/>
      <c r="H2226" s="120"/>
      <c r="I2226" s="121"/>
      <c r="J2226" s="121"/>
      <c r="K2226" s="117"/>
    </row>
    <row r="2227" ht="15.75" customHeight="1">
      <c r="A2227" s="122"/>
      <c r="B2227" s="133"/>
      <c r="C2227" s="120"/>
      <c r="D2227" s="120"/>
      <c r="E2227" s="120"/>
      <c r="F2227" s="120"/>
      <c r="G2227" s="120"/>
      <c r="H2227" s="120"/>
      <c r="I2227" s="121"/>
      <c r="J2227" s="121"/>
      <c r="K2227" s="117"/>
    </row>
    <row r="2228" ht="15.75" customHeight="1">
      <c r="A2228" s="122"/>
      <c r="B2228" s="133"/>
      <c r="C2228" s="120"/>
      <c r="D2228" s="120"/>
      <c r="E2228" s="120"/>
      <c r="F2228" s="120"/>
      <c r="G2228" s="120"/>
      <c r="H2228" s="120"/>
      <c r="I2228" s="121"/>
      <c r="J2228" s="121"/>
      <c r="K2228" s="117"/>
    </row>
    <row r="2229" ht="15.75" customHeight="1">
      <c r="A2229" s="122"/>
      <c r="B2229" s="133"/>
      <c r="C2229" s="120"/>
      <c r="D2229" s="120"/>
      <c r="E2229" s="120"/>
      <c r="F2229" s="120"/>
      <c r="G2229" s="120"/>
      <c r="H2229" s="120"/>
      <c r="I2229" s="121"/>
      <c r="J2229" s="121"/>
      <c r="K2229" s="117"/>
    </row>
    <row r="2230" ht="15.75" customHeight="1">
      <c r="A2230" s="122"/>
      <c r="B2230" s="133"/>
      <c r="C2230" s="120"/>
      <c r="D2230" s="120"/>
      <c r="E2230" s="120"/>
      <c r="F2230" s="120"/>
      <c r="G2230" s="120"/>
      <c r="H2230" s="120"/>
      <c r="I2230" s="121"/>
      <c r="J2230" s="121"/>
      <c r="K2230" s="117"/>
    </row>
    <row r="2231" ht="15.75" customHeight="1">
      <c r="A2231" s="122"/>
      <c r="B2231" s="133"/>
      <c r="C2231" s="120"/>
      <c r="D2231" s="120"/>
      <c r="E2231" s="120"/>
      <c r="F2231" s="120"/>
      <c r="G2231" s="120"/>
      <c r="H2231" s="120"/>
      <c r="I2231" s="121"/>
      <c r="J2231" s="121"/>
      <c r="K2231" s="117"/>
    </row>
    <row r="2232" ht="15.75" customHeight="1">
      <c r="A2232" s="122"/>
      <c r="B2232" s="133"/>
      <c r="C2232" s="120"/>
      <c r="D2232" s="120"/>
      <c r="E2232" s="120"/>
      <c r="F2232" s="120"/>
      <c r="G2232" s="120"/>
      <c r="H2232" s="120"/>
      <c r="I2232" s="121"/>
      <c r="J2232" s="121"/>
      <c r="K2232" s="117"/>
    </row>
    <row r="2233" ht="15.75" customHeight="1">
      <c r="A2233" s="122"/>
      <c r="B2233" s="133"/>
      <c r="C2233" s="120"/>
      <c r="D2233" s="120"/>
      <c r="E2233" s="120"/>
      <c r="F2233" s="120"/>
      <c r="G2233" s="120"/>
      <c r="H2233" s="120"/>
      <c r="I2233" s="121"/>
      <c r="J2233" s="121"/>
      <c r="K2233" s="117"/>
    </row>
    <row r="2234" ht="15.75" customHeight="1">
      <c r="A2234" s="122"/>
      <c r="B2234" s="133"/>
      <c r="C2234" s="120"/>
      <c r="D2234" s="120"/>
      <c r="E2234" s="120"/>
      <c r="F2234" s="120"/>
      <c r="G2234" s="120"/>
      <c r="H2234" s="120"/>
      <c r="I2234" s="121"/>
      <c r="J2234" s="121"/>
      <c r="K2234" s="117"/>
    </row>
    <row r="2235" ht="15.75" customHeight="1">
      <c r="A2235" s="122"/>
      <c r="B2235" s="133"/>
      <c r="C2235" s="120"/>
      <c r="D2235" s="120"/>
      <c r="E2235" s="120"/>
      <c r="F2235" s="120"/>
      <c r="G2235" s="120"/>
      <c r="H2235" s="120"/>
      <c r="I2235" s="121"/>
      <c r="J2235" s="121"/>
      <c r="K2235" s="117"/>
    </row>
    <row r="2236" ht="15.75" customHeight="1">
      <c r="A2236" s="122"/>
      <c r="B2236" s="133"/>
      <c r="C2236" s="120"/>
      <c r="D2236" s="120"/>
      <c r="E2236" s="120"/>
      <c r="F2236" s="120"/>
      <c r="G2236" s="120"/>
      <c r="H2236" s="120"/>
      <c r="I2236" s="121"/>
      <c r="J2236" s="121"/>
      <c r="K2236" s="117"/>
    </row>
    <row r="2237" ht="15.75" customHeight="1">
      <c r="A2237" s="122"/>
      <c r="B2237" s="133"/>
      <c r="C2237" s="120"/>
      <c r="D2237" s="120"/>
      <c r="E2237" s="120"/>
      <c r="F2237" s="120"/>
      <c r="G2237" s="120"/>
      <c r="H2237" s="120"/>
      <c r="I2237" s="121"/>
      <c r="J2237" s="121"/>
      <c r="K2237" s="117"/>
    </row>
    <row r="2238" ht="15.75" customHeight="1">
      <c r="A2238" s="122"/>
      <c r="B2238" s="133"/>
      <c r="C2238" s="120"/>
      <c r="D2238" s="120"/>
      <c r="E2238" s="120"/>
      <c r="F2238" s="120"/>
      <c r="G2238" s="120"/>
      <c r="H2238" s="120"/>
      <c r="I2238" s="121"/>
      <c r="J2238" s="121"/>
      <c r="K2238" s="117"/>
    </row>
    <row r="2239" ht="15.75" customHeight="1">
      <c r="A2239" s="122"/>
      <c r="B2239" s="133"/>
      <c r="C2239" s="120"/>
      <c r="D2239" s="120"/>
      <c r="E2239" s="120"/>
      <c r="F2239" s="120"/>
      <c r="G2239" s="120"/>
      <c r="H2239" s="120"/>
      <c r="I2239" s="121"/>
      <c r="J2239" s="121"/>
      <c r="K2239" s="117"/>
    </row>
    <row r="2240" ht="15.75" customHeight="1">
      <c r="A2240" s="122"/>
      <c r="B2240" s="133"/>
      <c r="C2240" s="120"/>
      <c r="D2240" s="120"/>
      <c r="E2240" s="120"/>
      <c r="F2240" s="120"/>
      <c r="G2240" s="120"/>
      <c r="H2240" s="120"/>
      <c r="I2240" s="121"/>
      <c r="J2240" s="121"/>
      <c r="K2240" s="117"/>
    </row>
    <row r="2241" ht="15.75" customHeight="1">
      <c r="A2241" s="122"/>
      <c r="B2241" s="133"/>
      <c r="C2241" s="120"/>
      <c r="D2241" s="120"/>
      <c r="E2241" s="120"/>
      <c r="F2241" s="120"/>
      <c r="G2241" s="120"/>
      <c r="H2241" s="120"/>
      <c r="I2241" s="121"/>
      <c r="J2241" s="121"/>
      <c r="K2241" s="117"/>
    </row>
    <row r="2242" ht="15.75" customHeight="1">
      <c r="A2242" s="122"/>
      <c r="B2242" s="133"/>
      <c r="C2242" s="120"/>
      <c r="D2242" s="120"/>
      <c r="E2242" s="120"/>
      <c r="F2242" s="120"/>
      <c r="G2242" s="120"/>
      <c r="H2242" s="120"/>
      <c r="I2242" s="121"/>
      <c r="J2242" s="121"/>
      <c r="K2242" s="117"/>
    </row>
    <row r="2243" ht="15.75" customHeight="1">
      <c r="A2243" s="122"/>
      <c r="B2243" s="133"/>
      <c r="C2243" s="120"/>
      <c r="D2243" s="120"/>
      <c r="E2243" s="120"/>
      <c r="F2243" s="120"/>
      <c r="G2243" s="120"/>
      <c r="H2243" s="120"/>
      <c r="I2243" s="121"/>
      <c r="J2243" s="121"/>
      <c r="K2243" s="117"/>
    </row>
    <row r="2244" ht="15.75" customHeight="1">
      <c r="A2244" s="122"/>
      <c r="B2244" s="133"/>
      <c r="C2244" s="120"/>
      <c r="D2244" s="120"/>
      <c r="E2244" s="120"/>
      <c r="F2244" s="120"/>
      <c r="G2244" s="120"/>
      <c r="H2244" s="120"/>
      <c r="I2244" s="121"/>
      <c r="J2244" s="121"/>
      <c r="K2244" s="117"/>
    </row>
    <row r="2245" ht="15.75" customHeight="1">
      <c r="A2245" s="122"/>
      <c r="B2245" s="133"/>
      <c r="C2245" s="120"/>
      <c r="D2245" s="120"/>
      <c r="E2245" s="120"/>
      <c r="F2245" s="120"/>
      <c r="G2245" s="120"/>
      <c r="H2245" s="120"/>
      <c r="I2245" s="121"/>
      <c r="J2245" s="121"/>
      <c r="K2245" s="117"/>
    </row>
    <row r="2246" ht="15.75" customHeight="1">
      <c r="A2246" s="122"/>
      <c r="B2246" s="133"/>
      <c r="C2246" s="120"/>
      <c r="D2246" s="120"/>
      <c r="E2246" s="120"/>
      <c r="F2246" s="120"/>
      <c r="G2246" s="120"/>
      <c r="H2246" s="120"/>
      <c r="I2246" s="121"/>
      <c r="J2246" s="121"/>
      <c r="K2246" s="117"/>
    </row>
    <row r="2247" ht="15.75" customHeight="1">
      <c r="A2247" s="122"/>
      <c r="B2247" s="133"/>
      <c r="C2247" s="120"/>
      <c r="D2247" s="120"/>
      <c r="E2247" s="120"/>
      <c r="F2247" s="120"/>
      <c r="G2247" s="120"/>
      <c r="H2247" s="120"/>
      <c r="I2247" s="121"/>
      <c r="J2247" s="121"/>
      <c r="K2247" s="117"/>
    </row>
    <row r="2248" ht="15.75" customHeight="1">
      <c r="A2248" s="122"/>
      <c r="B2248" s="133"/>
      <c r="C2248" s="120"/>
      <c r="D2248" s="120"/>
      <c r="E2248" s="120"/>
      <c r="F2248" s="120"/>
      <c r="G2248" s="120"/>
      <c r="H2248" s="120"/>
      <c r="I2248" s="121"/>
      <c r="J2248" s="121"/>
      <c r="K2248" s="117"/>
    </row>
    <row r="2249" ht="15.75" customHeight="1">
      <c r="A2249" s="122"/>
      <c r="B2249" s="133"/>
      <c r="C2249" s="120"/>
      <c r="D2249" s="120"/>
      <c r="E2249" s="120"/>
      <c r="F2249" s="120"/>
      <c r="G2249" s="120"/>
      <c r="H2249" s="120"/>
      <c r="I2249" s="121"/>
      <c r="J2249" s="121"/>
      <c r="K2249" s="117"/>
    </row>
    <row r="2250" ht="15.75" customHeight="1">
      <c r="A2250" s="122"/>
      <c r="B2250" s="133"/>
      <c r="C2250" s="120"/>
      <c r="D2250" s="120"/>
      <c r="E2250" s="120"/>
      <c r="F2250" s="120"/>
      <c r="G2250" s="120"/>
      <c r="H2250" s="120"/>
      <c r="I2250" s="121"/>
      <c r="J2250" s="121"/>
      <c r="K2250" s="117"/>
    </row>
    <row r="2251" ht="15.75" customHeight="1">
      <c r="A2251" s="122"/>
      <c r="B2251" s="133"/>
      <c r="C2251" s="120"/>
      <c r="D2251" s="120"/>
      <c r="E2251" s="120"/>
      <c r="F2251" s="120"/>
      <c r="G2251" s="120"/>
      <c r="H2251" s="120"/>
      <c r="I2251" s="121"/>
      <c r="J2251" s="121"/>
      <c r="K2251" s="117"/>
    </row>
    <row r="2252" ht="15.75" customHeight="1">
      <c r="A2252" s="122"/>
      <c r="B2252" s="133"/>
      <c r="C2252" s="120"/>
      <c r="D2252" s="120"/>
      <c r="E2252" s="120"/>
      <c r="F2252" s="120"/>
      <c r="G2252" s="120"/>
      <c r="H2252" s="120"/>
      <c r="I2252" s="121"/>
      <c r="J2252" s="121"/>
      <c r="K2252" s="117"/>
    </row>
    <row r="2253" ht="15.75" customHeight="1">
      <c r="A2253" s="122"/>
      <c r="B2253" s="133"/>
      <c r="C2253" s="120"/>
      <c r="D2253" s="120"/>
      <c r="E2253" s="120"/>
      <c r="F2253" s="120"/>
      <c r="G2253" s="120"/>
      <c r="H2253" s="120"/>
      <c r="I2253" s="121"/>
      <c r="J2253" s="121"/>
      <c r="K2253" s="117"/>
    </row>
    <row r="2254" ht="15.75" customHeight="1">
      <c r="A2254" s="122"/>
      <c r="B2254" s="133"/>
      <c r="C2254" s="120"/>
      <c r="D2254" s="120"/>
      <c r="E2254" s="120"/>
      <c r="F2254" s="120"/>
      <c r="G2254" s="120"/>
      <c r="H2254" s="120"/>
      <c r="I2254" s="121"/>
      <c r="J2254" s="121"/>
      <c r="K2254" s="117"/>
    </row>
    <row r="2255" ht="15.75" customHeight="1">
      <c r="A2255" s="122"/>
      <c r="B2255" s="133"/>
      <c r="C2255" s="120"/>
      <c r="D2255" s="120"/>
      <c r="E2255" s="120"/>
      <c r="F2255" s="120"/>
      <c r="G2255" s="120"/>
      <c r="H2255" s="120"/>
      <c r="I2255" s="121"/>
      <c r="J2255" s="121"/>
      <c r="K2255" s="117"/>
    </row>
    <row r="2256" ht="15.75" customHeight="1">
      <c r="A2256" s="122"/>
      <c r="B2256" s="133"/>
      <c r="C2256" s="120"/>
      <c r="D2256" s="120"/>
      <c r="E2256" s="120"/>
      <c r="F2256" s="120"/>
      <c r="G2256" s="120"/>
      <c r="H2256" s="120"/>
      <c r="I2256" s="121"/>
      <c r="J2256" s="121"/>
      <c r="K2256" s="117"/>
    </row>
    <row r="2257" ht="15.75" customHeight="1">
      <c r="A2257" s="122"/>
      <c r="B2257" s="133"/>
      <c r="C2257" s="120"/>
      <c r="D2257" s="120"/>
      <c r="E2257" s="120"/>
      <c r="F2257" s="120"/>
      <c r="G2257" s="120"/>
      <c r="H2257" s="120"/>
      <c r="I2257" s="121"/>
      <c r="J2257" s="121"/>
      <c r="K2257" s="117"/>
    </row>
    <row r="2258" ht="15.75" customHeight="1">
      <c r="A2258" s="122"/>
      <c r="B2258" s="133"/>
      <c r="C2258" s="120"/>
      <c r="D2258" s="120"/>
      <c r="E2258" s="120"/>
      <c r="F2258" s="120"/>
      <c r="G2258" s="120"/>
      <c r="H2258" s="120"/>
      <c r="I2258" s="121"/>
      <c r="J2258" s="121"/>
      <c r="K2258" s="117"/>
    </row>
    <row r="2259" ht="15.75" customHeight="1">
      <c r="A2259" s="122"/>
      <c r="B2259" s="133"/>
      <c r="C2259" s="120"/>
      <c r="D2259" s="120"/>
      <c r="E2259" s="120"/>
      <c r="F2259" s="120"/>
      <c r="G2259" s="120"/>
      <c r="H2259" s="120"/>
      <c r="I2259" s="121"/>
      <c r="J2259" s="121"/>
      <c r="K2259" s="117"/>
    </row>
    <row r="2260" ht="15.75" customHeight="1">
      <c r="A2260" s="122"/>
      <c r="B2260" s="133"/>
      <c r="C2260" s="120"/>
      <c r="D2260" s="120"/>
      <c r="E2260" s="120"/>
      <c r="F2260" s="120"/>
      <c r="G2260" s="120"/>
      <c r="H2260" s="120"/>
      <c r="I2260" s="121"/>
      <c r="J2260" s="121"/>
      <c r="K2260" s="117"/>
    </row>
    <row r="2261" ht="15.75" customHeight="1">
      <c r="A2261" s="122"/>
      <c r="B2261" s="133"/>
      <c r="C2261" s="120"/>
      <c r="D2261" s="120"/>
      <c r="E2261" s="120"/>
      <c r="F2261" s="120"/>
      <c r="G2261" s="120"/>
      <c r="H2261" s="120"/>
      <c r="I2261" s="121"/>
      <c r="J2261" s="121"/>
      <c r="K2261" s="117"/>
    </row>
    <row r="2262" ht="15.75" customHeight="1">
      <c r="A2262" s="122"/>
      <c r="B2262" s="133"/>
      <c r="C2262" s="120"/>
      <c r="D2262" s="120"/>
      <c r="E2262" s="120"/>
      <c r="F2262" s="120"/>
      <c r="G2262" s="120"/>
      <c r="H2262" s="120"/>
      <c r="I2262" s="121"/>
      <c r="J2262" s="121"/>
      <c r="K2262" s="117"/>
    </row>
    <row r="2263" ht="15.75" customHeight="1">
      <c r="A2263" s="122"/>
      <c r="B2263" s="133"/>
      <c r="C2263" s="120"/>
      <c r="D2263" s="120"/>
      <c r="E2263" s="120"/>
      <c r="F2263" s="120"/>
      <c r="G2263" s="120"/>
      <c r="H2263" s="120"/>
      <c r="I2263" s="121"/>
      <c r="J2263" s="121"/>
      <c r="K2263" s="117"/>
    </row>
    <row r="2264" ht="15.75" customHeight="1">
      <c r="A2264" s="122"/>
      <c r="B2264" s="133"/>
      <c r="C2264" s="120"/>
      <c r="D2264" s="120"/>
      <c r="E2264" s="120"/>
      <c r="F2264" s="120"/>
      <c r="G2264" s="120"/>
      <c r="H2264" s="120"/>
      <c r="I2264" s="121"/>
      <c r="J2264" s="121"/>
      <c r="K2264" s="117"/>
    </row>
    <row r="2265" ht="15.75" customHeight="1">
      <c r="A2265" s="122"/>
      <c r="B2265" s="133"/>
      <c r="C2265" s="120"/>
      <c r="D2265" s="120"/>
      <c r="E2265" s="120"/>
      <c r="F2265" s="120"/>
      <c r="G2265" s="120"/>
      <c r="H2265" s="120"/>
      <c r="I2265" s="121"/>
      <c r="J2265" s="121"/>
      <c r="K2265" s="117"/>
    </row>
    <row r="2266" ht="15.75" customHeight="1">
      <c r="A2266" s="122"/>
      <c r="B2266" s="133"/>
      <c r="C2266" s="120"/>
      <c r="D2266" s="120"/>
      <c r="E2266" s="120"/>
      <c r="F2266" s="120"/>
      <c r="G2266" s="120"/>
      <c r="H2266" s="120"/>
      <c r="I2266" s="121"/>
      <c r="J2266" s="121"/>
      <c r="K2266" s="117"/>
    </row>
    <row r="2267" ht="15.75" customHeight="1">
      <c r="A2267" s="122"/>
      <c r="B2267" s="133"/>
      <c r="C2267" s="120"/>
      <c r="D2267" s="120"/>
      <c r="E2267" s="120"/>
      <c r="F2267" s="120"/>
      <c r="G2267" s="120"/>
      <c r="H2267" s="120"/>
      <c r="I2267" s="121"/>
      <c r="J2267" s="121"/>
      <c r="K2267" s="117"/>
    </row>
    <row r="2268" ht="15.75" customHeight="1">
      <c r="A2268" s="122"/>
      <c r="B2268" s="133"/>
      <c r="C2268" s="120"/>
      <c r="D2268" s="120"/>
      <c r="E2268" s="120"/>
      <c r="F2268" s="120"/>
      <c r="G2268" s="120"/>
      <c r="H2268" s="120"/>
      <c r="I2268" s="121"/>
      <c r="J2268" s="121"/>
      <c r="K2268" s="117"/>
    </row>
    <row r="2269" ht="15.75" customHeight="1">
      <c r="A2269" s="122"/>
      <c r="B2269" s="133"/>
      <c r="C2269" s="120"/>
      <c r="D2269" s="120"/>
      <c r="E2269" s="120"/>
      <c r="F2269" s="120"/>
      <c r="G2269" s="120"/>
      <c r="H2269" s="120"/>
      <c r="I2269" s="121"/>
      <c r="J2269" s="121"/>
      <c r="K2269" s="117"/>
    </row>
    <row r="2270" ht="15.75" customHeight="1">
      <c r="A2270" s="122"/>
      <c r="B2270" s="133"/>
      <c r="C2270" s="120"/>
      <c r="D2270" s="120"/>
      <c r="E2270" s="120"/>
      <c r="F2270" s="120"/>
      <c r="G2270" s="120"/>
      <c r="H2270" s="120"/>
      <c r="I2270" s="121"/>
      <c r="J2270" s="121"/>
      <c r="K2270" s="117"/>
    </row>
    <row r="2271" ht="15.75" customHeight="1">
      <c r="A2271" s="122"/>
      <c r="B2271" s="133"/>
      <c r="C2271" s="120"/>
      <c r="D2271" s="120"/>
      <c r="E2271" s="120"/>
      <c r="F2271" s="120"/>
      <c r="G2271" s="120"/>
      <c r="H2271" s="120"/>
      <c r="I2271" s="121"/>
      <c r="J2271" s="121"/>
      <c r="K2271" s="117"/>
    </row>
    <row r="2272" ht="15.75" customHeight="1">
      <c r="A2272" s="122"/>
      <c r="B2272" s="133"/>
      <c r="C2272" s="120"/>
      <c r="D2272" s="120"/>
      <c r="E2272" s="120"/>
      <c r="F2272" s="120"/>
      <c r="G2272" s="120"/>
      <c r="H2272" s="120"/>
      <c r="I2272" s="121"/>
      <c r="J2272" s="121"/>
      <c r="K2272" s="117"/>
    </row>
    <row r="2273" ht="15.75" customHeight="1">
      <c r="A2273" s="122"/>
      <c r="B2273" s="133"/>
      <c r="C2273" s="120"/>
      <c r="D2273" s="120"/>
      <c r="E2273" s="120"/>
      <c r="F2273" s="120"/>
      <c r="G2273" s="120"/>
      <c r="H2273" s="120"/>
      <c r="I2273" s="121"/>
      <c r="J2273" s="121"/>
      <c r="K2273" s="117"/>
    </row>
    <row r="2274" ht="15.75" customHeight="1">
      <c r="A2274" s="122"/>
      <c r="B2274" s="133"/>
      <c r="C2274" s="120"/>
      <c r="D2274" s="120"/>
      <c r="E2274" s="120"/>
      <c r="F2274" s="120"/>
      <c r="G2274" s="120"/>
      <c r="H2274" s="120"/>
      <c r="I2274" s="121"/>
      <c r="J2274" s="121"/>
      <c r="K2274" s="117"/>
    </row>
    <row r="2275" ht="15.75" customHeight="1">
      <c r="A2275" s="122"/>
      <c r="B2275" s="133"/>
      <c r="C2275" s="120"/>
      <c r="D2275" s="120"/>
      <c r="E2275" s="120"/>
      <c r="F2275" s="120"/>
      <c r="G2275" s="120"/>
      <c r="H2275" s="120"/>
      <c r="I2275" s="121"/>
      <c r="J2275" s="121"/>
      <c r="K2275" s="117"/>
    </row>
    <row r="2276" ht="15.75" customHeight="1">
      <c r="A2276" s="122"/>
      <c r="B2276" s="133"/>
      <c r="C2276" s="120"/>
      <c r="D2276" s="120"/>
      <c r="E2276" s="120"/>
      <c r="F2276" s="120"/>
      <c r="G2276" s="120"/>
      <c r="H2276" s="120"/>
      <c r="I2276" s="121"/>
      <c r="J2276" s="121"/>
      <c r="K2276" s="117"/>
    </row>
    <row r="2277" ht="15.75" customHeight="1">
      <c r="A2277" s="122"/>
      <c r="B2277" s="133"/>
      <c r="C2277" s="120"/>
      <c r="D2277" s="120"/>
      <c r="E2277" s="120"/>
      <c r="F2277" s="120"/>
      <c r="G2277" s="120"/>
      <c r="H2277" s="120"/>
      <c r="I2277" s="121"/>
      <c r="J2277" s="121"/>
      <c r="K2277" s="117"/>
    </row>
    <row r="2278" ht="15.75" customHeight="1">
      <c r="A2278" s="122"/>
      <c r="B2278" s="133"/>
      <c r="C2278" s="120"/>
      <c r="D2278" s="120"/>
      <c r="E2278" s="120"/>
      <c r="F2278" s="120"/>
      <c r="G2278" s="120"/>
      <c r="H2278" s="120"/>
      <c r="I2278" s="121"/>
      <c r="J2278" s="121"/>
      <c r="K2278" s="117"/>
    </row>
    <row r="2279" ht="15.75" customHeight="1">
      <c r="A2279" s="122"/>
      <c r="B2279" s="133"/>
      <c r="C2279" s="120"/>
      <c r="D2279" s="120"/>
      <c r="E2279" s="120"/>
      <c r="F2279" s="120"/>
      <c r="G2279" s="120"/>
      <c r="H2279" s="120"/>
      <c r="I2279" s="121"/>
      <c r="J2279" s="121"/>
      <c r="K2279" s="117"/>
    </row>
    <row r="2280" ht="15.75" customHeight="1">
      <c r="A2280" s="122"/>
      <c r="B2280" s="133"/>
      <c r="C2280" s="120"/>
      <c r="D2280" s="120"/>
      <c r="E2280" s="120"/>
      <c r="F2280" s="120"/>
      <c r="G2280" s="120"/>
      <c r="H2280" s="120"/>
      <c r="I2280" s="121"/>
      <c r="J2280" s="121"/>
      <c r="K2280" s="117"/>
    </row>
    <row r="2281" ht="15.75" customHeight="1">
      <c r="A2281" s="122"/>
      <c r="B2281" s="133"/>
      <c r="C2281" s="120"/>
      <c r="D2281" s="120"/>
      <c r="E2281" s="120"/>
      <c r="F2281" s="120"/>
      <c r="G2281" s="120"/>
      <c r="H2281" s="120"/>
      <c r="I2281" s="121"/>
      <c r="J2281" s="121"/>
      <c r="K2281" s="117"/>
    </row>
    <row r="2282" ht="15.75" customHeight="1">
      <c r="A2282" s="122"/>
      <c r="B2282" s="133"/>
      <c r="C2282" s="120"/>
      <c r="D2282" s="120"/>
      <c r="E2282" s="120"/>
      <c r="F2282" s="120"/>
      <c r="G2282" s="120"/>
      <c r="H2282" s="120"/>
      <c r="I2282" s="121"/>
      <c r="J2282" s="121"/>
      <c r="K2282" s="117"/>
    </row>
    <row r="2283" ht="15.75" customHeight="1">
      <c r="A2283" s="122"/>
      <c r="B2283" s="133"/>
      <c r="C2283" s="120"/>
      <c r="D2283" s="120"/>
      <c r="E2283" s="120"/>
      <c r="F2283" s="120"/>
      <c r="G2283" s="120"/>
      <c r="H2283" s="120"/>
      <c r="I2283" s="121"/>
      <c r="J2283" s="121"/>
      <c r="K2283" s="117"/>
    </row>
    <row r="2284" ht="15.75" customHeight="1">
      <c r="A2284" s="122"/>
      <c r="B2284" s="133"/>
      <c r="C2284" s="120"/>
      <c r="D2284" s="120"/>
      <c r="E2284" s="120"/>
      <c r="F2284" s="120"/>
      <c r="G2284" s="120"/>
      <c r="H2284" s="120"/>
      <c r="I2284" s="121"/>
      <c r="J2284" s="121"/>
      <c r="K2284" s="117"/>
    </row>
    <row r="2285" ht="15.75" customHeight="1">
      <c r="A2285" s="122"/>
      <c r="B2285" s="133"/>
      <c r="C2285" s="120"/>
      <c r="D2285" s="120"/>
      <c r="E2285" s="120"/>
      <c r="F2285" s="120"/>
      <c r="G2285" s="120"/>
      <c r="H2285" s="120"/>
      <c r="I2285" s="121"/>
      <c r="J2285" s="121"/>
      <c r="K2285" s="117"/>
    </row>
    <row r="2286" ht="15.75" customHeight="1">
      <c r="A2286" s="122"/>
      <c r="B2286" s="133"/>
      <c r="C2286" s="120"/>
      <c r="D2286" s="120"/>
      <c r="E2286" s="120"/>
      <c r="F2286" s="120"/>
      <c r="G2286" s="120"/>
      <c r="H2286" s="120"/>
      <c r="I2286" s="121"/>
      <c r="J2286" s="121"/>
      <c r="K2286" s="117"/>
    </row>
    <row r="2287" ht="15.75" customHeight="1">
      <c r="A2287" s="122"/>
      <c r="B2287" s="133"/>
      <c r="C2287" s="120"/>
      <c r="D2287" s="120"/>
      <c r="E2287" s="120"/>
      <c r="F2287" s="120"/>
      <c r="G2287" s="120"/>
      <c r="H2287" s="120"/>
      <c r="I2287" s="121"/>
      <c r="J2287" s="121"/>
      <c r="K2287" s="117"/>
    </row>
    <row r="2288" ht="15.75" customHeight="1">
      <c r="A2288" s="122"/>
      <c r="B2288" s="133"/>
      <c r="C2288" s="120"/>
      <c r="D2288" s="120"/>
      <c r="E2288" s="120"/>
      <c r="F2288" s="120"/>
      <c r="G2288" s="120"/>
      <c r="H2288" s="120"/>
      <c r="I2288" s="121"/>
      <c r="J2288" s="121"/>
      <c r="K2288" s="117"/>
    </row>
    <row r="2289" ht="15.75" customHeight="1">
      <c r="A2289" s="122"/>
      <c r="B2289" s="133"/>
      <c r="C2289" s="120"/>
      <c r="D2289" s="120"/>
      <c r="E2289" s="120"/>
      <c r="F2289" s="120"/>
      <c r="G2289" s="120"/>
      <c r="H2289" s="120"/>
      <c r="I2289" s="121"/>
      <c r="J2289" s="121"/>
      <c r="K2289" s="117"/>
    </row>
    <row r="2290" ht="15.75" customHeight="1">
      <c r="A2290" s="122"/>
      <c r="B2290" s="133"/>
      <c r="C2290" s="120"/>
      <c r="D2290" s="120"/>
      <c r="E2290" s="120"/>
      <c r="F2290" s="120"/>
      <c r="G2290" s="120"/>
      <c r="H2290" s="120"/>
      <c r="I2290" s="121"/>
      <c r="J2290" s="121"/>
      <c r="K2290" s="117"/>
    </row>
    <row r="2291" ht="15.75" customHeight="1">
      <c r="A2291" s="122"/>
      <c r="B2291" s="133"/>
      <c r="C2291" s="120"/>
      <c r="D2291" s="120"/>
      <c r="E2291" s="120"/>
      <c r="F2291" s="120"/>
      <c r="G2291" s="120"/>
      <c r="H2291" s="120"/>
      <c r="I2291" s="121"/>
      <c r="J2291" s="121"/>
      <c r="K2291" s="117"/>
    </row>
    <row r="2292" ht="15.75" customHeight="1">
      <c r="A2292" s="122"/>
      <c r="B2292" s="133"/>
      <c r="C2292" s="120"/>
      <c r="D2292" s="120"/>
      <c r="E2292" s="120"/>
      <c r="F2292" s="120"/>
      <c r="G2292" s="120"/>
      <c r="H2292" s="120"/>
      <c r="I2292" s="121"/>
      <c r="J2292" s="121"/>
      <c r="K2292" s="117"/>
    </row>
    <row r="2293" ht="15.75" customHeight="1">
      <c r="A2293" s="122"/>
      <c r="B2293" s="133"/>
      <c r="C2293" s="120"/>
      <c r="D2293" s="120"/>
      <c r="E2293" s="120"/>
      <c r="F2293" s="120"/>
      <c r="G2293" s="120"/>
      <c r="H2293" s="120"/>
      <c r="I2293" s="121"/>
      <c r="J2293" s="121"/>
      <c r="K2293" s="117"/>
    </row>
    <row r="2294" ht="15.75" customHeight="1">
      <c r="A2294" s="122"/>
      <c r="B2294" s="133"/>
      <c r="C2294" s="120"/>
      <c r="D2294" s="120"/>
      <c r="E2294" s="120"/>
      <c r="F2294" s="120"/>
      <c r="G2294" s="120"/>
      <c r="H2294" s="120"/>
      <c r="I2294" s="121"/>
      <c r="J2294" s="121"/>
      <c r="K2294" s="117"/>
    </row>
    <row r="2295" ht="15.75" customHeight="1">
      <c r="A2295" s="122"/>
      <c r="B2295" s="133"/>
      <c r="C2295" s="120"/>
      <c r="D2295" s="120"/>
      <c r="E2295" s="120"/>
      <c r="F2295" s="120"/>
      <c r="G2295" s="120"/>
      <c r="H2295" s="120"/>
      <c r="I2295" s="121"/>
      <c r="J2295" s="121"/>
      <c r="K2295" s="117"/>
    </row>
    <row r="2296" ht="15.75" customHeight="1">
      <c r="A2296" s="122"/>
      <c r="B2296" s="133"/>
      <c r="C2296" s="120"/>
      <c r="D2296" s="120"/>
      <c r="E2296" s="120"/>
      <c r="F2296" s="120"/>
      <c r="G2296" s="120"/>
      <c r="H2296" s="120"/>
      <c r="I2296" s="121"/>
      <c r="J2296" s="121"/>
      <c r="K2296" s="117"/>
    </row>
    <row r="2297" ht="15.75" customHeight="1">
      <c r="A2297" s="122"/>
      <c r="B2297" s="133"/>
      <c r="C2297" s="120"/>
      <c r="D2297" s="120"/>
      <c r="E2297" s="120"/>
      <c r="F2297" s="120"/>
      <c r="G2297" s="120"/>
      <c r="H2297" s="120"/>
      <c r="I2297" s="121"/>
      <c r="J2297" s="121"/>
      <c r="K2297" s="117"/>
    </row>
    <row r="2298" ht="15.75" customHeight="1">
      <c r="A2298" s="122"/>
      <c r="B2298" s="133"/>
      <c r="C2298" s="120"/>
      <c r="D2298" s="120"/>
      <c r="E2298" s="120"/>
      <c r="F2298" s="120"/>
      <c r="G2298" s="120"/>
      <c r="H2298" s="120"/>
      <c r="I2298" s="121"/>
      <c r="J2298" s="121"/>
      <c r="K2298" s="117"/>
    </row>
    <row r="2299" ht="15.75" customHeight="1">
      <c r="A2299" s="122"/>
      <c r="B2299" s="133"/>
      <c r="C2299" s="120"/>
      <c r="D2299" s="120"/>
      <c r="E2299" s="120"/>
      <c r="F2299" s="120"/>
      <c r="G2299" s="120"/>
      <c r="H2299" s="120"/>
      <c r="I2299" s="121"/>
      <c r="J2299" s="121"/>
      <c r="K2299" s="117"/>
    </row>
    <row r="2300" ht="15.75" customHeight="1">
      <c r="A2300" s="122"/>
      <c r="B2300" s="133"/>
      <c r="C2300" s="120"/>
      <c r="D2300" s="120"/>
      <c r="E2300" s="120"/>
      <c r="F2300" s="120"/>
      <c r="G2300" s="120"/>
      <c r="H2300" s="120"/>
      <c r="I2300" s="121"/>
      <c r="J2300" s="121"/>
      <c r="K2300" s="117"/>
    </row>
    <row r="2301" ht="15.75" customHeight="1">
      <c r="A2301" s="122"/>
      <c r="B2301" s="133"/>
      <c r="C2301" s="120"/>
      <c r="D2301" s="120"/>
      <c r="E2301" s="120"/>
      <c r="F2301" s="120"/>
      <c r="G2301" s="120"/>
      <c r="H2301" s="120"/>
      <c r="I2301" s="121"/>
      <c r="J2301" s="121"/>
      <c r="K2301" s="117"/>
    </row>
    <row r="2302" ht="15.75" customHeight="1">
      <c r="A2302" s="122"/>
      <c r="B2302" s="133"/>
      <c r="C2302" s="120"/>
      <c r="D2302" s="120"/>
      <c r="E2302" s="120"/>
      <c r="F2302" s="120"/>
      <c r="G2302" s="120"/>
      <c r="H2302" s="120"/>
      <c r="I2302" s="121"/>
      <c r="J2302" s="121"/>
      <c r="K2302" s="117"/>
    </row>
    <row r="2303" ht="15.75" customHeight="1">
      <c r="A2303" s="122"/>
      <c r="B2303" s="133"/>
      <c r="C2303" s="120"/>
      <c r="D2303" s="120"/>
      <c r="E2303" s="120"/>
      <c r="F2303" s="120"/>
      <c r="G2303" s="120"/>
      <c r="H2303" s="120"/>
      <c r="I2303" s="121"/>
      <c r="J2303" s="121"/>
      <c r="K2303" s="117"/>
    </row>
    <row r="2304" ht="15.75" customHeight="1">
      <c r="A2304" s="122"/>
      <c r="B2304" s="133"/>
      <c r="C2304" s="120"/>
      <c r="D2304" s="120"/>
      <c r="E2304" s="120"/>
      <c r="F2304" s="120"/>
      <c r="G2304" s="120"/>
      <c r="H2304" s="120"/>
      <c r="I2304" s="121"/>
      <c r="J2304" s="121"/>
      <c r="K2304" s="117"/>
    </row>
    <row r="2305" ht="15.75" customHeight="1">
      <c r="A2305" s="122"/>
      <c r="B2305" s="133"/>
      <c r="C2305" s="120"/>
      <c r="D2305" s="120"/>
      <c r="E2305" s="120"/>
      <c r="F2305" s="120"/>
      <c r="G2305" s="120"/>
      <c r="H2305" s="120"/>
      <c r="I2305" s="121"/>
      <c r="J2305" s="121"/>
      <c r="K2305" s="117"/>
    </row>
    <row r="2306" ht="15.75" customHeight="1">
      <c r="A2306" s="122"/>
      <c r="B2306" s="133"/>
      <c r="C2306" s="120"/>
      <c r="D2306" s="120"/>
      <c r="E2306" s="120"/>
      <c r="F2306" s="120"/>
      <c r="G2306" s="120"/>
      <c r="H2306" s="120"/>
      <c r="I2306" s="121"/>
      <c r="J2306" s="121"/>
      <c r="K2306" s="117"/>
    </row>
    <row r="2307" ht="15.75" customHeight="1">
      <c r="A2307" s="122"/>
      <c r="B2307" s="133"/>
      <c r="C2307" s="120"/>
      <c r="D2307" s="120"/>
      <c r="E2307" s="120"/>
      <c r="F2307" s="120"/>
      <c r="G2307" s="120"/>
      <c r="H2307" s="120"/>
      <c r="I2307" s="121"/>
      <c r="J2307" s="121"/>
      <c r="K2307" s="117"/>
    </row>
    <row r="2308" ht="15.75" customHeight="1">
      <c r="A2308" s="122"/>
      <c r="B2308" s="133"/>
      <c r="C2308" s="120"/>
      <c r="D2308" s="120"/>
      <c r="E2308" s="120"/>
      <c r="F2308" s="120"/>
      <c r="G2308" s="120"/>
      <c r="H2308" s="120"/>
      <c r="I2308" s="121"/>
      <c r="J2308" s="121"/>
      <c r="K2308" s="117"/>
    </row>
    <row r="2309" ht="15.75" customHeight="1">
      <c r="A2309" s="122"/>
      <c r="B2309" s="133"/>
      <c r="C2309" s="120"/>
      <c r="D2309" s="120"/>
      <c r="E2309" s="120"/>
      <c r="F2309" s="120"/>
      <c r="G2309" s="120"/>
      <c r="H2309" s="120"/>
      <c r="I2309" s="121"/>
      <c r="J2309" s="121"/>
      <c r="K2309" s="117"/>
    </row>
    <row r="2310" ht="15.75" customHeight="1">
      <c r="A2310" s="122"/>
      <c r="B2310" s="133"/>
      <c r="C2310" s="120"/>
      <c r="D2310" s="120"/>
      <c r="E2310" s="120"/>
      <c r="F2310" s="120"/>
      <c r="G2310" s="120"/>
      <c r="H2310" s="120"/>
      <c r="I2310" s="121"/>
      <c r="J2310" s="121"/>
      <c r="K2310" s="117"/>
    </row>
    <row r="2311" ht="15.75" customHeight="1">
      <c r="A2311" s="122"/>
      <c r="B2311" s="133"/>
      <c r="C2311" s="120"/>
      <c r="D2311" s="120"/>
      <c r="E2311" s="120"/>
      <c r="F2311" s="120"/>
      <c r="G2311" s="120"/>
      <c r="H2311" s="120"/>
      <c r="I2311" s="121"/>
      <c r="J2311" s="121"/>
      <c r="K2311" s="117"/>
    </row>
    <row r="2312" ht="15.75" customHeight="1">
      <c r="A2312" s="122"/>
      <c r="B2312" s="133"/>
      <c r="C2312" s="120"/>
      <c r="D2312" s="120"/>
      <c r="E2312" s="120"/>
      <c r="F2312" s="120"/>
      <c r="G2312" s="120"/>
      <c r="H2312" s="120"/>
      <c r="I2312" s="121"/>
      <c r="J2312" s="121"/>
      <c r="K2312" s="117"/>
    </row>
    <row r="2313" ht="15.75" customHeight="1">
      <c r="A2313" s="122"/>
      <c r="B2313" s="133"/>
      <c r="C2313" s="120"/>
      <c r="D2313" s="120"/>
      <c r="E2313" s="120"/>
      <c r="F2313" s="120"/>
      <c r="G2313" s="120"/>
      <c r="H2313" s="120"/>
      <c r="I2313" s="121"/>
      <c r="J2313" s="121"/>
      <c r="K2313" s="117"/>
    </row>
    <row r="2314" ht="15.75" customHeight="1">
      <c r="A2314" s="122"/>
      <c r="B2314" s="133"/>
      <c r="C2314" s="120"/>
      <c r="D2314" s="120"/>
      <c r="E2314" s="120"/>
      <c r="F2314" s="120"/>
      <c r="G2314" s="120"/>
      <c r="H2314" s="120"/>
      <c r="I2314" s="121"/>
      <c r="J2314" s="121"/>
      <c r="K2314" s="117"/>
    </row>
    <row r="2315" ht="15.75" customHeight="1">
      <c r="A2315" s="122"/>
      <c r="B2315" s="133"/>
      <c r="C2315" s="120"/>
      <c r="D2315" s="120"/>
      <c r="E2315" s="120"/>
      <c r="F2315" s="120"/>
      <c r="G2315" s="120"/>
      <c r="H2315" s="120"/>
      <c r="I2315" s="121"/>
      <c r="J2315" s="121"/>
      <c r="K2315" s="117"/>
    </row>
    <row r="2316" ht="15.75" customHeight="1">
      <c r="A2316" s="122"/>
      <c r="B2316" s="133"/>
      <c r="C2316" s="120"/>
      <c r="D2316" s="120"/>
      <c r="E2316" s="120"/>
      <c r="F2316" s="120"/>
      <c r="G2316" s="120"/>
      <c r="H2316" s="120"/>
      <c r="I2316" s="121"/>
      <c r="J2316" s="121"/>
      <c r="K2316" s="117"/>
    </row>
    <row r="2317" ht="15.75" customHeight="1">
      <c r="A2317" s="122"/>
      <c r="B2317" s="133"/>
      <c r="C2317" s="120"/>
      <c r="D2317" s="120"/>
      <c r="E2317" s="120"/>
      <c r="F2317" s="120"/>
      <c r="G2317" s="120"/>
      <c r="H2317" s="120"/>
      <c r="I2317" s="121"/>
      <c r="J2317" s="121"/>
      <c r="K2317" s="117"/>
    </row>
    <row r="2318" ht="15.75" customHeight="1">
      <c r="A2318" s="122"/>
      <c r="B2318" s="133"/>
      <c r="C2318" s="120"/>
      <c r="D2318" s="120"/>
      <c r="E2318" s="120"/>
      <c r="F2318" s="120"/>
      <c r="G2318" s="120"/>
      <c r="H2318" s="120"/>
      <c r="I2318" s="121"/>
      <c r="J2318" s="121"/>
      <c r="K2318" s="117"/>
    </row>
    <row r="2319" ht="15.75" customHeight="1">
      <c r="A2319" s="122"/>
      <c r="B2319" s="133"/>
      <c r="C2319" s="120"/>
      <c r="D2319" s="120"/>
      <c r="E2319" s="120"/>
      <c r="F2319" s="120"/>
      <c r="G2319" s="120"/>
      <c r="H2319" s="120"/>
      <c r="I2319" s="121"/>
      <c r="J2319" s="121"/>
      <c r="K2319" s="117"/>
    </row>
    <row r="2320" ht="15.75" customHeight="1">
      <c r="A2320" s="122"/>
      <c r="B2320" s="133"/>
      <c r="C2320" s="120"/>
      <c r="D2320" s="120"/>
      <c r="E2320" s="120"/>
      <c r="F2320" s="120"/>
      <c r="G2320" s="120"/>
      <c r="H2320" s="120"/>
      <c r="I2320" s="121"/>
      <c r="J2320" s="121"/>
      <c r="K2320" s="117"/>
    </row>
    <row r="2321" ht="15.75" customHeight="1">
      <c r="A2321" s="122"/>
      <c r="B2321" s="133"/>
      <c r="C2321" s="120"/>
      <c r="D2321" s="120"/>
      <c r="E2321" s="120"/>
      <c r="F2321" s="120"/>
      <c r="G2321" s="120"/>
      <c r="H2321" s="120"/>
      <c r="I2321" s="121"/>
      <c r="J2321" s="121"/>
      <c r="K2321" s="117"/>
    </row>
    <row r="2322" ht="15.75" customHeight="1">
      <c r="A2322" s="122"/>
      <c r="B2322" s="133"/>
      <c r="C2322" s="120"/>
      <c r="D2322" s="120"/>
      <c r="E2322" s="120"/>
      <c r="F2322" s="120"/>
      <c r="G2322" s="120"/>
      <c r="H2322" s="120"/>
      <c r="I2322" s="121"/>
      <c r="J2322" s="121"/>
      <c r="K2322" s="117"/>
    </row>
    <row r="2323" ht="15.75" customHeight="1">
      <c r="A2323" s="122"/>
      <c r="B2323" s="133"/>
      <c r="C2323" s="120"/>
      <c r="D2323" s="120"/>
      <c r="E2323" s="120"/>
      <c r="F2323" s="120"/>
      <c r="G2323" s="120"/>
      <c r="H2323" s="120"/>
      <c r="I2323" s="121"/>
      <c r="J2323" s="121"/>
      <c r="K2323" s="117"/>
    </row>
    <row r="2324" ht="15.75" customHeight="1">
      <c r="A2324" s="122"/>
      <c r="B2324" s="133"/>
      <c r="C2324" s="120"/>
      <c r="D2324" s="120"/>
      <c r="E2324" s="120"/>
      <c r="F2324" s="120"/>
      <c r="G2324" s="120"/>
      <c r="H2324" s="120"/>
      <c r="I2324" s="121"/>
      <c r="J2324" s="121"/>
      <c r="K2324" s="117"/>
    </row>
    <row r="2325" ht="15.75" customHeight="1">
      <c r="A2325" s="122"/>
      <c r="B2325" s="133"/>
      <c r="C2325" s="120"/>
      <c r="D2325" s="120"/>
      <c r="E2325" s="120"/>
      <c r="F2325" s="120"/>
      <c r="G2325" s="120"/>
      <c r="H2325" s="120"/>
      <c r="I2325" s="121"/>
      <c r="J2325" s="121"/>
      <c r="K2325" s="117"/>
    </row>
    <row r="2326" ht="15.75" customHeight="1">
      <c r="A2326" s="122"/>
      <c r="B2326" s="133"/>
      <c r="C2326" s="120"/>
      <c r="D2326" s="120"/>
      <c r="E2326" s="120"/>
      <c r="F2326" s="120"/>
      <c r="G2326" s="120"/>
      <c r="H2326" s="120"/>
      <c r="I2326" s="121"/>
      <c r="J2326" s="121"/>
      <c r="K2326" s="117"/>
    </row>
    <row r="2327" ht="15.75" customHeight="1">
      <c r="A2327" s="122"/>
      <c r="B2327" s="133"/>
      <c r="C2327" s="120"/>
      <c r="D2327" s="120"/>
      <c r="E2327" s="120"/>
      <c r="F2327" s="120"/>
      <c r="G2327" s="120"/>
      <c r="H2327" s="120"/>
      <c r="I2327" s="121"/>
      <c r="J2327" s="121"/>
      <c r="K2327" s="117"/>
    </row>
    <row r="2328" ht="15.75" customHeight="1">
      <c r="A2328" s="122"/>
      <c r="B2328" s="133"/>
      <c r="C2328" s="120"/>
      <c r="D2328" s="120"/>
      <c r="E2328" s="120"/>
      <c r="F2328" s="120"/>
      <c r="G2328" s="120"/>
      <c r="H2328" s="120"/>
      <c r="I2328" s="121"/>
      <c r="J2328" s="121"/>
      <c r="K2328" s="117"/>
    </row>
    <row r="2329" ht="15.75" customHeight="1">
      <c r="A2329" s="122"/>
      <c r="B2329" s="133"/>
      <c r="C2329" s="120"/>
      <c r="D2329" s="120"/>
      <c r="E2329" s="120"/>
      <c r="F2329" s="120"/>
      <c r="G2329" s="120"/>
      <c r="H2329" s="120"/>
      <c r="I2329" s="121"/>
      <c r="J2329" s="121"/>
      <c r="K2329" s="117"/>
    </row>
    <row r="2330" ht="15.75" customHeight="1">
      <c r="A2330" s="122"/>
      <c r="B2330" s="133"/>
      <c r="C2330" s="120"/>
      <c r="D2330" s="120"/>
      <c r="E2330" s="120"/>
      <c r="F2330" s="120"/>
      <c r="G2330" s="120"/>
      <c r="H2330" s="120"/>
      <c r="I2330" s="121"/>
      <c r="J2330" s="121"/>
      <c r="K2330" s="117"/>
    </row>
    <row r="2331" ht="15.75" customHeight="1">
      <c r="A2331" s="122"/>
      <c r="B2331" s="133"/>
      <c r="C2331" s="120"/>
      <c r="D2331" s="120"/>
      <c r="E2331" s="120"/>
      <c r="F2331" s="120"/>
      <c r="G2331" s="120"/>
      <c r="H2331" s="120"/>
      <c r="I2331" s="121"/>
      <c r="J2331" s="121"/>
      <c r="K2331" s="117"/>
    </row>
    <row r="2332" ht="15.75" customHeight="1">
      <c r="A2332" s="122"/>
      <c r="B2332" s="133"/>
      <c r="C2332" s="120"/>
      <c r="D2332" s="120"/>
      <c r="E2332" s="120"/>
      <c r="F2332" s="120"/>
      <c r="G2332" s="120"/>
      <c r="H2332" s="120"/>
      <c r="I2332" s="121"/>
      <c r="J2332" s="121"/>
      <c r="K2332" s="117"/>
    </row>
    <row r="2333" ht="15.75" customHeight="1">
      <c r="A2333" s="122"/>
      <c r="B2333" s="133"/>
      <c r="C2333" s="120"/>
      <c r="D2333" s="120"/>
      <c r="E2333" s="120"/>
      <c r="F2333" s="120"/>
      <c r="G2333" s="120"/>
      <c r="H2333" s="120"/>
      <c r="I2333" s="121"/>
      <c r="J2333" s="121"/>
      <c r="K2333" s="117"/>
    </row>
    <row r="2334" ht="15.75" customHeight="1">
      <c r="A2334" s="122"/>
      <c r="B2334" s="133"/>
      <c r="C2334" s="120"/>
      <c r="D2334" s="120"/>
      <c r="E2334" s="120"/>
      <c r="F2334" s="120"/>
      <c r="G2334" s="120"/>
      <c r="H2334" s="120"/>
      <c r="I2334" s="121"/>
      <c r="J2334" s="121"/>
      <c r="K2334" s="117"/>
    </row>
    <row r="2335" ht="15.75" customHeight="1">
      <c r="A2335" s="122"/>
      <c r="B2335" s="133"/>
      <c r="C2335" s="120"/>
      <c r="D2335" s="120"/>
      <c r="E2335" s="120"/>
      <c r="F2335" s="120"/>
      <c r="G2335" s="120"/>
      <c r="H2335" s="120"/>
      <c r="I2335" s="121"/>
      <c r="J2335" s="121"/>
      <c r="K2335" s="117"/>
    </row>
    <row r="2336" ht="15.75" customHeight="1">
      <c r="A2336" s="122"/>
      <c r="B2336" s="133"/>
      <c r="C2336" s="120"/>
      <c r="D2336" s="120"/>
      <c r="E2336" s="120"/>
      <c r="F2336" s="120"/>
      <c r="G2336" s="120"/>
      <c r="H2336" s="120"/>
      <c r="I2336" s="121"/>
      <c r="J2336" s="121"/>
      <c r="K2336" s="117"/>
    </row>
    <row r="2337" ht="15.75" customHeight="1">
      <c r="A2337" s="122"/>
      <c r="B2337" s="133"/>
      <c r="C2337" s="120"/>
      <c r="D2337" s="120"/>
      <c r="E2337" s="120"/>
      <c r="F2337" s="120"/>
      <c r="G2337" s="120"/>
      <c r="H2337" s="120"/>
      <c r="I2337" s="121"/>
      <c r="J2337" s="121"/>
      <c r="K2337" s="117"/>
    </row>
    <row r="2338" ht="15.75" customHeight="1">
      <c r="A2338" s="122"/>
      <c r="B2338" s="133"/>
      <c r="C2338" s="120"/>
      <c r="D2338" s="120"/>
      <c r="E2338" s="120"/>
      <c r="F2338" s="120"/>
      <c r="G2338" s="120"/>
      <c r="H2338" s="120"/>
      <c r="I2338" s="121"/>
      <c r="J2338" s="121"/>
      <c r="K2338" s="117"/>
    </row>
    <row r="2339" ht="15.75" customHeight="1">
      <c r="A2339" s="122"/>
      <c r="B2339" s="133"/>
      <c r="C2339" s="120"/>
      <c r="D2339" s="120"/>
      <c r="E2339" s="120"/>
      <c r="F2339" s="120"/>
      <c r="G2339" s="120"/>
      <c r="H2339" s="120"/>
      <c r="I2339" s="121"/>
      <c r="J2339" s="121"/>
      <c r="K2339" s="117"/>
    </row>
    <row r="2340" ht="15.75" customHeight="1">
      <c r="A2340" s="122"/>
      <c r="B2340" s="133"/>
      <c r="C2340" s="120"/>
      <c r="D2340" s="120"/>
      <c r="E2340" s="120"/>
      <c r="F2340" s="120"/>
      <c r="G2340" s="120"/>
      <c r="H2340" s="120"/>
      <c r="I2340" s="121"/>
      <c r="J2340" s="121"/>
      <c r="K2340" s="117"/>
    </row>
    <row r="2341" ht="15.75" customHeight="1">
      <c r="A2341" s="122"/>
      <c r="B2341" s="133"/>
      <c r="C2341" s="120"/>
      <c r="D2341" s="120"/>
      <c r="E2341" s="120"/>
      <c r="F2341" s="120"/>
      <c r="G2341" s="120"/>
      <c r="H2341" s="120"/>
      <c r="I2341" s="121"/>
      <c r="J2341" s="121"/>
      <c r="K2341" s="117"/>
    </row>
    <row r="2342" ht="15.75" customHeight="1">
      <c r="A2342" s="122"/>
      <c r="B2342" s="133"/>
      <c r="C2342" s="120"/>
      <c r="D2342" s="120"/>
      <c r="E2342" s="120"/>
      <c r="F2342" s="120"/>
      <c r="G2342" s="120"/>
      <c r="H2342" s="120"/>
      <c r="I2342" s="121"/>
      <c r="J2342" s="121"/>
      <c r="K2342" s="117"/>
    </row>
    <row r="2343" ht="15.75" customHeight="1">
      <c r="A2343" s="122"/>
      <c r="B2343" s="133"/>
      <c r="C2343" s="120"/>
      <c r="D2343" s="120"/>
      <c r="E2343" s="120"/>
      <c r="F2343" s="120"/>
      <c r="G2343" s="120"/>
      <c r="H2343" s="120"/>
      <c r="I2343" s="121"/>
      <c r="J2343" s="121"/>
      <c r="K2343" s="117"/>
    </row>
    <row r="2344" ht="15.75" customHeight="1">
      <c r="A2344" s="122"/>
      <c r="B2344" s="133"/>
      <c r="C2344" s="120"/>
      <c r="D2344" s="120"/>
      <c r="E2344" s="120"/>
      <c r="F2344" s="120"/>
      <c r="G2344" s="120"/>
      <c r="H2344" s="120"/>
      <c r="I2344" s="121"/>
      <c r="J2344" s="121"/>
      <c r="K2344" s="117"/>
    </row>
    <row r="2345" ht="15.75" customHeight="1">
      <c r="A2345" s="122"/>
      <c r="B2345" s="133"/>
      <c r="C2345" s="120"/>
      <c r="D2345" s="120"/>
      <c r="E2345" s="120"/>
      <c r="F2345" s="120"/>
      <c r="G2345" s="120"/>
      <c r="H2345" s="120"/>
      <c r="I2345" s="121"/>
      <c r="J2345" s="121"/>
      <c r="K2345" s="117"/>
    </row>
    <row r="2346" ht="15.75" customHeight="1">
      <c r="A2346" s="122"/>
      <c r="B2346" s="133"/>
      <c r="C2346" s="120"/>
      <c r="D2346" s="120"/>
      <c r="E2346" s="120"/>
      <c r="F2346" s="120"/>
      <c r="G2346" s="120"/>
      <c r="H2346" s="120"/>
      <c r="I2346" s="121"/>
      <c r="J2346" s="121"/>
      <c r="K2346" s="117"/>
    </row>
    <row r="2347" ht="15.75" customHeight="1">
      <c r="A2347" s="122"/>
      <c r="B2347" s="133"/>
      <c r="C2347" s="120"/>
      <c r="D2347" s="120"/>
      <c r="E2347" s="120"/>
      <c r="F2347" s="120"/>
      <c r="G2347" s="120"/>
      <c r="H2347" s="120"/>
      <c r="I2347" s="121"/>
      <c r="J2347" s="121"/>
      <c r="K2347" s="117"/>
    </row>
    <row r="2348" ht="15.75" customHeight="1">
      <c r="A2348" s="122"/>
      <c r="B2348" s="133"/>
      <c r="C2348" s="120"/>
      <c r="D2348" s="120"/>
      <c r="E2348" s="120"/>
      <c r="F2348" s="120"/>
      <c r="G2348" s="120"/>
      <c r="H2348" s="120"/>
      <c r="I2348" s="121"/>
      <c r="J2348" s="121"/>
      <c r="K2348" s="117"/>
    </row>
    <row r="2349" ht="15.75" customHeight="1">
      <c r="A2349" s="122"/>
      <c r="B2349" s="133"/>
      <c r="C2349" s="120"/>
      <c r="D2349" s="120"/>
      <c r="E2349" s="120"/>
      <c r="F2349" s="120"/>
      <c r="G2349" s="120"/>
      <c r="H2349" s="120"/>
      <c r="I2349" s="121"/>
      <c r="J2349" s="121"/>
      <c r="K2349" s="117"/>
    </row>
    <row r="2350" ht="15.75" customHeight="1">
      <c r="A2350" s="122"/>
      <c r="B2350" s="133"/>
      <c r="C2350" s="120"/>
      <c r="D2350" s="120"/>
      <c r="E2350" s="120"/>
      <c r="F2350" s="120"/>
      <c r="G2350" s="120"/>
      <c r="H2350" s="120"/>
      <c r="I2350" s="121"/>
      <c r="J2350" s="121"/>
      <c r="K2350" s="117"/>
    </row>
    <row r="2351" ht="15.75" customHeight="1">
      <c r="A2351" s="122"/>
      <c r="B2351" s="133"/>
      <c r="C2351" s="120"/>
      <c r="D2351" s="120"/>
      <c r="E2351" s="120"/>
      <c r="F2351" s="120"/>
      <c r="G2351" s="120"/>
      <c r="H2351" s="120"/>
      <c r="I2351" s="121"/>
      <c r="J2351" s="121"/>
      <c r="K2351" s="117"/>
    </row>
    <row r="2352" ht="15.75" customHeight="1">
      <c r="A2352" s="122"/>
      <c r="B2352" s="133"/>
      <c r="C2352" s="120"/>
      <c r="D2352" s="120"/>
      <c r="E2352" s="120"/>
      <c r="F2352" s="120"/>
      <c r="G2352" s="120"/>
      <c r="H2352" s="120"/>
      <c r="I2352" s="121"/>
      <c r="J2352" s="121"/>
      <c r="K2352" s="117"/>
    </row>
    <row r="2353" ht="15.75" customHeight="1">
      <c r="A2353" s="122"/>
      <c r="B2353" s="133"/>
      <c r="C2353" s="120"/>
      <c r="D2353" s="120"/>
      <c r="E2353" s="120"/>
      <c r="F2353" s="120"/>
      <c r="G2353" s="120"/>
      <c r="H2353" s="120"/>
      <c r="I2353" s="121"/>
      <c r="J2353" s="121"/>
      <c r="K2353" s="117"/>
    </row>
    <row r="2354" ht="15.75" customHeight="1">
      <c r="A2354" s="122"/>
      <c r="B2354" s="133"/>
      <c r="C2354" s="120"/>
      <c r="D2354" s="120"/>
      <c r="E2354" s="120"/>
      <c r="F2354" s="120"/>
      <c r="G2354" s="120"/>
      <c r="H2354" s="120"/>
      <c r="I2354" s="121"/>
      <c r="J2354" s="121"/>
      <c r="K2354" s="117"/>
    </row>
    <row r="2355" ht="15.75" customHeight="1">
      <c r="A2355" s="122"/>
      <c r="B2355" s="133"/>
      <c r="C2355" s="120"/>
      <c r="D2355" s="120"/>
      <c r="E2355" s="120"/>
      <c r="F2355" s="120"/>
      <c r="G2355" s="120"/>
      <c r="H2355" s="120"/>
      <c r="I2355" s="121"/>
      <c r="J2355" s="121"/>
      <c r="K2355" s="117"/>
    </row>
    <row r="2356" ht="15.75" customHeight="1">
      <c r="A2356" s="122"/>
      <c r="B2356" s="133"/>
      <c r="C2356" s="120"/>
      <c r="D2356" s="120"/>
      <c r="E2356" s="120"/>
      <c r="F2356" s="120"/>
      <c r="G2356" s="120"/>
      <c r="H2356" s="120"/>
      <c r="I2356" s="121"/>
      <c r="J2356" s="121"/>
      <c r="K2356" s="117"/>
    </row>
    <row r="2357" ht="15.75" customHeight="1">
      <c r="A2357" s="122"/>
      <c r="B2357" s="133"/>
      <c r="C2357" s="120"/>
      <c r="D2357" s="120"/>
      <c r="E2357" s="120"/>
      <c r="F2357" s="120"/>
      <c r="G2357" s="120"/>
      <c r="H2357" s="120"/>
      <c r="I2357" s="121"/>
      <c r="J2357" s="121"/>
      <c r="K2357" s="117"/>
    </row>
    <row r="2358" ht="15.75" customHeight="1">
      <c r="A2358" s="122"/>
      <c r="B2358" s="133"/>
      <c r="C2358" s="120"/>
      <c r="D2358" s="120"/>
      <c r="E2358" s="120"/>
      <c r="F2358" s="120"/>
      <c r="G2358" s="120"/>
      <c r="H2358" s="120"/>
      <c r="I2358" s="121"/>
      <c r="J2358" s="121"/>
      <c r="K2358" s="117"/>
    </row>
    <row r="2359" ht="15.75" customHeight="1">
      <c r="A2359" s="122"/>
      <c r="B2359" s="133"/>
      <c r="C2359" s="120"/>
      <c r="D2359" s="120"/>
      <c r="E2359" s="120"/>
      <c r="F2359" s="120"/>
      <c r="G2359" s="120"/>
      <c r="H2359" s="120"/>
      <c r="I2359" s="121"/>
      <c r="J2359" s="121"/>
      <c r="K2359" s="117"/>
    </row>
    <row r="2360" ht="15.75" customHeight="1">
      <c r="A2360" s="122"/>
      <c r="B2360" s="133"/>
      <c r="C2360" s="120"/>
      <c r="D2360" s="120"/>
      <c r="E2360" s="120"/>
      <c r="F2360" s="120"/>
      <c r="G2360" s="120"/>
      <c r="H2360" s="120"/>
      <c r="I2360" s="121"/>
      <c r="J2360" s="121"/>
      <c r="K2360" s="117"/>
    </row>
    <row r="2361" ht="15.75" customHeight="1">
      <c r="A2361" s="122"/>
      <c r="B2361" s="133"/>
      <c r="C2361" s="120"/>
      <c r="D2361" s="120"/>
      <c r="E2361" s="120"/>
      <c r="F2361" s="120"/>
      <c r="G2361" s="120"/>
      <c r="H2361" s="120"/>
      <c r="I2361" s="121"/>
      <c r="J2361" s="121"/>
      <c r="K2361" s="117"/>
    </row>
    <row r="2362" ht="15.75" customHeight="1">
      <c r="A2362" s="122"/>
      <c r="B2362" s="133"/>
      <c r="C2362" s="120"/>
      <c r="D2362" s="120"/>
      <c r="E2362" s="120"/>
      <c r="F2362" s="120"/>
      <c r="G2362" s="120"/>
      <c r="H2362" s="120"/>
      <c r="I2362" s="121"/>
      <c r="J2362" s="121"/>
      <c r="K2362" s="117"/>
    </row>
    <row r="2363" ht="15.75" customHeight="1">
      <c r="A2363" s="122"/>
      <c r="B2363" s="133"/>
      <c r="C2363" s="120"/>
      <c r="D2363" s="120"/>
      <c r="E2363" s="120"/>
      <c r="F2363" s="120"/>
      <c r="G2363" s="120"/>
      <c r="H2363" s="120"/>
      <c r="I2363" s="121"/>
      <c r="J2363" s="121"/>
      <c r="K2363" s="117"/>
    </row>
    <row r="2364" ht="15.75" customHeight="1">
      <c r="A2364" s="122"/>
      <c r="B2364" s="133"/>
      <c r="C2364" s="120"/>
      <c r="D2364" s="120"/>
      <c r="E2364" s="120"/>
      <c r="F2364" s="120"/>
      <c r="G2364" s="120"/>
      <c r="H2364" s="120"/>
      <c r="I2364" s="121"/>
      <c r="J2364" s="121"/>
      <c r="K2364" s="117"/>
    </row>
    <row r="2365" ht="15.75" customHeight="1">
      <c r="A2365" s="122"/>
      <c r="B2365" s="133"/>
      <c r="C2365" s="120"/>
      <c r="D2365" s="120"/>
      <c r="E2365" s="120"/>
      <c r="F2365" s="120"/>
      <c r="G2365" s="120"/>
      <c r="H2365" s="120"/>
      <c r="I2365" s="121"/>
      <c r="J2365" s="121"/>
      <c r="K2365" s="117"/>
    </row>
    <row r="2366" ht="15.75" customHeight="1">
      <c r="A2366" s="122"/>
      <c r="B2366" s="133"/>
      <c r="C2366" s="120"/>
      <c r="D2366" s="120"/>
      <c r="E2366" s="120"/>
      <c r="F2366" s="120"/>
      <c r="G2366" s="120"/>
      <c r="H2366" s="120"/>
      <c r="I2366" s="121"/>
      <c r="J2366" s="121"/>
      <c r="K2366" s="117"/>
    </row>
    <row r="2367" ht="15.75" customHeight="1">
      <c r="A2367" s="122"/>
      <c r="B2367" s="133"/>
      <c r="C2367" s="120"/>
      <c r="D2367" s="120"/>
      <c r="E2367" s="120"/>
      <c r="F2367" s="120"/>
      <c r="G2367" s="120"/>
      <c r="H2367" s="120"/>
      <c r="I2367" s="121"/>
      <c r="J2367" s="121"/>
      <c r="K2367" s="117"/>
    </row>
    <row r="2368" ht="15.75" customHeight="1">
      <c r="A2368" s="122"/>
      <c r="B2368" s="133"/>
      <c r="C2368" s="120"/>
      <c r="D2368" s="120"/>
      <c r="E2368" s="120"/>
      <c r="F2368" s="120"/>
      <c r="G2368" s="120"/>
      <c r="H2368" s="120"/>
      <c r="I2368" s="121"/>
      <c r="J2368" s="121"/>
      <c r="K2368" s="117"/>
    </row>
    <row r="2369" ht="15.75" customHeight="1">
      <c r="A2369" s="122"/>
      <c r="B2369" s="133"/>
      <c r="C2369" s="120"/>
      <c r="D2369" s="120"/>
      <c r="E2369" s="120"/>
      <c r="F2369" s="120"/>
      <c r="G2369" s="120"/>
      <c r="H2369" s="120"/>
      <c r="I2369" s="121"/>
      <c r="J2369" s="121"/>
      <c r="K2369" s="117"/>
    </row>
    <row r="2370" ht="15.75" customHeight="1">
      <c r="A2370" s="122"/>
      <c r="B2370" s="133"/>
      <c r="C2370" s="120"/>
      <c r="D2370" s="120"/>
      <c r="E2370" s="120"/>
      <c r="F2370" s="120"/>
      <c r="G2370" s="120"/>
      <c r="H2370" s="120"/>
      <c r="I2370" s="121"/>
      <c r="J2370" s="121"/>
      <c r="K2370" s="117"/>
    </row>
    <row r="2371" ht="15.75" customHeight="1">
      <c r="A2371" s="122"/>
      <c r="B2371" s="133"/>
      <c r="C2371" s="120"/>
      <c r="D2371" s="120"/>
      <c r="E2371" s="120"/>
      <c r="F2371" s="120"/>
      <c r="G2371" s="120"/>
      <c r="H2371" s="120"/>
      <c r="I2371" s="121"/>
      <c r="J2371" s="121"/>
      <c r="K2371" s="117"/>
    </row>
    <row r="2372" ht="15.75" customHeight="1">
      <c r="A2372" s="122"/>
      <c r="B2372" s="133"/>
      <c r="C2372" s="120"/>
      <c r="D2372" s="120"/>
      <c r="E2372" s="120"/>
      <c r="F2372" s="120"/>
      <c r="G2372" s="120"/>
      <c r="H2372" s="120"/>
      <c r="I2372" s="121"/>
      <c r="J2372" s="121"/>
      <c r="K2372" s="117"/>
    </row>
    <row r="2373" ht="15.75" customHeight="1">
      <c r="A2373" s="122"/>
      <c r="B2373" s="133"/>
      <c r="C2373" s="120"/>
      <c r="D2373" s="120"/>
      <c r="E2373" s="120"/>
      <c r="F2373" s="120"/>
      <c r="G2373" s="120"/>
      <c r="H2373" s="120"/>
      <c r="I2373" s="121"/>
      <c r="J2373" s="121"/>
      <c r="K2373" s="117"/>
    </row>
    <row r="2374" ht="15.75" customHeight="1">
      <c r="A2374" s="122"/>
      <c r="B2374" s="133"/>
      <c r="C2374" s="120"/>
      <c r="D2374" s="120"/>
      <c r="E2374" s="120"/>
      <c r="F2374" s="120"/>
      <c r="G2374" s="120"/>
      <c r="H2374" s="120"/>
      <c r="I2374" s="121"/>
      <c r="J2374" s="121"/>
      <c r="K2374" s="117"/>
    </row>
    <row r="2375" ht="15.75" customHeight="1">
      <c r="A2375" s="122"/>
      <c r="B2375" s="133"/>
      <c r="C2375" s="120"/>
      <c r="D2375" s="120"/>
      <c r="E2375" s="120"/>
      <c r="F2375" s="120"/>
      <c r="G2375" s="120"/>
      <c r="H2375" s="120"/>
      <c r="I2375" s="121"/>
      <c r="J2375" s="121"/>
      <c r="K2375" s="117"/>
    </row>
    <row r="2376" ht="15.75" customHeight="1">
      <c r="A2376" s="122"/>
      <c r="B2376" s="133"/>
      <c r="C2376" s="120"/>
      <c r="D2376" s="120"/>
      <c r="E2376" s="120"/>
      <c r="F2376" s="120"/>
      <c r="G2376" s="120"/>
      <c r="H2376" s="120"/>
      <c r="I2376" s="121"/>
      <c r="J2376" s="121"/>
      <c r="K2376" s="117"/>
    </row>
    <row r="2377" ht="15.75" customHeight="1">
      <c r="A2377" s="122"/>
      <c r="B2377" s="133"/>
      <c r="C2377" s="120"/>
      <c r="D2377" s="120"/>
      <c r="E2377" s="120"/>
      <c r="F2377" s="120"/>
      <c r="G2377" s="120"/>
      <c r="H2377" s="120"/>
      <c r="I2377" s="121"/>
      <c r="J2377" s="121"/>
      <c r="K2377" s="117"/>
    </row>
    <row r="2378" ht="15.75" customHeight="1">
      <c r="A2378" s="122"/>
      <c r="B2378" s="133"/>
      <c r="C2378" s="120"/>
      <c r="D2378" s="120"/>
      <c r="E2378" s="120"/>
      <c r="F2378" s="120"/>
      <c r="G2378" s="120"/>
      <c r="H2378" s="120"/>
      <c r="I2378" s="121"/>
      <c r="J2378" s="121"/>
      <c r="K2378" s="117"/>
    </row>
    <row r="2379" ht="15.75" customHeight="1">
      <c r="A2379" s="122"/>
      <c r="B2379" s="133"/>
      <c r="C2379" s="120"/>
      <c r="D2379" s="120"/>
      <c r="E2379" s="120"/>
      <c r="F2379" s="120"/>
      <c r="G2379" s="120"/>
      <c r="H2379" s="120"/>
      <c r="I2379" s="121"/>
      <c r="J2379" s="121"/>
      <c r="K2379" s="117"/>
    </row>
    <row r="2380" ht="15.75" customHeight="1">
      <c r="A2380" s="122"/>
      <c r="B2380" s="133"/>
      <c r="C2380" s="120"/>
      <c r="D2380" s="120"/>
      <c r="E2380" s="120"/>
      <c r="F2380" s="120"/>
      <c r="G2380" s="120"/>
      <c r="H2380" s="120"/>
      <c r="I2380" s="121"/>
      <c r="J2380" s="121"/>
      <c r="K2380" s="117"/>
    </row>
    <row r="2381" ht="15.75" customHeight="1">
      <c r="A2381" s="122"/>
      <c r="B2381" s="133"/>
      <c r="C2381" s="120"/>
      <c r="D2381" s="120"/>
      <c r="E2381" s="120"/>
      <c r="F2381" s="120"/>
      <c r="G2381" s="120"/>
      <c r="H2381" s="120"/>
      <c r="I2381" s="121"/>
      <c r="J2381" s="121"/>
      <c r="K2381" s="117"/>
    </row>
    <row r="2382" ht="15.75" customHeight="1">
      <c r="A2382" s="122"/>
      <c r="B2382" s="133"/>
      <c r="C2382" s="120"/>
      <c r="D2382" s="120"/>
      <c r="E2382" s="120"/>
      <c r="F2382" s="120"/>
      <c r="G2382" s="120"/>
      <c r="H2382" s="120"/>
      <c r="I2382" s="121"/>
      <c r="J2382" s="121"/>
      <c r="K2382" s="117"/>
    </row>
    <row r="2383" ht="15.75" customHeight="1">
      <c r="A2383" s="122"/>
      <c r="B2383" s="133"/>
      <c r="C2383" s="120"/>
      <c r="D2383" s="120"/>
      <c r="E2383" s="120"/>
      <c r="F2383" s="120"/>
      <c r="G2383" s="120"/>
      <c r="H2383" s="120"/>
      <c r="I2383" s="121"/>
      <c r="J2383" s="121"/>
      <c r="K2383" s="117"/>
    </row>
    <row r="2384" ht="15.75" customHeight="1">
      <c r="A2384" s="122"/>
      <c r="B2384" s="133"/>
      <c r="C2384" s="120"/>
      <c r="D2384" s="120"/>
      <c r="E2384" s="120"/>
      <c r="F2384" s="120"/>
      <c r="G2384" s="120"/>
      <c r="H2384" s="120"/>
      <c r="I2384" s="121"/>
      <c r="J2384" s="121"/>
      <c r="K2384" s="117"/>
    </row>
    <row r="2385" ht="15.75" customHeight="1">
      <c r="A2385" s="122"/>
      <c r="B2385" s="133"/>
      <c r="C2385" s="120"/>
      <c r="D2385" s="120"/>
      <c r="E2385" s="120"/>
      <c r="F2385" s="120"/>
      <c r="G2385" s="120"/>
      <c r="H2385" s="120"/>
      <c r="I2385" s="121"/>
      <c r="J2385" s="121"/>
      <c r="K2385" s="117"/>
    </row>
    <row r="2386" ht="15.75" customHeight="1">
      <c r="A2386" s="122"/>
      <c r="B2386" s="133"/>
      <c r="C2386" s="120"/>
      <c r="D2386" s="120"/>
      <c r="E2386" s="120"/>
      <c r="F2386" s="120"/>
      <c r="G2386" s="120"/>
      <c r="H2386" s="120"/>
      <c r="I2386" s="121"/>
      <c r="J2386" s="121"/>
      <c r="K2386" s="117"/>
    </row>
    <row r="2387" ht="15.75" customHeight="1">
      <c r="A2387" s="122"/>
      <c r="B2387" s="133"/>
      <c r="C2387" s="120"/>
      <c r="D2387" s="120"/>
      <c r="E2387" s="120"/>
      <c r="F2387" s="120"/>
      <c r="G2387" s="120"/>
      <c r="H2387" s="120"/>
      <c r="I2387" s="121"/>
      <c r="J2387" s="121"/>
      <c r="K2387" s="117"/>
    </row>
    <row r="2388" ht="15.75" customHeight="1">
      <c r="A2388" s="122"/>
      <c r="B2388" s="133"/>
      <c r="C2388" s="120"/>
      <c r="D2388" s="120"/>
      <c r="E2388" s="120"/>
      <c r="F2388" s="120"/>
      <c r="G2388" s="120"/>
      <c r="H2388" s="120"/>
      <c r="I2388" s="121"/>
      <c r="J2388" s="121"/>
      <c r="K2388" s="117"/>
    </row>
    <row r="2389" ht="15.75" customHeight="1">
      <c r="A2389" s="122"/>
      <c r="B2389" s="133"/>
      <c r="C2389" s="120"/>
      <c r="D2389" s="120"/>
      <c r="E2389" s="120"/>
      <c r="F2389" s="120"/>
      <c r="G2389" s="120"/>
      <c r="H2389" s="120"/>
      <c r="I2389" s="121"/>
      <c r="J2389" s="121"/>
      <c r="K2389" s="117"/>
    </row>
    <row r="2390" ht="15.75" customHeight="1">
      <c r="A2390" s="122"/>
      <c r="B2390" s="133"/>
      <c r="C2390" s="120"/>
      <c r="D2390" s="120"/>
      <c r="E2390" s="120"/>
      <c r="F2390" s="120"/>
      <c r="G2390" s="120"/>
      <c r="H2390" s="120"/>
      <c r="I2390" s="121"/>
      <c r="J2390" s="121"/>
      <c r="K2390" s="117"/>
    </row>
    <row r="2391" ht="15.75" customHeight="1">
      <c r="A2391" s="122"/>
      <c r="B2391" s="133"/>
      <c r="C2391" s="120"/>
      <c r="D2391" s="120"/>
      <c r="E2391" s="120"/>
      <c r="F2391" s="120"/>
      <c r="G2391" s="120"/>
      <c r="H2391" s="120"/>
      <c r="I2391" s="121"/>
      <c r="J2391" s="121"/>
      <c r="K2391" s="117"/>
    </row>
    <row r="2392" ht="15.75" customHeight="1">
      <c r="A2392" s="122"/>
      <c r="B2392" s="133"/>
      <c r="C2392" s="120"/>
      <c r="D2392" s="120"/>
      <c r="E2392" s="120"/>
      <c r="F2392" s="120"/>
      <c r="G2392" s="120"/>
      <c r="H2392" s="120"/>
      <c r="I2392" s="121"/>
      <c r="J2392" s="121"/>
      <c r="K2392" s="117"/>
    </row>
    <row r="2393" ht="15.75" customHeight="1">
      <c r="A2393" s="122"/>
      <c r="B2393" s="133"/>
      <c r="C2393" s="120"/>
      <c r="D2393" s="120"/>
      <c r="E2393" s="120"/>
      <c r="F2393" s="120"/>
      <c r="G2393" s="120"/>
      <c r="H2393" s="120"/>
      <c r="I2393" s="121"/>
      <c r="J2393" s="121"/>
      <c r="K2393" s="117"/>
    </row>
    <row r="2394" ht="15.75" customHeight="1">
      <c r="A2394" s="122"/>
      <c r="B2394" s="133"/>
      <c r="C2394" s="120"/>
      <c r="D2394" s="120"/>
      <c r="E2394" s="120"/>
      <c r="F2394" s="120"/>
      <c r="G2394" s="120"/>
      <c r="H2394" s="120"/>
      <c r="I2394" s="121"/>
      <c r="J2394" s="121"/>
      <c r="K2394" s="117"/>
    </row>
    <row r="2395" ht="15.75" customHeight="1">
      <c r="A2395" s="122"/>
      <c r="B2395" s="133"/>
      <c r="C2395" s="120"/>
      <c r="D2395" s="120"/>
      <c r="E2395" s="120"/>
      <c r="F2395" s="120"/>
      <c r="G2395" s="120"/>
      <c r="H2395" s="120"/>
      <c r="I2395" s="121"/>
      <c r="J2395" s="121"/>
      <c r="K2395" s="117"/>
    </row>
    <row r="2396" ht="15.75" customHeight="1">
      <c r="A2396" s="122"/>
      <c r="B2396" s="133"/>
      <c r="C2396" s="120"/>
      <c r="D2396" s="120"/>
      <c r="E2396" s="120"/>
      <c r="F2396" s="120"/>
      <c r="G2396" s="120"/>
      <c r="H2396" s="120"/>
      <c r="I2396" s="121"/>
      <c r="J2396" s="121"/>
      <c r="K2396" s="117"/>
    </row>
    <row r="2397" ht="15.75" customHeight="1">
      <c r="A2397" s="122"/>
      <c r="B2397" s="133"/>
      <c r="C2397" s="120"/>
      <c r="D2397" s="120"/>
      <c r="E2397" s="120"/>
      <c r="F2397" s="120"/>
      <c r="G2397" s="120"/>
      <c r="H2397" s="120"/>
      <c r="I2397" s="121"/>
      <c r="J2397" s="121"/>
      <c r="K2397" s="117"/>
    </row>
    <row r="2398" ht="15.75" customHeight="1">
      <c r="A2398" s="122"/>
      <c r="B2398" s="133"/>
      <c r="C2398" s="120"/>
      <c r="D2398" s="120"/>
      <c r="E2398" s="120"/>
      <c r="F2398" s="120"/>
      <c r="G2398" s="120"/>
      <c r="H2398" s="120"/>
      <c r="I2398" s="121"/>
      <c r="J2398" s="121"/>
      <c r="K2398" s="117"/>
    </row>
    <row r="2399" ht="15.75" customHeight="1">
      <c r="A2399" s="122"/>
      <c r="B2399" s="133"/>
      <c r="C2399" s="120"/>
      <c r="D2399" s="120"/>
      <c r="E2399" s="120"/>
      <c r="F2399" s="120"/>
      <c r="G2399" s="120"/>
      <c r="H2399" s="120"/>
      <c r="I2399" s="121"/>
      <c r="J2399" s="121"/>
      <c r="K2399" s="117"/>
    </row>
    <row r="2400" ht="15.75" customHeight="1">
      <c r="A2400" s="122"/>
      <c r="B2400" s="133"/>
      <c r="C2400" s="120"/>
      <c r="D2400" s="120"/>
      <c r="E2400" s="120"/>
      <c r="F2400" s="120"/>
      <c r="G2400" s="120"/>
      <c r="H2400" s="120"/>
      <c r="I2400" s="121"/>
      <c r="J2400" s="121"/>
      <c r="K2400" s="117"/>
    </row>
    <row r="2401" ht="15.75" customHeight="1">
      <c r="A2401" s="122"/>
      <c r="B2401" s="133"/>
      <c r="C2401" s="120"/>
      <c r="D2401" s="120"/>
      <c r="E2401" s="120"/>
      <c r="F2401" s="120"/>
      <c r="G2401" s="120"/>
      <c r="H2401" s="120"/>
      <c r="I2401" s="121"/>
      <c r="J2401" s="121"/>
      <c r="K2401" s="117"/>
    </row>
    <row r="2402" ht="15.75" customHeight="1">
      <c r="A2402" s="122"/>
      <c r="B2402" s="133"/>
      <c r="C2402" s="120"/>
      <c r="D2402" s="120"/>
      <c r="E2402" s="120"/>
      <c r="F2402" s="120"/>
      <c r="G2402" s="120"/>
      <c r="H2402" s="120"/>
      <c r="I2402" s="121"/>
      <c r="J2402" s="121"/>
      <c r="K2402" s="117"/>
    </row>
    <row r="2403" ht="15.75" customHeight="1">
      <c r="A2403" s="122"/>
      <c r="B2403" s="133"/>
      <c r="C2403" s="120"/>
      <c r="D2403" s="120"/>
      <c r="E2403" s="120"/>
      <c r="F2403" s="120"/>
      <c r="G2403" s="120"/>
      <c r="H2403" s="120"/>
      <c r="I2403" s="121"/>
      <c r="J2403" s="121"/>
      <c r="K2403" s="117"/>
    </row>
    <row r="2404" ht="15.75" customHeight="1">
      <c r="A2404" s="122"/>
      <c r="B2404" s="133"/>
      <c r="C2404" s="120"/>
      <c r="D2404" s="120"/>
      <c r="E2404" s="120"/>
      <c r="F2404" s="120"/>
      <c r="G2404" s="120"/>
      <c r="H2404" s="120"/>
      <c r="I2404" s="121"/>
      <c r="J2404" s="121"/>
      <c r="K2404" s="117"/>
    </row>
    <row r="2405" ht="15.75" customHeight="1">
      <c r="A2405" s="122"/>
      <c r="B2405" s="133"/>
      <c r="C2405" s="120"/>
      <c r="D2405" s="120"/>
      <c r="E2405" s="120"/>
      <c r="F2405" s="120"/>
      <c r="G2405" s="120"/>
      <c r="H2405" s="120"/>
      <c r="I2405" s="121"/>
      <c r="J2405" s="121"/>
      <c r="K2405" s="117"/>
    </row>
    <row r="2406" ht="15.75" customHeight="1">
      <c r="A2406" s="122"/>
      <c r="B2406" s="133"/>
      <c r="C2406" s="120"/>
      <c r="D2406" s="120"/>
      <c r="E2406" s="120"/>
      <c r="F2406" s="120"/>
      <c r="G2406" s="120"/>
      <c r="H2406" s="120"/>
      <c r="I2406" s="121"/>
      <c r="J2406" s="121"/>
      <c r="K2406" s="117"/>
    </row>
    <row r="2407" ht="15.75" customHeight="1">
      <c r="A2407" s="122"/>
      <c r="B2407" s="133"/>
      <c r="C2407" s="120"/>
      <c r="D2407" s="120"/>
      <c r="E2407" s="120"/>
      <c r="F2407" s="120"/>
      <c r="G2407" s="120"/>
      <c r="H2407" s="120"/>
      <c r="I2407" s="121"/>
      <c r="J2407" s="121"/>
      <c r="K2407" s="117"/>
    </row>
    <row r="2408" ht="15.75" customHeight="1">
      <c r="A2408" s="122"/>
      <c r="B2408" s="133"/>
      <c r="C2408" s="120"/>
      <c r="D2408" s="120"/>
      <c r="E2408" s="120"/>
      <c r="F2408" s="120"/>
      <c r="G2408" s="120"/>
      <c r="H2408" s="120"/>
      <c r="I2408" s="121"/>
      <c r="J2408" s="121"/>
      <c r="K2408" s="117"/>
    </row>
    <row r="2409" ht="15.75" customHeight="1">
      <c r="A2409" s="122"/>
      <c r="B2409" s="133"/>
      <c r="C2409" s="120"/>
      <c r="D2409" s="120"/>
      <c r="E2409" s="120"/>
      <c r="F2409" s="120"/>
      <c r="G2409" s="120"/>
      <c r="H2409" s="120"/>
      <c r="I2409" s="121"/>
      <c r="J2409" s="121"/>
      <c r="K2409" s="117"/>
    </row>
    <row r="2410" ht="15.75" customHeight="1">
      <c r="A2410" s="122"/>
      <c r="B2410" s="133"/>
      <c r="C2410" s="120"/>
      <c r="D2410" s="120"/>
      <c r="E2410" s="120"/>
      <c r="F2410" s="120"/>
      <c r="G2410" s="120"/>
      <c r="H2410" s="120"/>
      <c r="I2410" s="121"/>
      <c r="J2410" s="121"/>
      <c r="K2410" s="117"/>
    </row>
    <row r="2411" ht="15.75" customHeight="1">
      <c r="A2411" s="122"/>
      <c r="B2411" s="133"/>
      <c r="C2411" s="120"/>
      <c r="D2411" s="120"/>
      <c r="E2411" s="120"/>
      <c r="F2411" s="120"/>
      <c r="G2411" s="120"/>
      <c r="H2411" s="120"/>
      <c r="I2411" s="121"/>
      <c r="J2411" s="121"/>
      <c r="K2411" s="117"/>
    </row>
    <row r="2412" ht="15.75" customHeight="1">
      <c r="A2412" s="122"/>
      <c r="B2412" s="133"/>
      <c r="C2412" s="120"/>
      <c r="D2412" s="120"/>
      <c r="E2412" s="120"/>
      <c r="F2412" s="120"/>
      <c r="G2412" s="120"/>
      <c r="H2412" s="120"/>
      <c r="I2412" s="121"/>
      <c r="J2412" s="121"/>
      <c r="K2412" s="117"/>
    </row>
    <row r="2413" ht="15.75" customHeight="1">
      <c r="A2413" s="122"/>
      <c r="B2413" s="133"/>
      <c r="C2413" s="120"/>
      <c r="D2413" s="120"/>
      <c r="E2413" s="120"/>
      <c r="F2413" s="120"/>
      <c r="G2413" s="120"/>
      <c r="H2413" s="120"/>
      <c r="I2413" s="121"/>
      <c r="J2413" s="121"/>
      <c r="K2413" s="117"/>
    </row>
    <row r="2414" ht="15.75" customHeight="1">
      <c r="A2414" s="122"/>
      <c r="B2414" s="133"/>
      <c r="C2414" s="120"/>
      <c r="D2414" s="120"/>
      <c r="E2414" s="120"/>
      <c r="F2414" s="120"/>
      <c r="G2414" s="120"/>
      <c r="H2414" s="120"/>
      <c r="I2414" s="121"/>
      <c r="J2414" s="121"/>
      <c r="K2414" s="117"/>
    </row>
    <row r="2415" ht="15.75" customHeight="1">
      <c r="A2415" s="122"/>
      <c r="B2415" s="133"/>
      <c r="C2415" s="120"/>
      <c r="D2415" s="120"/>
      <c r="E2415" s="120"/>
      <c r="F2415" s="120"/>
      <c r="G2415" s="120"/>
      <c r="H2415" s="120"/>
      <c r="I2415" s="121"/>
      <c r="J2415" s="121"/>
      <c r="K2415" s="117"/>
    </row>
    <row r="2416" ht="15.75" customHeight="1">
      <c r="A2416" s="122"/>
      <c r="B2416" s="133"/>
      <c r="C2416" s="120"/>
      <c r="D2416" s="120"/>
      <c r="E2416" s="120"/>
      <c r="F2416" s="120"/>
      <c r="G2416" s="120"/>
      <c r="H2416" s="120"/>
      <c r="I2416" s="121"/>
      <c r="J2416" s="121"/>
      <c r="K2416" s="117"/>
    </row>
    <row r="2417" ht="15.75" customHeight="1">
      <c r="A2417" s="122"/>
      <c r="B2417" s="133"/>
      <c r="C2417" s="120"/>
      <c r="D2417" s="120"/>
      <c r="E2417" s="120"/>
      <c r="F2417" s="120"/>
      <c r="G2417" s="120"/>
      <c r="H2417" s="120"/>
      <c r="I2417" s="121"/>
      <c r="J2417" s="121"/>
      <c r="K2417" s="117"/>
    </row>
    <row r="2418" ht="15.75" customHeight="1">
      <c r="A2418" s="122"/>
      <c r="B2418" s="133"/>
      <c r="C2418" s="120"/>
      <c r="D2418" s="120"/>
      <c r="E2418" s="120"/>
      <c r="F2418" s="120"/>
      <c r="G2418" s="120"/>
      <c r="H2418" s="120"/>
      <c r="I2418" s="121"/>
      <c r="J2418" s="121"/>
      <c r="K2418" s="117"/>
    </row>
    <row r="2419" ht="15.75" customHeight="1">
      <c r="A2419" s="122"/>
      <c r="B2419" s="133"/>
      <c r="C2419" s="120"/>
      <c r="D2419" s="120"/>
      <c r="E2419" s="120"/>
      <c r="F2419" s="120"/>
      <c r="G2419" s="120"/>
      <c r="H2419" s="120"/>
      <c r="I2419" s="121"/>
      <c r="J2419" s="121"/>
      <c r="K2419" s="117"/>
    </row>
    <row r="2420" ht="15.75" customHeight="1">
      <c r="A2420" s="122"/>
      <c r="B2420" s="133"/>
      <c r="C2420" s="120"/>
      <c r="D2420" s="120"/>
      <c r="E2420" s="120"/>
      <c r="F2420" s="120"/>
      <c r="G2420" s="120"/>
      <c r="H2420" s="120"/>
      <c r="I2420" s="121"/>
      <c r="J2420" s="121"/>
      <c r="K2420" s="117"/>
    </row>
    <row r="2421" ht="15.75" customHeight="1">
      <c r="A2421" s="122"/>
      <c r="B2421" s="133"/>
      <c r="C2421" s="120"/>
      <c r="D2421" s="120"/>
      <c r="E2421" s="120"/>
      <c r="F2421" s="120"/>
      <c r="G2421" s="120"/>
      <c r="H2421" s="120"/>
      <c r="I2421" s="121"/>
      <c r="J2421" s="121"/>
      <c r="K2421" s="117"/>
    </row>
    <row r="2422" ht="15.75" customHeight="1">
      <c r="A2422" s="122"/>
      <c r="B2422" s="133"/>
      <c r="C2422" s="120"/>
      <c r="D2422" s="120"/>
      <c r="E2422" s="120"/>
      <c r="F2422" s="120"/>
      <c r="G2422" s="120"/>
      <c r="H2422" s="120"/>
      <c r="I2422" s="121"/>
      <c r="J2422" s="121"/>
      <c r="K2422" s="117"/>
    </row>
    <row r="2423" ht="15.75" customHeight="1">
      <c r="A2423" s="122"/>
      <c r="B2423" s="133"/>
      <c r="C2423" s="120"/>
      <c r="D2423" s="120"/>
      <c r="E2423" s="120"/>
      <c r="F2423" s="120"/>
      <c r="G2423" s="120"/>
      <c r="H2423" s="120"/>
      <c r="I2423" s="121"/>
      <c r="J2423" s="121"/>
      <c r="K2423" s="117"/>
    </row>
    <row r="2424" ht="15.75" customHeight="1">
      <c r="A2424" s="122"/>
      <c r="B2424" s="133"/>
      <c r="C2424" s="120"/>
      <c r="D2424" s="120"/>
      <c r="E2424" s="120"/>
      <c r="F2424" s="120"/>
      <c r="G2424" s="120"/>
      <c r="H2424" s="120"/>
      <c r="I2424" s="121"/>
      <c r="J2424" s="121"/>
      <c r="K2424" s="117"/>
    </row>
    <row r="2425" ht="15.75" customHeight="1">
      <c r="A2425" s="122"/>
      <c r="B2425" s="133"/>
      <c r="C2425" s="120"/>
      <c r="D2425" s="120"/>
      <c r="E2425" s="120"/>
      <c r="F2425" s="120"/>
      <c r="G2425" s="120"/>
      <c r="H2425" s="120"/>
      <c r="I2425" s="121"/>
      <c r="J2425" s="121"/>
      <c r="K2425" s="117"/>
    </row>
    <row r="2426" ht="15.75" customHeight="1">
      <c r="A2426" s="122"/>
      <c r="B2426" s="133"/>
      <c r="C2426" s="120"/>
      <c r="D2426" s="120"/>
      <c r="E2426" s="120"/>
      <c r="F2426" s="120"/>
      <c r="G2426" s="120"/>
      <c r="H2426" s="120"/>
      <c r="I2426" s="121"/>
      <c r="J2426" s="121"/>
      <c r="K2426" s="117"/>
    </row>
    <row r="2427" ht="15.75" customHeight="1">
      <c r="A2427" s="122"/>
      <c r="B2427" s="133"/>
      <c r="C2427" s="120"/>
      <c r="D2427" s="120"/>
      <c r="E2427" s="120"/>
      <c r="F2427" s="120"/>
      <c r="G2427" s="120"/>
      <c r="H2427" s="120"/>
      <c r="I2427" s="121"/>
      <c r="J2427" s="121"/>
      <c r="K2427" s="117"/>
    </row>
    <row r="2428" ht="15.75" customHeight="1">
      <c r="A2428" s="122"/>
      <c r="B2428" s="133"/>
      <c r="C2428" s="120"/>
      <c r="D2428" s="120"/>
      <c r="E2428" s="120"/>
      <c r="F2428" s="120"/>
      <c r="G2428" s="120"/>
      <c r="H2428" s="120"/>
      <c r="I2428" s="121"/>
      <c r="J2428" s="121"/>
      <c r="K2428" s="117"/>
    </row>
    <row r="2429" ht="15.75" customHeight="1">
      <c r="A2429" s="122"/>
      <c r="B2429" s="133"/>
      <c r="C2429" s="120"/>
      <c r="D2429" s="120"/>
      <c r="E2429" s="120"/>
      <c r="F2429" s="120"/>
      <c r="G2429" s="120"/>
      <c r="H2429" s="120"/>
      <c r="I2429" s="121"/>
      <c r="J2429" s="121"/>
      <c r="K2429" s="117"/>
    </row>
    <row r="2430" ht="15.75" customHeight="1">
      <c r="A2430" s="122"/>
      <c r="B2430" s="133"/>
      <c r="C2430" s="120"/>
      <c r="D2430" s="120"/>
      <c r="E2430" s="120"/>
      <c r="F2430" s="120"/>
      <c r="G2430" s="120"/>
      <c r="H2430" s="120"/>
      <c r="I2430" s="121"/>
      <c r="J2430" s="121"/>
      <c r="K2430" s="117"/>
    </row>
    <row r="2431" ht="15.75" customHeight="1">
      <c r="A2431" s="122"/>
      <c r="B2431" s="133"/>
      <c r="C2431" s="120"/>
      <c r="D2431" s="120"/>
      <c r="E2431" s="120"/>
      <c r="F2431" s="120"/>
      <c r="G2431" s="120"/>
      <c r="H2431" s="120"/>
      <c r="I2431" s="121"/>
      <c r="J2431" s="121"/>
      <c r="K2431" s="117"/>
    </row>
    <row r="2432" ht="15.75" customHeight="1">
      <c r="A2432" s="122"/>
      <c r="B2432" s="133"/>
      <c r="C2432" s="120"/>
      <c r="D2432" s="120"/>
      <c r="E2432" s="120"/>
      <c r="F2432" s="120"/>
      <c r="G2432" s="120"/>
      <c r="H2432" s="120"/>
      <c r="I2432" s="121"/>
      <c r="J2432" s="121"/>
      <c r="K2432" s="117"/>
    </row>
    <row r="2433" ht="15.75" customHeight="1">
      <c r="A2433" s="122"/>
      <c r="B2433" s="133"/>
      <c r="C2433" s="120"/>
      <c r="D2433" s="120"/>
      <c r="E2433" s="120"/>
      <c r="F2433" s="120"/>
      <c r="G2433" s="120"/>
      <c r="H2433" s="120"/>
      <c r="I2433" s="121"/>
      <c r="J2433" s="121"/>
      <c r="K2433" s="117"/>
    </row>
    <row r="2434" ht="15.75" customHeight="1">
      <c r="A2434" s="122"/>
      <c r="B2434" s="133"/>
      <c r="C2434" s="120"/>
      <c r="D2434" s="120"/>
      <c r="E2434" s="120"/>
      <c r="F2434" s="120"/>
      <c r="G2434" s="120"/>
      <c r="H2434" s="120"/>
      <c r="I2434" s="121"/>
      <c r="J2434" s="121"/>
      <c r="K2434" s="117"/>
    </row>
    <row r="2435" ht="15.75" customHeight="1">
      <c r="A2435" s="122"/>
      <c r="B2435" s="133"/>
      <c r="C2435" s="120"/>
      <c r="D2435" s="120"/>
      <c r="E2435" s="120"/>
      <c r="F2435" s="120"/>
      <c r="G2435" s="120"/>
      <c r="H2435" s="120"/>
      <c r="I2435" s="121"/>
      <c r="J2435" s="121"/>
      <c r="K2435" s="117"/>
    </row>
    <row r="2436" ht="15.75" customHeight="1">
      <c r="A2436" s="122"/>
      <c r="B2436" s="133"/>
      <c r="C2436" s="120"/>
      <c r="D2436" s="120"/>
      <c r="E2436" s="120"/>
      <c r="F2436" s="120"/>
      <c r="G2436" s="120"/>
      <c r="H2436" s="120"/>
      <c r="I2436" s="121"/>
      <c r="J2436" s="121"/>
      <c r="K2436" s="117"/>
    </row>
    <row r="2437" ht="15.75" customHeight="1">
      <c r="A2437" s="122"/>
      <c r="B2437" s="133"/>
      <c r="C2437" s="120"/>
      <c r="D2437" s="120"/>
      <c r="E2437" s="120"/>
      <c r="F2437" s="120"/>
      <c r="G2437" s="120"/>
      <c r="H2437" s="120"/>
      <c r="I2437" s="121"/>
      <c r="J2437" s="121"/>
      <c r="K2437" s="117"/>
    </row>
    <row r="2438" ht="15.75" customHeight="1">
      <c r="A2438" s="122"/>
      <c r="B2438" s="133"/>
      <c r="C2438" s="120"/>
      <c r="D2438" s="120"/>
      <c r="E2438" s="120"/>
      <c r="F2438" s="120"/>
      <c r="G2438" s="120"/>
      <c r="H2438" s="120"/>
      <c r="I2438" s="121"/>
      <c r="J2438" s="121"/>
      <c r="K2438" s="117"/>
    </row>
    <row r="2439" ht="15.75" customHeight="1">
      <c r="A2439" s="122"/>
      <c r="B2439" s="133"/>
      <c r="C2439" s="120"/>
      <c r="D2439" s="120"/>
      <c r="E2439" s="120"/>
      <c r="F2439" s="120"/>
      <c r="G2439" s="120"/>
      <c r="H2439" s="120"/>
      <c r="I2439" s="121"/>
      <c r="J2439" s="121"/>
      <c r="K2439" s="117"/>
    </row>
    <row r="2440" ht="15.75" customHeight="1">
      <c r="A2440" s="122"/>
      <c r="B2440" s="133"/>
      <c r="C2440" s="120"/>
      <c r="D2440" s="120"/>
      <c r="E2440" s="120"/>
      <c r="F2440" s="120"/>
      <c r="G2440" s="120"/>
      <c r="H2440" s="120"/>
      <c r="I2440" s="121"/>
      <c r="J2440" s="121"/>
      <c r="K2440" s="117"/>
    </row>
    <row r="2441" ht="15.75" customHeight="1">
      <c r="A2441" s="122"/>
      <c r="B2441" s="133"/>
      <c r="C2441" s="120"/>
      <c r="D2441" s="120"/>
      <c r="E2441" s="120"/>
      <c r="F2441" s="120"/>
      <c r="G2441" s="120"/>
      <c r="H2441" s="120"/>
      <c r="I2441" s="121"/>
      <c r="J2441" s="121"/>
      <c r="K2441" s="117"/>
    </row>
    <row r="2442" ht="15.75" customHeight="1">
      <c r="A2442" s="122"/>
      <c r="B2442" s="133"/>
      <c r="C2442" s="120"/>
      <c r="D2442" s="120"/>
      <c r="E2442" s="120"/>
      <c r="F2442" s="120"/>
      <c r="G2442" s="120"/>
      <c r="H2442" s="120"/>
      <c r="I2442" s="121"/>
      <c r="J2442" s="121"/>
      <c r="K2442" s="117"/>
    </row>
    <row r="2443" ht="15.75" customHeight="1">
      <c r="A2443" s="122"/>
      <c r="B2443" s="133"/>
      <c r="C2443" s="120"/>
      <c r="D2443" s="120"/>
      <c r="E2443" s="120"/>
      <c r="F2443" s="120"/>
      <c r="G2443" s="120"/>
      <c r="H2443" s="120"/>
      <c r="I2443" s="121"/>
      <c r="J2443" s="121"/>
      <c r="K2443" s="117"/>
    </row>
    <row r="2444" ht="15.75" customHeight="1">
      <c r="A2444" s="122"/>
      <c r="B2444" s="133"/>
      <c r="C2444" s="120"/>
      <c r="D2444" s="120"/>
      <c r="E2444" s="120"/>
      <c r="F2444" s="120"/>
      <c r="G2444" s="120"/>
      <c r="H2444" s="120"/>
      <c r="I2444" s="121"/>
      <c r="J2444" s="121"/>
      <c r="K2444" s="117"/>
    </row>
    <row r="2445" ht="15.75" customHeight="1">
      <c r="A2445" s="122"/>
      <c r="B2445" s="133"/>
      <c r="C2445" s="120"/>
      <c r="D2445" s="120"/>
      <c r="E2445" s="120"/>
      <c r="F2445" s="120"/>
      <c r="G2445" s="120"/>
      <c r="H2445" s="120"/>
      <c r="I2445" s="121"/>
      <c r="J2445" s="121"/>
      <c r="K2445" s="117"/>
    </row>
    <row r="2446" ht="15.75" customHeight="1">
      <c r="A2446" s="122"/>
      <c r="B2446" s="133"/>
      <c r="C2446" s="120"/>
      <c r="D2446" s="120"/>
      <c r="E2446" s="120"/>
      <c r="F2446" s="120"/>
      <c r="G2446" s="120"/>
      <c r="H2446" s="120"/>
      <c r="I2446" s="121"/>
      <c r="J2446" s="121"/>
      <c r="K2446" s="117"/>
    </row>
    <row r="2447" ht="15.75" customHeight="1">
      <c r="A2447" s="122"/>
      <c r="B2447" s="133"/>
      <c r="C2447" s="120"/>
      <c r="D2447" s="120"/>
      <c r="E2447" s="120"/>
      <c r="F2447" s="120"/>
      <c r="G2447" s="120"/>
      <c r="H2447" s="120"/>
      <c r="I2447" s="121"/>
      <c r="J2447" s="121"/>
      <c r="K2447" s="117"/>
    </row>
    <row r="2448" ht="15.75" customHeight="1">
      <c r="A2448" s="122"/>
      <c r="B2448" s="133"/>
      <c r="C2448" s="120"/>
      <c r="D2448" s="120"/>
      <c r="E2448" s="120"/>
      <c r="F2448" s="120"/>
      <c r="G2448" s="120"/>
      <c r="H2448" s="120"/>
      <c r="I2448" s="121"/>
      <c r="J2448" s="121"/>
      <c r="K2448" s="117"/>
    </row>
    <row r="2449" ht="15.75" customHeight="1">
      <c r="A2449" s="122"/>
      <c r="B2449" s="133"/>
      <c r="C2449" s="120"/>
      <c r="D2449" s="120"/>
      <c r="E2449" s="120"/>
      <c r="F2449" s="120"/>
      <c r="G2449" s="120"/>
      <c r="H2449" s="120"/>
      <c r="I2449" s="121"/>
      <c r="J2449" s="121"/>
      <c r="K2449" s="117"/>
    </row>
    <row r="2450" ht="15.75" customHeight="1">
      <c r="A2450" s="122"/>
      <c r="B2450" s="133"/>
      <c r="C2450" s="120"/>
      <c r="D2450" s="120"/>
      <c r="E2450" s="120"/>
      <c r="F2450" s="120"/>
      <c r="G2450" s="120"/>
      <c r="H2450" s="120"/>
      <c r="I2450" s="121"/>
      <c r="J2450" s="121"/>
      <c r="K2450" s="117"/>
    </row>
    <row r="2451" ht="15.75" customHeight="1">
      <c r="A2451" s="122"/>
      <c r="B2451" s="133"/>
      <c r="C2451" s="120"/>
      <c r="D2451" s="120"/>
      <c r="E2451" s="120"/>
      <c r="F2451" s="120"/>
      <c r="G2451" s="120"/>
      <c r="H2451" s="120"/>
      <c r="I2451" s="121"/>
      <c r="J2451" s="121"/>
      <c r="K2451" s="117"/>
    </row>
    <row r="2452" ht="15.75" customHeight="1">
      <c r="A2452" s="122"/>
      <c r="B2452" s="133"/>
      <c r="C2452" s="120"/>
      <c r="D2452" s="120"/>
      <c r="E2452" s="120"/>
      <c r="F2452" s="120"/>
      <c r="G2452" s="120"/>
      <c r="H2452" s="120"/>
      <c r="I2452" s="121"/>
      <c r="J2452" s="121"/>
      <c r="K2452" s="117"/>
    </row>
    <row r="2453" ht="15.75" customHeight="1">
      <c r="A2453" s="122"/>
      <c r="B2453" s="133"/>
      <c r="C2453" s="120"/>
      <c r="D2453" s="120"/>
      <c r="E2453" s="120"/>
      <c r="F2453" s="120"/>
      <c r="G2453" s="120"/>
      <c r="H2453" s="120"/>
      <c r="I2453" s="121"/>
      <c r="J2453" s="121"/>
      <c r="K2453" s="117"/>
    </row>
    <row r="2454" ht="15.75" customHeight="1">
      <c r="A2454" s="122"/>
      <c r="B2454" s="133"/>
      <c r="C2454" s="120"/>
      <c r="D2454" s="120"/>
      <c r="E2454" s="120"/>
      <c r="F2454" s="120"/>
      <c r="G2454" s="120"/>
      <c r="H2454" s="120"/>
      <c r="I2454" s="121"/>
      <c r="J2454" s="121"/>
      <c r="K2454" s="117"/>
    </row>
    <row r="2455" ht="15.75" customHeight="1">
      <c r="A2455" s="122"/>
      <c r="B2455" s="133"/>
      <c r="C2455" s="120"/>
      <c r="D2455" s="120"/>
      <c r="E2455" s="120"/>
      <c r="F2455" s="120"/>
      <c r="G2455" s="120"/>
      <c r="H2455" s="120"/>
      <c r="I2455" s="121"/>
      <c r="J2455" s="121"/>
      <c r="K2455" s="117"/>
    </row>
    <row r="2456" ht="15.75" customHeight="1">
      <c r="A2456" s="122"/>
      <c r="B2456" s="133"/>
      <c r="C2456" s="120"/>
      <c r="D2456" s="120"/>
      <c r="E2456" s="120"/>
      <c r="F2456" s="120"/>
      <c r="G2456" s="120"/>
      <c r="H2456" s="120"/>
      <c r="I2456" s="121"/>
      <c r="J2456" s="121"/>
      <c r="K2456" s="117"/>
    </row>
    <row r="2457" ht="15.75" customHeight="1">
      <c r="A2457" s="122"/>
      <c r="B2457" s="133"/>
      <c r="C2457" s="120"/>
      <c r="D2457" s="120"/>
      <c r="E2457" s="120"/>
      <c r="F2457" s="120"/>
      <c r="G2457" s="120"/>
      <c r="H2457" s="120"/>
      <c r="I2457" s="121"/>
      <c r="J2457" s="121"/>
      <c r="K2457" s="117"/>
    </row>
    <row r="2458" ht="15.75" customHeight="1">
      <c r="A2458" s="122"/>
      <c r="B2458" s="133"/>
      <c r="C2458" s="120"/>
      <c r="D2458" s="120"/>
      <c r="E2458" s="120"/>
      <c r="F2458" s="120"/>
      <c r="G2458" s="120"/>
      <c r="H2458" s="120"/>
      <c r="I2458" s="121"/>
      <c r="J2458" s="121"/>
      <c r="K2458" s="117"/>
    </row>
    <row r="2459" ht="15.75" customHeight="1">
      <c r="A2459" s="122"/>
      <c r="B2459" s="133"/>
      <c r="C2459" s="120"/>
      <c r="D2459" s="120"/>
      <c r="E2459" s="120"/>
      <c r="F2459" s="120"/>
      <c r="G2459" s="120"/>
      <c r="H2459" s="120"/>
      <c r="I2459" s="121"/>
      <c r="J2459" s="121"/>
      <c r="K2459" s="117"/>
    </row>
    <row r="2460" ht="15.75" customHeight="1">
      <c r="A2460" s="122"/>
      <c r="B2460" s="133"/>
      <c r="C2460" s="120"/>
      <c r="D2460" s="120"/>
      <c r="E2460" s="120"/>
      <c r="F2460" s="120"/>
      <c r="G2460" s="120"/>
      <c r="H2460" s="120"/>
      <c r="I2460" s="121"/>
      <c r="J2460" s="121"/>
      <c r="K2460" s="117"/>
    </row>
    <row r="2461" ht="15.75" customHeight="1">
      <c r="A2461" s="122"/>
      <c r="B2461" s="133"/>
      <c r="C2461" s="120"/>
      <c r="D2461" s="120"/>
      <c r="E2461" s="120"/>
      <c r="F2461" s="120"/>
      <c r="G2461" s="120"/>
      <c r="H2461" s="120"/>
      <c r="I2461" s="121"/>
      <c r="J2461" s="121"/>
      <c r="K2461" s="117"/>
    </row>
    <row r="2462" ht="15.75" customHeight="1">
      <c r="A2462" s="122"/>
      <c r="B2462" s="133"/>
      <c r="C2462" s="120"/>
      <c r="D2462" s="120"/>
      <c r="E2462" s="120"/>
      <c r="F2462" s="120"/>
      <c r="G2462" s="120"/>
      <c r="H2462" s="120"/>
      <c r="I2462" s="121"/>
      <c r="J2462" s="121"/>
      <c r="K2462" s="117"/>
    </row>
    <row r="2463" ht="15.75" customHeight="1">
      <c r="A2463" s="122"/>
      <c r="B2463" s="133"/>
      <c r="C2463" s="120"/>
      <c r="D2463" s="120"/>
      <c r="E2463" s="120"/>
      <c r="F2463" s="120"/>
      <c r="G2463" s="120"/>
      <c r="H2463" s="120"/>
      <c r="I2463" s="121"/>
      <c r="J2463" s="121"/>
      <c r="K2463" s="117"/>
    </row>
    <row r="2464" ht="15.75" customHeight="1">
      <c r="A2464" s="122"/>
      <c r="B2464" s="133"/>
      <c r="C2464" s="120"/>
      <c r="D2464" s="120"/>
      <c r="E2464" s="120"/>
      <c r="F2464" s="120"/>
      <c r="G2464" s="120"/>
      <c r="H2464" s="120"/>
      <c r="I2464" s="121"/>
      <c r="J2464" s="121"/>
      <c r="K2464" s="117"/>
    </row>
    <row r="2465" ht="15.75" customHeight="1">
      <c r="A2465" s="122"/>
      <c r="B2465" s="133"/>
      <c r="C2465" s="120"/>
      <c r="D2465" s="120"/>
      <c r="E2465" s="120"/>
      <c r="F2465" s="120"/>
      <c r="G2465" s="120"/>
      <c r="H2465" s="120"/>
      <c r="I2465" s="121"/>
      <c r="J2465" s="121"/>
      <c r="K2465" s="117"/>
    </row>
    <row r="2466" ht="15.75" customHeight="1">
      <c r="A2466" s="122"/>
      <c r="B2466" s="133"/>
      <c r="C2466" s="120"/>
      <c r="D2466" s="120"/>
      <c r="E2466" s="120"/>
      <c r="F2466" s="120"/>
      <c r="G2466" s="120"/>
      <c r="H2466" s="120"/>
      <c r="I2466" s="121"/>
      <c r="J2466" s="121"/>
      <c r="K2466" s="117"/>
    </row>
    <row r="2467" ht="15.75" customHeight="1">
      <c r="A2467" s="122"/>
      <c r="B2467" s="133"/>
      <c r="C2467" s="120"/>
      <c r="D2467" s="120"/>
      <c r="E2467" s="120"/>
      <c r="F2467" s="120"/>
      <c r="G2467" s="120"/>
      <c r="H2467" s="120"/>
      <c r="I2467" s="121"/>
      <c r="J2467" s="121"/>
      <c r="K2467" s="117"/>
    </row>
    <row r="2468" ht="15.75" customHeight="1">
      <c r="A2468" s="122"/>
      <c r="B2468" s="133"/>
      <c r="C2468" s="120"/>
      <c r="D2468" s="120"/>
      <c r="E2468" s="120"/>
      <c r="F2468" s="120"/>
      <c r="G2468" s="120"/>
      <c r="H2468" s="120"/>
      <c r="I2468" s="121"/>
      <c r="J2468" s="121"/>
      <c r="K2468" s="117"/>
    </row>
    <row r="2469" ht="15.75" customHeight="1">
      <c r="A2469" s="122"/>
      <c r="B2469" s="133"/>
      <c r="C2469" s="120"/>
      <c r="D2469" s="120"/>
      <c r="E2469" s="120"/>
      <c r="F2469" s="120"/>
      <c r="G2469" s="120"/>
      <c r="H2469" s="120"/>
      <c r="I2469" s="121"/>
      <c r="J2469" s="121"/>
      <c r="K2469" s="117"/>
    </row>
    <row r="2470" ht="15.75" customHeight="1">
      <c r="A2470" s="122"/>
      <c r="B2470" s="133"/>
      <c r="C2470" s="120"/>
      <c r="D2470" s="120"/>
      <c r="E2470" s="120"/>
      <c r="F2470" s="120"/>
      <c r="G2470" s="120"/>
      <c r="H2470" s="120"/>
      <c r="I2470" s="121"/>
      <c r="J2470" s="121"/>
      <c r="K2470" s="117"/>
    </row>
    <row r="2471" ht="15.75" customHeight="1">
      <c r="A2471" s="122"/>
      <c r="B2471" s="133"/>
      <c r="C2471" s="120"/>
      <c r="D2471" s="120"/>
      <c r="E2471" s="120"/>
      <c r="F2471" s="120"/>
      <c r="G2471" s="120"/>
      <c r="H2471" s="120"/>
      <c r="I2471" s="121"/>
      <c r="J2471" s="121"/>
      <c r="K2471" s="117"/>
    </row>
    <row r="2472" ht="15.75" customHeight="1">
      <c r="A2472" s="122"/>
      <c r="B2472" s="133"/>
      <c r="C2472" s="120"/>
      <c r="D2472" s="120"/>
      <c r="E2472" s="120"/>
      <c r="F2472" s="120"/>
      <c r="G2472" s="120"/>
      <c r="H2472" s="120"/>
      <c r="I2472" s="121"/>
      <c r="J2472" s="121"/>
      <c r="K2472" s="117"/>
    </row>
    <row r="2473" ht="15.75" customHeight="1">
      <c r="A2473" s="122"/>
      <c r="B2473" s="133"/>
      <c r="C2473" s="120"/>
      <c r="D2473" s="120"/>
      <c r="E2473" s="120"/>
      <c r="F2473" s="120"/>
      <c r="G2473" s="120"/>
      <c r="H2473" s="120"/>
      <c r="I2473" s="121"/>
      <c r="J2473" s="121"/>
      <c r="K2473" s="117"/>
    </row>
    <row r="2474" ht="15.75" customHeight="1">
      <c r="A2474" s="122"/>
      <c r="B2474" s="133"/>
      <c r="C2474" s="120"/>
      <c r="D2474" s="120"/>
      <c r="E2474" s="120"/>
      <c r="F2474" s="120"/>
      <c r="G2474" s="120"/>
      <c r="H2474" s="120"/>
      <c r="I2474" s="121"/>
      <c r="J2474" s="121"/>
      <c r="K2474" s="117"/>
    </row>
    <row r="2475" ht="15.75" customHeight="1">
      <c r="A2475" s="122"/>
      <c r="B2475" s="133"/>
      <c r="C2475" s="120"/>
      <c r="D2475" s="120"/>
      <c r="E2475" s="120"/>
      <c r="F2475" s="120"/>
      <c r="G2475" s="120"/>
      <c r="H2475" s="120"/>
      <c r="I2475" s="121"/>
      <c r="J2475" s="121"/>
      <c r="K2475" s="117"/>
    </row>
    <row r="2476" ht="15.75" customHeight="1">
      <c r="A2476" s="122"/>
      <c r="B2476" s="133"/>
      <c r="C2476" s="120"/>
      <c r="D2476" s="120"/>
      <c r="E2476" s="120"/>
      <c r="F2476" s="120"/>
      <c r="G2476" s="120"/>
      <c r="H2476" s="120"/>
      <c r="I2476" s="121"/>
      <c r="J2476" s="121"/>
      <c r="K2476" s="117"/>
    </row>
    <row r="2477" ht="15.75" customHeight="1">
      <c r="A2477" s="122"/>
      <c r="B2477" s="133"/>
      <c r="C2477" s="120"/>
      <c r="D2477" s="120"/>
      <c r="E2477" s="120"/>
      <c r="F2477" s="120"/>
      <c r="G2477" s="120"/>
      <c r="H2477" s="120"/>
      <c r="I2477" s="121"/>
      <c r="J2477" s="121"/>
      <c r="K2477" s="117"/>
    </row>
    <row r="2478" ht="15.75" customHeight="1">
      <c r="A2478" s="122"/>
      <c r="B2478" s="133"/>
      <c r="C2478" s="120"/>
      <c r="D2478" s="120"/>
      <c r="E2478" s="120"/>
      <c r="F2478" s="120"/>
      <c r="G2478" s="120"/>
      <c r="H2478" s="120"/>
      <c r="I2478" s="121"/>
      <c r="J2478" s="121"/>
      <c r="K2478" s="117"/>
    </row>
    <row r="2479" ht="15.75" customHeight="1">
      <c r="A2479" s="122"/>
      <c r="B2479" s="133"/>
      <c r="C2479" s="120"/>
      <c r="D2479" s="120"/>
      <c r="E2479" s="120"/>
      <c r="F2479" s="120"/>
      <c r="G2479" s="120"/>
      <c r="H2479" s="120"/>
      <c r="I2479" s="121"/>
      <c r="J2479" s="121"/>
      <c r="K2479" s="117"/>
    </row>
    <row r="2480" ht="15.75" customHeight="1">
      <c r="A2480" s="122"/>
      <c r="B2480" s="133"/>
      <c r="C2480" s="120"/>
      <c r="D2480" s="120"/>
      <c r="E2480" s="120"/>
      <c r="F2480" s="120"/>
      <c r="G2480" s="120"/>
      <c r="H2480" s="120"/>
      <c r="I2480" s="121"/>
      <c r="J2480" s="121"/>
      <c r="K2480" s="117"/>
    </row>
    <row r="2481" ht="15.75" customHeight="1">
      <c r="A2481" s="122"/>
      <c r="B2481" s="133"/>
      <c r="C2481" s="120"/>
      <c r="D2481" s="120"/>
      <c r="E2481" s="120"/>
      <c r="F2481" s="120"/>
      <c r="G2481" s="120"/>
      <c r="H2481" s="120"/>
      <c r="I2481" s="121"/>
      <c r="J2481" s="121"/>
      <c r="K2481" s="117"/>
    </row>
    <row r="2482" ht="15.75" customHeight="1">
      <c r="A2482" s="122"/>
      <c r="B2482" s="133"/>
      <c r="C2482" s="120"/>
      <c r="D2482" s="120"/>
      <c r="E2482" s="120"/>
      <c r="F2482" s="120"/>
      <c r="G2482" s="120"/>
      <c r="H2482" s="120"/>
      <c r="I2482" s="121"/>
      <c r="J2482" s="121"/>
      <c r="K2482" s="117"/>
    </row>
    <row r="2483" ht="15.75" customHeight="1">
      <c r="A2483" s="122"/>
      <c r="B2483" s="133"/>
      <c r="C2483" s="120"/>
      <c r="D2483" s="120"/>
      <c r="E2483" s="120"/>
      <c r="F2483" s="120"/>
      <c r="G2483" s="120"/>
      <c r="H2483" s="120"/>
      <c r="I2483" s="121"/>
      <c r="J2483" s="121"/>
      <c r="K2483" s="117"/>
    </row>
    <row r="2484" ht="15.75" customHeight="1">
      <c r="A2484" s="122"/>
      <c r="B2484" s="133"/>
      <c r="C2484" s="120"/>
      <c r="D2484" s="120"/>
      <c r="E2484" s="120"/>
      <c r="F2484" s="120"/>
      <c r="G2484" s="120"/>
      <c r="H2484" s="120"/>
      <c r="I2484" s="121"/>
      <c r="J2484" s="121"/>
      <c r="K2484" s="117"/>
    </row>
    <row r="2485" ht="15.75" customHeight="1">
      <c r="A2485" s="122"/>
      <c r="B2485" s="133"/>
      <c r="C2485" s="120"/>
      <c r="D2485" s="120"/>
      <c r="E2485" s="120"/>
      <c r="F2485" s="120"/>
      <c r="G2485" s="120"/>
      <c r="H2485" s="120"/>
      <c r="I2485" s="121"/>
      <c r="J2485" s="121"/>
      <c r="K2485" s="117"/>
    </row>
    <row r="2486" ht="15.75" customHeight="1">
      <c r="A2486" s="122"/>
      <c r="B2486" s="133"/>
      <c r="C2486" s="120"/>
      <c r="D2486" s="120"/>
      <c r="E2486" s="120"/>
      <c r="F2486" s="120"/>
      <c r="G2486" s="120"/>
      <c r="H2486" s="120"/>
      <c r="I2486" s="121"/>
      <c r="J2486" s="121"/>
      <c r="K2486" s="117"/>
    </row>
    <row r="2487" ht="15.75" customHeight="1">
      <c r="A2487" s="122"/>
      <c r="B2487" s="133"/>
      <c r="C2487" s="120"/>
      <c r="D2487" s="120"/>
      <c r="E2487" s="120"/>
      <c r="F2487" s="120"/>
      <c r="G2487" s="120"/>
      <c r="H2487" s="120"/>
      <c r="I2487" s="121"/>
      <c r="J2487" s="121"/>
      <c r="K2487" s="117"/>
    </row>
    <row r="2488" ht="15.75" customHeight="1">
      <c r="A2488" s="122"/>
      <c r="B2488" s="133"/>
      <c r="C2488" s="120"/>
      <c r="D2488" s="120"/>
      <c r="E2488" s="120"/>
      <c r="F2488" s="120"/>
      <c r="G2488" s="120"/>
      <c r="H2488" s="120"/>
      <c r="I2488" s="121"/>
      <c r="J2488" s="121"/>
      <c r="K2488" s="117"/>
    </row>
    <row r="2489" ht="15.75" customHeight="1">
      <c r="A2489" s="122"/>
      <c r="B2489" s="133"/>
      <c r="C2489" s="120"/>
      <c r="D2489" s="120"/>
      <c r="E2489" s="120"/>
      <c r="F2489" s="120"/>
      <c r="G2489" s="120"/>
      <c r="H2489" s="120"/>
      <c r="I2489" s="121"/>
      <c r="J2489" s="121"/>
      <c r="K2489" s="117"/>
    </row>
    <row r="2490" ht="15.75" customHeight="1">
      <c r="A2490" s="122"/>
      <c r="B2490" s="133"/>
      <c r="C2490" s="120"/>
      <c r="D2490" s="120"/>
      <c r="E2490" s="120"/>
      <c r="F2490" s="120"/>
      <c r="G2490" s="120"/>
      <c r="H2490" s="120"/>
      <c r="I2490" s="121"/>
      <c r="J2490" s="121"/>
      <c r="K2490" s="117"/>
    </row>
    <row r="2491" ht="15.75" customHeight="1">
      <c r="A2491" s="122"/>
      <c r="B2491" s="133"/>
      <c r="C2491" s="120"/>
      <c r="D2491" s="120"/>
      <c r="E2491" s="120"/>
      <c r="F2491" s="120"/>
      <c r="G2491" s="120"/>
      <c r="H2491" s="120"/>
      <c r="I2491" s="121"/>
      <c r="J2491" s="121"/>
      <c r="K2491" s="117"/>
    </row>
    <row r="2492" ht="15.75" customHeight="1">
      <c r="A2492" s="122"/>
      <c r="B2492" s="133"/>
      <c r="C2492" s="120"/>
      <c r="D2492" s="120"/>
      <c r="E2492" s="120"/>
      <c r="F2492" s="120"/>
      <c r="G2492" s="120"/>
      <c r="H2492" s="120"/>
      <c r="I2492" s="121"/>
      <c r="J2492" s="121"/>
      <c r="K2492" s="117"/>
    </row>
    <row r="2493" ht="15.75" customHeight="1">
      <c r="A2493" s="122"/>
      <c r="B2493" s="133"/>
      <c r="C2493" s="120"/>
      <c r="D2493" s="120"/>
      <c r="E2493" s="120"/>
      <c r="F2493" s="120"/>
      <c r="G2493" s="120"/>
      <c r="H2493" s="120"/>
      <c r="I2493" s="121"/>
      <c r="J2493" s="121"/>
      <c r="K2493" s="117"/>
    </row>
    <row r="2494" ht="15.75" customHeight="1">
      <c r="A2494" s="122"/>
      <c r="B2494" s="133"/>
      <c r="C2494" s="120"/>
      <c r="D2494" s="120"/>
      <c r="E2494" s="120"/>
      <c r="F2494" s="120"/>
      <c r="G2494" s="120"/>
      <c r="H2494" s="120"/>
      <c r="I2494" s="121"/>
      <c r="J2494" s="121"/>
      <c r="K2494" s="117"/>
    </row>
    <row r="2495" ht="15.75" customHeight="1">
      <c r="A2495" s="122"/>
      <c r="B2495" s="133"/>
      <c r="C2495" s="120"/>
      <c r="D2495" s="120"/>
      <c r="E2495" s="120"/>
      <c r="F2495" s="120"/>
      <c r="G2495" s="120"/>
      <c r="H2495" s="120"/>
      <c r="I2495" s="121"/>
      <c r="J2495" s="121"/>
      <c r="K2495" s="117"/>
    </row>
    <row r="2496" ht="15.75" customHeight="1">
      <c r="A2496" s="122"/>
      <c r="B2496" s="133"/>
      <c r="C2496" s="120"/>
      <c r="D2496" s="120"/>
      <c r="E2496" s="120"/>
      <c r="F2496" s="120"/>
      <c r="G2496" s="120"/>
      <c r="H2496" s="120"/>
      <c r="I2496" s="121"/>
      <c r="J2496" s="121"/>
      <c r="K2496" s="117"/>
    </row>
    <row r="2497" ht="15.75" customHeight="1">
      <c r="A2497" s="122"/>
      <c r="B2497" s="133"/>
      <c r="C2497" s="120"/>
      <c r="D2497" s="120"/>
      <c r="E2497" s="120"/>
      <c r="F2497" s="120"/>
      <c r="G2497" s="120"/>
      <c r="H2497" s="120"/>
      <c r="I2497" s="121"/>
      <c r="J2497" s="121"/>
      <c r="K2497" s="117"/>
    </row>
    <row r="2498" ht="15.75" customHeight="1">
      <c r="A2498" s="122"/>
      <c r="B2498" s="133"/>
      <c r="C2498" s="120"/>
      <c r="D2498" s="120"/>
      <c r="E2498" s="120"/>
      <c r="F2498" s="120"/>
      <c r="G2498" s="120"/>
      <c r="H2498" s="120"/>
      <c r="I2498" s="121"/>
      <c r="J2498" s="121"/>
      <c r="K2498" s="117"/>
    </row>
    <row r="2499" ht="15.75" customHeight="1">
      <c r="A2499" s="122"/>
      <c r="B2499" s="133"/>
      <c r="C2499" s="120"/>
      <c r="D2499" s="120"/>
      <c r="E2499" s="120"/>
      <c r="F2499" s="120"/>
      <c r="G2499" s="120"/>
      <c r="H2499" s="120"/>
      <c r="I2499" s="121"/>
      <c r="J2499" s="121"/>
      <c r="K2499" s="117"/>
    </row>
    <row r="2500" ht="15.75" customHeight="1">
      <c r="A2500" s="122"/>
      <c r="B2500" s="133"/>
      <c r="C2500" s="120"/>
      <c r="D2500" s="120"/>
      <c r="E2500" s="120"/>
      <c r="F2500" s="120"/>
      <c r="G2500" s="120"/>
      <c r="H2500" s="120"/>
      <c r="I2500" s="121"/>
      <c r="J2500" s="121"/>
      <c r="K2500" s="117"/>
    </row>
    <row r="2501" ht="15.75" customHeight="1">
      <c r="A2501" s="122"/>
      <c r="B2501" s="133"/>
      <c r="C2501" s="120"/>
      <c r="D2501" s="120"/>
      <c r="E2501" s="120"/>
      <c r="F2501" s="120"/>
      <c r="G2501" s="120"/>
      <c r="H2501" s="120"/>
      <c r="I2501" s="121"/>
      <c r="J2501" s="121"/>
      <c r="K2501" s="117"/>
    </row>
    <row r="2502" ht="15.75" customHeight="1">
      <c r="A2502" s="122"/>
      <c r="B2502" s="133"/>
      <c r="C2502" s="120"/>
      <c r="D2502" s="120"/>
      <c r="E2502" s="120"/>
      <c r="F2502" s="120"/>
      <c r="G2502" s="120"/>
      <c r="H2502" s="120"/>
      <c r="I2502" s="121"/>
      <c r="J2502" s="121"/>
      <c r="K2502" s="117"/>
    </row>
    <row r="2503" ht="15.75" customHeight="1">
      <c r="A2503" s="122"/>
      <c r="B2503" s="133"/>
      <c r="C2503" s="120"/>
      <c r="D2503" s="120"/>
      <c r="E2503" s="120"/>
      <c r="F2503" s="120"/>
      <c r="G2503" s="120"/>
      <c r="H2503" s="120"/>
      <c r="I2503" s="121"/>
      <c r="J2503" s="121"/>
      <c r="K2503" s="117"/>
    </row>
    <row r="2504" ht="15.75" customHeight="1">
      <c r="A2504" s="122"/>
      <c r="B2504" s="133"/>
      <c r="C2504" s="120"/>
      <c r="D2504" s="120"/>
      <c r="E2504" s="120"/>
      <c r="F2504" s="120"/>
      <c r="G2504" s="120"/>
      <c r="H2504" s="120"/>
      <c r="I2504" s="121"/>
      <c r="J2504" s="121"/>
      <c r="K2504" s="117"/>
    </row>
    <row r="2505" ht="15.75" customHeight="1">
      <c r="A2505" s="122"/>
      <c r="B2505" s="133"/>
      <c r="C2505" s="120"/>
      <c r="D2505" s="120"/>
      <c r="E2505" s="120"/>
      <c r="F2505" s="120"/>
      <c r="G2505" s="120"/>
      <c r="H2505" s="120"/>
      <c r="I2505" s="121"/>
      <c r="J2505" s="121"/>
      <c r="K2505" s="117"/>
    </row>
    <row r="2506" ht="15.75" customHeight="1">
      <c r="A2506" s="122"/>
      <c r="B2506" s="133"/>
      <c r="C2506" s="120"/>
      <c r="D2506" s="120"/>
      <c r="E2506" s="120"/>
      <c r="F2506" s="120"/>
      <c r="G2506" s="120"/>
      <c r="H2506" s="120"/>
      <c r="I2506" s="121"/>
      <c r="J2506" s="121"/>
      <c r="K2506" s="117"/>
    </row>
    <row r="2507" ht="15.75" customHeight="1">
      <c r="A2507" s="122"/>
      <c r="B2507" s="133"/>
      <c r="C2507" s="120"/>
      <c r="D2507" s="120"/>
      <c r="E2507" s="120"/>
      <c r="F2507" s="120"/>
      <c r="G2507" s="120"/>
      <c r="H2507" s="120"/>
      <c r="I2507" s="121"/>
      <c r="J2507" s="121"/>
      <c r="K2507" s="117"/>
    </row>
    <row r="2508" ht="15.75" customHeight="1">
      <c r="A2508" s="122"/>
      <c r="B2508" s="133"/>
      <c r="C2508" s="120"/>
      <c r="D2508" s="120"/>
      <c r="E2508" s="120"/>
      <c r="F2508" s="120"/>
      <c r="G2508" s="120"/>
      <c r="H2508" s="120"/>
      <c r="I2508" s="121"/>
      <c r="J2508" s="121"/>
      <c r="K2508" s="117"/>
    </row>
    <row r="2509" ht="15.75" customHeight="1">
      <c r="A2509" s="122"/>
      <c r="B2509" s="133"/>
      <c r="C2509" s="120"/>
      <c r="D2509" s="120"/>
      <c r="E2509" s="120"/>
      <c r="F2509" s="120"/>
      <c r="G2509" s="120"/>
      <c r="H2509" s="120"/>
      <c r="I2509" s="121"/>
      <c r="J2509" s="121"/>
      <c r="K2509" s="117"/>
    </row>
    <row r="2510" ht="15.75" customHeight="1">
      <c r="A2510" s="122"/>
      <c r="B2510" s="133"/>
      <c r="C2510" s="120"/>
      <c r="D2510" s="120"/>
      <c r="E2510" s="120"/>
      <c r="F2510" s="120"/>
      <c r="G2510" s="120"/>
      <c r="H2510" s="120"/>
      <c r="I2510" s="121"/>
      <c r="J2510" s="121"/>
      <c r="K2510" s="117"/>
    </row>
    <row r="2511" ht="15.75" customHeight="1">
      <c r="A2511" s="122"/>
      <c r="B2511" s="133"/>
      <c r="C2511" s="120"/>
      <c r="D2511" s="120"/>
      <c r="E2511" s="120"/>
      <c r="F2511" s="120"/>
      <c r="G2511" s="120"/>
      <c r="H2511" s="120"/>
      <c r="I2511" s="121"/>
      <c r="J2511" s="121"/>
      <c r="K2511" s="117"/>
    </row>
    <row r="2512" ht="15.75" customHeight="1">
      <c r="A2512" s="122"/>
      <c r="B2512" s="133"/>
      <c r="C2512" s="120"/>
      <c r="D2512" s="120"/>
      <c r="E2512" s="120"/>
      <c r="F2512" s="120"/>
      <c r="G2512" s="120"/>
      <c r="H2512" s="120"/>
      <c r="I2512" s="121"/>
      <c r="J2512" s="121"/>
      <c r="K2512" s="117"/>
    </row>
    <row r="2513" ht="15.75" customHeight="1">
      <c r="A2513" s="122"/>
      <c r="B2513" s="133"/>
      <c r="C2513" s="120"/>
      <c r="D2513" s="120"/>
      <c r="E2513" s="120"/>
      <c r="F2513" s="120"/>
      <c r="G2513" s="120"/>
      <c r="H2513" s="120"/>
      <c r="I2513" s="121"/>
      <c r="J2513" s="121"/>
      <c r="K2513" s="117"/>
    </row>
    <row r="2514" ht="15.75" customHeight="1">
      <c r="A2514" s="122"/>
      <c r="B2514" s="133"/>
      <c r="C2514" s="120"/>
      <c r="D2514" s="120"/>
      <c r="E2514" s="120"/>
      <c r="F2514" s="120"/>
      <c r="G2514" s="120"/>
      <c r="H2514" s="120"/>
      <c r="I2514" s="121"/>
      <c r="J2514" s="121"/>
      <c r="K2514" s="117"/>
    </row>
    <row r="2515" ht="15.75" customHeight="1">
      <c r="A2515" s="122"/>
      <c r="B2515" s="133"/>
      <c r="C2515" s="120"/>
      <c r="D2515" s="120"/>
      <c r="E2515" s="120"/>
      <c r="F2515" s="120"/>
      <c r="G2515" s="120"/>
      <c r="H2515" s="120"/>
      <c r="I2515" s="121"/>
      <c r="J2515" s="121"/>
      <c r="K2515" s="117"/>
    </row>
    <row r="2516" ht="15.75" customHeight="1">
      <c r="A2516" s="122"/>
      <c r="B2516" s="133"/>
      <c r="C2516" s="120"/>
      <c r="D2516" s="120"/>
      <c r="E2516" s="120"/>
      <c r="F2516" s="120"/>
      <c r="G2516" s="120"/>
      <c r="H2516" s="120"/>
      <c r="I2516" s="121"/>
      <c r="J2516" s="121"/>
      <c r="K2516" s="117"/>
    </row>
    <row r="2517" ht="15.75" customHeight="1">
      <c r="A2517" s="122"/>
      <c r="B2517" s="133"/>
      <c r="C2517" s="120"/>
      <c r="D2517" s="120"/>
      <c r="E2517" s="120"/>
      <c r="F2517" s="120"/>
      <c r="G2517" s="120"/>
      <c r="H2517" s="120"/>
      <c r="I2517" s="121"/>
      <c r="J2517" s="121"/>
      <c r="K2517" s="117"/>
    </row>
    <row r="2518" ht="15.75" customHeight="1">
      <c r="A2518" s="122"/>
      <c r="B2518" s="133"/>
      <c r="C2518" s="120"/>
      <c r="D2518" s="120"/>
      <c r="E2518" s="120"/>
      <c r="F2518" s="120"/>
      <c r="G2518" s="120"/>
      <c r="H2518" s="120"/>
      <c r="I2518" s="121"/>
      <c r="J2518" s="121"/>
      <c r="K2518" s="117"/>
    </row>
    <row r="2519" ht="15.75" customHeight="1">
      <c r="A2519" s="122"/>
      <c r="B2519" s="133"/>
      <c r="C2519" s="120"/>
      <c r="D2519" s="120"/>
      <c r="E2519" s="120"/>
      <c r="F2519" s="120"/>
      <c r="G2519" s="120"/>
      <c r="H2519" s="120"/>
      <c r="I2519" s="121"/>
      <c r="J2519" s="121"/>
      <c r="K2519" s="117"/>
    </row>
    <row r="2520" ht="15.75" customHeight="1">
      <c r="A2520" s="122"/>
      <c r="B2520" s="133"/>
      <c r="C2520" s="120"/>
      <c r="D2520" s="120"/>
      <c r="E2520" s="120"/>
      <c r="F2520" s="120"/>
      <c r="G2520" s="120"/>
      <c r="H2520" s="120"/>
      <c r="I2520" s="121"/>
      <c r="J2520" s="121"/>
      <c r="K2520" s="117"/>
    </row>
    <row r="2521" ht="15.75" customHeight="1">
      <c r="A2521" s="122"/>
      <c r="B2521" s="133"/>
      <c r="C2521" s="120"/>
      <c r="D2521" s="120"/>
      <c r="E2521" s="120"/>
      <c r="F2521" s="120"/>
      <c r="G2521" s="120"/>
      <c r="H2521" s="120"/>
      <c r="I2521" s="121"/>
      <c r="J2521" s="121"/>
      <c r="K2521" s="117"/>
    </row>
    <row r="2522" ht="15.75" customHeight="1">
      <c r="A2522" s="122"/>
      <c r="B2522" s="133"/>
      <c r="C2522" s="120"/>
      <c r="D2522" s="120"/>
      <c r="E2522" s="120"/>
      <c r="F2522" s="120"/>
      <c r="G2522" s="120"/>
      <c r="H2522" s="120"/>
      <c r="I2522" s="121"/>
      <c r="J2522" s="121"/>
      <c r="K2522" s="117"/>
    </row>
    <row r="2523" ht="15.75" customHeight="1">
      <c r="A2523" s="122"/>
      <c r="B2523" s="133"/>
      <c r="C2523" s="120"/>
      <c r="D2523" s="120"/>
      <c r="E2523" s="120"/>
      <c r="F2523" s="120"/>
      <c r="G2523" s="120"/>
      <c r="H2523" s="120"/>
      <c r="I2523" s="121"/>
      <c r="J2523" s="121"/>
      <c r="K2523" s="117"/>
    </row>
    <row r="2524" ht="15.75" customHeight="1">
      <c r="A2524" s="122"/>
      <c r="B2524" s="133"/>
      <c r="C2524" s="120"/>
      <c r="D2524" s="120"/>
      <c r="E2524" s="120"/>
      <c r="F2524" s="120"/>
      <c r="G2524" s="120"/>
      <c r="H2524" s="120"/>
      <c r="I2524" s="121"/>
      <c r="J2524" s="121"/>
      <c r="K2524" s="117"/>
    </row>
    <row r="2525" ht="15.75" customHeight="1">
      <c r="A2525" s="122"/>
      <c r="B2525" s="133"/>
      <c r="C2525" s="120"/>
      <c r="D2525" s="120"/>
      <c r="E2525" s="120"/>
      <c r="F2525" s="120"/>
      <c r="G2525" s="120"/>
      <c r="H2525" s="120"/>
      <c r="I2525" s="121"/>
      <c r="J2525" s="121"/>
      <c r="K2525" s="117"/>
    </row>
    <row r="2526" ht="15.75" customHeight="1">
      <c r="A2526" s="122"/>
      <c r="B2526" s="133"/>
      <c r="C2526" s="120"/>
      <c r="D2526" s="120"/>
      <c r="E2526" s="120"/>
      <c r="F2526" s="120"/>
      <c r="G2526" s="120"/>
      <c r="H2526" s="120"/>
      <c r="I2526" s="121"/>
      <c r="J2526" s="121"/>
      <c r="K2526" s="117"/>
    </row>
    <row r="2527" ht="15.75" customHeight="1">
      <c r="A2527" s="122"/>
      <c r="B2527" s="133"/>
      <c r="C2527" s="120"/>
      <c r="D2527" s="120"/>
      <c r="E2527" s="120"/>
      <c r="F2527" s="120"/>
      <c r="G2527" s="120"/>
      <c r="H2527" s="120"/>
      <c r="I2527" s="121"/>
      <c r="J2527" s="121"/>
      <c r="K2527" s="117"/>
    </row>
    <row r="2528" ht="15.75" customHeight="1">
      <c r="A2528" s="122"/>
      <c r="B2528" s="133"/>
      <c r="C2528" s="120"/>
      <c r="D2528" s="120"/>
      <c r="E2528" s="120"/>
      <c r="F2528" s="120"/>
      <c r="G2528" s="120"/>
      <c r="H2528" s="120"/>
      <c r="I2528" s="121"/>
      <c r="J2528" s="121"/>
      <c r="K2528" s="117"/>
    </row>
    <row r="2529" ht="15.75" customHeight="1">
      <c r="A2529" s="122"/>
      <c r="B2529" s="133"/>
      <c r="C2529" s="120"/>
      <c r="D2529" s="120"/>
      <c r="E2529" s="120"/>
      <c r="F2529" s="120"/>
      <c r="G2529" s="120"/>
      <c r="H2529" s="120"/>
      <c r="I2529" s="121"/>
      <c r="J2529" s="121"/>
      <c r="K2529" s="117"/>
    </row>
    <row r="2530" ht="15.75" customHeight="1">
      <c r="A2530" s="122"/>
      <c r="B2530" s="133"/>
      <c r="C2530" s="120"/>
      <c r="D2530" s="120"/>
      <c r="E2530" s="120"/>
      <c r="F2530" s="120"/>
      <c r="G2530" s="120"/>
      <c r="H2530" s="120"/>
      <c r="I2530" s="121"/>
      <c r="J2530" s="121"/>
      <c r="K2530" s="117"/>
    </row>
    <row r="2531" ht="15.75" customHeight="1">
      <c r="A2531" s="122"/>
      <c r="B2531" s="133"/>
      <c r="C2531" s="120"/>
      <c r="D2531" s="120"/>
      <c r="E2531" s="120"/>
      <c r="F2531" s="120"/>
      <c r="G2531" s="120"/>
      <c r="H2531" s="120"/>
      <c r="I2531" s="121"/>
      <c r="J2531" s="121"/>
      <c r="K2531" s="117"/>
    </row>
    <row r="2532" ht="15.75" customHeight="1">
      <c r="A2532" s="122"/>
      <c r="B2532" s="133"/>
      <c r="C2532" s="120"/>
      <c r="D2532" s="120"/>
      <c r="E2532" s="120"/>
      <c r="F2532" s="120"/>
      <c r="G2532" s="120"/>
      <c r="H2532" s="120"/>
      <c r="I2532" s="121"/>
      <c r="J2532" s="121"/>
      <c r="K2532" s="117"/>
    </row>
    <row r="2533" ht="15.75" customHeight="1">
      <c r="A2533" s="122"/>
      <c r="B2533" s="133"/>
      <c r="C2533" s="120"/>
      <c r="D2533" s="120"/>
      <c r="E2533" s="120"/>
      <c r="F2533" s="120"/>
      <c r="G2533" s="120"/>
      <c r="H2533" s="120"/>
      <c r="I2533" s="121"/>
      <c r="J2533" s="121"/>
      <c r="K2533" s="117"/>
    </row>
    <row r="2534" ht="15.75" customHeight="1">
      <c r="A2534" s="122"/>
      <c r="B2534" s="133"/>
      <c r="C2534" s="120"/>
      <c r="D2534" s="120"/>
      <c r="E2534" s="120"/>
      <c r="F2534" s="120"/>
      <c r="G2534" s="120"/>
      <c r="H2534" s="120"/>
      <c r="I2534" s="121"/>
      <c r="J2534" s="121"/>
      <c r="K2534" s="117"/>
    </row>
    <row r="2535" ht="15.75" customHeight="1">
      <c r="A2535" s="122"/>
      <c r="B2535" s="133"/>
      <c r="C2535" s="120"/>
      <c r="D2535" s="120"/>
      <c r="E2535" s="120"/>
      <c r="F2535" s="120"/>
      <c r="G2535" s="120"/>
      <c r="H2535" s="120"/>
      <c r="I2535" s="121"/>
      <c r="J2535" s="121"/>
      <c r="K2535" s="117"/>
    </row>
    <row r="2536" ht="15.75" customHeight="1">
      <c r="A2536" s="122"/>
      <c r="B2536" s="133"/>
      <c r="C2536" s="120"/>
      <c r="D2536" s="120"/>
      <c r="E2536" s="120"/>
      <c r="F2536" s="120"/>
      <c r="G2536" s="120"/>
      <c r="H2536" s="120"/>
      <c r="I2536" s="121"/>
      <c r="J2536" s="121"/>
      <c r="K2536" s="117"/>
    </row>
    <row r="2537" ht="15.75" customHeight="1">
      <c r="A2537" s="122"/>
      <c r="B2537" s="133"/>
      <c r="C2537" s="120"/>
      <c r="D2537" s="120"/>
      <c r="E2537" s="120"/>
      <c r="F2537" s="120"/>
      <c r="G2537" s="120"/>
      <c r="H2537" s="120"/>
      <c r="I2537" s="121"/>
      <c r="J2537" s="121"/>
      <c r="K2537" s="117"/>
    </row>
    <row r="2538" ht="15.75" customHeight="1">
      <c r="A2538" s="122"/>
      <c r="B2538" s="133"/>
      <c r="C2538" s="120"/>
      <c r="D2538" s="120"/>
      <c r="E2538" s="120"/>
      <c r="F2538" s="120"/>
      <c r="G2538" s="120"/>
      <c r="H2538" s="120"/>
      <c r="I2538" s="121"/>
      <c r="J2538" s="121"/>
      <c r="K2538" s="117"/>
    </row>
    <row r="2539" ht="15.75" customHeight="1">
      <c r="A2539" s="122"/>
      <c r="B2539" s="133"/>
      <c r="C2539" s="120"/>
      <c r="D2539" s="120"/>
      <c r="E2539" s="120"/>
      <c r="F2539" s="120"/>
      <c r="G2539" s="120"/>
      <c r="H2539" s="120"/>
      <c r="I2539" s="121"/>
      <c r="J2539" s="121"/>
      <c r="K2539" s="117"/>
    </row>
    <row r="2540" ht="15.75" customHeight="1">
      <c r="A2540" s="122"/>
      <c r="B2540" s="133"/>
      <c r="C2540" s="120"/>
      <c r="D2540" s="120"/>
      <c r="E2540" s="120"/>
      <c r="F2540" s="120"/>
      <c r="G2540" s="120"/>
      <c r="H2540" s="120"/>
      <c r="I2540" s="121"/>
      <c r="J2540" s="121"/>
      <c r="K2540" s="117"/>
    </row>
    <row r="2541" ht="15.75" customHeight="1">
      <c r="A2541" s="122"/>
      <c r="B2541" s="133"/>
      <c r="C2541" s="120"/>
      <c r="D2541" s="120"/>
      <c r="E2541" s="120"/>
      <c r="F2541" s="120"/>
      <c r="G2541" s="120"/>
      <c r="H2541" s="120"/>
      <c r="I2541" s="121"/>
      <c r="J2541" s="121"/>
      <c r="K2541" s="117"/>
    </row>
    <row r="2542" ht="15.75" customHeight="1">
      <c r="A2542" s="122"/>
      <c r="B2542" s="133"/>
      <c r="C2542" s="120"/>
      <c r="D2542" s="120"/>
      <c r="E2542" s="120"/>
      <c r="F2542" s="120"/>
      <c r="G2542" s="120"/>
      <c r="H2542" s="120"/>
      <c r="I2542" s="121"/>
      <c r="J2542" s="121"/>
      <c r="K2542" s="117"/>
    </row>
    <row r="2543" ht="15.75" customHeight="1">
      <c r="A2543" s="122"/>
      <c r="B2543" s="133"/>
      <c r="C2543" s="120"/>
      <c r="D2543" s="120"/>
      <c r="E2543" s="120"/>
      <c r="F2543" s="120"/>
      <c r="G2543" s="120"/>
      <c r="H2543" s="120"/>
      <c r="I2543" s="121"/>
      <c r="J2543" s="121"/>
      <c r="K2543" s="117"/>
    </row>
    <row r="2544" ht="15.75" customHeight="1">
      <c r="A2544" s="122"/>
      <c r="B2544" s="133"/>
      <c r="C2544" s="120"/>
      <c r="D2544" s="120"/>
      <c r="E2544" s="120"/>
      <c r="F2544" s="120"/>
      <c r="G2544" s="120"/>
      <c r="H2544" s="120"/>
      <c r="I2544" s="121"/>
      <c r="J2544" s="121"/>
      <c r="K2544" s="117"/>
    </row>
    <row r="2545" ht="15.75" customHeight="1">
      <c r="A2545" s="122"/>
      <c r="B2545" s="133"/>
      <c r="C2545" s="120"/>
      <c r="D2545" s="120"/>
      <c r="E2545" s="120"/>
      <c r="F2545" s="120"/>
      <c r="G2545" s="120"/>
      <c r="H2545" s="120"/>
      <c r="I2545" s="121"/>
      <c r="J2545" s="121"/>
      <c r="K2545" s="117"/>
    </row>
    <row r="2546" ht="15.75" customHeight="1">
      <c r="A2546" s="122"/>
      <c r="B2546" s="133"/>
      <c r="C2546" s="120"/>
      <c r="D2546" s="120"/>
      <c r="E2546" s="120"/>
      <c r="F2546" s="120"/>
      <c r="G2546" s="120"/>
      <c r="H2546" s="120"/>
      <c r="I2546" s="121"/>
      <c r="J2546" s="121"/>
      <c r="K2546" s="117"/>
    </row>
    <row r="2547" ht="15.75" customHeight="1">
      <c r="A2547" s="122"/>
      <c r="B2547" s="133"/>
      <c r="C2547" s="120"/>
      <c r="D2547" s="120"/>
      <c r="E2547" s="120"/>
      <c r="F2547" s="120"/>
      <c r="G2547" s="120"/>
      <c r="H2547" s="120"/>
      <c r="I2547" s="121"/>
      <c r="J2547" s="121"/>
      <c r="K2547" s="117"/>
    </row>
    <row r="2548" ht="15.75" customHeight="1">
      <c r="A2548" s="122"/>
      <c r="B2548" s="133"/>
      <c r="C2548" s="120"/>
      <c r="D2548" s="120"/>
      <c r="E2548" s="120"/>
      <c r="F2548" s="120"/>
      <c r="G2548" s="120"/>
      <c r="H2548" s="120"/>
      <c r="I2548" s="121"/>
      <c r="J2548" s="121"/>
      <c r="K2548" s="117"/>
    </row>
    <row r="2549" ht="15.75" customHeight="1">
      <c r="A2549" s="122"/>
      <c r="B2549" s="133"/>
      <c r="C2549" s="120"/>
      <c r="D2549" s="120"/>
      <c r="E2549" s="120"/>
      <c r="F2549" s="120"/>
      <c r="G2549" s="120"/>
      <c r="H2549" s="120"/>
      <c r="I2549" s="121"/>
      <c r="J2549" s="121"/>
      <c r="K2549" s="117"/>
    </row>
    <row r="2550" ht="15.75" customHeight="1">
      <c r="A2550" s="122"/>
      <c r="B2550" s="133"/>
      <c r="C2550" s="120"/>
      <c r="D2550" s="120"/>
      <c r="E2550" s="120"/>
      <c r="F2550" s="120"/>
      <c r="G2550" s="120"/>
      <c r="H2550" s="120"/>
      <c r="I2550" s="121"/>
      <c r="J2550" s="121"/>
      <c r="K2550" s="117"/>
    </row>
    <row r="2551" ht="15.75" customHeight="1">
      <c r="A2551" s="122"/>
      <c r="B2551" s="133"/>
      <c r="C2551" s="120"/>
      <c r="D2551" s="120"/>
      <c r="E2551" s="120"/>
      <c r="F2551" s="120"/>
      <c r="G2551" s="120"/>
      <c r="H2551" s="120"/>
      <c r="I2551" s="121"/>
      <c r="J2551" s="121"/>
      <c r="K2551" s="117"/>
    </row>
    <row r="2552" ht="15.75" customHeight="1">
      <c r="A2552" s="122"/>
      <c r="B2552" s="133"/>
      <c r="C2552" s="120"/>
      <c r="D2552" s="120"/>
      <c r="E2552" s="120"/>
      <c r="F2552" s="120"/>
      <c r="G2552" s="120"/>
      <c r="H2552" s="120"/>
      <c r="I2552" s="121"/>
      <c r="J2552" s="121"/>
      <c r="K2552" s="117"/>
    </row>
    <row r="2553" ht="15.75" customHeight="1">
      <c r="A2553" s="122"/>
      <c r="B2553" s="133"/>
      <c r="C2553" s="120"/>
      <c r="D2553" s="120"/>
      <c r="E2553" s="120"/>
      <c r="F2553" s="120"/>
      <c r="G2553" s="120"/>
      <c r="H2553" s="120"/>
      <c r="I2553" s="121"/>
      <c r="J2553" s="121"/>
      <c r="K2553" s="117"/>
    </row>
    <row r="2554" ht="15.75" customHeight="1">
      <c r="A2554" s="122"/>
      <c r="B2554" s="133"/>
      <c r="C2554" s="120"/>
      <c r="D2554" s="120"/>
      <c r="E2554" s="120"/>
      <c r="F2554" s="120"/>
      <c r="G2554" s="120"/>
      <c r="H2554" s="120"/>
      <c r="I2554" s="121"/>
      <c r="J2554" s="121"/>
      <c r="K2554" s="117"/>
    </row>
    <row r="2555" ht="15.75" customHeight="1">
      <c r="A2555" s="122"/>
      <c r="B2555" s="133"/>
      <c r="C2555" s="120"/>
      <c r="D2555" s="120"/>
      <c r="E2555" s="120"/>
      <c r="F2555" s="120"/>
      <c r="G2555" s="120"/>
      <c r="H2555" s="120"/>
      <c r="I2555" s="121"/>
      <c r="J2555" s="121"/>
      <c r="K2555" s="117"/>
    </row>
    <row r="2556" ht="15.75" customHeight="1">
      <c r="A2556" s="122"/>
      <c r="B2556" s="133"/>
      <c r="C2556" s="120"/>
      <c r="D2556" s="120"/>
      <c r="E2556" s="120"/>
      <c r="F2556" s="120"/>
      <c r="G2556" s="120"/>
      <c r="H2556" s="120"/>
      <c r="I2556" s="121"/>
      <c r="J2556" s="121"/>
      <c r="K2556" s="117"/>
    </row>
    <row r="2557" ht="15.75" customHeight="1">
      <c r="A2557" s="122"/>
      <c r="B2557" s="133"/>
      <c r="C2557" s="120"/>
      <c r="D2557" s="120"/>
      <c r="E2557" s="120"/>
      <c r="F2557" s="120"/>
      <c r="G2557" s="120"/>
      <c r="H2557" s="120"/>
      <c r="I2557" s="121"/>
      <c r="J2557" s="121"/>
      <c r="K2557" s="117"/>
    </row>
    <row r="2558" ht="15.75" customHeight="1">
      <c r="A2558" s="122"/>
      <c r="B2558" s="133"/>
      <c r="C2558" s="120"/>
      <c r="D2558" s="120"/>
      <c r="E2558" s="120"/>
      <c r="F2558" s="120"/>
      <c r="G2558" s="120"/>
      <c r="H2558" s="120"/>
      <c r="I2558" s="121"/>
      <c r="J2558" s="121"/>
      <c r="K2558" s="117"/>
    </row>
    <row r="2559" ht="15.75" customHeight="1">
      <c r="A2559" s="122"/>
      <c r="B2559" s="133"/>
      <c r="C2559" s="120"/>
      <c r="D2559" s="120"/>
      <c r="E2559" s="120"/>
      <c r="F2559" s="120"/>
      <c r="G2559" s="120"/>
      <c r="H2559" s="120"/>
      <c r="I2559" s="121"/>
      <c r="J2559" s="121"/>
      <c r="K2559" s="117"/>
    </row>
    <row r="2560" ht="15.75" customHeight="1">
      <c r="A2560" s="122"/>
      <c r="B2560" s="133"/>
      <c r="C2560" s="120"/>
      <c r="D2560" s="120"/>
      <c r="E2560" s="120"/>
      <c r="F2560" s="120"/>
      <c r="G2560" s="120"/>
      <c r="H2560" s="120"/>
      <c r="I2560" s="121"/>
      <c r="J2560" s="121"/>
      <c r="K2560" s="117"/>
    </row>
    <row r="2561" ht="15.75" customHeight="1">
      <c r="A2561" s="122"/>
      <c r="B2561" s="133"/>
      <c r="C2561" s="120"/>
      <c r="D2561" s="120"/>
      <c r="E2561" s="120"/>
      <c r="F2561" s="120"/>
      <c r="G2561" s="120"/>
      <c r="H2561" s="120"/>
      <c r="I2561" s="121"/>
      <c r="J2561" s="121"/>
      <c r="K2561" s="117"/>
    </row>
    <row r="2562" ht="15.75" customHeight="1">
      <c r="A2562" s="122"/>
      <c r="B2562" s="133"/>
      <c r="C2562" s="120"/>
      <c r="D2562" s="120"/>
      <c r="E2562" s="120"/>
      <c r="F2562" s="120"/>
      <c r="G2562" s="120"/>
      <c r="H2562" s="120"/>
      <c r="I2562" s="121"/>
      <c r="J2562" s="121"/>
      <c r="K2562" s="117"/>
    </row>
    <row r="2563" ht="15.75" customHeight="1">
      <c r="A2563" s="122"/>
      <c r="B2563" s="133"/>
      <c r="C2563" s="120"/>
      <c r="D2563" s="120"/>
      <c r="E2563" s="120"/>
      <c r="F2563" s="120"/>
      <c r="G2563" s="120"/>
      <c r="H2563" s="120"/>
      <c r="I2563" s="121"/>
      <c r="J2563" s="121"/>
      <c r="K2563" s="117"/>
    </row>
    <row r="2564" ht="15.75" customHeight="1">
      <c r="A2564" s="122"/>
      <c r="B2564" s="133"/>
      <c r="C2564" s="120"/>
      <c r="D2564" s="120"/>
      <c r="E2564" s="120"/>
      <c r="F2564" s="120"/>
      <c r="G2564" s="120"/>
      <c r="H2564" s="120"/>
      <c r="I2564" s="121"/>
      <c r="J2564" s="121"/>
      <c r="K2564" s="117"/>
    </row>
    <row r="2565" ht="15.75" customHeight="1">
      <c r="A2565" s="122"/>
      <c r="B2565" s="133"/>
      <c r="C2565" s="120"/>
      <c r="D2565" s="120"/>
      <c r="E2565" s="120"/>
      <c r="F2565" s="120"/>
      <c r="G2565" s="120"/>
      <c r="H2565" s="120"/>
      <c r="I2565" s="121"/>
      <c r="J2565" s="121"/>
      <c r="K2565" s="117"/>
    </row>
    <row r="2566" ht="15.75" customHeight="1">
      <c r="A2566" s="122"/>
      <c r="B2566" s="133"/>
      <c r="C2566" s="120"/>
      <c r="D2566" s="120"/>
      <c r="E2566" s="120"/>
      <c r="F2566" s="120"/>
      <c r="G2566" s="120"/>
      <c r="H2566" s="120"/>
      <c r="I2566" s="121"/>
      <c r="J2566" s="121"/>
      <c r="K2566" s="117"/>
    </row>
    <row r="2567" ht="15.75" customHeight="1">
      <c r="A2567" s="122"/>
      <c r="B2567" s="133"/>
      <c r="C2567" s="120"/>
      <c r="D2567" s="120"/>
      <c r="E2567" s="120"/>
      <c r="F2567" s="120"/>
      <c r="G2567" s="120"/>
      <c r="H2567" s="120"/>
      <c r="I2567" s="121"/>
      <c r="J2567" s="121"/>
      <c r="K2567" s="117"/>
    </row>
    <row r="2568" ht="15.75" customHeight="1">
      <c r="A2568" s="122"/>
      <c r="B2568" s="133"/>
      <c r="C2568" s="120"/>
      <c r="D2568" s="120"/>
      <c r="E2568" s="120"/>
      <c r="F2568" s="120"/>
      <c r="G2568" s="120"/>
      <c r="H2568" s="120"/>
      <c r="I2568" s="121"/>
      <c r="J2568" s="121"/>
      <c r="K2568" s="117"/>
    </row>
    <row r="2569" ht="15.75" customHeight="1">
      <c r="A2569" s="122"/>
      <c r="B2569" s="133"/>
      <c r="C2569" s="120"/>
      <c r="D2569" s="120"/>
      <c r="E2569" s="120"/>
      <c r="F2569" s="120"/>
      <c r="G2569" s="120"/>
      <c r="H2569" s="120"/>
      <c r="I2569" s="121"/>
      <c r="J2569" s="121"/>
      <c r="K2569" s="117"/>
    </row>
    <row r="2570" ht="15.75" customHeight="1">
      <c r="A2570" s="122"/>
      <c r="B2570" s="133"/>
      <c r="C2570" s="120"/>
      <c r="D2570" s="120"/>
      <c r="E2570" s="120"/>
      <c r="F2570" s="120"/>
      <c r="G2570" s="120"/>
      <c r="H2570" s="120"/>
      <c r="I2570" s="121"/>
      <c r="J2570" s="121"/>
      <c r="K2570" s="117"/>
    </row>
    <row r="2571" ht="15.75" customHeight="1">
      <c r="A2571" s="122"/>
      <c r="B2571" s="133"/>
      <c r="C2571" s="120"/>
      <c r="D2571" s="120"/>
      <c r="E2571" s="120"/>
      <c r="F2571" s="120"/>
      <c r="G2571" s="120"/>
      <c r="H2571" s="120"/>
      <c r="I2571" s="121"/>
      <c r="J2571" s="121"/>
      <c r="K2571" s="117"/>
    </row>
    <row r="2572" ht="15.75" customHeight="1">
      <c r="A2572" s="122"/>
      <c r="B2572" s="133"/>
      <c r="C2572" s="120"/>
      <c r="D2572" s="120"/>
      <c r="E2572" s="120"/>
      <c r="F2572" s="120"/>
      <c r="G2572" s="120"/>
      <c r="H2572" s="120"/>
      <c r="I2572" s="121"/>
      <c r="J2572" s="121"/>
      <c r="K2572" s="117"/>
    </row>
    <row r="2573" ht="15.75" customHeight="1">
      <c r="A2573" s="122"/>
      <c r="B2573" s="133"/>
      <c r="C2573" s="120"/>
      <c r="D2573" s="120"/>
      <c r="E2573" s="120"/>
      <c r="F2573" s="120"/>
      <c r="G2573" s="120"/>
      <c r="H2573" s="120"/>
      <c r="I2573" s="121"/>
      <c r="J2573" s="121"/>
      <c r="K2573" s="117"/>
    </row>
    <row r="2574" ht="15.75" customHeight="1">
      <c r="A2574" s="122"/>
      <c r="B2574" s="133"/>
      <c r="C2574" s="120"/>
      <c r="D2574" s="120"/>
      <c r="E2574" s="120"/>
      <c r="F2574" s="120"/>
      <c r="G2574" s="120"/>
      <c r="H2574" s="120"/>
      <c r="I2574" s="121"/>
      <c r="J2574" s="121"/>
      <c r="K2574" s="117"/>
    </row>
    <row r="2575" ht="15.75" customHeight="1">
      <c r="A2575" s="122"/>
      <c r="B2575" s="133"/>
      <c r="C2575" s="120"/>
      <c r="D2575" s="120"/>
      <c r="E2575" s="120"/>
      <c r="F2575" s="120"/>
      <c r="G2575" s="120"/>
      <c r="H2575" s="120"/>
      <c r="I2575" s="121"/>
      <c r="J2575" s="121"/>
      <c r="K2575" s="117"/>
    </row>
    <row r="2576" ht="15.75" customHeight="1">
      <c r="A2576" s="122"/>
      <c r="B2576" s="133"/>
      <c r="C2576" s="120"/>
      <c r="D2576" s="120"/>
      <c r="E2576" s="120"/>
      <c r="F2576" s="120"/>
      <c r="G2576" s="120"/>
      <c r="H2576" s="120"/>
      <c r="I2576" s="121"/>
      <c r="J2576" s="121"/>
      <c r="K2576" s="117"/>
    </row>
    <row r="2577" ht="15.75" customHeight="1">
      <c r="A2577" s="122"/>
      <c r="B2577" s="133"/>
      <c r="C2577" s="120"/>
      <c r="D2577" s="120"/>
      <c r="E2577" s="120"/>
      <c r="F2577" s="120"/>
      <c r="G2577" s="120"/>
      <c r="H2577" s="120"/>
      <c r="I2577" s="121"/>
      <c r="J2577" s="121"/>
      <c r="K2577" s="117"/>
    </row>
    <row r="2578" ht="15.75" customHeight="1">
      <c r="A2578" s="122"/>
      <c r="B2578" s="133"/>
      <c r="C2578" s="120"/>
      <c r="D2578" s="120"/>
      <c r="E2578" s="120"/>
      <c r="F2578" s="120"/>
      <c r="G2578" s="120"/>
      <c r="H2578" s="120"/>
      <c r="I2578" s="121"/>
      <c r="J2578" s="121"/>
      <c r="K2578" s="117"/>
    </row>
    <row r="2579" ht="15.75" customHeight="1">
      <c r="A2579" s="122"/>
      <c r="B2579" s="133"/>
      <c r="C2579" s="120"/>
      <c r="D2579" s="120"/>
      <c r="E2579" s="120"/>
      <c r="F2579" s="120"/>
      <c r="G2579" s="120"/>
      <c r="H2579" s="120"/>
      <c r="I2579" s="121"/>
      <c r="J2579" s="121"/>
      <c r="K2579" s="117"/>
    </row>
    <row r="2580" ht="15.75" customHeight="1">
      <c r="A2580" s="122"/>
      <c r="B2580" s="133"/>
      <c r="C2580" s="120"/>
      <c r="D2580" s="120"/>
      <c r="E2580" s="120"/>
      <c r="F2580" s="120"/>
      <c r="G2580" s="120"/>
      <c r="H2580" s="120"/>
      <c r="I2580" s="121"/>
      <c r="J2580" s="121"/>
      <c r="K2580" s="117"/>
    </row>
    <row r="2581" ht="15.75" customHeight="1">
      <c r="A2581" s="122"/>
      <c r="B2581" s="133"/>
      <c r="C2581" s="120"/>
      <c r="D2581" s="120"/>
      <c r="E2581" s="120"/>
      <c r="F2581" s="120"/>
      <c r="G2581" s="120"/>
      <c r="H2581" s="120"/>
      <c r="I2581" s="121"/>
      <c r="J2581" s="121"/>
      <c r="K2581" s="117"/>
    </row>
    <row r="2582" ht="15.75" customHeight="1">
      <c r="A2582" s="122"/>
      <c r="B2582" s="133"/>
      <c r="C2582" s="120"/>
      <c r="D2582" s="120"/>
      <c r="E2582" s="120"/>
      <c r="F2582" s="120"/>
      <c r="G2582" s="120"/>
      <c r="H2582" s="120"/>
      <c r="I2582" s="121"/>
      <c r="J2582" s="121"/>
      <c r="K2582" s="117"/>
    </row>
    <row r="2583" ht="15.75" customHeight="1">
      <c r="A2583" s="122"/>
      <c r="B2583" s="133"/>
      <c r="C2583" s="120"/>
      <c r="D2583" s="120"/>
      <c r="E2583" s="120"/>
      <c r="F2583" s="120"/>
      <c r="G2583" s="120"/>
      <c r="H2583" s="120"/>
      <c r="I2583" s="121"/>
      <c r="J2583" s="121"/>
      <c r="K2583" s="117"/>
    </row>
    <row r="2584" ht="15.75" customHeight="1">
      <c r="A2584" s="122"/>
      <c r="B2584" s="133"/>
      <c r="C2584" s="120"/>
      <c r="D2584" s="120"/>
      <c r="E2584" s="120"/>
      <c r="F2584" s="120"/>
      <c r="G2584" s="120"/>
      <c r="H2584" s="120"/>
      <c r="I2584" s="121"/>
      <c r="J2584" s="121"/>
      <c r="K2584" s="117"/>
    </row>
    <row r="2585" ht="15.75" customHeight="1">
      <c r="A2585" s="122"/>
      <c r="B2585" s="133"/>
      <c r="C2585" s="120"/>
      <c r="D2585" s="120"/>
      <c r="E2585" s="120"/>
      <c r="F2585" s="120"/>
      <c r="G2585" s="120"/>
      <c r="H2585" s="120"/>
      <c r="I2585" s="121"/>
      <c r="J2585" s="121"/>
      <c r="K2585" s="117"/>
    </row>
    <row r="2586" ht="15.75" customHeight="1">
      <c r="A2586" s="122"/>
      <c r="B2586" s="133"/>
      <c r="C2586" s="120"/>
      <c r="D2586" s="120"/>
      <c r="E2586" s="120"/>
      <c r="F2586" s="120"/>
      <c r="G2586" s="120"/>
      <c r="H2586" s="120"/>
      <c r="I2586" s="121"/>
      <c r="J2586" s="121"/>
      <c r="K2586" s="117"/>
    </row>
    <row r="2587" ht="15.75" customHeight="1">
      <c r="A2587" s="122"/>
      <c r="B2587" s="133"/>
      <c r="C2587" s="120"/>
      <c r="D2587" s="120"/>
      <c r="E2587" s="120"/>
      <c r="F2587" s="120"/>
      <c r="G2587" s="120"/>
      <c r="H2587" s="120"/>
      <c r="I2587" s="121"/>
      <c r="J2587" s="121"/>
      <c r="K2587" s="117"/>
    </row>
    <row r="2588" ht="15.75" customHeight="1">
      <c r="A2588" s="122"/>
      <c r="B2588" s="133"/>
      <c r="C2588" s="120"/>
      <c r="D2588" s="120"/>
      <c r="E2588" s="120"/>
      <c r="F2588" s="120"/>
      <c r="G2588" s="120"/>
      <c r="H2588" s="120"/>
      <c r="I2588" s="121"/>
      <c r="J2588" s="121"/>
      <c r="K2588" s="117"/>
    </row>
    <row r="2589" ht="15.75" customHeight="1">
      <c r="A2589" s="122"/>
      <c r="B2589" s="133"/>
      <c r="C2589" s="120"/>
      <c r="D2589" s="120"/>
      <c r="E2589" s="120"/>
      <c r="F2589" s="120"/>
      <c r="G2589" s="120"/>
      <c r="H2589" s="120"/>
      <c r="I2589" s="121"/>
      <c r="J2589" s="121"/>
      <c r="K2589" s="117"/>
    </row>
    <row r="2590" ht="15.75" customHeight="1">
      <c r="A2590" s="122"/>
      <c r="B2590" s="133"/>
      <c r="C2590" s="120"/>
      <c r="D2590" s="120"/>
      <c r="E2590" s="120"/>
      <c r="F2590" s="120"/>
      <c r="G2590" s="120"/>
      <c r="H2590" s="120"/>
      <c r="I2590" s="121"/>
      <c r="J2590" s="121"/>
      <c r="K2590" s="117"/>
    </row>
    <row r="2591" ht="15.75" customHeight="1">
      <c r="A2591" s="122"/>
      <c r="B2591" s="133"/>
      <c r="C2591" s="120"/>
      <c r="D2591" s="120"/>
      <c r="E2591" s="120"/>
      <c r="F2591" s="120"/>
      <c r="G2591" s="120"/>
      <c r="H2591" s="120"/>
      <c r="I2591" s="121"/>
      <c r="J2591" s="121"/>
      <c r="K2591" s="117"/>
    </row>
    <row r="2592" ht="15.75" customHeight="1">
      <c r="A2592" s="122"/>
      <c r="B2592" s="133"/>
      <c r="C2592" s="120"/>
      <c r="D2592" s="120"/>
      <c r="E2592" s="120"/>
      <c r="F2592" s="120"/>
      <c r="G2592" s="120"/>
      <c r="H2592" s="120"/>
      <c r="I2592" s="121"/>
      <c r="J2592" s="121"/>
      <c r="K2592" s="117"/>
    </row>
    <row r="2593" ht="15.75" customHeight="1">
      <c r="A2593" s="122"/>
      <c r="B2593" s="133"/>
      <c r="C2593" s="120"/>
      <c r="D2593" s="120"/>
      <c r="E2593" s="120"/>
      <c r="F2593" s="120"/>
      <c r="G2593" s="120"/>
      <c r="H2593" s="120"/>
      <c r="I2593" s="121"/>
      <c r="J2593" s="121"/>
      <c r="K2593" s="117"/>
    </row>
    <row r="2594" ht="15.75" customHeight="1">
      <c r="A2594" s="122"/>
      <c r="B2594" s="133"/>
      <c r="C2594" s="120"/>
      <c r="D2594" s="120"/>
      <c r="E2594" s="120"/>
      <c r="F2594" s="120"/>
      <c r="G2594" s="120"/>
      <c r="H2594" s="120"/>
      <c r="I2594" s="121"/>
      <c r="J2594" s="121"/>
      <c r="K2594" s="117"/>
    </row>
    <row r="2595" ht="15.75" customHeight="1">
      <c r="A2595" s="122"/>
      <c r="B2595" s="133"/>
      <c r="C2595" s="120"/>
      <c r="D2595" s="120"/>
      <c r="E2595" s="120"/>
      <c r="F2595" s="120"/>
      <c r="G2595" s="120"/>
      <c r="H2595" s="120"/>
      <c r="I2595" s="121"/>
      <c r="J2595" s="121"/>
      <c r="K2595" s="117"/>
    </row>
    <row r="2596" ht="15.75" customHeight="1">
      <c r="A2596" s="122"/>
      <c r="B2596" s="133"/>
      <c r="C2596" s="120"/>
      <c r="D2596" s="120"/>
      <c r="E2596" s="120"/>
      <c r="F2596" s="120"/>
      <c r="G2596" s="120"/>
      <c r="H2596" s="120"/>
      <c r="I2596" s="121"/>
      <c r="J2596" s="121"/>
      <c r="K2596" s="117"/>
    </row>
    <row r="2597" ht="15.75" customHeight="1">
      <c r="A2597" s="122"/>
      <c r="B2597" s="133"/>
      <c r="C2597" s="120"/>
      <c r="D2597" s="120"/>
      <c r="E2597" s="120"/>
      <c r="F2597" s="120"/>
      <c r="G2597" s="120"/>
      <c r="H2597" s="120"/>
      <c r="I2597" s="121"/>
      <c r="J2597" s="121"/>
      <c r="K2597" s="117"/>
    </row>
    <row r="2598" ht="15.75" customHeight="1">
      <c r="A2598" s="122"/>
      <c r="B2598" s="133"/>
      <c r="C2598" s="120"/>
      <c r="D2598" s="120"/>
      <c r="E2598" s="120"/>
      <c r="F2598" s="120"/>
      <c r="G2598" s="120"/>
      <c r="H2598" s="120"/>
      <c r="I2598" s="121"/>
      <c r="J2598" s="121"/>
      <c r="K2598" s="117"/>
    </row>
    <row r="2599" ht="15.75" customHeight="1">
      <c r="A2599" s="122"/>
      <c r="B2599" s="133"/>
      <c r="C2599" s="120"/>
      <c r="D2599" s="120"/>
      <c r="E2599" s="120"/>
      <c r="F2599" s="120"/>
      <c r="G2599" s="120"/>
      <c r="H2599" s="120"/>
      <c r="I2599" s="121"/>
      <c r="J2599" s="121"/>
      <c r="K2599" s="117"/>
    </row>
    <row r="2600" ht="15.75" customHeight="1">
      <c r="A2600" s="122"/>
      <c r="B2600" s="133"/>
      <c r="C2600" s="120"/>
      <c r="D2600" s="120"/>
      <c r="E2600" s="120"/>
      <c r="F2600" s="120"/>
      <c r="G2600" s="120"/>
      <c r="H2600" s="120"/>
      <c r="I2600" s="121"/>
      <c r="J2600" s="121"/>
      <c r="K2600" s="117"/>
    </row>
    <row r="2601" ht="15.75" customHeight="1">
      <c r="A2601" s="122"/>
      <c r="B2601" s="133"/>
      <c r="C2601" s="120"/>
      <c r="D2601" s="120"/>
      <c r="E2601" s="120"/>
      <c r="F2601" s="120"/>
      <c r="G2601" s="120"/>
      <c r="H2601" s="120"/>
      <c r="I2601" s="121"/>
      <c r="J2601" s="121"/>
      <c r="K2601" s="117"/>
    </row>
    <row r="2602" ht="15.75" customHeight="1">
      <c r="A2602" s="122"/>
      <c r="B2602" s="133"/>
      <c r="C2602" s="120"/>
      <c r="D2602" s="120"/>
      <c r="E2602" s="120"/>
      <c r="F2602" s="120"/>
      <c r="G2602" s="120"/>
      <c r="H2602" s="120"/>
      <c r="I2602" s="121"/>
      <c r="J2602" s="121"/>
      <c r="K2602" s="117"/>
    </row>
    <row r="2603" ht="15.75" customHeight="1">
      <c r="A2603" s="122"/>
      <c r="B2603" s="133"/>
      <c r="C2603" s="120"/>
      <c r="D2603" s="120"/>
      <c r="E2603" s="120"/>
      <c r="F2603" s="120"/>
      <c r="G2603" s="120"/>
      <c r="H2603" s="120"/>
      <c r="I2603" s="121"/>
      <c r="J2603" s="121"/>
      <c r="K2603" s="117"/>
    </row>
    <row r="2604" ht="15.75" customHeight="1">
      <c r="A2604" s="122"/>
      <c r="B2604" s="133"/>
      <c r="C2604" s="120"/>
      <c r="D2604" s="120"/>
      <c r="E2604" s="120"/>
      <c r="F2604" s="120"/>
      <c r="G2604" s="120"/>
      <c r="H2604" s="120"/>
      <c r="I2604" s="121"/>
      <c r="J2604" s="121"/>
      <c r="K2604" s="117"/>
    </row>
    <row r="2605" ht="15.75" customHeight="1">
      <c r="A2605" s="122"/>
      <c r="B2605" s="133"/>
      <c r="C2605" s="120"/>
      <c r="D2605" s="120"/>
      <c r="E2605" s="120"/>
      <c r="F2605" s="120"/>
      <c r="G2605" s="120"/>
      <c r="H2605" s="120"/>
      <c r="I2605" s="121"/>
      <c r="J2605" s="121"/>
      <c r="K2605" s="117"/>
    </row>
    <row r="2606" ht="15.75" customHeight="1">
      <c r="A2606" s="122"/>
      <c r="B2606" s="133"/>
      <c r="C2606" s="120"/>
      <c r="D2606" s="120"/>
      <c r="E2606" s="120"/>
      <c r="F2606" s="120"/>
      <c r="G2606" s="120"/>
      <c r="H2606" s="120"/>
      <c r="I2606" s="121"/>
      <c r="J2606" s="121"/>
      <c r="K2606" s="117"/>
    </row>
    <row r="2607" ht="15.75" customHeight="1">
      <c r="A2607" s="122"/>
      <c r="B2607" s="133"/>
      <c r="C2607" s="120"/>
      <c r="D2607" s="120"/>
      <c r="E2607" s="120"/>
      <c r="F2607" s="120"/>
      <c r="G2607" s="120"/>
      <c r="H2607" s="120"/>
      <c r="I2607" s="121"/>
      <c r="J2607" s="121"/>
      <c r="K2607" s="117"/>
    </row>
    <row r="2608" ht="15.75" customHeight="1">
      <c r="A2608" s="122"/>
      <c r="B2608" s="133"/>
      <c r="C2608" s="120"/>
      <c r="D2608" s="120"/>
      <c r="E2608" s="120"/>
      <c r="F2608" s="120"/>
      <c r="G2608" s="120"/>
      <c r="H2608" s="120"/>
      <c r="I2608" s="121"/>
      <c r="J2608" s="121"/>
      <c r="K2608" s="117"/>
    </row>
    <row r="2609" ht="15.75" customHeight="1">
      <c r="A2609" s="122"/>
      <c r="B2609" s="133"/>
      <c r="C2609" s="120"/>
      <c r="D2609" s="120"/>
      <c r="E2609" s="120"/>
      <c r="F2609" s="120"/>
      <c r="G2609" s="120"/>
      <c r="H2609" s="120"/>
      <c r="I2609" s="121"/>
      <c r="J2609" s="121"/>
      <c r="K2609" s="117"/>
    </row>
    <row r="2610" ht="15.75" customHeight="1">
      <c r="A2610" s="122"/>
      <c r="B2610" s="133"/>
      <c r="C2610" s="120"/>
      <c r="D2610" s="120"/>
      <c r="E2610" s="120"/>
      <c r="F2610" s="120"/>
      <c r="G2610" s="120"/>
      <c r="H2610" s="120"/>
      <c r="I2610" s="121"/>
      <c r="J2610" s="121"/>
      <c r="K2610" s="117"/>
    </row>
    <row r="2611" ht="15.75" customHeight="1">
      <c r="A2611" s="122"/>
      <c r="B2611" s="133"/>
      <c r="C2611" s="120"/>
      <c r="D2611" s="120"/>
      <c r="E2611" s="120"/>
      <c r="F2611" s="120"/>
      <c r="G2611" s="120"/>
      <c r="H2611" s="120"/>
      <c r="I2611" s="121"/>
      <c r="J2611" s="121"/>
      <c r="K2611" s="117"/>
    </row>
    <row r="2612" ht="15.75" customHeight="1">
      <c r="A2612" s="122"/>
      <c r="B2612" s="133"/>
      <c r="C2612" s="120"/>
      <c r="D2612" s="120"/>
      <c r="E2612" s="120"/>
      <c r="F2612" s="120"/>
      <c r="G2612" s="120"/>
      <c r="H2612" s="120"/>
      <c r="I2612" s="121"/>
      <c r="J2612" s="121"/>
      <c r="K2612" s="117"/>
    </row>
    <row r="2613" ht="15.75" customHeight="1">
      <c r="A2613" s="122"/>
      <c r="B2613" s="133"/>
      <c r="C2613" s="120"/>
      <c r="D2613" s="120"/>
      <c r="E2613" s="120"/>
      <c r="F2613" s="120"/>
      <c r="G2613" s="120"/>
      <c r="H2613" s="120"/>
      <c r="I2613" s="121"/>
      <c r="J2613" s="121"/>
      <c r="K2613" s="117"/>
    </row>
    <row r="2614" ht="15.75" customHeight="1">
      <c r="A2614" s="122"/>
      <c r="B2614" s="133"/>
      <c r="C2614" s="120"/>
      <c r="D2614" s="120"/>
      <c r="E2614" s="120"/>
      <c r="F2614" s="120"/>
      <c r="G2614" s="120"/>
      <c r="H2614" s="120"/>
      <c r="I2614" s="121"/>
      <c r="J2614" s="121"/>
      <c r="K2614" s="117"/>
    </row>
    <row r="2615" ht="15.75" customHeight="1">
      <c r="A2615" s="122"/>
      <c r="B2615" s="133"/>
      <c r="C2615" s="120"/>
      <c r="D2615" s="120"/>
      <c r="E2615" s="120"/>
      <c r="F2615" s="120"/>
      <c r="G2615" s="120"/>
      <c r="H2615" s="120"/>
      <c r="I2615" s="121"/>
      <c r="J2615" s="121"/>
      <c r="K2615" s="117"/>
    </row>
    <row r="2616" ht="15.75" customHeight="1">
      <c r="A2616" s="122"/>
      <c r="B2616" s="133"/>
      <c r="C2616" s="120"/>
      <c r="D2616" s="120"/>
      <c r="E2616" s="120"/>
      <c r="F2616" s="120"/>
      <c r="G2616" s="120"/>
      <c r="H2616" s="120"/>
      <c r="I2616" s="121"/>
      <c r="J2616" s="121"/>
      <c r="K2616" s="117"/>
    </row>
    <row r="2617" ht="15.75" customHeight="1">
      <c r="A2617" s="122"/>
      <c r="B2617" s="133"/>
      <c r="C2617" s="120"/>
      <c r="D2617" s="120"/>
      <c r="E2617" s="120"/>
      <c r="F2617" s="120"/>
      <c r="G2617" s="120"/>
      <c r="H2617" s="120"/>
      <c r="I2617" s="121"/>
      <c r="J2617" s="121"/>
      <c r="K2617" s="117"/>
    </row>
    <row r="2618" ht="15.75" customHeight="1">
      <c r="A2618" s="122"/>
      <c r="B2618" s="133"/>
      <c r="C2618" s="120"/>
      <c r="D2618" s="120"/>
      <c r="E2618" s="120"/>
      <c r="F2618" s="120"/>
      <c r="G2618" s="120"/>
      <c r="H2618" s="120"/>
      <c r="I2618" s="121"/>
      <c r="J2618" s="121"/>
      <c r="K2618" s="117"/>
    </row>
    <row r="2619" ht="15.75" customHeight="1">
      <c r="A2619" s="122"/>
      <c r="B2619" s="133"/>
      <c r="C2619" s="120"/>
      <c r="D2619" s="120"/>
      <c r="E2619" s="120"/>
      <c r="F2619" s="120"/>
      <c r="G2619" s="120"/>
      <c r="H2619" s="120"/>
      <c r="I2619" s="121"/>
      <c r="J2619" s="121"/>
      <c r="K2619" s="117"/>
    </row>
    <row r="2620" ht="15.75" customHeight="1">
      <c r="A2620" s="122"/>
      <c r="B2620" s="133"/>
      <c r="C2620" s="120"/>
      <c r="D2620" s="120"/>
      <c r="E2620" s="120"/>
      <c r="F2620" s="120"/>
      <c r="G2620" s="120"/>
      <c r="H2620" s="120"/>
      <c r="I2620" s="121"/>
      <c r="J2620" s="121"/>
      <c r="K2620" s="117"/>
    </row>
    <row r="2621" ht="15.75" customHeight="1">
      <c r="A2621" s="122"/>
      <c r="B2621" s="133"/>
      <c r="C2621" s="120"/>
      <c r="D2621" s="120"/>
      <c r="E2621" s="120"/>
      <c r="F2621" s="120"/>
      <c r="G2621" s="120"/>
      <c r="H2621" s="120"/>
      <c r="I2621" s="121"/>
      <c r="J2621" s="121"/>
      <c r="K2621" s="117"/>
    </row>
    <row r="2622" ht="15.75" customHeight="1">
      <c r="A2622" s="122"/>
      <c r="B2622" s="133"/>
      <c r="C2622" s="120"/>
      <c r="D2622" s="120"/>
      <c r="E2622" s="120"/>
      <c r="F2622" s="120"/>
      <c r="G2622" s="120"/>
      <c r="H2622" s="120"/>
      <c r="I2622" s="121"/>
      <c r="J2622" s="121"/>
      <c r="K2622" s="117"/>
    </row>
    <row r="2623" ht="15.75" customHeight="1">
      <c r="A2623" s="122"/>
      <c r="B2623" s="133"/>
      <c r="C2623" s="120"/>
      <c r="D2623" s="120"/>
      <c r="E2623" s="120"/>
      <c r="F2623" s="120"/>
      <c r="G2623" s="120"/>
      <c r="H2623" s="120"/>
      <c r="I2623" s="121"/>
      <c r="J2623" s="121"/>
      <c r="K2623" s="117"/>
    </row>
    <row r="2624" ht="15.75" customHeight="1">
      <c r="A2624" s="122"/>
      <c r="B2624" s="133"/>
      <c r="C2624" s="120"/>
      <c r="D2624" s="120"/>
      <c r="E2624" s="120"/>
      <c r="F2624" s="120"/>
      <c r="G2624" s="120"/>
      <c r="H2624" s="120"/>
      <c r="I2624" s="121"/>
      <c r="J2624" s="121"/>
      <c r="K2624" s="117"/>
    </row>
    <row r="2625" ht="15.75" customHeight="1">
      <c r="A2625" s="122"/>
      <c r="B2625" s="133"/>
      <c r="C2625" s="120"/>
      <c r="D2625" s="120"/>
      <c r="E2625" s="120"/>
      <c r="F2625" s="120"/>
      <c r="G2625" s="120"/>
      <c r="H2625" s="120"/>
      <c r="I2625" s="121"/>
      <c r="J2625" s="121"/>
      <c r="K2625" s="117"/>
    </row>
    <row r="2626" ht="15.75" customHeight="1">
      <c r="A2626" s="122"/>
      <c r="B2626" s="133"/>
      <c r="C2626" s="120"/>
      <c r="D2626" s="120"/>
      <c r="E2626" s="120"/>
      <c r="F2626" s="120"/>
      <c r="G2626" s="120"/>
      <c r="H2626" s="120"/>
      <c r="I2626" s="121"/>
      <c r="J2626" s="121"/>
      <c r="K2626" s="117"/>
    </row>
    <row r="2627" ht="15.75" customHeight="1">
      <c r="A2627" s="122"/>
      <c r="B2627" s="133"/>
      <c r="C2627" s="120"/>
      <c r="D2627" s="120"/>
      <c r="E2627" s="120"/>
      <c r="F2627" s="120"/>
      <c r="G2627" s="120"/>
      <c r="H2627" s="120"/>
      <c r="I2627" s="121"/>
      <c r="J2627" s="121"/>
      <c r="K2627" s="117"/>
    </row>
    <row r="2628" ht="15.75" customHeight="1">
      <c r="A2628" s="122"/>
      <c r="B2628" s="133"/>
      <c r="C2628" s="120"/>
      <c r="D2628" s="120"/>
      <c r="E2628" s="120"/>
      <c r="F2628" s="120"/>
      <c r="G2628" s="120"/>
      <c r="H2628" s="120"/>
      <c r="I2628" s="121"/>
      <c r="J2628" s="121"/>
      <c r="K2628" s="117"/>
    </row>
    <row r="2629" ht="15.75" customHeight="1">
      <c r="A2629" s="122"/>
      <c r="B2629" s="133"/>
      <c r="C2629" s="120"/>
      <c r="D2629" s="120"/>
      <c r="E2629" s="120"/>
      <c r="F2629" s="120"/>
      <c r="G2629" s="120"/>
      <c r="H2629" s="120"/>
      <c r="I2629" s="121"/>
      <c r="J2629" s="121"/>
      <c r="K2629" s="117"/>
    </row>
    <row r="2630" ht="15.75" customHeight="1">
      <c r="A2630" s="122"/>
      <c r="B2630" s="133"/>
      <c r="C2630" s="120"/>
      <c r="D2630" s="120"/>
      <c r="E2630" s="120"/>
      <c r="F2630" s="120"/>
      <c r="G2630" s="120"/>
      <c r="H2630" s="120"/>
      <c r="I2630" s="121"/>
      <c r="J2630" s="121"/>
      <c r="K2630" s="117"/>
    </row>
    <row r="2631" ht="15.75" customHeight="1">
      <c r="A2631" s="122"/>
      <c r="B2631" s="133"/>
      <c r="C2631" s="120"/>
      <c r="D2631" s="120"/>
      <c r="E2631" s="120"/>
      <c r="F2631" s="120"/>
      <c r="G2631" s="120"/>
      <c r="H2631" s="120"/>
      <c r="I2631" s="121"/>
      <c r="J2631" s="121"/>
      <c r="K2631" s="117"/>
    </row>
    <row r="2632" ht="15.75" customHeight="1">
      <c r="A2632" s="122"/>
      <c r="B2632" s="133"/>
      <c r="C2632" s="120"/>
      <c r="D2632" s="120"/>
      <c r="E2632" s="120"/>
      <c r="F2632" s="120"/>
      <c r="G2632" s="120"/>
      <c r="H2632" s="120"/>
      <c r="I2632" s="121"/>
      <c r="J2632" s="121"/>
      <c r="K2632" s="117"/>
    </row>
    <row r="2633" ht="15.75" customHeight="1">
      <c r="A2633" s="122"/>
      <c r="B2633" s="133"/>
      <c r="C2633" s="120"/>
      <c r="D2633" s="120"/>
      <c r="E2633" s="120"/>
      <c r="F2633" s="120"/>
      <c r="G2633" s="120"/>
      <c r="H2633" s="120"/>
      <c r="I2633" s="121"/>
      <c r="J2633" s="121"/>
      <c r="K2633" s="117"/>
    </row>
    <row r="2634" ht="15.75" customHeight="1">
      <c r="A2634" s="122"/>
      <c r="B2634" s="133"/>
      <c r="C2634" s="120"/>
      <c r="D2634" s="120"/>
      <c r="E2634" s="120"/>
      <c r="F2634" s="120"/>
      <c r="G2634" s="120"/>
      <c r="H2634" s="120"/>
      <c r="I2634" s="121"/>
      <c r="J2634" s="121"/>
      <c r="K2634" s="117"/>
    </row>
    <row r="2635" ht="15.75" customHeight="1">
      <c r="A2635" s="122"/>
      <c r="B2635" s="133"/>
      <c r="C2635" s="120"/>
      <c r="D2635" s="120"/>
      <c r="E2635" s="120"/>
      <c r="F2635" s="120"/>
      <c r="G2635" s="120"/>
      <c r="H2635" s="120"/>
      <c r="I2635" s="121"/>
      <c r="J2635" s="121"/>
      <c r="K2635" s="117"/>
    </row>
    <row r="2636" ht="15.75" customHeight="1">
      <c r="A2636" s="122"/>
      <c r="B2636" s="133"/>
      <c r="C2636" s="120"/>
      <c r="D2636" s="120"/>
      <c r="E2636" s="120"/>
      <c r="F2636" s="120"/>
      <c r="G2636" s="120"/>
      <c r="H2636" s="120"/>
      <c r="I2636" s="121"/>
      <c r="J2636" s="121"/>
      <c r="K2636" s="117"/>
    </row>
    <row r="2637" ht="15.75" customHeight="1">
      <c r="A2637" s="122"/>
      <c r="B2637" s="133"/>
      <c r="C2637" s="120"/>
      <c r="D2637" s="120"/>
      <c r="E2637" s="120"/>
      <c r="F2637" s="120"/>
      <c r="G2637" s="120"/>
      <c r="H2637" s="120"/>
      <c r="I2637" s="121"/>
      <c r="J2637" s="121"/>
      <c r="K2637" s="117"/>
    </row>
    <row r="2638" ht="15.75" customHeight="1">
      <c r="A2638" s="122"/>
      <c r="B2638" s="133"/>
      <c r="C2638" s="120"/>
      <c r="D2638" s="120"/>
      <c r="E2638" s="120"/>
      <c r="F2638" s="120"/>
      <c r="G2638" s="120"/>
      <c r="H2638" s="120"/>
      <c r="I2638" s="121"/>
      <c r="J2638" s="121"/>
      <c r="K2638" s="117"/>
    </row>
    <row r="2639" ht="15.75" customHeight="1">
      <c r="A2639" s="122"/>
      <c r="B2639" s="133"/>
      <c r="C2639" s="120"/>
      <c r="D2639" s="120"/>
      <c r="E2639" s="120"/>
      <c r="F2639" s="120"/>
      <c r="G2639" s="120"/>
      <c r="H2639" s="120"/>
      <c r="I2639" s="121"/>
      <c r="J2639" s="121"/>
      <c r="K2639" s="117"/>
    </row>
    <row r="2640" ht="15.75" customHeight="1">
      <c r="A2640" s="122"/>
      <c r="B2640" s="133"/>
      <c r="C2640" s="120"/>
      <c r="D2640" s="120"/>
      <c r="E2640" s="120"/>
      <c r="F2640" s="120"/>
      <c r="G2640" s="120"/>
      <c r="H2640" s="120"/>
      <c r="I2640" s="121"/>
      <c r="J2640" s="121"/>
      <c r="K2640" s="117"/>
    </row>
    <row r="2641" ht="15.75" customHeight="1">
      <c r="A2641" s="122"/>
      <c r="B2641" s="133"/>
      <c r="C2641" s="120"/>
      <c r="D2641" s="120"/>
      <c r="E2641" s="120"/>
      <c r="F2641" s="120"/>
      <c r="G2641" s="120"/>
      <c r="H2641" s="120"/>
      <c r="I2641" s="121"/>
      <c r="J2641" s="121"/>
      <c r="K2641" s="117"/>
    </row>
    <row r="2642" ht="15.75" customHeight="1">
      <c r="A2642" s="122"/>
      <c r="B2642" s="133"/>
      <c r="C2642" s="120"/>
      <c r="D2642" s="120"/>
      <c r="E2642" s="120"/>
      <c r="F2642" s="120"/>
      <c r="G2642" s="120"/>
      <c r="H2642" s="120"/>
      <c r="I2642" s="121"/>
      <c r="J2642" s="121"/>
      <c r="K2642" s="117"/>
    </row>
    <row r="2643" ht="15.75" customHeight="1">
      <c r="A2643" s="122"/>
      <c r="B2643" s="133"/>
      <c r="C2643" s="120"/>
      <c r="D2643" s="120"/>
      <c r="E2643" s="120"/>
      <c r="F2643" s="120"/>
      <c r="G2643" s="120"/>
      <c r="H2643" s="120"/>
      <c r="I2643" s="121"/>
      <c r="J2643" s="121"/>
      <c r="K2643" s="117"/>
    </row>
    <row r="2644" ht="15.75" customHeight="1">
      <c r="A2644" s="122"/>
      <c r="B2644" s="133"/>
      <c r="C2644" s="120"/>
      <c r="D2644" s="120"/>
      <c r="E2644" s="120"/>
      <c r="F2644" s="120"/>
      <c r="G2644" s="120"/>
      <c r="H2644" s="120"/>
      <c r="I2644" s="121"/>
      <c r="J2644" s="121"/>
      <c r="K2644" s="117"/>
    </row>
    <row r="2645" ht="15.75" customHeight="1">
      <c r="A2645" s="122"/>
      <c r="B2645" s="133"/>
      <c r="C2645" s="120"/>
      <c r="D2645" s="120"/>
      <c r="E2645" s="120"/>
      <c r="F2645" s="120"/>
      <c r="G2645" s="120"/>
      <c r="H2645" s="120"/>
      <c r="I2645" s="121"/>
      <c r="J2645" s="121"/>
      <c r="K2645" s="117"/>
    </row>
    <row r="2646" ht="15.75" customHeight="1">
      <c r="A2646" s="122"/>
      <c r="B2646" s="133"/>
      <c r="C2646" s="120"/>
      <c r="D2646" s="120"/>
      <c r="E2646" s="120"/>
      <c r="F2646" s="120"/>
      <c r="G2646" s="120"/>
      <c r="H2646" s="120"/>
      <c r="I2646" s="121"/>
      <c r="J2646" s="121"/>
      <c r="K2646" s="117"/>
    </row>
    <row r="2647" ht="15.75" customHeight="1">
      <c r="A2647" s="122"/>
      <c r="B2647" s="133"/>
      <c r="C2647" s="120"/>
      <c r="D2647" s="120"/>
      <c r="E2647" s="120"/>
      <c r="F2647" s="120"/>
      <c r="G2647" s="120"/>
      <c r="H2647" s="120"/>
      <c r="I2647" s="121"/>
      <c r="J2647" s="121"/>
      <c r="K2647" s="117"/>
    </row>
    <row r="2648" ht="15.75" customHeight="1">
      <c r="A2648" s="122"/>
      <c r="B2648" s="133"/>
      <c r="C2648" s="120"/>
      <c r="D2648" s="120"/>
      <c r="E2648" s="120"/>
      <c r="F2648" s="120"/>
      <c r="G2648" s="120"/>
      <c r="H2648" s="120"/>
      <c r="I2648" s="121"/>
      <c r="J2648" s="121"/>
      <c r="K2648" s="117"/>
    </row>
    <row r="2649" ht="15.75" customHeight="1">
      <c r="A2649" s="122"/>
      <c r="B2649" s="133"/>
      <c r="C2649" s="120"/>
      <c r="D2649" s="120"/>
      <c r="E2649" s="120"/>
      <c r="F2649" s="120"/>
      <c r="G2649" s="120"/>
      <c r="H2649" s="120"/>
      <c r="I2649" s="121"/>
      <c r="J2649" s="121"/>
      <c r="K2649" s="117"/>
    </row>
    <row r="2650" ht="15.75" customHeight="1">
      <c r="A2650" s="122"/>
      <c r="B2650" s="133"/>
      <c r="C2650" s="120"/>
      <c r="D2650" s="120"/>
      <c r="E2650" s="120"/>
      <c r="F2650" s="120"/>
      <c r="G2650" s="120"/>
      <c r="H2650" s="120"/>
      <c r="I2650" s="121"/>
      <c r="J2650" s="121"/>
      <c r="K2650" s="117"/>
    </row>
    <row r="2651" ht="15.75" customHeight="1">
      <c r="A2651" s="122"/>
      <c r="B2651" s="133"/>
      <c r="C2651" s="120"/>
      <c r="D2651" s="120"/>
      <c r="E2651" s="120"/>
      <c r="F2651" s="120"/>
      <c r="G2651" s="120"/>
      <c r="H2651" s="120"/>
      <c r="I2651" s="121"/>
      <c r="J2651" s="121"/>
      <c r="K2651" s="117"/>
    </row>
    <row r="2652" ht="15.75" customHeight="1">
      <c r="A2652" s="122"/>
      <c r="B2652" s="133"/>
      <c r="C2652" s="120"/>
      <c r="D2652" s="120"/>
      <c r="E2652" s="120"/>
      <c r="F2652" s="120"/>
      <c r="G2652" s="120"/>
      <c r="H2652" s="120"/>
      <c r="I2652" s="121"/>
      <c r="J2652" s="121"/>
      <c r="K2652" s="117"/>
    </row>
    <row r="2653" ht="15.75" customHeight="1">
      <c r="A2653" s="122"/>
      <c r="B2653" s="133"/>
      <c r="C2653" s="120"/>
      <c r="D2653" s="120"/>
      <c r="E2653" s="120"/>
      <c r="F2653" s="120"/>
      <c r="G2653" s="120"/>
      <c r="H2653" s="120"/>
      <c r="I2653" s="121"/>
      <c r="J2653" s="121"/>
      <c r="K2653" s="117"/>
    </row>
    <row r="2654" ht="15.75" customHeight="1">
      <c r="A2654" s="122"/>
      <c r="B2654" s="133"/>
      <c r="C2654" s="120"/>
      <c r="D2654" s="120"/>
      <c r="E2654" s="120"/>
      <c r="F2654" s="120"/>
      <c r="G2654" s="120"/>
      <c r="H2654" s="120"/>
      <c r="I2654" s="121"/>
      <c r="J2654" s="121"/>
      <c r="K2654" s="117"/>
    </row>
    <row r="2655" ht="15.75" customHeight="1">
      <c r="A2655" s="122"/>
      <c r="B2655" s="133"/>
      <c r="C2655" s="120"/>
      <c r="D2655" s="120"/>
      <c r="E2655" s="120"/>
      <c r="F2655" s="120"/>
      <c r="G2655" s="120"/>
      <c r="H2655" s="120"/>
      <c r="I2655" s="121"/>
      <c r="J2655" s="121"/>
      <c r="K2655" s="117"/>
    </row>
    <row r="2656" ht="15.75" customHeight="1">
      <c r="A2656" s="122"/>
      <c r="B2656" s="133"/>
      <c r="C2656" s="120"/>
      <c r="D2656" s="120"/>
      <c r="E2656" s="120"/>
      <c r="F2656" s="120"/>
      <c r="G2656" s="120"/>
      <c r="H2656" s="120"/>
      <c r="I2656" s="121"/>
      <c r="J2656" s="121"/>
      <c r="K2656" s="117"/>
    </row>
    <row r="2657" ht="15.75" customHeight="1">
      <c r="A2657" s="122"/>
      <c r="B2657" s="133"/>
      <c r="C2657" s="120"/>
      <c r="D2657" s="120"/>
      <c r="E2657" s="120"/>
      <c r="F2657" s="120"/>
      <c r="G2657" s="120"/>
      <c r="H2657" s="120"/>
      <c r="I2657" s="121"/>
      <c r="J2657" s="121"/>
      <c r="K2657" s="117"/>
    </row>
    <row r="2658" ht="15.75" customHeight="1">
      <c r="A2658" s="122"/>
      <c r="B2658" s="133"/>
      <c r="C2658" s="120"/>
      <c r="D2658" s="120"/>
      <c r="E2658" s="120"/>
      <c r="F2658" s="120"/>
      <c r="G2658" s="120"/>
      <c r="H2658" s="120"/>
      <c r="I2658" s="121"/>
      <c r="J2658" s="121"/>
      <c r="K2658" s="117"/>
    </row>
    <row r="2659" ht="15.75" customHeight="1">
      <c r="A2659" s="122"/>
      <c r="B2659" s="133"/>
      <c r="C2659" s="120"/>
      <c r="D2659" s="120"/>
      <c r="E2659" s="120"/>
      <c r="F2659" s="120"/>
      <c r="G2659" s="120"/>
      <c r="H2659" s="120"/>
      <c r="I2659" s="121"/>
      <c r="J2659" s="121"/>
      <c r="K2659" s="117"/>
    </row>
    <row r="2660" ht="15.75" customHeight="1">
      <c r="A2660" s="122"/>
      <c r="B2660" s="133"/>
      <c r="C2660" s="120"/>
      <c r="D2660" s="120"/>
      <c r="E2660" s="120"/>
      <c r="F2660" s="120"/>
      <c r="G2660" s="120"/>
      <c r="H2660" s="120"/>
      <c r="I2660" s="121"/>
      <c r="J2660" s="121"/>
      <c r="K2660" s="117"/>
    </row>
    <row r="2661" ht="15.75" customHeight="1">
      <c r="A2661" s="122"/>
      <c r="B2661" s="133"/>
      <c r="C2661" s="120"/>
      <c r="D2661" s="120"/>
      <c r="E2661" s="120"/>
      <c r="F2661" s="120"/>
      <c r="G2661" s="120"/>
      <c r="H2661" s="120"/>
      <c r="I2661" s="121"/>
      <c r="J2661" s="121"/>
      <c r="K2661" s="117"/>
    </row>
    <row r="2662" ht="15.75" customHeight="1">
      <c r="A2662" s="122"/>
      <c r="B2662" s="133"/>
      <c r="C2662" s="120"/>
      <c r="D2662" s="120"/>
      <c r="E2662" s="120"/>
      <c r="F2662" s="120"/>
      <c r="G2662" s="120"/>
      <c r="H2662" s="120"/>
      <c r="I2662" s="121"/>
      <c r="J2662" s="121"/>
      <c r="K2662" s="117"/>
    </row>
    <row r="2663" ht="15.75" customHeight="1">
      <c r="A2663" s="122"/>
      <c r="B2663" s="133"/>
      <c r="C2663" s="120"/>
      <c r="D2663" s="120"/>
      <c r="E2663" s="120"/>
      <c r="F2663" s="120"/>
      <c r="G2663" s="120"/>
      <c r="H2663" s="120"/>
      <c r="I2663" s="121"/>
      <c r="J2663" s="121"/>
      <c r="K2663" s="117"/>
    </row>
    <row r="2664" ht="15.75" customHeight="1">
      <c r="A2664" s="122"/>
      <c r="B2664" s="133"/>
      <c r="C2664" s="120"/>
      <c r="D2664" s="120"/>
      <c r="E2664" s="120"/>
      <c r="F2664" s="120"/>
      <c r="G2664" s="120"/>
      <c r="H2664" s="120"/>
      <c r="I2664" s="121"/>
      <c r="J2664" s="121"/>
      <c r="K2664" s="117"/>
    </row>
    <row r="2665" ht="15.75" customHeight="1">
      <c r="A2665" s="122"/>
      <c r="B2665" s="133"/>
      <c r="C2665" s="120"/>
      <c r="D2665" s="120"/>
      <c r="E2665" s="120"/>
      <c r="F2665" s="120"/>
      <c r="G2665" s="120"/>
      <c r="H2665" s="120"/>
      <c r="I2665" s="121"/>
      <c r="J2665" s="121"/>
      <c r="K2665" s="117"/>
    </row>
    <row r="2666" ht="15.75" customHeight="1">
      <c r="A2666" s="122"/>
      <c r="B2666" s="133"/>
      <c r="C2666" s="120"/>
      <c r="D2666" s="120"/>
      <c r="E2666" s="120"/>
      <c r="F2666" s="120"/>
      <c r="G2666" s="120"/>
      <c r="H2666" s="120"/>
      <c r="I2666" s="121"/>
      <c r="J2666" s="121"/>
      <c r="K2666" s="117"/>
    </row>
    <row r="2667" ht="15.75" customHeight="1">
      <c r="A2667" s="122"/>
      <c r="B2667" s="133"/>
      <c r="C2667" s="120"/>
      <c r="D2667" s="120"/>
      <c r="E2667" s="120"/>
      <c r="F2667" s="120"/>
      <c r="G2667" s="120"/>
      <c r="H2667" s="120"/>
      <c r="I2667" s="121"/>
      <c r="J2667" s="121"/>
      <c r="K2667" s="117"/>
    </row>
    <row r="2668" ht="15.75" customHeight="1">
      <c r="A2668" s="122"/>
      <c r="B2668" s="133"/>
      <c r="C2668" s="120"/>
      <c r="D2668" s="120"/>
      <c r="E2668" s="120"/>
      <c r="F2668" s="120"/>
      <c r="G2668" s="120"/>
      <c r="H2668" s="120"/>
      <c r="I2668" s="121"/>
      <c r="J2668" s="121"/>
      <c r="K2668" s="117"/>
    </row>
    <row r="2669" ht="15.75" customHeight="1">
      <c r="A2669" s="122"/>
      <c r="B2669" s="133"/>
      <c r="C2669" s="120"/>
      <c r="D2669" s="120"/>
      <c r="E2669" s="120"/>
      <c r="F2669" s="120"/>
      <c r="G2669" s="120"/>
      <c r="H2669" s="120"/>
      <c r="I2669" s="121"/>
      <c r="J2669" s="121"/>
      <c r="K2669" s="117"/>
    </row>
    <row r="2670" ht="15.75" customHeight="1">
      <c r="A2670" s="122"/>
      <c r="B2670" s="133"/>
      <c r="C2670" s="120"/>
      <c r="D2670" s="120"/>
      <c r="E2670" s="120"/>
      <c r="F2670" s="120"/>
      <c r="G2670" s="120"/>
      <c r="H2670" s="120"/>
      <c r="I2670" s="121"/>
      <c r="J2670" s="121"/>
      <c r="K2670" s="117"/>
    </row>
    <row r="2671" ht="15.75" customHeight="1">
      <c r="A2671" s="122"/>
      <c r="B2671" s="133"/>
      <c r="C2671" s="120"/>
      <c r="D2671" s="120"/>
      <c r="E2671" s="120"/>
      <c r="F2671" s="120"/>
      <c r="G2671" s="120"/>
      <c r="H2671" s="120"/>
      <c r="I2671" s="121"/>
      <c r="J2671" s="121"/>
      <c r="K2671" s="117"/>
    </row>
    <row r="2672" ht="15.75" customHeight="1">
      <c r="A2672" s="122"/>
      <c r="B2672" s="133"/>
      <c r="C2672" s="120"/>
      <c r="D2672" s="120"/>
      <c r="E2672" s="120"/>
      <c r="F2672" s="120"/>
      <c r="G2672" s="120"/>
      <c r="H2672" s="120"/>
      <c r="I2672" s="121"/>
      <c r="J2672" s="121"/>
      <c r="K2672" s="117"/>
    </row>
    <row r="2673" ht="15.75" customHeight="1">
      <c r="A2673" s="122"/>
      <c r="B2673" s="133"/>
      <c r="C2673" s="120"/>
      <c r="D2673" s="120"/>
      <c r="E2673" s="120"/>
      <c r="F2673" s="120"/>
      <c r="G2673" s="120"/>
      <c r="H2673" s="120"/>
      <c r="I2673" s="121"/>
      <c r="J2673" s="121"/>
      <c r="K2673" s="117"/>
    </row>
    <row r="2674" ht="15.75" customHeight="1">
      <c r="A2674" s="122"/>
      <c r="B2674" s="133"/>
      <c r="C2674" s="120"/>
      <c r="D2674" s="120"/>
      <c r="E2674" s="120"/>
      <c r="F2674" s="120"/>
      <c r="G2674" s="120"/>
      <c r="H2674" s="120"/>
      <c r="I2674" s="121"/>
      <c r="J2674" s="121"/>
      <c r="K2674" s="117"/>
    </row>
    <row r="2675" ht="15.75" customHeight="1">
      <c r="A2675" s="122"/>
      <c r="B2675" s="133"/>
      <c r="C2675" s="120"/>
      <c r="D2675" s="120"/>
      <c r="E2675" s="120"/>
      <c r="F2675" s="120"/>
      <c r="G2675" s="120"/>
      <c r="H2675" s="120"/>
      <c r="I2675" s="121"/>
      <c r="J2675" s="121"/>
      <c r="K2675" s="117"/>
    </row>
    <row r="2676" ht="15.75" customHeight="1">
      <c r="A2676" s="122"/>
      <c r="B2676" s="133"/>
      <c r="C2676" s="120"/>
      <c r="D2676" s="120"/>
      <c r="E2676" s="120"/>
      <c r="F2676" s="120"/>
      <c r="G2676" s="120"/>
      <c r="H2676" s="120"/>
      <c r="I2676" s="121"/>
      <c r="J2676" s="121"/>
      <c r="K2676" s="117"/>
    </row>
    <row r="2677" ht="15.75" customHeight="1">
      <c r="A2677" s="122"/>
      <c r="B2677" s="133"/>
      <c r="C2677" s="120"/>
      <c r="D2677" s="120"/>
      <c r="E2677" s="120"/>
      <c r="F2677" s="120"/>
      <c r="G2677" s="120"/>
      <c r="H2677" s="120"/>
      <c r="I2677" s="121"/>
      <c r="J2677" s="121"/>
      <c r="K2677" s="117"/>
    </row>
    <row r="2678" ht="15.75" customHeight="1">
      <c r="A2678" s="122"/>
      <c r="B2678" s="133"/>
      <c r="C2678" s="120"/>
      <c r="D2678" s="120"/>
      <c r="E2678" s="120"/>
      <c r="F2678" s="120"/>
      <c r="G2678" s="120"/>
      <c r="H2678" s="120"/>
      <c r="I2678" s="121"/>
      <c r="J2678" s="121"/>
      <c r="K2678" s="117"/>
    </row>
    <row r="2679" ht="15.75" customHeight="1">
      <c r="A2679" s="122"/>
      <c r="B2679" s="133"/>
      <c r="C2679" s="120"/>
      <c r="D2679" s="120"/>
      <c r="E2679" s="120"/>
      <c r="F2679" s="120"/>
      <c r="G2679" s="120"/>
      <c r="H2679" s="120"/>
      <c r="I2679" s="121"/>
      <c r="J2679" s="121"/>
      <c r="K2679" s="117"/>
    </row>
    <row r="2680" ht="15.75" customHeight="1">
      <c r="A2680" s="122"/>
      <c r="B2680" s="133"/>
      <c r="C2680" s="120"/>
      <c r="D2680" s="120"/>
      <c r="E2680" s="120"/>
      <c r="F2680" s="120"/>
      <c r="G2680" s="120"/>
      <c r="H2680" s="120"/>
      <c r="I2680" s="121"/>
      <c r="J2680" s="121"/>
      <c r="K2680" s="117"/>
    </row>
    <row r="2681" ht="15.75" customHeight="1">
      <c r="A2681" s="122"/>
      <c r="B2681" s="133"/>
      <c r="C2681" s="120"/>
      <c r="D2681" s="120"/>
      <c r="E2681" s="120"/>
      <c r="F2681" s="120"/>
      <c r="G2681" s="120"/>
      <c r="H2681" s="120"/>
      <c r="I2681" s="121"/>
      <c r="J2681" s="121"/>
      <c r="K2681" s="117"/>
    </row>
    <row r="2682" ht="15.75" customHeight="1">
      <c r="A2682" s="122"/>
      <c r="B2682" s="133"/>
      <c r="C2682" s="120"/>
      <c r="D2682" s="120"/>
      <c r="E2682" s="120"/>
      <c r="F2682" s="120"/>
      <c r="G2682" s="120"/>
      <c r="H2682" s="120"/>
      <c r="I2682" s="121"/>
      <c r="J2682" s="121"/>
      <c r="K2682" s="117"/>
    </row>
    <row r="2683" ht="15.75" customHeight="1">
      <c r="A2683" s="122"/>
      <c r="B2683" s="133"/>
      <c r="C2683" s="120"/>
      <c r="D2683" s="120"/>
      <c r="E2683" s="120"/>
      <c r="F2683" s="120"/>
      <c r="G2683" s="120"/>
      <c r="H2683" s="120"/>
      <c r="I2683" s="121"/>
      <c r="J2683" s="121"/>
      <c r="K2683" s="117"/>
    </row>
    <row r="2684" ht="15.75" customHeight="1">
      <c r="A2684" s="122"/>
      <c r="B2684" s="133"/>
      <c r="C2684" s="120"/>
      <c r="D2684" s="120"/>
      <c r="E2684" s="120"/>
      <c r="F2684" s="120"/>
      <c r="G2684" s="120"/>
      <c r="H2684" s="120"/>
      <c r="I2684" s="121"/>
      <c r="J2684" s="121"/>
      <c r="K2684" s="117"/>
    </row>
    <row r="2685" ht="15.75" customHeight="1">
      <c r="A2685" s="122"/>
      <c r="B2685" s="133"/>
      <c r="C2685" s="120"/>
      <c r="D2685" s="120"/>
      <c r="E2685" s="120"/>
      <c r="F2685" s="120"/>
      <c r="G2685" s="120"/>
      <c r="H2685" s="120"/>
      <c r="I2685" s="121"/>
      <c r="J2685" s="121"/>
      <c r="K2685" s="117"/>
    </row>
    <row r="2686" ht="15.75" customHeight="1">
      <c r="A2686" s="122"/>
      <c r="B2686" s="133"/>
      <c r="C2686" s="120"/>
      <c r="D2686" s="120"/>
      <c r="E2686" s="120"/>
      <c r="F2686" s="120"/>
      <c r="G2686" s="120"/>
      <c r="H2686" s="120"/>
      <c r="I2686" s="121"/>
      <c r="J2686" s="121"/>
      <c r="K2686" s="117"/>
    </row>
    <row r="2687" ht="15.75" customHeight="1">
      <c r="A2687" s="122"/>
      <c r="B2687" s="133"/>
      <c r="C2687" s="120"/>
      <c r="D2687" s="120"/>
      <c r="E2687" s="120"/>
      <c r="F2687" s="120"/>
      <c r="G2687" s="120"/>
      <c r="H2687" s="120"/>
      <c r="I2687" s="121"/>
      <c r="J2687" s="121"/>
      <c r="K2687" s="117"/>
    </row>
    <row r="2688" ht="15.75" customHeight="1">
      <c r="A2688" s="122"/>
      <c r="B2688" s="133"/>
      <c r="C2688" s="120"/>
      <c r="D2688" s="120"/>
      <c r="E2688" s="120"/>
      <c r="F2688" s="120"/>
      <c r="G2688" s="120"/>
      <c r="H2688" s="120"/>
      <c r="I2688" s="121"/>
      <c r="J2688" s="121"/>
      <c r="K2688" s="117"/>
    </row>
    <row r="2689" ht="15.75" customHeight="1">
      <c r="A2689" s="122"/>
      <c r="B2689" s="133"/>
      <c r="C2689" s="120"/>
      <c r="D2689" s="120"/>
      <c r="E2689" s="120"/>
      <c r="F2689" s="120"/>
      <c r="G2689" s="120"/>
      <c r="H2689" s="120"/>
      <c r="I2689" s="121"/>
      <c r="J2689" s="121"/>
      <c r="K2689" s="117"/>
    </row>
    <row r="2690" ht="15.75" customHeight="1">
      <c r="A2690" s="122"/>
      <c r="B2690" s="133"/>
      <c r="C2690" s="120"/>
      <c r="D2690" s="120"/>
      <c r="E2690" s="120"/>
      <c r="F2690" s="120"/>
      <c r="G2690" s="120"/>
      <c r="H2690" s="120"/>
      <c r="I2690" s="121"/>
      <c r="J2690" s="121"/>
      <c r="K2690" s="117"/>
    </row>
    <row r="2691" ht="15.75" customHeight="1">
      <c r="A2691" s="122"/>
      <c r="B2691" s="133"/>
      <c r="C2691" s="120"/>
      <c r="D2691" s="120"/>
      <c r="E2691" s="120"/>
      <c r="F2691" s="120"/>
      <c r="G2691" s="120"/>
      <c r="H2691" s="120"/>
      <c r="I2691" s="121"/>
      <c r="J2691" s="121"/>
      <c r="K2691" s="117"/>
    </row>
    <row r="2692" ht="15.75" customHeight="1">
      <c r="A2692" s="122"/>
      <c r="B2692" s="133"/>
      <c r="C2692" s="120"/>
      <c r="D2692" s="120"/>
      <c r="E2692" s="120"/>
      <c r="F2692" s="120"/>
      <c r="G2692" s="120"/>
      <c r="H2692" s="120"/>
      <c r="I2692" s="121"/>
      <c r="J2692" s="121"/>
      <c r="K2692" s="117"/>
    </row>
    <row r="2693" ht="15.75" customHeight="1">
      <c r="A2693" s="122"/>
      <c r="B2693" s="133"/>
      <c r="C2693" s="120"/>
      <c r="D2693" s="120"/>
      <c r="E2693" s="120"/>
      <c r="F2693" s="120"/>
      <c r="G2693" s="120"/>
      <c r="H2693" s="120"/>
      <c r="I2693" s="121"/>
      <c r="J2693" s="121"/>
      <c r="K2693" s="117"/>
    </row>
    <row r="2694" ht="15.75" customHeight="1">
      <c r="A2694" s="122"/>
      <c r="B2694" s="133"/>
      <c r="C2694" s="120"/>
      <c r="D2694" s="120"/>
      <c r="E2694" s="120"/>
      <c r="F2694" s="120"/>
      <c r="G2694" s="120"/>
      <c r="H2694" s="120"/>
      <c r="I2694" s="121"/>
      <c r="J2694" s="121"/>
      <c r="K2694" s="117"/>
    </row>
    <row r="2695" ht="15.75" customHeight="1">
      <c r="A2695" s="122"/>
      <c r="B2695" s="133"/>
      <c r="C2695" s="120"/>
      <c r="D2695" s="120"/>
      <c r="E2695" s="120"/>
      <c r="F2695" s="120"/>
      <c r="G2695" s="120"/>
      <c r="H2695" s="120"/>
      <c r="I2695" s="121"/>
      <c r="J2695" s="121"/>
      <c r="K2695" s="117"/>
    </row>
    <row r="2696" ht="15.75" customHeight="1">
      <c r="A2696" s="122"/>
      <c r="B2696" s="133"/>
      <c r="C2696" s="120"/>
      <c r="D2696" s="120"/>
      <c r="E2696" s="120"/>
      <c r="F2696" s="120"/>
      <c r="G2696" s="120"/>
      <c r="H2696" s="120"/>
      <c r="I2696" s="121"/>
      <c r="J2696" s="121"/>
      <c r="K2696" s="117"/>
    </row>
    <row r="2697" ht="15.75" customHeight="1">
      <c r="A2697" s="122"/>
      <c r="B2697" s="133"/>
      <c r="C2697" s="120"/>
      <c r="D2697" s="120"/>
      <c r="E2697" s="120"/>
      <c r="F2697" s="120"/>
      <c r="G2697" s="120"/>
      <c r="H2697" s="120"/>
      <c r="I2697" s="121"/>
      <c r="J2697" s="121"/>
      <c r="K2697" s="117"/>
    </row>
    <row r="2698" ht="15.75" customHeight="1">
      <c r="A2698" s="122"/>
      <c r="B2698" s="133"/>
      <c r="C2698" s="120"/>
      <c r="D2698" s="120"/>
      <c r="E2698" s="120"/>
      <c r="F2698" s="120"/>
      <c r="G2698" s="120"/>
      <c r="H2698" s="120"/>
      <c r="I2698" s="121"/>
      <c r="J2698" s="121"/>
      <c r="K2698" s="117"/>
    </row>
    <row r="2699" ht="15.75" customHeight="1">
      <c r="A2699" s="122"/>
      <c r="B2699" s="133"/>
      <c r="C2699" s="120"/>
      <c r="D2699" s="120"/>
      <c r="E2699" s="120"/>
      <c r="F2699" s="120"/>
      <c r="G2699" s="120"/>
      <c r="H2699" s="120"/>
      <c r="I2699" s="121"/>
      <c r="J2699" s="121"/>
      <c r="K2699" s="117"/>
    </row>
    <row r="2700" ht="15.75" customHeight="1">
      <c r="A2700" s="122"/>
      <c r="B2700" s="133"/>
      <c r="C2700" s="120"/>
      <c r="D2700" s="120"/>
      <c r="E2700" s="120"/>
      <c r="F2700" s="120"/>
      <c r="G2700" s="120"/>
      <c r="H2700" s="120"/>
      <c r="I2700" s="121"/>
      <c r="J2700" s="121"/>
      <c r="K2700" s="117"/>
    </row>
    <row r="2701" ht="15.75" customHeight="1">
      <c r="A2701" s="122"/>
      <c r="B2701" s="133"/>
      <c r="C2701" s="120"/>
      <c r="D2701" s="120"/>
      <c r="E2701" s="120"/>
      <c r="F2701" s="120"/>
      <c r="G2701" s="120"/>
      <c r="H2701" s="120"/>
      <c r="I2701" s="121"/>
      <c r="J2701" s="121"/>
      <c r="K2701" s="117"/>
    </row>
    <row r="2702" ht="15.75" customHeight="1">
      <c r="A2702" s="122"/>
      <c r="B2702" s="133"/>
      <c r="C2702" s="120"/>
      <c r="D2702" s="120"/>
      <c r="E2702" s="120"/>
      <c r="F2702" s="120"/>
      <c r="G2702" s="120"/>
      <c r="H2702" s="120"/>
      <c r="I2702" s="121"/>
      <c r="J2702" s="121"/>
      <c r="K2702" s="117"/>
    </row>
    <row r="2703" ht="15.75" customHeight="1">
      <c r="A2703" s="122"/>
      <c r="B2703" s="133"/>
      <c r="C2703" s="120"/>
      <c r="D2703" s="120"/>
      <c r="E2703" s="120"/>
      <c r="F2703" s="120"/>
      <c r="G2703" s="120"/>
      <c r="H2703" s="120"/>
      <c r="I2703" s="121"/>
      <c r="J2703" s="121"/>
      <c r="K2703" s="117"/>
    </row>
    <row r="2704" ht="15.75" customHeight="1">
      <c r="A2704" s="122"/>
      <c r="B2704" s="133"/>
      <c r="C2704" s="120"/>
      <c r="D2704" s="120"/>
      <c r="E2704" s="120"/>
      <c r="F2704" s="120"/>
      <c r="G2704" s="120"/>
      <c r="H2704" s="120"/>
      <c r="I2704" s="121"/>
      <c r="J2704" s="121"/>
      <c r="K2704" s="117"/>
    </row>
    <row r="2705" ht="15.75" customHeight="1">
      <c r="A2705" s="122"/>
      <c r="B2705" s="133"/>
      <c r="C2705" s="120"/>
      <c r="D2705" s="120"/>
      <c r="E2705" s="120"/>
      <c r="F2705" s="120"/>
      <c r="G2705" s="120"/>
      <c r="H2705" s="120"/>
      <c r="I2705" s="121"/>
      <c r="J2705" s="121"/>
      <c r="K2705" s="117"/>
    </row>
    <row r="2706" ht="15.75" customHeight="1">
      <c r="A2706" s="122"/>
      <c r="B2706" s="133"/>
      <c r="C2706" s="120"/>
      <c r="D2706" s="120"/>
      <c r="E2706" s="120"/>
      <c r="F2706" s="120"/>
      <c r="G2706" s="120"/>
      <c r="H2706" s="120"/>
      <c r="I2706" s="121"/>
      <c r="J2706" s="121"/>
      <c r="K2706" s="117"/>
    </row>
    <row r="2707" ht="15.75" customHeight="1">
      <c r="A2707" s="122"/>
      <c r="B2707" s="133"/>
      <c r="C2707" s="120"/>
      <c r="D2707" s="120"/>
      <c r="E2707" s="120"/>
      <c r="F2707" s="120"/>
      <c r="G2707" s="120"/>
      <c r="H2707" s="120"/>
      <c r="I2707" s="121"/>
      <c r="J2707" s="121"/>
      <c r="K2707" s="117"/>
    </row>
    <row r="2708" ht="15.75" customHeight="1">
      <c r="A2708" s="122"/>
      <c r="B2708" s="133"/>
      <c r="C2708" s="120"/>
      <c r="D2708" s="120"/>
      <c r="E2708" s="120"/>
      <c r="F2708" s="120"/>
      <c r="G2708" s="120"/>
      <c r="H2708" s="120"/>
      <c r="I2708" s="121"/>
      <c r="J2708" s="121"/>
      <c r="K2708" s="117"/>
    </row>
    <row r="2709" ht="15.75" customHeight="1">
      <c r="A2709" s="122"/>
      <c r="B2709" s="133"/>
      <c r="C2709" s="120"/>
      <c r="D2709" s="120"/>
      <c r="E2709" s="120"/>
      <c r="F2709" s="120"/>
      <c r="G2709" s="120"/>
      <c r="H2709" s="120"/>
      <c r="I2709" s="121"/>
      <c r="J2709" s="121"/>
      <c r="K2709" s="117"/>
    </row>
    <row r="2710" ht="15.75" customHeight="1">
      <c r="A2710" s="122"/>
      <c r="B2710" s="133"/>
      <c r="C2710" s="120"/>
      <c r="D2710" s="120"/>
      <c r="E2710" s="120"/>
      <c r="F2710" s="120"/>
      <c r="G2710" s="120"/>
      <c r="H2710" s="120"/>
      <c r="I2710" s="121"/>
      <c r="J2710" s="121"/>
      <c r="K2710" s="117"/>
    </row>
    <row r="2711" ht="15.75" customHeight="1">
      <c r="A2711" s="122"/>
      <c r="B2711" s="133"/>
      <c r="C2711" s="120"/>
      <c r="D2711" s="120"/>
      <c r="E2711" s="120"/>
      <c r="F2711" s="120"/>
      <c r="G2711" s="120"/>
      <c r="H2711" s="120"/>
      <c r="I2711" s="121"/>
      <c r="J2711" s="121"/>
      <c r="K2711" s="117"/>
    </row>
    <row r="2712" ht="15.75" customHeight="1">
      <c r="A2712" s="122"/>
      <c r="B2712" s="133"/>
      <c r="C2712" s="120"/>
      <c r="D2712" s="120"/>
      <c r="E2712" s="120"/>
      <c r="F2712" s="120"/>
      <c r="G2712" s="120"/>
      <c r="H2712" s="120"/>
      <c r="I2712" s="121"/>
      <c r="J2712" s="121"/>
      <c r="K2712" s="117"/>
    </row>
    <row r="2713" ht="15.75" customHeight="1">
      <c r="A2713" s="122"/>
      <c r="B2713" s="133"/>
      <c r="C2713" s="120"/>
      <c r="D2713" s="120"/>
      <c r="E2713" s="120"/>
      <c r="F2713" s="120"/>
      <c r="G2713" s="120"/>
      <c r="H2713" s="120"/>
      <c r="I2713" s="121"/>
      <c r="J2713" s="121"/>
      <c r="K2713" s="117"/>
    </row>
    <row r="2714" ht="15.75" customHeight="1">
      <c r="A2714" s="122"/>
      <c r="B2714" s="133"/>
      <c r="C2714" s="120"/>
      <c r="D2714" s="120"/>
      <c r="E2714" s="120"/>
      <c r="F2714" s="120"/>
      <c r="G2714" s="120"/>
      <c r="H2714" s="120"/>
      <c r="I2714" s="121"/>
      <c r="J2714" s="121"/>
      <c r="K2714" s="117"/>
    </row>
    <row r="2715" ht="15.75" customHeight="1">
      <c r="A2715" s="122"/>
      <c r="B2715" s="133"/>
      <c r="C2715" s="120"/>
      <c r="D2715" s="120"/>
      <c r="E2715" s="120"/>
      <c r="F2715" s="120"/>
      <c r="G2715" s="120"/>
      <c r="H2715" s="120"/>
      <c r="I2715" s="121"/>
      <c r="J2715" s="121"/>
      <c r="K2715" s="117"/>
    </row>
    <row r="2716" ht="15.75" customHeight="1">
      <c r="A2716" s="122"/>
      <c r="B2716" s="133"/>
      <c r="C2716" s="120"/>
      <c r="D2716" s="120"/>
      <c r="E2716" s="120"/>
      <c r="F2716" s="120"/>
      <c r="G2716" s="120"/>
      <c r="H2716" s="120"/>
      <c r="I2716" s="121"/>
      <c r="J2716" s="121"/>
      <c r="K2716" s="117"/>
    </row>
    <row r="2717" ht="15.75" customHeight="1">
      <c r="A2717" s="122"/>
      <c r="B2717" s="133"/>
      <c r="C2717" s="120"/>
      <c r="D2717" s="120"/>
      <c r="E2717" s="120"/>
      <c r="F2717" s="120"/>
      <c r="G2717" s="120"/>
      <c r="H2717" s="120"/>
      <c r="I2717" s="121"/>
      <c r="J2717" s="121"/>
      <c r="K2717" s="117"/>
    </row>
    <row r="2718" ht="15.75" customHeight="1">
      <c r="A2718" s="122"/>
      <c r="B2718" s="133"/>
      <c r="C2718" s="120"/>
      <c r="D2718" s="120"/>
      <c r="E2718" s="120"/>
      <c r="F2718" s="120"/>
      <c r="G2718" s="120"/>
      <c r="H2718" s="120"/>
      <c r="I2718" s="121"/>
      <c r="J2718" s="121"/>
      <c r="K2718" s="117"/>
    </row>
    <row r="2719" ht="15.75" customHeight="1">
      <c r="A2719" s="122"/>
      <c r="B2719" s="133"/>
      <c r="C2719" s="120"/>
      <c r="D2719" s="120"/>
      <c r="E2719" s="120"/>
      <c r="F2719" s="120"/>
      <c r="G2719" s="120"/>
      <c r="H2719" s="120"/>
      <c r="I2719" s="121"/>
      <c r="J2719" s="121"/>
      <c r="K2719" s="117"/>
    </row>
    <row r="2720" ht="15.75" customHeight="1">
      <c r="A2720" s="122"/>
      <c r="B2720" s="133"/>
      <c r="C2720" s="120"/>
      <c r="D2720" s="120"/>
      <c r="E2720" s="120"/>
      <c r="F2720" s="120"/>
      <c r="G2720" s="120"/>
      <c r="H2720" s="120"/>
      <c r="I2720" s="121"/>
      <c r="J2720" s="121"/>
      <c r="K2720" s="117"/>
    </row>
    <row r="2721" ht="15.75" customHeight="1">
      <c r="A2721" s="122"/>
      <c r="B2721" s="133"/>
      <c r="C2721" s="120"/>
      <c r="D2721" s="120"/>
      <c r="E2721" s="120"/>
      <c r="F2721" s="120"/>
      <c r="G2721" s="120"/>
      <c r="H2721" s="120"/>
      <c r="I2721" s="121"/>
      <c r="J2721" s="121"/>
      <c r="K2721" s="117"/>
    </row>
    <row r="2722" ht="15.75" customHeight="1">
      <c r="A2722" s="122"/>
      <c r="B2722" s="133"/>
      <c r="C2722" s="120"/>
      <c r="D2722" s="120"/>
      <c r="E2722" s="120"/>
      <c r="F2722" s="120"/>
      <c r="G2722" s="120"/>
      <c r="H2722" s="120"/>
      <c r="I2722" s="121"/>
      <c r="J2722" s="121"/>
      <c r="K2722" s="117"/>
    </row>
    <row r="2723" ht="15.75" customHeight="1">
      <c r="A2723" s="122"/>
      <c r="B2723" s="133"/>
      <c r="C2723" s="120"/>
      <c r="D2723" s="120"/>
      <c r="E2723" s="120"/>
      <c r="F2723" s="120"/>
      <c r="G2723" s="120"/>
      <c r="H2723" s="120"/>
      <c r="I2723" s="121"/>
      <c r="J2723" s="121"/>
      <c r="K2723" s="117"/>
    </row>
    <row r="2724" ht="15.75" customHeight="1">
      <c r="A2724" s="122"/>
      <c r="B2724" s="133"/>
      <c r="C2724" s="120"/>
      <c r="D2724" s="120"/>
      <c r="E2724" s="120"/>
      <c r="F2724" s="120"/>
      <c r="G2724" s="120"/>
      <c r="H2724" s="120"/>
      <c r="I2724" s="121"/>
      <c r="J2724" s="121"/>
      <c r="K2724" s="117"/>
    </row>
    <row r="2725" ht="15.75" customHeight="1">
      <c r="A2725" s="122"/>
      <c r="B2725" s="133"/>
      <c r="C2725" s="120"/>
      <c r="D2725" s="120"/>
      <c r="E2725" s="120"/>
      <c r="F2725" s="120"/>
      <c r="G2725" s="120"/>
      <c r="H2725" s="120"/>
      <c r="I2725" s="121"/>
      <c r="J2725" s="121"/>
      <c r="K2725" s="117"/>
    </row>
    <row r="2726" ht="15.75" customHeight="1">
      <c r="A2726" s="122"/>
      <c r="B2726" s="133"/>
      <c r="C2726" s="120"/>
      <c r="D2726" s="120"/>
      <c r="E2726" s="120"/>
      <c r="F2726" s="120"/>
      <c r="G2726" s="120"/>
      <c r="H2726" s="120"/>
      <c r="I2726" s="121"/>
      <c r="J2726" s="121"/>
      <c r="K2726" s="117"/>
    </row>
    <row r="2727" ht="15.75" customHeight="1">
      <c r="A2727" s="122"/>
      <c r="B2727" s="133"/>
      <c r="C2727" s="120"/>
      <c r="D2727" s="120"/>
      <c r="E2727" s="120"/>
      <c r="F2727" s="120"/>
      <c r="G2727" s="120"/>
      <c r="H2727" s="120"/>
      <c r="I2727" s="121"/>
      <c r="J2727" s="121"/>
      <c r="K2727" s="117"/>
    </row>
    <row r="2728" ht="15.75" customHeight="1">
      <c r="A2728" s="122"/>
      <c r="B2728" s="133"/>
      <c r="C2728" s="120"/>
      <c r="D2728" s="120"/>
      <c r="E2728" s="120"/>
      <c r="F2728" s="120"/>
      <c r="G2728" s="120"/>
      <c r="H2728" s="120"/>
      <c r="I2728" s="121"/>
      <c r="J2728" s="121"/>
      <c r="K2728" s="117"/>
    </row>
    <row r="2729" ht="15.75" customHeight="1">
      <c r="A2729" s="122"/>
      <c r="B2729" s="133"/>
      <c r="C2729" s="120"/>
      <c r="D2729" s="120"/>
      <c r="E2729" s="120"/>
      <c r="F2729" s="120"/>
      <c r="G2729" s="120"/>
      <c r="H2729" s="120"/>
      <c r="I2729" s="121"/>
      <c r="J2729" s="121"/>
      <c r="K2729" s="117"/>
    </row>
    <row r="2730" ht="15.75" customHeight="1">
      <c r="A2730" s="122"/>
      <c r="B2730" s="133"/>
      <c r="C2730" s="120"/>
      <c r="D2730" s="120"/>
      <c r="E2730" s="120"/>
      <c r="F2730" s="120"/>
      <c r="G2730" s="120"/>
      <c r="H2730" s="120"/>
      <c r="I2730" s="121"/>
      <c r="J2730" s="121"/>
      <c r="K2730" s="117"/>
    </row>
    <row r="2731" ht="15.75" customHeight="1">
      <c r="A2731" s="122"/>
      <c r="B2731" s="133"/>
      <c r="C2731" s="120"/>
      <c r="D2731" s="120"/>
      <c r="E2731" s="120"/>
      <c r="F2731" s="120"/>
      <c r="G2731" s="120"/>
      <c r="H2731" s="120"/>
      <c r="I2731" s="121"/>
      <c r="J2731" s="121"/>
      <c r="K2731" s="117"/>
    </row>
    <row r="2732" ht="15.75" customHeight="1">
      <c r="A2732" s="122"/>
      <c r="B2732" s="133"/>
      <c r="C2732" s="120"/>
      <c r="D2732" s="120"/>
      <c r="E2732" s="120"/>
      <c r="F2732" s="120"/>
      <c r="G2732" s="120"/>
      <c r="H2732" s="120"/>
      <c r="I2732" s="121"/>
      <c r="J2732" s="121"/>
      <c r="K2732" s="117"/>
    </row>
    <row r="2733" ht="15.75" customHeight="1">
      <c r="A2733" s="122"/>
      <c r="B2733" s="133"/>
      <c r="C2733" s="120"/>
      <c r="D2733" s="120"/>
      <c r="E2733" s="120"/>
      <c r="F2733" s="120"/>
      <c r="G2733" s="120"/>
      <c r="H2733" s="120"/>
      <c r="I2733" s="121"/>
      <c r="J2733" s="121"/>
      <c r="K2733" s="117"/>
    </row>
    <row r="2734" ht="15.75" customHeight="1">
      <c r="A2734" s="122"/>
      <c r="B2734" s="133"/>
      <c r="C2734" s="120"/>
      <c r="D2734" s="120"/>
      <c r="E2734" s="120"/>
      <c r="F2734" s="120"/>
      <c r="G2734" s="120"/>
      <c r="H2734" s="120"/>
      <c r="I2734" s="121"/>
      <c r="J2734" s="121"/>
      <c r="K2734" s="117"/>
    </row>
    <row r="2735" ht="15.75" customHeight="1">
      <c r="A2735" s="122"/>
      <c r="B2735" s="133"/>
      <c r="C2735" s="120"/>
      <c r="D2735" s="120"/>
      <c r="E2735" s="120"/>
      <c r="F2735" s="120"/>
      <c r="G2735" s="120"/>
      <c r="H2735" s="120"/>
      <c r="I2735" s="121"/>
      <c r="J2735" s="121"/>
      <c r="K2735" s="117"/>
    </row>
    <row r="2736" ht="15.75" customHeight="1">
      <c r="A2736" s="122"/>
      <c r="B2736" s="133"/>
      <c r="C2736" s="120"/>
      <c r="D2736" s="120"/>
      <c r="E2736" s="120"/>
      <c r="F2736" s="120"/>
      <c r="G2736" s="120"/>
      <c r="H2736" s="120"/>
      <c r="I2736" s="121"/>
      <c r="J2736" s="121"/>
      <c r="K2736" s="117"/>
    </row>
    <row r="2737" ht="15.75" customHeight="1">
      <c r="A2737" s="122"/>
      <c r="B2737" s="133"/>
      <c r="C2737" s="120"/>
      <c r="D2737" s="120"/>
      <c r="E2737" s="120"/>
      <c r="F2737" s="120"/>
      <c r="G2737" s="120"/>
      <c r="H2737" s="120"/>
      <c r="I2737" s="121"/>
      <c r="J2737" s="121"/>
      <c r="K2737" s="117"/>
    </row>
    <row r="2738" ht="15.75" customHeight="1">
      <c r="A2738" s="122"/>
      <c r="B2738" s="133"/>
      <c r="C2738" s="120"/>
      <c r="D2738" s="120"/>
      <c r="E2738" s="120"/>
      <c r="F2738" s="120"/>
      <c r="G2738" s="120"/>
      <c r="H2738" s="120"/>
      <c r="I2738" s="121"/>
      <c r="J2738" s="121"/>
      <c r="K2738" s="117"/>
    </row>
    <row r="2739" ht="15.75" customHeight="1">
      <c r="A2739" s="122"/>
      <c r="B2739" s="133"/>
      <c r="C2739" s="120"/>
      <c r="D2739" s="120"/>
      <c r="E2739" s="120"/>
      <c r="F2739" s="120"/>
      <c r="G2739" s="120"/>
      <c r="H2739" s="120"/>
      <c r="I2739" s="121"/>
      <c r="J2739" s="121"/>
      <c r="K2739" s="117"/>
    </row>
    <row r="2740" ht="15.75" customHeight="1">
      <c r="A2740" s="122"/>
      <c r="B2740" s="133"/>
      <c r="C2740" s="120"/>
      <c r="D2740" s="120"/>
      <c r="E2740" s="120"/>
      <c r="F2740" s="120"/>
      <c r="G2740" s="120"/>
      <c r="H2740" s="120"/>
      <c r="I2740" s="121"/>
      <c r="J2740" s="121"/>
      <c r="K2740" s="117"/>
    </row>
    <row r="2741" ht="15.75" customHeight="1">
      <c r="A2741" s="122"/>
      <c r="B2741" s="133"/>
      <c r="C2741" s="120"/>
      <c r="D2741" s="120"/>
      <c r="E2741" s="120"/>
      <c r="F2741" s="120"/>
      <c r="G2741" s="120"/>
      <c r="H2741" s="120"/>
      <c r="I2741" s="121"/>
      <c r="J2741" s="121"/>
      <c r="K2741" s="117"/>
    </row>
    <row r="2742" ht="15.75" customHeight="1">
      <c r="A2742" s="122"/>
      <c r="B2742" s="133"/>
      <c r="C2742" s="120"/>
      <c r="D2742" s="120"/>
      <c r="E2742" s="120"/>
      <c r="F2742" s="120"/>
      <c r="G2742" s="120"/>
      <c r="H2742" s="120"/>
      <c r="I2742" s="121"/>
      <c r="J2742" s="121"/>
      <c r="K2742" s="117"/>
    </row>
    <row r="2743" ht="15.75" customHeight="1">
      <c r="A2743" s="122"/>
      <c r="B2743" s="133"/>
      <c r="C2743" s="120"/>
      <c r="D2743" s="120"/>
      <c r="E2743" s="120"/>
      <c r="F2743" s="120"/>
      <c r="G2743" s="120"/>
      <c r="H2743" s="120"/>
      <c r="I2743" s="121"/>
      <c r="J2743" s="121"/>
      <c r="K2743" s="117"/>
    </row>
    <row r="2744" ht="15.75" customHeight="1">
      <c r="A2744" s="122"/>
      <c r="B2744" s="133"/>
      <c r="C2744" s="120"/>
      <c r="D2744" s="120"/>
      <c r="E2744" s="120"/>
      <c r="F2744" s="120"/>
      <c r="G2744" s="120"/>
      <c r="H2744" s="120"/>
      <c r="I2744" s="121"/>
      <c r="J2744" s="121"/>
      <c r="K2744" s="117"/>
    </row>
    <row r="2745" ht="15.75" customHeight="1">
      <c r="A2745" s="122"/>
      <c r="B2745" s="133"/>
      <c r="C2745" s="120"/>
      <c r="D2745" s="120"/>
      <c r="E2745" s="120"/>
      <c r="F2745" s="120"/>
      <c r="G2745" s="120"/>
      <c r="H2745" s="120"/>
      <c r="I2745" s="121"/>
      <c r="J2745" s="121"/>
      <c r="K2745" s="117"/>
    </row>
    <row r="2746" ht="15.75" customHeight="1">
      <c r="A2746" s="122"/>
      <c r="B2746" s="133"/>
      <c r="C2746" s="120"/>
      <c r="D2746" s="120"/>
      <c r="E2746" s="120"/>
      <c r="F2746" s="120"/>
      <c r="G2746" s="120"/>
      <c r="H2746" s="120"/>
      <c r="I2746" s="121"/>
      <c r="J2746" s="121"/>
      <c r="K2746" s="117"/>
    </row>
    <row r="2747" ht="15.75" customHeight="1">
      <c r="A2747" s="122"/>
      <c r="B2747" s="133"/>
      <c r="C2747" s="120"/>
      <c r="D2747" s="120"/>
      <c r="E2747" s="120"/>
      <c r="F2747" s="120"/>
      <c r="G2747" s="120"/>
      <c r="H2747" s="120"/>
      <c r="I2747" s="121"/>
      <c r="J2747" s="121"/>
      <c r="K2747" s="117"/>
    </row>
    <row r="2748" ht="15.75" customHeight="1">
      <c r="A2748" s="122"/>
      <c r="B2748" s="133"/>
      <c r="C2748" s="120"/>
      <c r="D2748" s="120"/>
      <c r="E2748" s="120"/>
      <c r="F2748" s="120"/>
      <c r="G2748" s="120"/>
      <c r="H2748" s="120"/>
      <c r="I2748" s="121"/>
      <c r="J2748" s="121"/>
      <c r="K2748" s="117"/>
    </row>
    <row r="2749" ht="15.75" customHeight="1">
      <c r="A2749" s="122"/>
      <c r="B2749" s="133"/>
      <c r="C2749" s="120"/>
      <c r="D2749" s="120"/>
      <c r="E2749" s="120"/>
      <c r="F2749" s="120"/>
      <c r="G2749" s="120"/>
      <c r="H2749" s="120"/>
      <c r="I2749" s="121"/>
      <c r="J2749" s="121"/>
      <c r="K2749" s="117"/>
    </row>
    <row r="2750" ht="15.75" customHeight="1">
      <c r="A2750" s="122"/>
      <c r="B2750" s="133"/>
      <c r="C2750" s="120"/>
      <c r="D2750" s="120"/>
      <c r="E2750" s="120"/>
      <c r="F2750" s="120"/>
      <c r="G2750" s="120"/>
      <c r="H2750" s="120"/>
      <c r="I2750" s="121"/>
      <c r="J2750" s="121"/>
      <c r="K2750" s="117"/>
    </row>
    <row r="2751" ht="15.75" customHeight="1">
      <c r="A2751" s="122"/>
      <c r="B2751" s="133"/>
      <c r="C2751" s="120"/>
      <c r="D2751" s="120"/>
      <c r="E2751" s="120"/>
      <c r="F2751" s="120"/>
      <c r="G2751" s="120"/>
      <c r="H2751" s="120"/>
      <c r="I2751" s="121"/>
      <c r="J2751" s="121"/>
      <c r="K2751" s="117"/>
    </row>
    <row r="2752" ht="15.75" customHeight="1">
      <c r="A2752" s="122"/>
      <c r="B2752" s="133"/>
      <c r="C2752" s="120"/>
      <c r="D2752" s="120"/>
      <c r="E2752" s="120"/>
      <c r="F2752" s="120"/>
      <c r="G2752" s="120"/>
      <c r="H2752" s="120"/>
      <c r="I2752" s="121"/>
      <c r="J2752" s="121"/>
      <c r="K2752" s="117"/>
    </row>
    <row r="2753" ht="15.75" customHeight="1">
      <c r="A2753" s="122"/>
      <c r="B2753" s="133"/>
      <c r="C2753" s="120"/>
      <c r="D2753" s="120"/>
      <c r="E2753" s="120"/>
      <c r="F2753" s="120"/>
      <c r="G2753" s="120"/>
      <c r="H2753" s="120"/>
      <c r="I2753" s="121"/>
      <c r="J2753" s="121"/>
      <c r="K2753" s="117"/>
    </row>
    <row r="2754" ht="15.75" customHeight="1">
      <c r="A2754" s="122"/>
      <c r="B2754" s="133"/>
      <c r="C2754" s="120"/>
      <c r="D2754" s="120"/>
      <c r="E2754" s="120"/>
      <c r="F2754" s="120"/>
      <c r="G2754" s="120"/>
      <c r="H2754" s="120"/>
      <c r="I2754" s="121"/>
      <c r="J2754" s="121"/>
      <c r="K2754" s="117"/>
    </row>
    <row r="2755" ht="15.75" customHeight="1">
      <c r="A2755" s="122"/>
      <c r="B2755" s="133"/>
      <c r="C2755" s="120"/>
      <c r="D2755" s="120"/>
      <c r="E2755" s="120"/>
      <c r="F2755" s="120"/>
      <c r="G2755" s="120"/>
      <c r="H2755" s="120"/>
      <c r="I2755" s="121"/>
      <c r="J2755" s="121"/>
      <c r="K2755" s="117"/>
    </row>
    <row r="2756" ht="15.75" customHeight="1">
      <c r="A2756" s="122"/>
      <c r="B2756" s="133"/>
      <c r="C2756" s="120"/>
      <c r="D2756" s="120"/>
      <c r="E2756" s="120"/>
      <c r="F2756" s="120"/>
      <c r="G2756" s="120"/>
      <c r="H2756" s="120"/>
      <c r="I2756" s="121"/>
      <c r="J2756" s="121"/>
      <c r="K2756" s="117"/>
    </row>
    <row r="2757" ht="15.75" customHeight="1">
      <c r="A2757" s="122"/>
      <c r="B2757" s="133"/>
      <c r="C2757" s="120"/>
      <c r="D2757" s="120"/>
      <c r="E2757" s="120"/>
      <c r="F2757" s="120"/>
      <c r="G2757" s="120"/>
      <c r="H2757" s="120"/>
      <c r="I2757" s="121"/>
      <c r="J2757" s="121"/>
      <c r="K2757" s="117"/>
    </row>
    <row r="2758" ht="15.75" customHeight="1">
      <c r="A2758" s="122"/>
      <c r="B2758" s="133"/>
      <c r="C2758" s="120"/>
      <c r="D2758" s="120"/>
      <c r="E2758" s="120"/>
      <c r="F2758" s="120"/>
      <c r="G2758" s="120"/>
      <c r="H2758" s="120"/>
      <c r="I2758" s="121"/>
      <c r="J2758" s="121"/>
      <c r="K2758" s="117"/>
    </row>
    <row r="2759" ht="15.75" customHeight="1">
      <c r="A2759" s="122"/>
      <c r="B2759" s="133"/>
      <c r="C2759" s="120"/>
      <c r="D2759" s="120"/>
      <c r="E2759" s="120"/>
      <c r="F2759" s="120"/>
      <c r="G2759" s="120"/>
      <c r="H2759" s="120"/>
      <c r="I2759" s="121"/>
      <c r="J2759" s="121"/>
      <c r="K2759" s="117"/>
    </row>
    <row r="2760" ht="15.75" customHeight="1">
      <c r="A2760" s="122"/>
      <c r="B2760" s="133"/>
      <c r="C2760" s="120"/>
      <c r="D2760" s="120"/>
      <c r="E2760" s="120"/>
      <c r="F2760" s="120"/>
      <c r="G2760" s="120"/>
      <c r="H2760" s="120"/>
      <c r="I2760" s="121"/>
      <c r="J2760" s="121"/>
      <c r="K2760" s="117"/>
    </row>
    <row r="2761" ht="15.75" customHeight="1">
      <c r="A2761" s="122"/>
      <c r="B2761" s="133"/>
      <c r="C2761" s="120"/>
      <c r="D2761" s="120"/>
      <c r="E2761" s="120"/>
      <c r="F2761" s="120"/>
      <c r="G2761" s="120"/>
      <c r="H2761" s="120"/>
      <c r="I2761" s="121"/>
      <c r="J2761" s="121"/>
      <c r="K2761" s="117"/>
    </row>
    <row r="2762" ht="15.75" customHeight="1">
      <c r="A2762" s="122"/>
      <c r="B2762" s="133"/>
      <c r="C2762" s="120"/>
      <c r="D2762" s="120"/>
      <c r="E2762" s="120"/>
      <c r="F2762" s="120"/>
      <c r="G2762" s="120"/>
      <c r="H2762" s="120"/>
      <c r="I2762" s="121"/>
      <c r="J2762" s="121"/>
      <c r="K2762" s="117"/>
    </row>
    <row r="2763" ht="15.75" customHeight="1">
      <c r="A2763" s="122"/>
      <c r="B2763" s="133"/>
      <c r="C2763" s="120"/>
      <c r="D2763" s="120"/>
      <c r="E2763" s="120"/>
      <c r="F2763" s="120"/>
      <c r="G2763" s="120"/>
      <c r="H2763" s="120"/>
      <c r="I2763" s="121"/>
      <c r="J2763" s="121"/>
      <c r="K2763" s="117"/>
    </row>
    <row r="2764" ht="15.75" customHeight="1">
      <c r="A2764" s="122"/>
      <c r="B2764" s="133"/>
      <c r="C2764" s="120"/>
      <c r="D2764" s="120"/>
      <c r="E2764" s="120"/>
      <c r="F2764" s="120"/>
      <c r="G2764" s="120"/>
      <c r="H2764" s="120"/>
      <c r="I2764" s="121"/>
      <c r="J2764" s="121"/>
      <c r="K2764" s="117"/>
    </row>
    <row r="2765" ht="15.75" customHeight="1">
      <c r="A2765" s="122"/>
      <c r="B2765" s="133"/>
      <c r="C2765" s="120"/>
      <c r="D2765" s="120"/>
      <c r="E2765" s="120"/>
      <c r="F2765" s="120"/>
      <c r="G2765" s="120"/>
      <c r="H2765" s="120"/>
      <c r="I2765" s="121"/>
      <c r="J2765" s="121"/>
      <c r="K2765" s="117"/>
    </row>
    <row r="2766" ht="15.75" customHeight="1">
      <c r="A2766" s="122"/>
      <c r="B2766" s="133"/>
      <c r="C2766" s="120"/>
      <c r="D2766" s="120"/>
      <c r="E2766" s="120"/>
      <c r="F2766" s="120"/>
      <c r="G2766" s="120"/>
      <c r="H2766" s="120"/>
      <c r="I2766" s="121"/>
      <c r="J2766" s="121"/>
      <c r="K2766" s="117"/>
    </row>
    <row r="2767" ht="15.75" customHeight="1">
      <c r="A2767" s="122"/>
      <c r="B2767" s="133"/>
      <c r="C2767" s="120"/>
      <c r="D2767" s="120"/>
      <c r="E2767" s="120"/>
      <c r="F2767" s="120"/>
      <c r="G2767" s="120"/>
      <c r="H2767" s="120"/>
      <c r="I2767" s="121"/>
      <c r="J2767" s="121"/>
      <c r="K2767" s="117"/>
    </row>
    <row r="2768" ht="15.75" customHeight="1">
      <c r="A2768" s="122"/>
      <c r="B2768" s="133"/>
      <c r="C2768" s="120"/>
      <c r="D2768" s="120"/>
      <c r="E2768" s="120"/>
      <c r="F2768" s="120"/>
      <c r="G2768" s="120"/>
      <c r="H2768" s="120"/>
      <c r="I2768" s="121"/>
      <c r="J2768" s="121"/>
      <c r="K2768" s="117"/>
    </row>
    <row r="2769" ht="15.75" customHeight="1">
      <c r="A2769" s="122"/>
      <c r="B2769" s="133"/>
      <c r="C2769" s="120"/>
      <c r="D2769" s="120"/>
      <c r="E2769" s="120"/>
      <c r="F2769" s="120"/>
      <c r="G2769" s="120"/>
      <c r="H2769" s="120"/>
      <c r="I2769" s="121"/>
      <c r="J2769" s="121"/>
      <c r="K2769" s="117"/>
    </row>
    <row r="2770" ht="15.75" customHeight="1">
      <c r="A2770" s="122"/>
      <c r="B2770" s="133"/>
      <c r="C2770" s="120"/>
      <c r="D2770" s="120"/>
      <c r="E2770" s="120"/>
      <c r="F2770" s="120"/>
      <c r="G2770" s="120"/>
      <c r="H2770" s="120"/>
      <c r="I2770" s="121"/>
      <c r="J2770" s="121"/>
      <c r="K2770" s="117"/>
    </row>
    <row r="2771" ht="15.75" customHeight="1">
      <c r="A2771" s="122"/>
      <c r="B2771" s="133"/>
      <c r="C2771" s="120"/>
      <c r="D2771" s="120"/>
      <c r="E2771" s="120"/>
      <c r="F2771" s="120"/>
      <c r="G2771" s="120"/>
      <c r="H2771" s="120"/>
      <c r="I2771" s="121"/>
      <c r="J2771" s="121"/>
      <c r="K2771" s="117"/>
    </row>
    <row r="2772" ht="15.75" customHeight="1">
      <c r="A2772" s="122"/>
      <c r="B2772" s="133"/>
      <c r="C2772" s="120"/>
      <c r="D2772" s="120"/>
      <c r="E2772" s="120"/>
      <c r="F2772" s="120"/>
      <c r="G2772" s="120"/>
      <c r="H2772" s="120"/>
      <c r="I2772" s="121"/>
      <c r="J2772" s="121"/>
      <c r="K2772" s="117"/>
    </row>
    <row r="2773" ht="15.75" customHeight="1">
      <c r="A2773" s="122"/>
      <c r="B2773" s="133"/>
      <c r="C2773" s="120"/>
      <c r="D2773" s="120"/>
      <c r="E2773" s="120"/>
      <c r="F2773" s="120"/>
      <c r="G2773" s="120"/>
      <c r="H2773" s="120"/>
      <c r="I2773" s="121"/>
      <c r="J2773" s="121"/>
      <c r="K2773" s="117"/>
    </row>
    <row r="2774" ht="15.75" customHeight="1">
      <c r="A2774" s="122"/>
      <c r="B2774" s="133"/>
      <c r="C2774" s="120"/>
      <c r="D2774" s="120"/>
      <c r="E2774" s="120"/>
      <c r="F2774" s="120"/>
      <c r="G2774" s="120"/>
      <c r="H2774" s="120"/>
      <c r="I2774" s="121"/>
      <c r="J2774" s="121"/>
      <c r="K2774" s="117"/>
    </row>
    <row r="2775" ht="15.75" customHeight="1">
      <c r="A2775" s="122"/>
      <c r="B2775" s="133"/>
      <c r="C2775" s="120"/>
      <c r="D2775" s="120"/>
      <c r="E2775" s="120"/>
      <c r="F2775" s="120"/>
      <c r="G2775" s="120"/>
      <c r="H2775" s="120"/>
      <c r="I2775" s="121"/>
      <c r="J2775" s="121"/>
      <c r="K2775" s="117"/>
    </row>
    <row r="2776" ht="15.75" customHeight="1">
      <c r="A2776" s="122"/>
      <c r="B2776" s="133"/>
      <c r="C2776" s="120"/>
      <c r="D2776" s="120"/>
      <c r="E2776" s="120"/>
      <c r="F2776" s="120"/>
      <c r="G2776" s="120"/>
      <c r="H2776" s="120"/>
      <c r="I2776" s="121"/>
      <c r="J2776" s="121"/>
      <c r="K2776" s="117"/>
    </row>
    <row r="2777" ht="15.75" customHeight="1">
      <c r="A2777" s="122"/>
      <c r="B2777" s="133"/>
      <c r="C2777" s="120"/>
      <c r="D2777" s="120"/>
      <c r="E2777" s="120"/>
      <c r="F2777" s="120"/>
      <c r="G2777" s="120"/>
      <c r="H2777" s="120"/>
      <c r="I2777" s="121"/>
      <c r="J2777" s="121"/>
      <c r="K2777" s="117"/>
    </row>
    <row r="2778" ht="15.75" customHeight="1">
      <c r="A2778" s="122"/>
      <c r="B2778" s="133"/>
      <c r="C2778" s="120"/>
      <c r="D2778" s="120"/>
      <c r="E2778" s="120"/>
      <c r="F2778" s="120"/>
      <c r="G2778" s="120"/>
      <c r="H2778" s="120"/>
      <c r="I2778" s="121"/>
      <c r="J2778" s="121"/>
      <c r="K2778" s="117"/>
    </row>
    <row r="2779" ht="15.75" customHeight="1">
      <c r="A2779" s="122"/>
      <c r="B2779" s="133"/>
      <c r="C2779" s="120"/>
      <c r="D2779" s="120"/>
      <c r="E2779" s="120"/>
      <c r="F2779" s="120"/>
      <c r="G2779" s="120"/>
      <c r="H2779" s="120"/>
      <c r="I2779" s="121"/>
      <c r="J2779" s="121"/>
      <c r="K2779" s="117"/>
    </row>
    <row r="2780" ht="15.75" customHeight="1">
      <c r="A2780" s="122"/>
      <c r="B2780" s="133"/>
      <c r="C2780" s="120"/>
      <c r="D2780" s="120"/>
      <c r="E2780" s="120"/>
      <c r="F2780" s="120"/>
      <c r="G2780" s="120"/>
      <c r="H2780" s="120"/>
      <c r="I2780" s="121"/>
      <c r="J2780" s="121"/>
      <c r="K2780" s="117"/>
    </row>
    <row r="2781" ht="15.75" customHeight="1">
      <c r="A2781" s="122"/>
      <c r="B2781" s="133"/>
      <c r="C2781" s="120"/>
      <c r="D2781" s="120"/>
      <c r="E2781" s="120"/>
      <c r="F2781" s="120"/>
      <c r="G2781" s="120"/>
      <c r="H2781" s="120"/>
      <c r="I2781" s="121"/>
      <c r="J2781" s="121"/>
      <c r="K2781" s="117"/>
    </row>
    <row r="2782" ht="15.75" customHeight="1">
      <c r="A2782" s="122"/>
      <c r="B2782" s="133"/>
      <c r="C2782" s="120"/>
      <c r="D2782" s="120"/>
      <c r="E2782" s="120"/>
      <c r="F2782" s="120"/>
      <c r="G2782" s="120"/>
      <c r="H2782" s="120"/>
      <c r="I2782" s="121"/>
      <c r="J2782" s="121"/>
      <c r="K2782" s="117"/>
    </row>
    <row r="2783" ht="15.75" customHeight="1">
      <c r="A2783" s="122"/>
      <c r="B2783" s="133"/>
      <c r="C2783" s="120"/>
      <c r="D2783" s="120"/>
      <c r="E2783" s="120"/>
      <c r="F2783" s="120"/>
      <c r="G2783" s="120"/>
      <c r="H2783" s="120"/>
      <c r="I2783" s="121"/>
      <c r="J2783" s="121"/>
      <c r="K2783" s="117"/>
    </row>
    <row r="2784" ht="15.75" customHeight="1">
      <c r="A2784" s="122"/>
      <c r="B2784" s="133"/>
      <c r="C2784" s="120"/>
      <c r="D2784" s="120"/>
      <c r="E2784" s="120"/>
      <c r="F2784" s="120"/>
      <c r="G2784" s="120"/>
      <c r="H2784" s="120"/>
      <c r="I2784" s="121"/>
      <c r="J2784" s="121"/>
      <c r="K2784" s="117"/>
    </row>
    <row r="2785" ht="15.75" customHeight="1">
      <c r="A2785" s="122"/>
      <c r="B2785" s="133"/>
      <c r="C2785" s="120"/>
      <c r="D2785" s="120"/>
      <c r="E2785" s="120"/>
      <c r="F2785" s="120"/>
      <c r="G2785" s="120"/>
      <c r="H2785" s="120"/>
      <c r="I2785" s="121"/>
      <c r="J2785" s="121"/>
      <c r="K2785" s="117"/>
    </row>
    <row r="2786" ht="15.75" customHeight="1">
      <c r="A2786" s="122"/>
      <c r="B2786" s="133"/>
      <c r="C2786" s="120"/>
      <c r="D2786" s="120"/>
      <c r="E2786" s="120"/>
      <c r="F2786" s="120"/>
      <c r="G2786" s="120"/>
      <c r="H2786" s="120"/>
      <c r="I2786" s="121"/>
      <c r="J2786" s="121"/>
      <c r="K2786" s="117"/>
    </row>
    <row r="2787" ht="15.75" customHeight="1">
      <c r="A2787" s="122"/>
      <c r="B2787" s="133"/>
      <c r="C2787" s="120"/>
      <c r="D2787" s="120"/>
      <c r="E2787" s="120"/>
      <c r="F2787" s="120"/>
      <c r="G2787" s="120"/>
      <c r="H2787" s="120"/>
      <c r="I2787" s="121"/>
      <c r="J2787" s="121"/>
      <c r="K2787" s="117"/>
    </row>
    <row r="2788" ht="15.75" customHeight="1">
      <c r="A2788" s="122"/>
      <c r="B2788" s="133"/>
      <c r="C2788" s="120"/>
      <c r="D2788" s="120"/>
      <c r="E2788" s="120"/>
      <c r="F2788" s="120"/>
      <c r="G2788" s="120"/>
      <c r="H2788" s="120"/>
      <c r="I2788" s="121"/>
      <c r="J2788" s="121"/>
      <c r="K2788" s="117"/>
    </row>
    <row r="2789" ht="15.75" customHeight="1">
      <c r="A2789" s="122"/>
      <c r="B2789" s="133"/>
      <c r="C2789" s="120"/>
      <c r="D2789" s="120"/>
      <c r="E2789" s="120"/>
      <c r="F2789" s="120"/>
      <c r="G2789" s="120"/>
      <c r="H2789" s="120"/>
      <c r="I2789" s="121"/>
      <c r="J2789" s="121"/>
      <c r="K2789" s="117"/>
    </row>
    <row r="2790" ht="15.75" customHeight="1">
      <c r="A2790" s="122"/>
      <c r="B2790" s="133"/>
      <c r="C2790" s="120"/>
      <c r="D2790" s="120"/>
      <c r="E2790" s="120"/>
      <c r="F2790" s="120"/>
      <c r="G2790" s="120"/>
      <c r="H2790" s="120"/>
      <c r="I2790" s="121"/>
      <c r="J2790" s="121"/>
      <c r="K2790" s="117"/>
    </row>
    <row r="2791" ht="15.75" customHeight="1">
      <c r="A2791" s="122"/>
      <c r="B2791" s="133"/>
      <c r="C2791" s="120"/>
      <c r="D2791" s="120"/>
      <c r="E2791" s="120"/>
      <c r="F2791" s="120"/>
      <c r="G2791" s="120"/>
      <c r="H2791" s="120"/>
      <c r="I2791" s="121"/>
      <c r="J2791" s="121"/>
      <c r="K2791" s="117"/>
    </row>
    <row r="2792" ht="15.75" customHeight="1">
      <c r="A2792" s="122"/>
      <c r="B2792" s="133"/>
      <c r="C2792" s="120"/>
      <c r="D2792" s="120"/>
      <c r="E2792" s="120"/>
      <c r="F2792" s="120"/>
      <c r="G2792" s="120"/>
      <c r="H2792" s="120"/>
      <c r="I2792" s="121"/>
      <c r="J2792" s="121"/>
      <c r="K2792" s="117"/>
    </row>
    <row r="2793" ht="15.75" customHeight="1">
      <c r="A2793" s="122"/>
      <c r="B2793" s="133"/>
      <c r="C2793" s="120"/>
      <c r="D2793" s="120"/>
      <c r="E2793" s="120"/>
      <c r="F2793" s="120"/>
      <c r="G2793" s="120"/>
      <c r="H2793" s="120"/>
      <c r="I2793" s="121"/>
      <c r="J2793" s="121"/>
      <c r="K2793" s="117"/>
    </row>
    <row r="2794" ht="15.75" customHeight="1">
      <c r="A2794" s="122"/>
      <c r="B2794" s="133"/>
      <c r="C2794" s="120"/>
      <c r="D2794" s="120"/>
      <c r="E2794" s="120"/>
      <c r="F2794" s="120"/>
      <c r="G2794" s="120"/>
      <c r="H2794" s="120"/>
      <c r="I2794" s="121"/>
      <c r="J2794" s="121"/>
      <c r="K2794" s="117"/>
    </row>
    <row r="2795" ht="15.75" customHeight="1">
      <c r="A2795" s="122"/>
      <c r="B2795" s="133"/>
      <c r="C2795" s="120"/>
      <c r="D2795" s="120"/>
      <c r="E2795" s="120"/>
      <c r="F2795" s="120"/>
      <c r="G2795" s="120"/>
      <c r="H2795" s="120"/>
      <c r="I2795" s="121"/>
      <c r="J2795" s="121"/>
      <c r="K2795" s="117"/>
    </row>
    <row r="2796" ht="15.75" customHeight="1">
      <c r="A2796" s="122"/>
      <c r="B2796" s="133"/>
      <c r="C2796" s="120"/>
      <c r="D2796" s="120"/>
      <c r="E2796" s="120"/>
      <c r="F2796" s="120"/>
      <c r="G2796" s="120"/>
      <c r="H2796" s="120"/>
      <c r="I2796" s="121"/>
      <c r="J2796" s="121"/>
      <c r="K2796" s="117"/>
    </row>
    <row r="2797" ht="15.75" customHeight="1">
      <c r="A2797" s="122"/>
      <c r="B2797" s="133"/>
      <c r="C2797" s="120"/>
      <c r="D2797" s="120"/>
      <c r="E2797" s="120"/>
      <c r="F2797" s="120"/>
      <c r="G2797" s="120"/>
      <c r="H2797" s="120"/>
      <c r="I2797" s="121"/>
      <c r="J2797" s="121"/>
      <c r="K2797" s="117"/>
    </row>
    <row r="2798" ht="15.75" customHeight="1">
      <c r="A2798" s="122"/>
      <c r="B2798" s="133"/>
      <c r="C2798" s="120"/>
      <c r="D2798" s="120"/>
      <c r="E2798" s="120"/>
      <c r="F2798" s="120"/>
      <c r="G2798" s="120"/>
      <c r="H2798" s="120"/>
      <c r="I2798" s="121"/>
      <c r="J2798" s="121"/>
      <c r="K2798" s="117"/>
    </row>
    <row r="2799" ht="15.75" customHeight="1">
      <c r="A2799" s="122"/>
      <c r="B2799" s="133"/>
      <c r="C2799" s="120"/>
      <c r="D2799" s="120"/>
      <c r="E2799" s="120"/>
      <c r="F2799" s="120"/>
      <c r="G2799" s="120"/>
      <c r="H2799" s="120"/>
      <c r="I2799" s="121"/>
      <c r="J2799" s="121"/>
      <c r="K2799" s="117"/>
    </row>
    <row r="2800" ht="15.75" customHeight="1">
      <c r="A2800" s="122"/>
      <c r="B2800" s="133"/>
      <c r="C2800" s="120"/>
      <c r="D2800" s="120"/>
      <c r="E2800" s="120"/>
      <c r="F2800" s="120"/>
      <c r="G2800" s="120"/>
      <c r="H2800" s="120"/>
      <c r="I2800" s="121"/>
      <c r="J2800" s="121"/>
      <c r="K2800" s="117"/>
    </row>
    <row r="2801" ht="15.75" customHeight="1">
      <c r="A2801" s="122"/>
      <c r="B2801" s="133"/>
      <c r="C2801" s="120"/>
      <c r="D2801" s="120"/>
      <c r="E2801" s="120"/>
      <c r="F2801" s="120"/>
      <c r="G2801" s="120"/>
      <c r="H2801" s="120"/>
      <c r="I2801" s="121"/>
      <c r="J2801" s="121"/>
      <c r="K2801" s="117"/>
    </row>
    <row r="2802" ht="15.75" customHeight="1">
      <c r="A2802" s="122"/>
      <c r="B2802" s="133"/>
      <c r="C2802" s="120"/>
      <c r="D2802" s="120"/>
      <c r="E2802" s="120"/>
      <c r="F2802" s="120"/>
      <c r="G2802" s="120"/>
      <c r="H2802" s="120"/>
      <c r="I2802" s="121"/>
      <c r="J2802" s="121"/>
      <c r="K2802" s="117"/>
    </row>
    <row r="2803" ht="15.75" customHeight="1">
      <c r="A2803" s="122"/>
      <c r="B2803" s="133"/>
      <c r="C2803" s="120"/>
      <c r="D2803" s="120"/>
      <c r="E2803" s="120"/>
      <c r="F2803" s="120"/>
      <c r="G2803" s="120"/>
      <c r="H2803" s="120"/>
      <c r="I2803" s="121"/>
      <c r="J2803" s="121"/>
      <c r="K2803" s="117"/>
    </row>
    <row r="2804" ht="15.75" customHeight="1">
      <c r="A2804" s="122"/>
      <c r="B2804" s="133"/>
      <c r="C2804" s="120"/>
      <c r="D2804" s="120"/>
      <c r="E2804" s="120"/>
      <c r="F2804" s="120"/>
      <c r="G2804" s="120"/>
      <c r="H2804" s="120"/>
      <c r="I2804" s="121"/>
      <c r="J2804" s="121"/>
      <c r="K2804" s="117"/>
    </row>
    <row r="2805" ht="15.75" customHeight="1">
      <c r="A2805" s="122"/>
      <c r="B2805" s="133"/>
      <c r="C2805" s="120"/>
      <c r="D2805" s="120"/>
      <c r="E2805" s="120"/>
      <c r="F2805" s="120"/>
      <c r="G2805" s="120"/>
      <c r="H2805" s="120"/>
      <c r="I2805" s="121"/>
      <c r="J2805" s="121"/>
      <c r="K2805" s="117"/>
    </row>
    <row r="2806" ht="15.75" customHeight="1">
      <c r="A2806" s="122"/>
      <c r="B2806" s="133"/>
      <c r="C2806" s="120"/>
      <c r="D2806" s="120"/>
      <c r="E2806" s="120"/>
      <c r="F2806" s="120"/>
      <c r="G2806" s="120"/>
      <c r="H2806" s="120"/>
      <c r="I2806" s="121"/>
      <c r="J2806" s="121"/>
      <c r="K2806" s="117"/>
    </row>
    <row r="2807" ht="15.75" customHeight="1">
      <c r="A2807" s="122"/>
      <c r="B2807" s="133"/>
      <c r="C2807" s="120"/>
      <c r="D2807" s="120"/>
      <c r="E2807" s="120"/>
      <c r="F2807" s="120"/>
      <c r="G2807" s="120"/>
      <c r="H2807" s="120"/>
      <c r="I2807" s="121"/>
      <c r="J2807" s="121"/>
      <c r="K2807" s="117"/>
    </row>
    <row r="2808" ht="15.75" customHeight="1">
      <c r="A2808" s="122"/>
      <c r="B2808" s="133"/>
      <c r="C2808" s="120"/>
      <c r="D2808" s="120"/>
      <c r="E2808" s="120"/>
      <c r="F2808" s="120"/>
      <c r="G2808" s="120"/>
      <c r="H2808" s="120"/>
      <c r="I2808" s="121"/>
      <c r="J2808" s="121"/>
      <c r="K2808" s="117"/>
    </row>
    <row r="2809" ht="15.75" customHeight="1">
      <c r="A2809" s="122"/>
      <c r="B2809" s="133"/>
      <c r="C2809" s="120"/>
      <c r="D2809" s="120"/>
      <c r="E2809" s="120"/>
      <c r="F2809" s="120"/>
      <c r="G2809" s="120"/>
      <c r="H2809" s="120"/>
      <c r="I2809" s="121"/>
      <c r="J2809" s="121"/>
      <c r="K2809" s="117"/>
    </row>
    <row r="2810" ht="15.75" customHeight="1">
      <c r="A2810" s="122"/>
      <c r="B2810" s="133"/>
      <c r="C2810" s="120"/>
      <c r="D2810" s="120"/>
      <c r="E2810" s="120"/>
      <c r="F2810" s="120"/>
      <c r="G2810" s="120"/>
      <c r="H2810" s="120"/>
      <c r="I2810" s="121"/>
      <c r="J2810" s="121"/>
      <c r="K2810" s="117"/>
    </row>
    <row r="2811" ht="15.75" customHeight="1">
      <c r="A2811" s="122"/>
      <c r="B2811" s="133"/>
      <c r="C2811" s="120"/>
      <c r="D2811" s="120"/>
      <c r="E2811" s="120"/>
      <c r="F2811" s="120"/>
      <c r="G2811" s="120"/>
      <c r="H2811" s="120"/>
      <c r="I2811" s="121"/>
      <c r="J2811" s="121"/>
      <c r="K2811" s="117"/>
    </row>
    <row r="2812" ht="15.75" customHeight="1">
      <c r="A2812" s="122"/>
      <c r="B2812" s="133"/>
      <c r="C2812" s="120"/>
      <c r="D2812" s="120"/>
      <c r="E2812" s="120"/>
      <c r="F2812" s="120"/>
      <c r="G2812" s="120"/>
      <c r="H2812" s="120"/>
      <c r="I2812" s="121"/>
      <c r="J2812" s="121"/>
      <c r="K2812" s="117"/>
    </row>
    <row r="2813" ht="15.75" customHeight="1">
      <c r="A2813" s="122"/>
      <c r="B2813" s="133"/>
      <c r="C2813" s="120"/>
      <c r="D2813" s="120"/>
      <c r="E2813" s="120"/>
      <c r="F2813" s="120"/>
      <c r="G2813" s="120"/>
      <c r="H2813" s="120"/>
      <c r="I2813" s="121"/>
      <c r="J2813" s="121"/>
      <c r="K2813" s="117"/>
    </row>
    <row r="2814" ht="15.75" customHeight="1">
      <c r="A2814" s="122"/>
      <c r="B2814" s="133"/>
      <c r="C2814" s="120"/>
      <c r="D2814" s="120"/>
      <c r="E2814" s="120"/>
      <c r="F2814" s="120"/>
      <c r="G2814" s="120"/>
      <c r="H2814" s="120"/>
      <c r="I2814" s="121"/>
      <c r="J2814" s="121"/>
      <c r="K2814" s="117"/>
    </row>
    <row r="2815" ht="15.75" customHeight="1">
      <c r="A2815" s="122"/>
      <c r="B2815" s="133"/>
      <c r="C2815" s="120"/>
      <c r="D2815" s="120"/>
      <c r="E2815" s="120"/>
      <c r="F2815" s="120"/>
      <c r="G2815" s="120"/>
      <c r="H2815" s="120"/>
      <c r="I2815" s="121"/>
      <c r="J2815" s="121"/>
      <c r="K2815" s="117"/>
    </row>
    <row r="2816" ht="15.75" customHeight="1">
      <c r="A2816" s="122"/>
      <c r="B2816" s="133"/>
      <c r="C2816" s="120"/>
      <c r="D2816" s="120"/>
      <c r="E2816" s="120"/>
      <c r="F2816" s="120"/>
      <c r="G2816" s="120"/>
      <c r="H2816" s="120"/>
      <c r="I2816" s="121"/>
      <c r="J2816" s="121"/>
      <c r="K2816" s="117"/>
    </row>
    <row r="2817" ht="15.75" customHeight="1">
      <c r="A2817" s="122"/>
      <c r="B2817" s="133"/>
      <c r="C2817" s="120"/>
      <c r="D2817" s="120"/>
      <c r="E2817" s="120"/>
      <c r="F2817" s="120"/>
      <c r="G2817" s="120"/>
      <c r="H2817" s="120"/>
      <c r="I2817" s="121"/>
      <c r="J2817" s="121"/>
      <c r="K2817" s="117"/>
    </row>
    <row r="2818" ht="15.75" customHeight="1">
      <c r="A2818" s="122"/>
      <c r="B2818" s="133"/>
      <c r="C2818" s="120"/>
      <c r="D2818" s="120"/>
      <c r="E2818" s="120"/>
      <c r="F2818" s="120"/>
      <c r="G2818" s="120"/>
      <c r="H2818" s="120"/>
      <c r="I2818" s="121"/>
      <c r="J2818" s="121"/>
      <c r="K2818" s="117"/>
    </row>
    <row r="2819" ht="15.75" customHeight="1">
      <c r="A2819" s="122"/>
      <c r="B2819" s="133"/>
      <c r="C2819" s="120"/>
      <c r="D2819" s="120"/>
      <c r="E2819" s="120"/>
      <c r="F2819" s="120"/>
      <c r="G2819" s="120"/>
      <c r="H2819" s="120"/>
      <c r="I2819" s="121"/>
      <c r="J2819" s="121"/>
      <c r="K2819" s="117"/>
    </row>
    <row r="2820" ht="15.75" customHeight="1">
      <c r="A2820" s="122"/>
      <c r="B2820" s="133"/>
      <c r="C2820" s="120"/>
      <c r="D2820" s="120"/>
      <c r="E2820" s="120"/>
      <c r="F2820" s="120"/>
      <c r="G2820" s="120"/>
      <c r="H2820" s="120"/>
      <c r="I2820" s="121"/>
      <c r="J2820" s="121"/>
      <c r="K2820" s="117"/>
    </row>
    <row r="2821" ht="15.75" customHeight="1">
      <c r="A2821" s="122"/>
      <c r="B2821" s="133"/>
      <c r="C2821" s="120"/>
      <c r="D2821" s="120"/>
      <c r="E2821" s="120"/>
      <c r="F2821" s="120"/>
      <c r="G2821" s="120"/>
      <c r="H2821" s="120"/>
      <c r="I2821" s="121"/>
      <c r="J2821" s="121"/>
      <c r="K2821" s="117"/>
    </row>
    <row r="2822" ht="15.75" customHeight="1">
      <c r="A2822" s="122"/>
      <c r="B2822" s="133"/>
      <c r="C2822" s="120"/>
      <c r="D2822" s="120"/>
      <c r="E2822" s="120"/>
      <c r="F2822" s="120"/>
      <c r="G2822" s="120"/>
      <c r="H2822" s="120"/>
      <c r="I2822" s="121"/>
      <c r="J2822" s="121"/>
      <c r="K2822" s="117"/>
    </row>
    <row r="2823" ht="15.75" customHeight="1">
      <c r="A2823" s="122"/>
      <c r="B2823" s="133"/>
      <c r="C2823" s="120"/>
      <c r="D2823" s="120"/>
      <c r="E2823" s="120"/>
      <c r="F2823" s="120"/>
      <c r="G2823" s="120"/>
      <c r="H2823" s="120"/>
      <c r="I2823" s="121"/>
      <c r="J2823" s="121"/>
      <c r="K2823" s="117"/>
    </row>
    <row r="2824" ht="15.75" customHeight="1">
      <c r="A2824" s="122"/>
      <c r="B2824" s="133"/>
      <c r="C2824" s="120"/>
      <c r="D2824" s="120"/>
      <c r="E2824" s="120"/>
      <c r="F2824" s="120"/>
      <c r="G2824" s="120"/>
      <c r="H2824" s="120"/>
      <c r="I2824" s="121"/>
      <c r="J2824" s="121"/>
      <c r="K2824" s="117"/>
    </row>
    <row r="2825" ht="15.75" customHeight="1">
      <c r="A2825" s="122"/>
      <c r="B2825" s="133"/>
      <c r="C2825" s="120"/>
      <c r="D2825" s="120"/>
      <c r="E2825" s="120"/>
      <c r="F2825" s="120"/>
      <c r="G2825" s="120"/>
      <c r="H2825" s="120"/>
      <c r="I2825" s="121"/>
      <c r="J2825" s="121"/>
      <c r="K2825" s="117"/>
    </row>
    <row r="2826" ht="15.75" customHeight="1">
      <c r="A2826" s="122"/>
      <c r="B2826" s="133"/>
      <c r="C2826" s="120"/>
      <c r="D2826" s="120"/>
      <c r="E2826" s="120"/>
      <c r="F2826" s="120"/>
      <c r="G2826" s="120"/>
      <c r="H2826" s="120"/>
      <c r="I2826" s="121"/>
      <c r="J2826" s="121"/>
      <c r="K2826" s="117"/>
    </row>
    <row r="2827" ht="15.75" customHeight="1">
      <c r="A2827" s="122"/>
      <c r="B2827" s="133"/>
      <c r="C2827" s="120"/>
      <c r="D2827" s="120"/>
      <c r="E2827" s="120"/>
      <c r="F2827" s="120"/>
      <c r="G2827" s="120"/>
      <c r="H2827" s="120"/>
      <c r="I2827" s="121"/>
      <c r="J2827" s="121"/>
      <c r="K2827" s="117"/>
    </row>
    <row r="2828" ht="15.75" customHeight="1">
      <c r="A2828" s="122"/>
      <c r="B2828" s="133"/>
      <c r="C2828" s="120"/>
      <c r="D2828" s="120"/>
      <c r="E2828" s="120"/>
      <c r="F2828" s="120"/>
      <c r="G2828" s="120"/>
      <c r="H2828" s="120"/>
      <c r="I2828" s="121"/>
      <c r="J2828" s="121"/>
      <c r="K2828" s="117"/>
    </row>
    <row r="2829" ht="15.75" customHeight="1">
      <c r="A2829" s="122"/>
      <c r="B2829" s="133"/>
      <c r="C2829" s="120"/>
      <c r="D2829" s="120"/>
      <c r="E2829" s="120"/>
      <c r="F2829" s="120"/>
      <c r="G2829" s="120"/>
      <c r="H2829" s="120"/>
      <c r="I2829" s="121"/>
      <c r="J2829" s="121"/>
      <c r="K2829" s="117"/>
    </row>
    <row r="2830" ht="15.75" customHeight="1">
      <c r="A2830" s="122"/>
      <c r="B2830" s="133"/>
      <c r="C2830" s="120"/>
      <c r="D2830" s="120"/>
      <c r="E2830" s="120"/>
      <c r="F2830" s="120"/>
      <c r="G2830" s="120"/>
      <c r="H2830" s="120"/>
      <c r="I2830" s="121"/>
      <c r="J2830" s="121"/>
      <c r="K2830" s="117"/>
    </row>
    <row r="2831" ht="15.75" customHeight="1">
      <c r="A2831" s="122"/>
      <c r="B2831" s="133"/>
      <c r="C2831" s="120"/>
      <c r="D2831" s="120"/>
      <c r="E2831" s="120"/>
      <c r="F2831" s="120"/>
      <c r="G2831" s="120"/>
      <c r="H2831" s="120"/>
      <c r="I2831" s="121"/>
      <c r="J2831" s="121"/>
      <c r="K2831" s="117"/>
    </row>
    <row r="2832" ht="15.75" customHeight="1">
      <c r="A2832" s="122"/>
      <c r="B2832" s="133"/>
      <c r="C2832" s="120"/>
      <c r="D2832" s="120"/>
      <c r="E2832" s="120"/>
      <c r="F2832" s="120"/>
      <c r="G2832" s="120"/>
      <c r="H2832" s="120"/>
      <c r="I2832" s="121"/>
      <c r="J2832" s="121"/>
      <c r="K2832" s="117"/>
    </row>
    <row r="2833" ht="15.75" customHeight="1">
      <c r="A2833" s="122"/>
      <c r="B2833" s="133"/>
      <c r="C2833" s="120"/>
      <c r="D2833" s="120"/>
      <c r="E2833" s="120"/>
      <c r="F2833" s="120"/>
      <c r="G2833" s="120"/>
      <c r="H2833" s="120"/>
      <c r="I2833" s="121"/>
      <c r="J2833" s="121"/>
      <c r="K2833" s="117"/>
    </row>
    <row r="2834" ht="15.75" customHeight="1">
      <c r="A2834" s="122"/>
      <c r="B2834" s="133"/>
      <c r="C2834" s="120"/>
      <c r="D2834" s="120"/>
      <c r="E2834" s="120"/>
      <c r="F2834" s="120"/>
      <c r="G2834" s="120"/>
      <c r="H2834" s="120"/>
      <c r="I2834" s="121"/>
      <c r="J2834" s="121"/>
      <c r="K2834" s="117"/>
    </row>
    <row r="2835" ht="15.75" customHeight="1">
      <c r="A2835" s="122"/>
      <c r="B2835" s="133"/>
      <c r="C2835" s="120"/>
      <c r="D2835" s="120"/>
      <c r="E2835" s="120"/>
      <c r="F2835" s="120"/>
      <c r="G2835" s="120"/>
      <c r="H2835" s="120"/>
      <c r="I2835" s="121"/>
      <c r="J2835" s="121"/>
      <c r="K2835" s="117"/>
    </row>
    <row r="2836" ht="15.75" customHeight="1">
      <c r="A2836" s="122"/>
      <c r="B2836" s="133"/>
      <c r="C2836" s="120"/>
      <c r="D2836" s="120"/>
      <c r="E2836" s="120"/>
      <c r="F2836" s="120"/>
      <c r="G2836" s="120"/>
      <c r="H2836" s="120"/>
      <c r="I2836" s="121"/>
      <c r="J2836" s="121"/>
      <c r="K2836" s="117"/>
    </row>
    <row r="2837" ht="15.75" customHeight="1">
      <c r="A2837" s="122"/>
      <c r="B2837" s="133"/>
      <c r="C2837" s="120"/>
      <c r="D2837" s="120"/>
      <c r="E2837" s="120"/>
      <c r="F2837" s="120"/>
      <c r="G2837" s="120"/>
      <c r="H2837" s="120"/>
      <c r="I2837" s="121"/>
      <c r="J2837" s="121"/>
      <c r="K2837" s="117"/>
    </row>
    <row r="2838" ht="15.75" customHeight="1">
      <c r="A2838" s="122"/>
      <c r="B2838" s="133"/>
      <c r="C2838" s="120"/>
      <c r="D2838" s="120"/>
      <c r="E2838" s="120"/>
      <c r="F2838" s="120"/>
      <c r="G2838" s="120"/>
      <c r="H2838" s="120"/>
      <c r="I2838" s="121"/>
      <c r="J2838" s="121"/>
      <c r="K2838" s="117"/>
    </row>
    <row r="2839" ht="15.75" customHeight="1">
      <c r="A2839" s="122"/>
      <c r="B2839" s="133"/>
      <c r="C2839" s="120"/>
      <c r="D2839" s="120"/>
      <c r="E2839" s="120"/>
      <c r="F2839" s="120"/>
      <c r="G2839" s="120"/>
      <c r="H2839" s="120"/>
      <c r="I2839" s="121"/>
      <c r="J2839" s="121"/>
      <c r="K2839" s="117"/>
    </row>
    <row r="2840" ht="15.75" customHeight="1">
      <c r="A2840" s="122"/>
      <c r="B2840" s="133"/>
      <c r="C2840" s="120"/>
      <c r="D2840" s="120"/>
      <c r="E2840" s="120"/>
      <c r="F2840" s="120"/>
      <c r="G2840" s="120"/>
      <c r="H2840" s="120"/>
      <c r="I2840" s="121"/>
      <c r="J2840" s="121"/>
      <c r="K2840" s="117"/>
    </row>
    <row r="2841" ht="15.75" customHeight="1">
      <c r="A2841" s="122"/>
      <c r="B2841" s="133"/>
      <c r="C2841" s="120"/>
      <c r="D2841" s="120"/>
      <c r="E2841" s="120"/>
      <c r="F2841" s="120"/>
      <c r="G2841" s="120"/>
      <c r="H2841" s="120"/>
      <c r="I2841" s="121"/>
      <c r="J2841" s="121"/>
      <c r="K2841" s="117"/>
    </row>
    <row r="2842" ht="15.75" customHeight="1">
      <c r="A2842" s="122"/>
      <c r="B2842" s="133"/>
      <c r="C2842" s="120"/>
      <c r="D2842" s="120"/>
      <c r="E2842" s="120"/>
      <c r="F2842" s="120"/>
      <c r="G2842" s="120"/>
      <c r="H2842" s="120"/>
      <c r="I2842" s="121"/>
      <c r="J2842" s="121"/>
      <c r="K2842" s="117"/>
    </row>
    <row r="2843" ht="15.75" customHeight="1">
      <c r="A2843" s="122"/>
      <c r="B2843" s="133"/>
      <c r="C2843" s="120"/>
      <c r="D2843" s="120"/>
      <c r="E2843" s="120"/>
      <c r="F2843" s="120"/>
      <c r="G2843" s="120"/>
      <c r="H2843" s="120"/>
      <c r="I2843" s="121"/>
      <c r="J2843" s="121"/>
      <c r="K2843" s="117"/>
    </row>
    <row r="2844" ht="15.75" customHeight="1">
      <c r="A2844" s="122"/>
      <c r="B2844" s="133"/>
      <c r="C2844" s="120"/>
      <c r="D2844" s="120"/>
      <c r="E2844" s="120"/>
      <c r="F2844" s="120"/>
      <c r="G2844" s="120"/>
      <c r="H2844" s="120"/>
      <c r="I2844" s="121"/>
      <c r="J2844" s="121"/>
      <c r="K2844" s="117"/>
    </row>
    <row r="2845" ht="15.75" customHeight="1">
      <c r="A2845" s="122"/>
      <c r="B2845" s="133"/>
      <c r="C2845" s="120"/>
      <c r="D2845" s="120"/>
      <c r="E2845" s="120"/>
      <c r="F2845" s="120"/>
      <c r="G2845" s="120"/>
      <c r="H2845" s="120"/>
      <c r="I2845" s="121"/>
      <c r="J2845" s="121"/>
      <c r="K2845" s="117"/>
    </row>
    <row r="2846" ht="15.75" customHeight="1">
      <c r="A2846" s="122"/>
      <c r="B2846" s="133"/>
      <c r="C2846" s="120"/>
      <c r="D2846" s="120"/>
      <c r="E2846" s="120"/>
      <c r="F2846" s="120"/>
      <c r="G2846" s="120"/>
      <c r="H2846" s="120"/>
      <c r="I2846" s="121"/>
      <c r="J2846" s="121"/>
      <c r="K2846" s="117"/>
    </row>
    <row r="2847" ht="15.75" customHeight="1">
      <c r="A2847" s="122"/>
      <c r="B2847" s="133"/>
      <c r="C2847" s="120"/>
      <c r="D2847" s="120"/>
      <c r="E2847" s="120"/>
      <c r="F2847" s="120"/>
      <c r="G2847" s="120"/>
      <c r="H2847" s="120"/>
      <c r="I2847" s="121"/>
      <c r="J2847" s="121"/>
      <c r="K2847" s="117"/>
    </row>
    <row r="2848" ht="15.75" customHeight="1">
      <c r="A2848" s="122"/>
      <c r="B2848" s="133"/>
      <c r="C2848" s="120"/>
      <c r="D2848" s="120"/>
      <c r="E2848" s="120"/>
      <c r="F2848" s="120"/>
      <c r="G2848" s="120"/>
      <c r="H2848" s="120"/>
      <c r="I2848" s="121"/>
      <c r="J2848" s="121"/>
      <c r="K2848" s="117"/>
    </row>
    <row r="2849" ht="15.75" customHeight="1">
      <c r="A2849" s="122"/>
      <c r="B2849" s="133"/>
      <c r="C2849" s="120"/>
      <c r="D2849" s="120"/>
      <c r="E2849" s="120"/>
      <c r="F2849" s="120"/>
      <c r="G2849" s="120"/>
      <c r="H2849" s="120"/>
      <c r="I2849" s="121"/>
      <c r="J2849" s="121"/>
      <c r="K2849" s="117"/>
    </row>
    <row r="2850" ht="15.75" customHeight="1">
      <c r="A2850" s="122"/>
      <c r="B2850" s="133"/>
      <c r="C2850" s="120"/>
      <c r="D2850" s="120"/>
      <c r="E2850" s="120"/>
      <c r="F2850" s="120"/>
      <c r="G2850" s="120"/>
      <c r="H2850" s="120"/>
      <c r="I2850" s="121"/>
      <c r="J2850" s="121"/>
      <c r="K2850" s="117"/>
    </row>
    <row r="2851" ht="15.75" customHeight="1">
      <c r="A2851" s="122"/>
      <c r="B2851" s="133"/>
      <c r="C2851" s="120"/>
      <c r="D2851" s="120"/>
      <c r="E2851" s="120"/>
      <c r="F2851" s="120"/>
      <c r="G2851" s="120"/>
      <c r="H2851" s="120"/>
      <c r="I2851" s="121"/>
      <c r="J2851" s="121"/>
      <c r="K2851" s="117"/>
    </row>
    <row r="2852" ht="15.75" customHeight="1">
      <c r="A2852" s="122"/>
      <c r="B2852" s="133"/>
      <c r="C2852" s="120"/>
      <c r="D2852" s="120"/>
      <c r="E2852" s="120"/>
      <c r="F2852" s="120"/>
      <c r="G2852" s="120"/>
      <c r="H2852" s="120"/>
      <c r="I2852" s="121"/>
      <c r="J2852" s="121"/>
      <c r="K2852" s="117"/>
    </row>
    <row r="2853" ht="15.75" customHeight="1">
      <c r="A2853" s="122"/>
      <c r="B2853" s="133"/>
      <c r="C2853" s="120"/>
      <c r="D2853" s="120"/>
      <c r="E2853" s="120"/>
      <c r="F2853" s="120"/>
      <c r="G2853" s="120"/>
      <c r="H2853" s="120"/>
      <c r="I2853" s="121"/>
      <c r="J2853" s="121"/>
      <c r="K2853" s="117"/>
    </row>
    <row r="2854" ht="15.75" customHeight="1">
      <c r="A2854" s="122"/>
      <c r="B2854" s="133"/>
      <c r="C2854" s="120"/>
      <c r="D2854" s="120"/>
      <c r="E2854" s="120"/>
      <c r="F2854" s="120"/>
      <c r="G2854" s="120"/>
      <c r="H2854" s="120"/>
      <c r="I2854" s="121"/>
      <c r="J2854" s="121"/>
      <c r="K2854" s="117"/>
    </row>
    <row r="2855" ht="15.75" customHeight="1">
      <c r="A2855" s="122"/>
      <c r="B2855" s="133"/>
      <c r="C2855" s="120"/>
      <c r="D2855" s="120"/>
      <c r="E2855" s="120"/>
      <c r="F2855" s="120"/>
      <c r="G2855" s="120"/>
      <c r="H2855" s="120"/>
      <c r="I2855" s="121"/>
      <c r="J2855" s="121"/>
      <c r="K2855" s="117"/>
    </row>
    <row r="2856" ht="15.75" customHeight="1">
      <c r="A2856" s="122"/>
      <c r="B2856" s="133"/>
      <c r="C2856" s="120"/>
      <c r="D2856" s="120"/>
      <c r="E2856" s="120"/>
      <c r="F2856" s="120"/>
      <c r="G2856" s="120"/>
      <c r="H2856" s="120"/>
      <c r="I2856" s="121"/>
      <c r="J2856" s="121"/>
      <c r="K2856" s="117"/>
    </row>
    <row r="2857" ht="15.75" customHeight="1">
      <c r="A2857" s="122"/>
      <c r="B2857" s="133"/>
      <c r="C2857" s="120"/>
      <c r="D2857" s="120"/>
      <c r="E2857" s="120"/>
      <c r="F2857" s="120"/>
      <c r="G2857" s="120"/>
      <c r="H2857" s="120"/>
      <c r="I2857" s="121"/>
      <c r="J2857" s="121"/>
      <c r="K2857" s="117"/>
    </row>
    <row r="2858" ht="15.75" customHeight="1">
      <c r="A2858" s="122"/>
      <c r="B2858" s="133"/>
      <c r="C2858" s="120"/>
      <c r="D2858" s="120"/>
      <c r="E2858" s="120"/>
      <c r="F2858" s="120"/>
      <c r="G2858" s="120"/>
      <c r="H2858" s="120"/>
      <c r="I2858" s="121"/>
      <c r="J2858" s="121"/>
      <c r="K2858" s="117"/>
    </row>
    <row r="2859" ht="15.75" customHeight="1">
      <c r="A2859" s="122"/>
      <c r="B2859" s="133"/>
      <c r="C2859" s="120"/>
      <c r="D2859" s="120"/>
      <c r="E2859" s="120"/>
      <c r="F2859" s="120"/>
      <c r="G2859" s="120"/>
      <c r="H2859" s="120"/>
      <c r="I2859" s="121"/>
      <c r="J2859" s="121"/>
      <c r="K2859" s="117"/>
    </row>
    <row r="2860" ht="15.75" customHeight="1">
      <c r="A2860" s="122"/>
      <c r="B2860" s="133"/>
      <c r="C2860" s="120"/>
      <c r="D2860" s="120"/>
      <c r="E2860" s="120"/>
      <c r="F2860" s="120"/>
      <c r="G2860" s="120"/>
      <c r="H2860" s="120"/>
      <c r="I2860" s="121"/>
      <c r="J2860" s="121"/>
      <c r="K2860" s="117"/>
    </row>
    <row r="2861" ht="15.75" customHeight="1">
      <c r="A2861" s="122"/>
      <c r="B2861" s="133"/>
      <c r="C2861" s="120"/>
      <c r="D2861" s="120"/>
      <c r="E2861" s="120"/>
      <c r="F2861" s="120"/>
      <c r="G2861" s="120"/>
      <c r="H2861" s="120"/>
      <c r="I2861" s="121"/>
      <c r="J2861" s="121"/>
      <c r="K2861" s="117"/>
    </row>
    <row r="2862" ht="15.75" customHeight="1">
      <c r="A2862" s="122"/>
      <c r="B2862" s="133"/>
      <c r="C2862" s="120"/>
      <c r="D2862" s="120"/>
      <c r="E2862" s="120"/>
      <c r="F2862" s="120"/>
      <c r="G2862" s="120"/>
      <c r="H2862" s="120"/>
      <c r="I2862" s="121"/>
      <c r="J2862" s="121"/>
      <c r="K2862" s="117"/>
    </row>
    <row r="2863" ht="15.75" customHeight="1">
      <c r="A2863" s="122"/>
      <c r="B2863" s="133"/>
      <c r="C2863" s="120"/>
      <c r="D2863" s="120"/>
      <c r="E2863" s="120"/>
      <c r="F2863" s="120"/>
      <c r="G2863" s="120"/>
      <c r="H2863" s="120"/>
      <c r="I2863" s="121"/>
      <c r="J2863" s="121"/>
      <c r="K2863" s="117"/>
    </row>
    <row r="2864" ht="15.75" customHeight="1">
      <c r="A2864" s="122"/>
      <c r="B2864" s="133"/>
      <c r="C2864" s="120"/>
      <c r="D2864" s="120"/>
      <c r="E2864" s="120"/>
      <c r="F2864" s="120"/>
      <c r="G2864" s="120"/>
      <c r="H2864" s="120"/>
      <c r="I2864" s="121"/>
      <c r="J2864" s="121"/>
      <c r="K2864" s="117"/>
    </row>
    <row r="2865" ht="15.75" customHeight="1">
      <c r="A2865" s="122"/>
      <c r="B2865" s="133"/>
      <c r="C2865" s="120"/>
      <c r="D2865" s="120"/>
      <c r="E2865" s="120"/>
      <c r="F2865" s="120"/>
      <c r="G2865" s="120"/>
      <c r="H2865" s="120"/>
      <c r="I2865" s="121"/>
      <c r="J2865" s="121"/>
      <c r="K2865" s="117"/>
    </row>
    <row r="2866" ht="15.75" customHeight="1">
      <c r="A2866" s="122"/>
      <c r="B2866" s="133"/>
      <c r="C2866" s="120"/>
      <c r="D2866" s="120"/>
      <c r="E2866" s="120"/>
      <c r="F2866" s="120"/>
      <c r="G2866" s="120"/>
      <c r="H2866" s="120"/>
      <c r="I2866" s="121"/>
      <c r="J2866" s="121"/>
      <c r="K2866" s="117"/>
    </row>
    <row r="2867" ht="15.75" customHeight="1">
      <c r="A2867" s="122"/>
      <c r="B2867" s="133"/>
      <c r="C2867" s="120"/>
      <c r="D2867" s="120"/>
      <c r="E2867" s="120"/>
      <c r="F2867" s="120"/>
      <c r="G2867" s="120"/>
      <c r="H2867" s="120"/>
      <c r="I2867" s="121"/>
      <c r="J2867" s="121"/>
      <c r="K2867" s="117"/>
    </row>
    <row r="2868" ht="15.75" customHeight="1">
      <c r="A2868" s="122"/>
      <c r="B2868" s="133"/>
      <c r="C2868" s="120"/>
      <c r="D2868" s="120"/>
      <c r="E2868" s="120"/>
      <c r="F2868" s="120"/>
      <c r="G2868" s="120"/>
      <c r="H2868" s="120"/>
      <c r="I2868" s="121"/>
      <c r="J2868" s="121"/>
      <c r="K2868" s="117"/>
    </row>
    <row r="2869" ht="15.75" customHeight="1">
      <c r="A2869" s="122"/>
      <c r="B2869" s="133"/>
      <c r="C2869" s="120"/>
      <c r="D2869" s="120"/>
      <c r="E2869" s="120"/>
      <c r="F2869" s="120"/>
      <c r="G2869" s="120"/>
      <c r="H2869" s="120"/>
      <c r="I2869" s="121"/>
      <c r="J2869" s="121"/>
      <c r="K2869" s="117"/>
    </row>
    <row r="2870" ht="15.75" customHeight="1">
      <c r="A2870" s="122"/>
      <c r="B2870" s="133"/>
      <c r="C2870" s="120"/>
      <c r="D2870" s="120"/>
      <c r="E2870" s="120"/>
      <c r="F2870" s="120"/>
      <c r="G2870" s="120"/>
      <c r="H2870" s="120"/>
      <c r="I2870" s="121"/>
      <c r="J2870" s="121"/>
      <c r="K2870" s="117"/>
    </row>
    <row r="2871" ht="15.75" customHeight="1">
      <c r="A2871" s="122"/>
      <c r="B2871" s="133"/>
      <c r="C2871" s="120"/>
      <c r="D2871" s="120"/>
      <c r="E2871" s="120"/>
      <c r="F2871" s="120"/>
      <c r="G2871" s="120"/>
      <c r="H2871" s="120"/>
      <c r="I2871" s="121"/>
      <c r="J2871" s="121"/>
      <c r="K2871" s="117"/>
    </row>
    <row r="2872" ht="15.75" customHeight="1">
      <c r="A2872" s="122"/>
      <c r="B2872" s="133"/>
      <c r="C2872" s="120"/>
      <c r="D2872" s="120"/>
      <c r="E2872" s="120"/>
      <c r="F2872" s="120"/>
      <c r="G2872" s="120"/>
      <c r="H2872" s="120"/>
      <c r="I2872" s="121"/>
      <c r="J2872" s="121"/>
      <c r="K2872" s="117"/>
    </row>
    <row r="2873" ht="15.75" customHeight="1">
      <c r="A2873" s="122"/>
      <c r="B2873" s="133"/>
      <c r="C2873" s="120"/>
      <c r="D2873" s="120"/>
      <c r="E2873" s="120"/>
      <c r="F2873" s="120"/>
      <c r="G2873" s="120"/>
      <c r="H2873" s="120"/>
      <c r="I2873" s="121"/>
      <c r="J2873" s="121"/>
      <c r="K2873" s="117"/>
    </row>
    <row r="2874" ht="15.75" customHeight="1">
      <c r="A2874" s="122"/>
      <c r="B2874" s="133"/>
      <c r="C2874" s="120"/>
      <c r="D2874" s="120"/>
      <c r="E2874" s="120"/>
      <c r="F2874" s="120"/>
      <c r="G2874" s="120"/>
      <c r="H2874" s="120"/>
      <c r="I2874" s="121"/>
      <c r="J2874" s="121"/>
      <c r="K2874" s="117"/>
    </row>
    <row r="2875" ht="15.75" customHeight="1">
      <c r="A2875" s="122"/>
      <c r="B2875" s="133"/>
      <c r="C2875" s="120"/>
      <c r="D2875" s="120"/>
      <c r="E2875" s="120"/>
      <c r="F2875" s="120"/>
      <c r="G2875" s="120"/>
      <c r="H2875" s="120"/>
      <c r="I2875" s="121"/>
      <c r="J2875" s="121"/>
      <c r="K2875" s="117"/>
    </row>
    <row r="2876" ht="15.75" customHeight="1">
      <c r="A2876" s="122"/>
      <c r="B2876" s="133"/>
      <c r="C2876" s="120"/>
      <c r="D2876" s="120"/>
      <c r="E2876" s="120"/>
      <c r="F2876" s="120"/>
      <c r="G2876" s="120"/>
      <c r="H2876" s="120"/>
      <c r="I2876" s="121"/>
      <c r="J2876" s="121"/>
      <c r="K2876" s="117"/>
    </row>
    <row r="2877" ht="15.75" customHeight="1">
      <c r="A2877" s="122"/>
      <c r="B2877" s="133"/>
      <c r="C2877" s="120"/>
      <c r="D2877" s="120"/>
      <c r="E2877" s="120"/>
      <c r="F2877" s="120"/>
      <c r="G2877" s="120"/>
      <c r="H2877" s="120"/>
      <c r="I2877" s="121"/>
      <c r="J2877" s="121"/>
      <c r="K2877" s="117"/>
    </row>
    <row r="2878" ht="15.75" customHeight="1">
      <c r="A2878" s="122"/>
      <c r="B2878" s="133"/>
      <c r="C2878" s="120"/>
      <c r="D2878" s="120"/>
      <c r="E2878" s="120"/>
      <c r="F2878" s="120"/>
      <c r="G2878" s="120"/>
      <c r="H2878" s="120"/>
      <c r="I2878" s="121"/>
      <c r="J2878" s="121"/>
      <c r="K2878" s="117"/>
    </row>
    <row r="2879" ht="15.75" customHeight="1">
      <c r="A2879" s="122"/>
      <c r="B2879" s="133"/>
      <c r="C2879" s="120"/>
      <c r="D2879" s="120"/>
      <c r="E2879" s="120"/>
      <c r="F2879" s="120"/>
      <c r="G2879" s="120"/>
      <c r="H2879" s="120"/>
      <c r="I2879" s="121"/>
      <c r="J2879" s="121"/>
      <c r="K2879" s="117"/>
    </row>
    <row r="2880" ht="15.75" customHeight="1">
      <c r="A2880" s="122"/>
      <c r="B2880" s="133"/>
      <c r="C2880" s="120"/>
      <c r="D2880" s="120"/>
      <c r="E2880" s="120"/>
      <c r="F2880" s="120"/>
      <c r="G2880" s="120"/>
      <c r="H2880" s="120"/>
      <c r="I2880" s="121"/>
      <c r="J2880" s="121"/>
      <c r="K2880" s="117"/>
    </row>
    <row r="2881" ht="15.75" customHeight="1">
      <c r="A2881" s="122"/>
      <c r="B2881" s="133"/>
      <c r="C2881" s="120"/>
      <c r="D2881" s="120"/>
      <c r="E2881" s="120"/>
      <c r="F2881" s="120"/>
      <c r="G2881" s="120"/>
      <c r="H2881" s="120"/>
      <c r="I2881" s="121"/>
      <c r="J2881" s="121"/>
      <c r="K2881" s="117"/>
    </row>
    <row r="2882" ht="15.75" customHeight="1">
      <c r="A2882" s="122"/>
      <c r="B2882" s="133"/>
      <c r="C2882" s="120"/>
      <c r="D2882" s="120"/>
      <c r="E2882" s="120"/>
      <c r="F2882" s="120"/>
      <c r="G2882" s="120"/>
      <c r="H2882" s="120"/>
      <c r="I2882" s="121"/>
      <c r="J2882" s="121"/>
      <c r="K2882" s="117"/>
    </row>
    <row r="2883" ht="15.75" customHeight="1">
      <c r="A2883" s="122"/>
      <c r="B2883" s="133"/>
      <c r="C2883" s="120"/>
      <c r="D2883" s="120"/>
      <c r="E2883" s="120"/>
      <c r="F2883" s="120"/>
      <c r="G2883" s="120"/>
      <c r="H2883" s="120"/>
      <c r="I2883" s="121"/>
      <c r="J2883" s="121"/>
      <c r="K2883" s="117"/>
    </row>
    <row r="2884" ht="15.75" customHeight="1">
      <c r="A2884" s="122"/>
      <c r="B2884" s="133"/>
      <c r="C2884" s="120"/>
      <c r="D2884" s="120"/>
      <c r="E2884" s="120"/>
      <c r="F2884" s="120"/>
      <c r="G2884" s="120"/>
      <c r="H2884" s="120"/>
      <c r="I2884" s="121"/>
      <c r="J2884" s="121"/>
      <c r="K2884" s="117"/>
    </row>
    <row r="2885" ht="15.75" customHeight="1">
      <c r="A2885" s="122"/>
      <c r="B2885" s="133"/>
      <c r="C2885" s="120"/>
      <c r="D2885" s="120"/>
      <c r="E2885" s="120"/>
      <c r="F2885" s="120"/>
      <c r="G2885" s="120"/>
      <c r="H2885" s="120"/>
      <c r="I2885" s="121"/>
      <c r="J2885" s="121"/>
      <c r="K2885" s="117"/>
    </row>
    <row r="2886" ht="15.75" customHeight="1">
      <c r="A2886" s="122"/>
      <c r="B2886" s="133"/>
      <c r="C2886" s="120"/>
      <c r="D2886" s="120"/>
      <c r="E2886" s="120"/>
      <c r="F2886" s="120"/>
      <c r="G2886" s="120"/>
      <c r="H2886" s="120"/>
      <c r="I2886" s="121"/>
      <c r="J2886" s="121"/>
      <c r="K2886" s="117"/>
    </row>
    <row r="2887" ht="15.75" customHeight="1">
      <c r="A2887" s="122"/>
      <c r="B2887" s="133"/>
      <c r="C2887" s="120"/>
      <c r="D2887" s="120"/>
      <c r="E2887" s="120"/>
      <c r="F2887" s="120"/>
      <c r="G2887" s="120"/>
      <c r="H2887" s="120"/>
      <c r="I2887" s="121"/>
      <c r="J2887" s="121"/>
      <c r="K2887" s="117"/>
    </row>
    <row r="2888" ht="15.75" customHeight="1">
      <c r="A2888" s="122"/>
      <c r="B2888" s="133"/>
      <c r="C2888" s="120"/>
      <c r="D2888" s="120"/>
      <c r="E2888" s="120"/>
      <c r="F2888" s="120"/>
      <c r="G2888" s="120"/>
      <c r="H2888" s="120"/>
      <c r="I2888" s="121"/>
      <c r="J2888" s="121"/>
      <c r="K2888" s="117"/>
    </row>
    <row r="2889" ht="15.75" customHeight="1">
      <c r="A2889" s="122"/>
      <c r="B2889" s="133"/>
      <c r="C2889" s="120"/>
      <c r="D2889" s="120"/>
      <c r="E2889" s="120"/>
      <c r="F2889" s="120"/>
      <c r="G2889" s="120"/>
      <c r="H2889" s="120"/>
      <c r="I2889" s="121"/>
      <c r="J2889" s="121"/>
      <c r="K2889" s="117"/>
    </row>
    <row r="2890" ht="15.75" customHeight="1">
      <c r="A2890" s="122"/>
      <c r="B2890" s="133"/>
      <c r="C2890" s="120"/>
      <c r="D2890" s="120"/>
      <c r="E2890" s="120"/>
      <c r="F2890" s="120"/>
      <c r="G2890" s="120"/>
      <c r="H2890" s="120"/>
      <c r="I2890" s="121"/>
      <c r="J2890" s="121"/>
      <c r="K2890" s="117"/>
    </row>
    <row r="2891" ht="15.75" customHeight="1">
      <c r="A2891" s="122"/>
      <c r="B2891" s="133"/>
      <c r="C2891" s="120"/>
      <c r="D2891" s="120"/>
      <c r="E2891" s="120"/>
      <c r="F2891" s="120"/>
      <c r="G2891" s="120"/>
      <c r="H2891" s="120"/>
      <c r="I2891" s="121"/>
      <c r="J2891" s="121"/>
      <c r="K2891" s="117"/>
    </row>
    <row r="2892" ht="15.75" customHeight="1">
      <c r="A2892" s="122"/>
      <c r="B2892" s="133"/>
      <c r="C2892" s="120"/>
      <c r="D2892" s="120"/>
      <c r="E2892" s="120"/>
      <c r="F2892" s="120"/>
      <c r="G2892" s="120"/>
      <c r="H2892" s="120"/>
      <c r="I2892" s="121"/>
      <c r="J2892" s="121"/>
      <c r="K2892" s="117"/>
    </row>
    <row r="2893" ht="15.75" customHeight="1">
      <c r="A2893" s="122"/>
      <c r="B2893" s="133"/>
      <c r="C2893" s="120"/>
      <c r="D2893" s="120"/>
      <c r="E2893" s="120"/>
      <c r="F2893" s="120"/>
      <c r="G2893" s="120"/>
      <c r="H2893" s="120"/>
      <c r="I2893" s="121"/>
      <c r="J2893" s="121"/>
      <c r="K2893" s="117"/>
    </row>
    <row r="2894" ht="15.75" customHeight="1">
      <c r="A2894" s="122"/>
      <c r="B2894" s="133"/>
      <c r="C2894" s="120"/>
      <c r="D2894" s="120"/>
      <c r="E2894" s="120"/>
      <c r="F2894" s="120"/>
      <c r="G2894" s="120"/>
      <c r="H2894" s="120"/>
      <c r="I2894" s="121"/>
      <c r="J2894" s="121"/>
      <c r="K2894" s="117"/>
    </row>
    <row r="2895" ht="15.75" customHeight="1">
      <c r="A2895" s="122"/>
      <c r="B2895" s="133"/>
      <c r="C2895" s="120"/>
      <c r="D2895" s="120"/>
      <c r="E2895" s="120"/>
      <c r="F2895" s="120"/>
      <c r="G2895" s="120"/>
      <c r="H2895" s="120"/>
      <c r="I2895" s="121"/>
      <c r="J2895" s="121"/>
      <c r="K2895" s="117"/>
    </row>
    <row r="2896" ht="15.75" customHeight="1">
      <c r="A2896" s="122"/>
      <c r="B2896" s="133"/>
      <c r="C2896" s="120"/>
      <c r="D2896" s="120"/>
      <c r="E2896" s="120"/>
      <c r="F2896" s="120"/>
      <c r="G2896" s="120"/>
      <c r="H2896" s="120"/>
      <c r="I2896" s="121"/>
      <c r="J2896" s="121"/>
      <c r="K2896" s="117"/>
    </row>
    <row r="2897" ht="15.75" customHeight="1">
      <c r="A2897" s="122"/>
      <c r="B2897" s="133"/>
      <c r="C2897" s="120"/>
      <c r="D2897" s="120"/>
      <c r="E2897" s="120"/>
      <c r="F2897" s="120"/>
      <c r="G2897" s="120"/>
      <c r="H2897" s="120"/>
      <c r="I2897" s="121"/>
      <c r="J2897" s="121"/>
      <c r="K2897" s="117"/>
    </row>
    <row r="2898" ht="15.75" customHeight="1">
      <c r="A2898" s="122"/>
      <c r="B2898" s="133"/>
      <c r="C2898" s="120"/>
      <c r="D2898" s="120"/>
      <c r="E2898" s="120"/>
      <c r="F2898" s="120"/>
      <c r="G2898" s="120"/>
      <c r="H2898" s="120"/>
      <c r="I2898" s="121"/>
      <c r="J2898" s="121"/>
      <c r="K2898" s="117"/>
    </row>
    <row r="2899" ht="15.75" customHeight="1">
      <c r="A2899" s="122"/>
      <c r="B2899" s="133"/>
      <c r="C2899" s="120"/>
      <c r="D2899" s="120"/>
      <c r="E2899" s="120"/>
      <c r="F2899" s="120"/>
      <c r="G2899" s="120"/>
      <c r="H2899" s="120"/>
      <c r="I2899" s="121"/>
      <c r="J2899" s="121"/>
      <c r="K2899" s="117"/>
    </row>
    <row r="2900" ht="15.75" customHeight="1">
      <c r="A2900" s="122"/>
      <c r="B2900" s="133"/>
      <c r="C2900" s="120"/>
      <c r="D2900" s="120"/>
      <c r="E2900" s="120"/>
      <c r="F2900" s="120"/>
      <c r="G2900" s="120"/>
      <c r="H2900" s="120"/>
      <c r="I2900" s="121"/>
      <c r="J2900" s="121"/>
      <c r="K2900" s="117"/>
    </row>
    <row r="2901" ht="15.75" customHeight="1">
      <c r="A2901" s="122"/>
      <c r="B2901" s="133"/>
      <c r="C2901" s="120"/>
      <c r="D2901" s="120"/>
      <c r="E2901" s="120"/>
      <c r="F2901" s="120"/>
      <c r="G2901" s="120"/>
      <c r="H2901" s="120"/>
      <c r="I2901" s="121"/>
      <c r="J2901" s="121"/>
      <c r="K2901" s="117"/>
    </row>
    <row r="2902" ht="15.75" customHeight="1">
      <c r="A2902" s="122"/>
      <c r="B2902" s="133"/>
      <c r="C2902" s="120"/>
      <c r="D2902" s="120"/>
      <c r="E2902" s="120"/>
      <c r="F2902" s="120"/>
      <c r="G2902" s="120"/>
      <c r="H2902" s="120"/>
      <c r="I2902" s="121"/>
      <c r="J2902" s="121"/>
      <c r="K2902" s="117"/>
    </row>
    <row r="2903" ht="15.75" customHeight="1">
      <c r="A2903" s="122"/>
      <c r="B2903" s="133"/>
      <c r="C2903" s="120"/>
      <c r="D2903" s="120"/>
      <c r="E2903" s="120"/>
      <c r="F2903" s="120"/>
      <c r="G2903" s="120"/>
      <c r="H2903" s="120"/>
      <c r="I2903" s="121"/>
      <c r="J2903" s="121"/>
      <c r="K2903" s="117"/>
    </row>
    <row r="2904" ht="15.75" customHeight="1">
      <c r="A2904" s="122"/>
      <c r="B2904" s="133"/>
      <c r="C2904" s="120"/>
      <c r="D2904" s="120"/>
      <c r="E2904" s="120"/>
      <c r="F2904" s="120"/>
      <c r="G2904" s="120"/>
      <c r="H2904" s="120"/>
      <c r="I2904" s="121"/>
      <c r="J2904" s="121"/>
      <c r="K2904" s="117"/>
    </row>
    <row r="2905" ht="15.75" customHeight="1">
      <c r="A2905" s="122"/>
      <c r="B2905" s="133"/>
      <c r="C2905" s="120"/>
      <c r="D2905" s="120"/>
      <c r="E2905" s="120"/>
      <c r="F2905" s="120"/>
      <c r="G2905" s="120"/>
      <c r="H2905" s="120"/>
      <c r="I2905" s="121"/>
      <c r="J2905" s="121"/>
      <c r="K2905" s="117"/>
    </row>
    <row r="2906" ht="15.75" customHeight="1">
      <c r="A2906" s="122"/>
      <c r="B2906" s="133"/>
      <c r="C2906" s="120"/>
      <c r="D2906" s="120"/>
      <c r="E2906" s="120"/>
      <c r="F2906" s="120"/>
      <c r="G2906" s="120"/>
      <c r="H2906" s="120"/>
      <c r="I2906" s="121"/>
      <c r="J2906" s="121"/>
      <c r="K2906" s="117"/>
    </row>
    <row r="2907" ht="15.75" customHeight="1">
      <c r="A2907" s="122"/>
      <c r="B2907" s="133"/>
      <c r="C2907" s="120"/>
      <c r="D2907" s="120"/>
      <c r="E2907" s="120"/>
      <c r="F2907" s="120"/>
      <c r="G2907" s="120"/>
      <c r="H2907" s="120"/>
      <c r="I2907" s="121"/>
      <c r="J2907" s="121"/>
      <c r="K2907" s="117"/>
    </row>
    <row r="2908" ht="15.75" customHeight="1">
      <c r="A2908" s="122"/>
      <c r="B2908" s="133"/>
      <c r="C2908" s="120"/>
      <c r="D2908" s="120"/>
      <c r="E2908" s="120"/>
      <c r="F2908" s="120"/>
      <c r="G2908" s="120"/>
      <c r="H2908" s="120"/>
      <c r="I2908" s="121"/>
      <c r="J2908" s="121"/>
      <c r="K2908" s="117"/>
    </row>
    <row r="2909" ht="15.75" customHeight="1">
      <c r="A2909" s="122"/>
      <c r="B2909" s="133"/>
      <c r="C2909" s="120"/>
      <c r="D2909" s="120"/>
      <c r="E2909" s="120"/>
      <c r="F2909" s="120"/>
      <c r="G2909" s="120"/>
      <c r="H2909" s="120"/>
      <c r="I2909" s="121"/>
      <c r="J2909" s="121"/>
      <c r="K2909" s="117"/>
    </row>
    <row r="2910" ht="15.75" customHeight="1">
      <c r="A2910" s="122"/>
      <c r="B2910" s="133"/>
      <c r="C2910" s="120"/>
      <c r="D2910" s="120"/>
      <c r="E2910" s="120"/>
      <c r="F2910" s="120"/>
      <c r="G2910" s="120"/>
      <c r="H2910" s="120"/>
      <c r="I2910" s="121"/>
      <c r="J2910" s="121"/>
      <c r="K2910" s="117"/>
    </row>
    <row r="2911" ht="15.75" customHeight="1">
      <c r="A2911" s="122"/>
      <c r="B2911" s="133"/>
      <c r="C2911" s="120"/>
      <c r="D2911" s="120"/>
      <c r="E2911" s="120"/>
      <c r="F2911" s="120"/>
      <c r="G2911" s="120"/>
      <c r="H2911" s="120"/>
      <c r="I2911" s="121"/>
      <c r="J2911" s="121"/>
      <c r="K2911" s="117"/>
    </row>
    <row r="2912" ht="15.75" customHeight="1">
      <c r="A2912" s="122"/>
      <c r="B2912" s="133"/>
      <c r="C2912" s="120"/>
      <c r="D2912" s="120"/>
      <c r="E2912" s="120"/>
      <c r="F2912" s="120"/>
      <c r="G2912" s="120"/>
      <c r="H2912" s="120"/>
      <c r="I2912" s="121"/>
      <c r="J2912" s="121"/>
      <c r="K2912" s="117"/>
    </row>
    <row r="2913" ht="15.75" customHeight="1">
      <c r="A2913" s="122"/>
      <c r="B2913" s="133"/>
      <c r="C2913" s="120"/>
      <c r="D2913" s="120"/>
      <c r="E2913" s="120"/>
      <c r="F2913" s="120"/>
      <c r="G2913" s="120"/>
      <c r="H2913" s="120"/>
      <c r="I2913" s="121"/>
      <c r="J2913" s="121"/>
      <c r="K2913" s="117"/>
    </row>
    <row r="2914" ht="15.75" customHeight="1">
      <c r="A2914" s="122"/>
      <c r="B2914" s="133"/>
      <c r="C2914" s="120"/>
      <c r="D2914" s="120"/>
      <c r="E2914" s="120"/>
      <c r="F2914" s="120"/>
      <c r="G2914" s="120"/>
      <c r="H2914" s="120"/>
      <c r="I2914" s="121"/>
      <c r="J2914" s="121"/>
      <c r="K2914" s="117"/>
    </row>
    <row r="2915" ht="15.75" customHeight="1">
      <c r="A2915" s="122"/>
      <c r="B2915" s="133"/>
      <c r="C2915" s="120"/>
      <c r="D2915" s="120"/>
      <c r="E2915" s="120"/>
      <c r="F2915" s="120"/>
      <c r="G2915" s="120"/>
      <c r="H2915" s="120"/>
      <c r="I2915" s="121"/>
      <c r="J2915" s="121"/>
      <c r="K2915" s="117"/>
    </row>
    <row r="2916" ht="15.75" customHeight="1">
      <c r="A2916" s="122"/>
      <c r="B2916" s="133"/>
      <c r="C2916" s="120"/>
      <c r="D2916" s="120"/>
      <c r="E2916" s="120"/>
      <c r="F2916" s="120"/>
      <c r="G2916" s="120"/>
      <c r="H2916" s="120"/>
      <c r="I2916" s="121"/>
      <c r="J2916" s="121"/>
      <c r="K2916" s="117"/>
    </row>
    <row r="2917" ht="15.75" customHeight="1">
      <c r="A2917" s="122"/>
      <c r="B2917" s="133"/>
      <c r="C2917" s="120"/>
      <c r="D2917" s="120"/>
      <c r="E2917" s="120"/>
      <c r="F2917" s="120"/>
      <c r="G2917" s="120"/>
      <c r="H2917" s="120"/>
      <c r="I2917" s="121"/>
      <c r="J2917" s="121"/>
      <c r="K2917" s="117"/>
    </row>
    <row r="2918" ht="15.75" customHeight="1">
      <c r="A2918" s="122"/>
      <c r="B2918" s="133"/>
      <c r="C2918" s="120"/>
      <c r="D2918" s="120"/>
      <c r="E2918" s="120"/>
      <c r="F2918" s="120"/>
      <c r="G2918" s="120"/>
      <c r="H2918" s="120"/>
      <c r="I2918" s="121"/>
      <c r="J2918" s="121"/>
      <c r="K2918" s="117"/>
    </row>
    <row r="2919" ht="15.75" customHeight="1">
      <c r="A2919" s="122"/>
      <c r="B2919" s="133"/>
      <c r="C2919" s="120"/>
      <c r="D2919" s="120"/>
      <c r="E2919" s="120"/>
      <c r="F2919" s="120"/>
      <c r="G2919" s="120"/>
      <c r="H2919" s="120"/>
      <c r="I2919" s="121"/>
      <c r="J2919" s="121"/>
      <c r="K2919" s="117"/>
    </row>
    <row r="2920" ht="15.75" customHeight="1">
      <c r="A2920" s="122"/>
      <c r="B2920" s="133"/>
      <c r="C2920" s="120"/>
      <c r="D2920" s="120"/>
      <c r="E2920" s="120"/>
      <c r="F2920" s="120"/>
      <c r="G2920" s="120"/>
      <c r="H2920" s="120"/>
      <c r="I2920" s="121"/>
      <c r="J2920" s="121"/>
      <c r="K2920" s="117"/>
    </row>
    <row r="2921" ht="15.75" customHeight="1">
      <c r="A2921" s="122"/>
      <c r="B2921" s="133"/>
      <c r="C2921" s="120"/>
      <c r="D2921" s="120"/>
      <c r="E2921" s="120"/>
      <c r="F2921" s="120"/>
      <c r="G2921" s="120"/>
      <c r="H2921" s="120"/>
      <c r="I2921" s="121"/>
      <c r="J2921" s="121"/>
      <c r="K2921" s="117"/>
    </row>
    <row r="2922" ht="15.75" customHeight="1">
      <c r="A2922" s="122"/>
      <c r="B2922" s="133"/>
      <c r="C2922" s="120"/>
      <c r="D2922" s="120"/>
      <c r="E2922" s="120"/>
      <c r="F2922" s="120"/>
      <c r="G2922" s="120"/>
      <c r="H2922" s="120"/>
      <c r="I2922" s="121"/>
      <c r="J2922" s="121"/>
      <c r="K2922" s="117"/>
    </row>
    <row r="2923" ht="15.75" customHeight="1">
      <c r="A2923" s="122"/>
      <c r="B2923" s="133"/>
      <c r="C2923" s="120"/>
      <c r="D2923" s="120"/>
      <c r="E2923" s="120"/>
      <c r="F2923" s="120"/>
      <c r="G2923" s="120"/>
      <c r="H2923" s="120"/>
      <c r="I2923" s="121"/>
      <c r="J2923" s="121"/>
      <c r="K2923" s="117"/>
    </row>
    <row r="2924" ht="15.75" customHeight="1">
      <c r="A2924" s="122"/>
      <c r="B2924" s="133"/>
      <c r="C2924" s="120"/>
      <c r="D2924" s="120"/>
      <c r="E2924" s="120"/>
      <c r="F2924" s="120"/>
      <c r="G2924" s="120"/>
      <c r="H2924" s="120"/>
      <c r="I2924" s="121"/>
      <c r="J2924" s="121"/>
      <c r="K2924" s="117"/>
    </row>
    <row r="2925" ht="15.75" customHeight="1">
      <c r="A2925" s="122"/>
      <c r="B2925" s="133"/>
      <c r="C2925" s="120"/>
      <c r="D2925" s="120"/>
      <c r="E2925" s="120"/>
      <c r="F2925" s="120"/>
      <c r="G2925" s="120"/>
      <c r="H2925" s="120"/>
      <c r="I2925" s="121"/>
      <c r="J2925" s="121"/>
      <c r="K2925" s="117"/>
    </row>
    <row r="2926" ht="15.75" customHeight="1">
      <c r="A2926" s="122"/>
      <c r="B2926" s="133"/>
      <c r="C2926" s="120"/>
      <c r="D2926" s="120"/>
      <c r="E2926" s="120"/>
      <c r="F2926" s="120"/>
      <c r="G2926" s="120"/>
      <c r="H2926" s="120"/>
      <c r="I2926" s="121"/>
      <c r="J2926" s="121"/>
      <c r="K2926" s="117"/>
    </row>
    <row r="2927" ht="15.75" customHeight="1">
      <c r="A2927" s="122"/>
      <c r="B2927" s="133"/>
      <c r="C2927" s="120"/>
      <c r="D2927" s="120"/>
      <c r="E2927" s="120"/>
      <c r="F2927" s="120"/>
      <c r="G2927" s="120"/>
      <c r="H2927" s="120"/>
      <c r="I2927" s="121"/>
      <c r="J2927" s="121"/>
      <c r="K2927" s="117"/>
    </row>
    <row r="2928" ht="15.75" customHeight="1">
      <c r="A2928" s="122"/>
      <c r="B2928" s="133"/>
      <c r="C2928" s="120"/>
      <c r="D2928" s="120"/>
      <c r="E2928" s="120"/>
      <c r="F2928" s="120"/>
      <c r="G2928" s="120"/>
      <c r="H2928" s="120"/>
      <c r="I2928" s="121"/>
      <c r="J2928" s="121"/>
      <c r="K2928" s="117"/>
    </row>
    <row r="2929" ht="15.75" customHeight="1">
      <c r="A2929" s="122"/>
      <c r="B2929" s="133"/>
      <c r="C2929" s="120"/>
      <c r="D2929" s="120"/>
      <c r="E2929" s="120"/>
      <c r="F2929" s="120"/>
      <c r="G2929" s="120"/>
      <c r="H2929" s="120"/>
      <c r="I2929" s="121"/>
      <c r="J2929" s="121"/>
      <c r="K2929" s="117"/>
    </row>
    <row r="2930" ht="15.75" customHeight="1">
      <c r="A2930" s="122"/>
      <c r="B2930" s="133"/>
      <c r="C2930" s="120"/>
      <c r="D2930" s="120"/>
      <c r="E2930" s="120"/>
      <c r="F2930" s="120"/>
      <c r="G2930" s="120"/>
      <c r="H2930" s="120"/>
      <c r="I2930" s="121"/>
      <c r="J2930" s="121"/>
      <c r="K2930" s="117"/>
    </row>
    <row r="2931" ht="15.75" customHeight="1">
      <c r="A2931" s="122"/>
      <c r="B2931" s="133"/>
      <c r="C2931" s="120"/>
      <c r="D2931" s="120"/>
      <c r="E2931" s="120"/>
      <c r="F2931" s="120"/>
      <c r="G2931" s="120"/>
      <c r="H2931" s="120"/>
      <c r="I2931" s="121"/>
      <c r="J2931" s="121"/>
      <c r="K2931" s="117"/>
    </row>
    <row r="2932" ht="15.75" customHeight="1">
      <c r="A2932" s="122"/>
      <c r="B2932" s="133"/>
      <c r="C2932" s="120"/>
      <c r="D2932" s="120"/>
      <c r="E2932" s="120"/>
      <c r="F2932" s="120"/>
      <c r="G2932" s="120"/>
      <c r="H2932" s="120"/>
      <c r="I2932" s="121"/>
      <c r="J2932" s="121"/>
      <c r="K2932" s="117"/>
    </row>
    <row r="2933" ht="15.75" customHeight="1">
      <c r="A2933" s="122"/>
      <c r="B2933" s="133"/>
      <c r="C2933" s="120"/>
      <c r="D2933" s="120"/>
      <c r="E2933" s="120"/>
      <c r="F2933" s="120"/>
      <c r="G2933" s="120"/>
      <c r="H2933" s="120"/>
      <c r="I2933" s="121"/>
      <c r="J2933" s="121"/>
      <c r="K2933" s="117"/>
    </row>
    <row r="2934" ht="15.75" customHeight="1">
      <c r="A2934" s="122"/>
      <c r="B2934" s="133"/>
      <c r="C2934" s="120"/>
      <c r="D2934" s="120"/>
      <c r="E2934" s="120"/>
      <c r="F2934" s="120"/>
      <c r="G2934" s="120"/>
      <c r="H2934" s="120"/>
      <c r="I2934" s="121"/>
      <c r="J2934" s="121"/>
      <c r="K2934" s="117"/>
    </row>
    <row r="2935" ht="15.75" customHeight="1">
      <c r="A2935" s="122"/>
      <c r="B2935" s="133"/>
      <c r="C2935" s="120"/>
      <c r="D2935" s="120"/>
      <c r="E2935" s="120"/>
      <c r="F2935" s="120"/>
      <c r="G2935" s="120"/>
      <c r="H2935" s="120"/>
      <c r="I2935" s="121"/>
      <c r="J2935" s="121"/>
      <c r="K2935" s="117"/>
    </row>
    <row r="2936" ht="15.75" customHeight="1">
      <c r="A2936" s="122"/>
      <c r="B2936" s="133"/>
      <c r="C2936" s="120"/>
      <c r="D2936" s="120"/>
      <c r="E2936" s="120"/>
      <c r="F2936" s="120"/>
      <c r="G2936" s="120"/>
      <c r="H2936" s="120"/>
      <c r="I2936" s="121"/>
      <c r="J2936" s="121"/>
      <c r="K2936" s="117"/>
    </row>
    <row r="2937" ht="15.75" customHeight="1">
      <c r="A2937" s="122"/>
      <c r="B2937" s="133"/>
      <c r="C2937" s="120"/>
      <c r="D2937" s="120"/>
      <c r="E2937" s="120"/>
      <c r="F2937" s="120"/>
      <c r="G2937" s="120"/>
      <c r="H2937" s="120"/>
      <c r="I2937" s="121"/>
      <c r="J2937" s="121"/>
      <c r="K2937" s="117"/>
    </row>
    <row r="2938" ht="15.75" customHeight="1">
      <c r="A2938" s="122"/>
      <c r="B2938" s="133"/>
      <c r="C2938" s="120"/>
      <c r="D2938" s="120"/>
      <c r="E2938" s="120"/>
      <c r="F2938" s="120"/>
      <c r="G2938" s="120"/>
      <c r="H2938" s="120"/>
      <c r="I2938" s="121"/>
      <c r="J2938" s="121"/>
      <c r="K2938" s="117"/>
    </row>
    <row r="2939" ht="15.75" customHeight="1">
      <c r="A2939" s="122"/>
      <c r="B2939" s="133"/>
      <c r="C2939" s="120"/>
      <c r="D2939" s="120"/>
      <c r="E2939" s="120"/>
      <c r="F2939" s="120"/>
      <c r="G2939" s="120"/>
      <c r="H2939" s="120"/>
      <c r="I2939" s="121"/>
      <c r="J2939" s="121"/>
      <c r="K2939" s="117"/>
    </row>
    <row r="2940" ht="15.75" customHeight="1">
      <c r="A2940" s="122"/>
      <c r="B2940" s="133"/>
      <c r="C2940" s="120"/>
      <c r="D2940" s="120"/>
      <c r="E2940" s="120"/>
      <c r="F2940" s="120"/>
      <c r="G2940" s="120"/>
      <c r="H2940" s="120"/>
      <c r="I2940" s="121"/>
      <c r="J2940" s="121"/>
      <c r="K2940" s="117"/>
    </row>
    <row r="2941" ht="15.75" customHeight="1">
      <c r="A2941" s="122"/>
      <c r="B2941" s="133"/>
      <c r="C2941" s="120"/>
      <c r="D2941" s="120"/>
      <c r="E2941" s="120"/>
      <c r="F2941" s="120"/>
      <c r="G2941" s="120"/>
      <c r="H2941" s="120"/>
      <c r="I2941" s="121"/>
      <c r="J2941" s="121"/>
      <c r="K2941" s="117"/>
    </row>
    <row r="2942" ht="15.75" customHeight="1">
      <c r="A2942" s="122"/>
      <c r="B2942" s="133"/>
      <c r="C2942" s="120"/>
      <c r="D2942" s="120"/>
      <c r="E2942" s="120"/>
      <c r="F2942" s="120"/>
      <c r="G2942" s="120"/>
      <c r="H2942" s="120"/>
      <c r="I2942" s="121"/>
      <c r="J2942" s="121"/>
      <c r="K2942" s="117"/>
    </row>
    <row r="2943" ht="15.75" customHeight="1">
      <c r="A2943" s="122"/>
      <c r="B2943" s="133"/>
      <c r="C2943" s="120"/>
      <c r="D2943" s="120"/>
      <c r="E2943" s="120"/>
      <c r="F2943" s="120"/>
      <c r="G2943" s="120"/>
      <c r="H2943" s="120"/>
      <c r="I2943" s="121"/>
      <c r="J2943" s="121"/>
      <c r="K2943" s="117"/>
    </row>
    <row r="2944" ht="15.75" customHeight="1">
      <c r="A2944" s="122"/>
      <c r="B2944" s="133"/>
      <c r="C2944" s="120"/>
      <c r="D2944" s="120"/>
      <c r="E2944" s="120"/>
      <c r="F2944" s="120"/>
      <c r="G2944" s="120"/>
      <c r="H2944" s="120"/>
      <c r="I2944" s="121"/>
      <c r="J2944" s="121"/>
      <c r="K2944" s="117"/>
    </row>
    <row r="2945" ht="15.75" customHeight="1">
      <c r="A2945" s="122"/>
      <c r="B2945" s="133"/>
      <c r="C2945" s="120"/>
      <c r="D2945" s="120"/>
      <c r="E2945" s="120"/>
      <c r="F2945" s="120"/>
      <c r="G2945" s="120"/>
      <c r="H2945" s="120"/>
      <c r="I2945" s="121"/>
      <c r="J2945" s="121"/>
      <c r="K2945" s="117"/>
    </row>
    <row r="2946" ht="15.75" customHeight="1">
      <c r="A2946" s="122"/>
      <c r="B2946" s="133"/>
      <c r="C2946" s="120"/>
      <c r="D2946" s="120"/>
      <c r="E2946" s="120"/>
      <c r="F2946" s="120"/>
      <c r="G2946" s="120"/>
      <c r="H2946" s="120"/>
      <c r="I2946" s="121"/>
      <c r="J2946" s="121"/>
      <c r="K2946" s="117"/>
    </row>
    <row r="2947" ht="15.75" customHeight="1">
      <c r="A2947" s="122"/>
      <c r="B2947" s="133"/>
      <c r="C2947" s="120"/>
      <c r="D2947" s="120"/>
      <c r="E2947" s="120"/>
      <c r="F2947" s="120"/>
      <c r="G2947" s="120"/>
      <c r="H2947" s="120"/>
      <c r="I2947" s="121"/>
      <c r="J2947" s="121"/>
      <c r="K2947" s="117"/>
    </row>
    <row r="2948" ht="15.75" customHeight="1">
      <c r="A2948" s="122"/>
      <c r="B2948" s="133"/>
      <c r="C2948" s="120"/>
      <c r="D2948" s="120"/>
      <c r="E2948" s="120"/>
      <c r="F2948" s="120"/>
      <c r="G2948" s="120"/>
      <c r="H2948" s="120"/>
      <c r="I2948" s="121"/>
      <c r="J2948" s="121"/>
      <c r="K2948" s="117"/>
    </row>
    <row r="2949" ht="15.75" customHeight="1">
      <c r="A2949" s="122"/>
      <c r="B2949" s="133"/>
      <c r="C2949" s="120"/>
      <c r="D2949" s="120"/>
      <c r="E2949" s="120"/>
      <c r="F2949" s="120"/>
      <c r="G2949" s="120"/>
      <c r="H2949" s="120"/>
      <c r="I2949" s="121"/>
      <c r="J2949" s="121"/>
      <c r="K2949" s="117"/>
    </row>
    <row r="2950" ht="15.75" customHeight="1">
      <c r="A2950" s="122"/>
      <c r="B2950" s="133"/>
      <c r="C2950" s="120"/>
      <c r="D2950" s="120"/>
      <c r="E2950" s="120"/>
      <c r="F2950" s="120"/>
      <c r="G2950" s="120"/>
      <c r="H2950" s="120"/>
      <c r="I2950" s="121"/>
      <c r="J2950" s="121"/>
      <c r="K2950" s="117"/>
    </row>
    <row r="2951" ht="15.75" customHeight="1">
      <c r="A2951" s="122"/>
      <c r="B2951" s="133"/>
      <c r="C2951" s="120"/>
      <c r="D2951" s="120"/>
      <c r="E2951" s="120"/>
      <c r="F2951" s="120"/>
      <c r="G2951" s="120"/>
      <c r="H2951" s="120"/>
      <c r="I2951" s="121"/>
      <c r="J2951" s="121"/>
      <c r="K2951" s="117"/>
    </row>
    <row r="2952" ht="15.75" customHeight="1">
      <c r="A2952" s="122"/>
      <c r="B2952" s="133"/>
      <c r="C2952" s="120"/>
      <c r="D2952" s="120"/>
      <c r="E2952" s="120"/>
      <c r="F2952" s="120"/>
      <c r="G2952" s="120"/>
      <c r="H2952" s="120"/>
      <c r="I2952" s="121"/>
      <c r="J2952" s="121"/>
      <c r="K2952" s="117"/>
    </row>
    <row r="2953" ht="15.75" customHeight="1">
      <c r="A2953" s="122"/>
      <c r="B2953" s="133"/>
      <c r="C2953" s="120"/>
      <c r="D2953" s="120"/>
      <c r="E2953" s="120"/>
      <c r="F2953" s="120"/>
      <c r="G2953" s="120"/>
      <c r="H2953" s="120"/>
      <c r="I2953" s="121"/>
      <c r="J2953" s="121"/>
      <c r="K2953" s="117"/>
    </row>
    <row r="2954" ht="15.75" customHeight="1">
      <c r="A2954" s="122"/>
      <c r="B2954" s="133"/>
      <c r="C2954" s="120"/>
      <c r="D2954" s="120"/>
      <c r="E2954" s="120"/>
      <c r="F2954" s="120"/>
      <c r="G2954" s="120"/>
      <c r="H2954" s="120"/>
      <c r="I2954" s="121"/>
      <c r="J2954" s="121"/>
      <c r="K2954" s="117"/>
    </row>
    <row r="2955" ht="15.75" customHeight="1">
      <c r="A2955" s="122"/>
      <c r="B2955" s="133"/>
      <c r="C2955" s="120"/>
      <c r="D2955" s="120"/>
      <c r="E2955" s="120"/>
      <c r="F2955" s="120"/>
      <c r="G2955" s="120"/>
      <c r="H2955" s="120"/>
      <c r="I2955" s="121"/>
      <c r="J2955" s="121"/>
      <c r="K2955" s="117"/>
    </row>
    <row r="2956" ht="15.75" customHeight="1">
      <c r="A2956" s="122"/>
      <c r="B2956" s="133"/>
      <c r="C2956" s="120"/>
      <c r="D2956" s="120"/>
      <c r="E2956" s="120"/>
      <c r="F2956" s="120"/>
      <c r="G2956" s="120"/>
      <c r="H2956" s="120"/>
      <c r="I2956" s="121"/>
      <c r="J2956" s="121"/>
      <c r="K2956" s="117"/>
    </row>
    <row r="2957" ht="15.75" customHeight="1">
      <c r="A2957" s="122"/>
      <c r="B2957" s="133"/>
      <c r="C2957" s="120"/>
      <c r="D2957" s="120"/>
      <c r="E2957" s="120"/>
      <c r="F2957" s="120"/>
      <c r="G2957" s="120"/>
      <c r="H2957" s="120"/>
      <c r="I2957" s="121"/>
      <c r="J2957" s="121"/>
      <c r="K2957" s="117"/>
    </row>
    <row r="2958" ht="15.75" customHeight="1">
      <c r="A2958" s="122"/>
      <c r="B2958" s="133"/>
      <c r="C2958" s="120"/>
      <c r="D2958" s="120"/>
      <c r="E2958" s="120"/>
      <c r="F2958" s="120"/>
      <c r="G2958" s="120"/>
      <c r="H2958" s="120"/>
      <c r="I2958" s="121"/>
      <c r="J2958" s="121"/>
      <c r="K2958" s="117"/>
    </row>
    <row r="2959" ht="15.75" customHeight="1">
      <c r="A2959" s="122"/>
      <c r="B2959" s="133"/>
      <c r="C2959" s="120"/>
      <c r="D2959" s="120"/>
      <c r="E2959" s="120"/>
      <c r="F2959" s="120"/>
      <c r="G2959" s="120"/>
      <c r="H2959" s="120"/>
      <c r="I2959" s="121"/>
      <c r="J2959" s="121"/>
      <c r="K2959" s="117"/>
    </row>
    <row r="2960" ht="15.75" customHeight="1">
      <c r="A2960" s="122"/>
      <c r="B2960" s="133"/>
      <c r="C2960" s="120"/>
      <c r="D2960" s="120"/>
      <c r="E2960" s="120"/>
      <c r="F2960" s="120"/>
      <c r="G2960" s="120"/>
      <c r="H2960" s="120"/>
      <c r="I2960" s="121"/>
      <c r="J2960" s="121"/>
      <c r="K2960" s="117"/>
    </row>
    <row r="2961" ht="15.75" customHeight="1">
      <c r="A2961" s="122"/>
      <c r="B2961" s="133"/>
      <c r="C2961" s="120"/>
      <c r="D2961" s="120"/>
      <c r="E2961" s="120"/>
      <c r="F2961" s="120"/>
      <c r="G2961" s="120"/>
      <c r="H2961" s="120"/>
      <c r="I2961" s="121"/>
      <c r="J2961" s="121"/>
      <c r="K2961" s="117"/>
    </row>
    <row r="2962" ht="15.75" customHeight="1">
      <c r="A2962" s="122"/>
      <c r="B2962" s="133"/>
      <c r="C2962" s="120"/>
      <c r="D2962" s="120"/>
      <c r="E2962" s="120"/>
      <c r="F2962" s="120"/>
      <c r="G2962" s="120"/>
      <c r="H2962" s="120"/>
      <c r="I2962" s="121"/>
      <c r="J2962" s="121"/>
      <c r="K2962" s="117"/>
    </row>
    <row r="2963" ht="15.75" customHeight="1">
      <c r="A2963" s="122"/>
      <c r="B2963" s="133"/>
      <c r="C2963" s="120"/>
      <c r="D2963" s="120"/>
      <c r="E2963" s="120"/>
      <c r="F2963" s="120"/>
      <c r="G2963" s="120"/>
      <c r="H2963" s="120"/>
      <c r="I2963" s="121"/>
      <c r="J2963" s="121"/>
      <c r="K2963" s="117"/>
    </row>
    <row r="2964" ht="15.75" customHeight="1">
      <c r="A2964" s="122"/>
      <c r="B2964" s="133"/>
      <c r="C2964" s="120"/>
      <c r="D2964" s="120"/>
      <c r="E2964" s="120"/>
      <c r="F2964" s="120"/>
      <c r="G2964" s="120"/>
      <c r="H2964" s="120"/>
      <c r="I2964" s="121"/>
      <c r="J2964" s="121"/>
      <c r="K2964" s="117"/>
    </row>
    <row r="2965" ht="15.75" customHeight="1">
      <c r="A2965" s="122"/>
      <c r="B2965" s="133"/>
      <c r="C2965" s="120"/>
      <c r="D2965" s="120"/>
      <c r="E2965" s="120"/>
      <c r="F2965" s="120"/>
      <c r="G2965" s="120"/>
      <c r="H2965" s="120"/>
      <c r="I2965" s="121"/>
      <c r="J2965" s="121"/>
      <c r="K2965" s="117"/>
    </row>
    <row r="2966" ht="15.75" customHeight="1">
      <c r="A2966" s="122"/>
      <c r="B2966" s="133"/>
      <c r="C2966" s="120"/>
      <c r="D2966" s="120"/>
      <c r="E2966" s="120"/>
      <c r="F2966" s="120"/>
      <c r="G2966" s="120"/>
      <c r="H2966" s="120"/>
      <c r="I2966" s="121"/>
      <c r="J2966" s="121"/>
      <c r="K2966" s="117"/>
    </row>
    <row r="2967" ht="15.75" customHeight="1">
      <c r="A2967" s="122"/>
      <c r="B2967" s="133"/>
      <c r="C2967" s="120"/>
      <c r="D2967" s="120"/>
      <c r="E2967" s="120"/>
      <c r="F2967" s="120"/>
      <c r="G2967" s="120"/>
      <c r="H2967" s="120"/>
      <c r="I2967" s="121"/>
      <c r="J2967" s="121"/>
      <c r="K2967" s="117"/>
    </row>
    <row r="2968" ht="15.75" customHeight="1">
      <c r="A2968" s="122"/>
      <c r="B2968" s="133"/>
      <c r="C2968" s="120"/>
      <c r="D2968" s="120"/>
      <c r="E2968" s="120"/>
      <c r="F2968" s="120"/>
      <c r="G2968" s="120"/>
      <c r="H2968" s="120"/>
      <c r="I2968" s="121"/>
      <c r="J2968" s="121"/>
      <c r="K2968" s="117"/>
    </row>
    <row r="2969" ht="15.75" customHeight="1">
      <c r="A2969" s="122"/>
      <c r="B2969" s="133"/>
      <c r="C2969" s="120"/>
      <c r="D2969" s="120"/>
      <c r="E2969" s="120"/>
      <c r="F2969" s="120"/>
      <c r="G2969" s="120"/>
      <c r="H2969" s="120"/>
      <c r="I2969" s="121"/>
      <c r="J2969" s="121"/>
      <c r="K2969" s="117"/>
    </row>
    <row r="2970" ht="15.75" customHeight="1">
      <c r="A2970" s="122"/>
      <c r="B2970" s="133"/>
      <c r="C2970" s="120"/>
      <c r="D2970" s="120"/>
      <c r="E2970" s="120"/>
      <c r="F2970" s="120"/>
      <c r="G2970" s="120"/>
      <c r="H2970" s="120"/>
      <c r="I2970" s="121"/>
      <c r="J2970" s="121"/>
      <c r="K2970" s="117"/>
    </row>
    <row r="2971" ht="15.75" customHeight="1">
      <c r="A2971" s="122"/>
      <c r="B2971" s="133"/>
      <c r="C2971" s="120"/>
      <c r="D2971" s="120"/>
      <c r="E2971" s="120"/>
      <c r="F2971" s="120"/>
      <c r="G2971" s="120"/>
      <c r="H2971" s="120"/>
      <c r="I2971" s="121"/>
      <c r="J2971" s="121"/>
      <c r="K2971" s="117"/>
    </row>
    <row r="2972" ht="15.75" customHeight="1">
      <c r="A2972" s="122"/>
      <c r="B2972" s="133"/>
      <c r="C2972" s="120"/>
      <c r="D2972" s="120"/>
      <c r="E2972" s="120"/>
      <c r="F2972" s="120"/>
      <c r="G2972" s="120"/>
      <c r="H2972" s="120"/>
      <c r="I2972" s="121"/>
      <c r="J2972" s="121"/>
      <c r="K2972" s="117"/>
    </row>
    <row r="2973" ht="15.75" customHeight="1">
      <c r="A2973" s="122"/>
      <c r="B2973" s="133"/>
      <c r="C2973" s="120"/>
      <c r="D2973" s="120"/>
      <c r="E2973" s="120"/>
      <c r="F2973" s="120"/>
      <c r="G2973" s="120"/>
      <c r="H2973" s="120"/>
      <c r="I2973" s="121"/>
      <c r="J2973" s="121"/>
      <c r="K2973" s="117"/>
    </row>
    <row r="2974" ht="15.75" customHeight="1">
      <c r="A2974" s="122"/>
      <c r="B2974" s="133"/>
      <c r="C2974" s="120"/>
      <c r="D2974" s="120"/>
      <c r="E2974" s="120"/>
      <c r="F2974" s="120"/>
      <c r="G2974" s="120"/>
      <c r="H2974" s="120"/>
      <c r="I2974" s="121"/>
      <c r="J2974" s="121"/>
      <c r="K2974" s="117"/>
    </row>
    <row r="2975" ht="15.75" customHeight="1">
      <c r="A2975" s="122"/>
      <c r="B2975" s="133"/>
      <c r="C2975" s="120"/>
      <c r="D2975" s="120"/>
      <c r="E2975" s="120"/>
      <c r="F2975" s="120"/>
      <c r="G2975" s="120"/>
      <c r="H2975" s="120"/>
      <c r="I2975" s="121"/>
      <c r="J2975" s="121"/>
      <c r="K2975" s="117"/>
    </row>
    <row r="2976" ht="15.75" customHeight="1">
      <c r="A2976" s="122"/>
      <c r="B2976" s="133"/>
      <c r="C2976" s="120"/>
      <c r="D2976" s="120"/>
      <c r="E2976" s="120"/>
      <c r="F2976" s="120"/>
      <c r="G2976" s="120"/>
      <c r="H2976" s="120"/>
      <c r="I2976" s="121"/>
      <c r="J2976" s="121"/>
      <c r="K2976" s="117"/>
    </row>
    <row r="2977" ht="15.75" customHeight="1">
      <c r="A2977" s="122"/>
      <c r="B2977" s="133"/>
      <c r="C2977" s="120"/>
      <c r="D2977" s="120"/>
      <c r="E2977" s="120"/>
      <c r="F2977" s="120"/>
      <c r="G2977" s="120"/>
      <c r="H2977" s="120"/>
      <c r="I2977" s="121"/>
      <c r="J2977" s="121"/>
      <c r="K2977" s="117"/>
    </row>
    <row r="2978" ht="15.75" customHeight="1">
      <c r="A2978" s="122"/>
      <c r="B2978" s="133"/>
      <c r="C2978" s="120"/>
      <c r="D2978" s="120"/>
      <c r="E2978" s="120"/>
      <c r="F2978" s="120"/>
      <c r="G2978" s="120"/>
      <c r="H2978" s="120"/>
      <c r="I2978" s="121"/>
      <c r="J2978" s="121"/>
      <c r="K2978" s="117"/>
    </row>
    <row r="2979" ht="15.75" customHeight="1">
      <c r="A2979" s="122"/>
      <c r="B2979" s="133"/>
      <c r="C2979" s="120"/>
      <c r="D2979" s="120"/>
      <c r="E2979" s="120"/>
      <c r="F2979" s="120"/>
      <c r="G2979" s="120"/>
      <c r="H2979" s="120"/>
      <c r="I2979" s="121"/>
      <c r="J2979" s="121"/>
      <c r="K2979" s="117"/>
    </row>
    <row r="2980" ht="15.75" customHeight="1">
      <c r="A2980" s="122"/>
      <c r="B2980" s="133"/>
      <c r="C2980" s="120"/>
      <c r="D2980" s="120"/>
      <c r="E2980" s="120"/>
      <c r="F2980" s="120"/>
      <c r="G2980" s="120"/>
      <c r="H2980" s="120"/>
      <c r="I2980" s="121"/>
      <c r="J2980" s="121"/>
      <c r="K2980" s="117"/>
    </row>
    <row r="2981" ht="15.75" customHeight="1">
      <c r="A2981" s="122"/>
      <c r="B2981" s="133"/>
      <c r="C2981" s="120"/>
      <c r="D2981" s="120"/>
      <c r="E2981" s="120"/>
      <c r="F2981" s="120"/>
      <c r="G2981" s="120"/>
      <c r="H2981" s="120"/>
      <c r="I2981" s="121"/>
      <c r="J2981" s="121"/>
      <c r="K2981" s="117"/>
    </row>
    <row r="2982" ht="15.75" customHeight="1">
      <c r="A2982" s="122"/>
      <c r="B2982" s="133"/>
      <c r="C2982" s="120"/>
      <c r="D2982" s="120"/>
      <c r="E2982" s="120"/>
      <c r="F2982" s="120"/>
      <c r="G2982" s="120"/>
      <c r="H2982" s="120"/>
      <c r="I2982" s="121"/>
      <c r="J2982" s="121"/>
      <c r="K2982" s="117"/>
    </row>
    <row r="2983" ht="15.75" customHeight="1">
      <c r="A2983" s="122"/>
      <c r="B2983" s="133"/>
      <c r="C2983" s="120"/>
      <c r="D2983" s="120"/>
      <c r="E2983" s="120"/>
      <c r="F2983" s="120"/>
      <c r="G2983" s="120"/>
      <c r="H2983" s="120"/>
      <c r="I2983" s="121"/>
      <c r="J2983" s="121"/>
      <c r="K2983" s="117"/>
    </row>
    <row r="2984" ht="15.75" customHeight="1">
      <c r="A2984" s="122"/>
      <c r="B2984" s="133"/>
      <c r="C2984" s="120"/>
      <c r="D2984" s="120"/>
      <c r="E2984" s="120"/>
      <c r="F2984" s="120"/>
      <c r="G2984" s="120"/>
      <c r="H2984" s="120"/>
      <c r="I2984" s="121"/>
      <c r="J2984" s="121"/>
      <c r="K2984" s="117"/>
    </row>
    <row r="2985" ht="15.75" customHeight="1">
      <c r="A2985" s="122"/>
      <c r="B2985" s="133"/>
      <c r="C2985" s="120"/>
      <c r="D2985" s="120"/>
      <c r="E2985" s="120"/>
      <c r="F2985" s="120"/>
      <c r="G2985" s="120"/>
      <c r="H2985" s="120"/>
      <c r="I2985" s="121"/>
      <c r="J2985" s="121"/>
      <c r="K2985" s="117"/>
    </row>
    <row r="2986" ht="15.75" customHeight="1">
      <c r="A2986" s="122"/>
      <c r="B2986" s="133"/>
      <c r="C2986" s="120"/>
      <c r="D2986" s="120"/>
      <c r="E2986" s="120"/>
      <c r="F2986" s="120"/>
      <c r="G2986" s="120"/>
      <c r="H2986" s="120"/>
      <c r="I2986" s="121"/>
      <c r="J2986" s="121"/>
      <c r="K2986" s="117"/>
    </row>
    <row r="2987" ht="15.75" customHeight="1">
      <c r="A2987" s="122"/>
      <c r="B2987" s="133"/>
      <c r="C2987" s="120"/>
      <c r="D2987" s="120"/>
      <c r="E2987" s="120"/>
      <c r="F2987" s="120"/>
      <c r="G2987" s="120"/>
      <c r="H2987" s="120"/>
      <c r="I2987" s="121"/>
      <c r="J2987" s="121"/>
      <c r="K2987" s="117"/>
    </row>
    <row r="2988" ht="15.75" customHeight="1">
      <c r="A2988" s="122"/>
      <c r="B2988" s="133"/>
      <c r="C2988" s="120"/>
      <c r="D2988" s="120"/>
      <c r="E2988" s="120"/>
      <c r="F2988" s="120"/>
      <c r="G2988" s="120"/>
      <c r="H2988" s="120"/>
      <c r="I2988" s="121"/>
      <c r="J2988" s="121"/>
      <c r="K2988" s="117"/>
    </row>
    <row r="2989" ht="15.75" customHeight="1">
      <c r="A2989" s="122"/>
      <c r="B2989" s="133"/>
      <c r="C2989" s="120"/>
      <c r="D2989" s="120"/>
      <c r="E2989" s="120"/>
      <c r="F2989" s="120"/>
      <c r="G2989" s="120"/>
      <c r="H2989" s="120"/>
      <c r="I2989" s="121"/>
      <c r="J2989" s="121"/>
      <c r="K2989" s="117"/>
    </row>
    <row r="2990" ht="15.75" customHeight="1">
      <c r="A2990" s="122"/>
      <c r="B2990" s="133"/>
      <c r="C2990" s="120"/>
      <c r="D2990" s="120"/>
      <c r="E2990" s="120"/>
      <c r="F2990" s="120"/>
      <c r="G2990" s="120"/>
      <c r="H2990" s="120"/>
      <c r="I2990" s="121"/>
      <c r="J2990" s="121"/>
      <c r="K2990" s="117"/>
    </row>
    <row r="2991" ht="15.75" customHeight="1">
      <c r="A2991" s="122"/>
      <c r="B2991" s="133"/>
      <c r="C2991" s="120"/>
      <c r="D2991" s="120"/>
      <c r="E2991" s="120"/>
      <c r="F2991" s="120"/>
      <c r="G2991" s="120"/>
      <c r="H2991" s="120"/>
      <c r="I2991" s="121"/>
      <c r="J2991" s="121"/>
      <c r="K2991" s="117"/>
    </row>
    <row r="2992" ht="15.75" customHeight="1">
      <c r="A2992" s="122"/>
      <c r="B2992" s="133"/>
      <c r="C2992" s="120"/>
      <c r="D2992" s="120"/>
      <c r="E2992" s="120"/>
      <c r="F2992" s="120"/>
      <c r="G2992" s="120"/>
      <c r="H2992" s="120"/>
      <c r="I2992" s="121"/>
      <c r="J2992" s="121"/>
      <c r="K2992" s="117"/>
    </row>
    <row r="2993" ht="15.75" customHeight="1">
      <c r="A2993" s="122"/>
      <c r="B2993" s="133"/>
      <c r="C2993" s="120"/>
      <c r="D2993" s="120"/>
      <c r="E2993" s="120"/>
      <c r="F2993" s="120"/>
      <c r="G2993" s="120"/>
      <c r="H2993" s="120"/>
      <c r="I2993" s="121"/>
      <c r="J2993" s="121"/>
      <c r="K2993" s="117"/>
    </row>
    <row r="2994" ht="15.75" customHeight="1">
      <c r="A2994" s="122"/>
      <c r="B2994" s="133"/>
      <c r="C2994" s="120"/>
      <c r="D2994" s="120"/>
      <c r="E2994" s="120"/>
      <c r="F2994" s="120"/>
      <c r="G2994" s="120"/>
      <c r="H2994" s="120"/>
      <c r="I2994" s="121"/>
      <c r="J2994" s="121"/>
      <c r="K2994" s="117"/>
    </row>
    <row r="2995" ht="15.75" customHeight="1">
      <c r="A2995" s="122"/>
      <c r="B2995" s="133"/>
      <c r="C2995" s="120"/>
      <c r="D2995" s="120"/>
      <c r="E2995" s="120"/>
      <c r="F2995" s="120"/>
      <c r="G2995" s="120"/>
      <c r="H2995" s="120"/>
      <c r="I2995" s="121"/>
      <c r="J2995" s="121"/>
      <c r="K2995" s="117"/>
    </row>
    <row r="2996" ht="15.75" customHeight="1">
      <c r="A2996" s="122"/>
      <c r="B2996" s="133"/>
      <c r="C2996" s="120"/>
      <c r="D2996" s="120"/>
      <c r="E2996" s="120"/>
      <c r="F2996" s="120"/>
      <c r="G2996" s="120"/>
      <c r="H2996" s="120"/>
      <c r="I2996" s="121"/>
      <c r="J2996" s="121"/>
      <c r="K2996" s="117"/>
    </row>
    <row r="2997" ht="15.75" customHeight="1">
      <c r="A2997" s="122"/>
      <c r="B2997" s="133"/>
      <c r="C2997" s="120"/>
      <c r="D2997" s="120"/>
      <c r="E2997" s="120"/>
      <c r="F2997" s="120"/>
      <c r="G2997" s="120"/>
      <c r="H2997" s="120"/>
      <c r="I2997" s="121"/>
      <c r="J2997" s="121"/>
      <c r="K2997" s="117"/>
    </row>
    <row r="2998" ht="15.75" customHeight="1">
      <c r="A2998" s="122"/>
      <c r="B2998" s="133"/>
      <c r="C2998" s="120"/>
      <c r="D2998" s="120"/>
      <c r="E2998" s="120"/>
      <c r="F2998" s="120"/>
      <c r="G2998" s="120"/>
      <c r="H2998" s="120"/>
      <c r="I2998" s="121"/>
      <c r="J2998" s="121"/>
      <c r="K2998" s="117"/>
    </row>
    <row r="2999" ht="15.75" customHeight="1">
      <c r="A2999" s="122"/>
      <c r="B2999" s="133"/>
      <c r="C2999" s="120"/>
      <c r="D2999" s="120"/>
      <c r="E2999" s="120"/>
      <c r="F2999" s="120"/>
      <c r="G2999" s="120"/>
      <c r="H2999" s="120"/>
      <c r="I2999" s="121"/>
      <c r="J2999" s="121"/>
      <c r="K2999" s="117"/>
    </row>
    <row r="3000" ht="15.75" customHeight="1">
      <c r="A3000" s="122"/>
      <c r="B3000" s="133"/>
      <c r="C3000" s="120"/>
      <c r="D3000" s="120"/>
      <c r="E3000" s="120"/>
      <c r="F3000" s="120"/>
      <c r="G3000" s="120"/>
      <c r="H3000" s="120"/>
      <c r="I3000" s="121"/>
      <c r="J3000" s="121"/>
      <c r="K3000" s="117"/>
    </row>
    <row r="3001" ht="15.75" customHeight="1">
      <c r="A3001" s="122"/>
      <c r="B3001" s="133"/>
      <c r="C3001" s="120"/>
      <c r="D3001" s="120"/>
      <c r="E3001" s="120"/>
      <c r="F3001" s="120"/>
      <c r="G3001" s="120"/>
      <c r="H3001" s="120"/>
      <c r="I3001" s="121"/>
      <c r="J3001" s="121"/>
      <c r="K3001" s="117"/>
    </row>
    <row r="3002" ht="15.75" customHeight="1">
      <c r="A3002" s="122"/>
      <c r="B3002" s="133"/>
      <c r="C3002" s="120"/>
      <c r="D3002" s="120"/>
      <c r="E3002" s="120"/>
      <c r="F3002" s="120"/>
      <c r="G3002" s="120"/>
      <c r="H3002" s="120"/>
      <c r="I3002" s="121"/>
      <c r="J3002" s="121"/>
      <c r="K3002" s="117"/>
    </row>
    <row r="3003" ht="15.75" customHeight="1">
      <c r="A3003" s="122"/>
      <c r="B3003" s="133"/>
      <c r="C3003" s="120"/>
      <c r="D3003" s="120"/>
      <c r="E3003" s="120"/>
      <c r="F3003" s="120"/>
      <c r="G3003" s="120"/>
      <c r="H3003" s="120"/>
      <c r="I3003" s="121"/>
      <c r="J3003" s="121"/>
      <c r="K3003" s="117"/>
    </row>
    <row r="3004" ht="15.75" customHeight="1">
      <c r="A3004" s="122"/>
      <c r="B3004" s="133"/>
      <c r="C3004" s="120"/>
      <c r="D3004" s="120"/>
      <c r="E3004" s="120"/>
      <c r="F3004" s="120"/>
      <c r="G3004" s="120"/>
      <c r="H3004" s="120"/>
      <c r="I3004" s="121"/>
      <c r="J3004" s="121"/>
      <c r="K3004" s="117"/>
    </row>
    <row r="3005" ht="15.75" customHeight="1">
      <c r="A3005" s="122"/>
      <c r="B3005" s="133"/>
      <c r="C3005" s="120"/>
      <c r="D3005" s="120"/>
      <c r="E3005" s="120"/>
      <c r="F3005" s="120"/>
      <c r="G3005" s="120"/>
      <c r="H3005" s="120"/>
      <c r="I3005" s="121"/>
      <c r="J3005" s="121"/>
      <c r="K3005" s="117"/>
    </row>
    <row r="3006" ht="15.75" customHeight="1">
      <c r="A3006" s="122"/>
      <c r="B3006" s="133"/>
      <c r="C3006" s="120"/>
      <c r="D3006" s="120"/>
      <c r="E3006" s="120"/>
      <c r="F3006" s="120"/>
      <c r="G3006" s="120"/>
      <c r="H3006" s="120"/>
      <c r="I3006" s="121"/>
      <c r="J3006" s="121"/>
      <c r="K3006" s="117"/>
    </row>
    <row r="3007" ht="15.75" customHeight="1">
      <c r="A3007" s="122"/>
      <c r="B3007" s="133"/>
      <c r="C3007" s="120"/>
      <c r="D3007" s="120"/>
      <c r="E3007" s="120"/>
      <c r="F3007" s="120"/>
      <c r="G3007" s="120"/>
      <c r="H3007" s="120"/>
      <c r="I3007" s="121"/>
      <c r="J3007" s="121"/>
      <c r="K3007" s="117"/>
    </row>
    <row r="3008" ht="15.75" customHeight="1">
      <c r="A3008" s="122"/>
      <c r="B3008" s="133"/>
      <c r="C3008" s="120"/>
      <c r="D3008" s="120"/>
      <c r="E3008" s="120"/>
      <c r="F3008" s="120"/>
      <c r="G3008" s="120"/>
      <c r="H3008" s="120"/>
      <c r="I3008" s="121"/>
      <c r="J3008" s="121"/>
      <c r="K3008" s="117"/>
    </row>
    <row r="3009" ht="15.75" customHeight="1">
      <c r="A3009" s="122"/>
      <c r="B3009" s="133"/>
      <c r="C3009" s="120"/>
      <c r="D3009" s="120"/>
      <c r="E3009" s="120"/>
      <c r="F3009" s="120"/>
      <c r="G3009" s="120"/>
      <c r="H3009" s="120"/>
      <c r="I3009" s="121"/>
      <c r="J3009" s="121"/>
      <c r="K3009" s="117"/>
    </row>
    <row r="3010" ht="15.75" customHeight="1">
      <c r="A3010" s="122"/>
      <c r="B3010" s="133"/>
      <c r="C3010" s="120"/>
      <c r="D3010" s="120"/>
      <c r="E3010" s="120"/>
      <c r="F3010" s="120"/>
      <c r="G3010" s="120"/>
      <c r="H3010" s="120"/>
      <c r="I3010" s="121"/>
      <c r="J3010" s="121"/>
      <c r="K3010" s="117"/>
    </row>
    <row r="3011" ht="15.75" customHeight="1">
      <c r="A3011" s="122"/>
      <c r="B3011" s="133"/>
      <c r="C3011" s="120"/>
      <c r="D3011" s="120"/>
      <c r="E3011" s="120"/>
      <c r="F3011" s="120"/>
      <c r="G3011" s="120"/>
      <c r="H3011" s="120"/>
      <c r="I3011" s="121"/>
      <c r="J3011" s="121"/>
      <c r="K3011" s="117"/>
    </row>
    <row r="3012" ht="15.75" customHeight="1">
      <c r="A3012" s="122"/>
      <c r="B3012" s="133"/>
      <c r="C3012" s="120"/>
      <c r="D3012" s="120"/>
      <c r="E3012" s="120"/>
      <c r="F3012" s="120"/>
      <c r="G3012" s="120"/>
      <c r="H3012" s="120"/>
      <c r="I3012" s="121"/>
      <c r="J3012" s="121"/>
      <c r="K3012" s="117"/>
    </row>
    <row r="3013" ht="15.75" customHeight="1">
      <c r="A3013" s="122"/>
      <c r="B3013" s="133"/>
      <c r="C3013" s="120"/>
      <c r="D3013" s="120"/>
      <c r="E3013" s="120"/>
      <c r="F3013" s="120"/>
      <c r="G3013" s="120"/>
      <c r="H3013" s="120"/>
      <c r="I3013" s="121"/>
      <c r="J3013" s="121"/>
      <c r="K3013" s="117"/>
    </row>
    <row r="3014" ht="15.75" customHeight="1">
      <c r="A3014" s="122"/>
      <c r="B3014" s="133"/>
      <c r="C3014" s="120"/>
      <c r="D3014" s="120"/>
      <c r="E3014" s="120"/>
      <c r="F3014" s="120"/>
      <c r="G3014" s="120"/>
      <c r="H3014" s="120"/>
      <c r="I3014" s="121"/>
      <c r="J3014" s="121"/>
      <c r="K3014" s="117"/>
    </row>
    <row r="3015" ht="15.75" customHeight="1">
      <c r="A3015" s="122"/>
      <c r="B3015" s="133"/>
      <c r="C3015" s="120"/>
      <c r="D3015" s="120"/>
      <c r="E3015" s="120"/>
      <c r="F3015" s="120"/>
      <c r="G3015" s="120"/>
      <c r="H3015" s="120"/>
      <c r="I3015" s="121"/>
      <c r="J3015" s="121"/>
      <c r="K3015" s="117"/>
    </row>
    <row r="3016" ht="15.75" customHeight="1">
      <c r="A3016" s="122"/>
      <c r="B3016" s="133"/>
      <c r="C3016" s="120"/>
      <c r="D3016" s="120"/>
      <c r="E3016" s="120"/>
      <c r="F3016" s="120"/>
      <c r="G3016" s="120"/>
      <c r="H3016" s="120"/>
      <c r="I3016" s="121"/>
      <c r="J3016" s="121"/>
      <c r="K3016" s="117"/>
    </row>
    <row r="3017" ht="15.75" customHeight="1">
      <c r="A3017" s="122"/>
      <c r="B3017" s="133"/>
      <c r="C3017" s="120"/>
      <c r="D3017" s="120"/>
      <c r="E3017" s="120"/>
      <c r="F3017" s="120"/>
      <c r="G3017" s="120"/>
      <c r="H3017" s="120"/>
      <c r="I3017" s="121"/>
      <c r="J3017" s="121"/>
      <c r="K3017" s="117"/>
    </row>
    <row r="3018" ht="15.75" customHeight="1">
      <c r="A3018" s="122"/>
      <c r="B3018" s="133"/>
      <c r="C3018" s="120"/>
      <c r="D3018" s="120"/>
      <c r="E3018" s="120"/>
      <c r="F3018" s="120"/>
      <c r="G3018" s="120"/>
      <c r="H3018" s="120"/>
      <c r="I3018" s="121"/>
      <c r="J3018" s="121"/>
      <c r="K3018" s="117"/>
    </row>
    <row r="3019" ht="15.75" customHeight="1">
      <c r="A3019" s="122"/>
      <c r="B3019" s="133"/>
      <c r="C3019" s="120"/>
      <c r="D3019" s="120"/>
      <c r="E3019" s="120"/>
      <c r="F3019" s="120"/>
      <c r="G3019" s="120"/>
      <c r="H3019" s="120"/>
      <c r="I3019" s="121"/>
      <c r="J3019" s="121"/>
      <c r="K3019" s="117"/>
    </row>
    <row r="3020" ht="15.75" customHeight="1">
      <c r="A3020" s="122"/>
      <c r="B3020" s="133"/>
      <c r="C3020" s="120"/>
      <c r="D3020" s="120"/>
      <c r="E3020" s="120"/>
      <c r="F3020" s="120"/>
      <c r="G3020" s="120"/>
      <c r="H3020" s="120"/>
      <c r="I3020" s="121"/>
      <c r="J3020" s="121"/>
      <c r="K3020" s="117"/>
    </row>
    <row r="3021" ht="15.75" customHeight="1">
      <c r="A3021" s="122"/>
      <c r="B3021" s="133"/>
      <c r="C3021" s="120"/>
      <c r="D3021" s="120"/>
      <c r="E3021" s="120"/>
      <c r="F3021" s="120"/>
      <c r="G3021" s="120"/>
      <c r="H3021" s="120"/>
      <c r="I3021" s="121"/>
      <c r="J3021" s="121"/>
      <c r="K3021" s="117"/>
    </row>
    <row r="3022" ht="15.75" customHeight="1">
      <c r="A3022" s="122"/>
      <c r="B3022" s="133"/>
      <c r="C3022" s="120"/>
      <c r="D3022" s="120"/>
      <c r="E3022" s="120"/>
      <c r="F3022" s="120"/>
      <c r="G3022" s="120"/>
      <c r="H3022" s="120"/>
      <c r="I3022" s="121"/>
      <c r="J3022" s="121"/>
      <c r="K3022" s="117"/>
    </row>
    <row r="3023" ht="15.75" customHeight="1">
      <c r="A3023" s="122"/>
      <c r="B3023" s="133"/>
      <c r="C3023" s="120"/>
      <c r="D3023" s="120"/>
      <c r="E3023" s="120"/>
      <c r="F3023" s="120"/>
      <c r="G3023" s="120"/>
      <c r="H3023" s="120"/>
      <c r="I3023" s="121"/>
      <c r="J3023" s="121"/>
      <c r="K3023" s="117"/>
    </row>
    <row r="3024" ht="15.75" customHeight="1">
      <c r="A3024" s="122"/>
      <c r="B3024" s="133"/>
      <c r="C3024" s="120"/>
      <c r="D3024" s="120"/>
      <c r="E3024" s="120"/>
      <c r="F3024" s="120"/>
      <c r="G3024" s="120"/>
      <c r="H3024" s="120"/>
      <c r="I3024" s="121"/>
      <c r="J3024" s="121"/>
      <c r="K3024" s="117"/>
    </row>
    <row r="3025" ht="15.75" customHeight="1">
      <c r="A3025" s="122"/>
      <c r="B3025" s="133"/>
      <c r="C3025" s="120"/>
      <c r="D3025" s="120"/>
      <c r="E3025" s="120"/>
      <c r="F3025" s="120"/>
      <c r="G3025" s="120"/>
      <c r="H3025" s="120"/>
      <c r="I3025" s="121"/>
      <c r="J3025" s="121"/>
      <c r="K3025" s="117"/>
    </row>
    <row r="3026" ht="15.75" customHeight="1">
      <c r="A3026" s="122"/>
      <c r="B3026" s="133"/>
      <c r="C3026" s="120"/>
      <c r="D3026" s="120"/>
      <c r="E3026" s="120"/>
      <c r="F3026" s="120"/>
      <c r="G3026" s="120"/>
      <c r="H3026" s="120"/>
      <c r="I3026" s="121"/>
      <c r="J3026" s="121"/>
      <c r="K3026" s="117"/>
    </row>
    <row r="3027" ht="15.75" customHeight="1">
      <c r="A3027" s="122"/>
      <c r="B3027" s="133"/>
      <c r="C3027" s="120"/>
      <c r="D3027" s="120"/>
      <c r="E3027" s="120"/>
      <c r="F3027" s="120"/>
      <c r="G3027" s="120"/>
      <c r="H3027" s="120"/>
      <c r="I3027" s="121"/>
      <c r="J3027" s="121"/>
      <c r="K3027" s="117"/>
    </row>
    <row r="3028" ht="15.75" customHeight="1">
      <c r="A3028" s="122"/>
      <c r="B3028" s="133"/>
      <c r="C3028" s="120"/>
      <c r="D3028" s="120"/>
      <c r="E3028" s="120"/>
      <c r="F3028" s="120"/>
      <c r="G3028" s="120"/>
      <c r="H3028" s="120"/>
      <c r="I3028" s="121"/>
      <c r="J3028" s="121"/>
      <c r="K3028" s="117"/>
    </row>
    <row r="3029" ht="15.75" customHeight="1">
      <c r="A3029" s="122"/>
      <c r="B3029" s="133"/>
      <c r="C3029" s="120"/>
      <c r="D3029" s="120"/>
      <c r="E3029" s="120"/>
      <c r="F3029" s="120"/>
      <c r="G3029" s="120"/>
      <c r="H3029" s="120"/>
      <c r="I3029" s="121"/>
      <c r="J3029" s="121"/>
      <c r="K3029" s="117"/>
    </row>
    <row r="3030" ht="15.75" customHeight="1">
      <c r="A3030" s="122"/>
      <c r="B3030" s="133"/>
      <c r="C3030" s="120"/>
      <c r="D3030" s="120"/>
      <c r="E3030" s="120"/>
      <c r="F3030" s="120"/>
      <c r="G3030" s="120"/>
      <c r="H3030" s="120"/>
      <c r="I3030" s="121"/>
      <c r="J3030" s="121"/>
      <c r="K3030" s="117"/>
    </row>
    <row r="3031" ht="15.75" customHeight="1">
      <c r="A3031" s="122"/>
      <c r="B3031" s="133"/>
      <c r="C3031" s="120"/>
      <c r="D3031" s="120"/>
      <c r="E3031" s="120"/>
      <c r="F3031" s="120"/>
      <c r="G3031" s="120"/>
      <c r="H3031" s="120"/>
      <c r="I3031" s="121"/>
      <c r="J3031" s="121"/>
      <c r="K3031" s="117"/>
    </row>
    <row r="3032" ht="15.75" customHeight="1">
      <c r="A3032" s="122"/>
      <c r="B3032" s="133"/>
      <c r="C3032" s="120"/>
      <c r="D3032" s="120"/>
      <c r="E3032" s="120"/>
      <c r="F3032" s="120"/>
      <c r="G3032" s="120"/>
      <c r="H3032" s="120"/>
      <c r="I3032" s="121"/>
      <c r="J3032" s="121"/>
      <c r="K3032" s="117"/>
    </row>
    <row r="3033" ht="15.75" customHeight="1">
      <c r="A3033" s="122"/>
      <c r="B3033" s="133"/>
      <c r="C3033" s="120"/>
      <c r="D3033" s="120"/>
      <c r="E3033" s="120"/>
      <c r="F3033" s="120"/>
      <c r="G3033" s="120"/>
      <c r="H3033" s="120"/>
      <c r="I3033" s="121"/>
      <c r="J3033" s="121"/>
      <c r="K3033" s="117"/>
    </row>
    <row r="3034" ht="15.75" customHeight="1">
      <c r="A3034" s="122"/>
      <c r="B3034" s="133"/>
      <c r="C3034" s="120"/>
      <c r="D3034" s="120"/>
      <c r="E3034" s="120"/>
      <c r="F3034" s="120"/>
      <c r="G3034" s="120"/>
      <c r="H3034" s="120"/>
      <c r="I3034" s="121"/>
      <c r="J3034" s="121"/>
      <c r="K3034" s="117"/>
    </row>
    <row r="3035" ht="15.75" customHeight="1">
      <c r="A3035" s="122"/>
      <c r="B3035" s="133"/>
      <c r="C3035" s="120"/>
      <c r="D3035" s="120"/>
      <c r="E3035" s="120"/>
      <c r="F3035" s="120"/>
      <c r="G3035" s="120"/>
      <c r="H3035" s="120"/>
      <c r="I3035" s="121"/>
      <c r="J3035" s="121"/>
      <c r="K3035" s="117"/>
    </row>
    <row r="3036" ht="15.75" customHeight="1">
      <c r="A3036" s="122"/>
      <c r="B3036" s="133"/>
      <c r="C3036" s="120"/>
      <c r="D3036" s="120"/>
      <c r="E3036" s="120"/>
      <c r="F3036" s="120"/>
      <c r="G3036" s="120"/>
      <c r="H3036" s="120"/>
      <c r="I3036" s="121"/>
      <c r="J3036" s="121"/>
      <c r="K3036" s="117"/>
    </row>
    <row r="3037" ht="15.75" customHeight="1">
      <c r="A3037" s="122"/>
      <c r="B3037" s="133"/>
      <c r="C3037" s="120"/>
      <c r="D3037" s="120"/>
      <c r="E3037" s="120"/>
      <c r="F3037" s="120"/>
      <c r="G3037" s="120"/>
      <c r="H3037" s="120"/>
      <c r="I3037" s="121"/>
      <c r="J3037" s="121"/>
      <c r="K3037" s="117"/>
    </row>
    <row r="3038" ht="15.75" customHeight="1">
      <c r="A3038" s="122"/>
      <c r="B3038" s="133"/>
      <c r="C3038" s="120"/>
      <c r="D3038" s="120"/>
      <c r="E3038" s="120"/>
      <c r="F3038" s="120"/>
      <c r="G3038" s="120"/>
      <c r="H3038" s="120"/>
      <c r="I3038" s="121"/>
      <c r="J3038" s="121"/>
      <c r="K3038" s="117"/>
    </row>
    <row r="3039" ht="15.75" customHeight="1">
      <c r="A3039" s="122"/>
      <c r="B3039" s="133"/>
      <c r="C3039" s="120"/>
      <c r="D3039" s="120"/>
      <c r="E3039" s="120"/>
      <c r="F3039" s="120"/>
      <c r="G3039" s="120"/>
      <c r="H3039" s="120"/>
      <c r="I3039" s="121"/>
      <c r="J3039" s="121"/>
      <c r="K3039" s="117"/>
    </row>
    <row r="3040" ht="15.75" customHeight="1">
      <c r="A3040" s="122"/>
      <c r="B3040" s="133"/>
      <c r="C3040" s="120"/>
      <c r="D3040" s="120"/>
      <c r="E3040" s="120"/>
      <c r="F3040" s="120"/>
      <c r="G3040" s="120"/>
      <c r="H3040" s="120"/>
      <c r="I3040" s="121"/>
      <c r="J3040" s="121"/>
      <c r="K3040" s="117"/>
    </row>
    <row r="3041" ht="15.75" customHeight="1">
      <c r="A3041" s="122"/>
      <c r="B3041" s="133"/>
      <c r="C3041" s="120"/>
      <c r="D3041" s="120"/>
      <c r="E3041" s="120"/>
      <c r="F3041" s="120"/>
      <c r="G3041" s="120"/>
      <c r="H3041" s="120"/>
      <c r="I3041" s="121"/>
      <c r="J3041" s="121"/>
      <c r="K3041" s="117"/>
    </row>
    <row r="3042" ht="15.75" customHeight="1">
      <c r="A3042" s="122"/>
      <c r="B3042" s="133"/>
      <c r="C3042" s="120"/>
      <c r="D3042" s="120"/>
      <c r="E3042" s="120"/>
      <c r="F3042" s="120"/>
      <c r="G3042" s="120"/>
      <c r="H3042" s="120"/>
      <c r="I3042" s="121"/>
      <c r="J3042" s="121"/>
      <c r="K3042" s="117"/>
    </row>
    <row r="3043" ht="15.75" customHeight="1">
      <c r="A3043" s="122"/>
      <c r="B3043" s="133"/>
      <c r="C3043" s="120"/>
      <c r="D3043" s="120"/>
      <c r="E3043" s="120"/>
      <c r="F3043" s="120"/>
      <c r="G3043" s="120"/>
      <c r="H3043" s="120"/>
      <c r="I3043" s="121"/>
      <c r="J3043" s="121"/>
      <c r="K3043" s="117"/>
    </row>
    <row r="3044" ht="15.75" customHeight="1">
      <c r="A3044" s="122"/>
      <c r="B3044" s="133"/>
      <c r="C3044" s="120"/>
      <c r="D3044" s="120"/>
      <c r="E3044" s="120"/>
      <c r="F3044" s="120"/>
      <c r="G3044" s="120"/>
      <c r="H3044" s="120"/>
      <c r="I3044" s="121"/>
      <c r="J3044" s="121"/>
      <c r="K3044" s="117"/>
    </row>
    <row r="3045" ht="15.75" customHeight="1">
      <c r="A3045" s="122"/>
      <c r="B3045" s="133"/>
      <c r="C3045" s="120"/>
      <c r="D3045" s="120"/>
      <c r="E3045" s="120"/>
      <c r="F3045" s="120"/>
      <c r="G3045" s="120"/>
      <c r="H3045" s="120"/>
      <c r="I3045" s="121"/>
      <c r="J3045" s="121"/>
      <c r="K3045" s="117"/>
    </row>
    <row r="3046" ht="15.75" customHeight="1">
      <c r="A3046" s="122"/>
      <c r="B3046" s="133"/>
      <c r="C3046" s="120"/>
      <c r="D3046" s="120"/>
      <c r="E3046" s="120"/>
      <c r="F3046" s="120"/>
      <c r="G3046" s="120"/>
      <c r="H3046" s="120"/>
      <c r="I3046" s="121"/>
      <c r="J3046" s="121"/>
      <c r="K3046" s="117"/>
    </row>
    <row r="3047" ht="15.75" customHeight="1">
      <c r="A3047" s="122"/>
      <c r="B3047" s="133"/>
      <c r="C3047" s="120"/>
      <c r="D3047" s="120"/>
      <c r="E3047" s="120"/>
      <c r="F3047" s="120"/>
      <c r="G3047" s="120"/>
      <c r="H3047" s="120"/>
      <c r="I3047" s="121"/>
      <c r="J3047" s="121"/>
      <c r="K3047" s="117"/>
    </row>
    <row r="3048" ht="15.75" customHeight="1">
      <c r="A3048" s="122"/>
      <c r="B3048" s="133"/>
      <c r="C3048" s="120"/>
      <c r="D3048" s="120"/>
      <c r="E3048" s="120"/>
      <c r="F3048" s="120"/>
      <c r="G3048" s="120"/>
      <c r="H3048" s="120"/>
      <c r="I3048" s="121"/>
      <c r="J3048" s="121"/>
      <c r="K3048" s="117"/>
    </row>
    <row r="3049" ht="15.75" customHeight="1">
      <c r="A3049" s="122"/>
      <c r="B3049" s="133"/>
      <c r="C3049" s="120"/>
      <c r="D3049" s="120"/>
      <c r="E3049" s="120"/>
      <c r="F3049" s="120"/>
      <c r="G3049" s="120"/>
      <c r="H3049" s="120"/>
      <c r="I3049" s="121"/>
      <c r="J3049" s="121"/>
      <c r="K3049" s="117"/>
    </row>
    <row r="3050" ht="15.75" customHeight="1">
      <c r="A3050" s="122"/>
      <c r="B3050" s="133"/>
      <c r="C3050" s="120"/>
      <c r="D3050" s="120"/>
      <c r="E3050" s="120"/>
      <c r="F3050" s="120"/>
      <c r="G3050" s="120"/>
      <c r="H3050" s="120"/>
      <c r="I3050" s="121"/>
      <c r="J3050" s="121"/>
      <c r="K3050" s="117"/>
    </row>
    <row r="3051" ht="15.75" customHeight="1">
      <c r="A3051" s="122"/>
      <c r="B3051" s="133"/>
      <c r="C3051" s="120"/>
      <c r="D3051" s="120"/>
      <c r="E3051" s="120"/>
      <c r="F3051" s="120"/>
      <c r="G3051" s="120"/>
      <c r="H3051" s="120"/>
      <c r="I3051" s="121"/>
      <c r="J3051" s="121"/>
      <c r="K3051" s="117"/>
    </row>
    <row r="3052" ht="15.75" customHeight="1">
      <c r="A3052" s="122"/>
      <c r="B3052" s="133"/>
      <c r="C3052" s="120"/>
      <c r="D3052" s="120"/>
      <c r="E3052" s="120"/>
      <c r="F3052" s="120"/>
      <c r="G3052" s="120"/>
      <c r="H3052" s="120"/>
      <c r="I3052" s="121"/>
      <c r="J3052" s="121"/>
      <c r="K3052" s="117"/>
    </row>
    <row r="3053" ht="15.75" customHeight="1">
      <c r="A3053" s="122"/>
      <c r="B3053" s="133"/>
      <c r="C3053" s="120"/>
      <c r="D3053" s="120"/>
      <c r="E3053" s="120"/>
      <c r="F3053" s="120"/>
      <c r="G3053" s="120"/>
      <c r="H3053" s="120"/>
      <c r="I3053" s="121"/>
      <c r="J3053" s="121"/>
      <c r="K3053" s="117"/>
    </row>
    <row r="3054" ht="15.75" customHeight="1">
      <c r="A3054" s="122"/>
      <c r="B3054" s="133"/>
      <c r="C3054" s="120"/>
      <c r="D3054" s="120"/>
      <c r="E3054" s="120"/>
      <c r="F3054" s="120"/>
      <c r="G3054" s="120"/>
      <c r="H3054" s="120"/>
      <c r="I3054" s="121"/>
      <c r="J3054" s="121"/>
      <c r="K3054" s="117"/>
    </row>
    <row r="3055" ht="15.75" customHeight="1">
      <c r="A3055" s="122"/>
      <c r="B3055" s="133"/>
      <c r="C3055" s="120"/>
      <c r="D3055" s="120"/>
      <c r="E3055" s="120"/>
      <c r="F3055" s="120"/>
      <c r="G3055" s="120"/>
      <c r="H3055" s="120"/>
      <c r="I3055" s="121"/>
      <c r="J3055" s="121"/>
      <c r="K3055" s="117"/>
    </row>
    <row r="3056" ht="15.75" customHeight="1">
      <c r="A3056" s="122"/>
      <c r="B3056" s="133"/>
      <c r="C3056" s="120"/>
      <c r="D3056" s="120"/>
      <c r="E3056" s="120"/>
      <c r="F3056" s="120"/>
      <c r="G3056" s="120"/>
      <c r="H3056" s="120"/>
      <c r="I3056" s="121"/>
      <c r="J3056" s="121"/>
      <c r="K3056" s="117"/>
    </row>
    <row r="3057" ht="15.75" customHeight="1">
      <c r="A3057" s="122"/>
      <c r="B3057" s="133"/>
      <c r="C3057" s="120"/>
      <c r="D3057" s="120"/>
      <c r="E3057" s="120"/>
      <c r="F3057" s="120"/>
      <c r="G3057" s="120"/>
      <c r="H3057" s="120"/>
      <c r="I3057" s="121"/>
      <c r="J3057" s="121"/>
      <c r="K3057" s="117"/>
    </row>
    <row r="3058" ht="15.75" customHeight="1">
      <c r="A3058" s="122"/>
      <c r="B3058" s="133"/>
      <c r="C3058" s="120"/>
      <c r="D3058" s="120"/>
      <c r="E3058" s="120"/>
      <c r="F3058" s="120"/>
      <c r="G3058" s="120"/>
      <c r="H3058" s="120"/>
      <c r="I3058" s="121"/>
      <c r="J3058" s="121"/>
      <c r="K3058" s="117"/>
    </row>
    <row r="3059" ht="15.75" customHeight="1">
      <c r="A3059" s="122"/>
      <c r="B3059" s="133"/>
      <c r="C3059" s="120"/>
      <c r="D3059" s="120"/>
      <c r="E3059" s="120"/>
      <c r="F3059" s="120"/>
      <c r="G3059" s="120"/>
      <c r="H3059" s="120"/>
      <c r="I3059" s="121"/>
      <c r="J3059" s="121"/>
      <c r="K3059" s="117"/>
    </row>
    <row r="3060" ht="15.75" customHeight="1">
      <c r="A3060" s="122"/>
      <c r="B3060" s="133"/>
      <c r="C3060" s="120"/>
      <c r="D3060" s="120"/>
      <c r="E3060" s="120"/>
      <c r="F3060" s="120"/>
      <c r="G3060" s="120"/>
      <c r="H3060" s="120"/>
      <c r="I3060" s="121"/>
      <c r="J3060" s="121"/>
      <c r="K3060" s="117"/>
    </row>
    <row r="3061" ht="15.75" customHeight="1">
      <c r="A3061" s="122"/>
      <c r="B3061" s="133"/>
      <c r="C3061" s="120"/>
      <c r="D3061" s="120"/>
      <c r="E3061" s="120"/>
      <c r="F3061" s="120"/>
      <c r="G3061" s="120"/>
      <c r="H3061" s="120"/>
      <c r="I3061" s="121"/>
      <c r="J3061" s="121"/>
      <c r="K3061" s="117"/>
    </row>
    <row r="3062" ht="15.75" customHeight="1">
      <c r="A3062" s="122"/>
      <c r="B3062" s="133"/>
      <c r="C3062" s="120"/>
      <c r="D3062" s="120"/>
      <c r="E3062" s="120"/>
      <c r="F3062" s="120"/>
      <c r="G3062" s="120"/>
      <c r="H3062" s="120"/>
      <c r="I3062" s="121"/>
      <c r="J3062" s="121"/>
      <c r="K3062" s="117"/>
    </row>
    <row r="3063" ht="15.75" customHeight="1">
      <c r="A3063" s="122"/>
      <c r="B3063" s="133"/>
      <c r="C3063" s="120"/>
      <c r="D3063" s="120"/>
      <c r="E3063" s="120"/>
      <c r="F3063" s="120"/>
      <c r="G3063" s="120"/>
      <c r="H3063" s="120"/>
      <c r="I3063" s="121"/>
      <c r="J3063" s="121"/>
      <c r="K3063" s="117"/>
    </row>
    <row r="3064" ht="15.75" customHeight="1">
      <c r="A3064" s="122"/>
      <c r="B3064" s="133"/>
      <c r="C3064" s="120"/>
      <c r="D3064" s="120"/>
      <c r="E3064" s="120"/>
      <c r="F3064" s="120"/>
      <c r="G3064" s="120"/>
      <c r="H3064" s="120"/>
      <c r="I3064" s="121"/>
      <c r="J3064" s="121"/>
      <c r="K3064" s="117"/>
    </row>
    <row r="3065" ht="15.75" customHeight="1">
      <c r="A3065" s="122"/>
      <c r="B3065" s="133"/>
      <c r="C3065" s="120"/>
      <c r="D3065" s="120"/>
      <c r="E3065" s="120"/>
      <c r="F3065" s="120"/>
      <c r="G3065" s="120"/>
      <c r="H3065" s="120"/>
      <c r="I3065" s="121"/>
      <c r="J3065" s="121"/>
      <c r="K3065" s="117"/>
    </row>
    <row r="3066" ht="15.75" customHeight="1">
      <c r="A3066" s="122"/>
      <c r="B3066" s="133"/>
      <c r="C3066" s="120"/>
      <c r="D3066" s="120"/>
      <c r="E3066" s="120"/>
      <c r="F3066" s="120"/>
      <c r="G3066" s="120"/>
      <c r="H3066" s="120"/>
      <c r="I3066" s="121"/>
      <c r="J3066" s="121"/>
      <c r="K3066" s="117"/>
    </row>
    <row r="3067" ht="15.75" customHeight="1">
      <c r="A3067" s="122"/>
      <c r="B3067" s="133"/>
      <c r="C3067" s="120"/>
      <c r="D3067" s="120"/>
      <c r="E3067" s="120"/>
      <c r="F3067" s="120"/>
      <c r="G3067" s="120"/>
      <c r="H3067" s="120"/>
      <c r="I3067" s="121"/>
      <c r="J3067" s="121"/>
      <c r="K3067" s="117"/>
    </row>
    <row r="3068" ht="15.75" customHeight="1">
      <c r="A3068" s="122"/>
      <c r="B3068" s="133"/>
      <c r="C3068" s="120"/>
      <c r="D3068" s="120"/>
      <c r="E3068" s="120"/>
      <c r="F3068" s="120"/>
      <c r="G3068" s="120"/>
      <c r="H3068" s="120"/>
      <c r="I3068" s="121"/>
      <c r="J3068" s="121"/>
      <c r="K3068" s="117"/>
    </row>
    <row r="3069" ht="15.75" customHeight="1">
      <c r="A3069" s="122"/>
      <c r="B3069" s="133"/>
      <c r="C3069" s="120"/>
      <c r="D3069" s="120"/>
      <c r="E3069" s="120"/>
      <c r="F3069" s="120"/>
      <c r="G3069" s="120"/>
      <c r="H3069" s="120"/>
      <c r="I3069" s="121"/>
      <c r="J3069" s="121"/>
      <c r="K3069" s="117"/>
    </row>
    <row r="3070" ht="15.75" customHeight="1">
      <c r="A3070" s="122"/>
      <c r="B3070" s="133"/>
      <c r="C3070" s="120"/>
      <c r="D3070" s="120"/>
      <c r="E3070" s="120"/>
      <c r="F3070" s="120"/>
      <c r="G3070" s="120"/>
      <c r="H3070" s="120"/>
      <c r="I3070" s="121"/>
      <c r="J3070" s="121"/>
      <c r="K3070" s="117"/>
    </row>
    <row r="3071" ht="15.75" customHeight="1">
      <c r="A3071" s="122"/>
      <c r="B3071" s="133"/>
      <c r="C3071" s="120"/>
      <c r="D3071" s="120"/>
      <c r="E3071" s="120"/>
      <c r="F3071" s="120"/>
      <c r="G3071" s="120"/>
      <c r="H3071" s="120"/>
      <c r="I3071" s="121"/>
      <c r="J3071" s="121"/>
      <c r="K3071" s="117"/>
    </row>
    <row r="3072" ht="15.75" customHeight="1">
      <c r="A3072" s="122"/>
      <c r="B3072" s="133"/>
      <c r="C3072" s="120"/>
      <c r="D3072" s="120"/>
      <c r="E3072" s="120"/>
      <c r="F3072" s="120"/>
      <c r="G3072" s="120"/>
      <c r="H3072" s="120"/>
      <c r="I3072" s="121"/>
      <c r="J3072" s="121"/>
      <c r="K3072" s="117"/>
    </row>
    <row r="3073" ht="15.75" customHeight="1">
      <c r="A3073" s="122"/>
      <c r="B3073" s="133"/>
      <c r="C3073" s="120"/>
      <c r="D3073" s="120"/>
      <c r="E3073" s="120"/>
      <c r="F3073" s="120"/>
      <c r="G3073" s="120"/>
      <c r="H3073" s="120"/>
      <c r="I3073" s="121"/>
      <c r="J3073" s="121"/>
      <c r="K3073" s="117"/>
    </row>
    <row r="3074" ht="15.75" customHeight="1">
      <c r="A3074" s="122"/>
      <c r="B3074" s="133"/>
      <c r="C3074" s="120"/>
      <c r="D3074" s="120"/>
      <c r="E3074" s="120"/>
      <c r="F3074" s="120"/>
      <c r="G3074" s="120"/>
      <c r="H3074" s="120"/>
      <c r="I3074" s="121"/>
      <c r="J3074" s="121"/>
      <c r="K3074" s="117"/>
    </row>
    <row r="3075" ht="15.75" customHeight="1">
      <c r="A3075" s="122"/>
      <c r="B3075" s="133"/>
      <c r="C3075" s="120"/>
      <c r="D3075" s="120"/>
      <c r="E3075" s="120"/>
      <c r="F3075" s="120"/>
      <c r="G3075" s="120"/>
      <c r="H3075" s="120"/>
      <c r="I3075" s="121"/>
      <c r="J3075" s="121"/>
      <c r="K3075" s="117"/>
    </row>
    <row r="3076" ht="15.75" customHeight="1">
      <c r="A3076" s="122"/>
      <c r="B3076" s="133"/>
      <c r="C3076" s="120"/>
      <c r="D3076" s="120"/>
      <c r="E3076" s="120"/>
      <c r="F3076" s="120"/>
      <c r="G3076" s="120"/>
      <c r="H3076" s="120"/>
      <c r="I3076" s="121"/>
      <c r="J3076" s="121"/>
      <c r="K3076" s="117"/>
    </row>
    <row r="3077" ht="15.75" customHeight="1">
      <c r="A3077" s="122"/>
      <c r="B3077" s="133"/>
      <c r="C3077" s="120"/>
      <c r="D3077" s="120"/>
      <c r="E3077" s="120"/>
      <c r="F3077" s="120"/>
      <c r="G3077" s="120"/>
      <c r="H3077" s="120"/>
      <c r="I3077" s="121"/>
      <c r="J3077" s="121"/>
      <c r="K3077" s="117"/>
    </row>
    <row r="3078" ht="15.75" customHeight="1">
      <c r="A3078" s="122"/>
      <c r="B3078" s="133"/>
      <c r="C3078" s="120"/>
      <c r="D3078" s="120"/>
      <c r="E3078" s="120"/>
      <c r="F3078" s="120"/>
      <c r="G3078" s="120"/>
      <c r="H3078" s="120"/>
      <c r="I3078" s="121"/>
      <c r="J3078" s="121"/>
      <c r="K3078" s="117"/>
    </row>
    <row r="3079" ht="15.75" customHeight="1">
      <c r="A3079" s="122"/>
      <c r="B3079" s="133"/>
      <c r="C3079" s="120"/>
      <c r="D3079" s="120"/>
      <c r="E3079" s="120"/>
      <c r="F3079" s="120"/>
      <c r="G3079" s="120"/>
      <c r="H3079" s="120"/>
      <c r="I3079" s="121"/>
      <c r="J3079" s="121"/>
      <c r="K3079" s="117"/>
    </row>
    <row r="3080" ht="15.75" customHeight="1">
      <c r="A3080" s="122"/>
      <c r="B3080" s="133"/>
      <c r="C3080" s="120"/>
      <c r="D3080" s="120"/>
      <c r="E3080" s="120"/>
      <c r="F3080" s="120"/>
      <c r="G3080" s="120"/>
      <c r="H3080" s="120"/>
      <c r="I3080" s="121"/>
      <c r="J3080" s="121"/>
      <c r="K3080" s="117"/>
    </row>
    <row r="3081" ht="15.75" customHeight="1">
      <c r="A3081" s="122"/>
      <c r="B3081" s="133"/>
      <c r="C3081" s="120"/>
      <c r="D3081" s="120"/>
      <c r="E3081" s="120"/>
      <c r="F3081" s="120"/>
      <c r="G3081" s="120"/>
      <c r="H3081" s="120"/>
      <c r="I3081" s="121"/>
      <c r="J3081" s="121"/>
      <c r="K3081" s="117"/>
    </row>
    <row r="3082" ht="15.75" customHeight="1">
      <c r="A3082" s="122"/>
      <c r="B3082" s="133"/>
      <c r="C3082" s="120"/>
      <c r="D3082" s="120"/>
      <c r="E3082" s="120"/>
      <c r="F3082" s="120"/>
      <c r="G3082" s="120"/>
      <c r="H3082" s="120"/>
      <c r="I3082" s="121"/>
      <c r="J3082" s="121"/>
      <c r="K3082" s="117"/>
    </row>
    <row r="3083" ht="15.75" customHeight="1">
      <c r="A3083" s="122"/>
      <c r="B3083" s="133"/>
      <c r="C3083" s="120"/>
      <c r="D3083" s="120"/>
      <c r="E3083" s="120"/>
      <c r="F3083" s="120"/>
      <c r="G3083" s="120"/>
      <c r="H3083" s="120"/>
      <c r="I3083" s="121"/>
      <c r="J3083" s="121"/>
      <c r="K3083" s="117"/>
    </row>
    <row r="3084" ht="15.75" customHeight="1">
      <c r="A3084" s="122"/>
      <c r="B3084" s="133"/>
      <c r="C3084" s="120"/>
      <c r="D3084" s="120"/>
      <c r="E3084" s="120"/>
      <c r="F3084" s="120"/>
      <c r="G3084" s="120"/>
      <c r="H3084" s="120"/>
      <c r="I3084" s="121"/>
      <c r="J3084" s="121"/>
      <c r="K3084" s="117"/>
    </row>
    <row r="3085" ht="15.75" customHeight="1">
      <c r="A3085" s="122"/>
      <c r="B3085" s="133"/>
      <c r="C3085" s="120"/>
      <c r="D3085" s="120"/>
      <c r="E3085" s="120"/>
      <c r="F3085" s="120"/>
      <c r="G3085" s="120"/>
      <c r="H3085" s="120"/>
      <c r="I3085" s="121"/>
      <c r="J3085" s="121"/>
      <c r="K3085" s="117"/>
    </row>
    <row r="3086" ht="15.75" customHeight="1">
      <c r="A3086" s="122"/>
      <c r="B3086" s="133"/>
      <c r="C3086" s="120"/>
      <c r="D3086" s="120"/>
      <c r="E3086" s="120"/>
      <c r="F3086" s="120"/>
      <c r="G3086" s="120"/>
      <c r="H3086" s="120"/>
      <c r="I3086" s="121"/>
      <c r="J3086" s="121"/>
      <c r="K3086" s="117"/>
    </row>
    <row r="3087" ht="15.75" customHeight="1">
      <c r="A3087" s="122"/>
      <c r="B3087" s="133"/>
      <c r="C3087" s="120"/>
      <c r="D3087" s="120"/>
      <c r="E3087" s="120"/>
      <c r="F3087" s="120"/>
      <c r="G3087" s="120"/>
      <c r="H3087" s="120"/>
      <c r="I3087" s="121"/>
      <c r="J3087" s="121"/>
      <c r="K3087" s="117"/>
    </row>
    <row r="3088" ht="15.75" customHeight="1">
      <c r="A3088" s="122"/>
      <c r="B3088" s="133"/>
      <c r="C3088" s="120"/>
      <c r="D3088" s="120"/>
      <c r="E3088" s="120"/>
      <c r="F3088" s="120"/>
      <c r="G3088" s="120"/>
      <c r="H3088" s="120"/>
      <c r="I3088" s="121"/>
      <c r="J3088" s="121"/>
      <c r="K3088" s="117"/>
    </row>
    <row r="3089" ht="15.75" customHeight="1">
      <c r="A3089" s="122"/>
      <c r="B3089" s="133"/>
      <c r="C3089" s="120"/>
      <c r="D3089" s="120"/>
      <c r="E3089" s="120"/>
      <c r="F3089" s="120"/>
      <c r="G3089" s="120"/>
      <c r="H3089" s="120"/>
      <c r="I3089" s="121"/>
      <c r="J3089" s="121"/>
      <c r="K3089" s="117"/>
    </row>
    <row r="3090" ht="15.75" customHeight="1">
      <c r="A3090" s="122"/>
      <c r="B3090" s="133"/>
      <c r="C3090" s="120"/>
      <c r="D3090" s="120"/>
      <c r="E3090" s="120"/>
      <c r="F3090" s="120"/>
      <c r="G3090" s="120"/>
      <c r="H3090" s="120"/>
      <c r="I3090" s="121"/>
      <c r="J3090" s="121"/>
      <c r="K3090" s="117"/>
    </row>
    <row r="3091" ht="15.75" customHeight="1">
      <c r="A3091" s="122"/>
      <c r="B3091" s="133"/>
      <c r="C3091" s="120"/>
      <c r="D3091" s="120"/>
      <c r="E3091" s="120"/>
      <c r="F3091" s="120"/>
      <c r="G3091" s="120"/>
      <c r="H3091" s="120"/>
      <c r="I3091" s="121"/>
      <c r="J3091" s="121"/>
      <c r="K3091" s="117"/>
    </row>
    <row r="3092" ht="15.75" customHeight="1">
      <c r="A3092" s="122"/>
      <c r="B3092" s="133"/>
      <c r="C3092" s="120"/>
      <c r="D3092" s="120"/>
      <c r="E3092" s="120"/>
      <c r="F3092" s="120"/>
      <c r="G3092" s="120"/>
      <c r="H3092" s="120"/>
      <c r="I3092" s="121"/>
      <c r="J3092" s="121"/>
      <c r="K3092" s="117"/>
    </row>
    <row r="3093" ht="15.75" customHeight="1">
      <c r="A3093" s="122"/>
      <c r="B3093" s="133"/>
      <c r="C3093" s="120"/>
      <c r="D3093" s="120"/>
      <c r="E3093" s="120"/>
      <c r="F3093" s="120"/>
      <c r="G3093" s="120"/>
      <c r="H3093" s="120"/>
      <c r="I3093" s="121"/>
      <c r="J3093" s="121"/>
      <c r="K3093" s="117"/>
    </row>
    <row r="3094" ht="15.75" customHeight="1">
      <c r="A3094" s="122"/>
      <c r="B3094" s="133"/>
      <c r="C3094" s="120"/>
      <c r="D3094" s="120"/>
      <c r="E3094" s="120"/>
      <c r="F3094" s="120"/>
      <c r="G3094" s="120"/>
      <c r="H3094" s="120"/>
      <c r="I3094" s="121"/>
      <c r="J3094" s="121"/>
      <c r="K3094" s="117"/>
    </row>
    <row r="3095" ht="15.75" customHeight="1">
      <c r="A3095" s="122"/>
      <c r="B3095" s="133"/>
      <c r="C3095" s="120"/>
      <c r="D3095" s="120"/>
      <c r="E3095" s="120"/>
      <c r="F3095" s="120"/>
      <c r="G3095" s="120"/>
      <c r="H3095" s="120"/>
      <c r="I3095" s="121"/>
      <c r="J3095" s="121"/>
      <c r="K3095" s="117"/>
    </row>
    <row r="3096" ht="15.75" customHeight="1">
      <c r="A3096" s="122"/>
      <c r="B3096" s="133"/>
      <c r="C3096" s="120"/>
      <c r="D3096" s="120"/>
      <c r="E3096" s="120"/>
      <c r="F3096" s="120"/>
      <c r="G3096" s="120"/>
      <c r="H3096" s="120"/>
      <c r="I3096" s="121"/>
      <c r="J3096" s="121"/>
      <c r="K3096" s="117"/>
    </row>
    <row r="3097" ht="15.75" customHeight="1">
      <c r="A3097" s="122"/>
      <c r="B3097" s="133"/>
      <c r="C3097" s="120"/>
      <c r="D3097" s="120"/>
      <c r="E3097" s="120"/>
      <c r="F3097" s="120"/>
      <c r="G3097" s="120"/>
      <c r="H3097" s="120"/>
      <c r="I3097" s="121"/>
      <c r="J3097" s="121"/>
      <c r="K3097" s="117"/>
    </row>
    <row r="3098" ht="15.75" customHeight="1">
      <c r="A3098" s="122"/>
      <c r="B3098" s="133"/>
      <c r="C3098" s="120"/>
      <c r="D3098" s="120"/>
      <c r="E3098" s="120"/>
      <c r="F3098" s="120"/>
      <c r="G3098" s="120"/>
      <c r="H3098" s="120"/>
      <c r="I3098" s="121"/>
      <c r="J3098" s="121"/>
      <c r="K3098" s="117"/>
    </row>
    <row r="3099" ht="15.75" customHeight="1">
      <c r="A3099" s="122"/>
      <c r="B3099" s="133"/>
      <c r="C3099" s="120"/>
      <c r="D3099" s="120"/>
      <c r="E3099" s="120"/>
      <c r="F3099" s="120"/>
      <c r="G3099" s="120"/>
      <c r="H3099" s="120"/>
      <c r="I3099" s="121"/>
      <c r="J3099" s="121"/>
      <c r="K3099" s="117"/>
    </row>
    <row r="3100" ht="15.75" customHeight="1">
      <c r="A3100" s="122"/>
      <c r="B3100" s="133"/>
      <c r="C3100" s="120"/>
      <c r="D3100" s="120"/>
      <c r="E3100" s="120"/>
      <c r="F3100" s="120"/>
      <c r="G3100" s="120"/>
      <c r="H3100" s="120"/>
      <c r="I3100" s="121"/>
      <c r="J3100" s="121"/>
      <c r="K3100" s="117"/>
    </row>
    <row r="3101" ht="15.75" customHeight="1">
      <c r="A3101" s="122"/>
      <c r="B3101" s="133"/>
      <c r="C3101" s="120"/>
      <c r="D3101" s="120"/>
      <c r="E3101" s="120"/>
      <c r="F3101" s="120"/>
      <c r="G3101" s="120"/>
      <c r="H3101" s="120"/>
      <c r="I3101" s="121"/>
      <c r="J3101" s="121"/>
      <c r="K3101" s="117"/>
    </row>
    <row r="3102" ht="15.75" customHeight="1">
      <c r="A3102" s="122"/>
      <c r="B3102" s="133"/>
      <c r="C3102" s="120"/>
      <c r="D3102" s="120"/>
      <c r="E3102" s="120"/>
      <c r="F3102" s="120"/>
      <c r="G3102" s="120"/>
      <c r="H3102" s="120"/>
      <c r="I3102" s="121"/>
      <c r="J3102" s="121"/>
      <c r="K3102" s="117"/>
    </row>
    <row r="3103" ht="15.75" customHeight="1">
      <c r="A3103" s="122"/>
      <c r="B3103" s="133"/>
      <c r="C3103" s="120"/>
      <c r="D3103" s="120"/>
      <c r="E3103" s="120"/>
      <c r="F3103" s="120"/>
      <c r="G3103" s="120"/>
      <c r="H3103" s="120"/>
      <c r="I3103" s="121"/>
      <c r="J3103" s="121"/>
      <c r="K3103" s="117"/>
    </row>
    <row r="3104" ht="15.75" customHeight="1">
      <c r="A3104" s="122"/>
      <c r="B3104" s="133"/>
      <c r="C3104" s="120"/>
      <c r="D3104" s="120"/>
      <c r="E3104" s="120"/>
      <c r="F3104" s="120"/>
      <c r="G3104" s="120"/>
      <c r="H3104" s="120"/>
      <c r="I3104" s="121"/>
      <c r="J3104" s="121"/>
      <c r="K3104" s="117"/>
    </row>
    <row r="3105" ht="15.75" customHeight="1">
      <c r="A3105" s="122"/>
      <c r="B3105" s="133"/>
      <c r="C3105" s="120"/>
      <c r="D3105" s="120"/>
      <c r="E3105" s="120"/>
      <c r="F3105" s="120"/>
      <c r="G3105" s="120"/>
      <c r="H3105" s="120"/>
      <c r="I3105" s="121"/>
      <c r="J3105" s="121"/>
      <c r="K3105" s="117"/>
    </row>
    <row r="3106" ht="15.75" customHeight="1">
      <c r="A3106" s="122"/>
      <c r="B3106" s="133"/>
      <c r="C3106" s="120"/>
      <c r="D3106" s="120"/>
      <c r="E3106" s="120"/>
      <c r="F3106" s="120"/>
      <c r="G3106" s="120"/>
      <c r="H3106" s="120"/>
      <c r="I3106" s="121"/>
      <c r="J3106" s="121"/>
      <c r="K3106" s="117"/>
    </row>
    <row r="3107" ht="15.75" customHeight="1">
      <c r="A3107" s="122"/>
      <c r="B3107" s="133"/>
      <c r="C3107" s="120"/>
      <c r="D3107" s="120"/>
      <c r="E3107" s="120"/>
      <c r="F3107" s="120"/>
      <c r="G3107" s="120"/>
      <c r="H3107" s="120"/>
      <c r="I3107" s="121"/>
      <c r="J3107" s="121"/>
      <c r="K3107" s="117"/>
    </row>
    <row r="3108" ht="15.75" customHeight="1">
      <c r="A3108" s="122"/>
      <c r="B3108" s="133"/>
      <c r="C3108" s="120"/>
      <c r="D3108" s="120"/>
      <c r="E3108" s="120"/>
      <c r="F3108" s="120"/>
      <c r="G3108" s="120"/>
      <c r="H3108" s="120"/>
      <c r="I3108" s="121"/>
      <c r="J3108" s="121"/>
      <c r="K3108" s="117"/>
    </row>
    <row r="3109" ht="15.75" customHeight="1">
      <c r="A3109" s="122"/>
      <c r="B3109" s="133"/>
      <c r="C3109" s="120"/>
      <c r="D3109" s="120"/>
      <c r="E3109" s="120"/>
      <c r="F3109" s="120"/>
      <c r="G3109" s="120"/>
      <c r="H3109" s="120"/>
      <c r="I3109" s="121"/>
      <c r="J3109" s="121"/>
      <c r="K3109" s="117"/>
    </row>
    <row r="3110" ht="15.75" customHeight="1">
      <c r="A3110" s="122"/>
      <c r="B3110" s="133"/>
      <c r="C3110" s="120"/>
      <c r="D3110" s="120"/>
      <c r="E3110" s="120"/>
      <c r="F3110" s="120"/>
      <c r="G3110" s="120"/>
      <c r="H3110" s="120"/>
      <c r="I3110" s="121"/>
      <c r="J3110" s="121"/>
      <c r="K3110" s="117"/>
    </row>
    <row r="3111" ht="15.75" customHeight="1">
      <c r="A3111" s="122"/>
      <c r="B3111" s="133"/>
      <c r="C3111" s="120"/>
      <c r="D3111" s="120"/>
      <c r="E3111" s="120"/>
      <c r="F3111" s="120"/>
      <c r="G3111" s="120"/>
      <c r="H3111" s="120"/>
      <c r="I3111" s="121"/>
      <c r="J3111" s="121"/>
      <c r="K3111" s="117"/>
    </row>
    <row r="3112" ht="15.75" customHeight="1">
      <c r="A3112" s="122"/>
      <c r="B3112" s="133"/>
      <c r="C3112" s="120"/>
      <c r="D3112" s="120"/>
      <c r="E3112" s="120"/>
      <c r="F3112" s="120"/>
      <c r="G3112" s="120"/>
      <c r="H3112" s="120"/>
      <c r="I3112" s="121"/>
      <c r="J3112" s="121"/>
      <c r="K3112" s="117"/>
    </row>
    <row r="3113" ht="15.75" customHeight="1">
      <c r="A3113" s="122"/>
      <c r="B3113" s="133"/>
      <c r="C3113" s="120"/>
      <c r="D3113" s="120"/>
      <c r="E3113" s="120"/>
      <c r="F3113" s="120"/>
      <c r="G3113" s="120"/>
      <c r="H3113" s="120"/>
      <c r="I3113" s="121"/>
      <c r="J3113" s="121"/>
      <c r="K3113" s="117"/>
    </row>
    <row r="3114" ht="15.75" customHeight="1">
      <c r="A3114" s="122"/>
      <c r="B3114" s="133"/>
      <c r="C3114" s="120"/>
      <c r="D3114" s="120"/>
      <c r="E3114" s="120"/>
      <c r="F3114" s="120"/>
      <c r="G3114" s="120"/>
      <c r="H3114" s="120"/>
      <c r="I3114" s="121"/>
      <c r="J3114" s="121"/>
      <c r="K3114" s="117"/>
    </row>
    <row r="3115" ht="15.75" customHeight="1">
      <c r="A3115" s="122"/>
      <c r="B3115" s="133"/>
      <c r="C3115" s="120"/>
      <c r="D3115" s="120"/>
      <c r="E3115" s="120"/>
      <c r="F3115" s="120"/>
      <c r="G3115" s="120"/>
      <c r="H3115" s="120"/>
      <c r="I3115" s="121"/>
      <c r="J3115" s="121"/>
      <c r="K3115" s="117"/>
    </row>
    <row r="3116" ht="15.75" customHeight="1">
      <c r="A3116" s="122"/>
      <c r="B3116" s="133"/>
      <c r="C3116" s="120"/>
      <c r="D3116" s="120"/>
      <c r="E3116" s="120"/>
      <c r="F3116" s="120"/>
      <c r="G3116" s="120"/>
      <c r="H3116" s="120"/>
      <c r="I3116" s="121"/>
      <c r="J3116" s="121"/>
      <c r="K3116" s="117"/>
    </row>
    <row r="3117" ht="15.75" customHeight="1">
      <c r="A3117" s="122"/>
      <c r="B3117" s="133"/>
      <c r="C3117" s="120"/>
      <c r="D3117" s="120"/>
      <c r="E3117" s="120"/>
      <c r="F3117" s="120"/>
      <c r="G3117" s="120"/>
      <c r="H3117" s="120"/>
      <c r="I3117" s="121"/>
      <c r="J3117" s="121"/>
      <c r="K3117" s="117"/>
    </row>
    <row r="3118" ht="15.75" customHeight="1">
      <c r="A3118" s="122"/>
      <c r="B3118" s="133"/>
      <c r="C3118" s="120"/>
      <c r="D3118" s="120"/>
      <c r="E3118" s="120"/>
      <c r="F3118" s="120"/>
      <c r="G3118" s="120"/>
      <c r="H3118" s="120"/>
      <c r="I3118" s="121"/>
      <c r="J3118" s="121"/>
      <c r="K3118" s="117"/>
    </row>
    <row r="3119" ht="15.75" customHeight="1">
      <c r="A3119" s="122"/>
      <c r="B3119" s="133"/>
      <c r="C3119" s="120"/>
      <c r="D3119" s="120"/>
      <c r="E3119" s="120"/>
      <c r="F3119" s="120"/>
      <c r="G3119" s="120"/>
      <c r="H3119" s="120"/>
      <c r="I3119" s="121"/>
      <c r="J3119" s="121"/>
      <c r="K3119" s="117"/>
    </row>
    <row r="3120" ht="15.75" customHeight="1">
      <c r="A3120" s="122"/>
      <c r="B3120" s="133"/>
      <c r="C3120" s="120"/>
      <c r="D3120" s="120"/>
      <c r="E3120" s="120"/>
      <c r="F3120" s="120"/>
      <c r="G3120" s="120"/>
      <c r="H3120" s="120"/>
      <c r="I3120" s="121"/>
      <c r="J3120" s="121"/>
      <c r="K3120" s="117"/>
    </row>
    <row r="3121" ht="15.75" customHeight="1">
      <c r="A3121" s="122"/>
      <c r="B3121" s="133"/>
      <c r="C3121" s="120"/>
      <c r="D3121" s="120"/>
      <c r="E3121" s="120"/>
      <c r="F3121" s="120"/>
      <c r="G3121" s="120"/>
      <c r="H3121" s="120"/>
      <c r="I3121" s="121"/>
      <c r="J3121" s="121"/>
      <c r="K3121" s="117"/>
    </row>
    <row r="3122" ht="15.75" customHeight="1">
      <c r="A3122" s="122"/>
      <c r="B3122" s="133"/>
      <c r="C3122" s="120"/>
      <c r="D3122" s="120"/>
      <c r="E3122" s="120"/>
      <c r="F3122" s="120"/>
      <c r="G3122" s="120"/>
      <c r="H3122" s="120"/>
      <c r="I3122" s="121"/>
      <c r="J3122" s="121"/>
      <c r="K3122" s="117"/>
    </row>
    <row r="3123" ht="15.75" customHeight="1">
      <c r="A3123" s="122"/>
      <c r="B3123" s="133"/>
      <c r="C3123" s="120"/>
      <c r="D3123" s="120"/>
      <c r="E3123" s="120"/>
      <c r="F3123" s="120"/>
      <c r="G3123" s="120"/>
      <c r="H3123" s="120"/>
      <c r="I3123" s="121"/>
      <c r="J3123" s="121"/>
      <c r="K3123" s="117"/>
    </row>
    <row r="3124" ht="15.75" customHeight="1">
      <c r="A3124" s="122"/>
      <c r="B3124" s="133"/>
      <c r="C3124" s="120"/>
      <c r="D3124" s="120"/>
      <c r="E3124" s="120"/>
      <c r="F3124" s="120"/>
      <c r="G3124" s="120"/>
      <c r="H3124" s="120"/>
      <c r="I3124" s="121"/>
      <c r="J3124" s="121"/>
      <c r="K3124" s="117"/>
    </row>
    <row r="3125" ht="15.75" customHeight="1">
      <c r="A3125" s="122"/>
      <c r="B3125" s="133"/>
      <c r="C3125" s="120"/>
      <c r="D3125" s="120"/>
      <c r="E3125" s="120"/>
      <c r="F3125" s="120"/>
      <c r="G3125" s="120"/>
      <c r="H3125" s="120"/>
      <c r="I3125" s="121"/>
      <c r="J3125" s="121"/>
      <c r="K3125" s="117"/>
    </row>
    <row r="3126" ht="15.75" customHeight="1">
      <c r="A3126" s="122"/>
      <c r="B3126" s="133"/>
      <c r="C3126" s="120"/>
      <c r="D3126" s="120"/>
      <c r="E3126" s="120"/>
      <c r="F3126" s="120"/>
      <c r="G3126" s="120"/>
      <c r="H3126" s="120"/>
      <c r="I3126" s="121"/>
      <c r="J3126" s="121"/>
      <c r="K3126" s="117"/>
    </row>
    <row r="3127" ht="15.75" customHeight="1">
      <c r="A3127" s="122"/>
      <c r="B3127" s="133"/>
      <c r="C3127" s="120"/>
      <c r="D3127" s="120"/>
      <c r="E3127" s="120"/>
      <c r="F3127" s="120"/>
      <c r="G3127" s="120"/>
      <c r="H3127" s="120"/>
      <c r="I3127" s="121"/>
      <c r="J3127" s="121"/>
      <c r="K3127" s="117"/>
    </row>
    <row r="3128" ht="15.75" customHeight="1">
      <c r="A3128" s="122"/>
      <c r="B3128" s="133"/>
      <c r="C3128" s="120"/>
      <c r="D3128" s="120"/>
      <c r="E3128" s="120"/>
      <c r="F3128" s="120"/>
      <c r="G3128" s="120"/>
      <c r="H3128" s="120"/>
      <c r="I3128" s="121"/>
      <c r="J3128" s="121"/>
      <c r="K3128" s="117"/>
    </row>
    <row r="3129" ht="15.75" customHeight="1">
      <c r="A3129" s="122"/>
      <c r="B3129" s="133"/>
      <c r="C3129" s="120"/>
      <c r="D3129" s="120"/>
      <c r="E3129" s="120"/>
      <c r="F3129" s="120"/>
      <c r="G3129" s="120"/>
      <c r="H3129" s="120"/>
      <c r="I3129" s="121"/>
      <c r="J3129" s="121"/>
      <c r="K3129" s="117"/>
    </row>
    <row r="3130" ht="15.75" customHeight="1">
      <c r="A3130" s="122"/>
      <c r="B3130" s="133"/>
      <c r="C3130" s="120"/>
      <c r="D3130" s="120"/>
      <c r="E3130" s="120"/>
      <c r="F3130" s="120"/>
      <c r="G3130" s="120"/>
      <c r="H3130" s="120"/>
      <c r="I3130" s="121"/>
      <c r="J3130" s="121"/>
      <c r="K3130" s="117"/>
    </row>
    <row r="3131" ht="15.75" customHeight="1">
      <c r="A3131" s="122"/>
      <c r="B3131" s="133"/>
      <c r="C3131" s="120"/>
      <c r="D3131" s="120"/>
      <c r="E3131" s="120"/>
      <c r="F3131" s="120"/>
      <c r="G3131" s="120"/>
      <c r="H3131" s="120"/>
      <c r="I3131" s="121"/>
      <c r="J3131" s="121"/>
      <c r="K3131" s="117"/>
    </row>
    <row r="3132" ht="15.75" customHeight="1">
      <c r="A3132" s="122"/>
      <c r="B3132" s="133"/>
      <c r="C3132" s="120"/>
      <c r="D3132" s="120"/>
      <c r="E3132" s="120"/>
      <c r="F3132" s="120"/>
      <c r="G3132" s="120"/>
      <c r="H3132" s="120"/>
      <c r="I3132" s="121"/>
      <c r="J3132" s="121"/>
      <c r="K3132" s="117"/>
    </row>
    <row r="3133" ht="15.75" customHeight="1">
      <c r="A3133" s="122"/>
      <c r="B3133" s="133"/>
      <c r="C3133" s="120"/>
      <c r="D3133" s="120"/>
      <c r="E3133" s="120"/>
      <c r="F3133" s="120"/>
      <c r="G3133" s="120"/>
      <c r="H3133" s="120"/>
      <c r="I3133" s="121"/>
      <c r="J3133" s="121"/>
      <c r="K3133" s="117"/>
    </row>
    <row r="3134" ht="15.75" customHeight="1">
      <c r="A3134" s="122"/>
      <c r="B3134" s="133"/>
      <c r="C3134" s="120"/>
      <c r="D3134" s="120"/>
      <c r="E3134" s="120"/>
      <c r="F3134" s="120"/>
      <c r="G3134" s="120"/>
      <c r="H3134" s="120"/>
      <c r="I3134" s="121"/>
      <c r="J3134" s="121"/>
      <c r="K3134" s="117"/>
    </row>
    <row r="3135" ht="15.75" customHeight="1">
      <c r="A3135" s="122"/>
      <c r="B3135" s="133"/>
      <c r="C3135" s="120"/>
      <c r="D3135" s="120"/>
      <c r="E3135" s="120"/>
      <c r="F3135" s="120"/>
      <c r="G3135" s="120"/>
      <c r="H3135" s="120"/>
      <c r="I3135" s="121"/>
      <c r="J3135" s="121"/>
      <c r="K3135" s="117"/>
    </row>
    <row r="3136" ht="15.75" customHeight="1">
      <c r="A3136" s="122"/>
      <c r="B3136" s="133"/>
      <c r="C3136" s="120"/>
      <c r="D3136" s="120"/>
      <c r="E3136" s="120"/>
      <c r="F3136" s="120"/>
      <c r="G3136" s="120"/>
      <c r="H3136" s="120"/>
      <c r="I3136" s="121"/>
      <c r="J3136" s="121"/>
      <c r="K3136" s="117"/>
    </row>
    <row r="3137" ht="15.75" customHeight="1">
      <c r="A3137" s="122"/>
      <c r="B3137" s="133"/>
      <c r="C3137" s="120"/>
      <c r="D3137" s="120"/>
      <c r="E3137" s="120"/>
      <c r="F3137" s="120"/>
      <c r="G3137" s="120"/>
      <c r="H3137" s="120"/>
      <c r="I3137" s="121"/>
      <c r="J3137" s="121"/>
      <c r="K3137" s="117"/>
    </row>
    <row r="3138" ht="15.75" customHeight="1">
      <c r="A3138" s="122"/>
      <c r="B3138" s="133"/>
      <c r="C3138" s="120"/>
      <c r="D3138" s="120"/>
      <c r="E3138" s="120"/>
      <c r="F3138" s="120"/>
      <c r="G3138" s="120"/>
      <c r="H3138" s="120"/>
      <c r="I3138" s="121"/>
      <c r="J3138" s="121"/>
      <c r="K3138" s="117"/>
    </row>
    <row r="3139" ht="15.75" customHeight="1">
      <c r="A3139" s="122"/>
      <c r="B3139" s="133"/>
      <c r="C3139" s="120"/>
      <c r="D3139" s="120"/>
      <c r="E3139" s="120"/>
      <c r="F3139" s="120"/>
      <c r="G3139" s="120"/>
      <c r="H3139" s="120"/>
      <c r="I3139" s="121"/>
      <c r="J3139" s="121"/>
      <c r="K3139" s="117"/>
    </row>
    <row r="3140" ht="15.75" customHeight="1">
      <c r="A3140" s="122"/>
      <c r="B3140" s="133"/>
      <c r="C3140" s="120"/>
      <c r="D3140" s="120"/>
      <c r="E3140" s="120"/>
      <c r="F3140" s="120"/>
      <c r="G3140" s="120"/>
      <c r="H3140" s="120"/>
      <c r="I3140" s="121"/>
      <c r="J3140" s="121"/>
      <c r="K3140" s="117"/>
    </row>
    <row r="3141" ht="15.75" customHeight="1">
      <c r="A3141" s="122"/>
      <c r="B3141" s="133"/>
      <c r="C3141" s="120"/>
      <c r="D3141" s="120"/>
      <c r="E3141" s="120"/>
      <c r="F3141" s="120"/>
      <c r="G3141" s="120"/>
      <c r="H3141" s="120"/>
      <c r="I3141" s="121"/>
      <c r="J3141" s="121"/>
      <c r="K3141" s="117"/>
    </row>
    <row r="3142" ht="15.75" customHeight="1">
      <c r="A3142" s="122"/>
      <c r="B3142" s="133"/>
      <c r="C3142" s="120"/>
      <c r="D3142" s="120"/>
      <c r="E3142" s="120"/>
      <c r="F3142" s="120"/>
      <c r="G3142" s="120"/>
      <c r="H3142" s="120"/>
      <c r="I3142" s="121"/>
      <c r="J3142" s="121"/>
      <c r="K3142" s="117"/>
    </row>
    <row r="3143" ht="15.75" customHeight="1">
      <c r="A3143" s="122"/>
      <c r="B3143" s="133"/>
      <c r="C3143" s="120"/>
      <c r="D3143" s="120"/>
      <c r="E3143" s="120"/>
      <c r="F3143" s="120"/>
      <c r="G3143" s="120"/>
      <c r="H3143" s="120"/>
      <c r="I3143" s="121"/>
      <c r="J3143" s="121"/>
      <c r="K3143" s="117"/>
    </row>
    <row r="3144" ht="15.75" customHeight="1">
      <c r="A3144" s="122"/>
      <c r="B3144" s="133"/>
      <c r="C3144" s="120"/>
      <c r="D3144" s="120"/>
      <c r="E3144" s="120"/>
      <c r="F3144" s="120"/>
      <c r="G3144" s="120"/>
      <c r="H3144" s="120"/>
      <c r="I3144" s="121"/>
      <c r="J3144" s="121"/>
      <c r="K3144" s="117"/>
    </row>
    <row r="3145" ht="15.75" customHeight="1">
      <c r="A3145" s="122"/>
      <c r="B3145" s="133"/>
      <c r="C3145" s="120"/>
      <c r="D3145" s="120"/>
      <c r="E3145" s="120"/>
      <c r="F3145" s="120"/>
      <c r="G3145" s="120"/>
      <c r="H3145" s="120"/>
      <c r="I3145" s="121"/>
      <c r="J3145" s="121"/>
      <c r="K3145" s="117"/>
    </row>
    <row r="3146" ht="15.75" customHeight="1">
      <c r="A3146" s="122"/>
      <c r="B3146" s="133"/>
      <c r="C3146" s="120"/>
      <c r="D3146" s="120"/>
      <c r="E3146" s="120"/>
      <c r="F3146" s="120"/>
      <c r="G3146" s="120"/>
      <c r="H3146" s="120"/>
      <c r="I3146" s="121"/>
      <c r="J3146" s="121"/>
      <c r="K3146" s="117"/>
    </row>
    <row r="3147" ht="15.75" customHeight="1">
      <c r="A3147" s="122"/>
      <c r="B3147" s="133"/>
      <c r="C3147" s="120"/>
      <c r="D3147" s="120"/>
      <c r="E3147" s="120"/>
      <c r="F3147" s="120"/>
      <c r="G3147" s="120"/>
      <c r="H3147" s="120"/>
      <c r="I3147" s="121"/>
      <c r="J3147" s="121"/>
      <c r="K3147" s="117"/>
    </row>
    <row r="3148" ht="15.75" customHeight="1">
      <c r="A3148" s="122"/>
      <c r="B3148" s="133"/>
      <c r="C3148" s="120"/>
      <c r="D3148" s="120"/>
      <c r="E3148" s="120"/>
      <c r="F3148" s="120"/>
      <c r="G3148" s="120"/>
      <c r="H3148" s="120"/>
      <c r="I3148" s="121"/>
      <c r="J3148" s="121"/>
      <c r="K3148" s="117"/>
    </row>
    <row r="3149" ht="15.75" customHeight="1">
      <c r="A3149" s="122"/>
      <c r="B3149" s="133"/>
      <c r="C3149" s="120"/>
      <c r="D3149" s="120"/>
      <c r="E3149" s="120"/>
      <c r="F3149" s="120"/>
      <c r="G3149" s="120"/>
      <c r="H3149" s="120"/>
      <c r="I3149" s="121"/>
      <c r="J3149" s="121"/>
      <c r="K3149" s="117"/>
    </row>
    <row r="3150" ht="15.75" customHeight="1">
      <c r="A3150" s="122"/>
      <c r="B3150" s="133"/>
      <c r="C3150" s="120"/>
      <c r="D3150" s="120"/>
      <c r="E3150" s="120"/>
      <c r="F3150" s="120"/>
      <c r="G3150" s="120"/>
      <c r="H3150" s="120"/>
      <c r="I3150" s="121"/>
      <c r="J3150" s="121"/>
      <c r="K3150" s="117"/>
    </row>
    <row r="3151" ht="15.75" customHeight="1">
      <c r="A3151" s="122"/>
      <c r="B3151" s="133"/>
      <c r="C3151" s="120"/>
      <c r="D3151" s="120"/>
      <c r="E3151" s="120"/>
      <c r="F3151" s="120"/>
      <c r="G3151" s="120"/>
      <c r="H3151" s="120"/>
      <c r="I3151" s="121"/>
      <c r="J3151" s="121"/>
      <c r="K3151" s="117"/>
    </row>
    <row r="3152" ht="15.75" customHeight="1">
      <c r="A3152" s="122"/>
      <c r="B3152" s="133"/>
      <c r="C3152" s="120"/>
      <c r="D3152" s="120"/>
      <c r="E3152" s="120"/>
      <c r="F3152" s="120"/>
      <c r="G3152" s="120"/>
      <c r="H3152" s="120"/>
      <c r="I3152" s="121"/>
      <c r="J3152" s="121"/>
      <c r="K3152" s="117"/>
    </row>
    <row r="3153" ht="15.75" customHeight="1">
      <c r="A3153" s="122"/>
      <c r="B3153" s="133"/>
      <c r="C3153" s="120"/>
      <c r="D3153" s="120"/>
      <c r="E3153" s="120"/>
      <c r="F3153" s="120"/>
      <c r="G3153" s="120"/>
      <c r="H3153" s="120"/>
      <c r="I3153" s="121"/>
      <c r="J3153" s="121"/>
      <c r="K3153" s="117"/>
    </row>
    <row r="3154" ht="15.75" customHeight="1">
      <c r="A3154" s="122"/>
      <c r="B3154" s="133"/>
      <c r="C3154" s="120"/>
      <c r="D3154" s="120"/>
      <c r="E3154" s="120"/>
      <c r="F3154" s="120"/>
      <c r="G3154" s="120"/>
      <c r="H3154" s="120"/>
      <c r="I3154" s="121"/>
      <c r="J3154" s="121"/>
      <c r="K3154" s="117"/>
    </row>
    <row r="3155" ht="15.75" customHeight="1">
      <c r="A3155" s="122"/>
      <c r="B3155" s="133"/>
      <c r="C3155" s="120"/>
      <c r="D3155" s="120"/>
      <c r="E3155" s="120"/>
      <c r="F3155" s="120"/>
      <c r="G3155" s="120"/>
      <c r="H3155" s="120"/>
      <c r="I3155" s="121"/>
      <c r="J3155" s="121"/>
      <c r="K3155" s="117"/>
    </row>
    <row r="3156" ht="15.75" customHeight="1">
      <c r="A3156" s="122"/>
      <c r="B3156" s="133"/>
      <c r="C3156" s="120"/>
      <c r="D3156" s="120"/>
      <c r="E3156" s="120"/>
      <c r="F3156" s="120"/>
      <c r="G3156" s="120"/>
      <c r="H3156" s="120"/>
      <c r="I3156" s="121"/>
      <c r="J3156" s="121"/>
      <c r="K3156" s="117"/>
    </row>
    <row r="3157" ht="15.75" customHeight="1">
      <c r="A3157" s="122"/>
      <c r="B3157" s="133"/>
      <c r="C3157" s="120"/>
      <c r="D3157" s="120"/>
      <c r="E3157" s="120"/>
      <c r="F3157" s="120"/>
      <c r="G3157" s="120"/>
      <c r="H3157" s="120"/>
      <c r="I3157" s="121"/>
      <c r="J3157" s="121"/>
      <c r="K3157" s="117"/>
    </row>
    <row r="3158" ht="15.75" customHeight="1">
      <c r="A3158" s="122"/>
      <c r="B3158" s="133"/>
      <c r="C3158" s="120"/>
      <c r="D3158" s="120"/>
      <c r="E3158" s="120"/>
      <c r="F3158" s="120"/>
      <c r="G3158" s="120"/>
      <c r="H3158" s="120"/>
      <c r="I3158" s="121"/>
      <c r="J3158" s="121"/>
      <c r="K3158" s="117"/>
    </row>
    <row r="3159" ht="15.75" customHeight="1">
      <c r="A3159" s="122"/>
      <c r="B3159" s="133"/>
      <c r="C3159" s="120"/>
      <c r="D3159" s="120"/>
      <c r="E3159" s="120"/>
      <c r="F3159" s="120"/>
      <c r="G3159" s="120"/>
      <c r="H3159" s="120"/>
      <c r="I3159" s="121"/>
      <c r="J3159" s="121"/>
      <c r="K3159" s="117"/>
    </row>
    <row r="3160" ht="15.75" customHeight="1">
      <c r="A3160" s="122"/>
      <c r="B3160" s="133"/>
      <c r="C3160" s="120"/>
      <c r="D3160" s="120"/>
      <c r="E3160" s="120"/>
      <c r="F3160" s="120"/>
      <c r="G3160" s="120"/>
      <c r="H3160" s="120"/>
      <c r="I3160" s="121"/>
      <c r="J3160" s="121"/>
      <c r="K3160" s="117"/>
    </row>
    <row r="3161" ht="15.75" customHeight="1">
      <c r="A3161" s="122"/>
      <c r="B3161" s="133"/>
      <c r="C3161" s="120"/>
      <c r="D3161" s="120"/>
      <c r="E3161" s="120"/>
      <c r="F3161" s="120"/>
      <c r="G3161" s="120"/>
      <c r="H3161" s="120"/>
      <c r="I3161" s="121"/>
      <c r="J3161" s="121"/>
      <c r="K3161" s="117"/>
    </row>
    <row r="3162" ht="15.75" customHeight="1">
      <c r="A3162" s="122"/>
      <c r="B3162" s="133"/>
      <c r="C3162" s="120"/>
      <c r="D3162" s="120"/>
      <c r="E3162" s="120"/>
      <c r="F3162" s="120"/>
      <c r="G3162" s="120"/>
      <c r="H3162" s="120"/>
      <c r="I3162" s="121"/>
      <c r="J3162" s="121"/>
      <c r="K3162" s="117"/>
    </row>
    <row r="3163" ht="15.75" customHeight="1">
      <c r="A3163" s="122"/>
      <c r="B3163" s="133"/>
      <c r="C3163" s="120"/>
      <c r="D3163" s="120"/>
      <c r="E3163" s="120"/>
      <c r="F3163" s="120"/>
      <c r="G3163" s="120"/>
      <c r="H3163" s="120"/>
      <c r="I3163" s="121"/>
      <c r="J3163" s="121"/>
      <c r="K3163" s="117"/>
    </row>
    <row r="3164" ht="15.75" customHeight="1">
      <c r="A3164" s="122"/>
      <c r="B3164" s="133"/>
      <c r="C3164" s="120"/>
      <c r="D3164" s="120"/>
      <c r="E3164" s="120"/>
      <c r="F3164" s="120"/>
      <c r="G3164" s="120"/>
      <c r="H3164" s="120"/>
      <c r="I3164" s="121"/>
      <c r="J3164" s="121"/>
      <c r="K3164" s="117"/>
    </row>
    <row r="3165" ht="15.75" customHeight="1">
      <c r="A3165" s="122"/>
      <c r="B3165" s="133"/>
      <c r="C3165" s="120"/>
      <c r="D3165" s="120"/>
      <c r="E3165" s="120"/>
      <c r="F3165" s="120"/>
      <c r="G3165" s="120"/>
      <c r="H3165" s="120"/>
      <c r="I3165" s="121"/>
      <c r="J3165" s="121"/>
      <c r="K3165" s="117"/>
    </row>
    <row r="3166" ht="15.75" customHeight="1">
      <c r="A3166" s="122"/>
      <c r="B3166" s="133"/>
      <c r="C3166" s="120"/>
      <c r="D3166" s="120"/>
      <c r="E3166" s="120"/>
      <c r="F3166" s="120"/>
      <c r="G3166" s="120"/>
      <c r="H3166" s="120"/>
      <c r="I3166" s="121"/>
      <c r="J3166" s="121"/>
      <c r="K3166" s="117"/>
    </row>
    <row r="3167" ht="15.75" customHeight="1">
      <c r="A3167" s="122"/>
      <c r="B3167" s="133"/>
      <c r="C3167" s="120"/>
      <c r="D3167" s="120"/>
      <c r="E3167" s="120"/>
      <c r="F3167" s="120"/>
      <c r="G3167" s="120"/>
      <c r="H3167" s="120"/>
      <c r="I3167" s="121"/>
      <c r="J3167" s="121"/>
      <c r="K3167" s="117"/>
    </row>
    <row r="3168" ht="15.75" customHeight="1">
      <c r="A3168" s="122"/>
      <c r="B3168" s="133"/>
      <c r="C3168" s="120"/>
      <c r="D3168" s="120"/>
      <c r="E3168" s="120"/>
      <c r="F3168" s="120"/>
      <c r="G3168" s="120"/>
      <c r="H3168" s="120"/>
      <c r="I3168" s="121"/>
      <c r="J3168" s="121"/>
      <c r="K3168" s="117"/>
    </row>
    <row r="3169" ht="15.75" customHeight="1">
      <c r="A3169" s="122"/>
      <c r="B3169" s="133"/>
      <c r="C3169" s="120"/>
      <c r="D3169" s="120"/>
      <c r="E3169" s="120"/>
      <c r="F3169" s="120"/>
      <c r="G3169" s="120"/>
      <c r="H3169" s="120"/>
      <c r="I3169" s="121"/>
      <c r="J3169" s="121"/>
      <c r="K3169" s="117"/>
    </row>
    <row r="3170" ht="15.75" customHeight="1">
      <c r="A3170" s="122"/>
      <c r="B3170" s="133"/>
      <c r="C3170" s="120"/>
      <c r="D3170" s="120"/>
      <c r="E3170" s="120"/>
      <c r="F3170" s="120"/>
      <c r="G3170" s="120"/>
      <c r="H3170" s="120"/>
      <c r="I3170" s="121"/>
      <c r="J3170" s="121"/>
      <c r="K3170" s="117"/>
    </row>
    <row r="3171" ht="15.75" customHeight="1">
      <c r="A3171" s="122"/>
      <c r="B3171" s="133"/>
      <c r="C3171" s="120"/>
      <c r="D3171" s="120"/>
      <c r="E3171" s="120"/>
      <c r="F3171" s="120"/>
      <c r="G3171" s="120"/>
      <c r="H3171" s="120"/>
      <c r="I3171" s="121"/>
      <c r="J3171" s="121"/>
      <c r="K3171" s="117"/>
    </row>
    <row r="3172" ht="15.75" customHeight="1">
      <c r="A3172" s="122"/>
      <c r="B3172" s="133"/>
      <c r="C3172" s="120"/>
      <c r="D3172" s="120"/>
      <c r="E3172" s="120"/>
      <c r="F3172" s="120"/>
      <c r="G3172" s="120"/>
      <c r="H3172" s="120"/>
      <c r="I3172" s="121"/>
      <c r="J3172" s="121"/>
      <c r="K3172" s="117"/>
    </row>
    <row r="3173" ht="15.75" customHeight="1">
      <c r="A3173" s="122"/>
      <c r="B3173" s="133"/>
      <c r="C3173" s="120"/>
      <c r="D3173" s="120"/>
      <c r="E3173" s="120"/>
      <c r="F3173" s="120"/>
      <c r="G3173" s="120"/>
      <c r="H3173" s="120"/>
      <c r="I3173" s="121"/>
      <c r="J3173" s="121"/>
      <c r="K3173" s="117"/>
    </row>
    <row r="3174" ht="15.75" customHeight="1">
      <c r="A3174" s="122"/>
      <c r="B3174" s="133"/>
      <c r="C3174" s="120"/>
      <c r="D3174" s="120"/>
      <c r="E3174" s="120"/>
      <c r="F3174" s="120"/>
      <c r="G3174" s="120"/>
      <c r="H3174" s="120"/>
      <c r="I3174" s="121"/>
      <c r="J3174" s="121"/>
      <c r="K3174" s="117"/>
    </row>
    <row r="3175" ht="15.75" customHeight="1">
      <c r="A3175" s="122"/>
      <c r="B3175" s="133"/>
      <c r="C3175" s="120"/>
      <c r="D3175" s="120"/>
      <c r="E3175" s="120"/>
      <c r="F3175" s="120"/>
      <c r="G3175" s="120"/>
      <c r="H3175" s="120"/>
      <c r="I3175" s="121"/>
      <c r="J3175" s="121"/>
      <c r="K3175" s="117"/>
    </row>
    <row r="3176" ht="15.75" customHeight="1">
      <c r="A3176" s="122"/>
      <c r="B3176" s="133"/>
      <c r="C3176" s="120"/>
      <c r="D3176" s="120"/>
      <c r="E3176" s="120"/>
      <c r="F3176" s="120"/>
      <c r="G3176" s="120"/>
      <c r="H3176" s="120"/>
      <c r="I3176" s="121"/>
      <c r="J3176" s="121"/>
      <c r="K3176" s="117"/>
    </row>
    <row r="3177" ht="15.75" customHeight="1">
      <c r="A3177" s="122"/>
      <c r="B3177" s="133"/>
      <c r="C3177" s="120"/>
      <c r="D3177" s="120"/>
      <c r="E3177" s="120"/>
      <c r="F3177" s="120"/>
      <c r="G3177" s="120"/>
      <c r="H3177" s="120"/>
      <c r="I3177" s="121"/>
      <c r="J3177" s="121"/>
      <c r="K3177" s="117"/>
    </row>
    <row r="3178" ht="15.75" customHeight="1">
      <c r="A3178" s="122"/>
      <c r="B3178" s="133"/>
      <c r="C3178" s="120"/>
      <c r="D3178" s="120"/>
      <c r="E3178" s="120"/>
      <c r="F3178" s="120"/>
      <c r="G3178" s="120"/>
      <c r="H3178" s="120"/>
      <c r="I3178" s="121"/>
      <c r="J3178" s="121"/>
      <c r="K3178" s="117"/>
    </row>
    <row r="3179" ht="15.75" customHeight="1">
      <c r="A3179" s="122"/>
      <c r="B3179" s="133"/>
      <c r="C3179" s="120"/>
      <c r="D3179" s="120"/>
      <c r="E3179" s="120"/>
      <c r="F3179" s="120"/>
      <c r="G3179" s="120"/>
      <c r="H3179" s="120"/>
      <c r="I3179" s="121"/>
      <c r="J3179" s="121"/>
      <c r="K3179" s="117"/>
    </row>
    <row r="3180" ht="15.75" customHeight="1">
      <c r="A3180" s="122"/>
      <c r="B3180" s="133"/>
      <c r="C3180" s="120"/>
      <c r="D3180" s="120"/>
      <c r="E3180" s="120"/>
      <c r="F3180" s="120"/>
      <c r="G3180" s="120"/>
      <c r="H3180" s="120"/>
      <c r="I3180" s="121"/>
      <c r="J3180" s="121"/>
      <c r="K3180" s="117"/>
    </row>
    <row r="3181" ht="15.75" customHeight="1">
      <c r="A3181" s="122"/>
      <c r="B3181" s="133"/>
      <c r="C3181" s="120"/>
      <c r="D3181" s="120"/>
      <c r="E3181" s="120"/>
      <c r="F3181" s="120"/>
      <c r="G3181" s="120"/>
      <c r="H3181" s="120"/>
      <c r="I3181" s="121"/>
      <c r="J3181" s="121"/>
      <c r="K3181" s="117"/>
    </row>
    <row r="3182" ht="15.75" customHeight="1">
      <c r="A3182" s="122"/>
      <c r="B3182" s="133"/>
      <c r="C3182" s="120"/>
      <c r="D3182" s="120"/>
      <c r="E3182" s="120"/>
      <c r="F3182" s="120"/>
      <c r="G3182" s="120"/>
      <c r="H3182" s="120"/>
      <c r="I3182" s="121"/>
      <c r="J3182" s="121"/>
      <c r="K3182" s="117"/>
    </row>
    <row r="3183" ht="15.75" customHeight="1">
      <c r="A3183" s="122"/>
      <c r="B3183" s="133"/>
      <c r="C3183" s="120"/>
      <c r="D3183" s="120"/>
      <c r="E3183" s="120"/>
      <c r="F3183" s="120"/>
      <c r="G3183" s="120"/>
      <c r="H3183" s="120"/>
      <c r="I3183" s="121"/>
      <c r="J3183" s="121"/>
      <c r="K3183" s="117"/>
    </row>
    <row r="3184" ht="15.75" customHeight="1">
      <c r="A3184" s="122"/>
      <c r="B3184" s="133"/>
      <c r="C3184" s="120"/>
      <c r="D3184" s="120"/>
      <c r="E3184" s="120"/>
      <c r="F3184" s="120"/>
      <c r="G3184" s="120"/>
      <c r="H3184" s="120"/>
      <c r="I3184" s="121"/>
      <c r="J3184" s="121"/>
      <c r="K3184" s="117"/>
    </row>
    <row r="3185" ht="15.75" customHeight="1">
      <c r="A3185" s="122"/>
      <c r="B3185" s="133"/>
      <c r="C3185" s="120"/>
      <c r="D3185" s="120"/>
      <c r="E3185" s="120"/>
      <c r="F3185" s="120"/>
      <c r="G3185" s="120"/>
      <c r="H3185" s="120"/>
      <c r="I3185" s="121"/>
      <c r="J3185" s="121"/>
      <c r="K3185" s="117"/>
    </row>
    <row r="3186" ht="15.75" customHeight="1">
      <c r="A3186" s="122"/>
      <c r="B3186" s="133"/>
      <c r="C3186" s="120"/>
      <c r="D3186" s="120"/>
      <c r="E3186" s="120"/>
      <c r="F3186" s="120"/>
      <c r="G3186" s="120"/>
      <c r="H3186" s="120"/>
      <c r="I3186" s="121"/>
      <c r="J3186" s="121"/>
      <c r="K3186" s="117"/>
    </row>
    <row r="3187" ht="15.75" customHeight="1">
      <c r="A3187" s="122"/>
      <c r="B3187" s="133"/>
      <c r="C3187" s="120"/>
      <c r="D3187" s="120"/>
      <c r="E3187" s="120"/>
      <c r="F3187" s="120"/>
      <c r="G3187" s="120"/>
      <c r="H3187" s="120"/>
      <c r="I3187" s="121"/>
      <c r="J3187" s="121"/>
      <c r="K3187" s="117"/>
    </row>
    <row r="3188" ht="15.75" customHeight="1">
      <c r="A3188" s="122"/>
      <c r="B3188" s="133"/>
      <c r="C3188" s="120"/>
      <c r="D3188" s="120"/>
      <c r="E3188" s="120"/>
      <c r="F3188" s="120"/>
      <c r="G3188" s="120"/>
      <c r="H3188" s="120"/>
      <c r="I3188" s="121"/>
      <c r="J3188" s="121"/>
      <c r="K3188" s="117"/>
    </row>
    <row r="3189" ht="15.75" customHeight="1">
      <c r="A3189" s="122"/>
      <c r="B3189" s="133"/>
      <c r="C3189" s="120"/>
      <c r="D3189" s="120"/>
      <c r="E3189" s="120"/>
      <c r="F3189" s="120"/>
      <c r="G3189" s="120"/>
      <c r="H3189" s="120"/>
      <c r="I3189" s="121"/>
      <c r="J3189" s="121"/>
      <c r="K3189" s="117"/>
    </row>
    <row r="3190" ht="15.75" customHeight="1">
      <c r="A3190" s="122"/>
      <c r="B3190" s="133"/>
      <c r="C3190" s="120"/>
      <c r="D3190" s="120"/>
      <c r="E3190" s="120"/>
      <c r="F3190" s="120"/>
      <c r="G3190" s="120"/>
      <c r="H3190" s="120"/>
      <c r="I3190" s="121"/>
      <c r="J3190" s="121"/>
      <c r="K3190" s="117"/>
    </row>
    <row r="3191" ht="15.75" customHeight="1">
      <c r="A3191" s="122"/>
      <c r="B3191" s="133"/>
      <c r="C3191" s="120"/>
      <c r="D3191" s="120"/>
      <c r="E3191" s="120"/>
      <c r="F3191" s="120"/>
      <c r="G3191" s="120"/>
      <c r="H3191" s="120"/>
      <c r="I3191" s="121"/>
      <c r="J3191" s="121"/>
      <c r="K3191" s="117"/>
    </row>
    <row r="3192" ht="15.75" customHeight="1">
      <c r="A3192" s="122"/>
      <c r="B3192" s="133"/>
      <c r="C3192" s="120"/>
      <c r="D3192" s="120"/>
      <c r="E3192" s="120"/>
      <c r="F3192" s="120"/>
      <c r="G3192" s="120"/>
      <c r="H3192" s="120"/>
      <c r="I3192" s="121"/>
      <c r="J3192" s="121"/>
      <c r="K3192" s="117"/>
    </row>
    <row r="3193" ht="15.75" customHeight="1">
      <c r="A3193" s="122"/>
      <c r="B3193" s="133"/>
      <c r="C3193" s="120"/>
      <c r="D3193" s="120"/>
      <c r="E3193" s="120"/>
      <c r="F3193" s="120"/>
      <c r="G3193" s="120"/>
      <c r="H3193" s="120"/>
      <c r="I3193" s="121"/>
      <c r="J3193" s="121"/>
      <c r="K3193" s="117"/>
    </row>
    <row r="3194" ht="15.75" customHeight="1">
      <c r="A3194" s="122"/>
      <c r="B3194" s="133"/>
      <c r="C3194" s="120"/>
      <c r="D3194" s="120"/>
      <c r="E3194" s="120"/>
      <c r="F3194" s="120"/>
      <c r="G3194" s="120"/>
      <c r="H3194" s="120"/>
      <c r="I3194" s="121"/>
      <c r="J3194" s="121"/>
      <c r="K3194" s="117"/>
    </row>
    <row r="3195" ht="15.75" customHeight="1">
      <c r="A3195" s="122"/>
      <c r="B3195" s="133"/>
      <c r="C3195" s="120"/>
      <c r="D3195" s="120"/>
      <c r="E3195" s="120"/>
      <c r="F3195" s="120"/>
      <c r="G3195" s="120"/>
      <c r="H3195" s="120"/>
      <c r="I3195" s="121"/>
      <c r="J3195" s="121"/>
      <c r="K3195" s="117"/>
    </row>
    <row r="3196" ht="15.75" customHeight="1">
      <c r="A3196" s="122"/>
      <c r="B3196" s="133"/>
      <c r="C3196" s="120"/>
      <c r="D3196" s="120"/>
      <c r="E3196" s="120"/>
      <c r="F3196" s="120"/>
      <c r="G3196" s="120"/>
      <c r="H3196" s="120"/>
      <c r="I3196" s="121"/>
      <c r="J3196" s="121"/>
      <c r="K3196" s="117"/>
    </row>
    <row r="3197" ht="15.75" customHeight="1">
      <c r="A3197" s="122"/>
      <c r="B3197" s="133"/>
      <c r="C3197" s="120"/>
      <c r="D3197" s="120"/>
      <c r="E3197" s="120"/>
      <c r="F3197" s="120"/>
      <c r="G3197" s="120"/>
      <c r="H3197" s="120"/>
      <c r="I3197" s="121"/>
      <c r="J3197" s="121"/>
      <c r="K3197" s="117"/>
    </row>
    <row r="3198" ht="15.75" customHeight="1">
      <c r="A3198" s="122"/>
      <c r="B3198" s="133"/>
      <c r="C3198" s="120"/>
      <c r="D3198" s="120"/>
      <c r="E3198" s="120"/>
      <c r="F3198" s="120"/>
      <c r="G3198" s="120"/>
      <c r="H3198" s="120"/>
      <c r="I3198" s="121"/>
      <c r="J3198" s="121"/>
      <c r="K3198" s="117"/>
    </row>
    <row r="3199" ht="15.75" customHeight="1">
      <c r="A3199" s="122"/>
      <c r="B3199" s="133"/>
      <c r="C3199" s="120"/>
      <c r="D3199" s="120"/>
      <c r="E3199" s="120"/>
      <c r="F3199" s="120"/>
      <c r="G3199" s="120"/>
      <c r="H3199" s="120"/>
      <c r="I3199" s="121"/>
      <c r="J3199" s="121"/>
      <c r="K3199" s="117"/>
    </row>
    <row r="3200" ht="15.75" customHeight="1">
      <c r="A3200" s="122"/>
      <c r="B3200" s="133"/>
      <c r="C3200" s="120"/>
      <c r="D3200" s="120"/>
      <c r="E3200" s="120"/>
      <c r="F3200" s="120"/>
      <c r="G3200" s="120"/>
      <c r="H3200" s="120"/>
      <c r="I3200" s="121"/>
      <c r="J3200" s="121"/>
      <c r="K3200" s="117"/>
    </row>
    <row r="3201" ht="15.75" customHeight="1">
      <c r="A3201" s="122"/>
      <c r="B3201" s="133"/>
      <c r="C3201" s="120"/>
      <c r="D3201" s="120"/>
      <c r="E3201" s="120"/>
      <c r="F3201" s="120"/>
      <c r="G3201" s="120"/>
      <c r="H3201" s="120"/>
      <c r="I3201" s="121"/>
      <c r="J3201" s="121"/>
      <c r="K3201" s="117"/>
    </row>
    <row r="3202" ht="15.75" customHeight="1">
      <c r="A3202" s="122"/>
      <c r="B3202" s="133"/>
      <c r="C3202" s="120"/>
      <c r="D3202" s="120"/>
      <c r="E3202" s="120"/>
      <c r="F3202" s="120"/>
      <c r="G3202" s="120"/>
      <c r="H3202" s="120"/>
      <c r="I3202" s="121"/>
      <c r="J3202" s="121"/>
      <c r="K3202" s="117"/>
    </row>
    <row r="3203" ht="15.75" customHeight="1">
      <c r="A3203" s="122"/>
      <c r="B3203" s="133"/>
      <c r="C3203" s="120"/>
      <c r="D3203" s="120"/>
      <c r="E3203" s="120"/>
      <c r="F3203" s="120"/>
      <c r="G3203" s="120"/>
      <c r="H3203" s="120"/>
      <c r="I3203" s="121"/>
      <c r="J3203" s="121"/>
      <c r="K3203" s="117"/>
    </row>
    <row r="3204" ht="15.75" customHeight="1">
      <c r="A3204" s="122"/>
      <c r="B3204" s="133"/>
      <c r="C3204" s="120"/>
      <c r="D3204" s="120"/>
      <c r="E3204" s="120"/>
      <c r="F3204" s="120"/>
      <c r="G3204" s="120"/>
      <c r="H3204" s="120"/>
      <c r="I3204" s="121"/>
      <c r="J3204" s="121"/>
      <c r="K3204" s="117"/>
    </row>
    <row r="3205" ht="15.75" customHeight="1">
      <c r="A3205" s="122"/>
      <c r="B3205" s="133"/>
      <c r="C3205" s="120"/>
      <c r="D3205" s="120"/>
      <c r="E3205" s="120"/>
      <c r="F3205" s="120"/>
      <c r="G3205" s="120"/>
      <c r="H3205" s="120"/>
      <c r="I3205" s="121"/>
      <c r="J3205" s="121"/>
      <c r="K3205" s="117"/>
    </row>
    <row r="3206" ht="15.75" customHeight="1">
      <c r="A3206" s="122"/>
      <c r="B3206" s="133"/>
      <c r="C3206" s="120"/>
      <c r="D3206" s="120"/>
      <c r="E3206" s="120"/>
      <c r="F3206" s="120"/>
      <c r="G3206" s="120"/>
      <c r="H3206" s="120"/>
      <c r="I3206" s="121"/>
      <c r="J3206" s="121"/>
      <c r="K3206" s="117"/>
    </row>
    <row r="3207" ht="15.75" customHeight="1">
      <c r="A3207" s="122"/>
      <c r="B3207" s="133"/>
      <c r="C3207" s="120"/>
      <c r="D3207" s="120"/>
      <c r="E3207" s="120"/>
      <c r="F3207" s="120"/>
      <c r="G3207" s="120"/>
      <c r="H3207" s="120"/>
      <c r="I3207" s="121"/>
      <c r="J3207" s="121"/>
      <c r="K3207" s="117"/>
    </row>
    <row r="3208" ht="15.75" customHeight="1">
      <c r="A3208" s="122"/>
      <c r="B3208" s="133"/>
      <c r="C3208" s="120"/>
      <c r="D3208" s="120"/>
      <c r="E3208" s="120"/>
      <c r="F3208" s="120"/>
      <c r="G3208" s="120"/>
      <c r="H3208" s="120"/>
      <c r="I3208" s="121"/>
      <c r="J3208" s="121"/>
      <c r="K3208" s="117"/>
    </row>
    <row r="3209" ht="15.75" customHeight="1">
      <c r="A3209" s="122"/>
      <c r="B3209" s="133"/>
      <c r="C3209" s="120"/>
      <c r="D3209" s="120"/>
      <c r="E3209" s="120"/>
      <c r="F3209" s="120"/>
      <c r="G3209" s="120"/>
      <c r="H3209" s="120"/>
      <c r="I3209" s="121"/>
      <c r="J3209" s="121"/>
      <c r="K3209" s="117"/>
    </row>
    <row r="3210" ht="15.75" customHeight="1">
      <c r="A3210" s="122"/>
      <c r="B3210" s="133"/>
      <c r="C3210" s="120"/>
      <c r="D3210" s="120"/>
      <c r="E3210" s="120"/>
      <c r="F3210" s="120"/>
      <c r="G3210" s="120"/>
      <c r="H3210" s="120"/>
      <c r="I3210" s="121"/>
      <c r="J3210" s="121"/>
      <c r="K3210" s="117"/>
    </row>
    <row r="3211" ht="15.75" customHeight="1">
      <c r="A3211" s="122"/>
      <c r="B3211" s="133"/>
      <c r="C3211" s="120"/>
      <c r="D3211" s="120"/>
      <c r="E3211" s="120"/>
      <c r="F3211" s="120"/>
      <c r="G3211" s="120"/>
      <c r="H3211" s="120"/>
      <c r="I3211" s="121"/>
      <c r="J3211" s="121"/>
      <c r="K3211" s="117"/>
    </row>
    <row r="3212" ht="15.75" customHeight="1">
      <c r="A3212" s="122"/>
      <c r="B3212" s="133"/>
      <c r="C3212" s="120"/>
      <c r="D3212" s="120"/>
      <c r="E3212" s="120"/>
      <c r="F3212" s="120"/>
      <c r="G3212" s="120"/>
      <c r="H3212" s="120"/>
      <c r="I3212" s="121"/>
      <c r="J3212" s="121"/>
      <c r="K3212" s="117"/>
    </row>
    <row r="3213" ht="15.75" customHeight="1">
      <c r="A3213" s="122"/>
      <c r="B3213" s="133"/>
      <c r="C3213" s="120"/>
      <c r="D3213" s="120"/>
      <c r="E3213" s="120"/>
      <c r="F3213" s="120"/>
      <c r="G3213" s="120"/>
      <c r="H3213" s="120"/>
      <c r="I3213" s="121"/>
      <c r="J3213" s="121"/>
      <c r="K3213" s="117"/>
    </row>
    <row r="3214" ht="15.75" customHeight="1">
      <c r="A3214" s="122"/>
      <c r="B3214" s="133"/>
      <c r="C3214" s="120"/>
      <c r="D3214" s="120"/>
      <c r="E3214" s="120"/>
      <c r="F3214" s="120"/>
      <c r="G3214" s="120"/>
      <c r="H3214" s="120"/>
      <c r="I3214" s="121"/>
      <c r="J3214" s="121"/>
      <c r="K3214" s="117"/>
    </row>
    <row r="3215" ht="15.75" customHeight="1">
      <c r="A3215" s="122"/>
      <c r="B3215" s="133"/>
      <c r="C3215" s="120"/>
      <c r="D3215" s="120"/>
      <c r="E3215" s="120"/>
      <c r="F3215" s="120"/>
      <c r="G3215" s="120"/>
      <c r="H3215" s="120"/>
      <c r="I3215" s="121"/>
      <c r="J3215" s="121"/>
      <c r="K3215" s="117"/>
    </row>
    <row r="3216" ht="15.75" customHeight="1">
      <c r="A3216" s="122"/>
      <c r="B3216" s="133"/>
      <c r="C3216" s="120"/>
      <c r="D3216" s="120"/>
      <c r="E3216" s="120"/>
      <c r="F3216" s="120"/>
      <c r="G3216" s="120"/>
      <c r="H3216" s="120"/>
      <c r="I3216" s="121"/>
      <c r="J3216" s="121"/>
      <c r="K3216" s="117"/>
    </row>
    <row r="3217" ht="15.75" customHeight="1">
      <c r="A3217" s="122"/>
      <c r="B3217" s="133"/>
      <c r="C3217" s="120"/>
      <c r="D3217" s="120"/>
      <c r="E3217" s="120"/>
      <c r="F3217" s="120"/>
      <c r="G3217" s="120"/>
      <c r="H3217" s="120"/>
      <c r="I3217" s="121"/>
      <c r="J3217" s="121"/>
      <c r="K3217" s="117"/>
    </row>
    <row r="3218" ht="15.75" customHeight="1">
      <c r="A3218" s="122"/>
      <c r="B3218" s="133"/>
      <c r="C3218" s="120"/>
      <c r="D3218" s="120"/>
      <c r="E3218" s="120"/>
      <c r="F3218" s="120"/>
      <c r="G3218" s="120"/>
      <c r="H3218" s="120"/>
      <c r="I3218" s="121"/>
      <c r="J3218" s="121"/>
      <c r="K3218" s="117"/>
    </row>
    <row r="3219" ht="15.75" customHeight="1">
      <c r="A3219" s="122"/>
      <c r="B3219" s="133"/>
      <c r="C3219" s="120"/>
      <c r="D3219" s="120"/>
      <c r="E3219" s="120"/>
      <c r="F3219" s="120"/>
      <c r="G3219" s="120"/>
      <c r="H3219" s="120"/>
      <c r="I3219" s="121"/>
      <c r="J3219" s="121"/>
      <c r="K3219" s="117"/>
    </row>
    <row r="3220" ht="15.75" customHeight="1">
      <c r="A3220" s="122"/>
      <c r="B3220" s="133"/>
      <c r="C3220" s="120"/>
      <c r="D3220" s="120"/>
      <c r="E3220" s="120"/>
      <c r="F3220" s="120"/>
      <c r="G3220" s="120"/>
      <c r="H3220" s="120"/>
      <c r="I3220" s="121"/>
      <c r="J3220" s="121"/>
      <c r="K3220" s="117"/>
    </row>
    <row r="3221" ht="15.75" customHeight="1">
      <c r="A3221" s="122"/>
      <c r="B3221" s="133"/>
      <c r="C3221" s="120"/>
      <c r="D3221" s="120"/>
      <c r="E3221" s="120"/>
      <c r="F3221" s="120"/>
      <c r="G3221" s="120"/>
      <c r="H3221" s="120"/>
      <c r="I3221" s="121"/>
      <c r="J3221" s="121"/>
      <c r="K3221" s="117"/>
    </row>
    <row r="3222" ht="15.75" customHeight="1">
      <c r="A3222" s="122"/>
      <c r="B3222" s="133"/>
      <c r="C3222" s="120"/>
      <c r="D3222" s="120"/>
      <c r="E3222" s="120"/>
      <c r="F3222" s="120"/>
      <c r="G3222" s="120"/>
      <c r="H3222" s="120"/>
      <c r="I3222" s="121"/>
      <c r="J3222" s="121"/>
      <c r="K3222" s="117"/>
    </row>
    <row r="3223" ht="15.75" customHeight="1">
      <c r="A3223" s="122"/>
      <c r="B3223" s="133"/>
      <c r="C3223" s="120"/>
      <c r="D3223" s="120"/>
      <c r="E3223" s="120"/>
      <c r="F3223" s="120"/>
      <c r="G3223" s="120"/>
      <c r="H3223" s="120"/>
      <c r="I3223" s="121"/>
      <c r="J3223" s="121"/>
      <c r="K3223" s="117"/>
    </row>
    <row r="3224" ht="15.75" customHeight="1">
      <c r="A3224" s="122"/>
      <c r="B3224" s="133"/>
      <c r="C3224" s="120"/>
      <c r="D3224" s="120"/>
      <c r="E3224" s="120"/>
      <c r="F3224" s="120"/>
      <c r="G3224" s="120"/>
      <c r="H3224" s="120"/>
      <c r="I3224" s="121"/>
      <c r="J3224" s="121"/>
      <c r="K3224" s="117"/>
    </row>
    <row r="3225" ht="15.75" customHeight="1">
      <c r="A3225" s="122"/>
      <c r="B3225" s="133"/>
      <c r="C3225" s="120"/>
      <c r="D3225" s="120"/>
      <c r="E3225" s="120"/>
      <c r="F3225" s="120"/>
      <c r="G3225" s="120"/>
      <c r="H3225" s="120"/>
      <c r="I3225" s="121"/>
      <c r="J3225" s="121"/>
      <c r="K3225" s="117"/>
    </row>
    <row r="3226" ht="15.75" customHeight="1">
      <c r="A3226" s="122"/>
      <c r="B3226" s="133"/>
      <c r="C3226" s="120"/>
      <c r="D3226" s="120"/>
      <c r="E3226" s="120"/>
      <c r="F3226" s="120"/>
      <c r="G3226" s="120"/>
      <c r="H3226" s="120"/>
      <c r="I3226" s="121"/>
      <c r="J3226" s="121"/>
      <c r="K3226" s="117"/>
    </row>
    <row r="3227" ht="15.75" customHeight="1">
      <c r="A3227" s="122"/>
      <c r="B3227" s="133"/>
      <c r="C3227" s="120"/>
      <c r="D3227" s="120"/>
      <c r="E3227" s="120"/>
      <c r="F3227" s="120"/>
      <c r="G3227" s="120"/>
      <c r="H3227" s="120"/>
      <c r="I3227" s="121"/>
      <c r="J3227" s="121"/>
      <c r="K3227" s="117"/>
    </row>
    <row r="3228" ht="15.75" customHeight="1">
      <c r="A3228" s="122"/>
      <c r="B3228" s="133"/>
      <c r="C3228" s="120"/>
      <c r="D3228" s="120"/>
      <c r="E3228" s="120"/>
      <c r="F3228" s="120"/>
      <c r="G3228" s="120"/>
      <c r="H3228" s="120"/>
      <c r="I3228" s="121"/>
      <c r="J3228" s="121"/>
      <c r="K3228" s="117"/>
    </row>
    <row r="3229" ht="15.75" customHeight="1">
      <c r="A3229" s="122"/>
      <c r="B3229" s="133"/>
      <c r="C3229" s="120"/>
      <c r="D3229" s="120"/>
      <c r="E3229" s="120"/>
      <c r="F3229" s="120"/>
      <c r="G3229" s="120"/>
      <c r="H3229" s="120"/>
      <c r="I3229" s="121"/>
      <c r="J3229" s="121"/>
      <c r="K3229" s="117"/>
    </row>
    <row r="3230" ht="15.75" customHeight="1">
      <c r="A3230" s="122"/>
      <c r="B3230" s="133"/>
      <c r="C3230" s="120"/>
      <c r="D3230" s="120"/>
      <c r="E3230" s="120"/>
      <c r="F3230" s="120"/>
      <c r="G3230" s="120"/>
      <c r="H3230" s="120"/>
      <c r="I3230" s="121"/>
      <c r="J3230" s="121"/>
      <c r="K3230" s="117"/>
    </row>
    <row r="3231" ht="15.75" customHeight="1">
      <c r="A3231" s="122"/>
      <c r="B3231" s="133"/>
      <c r="C3231" s="120"/>
      <c r="D3231" s="120"/>
      <c r="E3231" s="120"/>
      <c r="F3231" s="120"/>
      <c r="G3231" s="120"/>
      <c r="H3231" s="120"/>
      <c r="I3231" s="121"/>
      <c r="J3231" s="121"/>
      <c r="K3231" s="117"/>
    </row>
    <row r="3232" ht="15.75" customHeight="1">
      <c r="A3232" s="122"/>
      <c r="B3232" s="133"/>
      <c r="C3232" s="120"/>
      <c r="D3232" s="120"/>
      <c r="E3232" s="120"/>
      <c r="F3232" s="120"/>
      <c r="G3232" s="120"/>
      <c r="H3232" s="120"/>
      <c r="I3232" s="121"/>
      <c r="J3232" s="121"/>
      <c r="K3232" s="117"/>
    </row>
    <row r="3233" ht="15.75" customHeight="1">
      <c r="A3233" s="122"/>
      <c r="B3233" s="133"/>
      <c r="C3233" s="120"/>
      <c r="D3233" s="120"/>
      <c r="E3233" s="120"/>
      <c r="F3233" s="120"/>
      <c r="G3233" s="120"/>
      <c r="H3233" s="120"/>
      <c r="I3233" s="121"/>
      <c r="J3233" s="121"/>
      <c r="K3233" s="117"/>
    </row>
    <row r="3234" ht="15.75" customHeight="1">
      <c r="A3234" s="122"/>
      <c r="B3234" s="133"/>
      <c r="C3234" s="120"/>
      <c r="D3234" s="120"/>
      <c r="E3234" s="120"/>
      <c r="F3234" s="120"/>
      <c r="G3234" s="120"/>
      <c r="H3234" s="120"/>
      <c r="I3234" s="121"/>
      <c r="J3234" s="121"/>
      <c r="K3234" s="117"/>
    </row>
    <row r="3235" ht="15.75" customHeight="1">
      <c r="A3235" s="122"/>
      <c r="B3235" s="133"/>
      <c r="C3235" s="120"/>
      <c r="D3235" s="120"/>
      <c r="E3235" s="120"/>
      <c r="F3235" s="120"/>
      <c r="G3235" s="120"/>
      <c r="H3235" s="120"/>
      <c r="I3235" s="121"/>
      <c r="J3235" s="121"/>
      <c r="K3235" s="117"/>
    </row>
    <row r="3236" ht="15.75" customHeight="1">
      <c r="A3236" s="122"/>
      <c r="B3236" s="133"/>
      <c r="C3236" s="120"/>
      <c r="D3236" s="120"/>
      <c r="E3236" s="120"/>
      <c r="F3236" s="120"/>
      <c r="G3236" s="120"/>
      <c r="H3236" s="120"/>
      <c r="I3236" s="121"/>
      <c r="J3236" s="121"/>
      <c r="K3236" s="117"/>
    </row>
    <row r="3237" ht="15.75" customHeight="1">
      <c r="A3237" s="122"/>
      <c r="B3237" s="133"/>
      <c r="C3237" s="120"/>
      <c r="D3237" s="120"/>
      <c r="E3237" s="120"/>
      <c r="F3237" s="120"/>
      <c r="G3237" s="120"/>
      <c r="H3237" s="120"/>
      <c r="I3237" s="121"/>
      <c r="J3237" s="121"/>
      <c r="K3237" s="117"/>
    </row>
    <row r="3238" ht="15.75" customHeight="1">
      <c r="A3238" s="122"/>
      <c r="B3238" s="133"/>
      <c r="C3238" s="120"/>
      <c r="D3238" s="120"/>
      <c r="E3238" s="120"/>
      <c r="F3238" s="120"/>
      <c r="G3238" s="120"/>
      <c r="H3238" s="120"/>
      <c r="I3238" s="121"/>
      <c r="J3238" s="121"/>
      <c r="K3238" s="117"/>
    </row>
    <row r="3239" ht="15.75" customHeight="1">
      <c r="A3239" s="122"/>
      <c r="B3239" s="133"/>
      <c r="C3239" s="120"/>
      <c r="D3239" s="120"/>
      <c r="E3239" s="120"/>
      <c r="F3239" s="120"/>
      <c r="G3239" s="120"/>
      <c r="H3239" s="120"/>
      <c r="I3239" s="121"/>
      <c r="J3239" s="121"/>
      <c r="K3239" s="117"/>
    </row>
    <row r="3240" ht="15.75" customHeight="1">
      <c r="A3240" s="122"/>
      <c r="B3240" s="133"/>
      <c r="C3240" s="120"/>
      <c r="D3240" s="120"/>
      <c r="E3240" s="120"/>
      <c r="F3240" s="120"/>
      <c r="G3240" s="120"/>
      <c r="H3240" s="120"/>
      <c r="I3240" s="121"/>
      <c r="J3240" s="121"/>
      <c r="K3240" s="117"/>
    </row>
    <row r="3241" ht="15.75" customHeight="1">
      <c r="A3241" s="122"/>
      <c r="B3241" s="133"/>
      <c r="C3241" s="120"/>
      <c r="D3241" s="120"/>
      <c r="E3241" s="120"/>
      <c r="F3241" s="120"/>
      <c r="G3241" s="120"/>
      <c r="H3241" s="120"/>
      <c r="I3241" s="121"/>
      <c r="J3241" s="121"/>
      <c r="K3241" s="117"/>
    </row>
    <row r="3242" ht="15.75" customHeight="1">
      <c r="A3242" s="122"/>
      <c r="B3242" s="133"/>
      <c r="C3242" s="120"/>
      <c r="D3242" s="120"/>
      <c r="E3242" s="120"/>
      <c r="F3242" s="120"/>
      <c r="G3242" s="120"/>
      <c r="H3242" s="120"/>
      <c r="I3242" s="121"/>
      <c r="J3242" s="121"/>
      <c r="K3242" s="117"/>
    </row>
    <row r="3243" ht="15.75" customHeight="1">
      <c r="A3243" s="122"/>
      <c r="B3243" s="133"/>
      <c r="C3243" s="120"/>
      <c r="D3243" s="120"/>
      <c r="E3243" s="120"/>
      <c r="F3243" s="120"/>
      <c r="G3243" s="120"/>
      <c r="H3243" s="120"/>
      <c r="I3243" s="121"/>
      <c r="J3243" s="121"/>
      <c r="K3243" s="117"/>
    </row>
    <row r="3244" ht="15.75" customHeight="1">
      <c r="A3244" s="122"/>
      <c r="B3244" s="133"/>
      <c r="C3244" s="120"/>
      <c r="D3244" s="120"/>
      <c r="E3244" s="120"/>
      <c r="F3244" s="120"/>
      <c r="G3244" s="120"/>
      <c r="H3244" s="120"/>
      <c r="I3244" s="121"/>
      <c r="J3244" s="121"/>
      <c r="K3244" s="117"/>
    </row>
    <row r="3245" ht="15.75" customHeight="1">
      <c r="A3245" s="122"/>
      <c r="B3245" s="133"/>
      <c r="C3245" s="120"/>
      <c r="D3245" s="120"/>
      <c r="E3245" s="120"/>
      <c r="F3245" s="120"/>
      <c r="G3245" s="120"/>
      <c r="H3245" s="120"/>
      <c r="I3245" s="121"/>
      <c r="J3245" s="121"/>
      <c r="K3245" s="117"/>
    </row>
    <row r="3246" ht="15.75" customHeight="1">
      <c r="A3246" s="122"/>
      <c r="B3246" s="133"/>
      <c r="C3246" s="120"/>
      <c r="D3246" s="120"/>
      <c r="E3246" s="120"/>
      <c r="F3246" s="120"/>
      <c r="G3246" s="120"/>
      <c r="H3246" s="120"/>
      <c r="I3246" s="121"/>
      <c r="J3246" s="121"/>
      <c r="K3246" s="117"/>
    </row>
    <row r="3247" ht="15.75" customHeight="1">
      <c r="A3247" s="122"/>
      <c r="B3247" s="133"/>
      <c r="C3247" s="120"/>
      <c r="D3247" s="120"/>
      <c r="E3247" s="120"/>
      <c r="F3247" s="120"/>
      <c r="G3247" s="120"/>
      <c r="H3247" s="120"/>
      <c r="I3247" s="121"/>
      <c r="J3247" s="121"/>
      <c r="K3247" s="117"/>
    </row>
    <row r="3248" ht="15.75" customHeight="1">
      <c r="A3248" s="122"/>
      <c r="B3248" s="133"/>
      <c r="C3248" s="120"/>
      <c r="D3248" s="120"/>
      <c r="E3248" s="120"/>
      <c r="F3248" s="120"/>
      <c r="G3248" s="120"/>
      <c r="H3248" s="120"/>
      <c r="I3248" s="121"/>
      <c r="J3248" s="121"/>
      <c r="K3248" s="117"/>
    </row>
    <row r="3249" ht="15.75" customHeight="1">
      <c r="A3249" s="122"/>
      <c r="B3249" s="133"/>
      <c r="C3249" s="120"/>
      <c r="D3249" s="120"/>
      <c r="E3249" s="120"/>
      <c r="F3249" s="120"/>
      <c r="G3249" s="120"/>
      <c r="H3249" s="120"/>
      <c r="I3249" s="121"/>
      <c r="J3249" s="121"/>
      <c r="K3249" s="117"/>
    </row>
    <row r="3250" ht="15.75" customHeight="1">
      <c r="A3250" s="122"/>
      <c r="B3250" s="133"/>
      <c r="C3250" s="120"/>
      <c r="D3250" s="120"/>
      <c r="E3250" s="120"/>
      <c r="F3250" s="120"/>
      <c r="G3250" s="120"/>
      <c r="H3250" s="120"/>
      <c r="I3250" s="121"/>
      <c r="J3250" s="121"/>
      <c r="K3250" s="117"/>
    </row>
    <row r="3251" ht="15.75" customHeight="1">
      <c r="A3251" s="122"/>
      <c r="B3251" s="133"/>
      <c r="C3251" s="120"/>
      <c r="D3251" s="120"/>
      <c r="E3251" s="120"/>
      <c r="F3251" s="120"/>
      <c r="G3251" s="120"/>
      <c r="H3251" s="120"/>
      <c r="I3251" s="121"/>
      <c r="J3251" s="121"/>
      <c r="K3251" s="117"/>
    </row>
    <row r="3252" ht="15.75" customHeight="1">
      <c r="A3252" s="122"/>
      <c r="B3252" s="133"/>
      <c r="C3252" s="120"/>
      <c r="D3252" s="120"/>
      <c r="E3252" s="120"/>
      <c r="F3252" s="120"/>
      <c r="G3252" s="120"/>
      <c r="H3252" s="120"/>
      <c r="I3252" s="121"/>
      <c r="J3252" s="121"/>
      <c r="K3252" s="117"/>
    </row>
    <row r="3253" ht="15.75" customHeight="1">
      <c r="A3253" s="122"/>
      <c r="B3253" s="133"/>
      <c r="C3253" s="120"/>
      <c r="D3253" s="120"/>
      <c r="E3253" s="120"/>
      <c r="F3253" s="120"/>
      <c r="G3253" s="120"/>
      <c r="H3253" s="120"/>
      <c r="I3253" s="121"/>
      <c r="J3253" s="121"/>
      <c r="K3253" s="117"/>
    </row>
    <row r="3254" ht="15.75" customHeight="1">
      <c r="A3254" s="122"/>
      <c r="B3254" s="133"/>
      <c r="C3254" s="120"/>
      <c r="D3254" s="120"/>
      <c r="E3254" s="120"/>
      <c r="F3254" s="120"/>
      <c r="G3254" s="120"/>
      <c r="H3254" s="120"/>
      <c r="I3254" s="121"/>
      <c r="J3254" s="121"/>
      <c r="K3254" s="117"/>
    </row>
    <row r="3255" ht="15.75" customHeight="1">
      <c r="A3255" s="122"/>
      <c r="B3255" s="133"/>
      <c r="C3255" s="120"/>
      <c r="D3255" s="120"/>
      <c r="E3255" s="120"/>
      <c r="F3255" s="120"/>
      <c r="G3255" s="120"/>
      <c r="H3255" s="120"/>
      <c r="I3255" s="121"/>
      <c r="J3255" s="121"/>
      <c r="K3255" s="117"/>
    </row>
    <row r="3256" ht="15.75" customHeight="1">
      <c r="A3256" s="122"/>
      <c r="B3256" s="133"/>
      <c r="C3256" s="120"/>
      <c r="D3256" s="120"/>
      <c r="E3256" s="120"/>
      <c r="F3256" s="120"/>
      <c r="G3256" s="120"/>
      <c r="H3256" s="120"/>
      <c r="I3256" s="121"/>
      <c r="J3256" s="121"/>
      <c r="K3256" s="117"/>
    </row>
    <row r="3257" ht="15.75" customHeight="1">
      <c r="A3257" s="122"/>
      <c r="B3257" s="133"/>
      <c r="C3257" s="120"/>
      <c r="D3257" s="120"/>
      <c r="E3257" s="120"/>
      <c r="F3257" s="120"/>
      <c r="G3257" s="120"/>
      <c r="H3257" s="120"/>
      <c r="I3257" s="121"/>
      <c r="J3257" s="121"/>
      <c r="K3257" s="117"/>
    </row>
    <row r="3258" ht="15.75" customHeight="1">
      <c r="A3258" s="122"/>
      <c r="B3258" s="133"/>
      <c r="C3258" s="120"/>
      <c r="D3258" s="120"/>
      <c r="E3258" s="120"/>
      <c r="F3258" s="120"/>
      <c r="G3258" s="120"/>
      <c r="H3258" s="120"/>
      <c r="I3258" s="121"/>
      <c r="J3258" s="121"/>
      <c r="K3258" s="117"/>
    </row>
    <row r="3259" ht="15.75" customHeight="1">
      <c r="A3259" s="122"/>
      <c r="B3259" s="133"/>
      <c r="C3259" s="120"/>
      <c r="D3259" s="120"/>
      <c r="E3259" s="120"/>
      <c r="F3259" s="120"/>
      <c r="G3259" s="120"/>
      <c r="H3259" s="120"/>
      <c r="I3259" s="121"/>
      <c r="J3259" s="121"/>
      <c r="K3259" s="117"/>
    </row>
    <row r="3260" ht="15.75" customHeight="1">
      <c r="A3260" s="122"/>
      <c r="B3260" s="133"/>
      <c r="C3260" s="120"/>
      <c r="D3260" s="120"/>
      <c r="E3260" s="120"/>
      <c r="F3260" s="120"/>
      <c r="G3260" s="120"/>
      <c r="H3260" s="120"/>
      <c r="I3260" s="121"/>
      <c r="J3260" s="121"/>
      <c r="K3260" s="117"/>
    </row>
    <row r="3261" ht="15.75" customHeight="1">
      <c r="A3261" s="122"/>
      <c r="B3261" s="133"/>
      <c r="C3261" s="120"/>
      <c r="D3261" s="120"/>
      <c r="E3261" s="120"/>
      <c r="F3261" s="120"/>
      <c r="G3261" s="120"/>
      <c r="H3261" s="120"/>
      <c r="I3261" s="121"/>
      <c r="J3261" s="121"/>
      <c r="K3261" s="117"/>
    </row>
    <row r="3262" ht="15.75" customHeight="1">
      <c r="A3262" s="122"/>
      <c r="B3262" s="133"/>
      <c r="C3262" s="120"/>
      <c r="D3262" s="120"/>
      <c r="E3262" s="120"/>
      <c r="F3262" s="120"/>
      <c r="G3262" s="120"/>
      <c r="H3262" s="120"/>
      <c r="I3262" s="121"/>
      <c r="J3262" s="121"/>
      <c r="K3262" s="117"/>
    </row>
    <row r="3263" ht="15.75" customHeight="1">
      <c r="A3263" s="122"/>
      <c r="B3263" s="133"/>
      <c r="C3263" s="120"/>
      <c r="D3263" s="120"/>
      <c r="E3263" s="120"/>
      <c r="F3263" s="120"/>
      <c r="G3263" s="120"/>
      <c r="H3263" s="120"/>
      <c r="I3263" s="121"/>
      <c r="J3263" s="121"/>
      <c r="K3263" s="117"/>
    </row>
    <row r="3264" ht="15.75" customHeight="1">
      <c r="A3264" s="122"/>
      <c r="B3264" s="133"/>
      <c r="C3264" s="120"/>
      <c r="D3264" s="120"/>
      <c r="E3264" s="120"/>
      <c r="F3264" s="120"/>
      <c r="G3264" s="120"/>
      <c r="H3264" s="120"/>
      <c r="I3264" s="121"/>
      <c r="J3264" s="121"/>
      <c r="K3264" s="117"/>
    </row>
    <row r="3265" ht="15.75" customHeight="1">
      <c r="A3265" s="122"/>
      <c r="B3265" s="133"/>
      <c r="C3265" s="120"/>
      <c r="D3265" s="120"/>
      <c r="E3265" s="120"/>
      <c r="F3265" s="120"/>
      <c r="G3265" s="120"/>
      <c r="H3265" s="120"/>
      <c r="I3265" s="121"/>
      <c r="J3265" s="121"/>
      <c r="K3265" s="117"/>
    </row>
    <row r="3266" ht="15.75" customHeight="1">
      <c r="A3266" s="122"/>
      <c r="B3266" s="133"/>
      <c r="C3266" s="120"/>
      <c r="D3266" s="120"/>
      <c r="E3266" s="120"/>
      <c r="F3266" s="120"/>
      <c r="G3266" s="120"/>
      <c r="H3266" s="120"/>
      <c r="I3266" s="121"/>
      <c r="J3266" s="121"/>
      <c r="K3266" s="117"/>
    </row>
    <row r="3267" ht="15.75" customHeight="1">
      <c r="A3267" s="122"/>
      <c r="B3267" s="133"/>
      <c r="C3267" s="120"/>
      <c r="D3267" s="120"/>
      <c r="E3267" s="120"/>
      <c r="F3267" s="120"/>
      <c r="G3267" s="120"/>
      <c r="H3267" s="120"/>
      <c r="I3267" s="121"/>
      <c r="J3267" s="121"/>
      <c r="K3267" s="117"/>
    </row>
    <row r="3268" ht="15.75" customHeight="1">
      <c r="A3268" s="122"/>
      <c r="B3268" s="133"/>
      <c r="C3268" s="120"/>
      <c r="D3268" s="120"/>
      <c r="E3268" s="120"/>
      <c r="F3268" s="120"/>
      <c r="G3268" s="120"/>
      <c r="H3268" s="120"/>
      <c r="I3268" s="121"/>
      <c r="J3268" s="121"/>
      <c r="K3268" s="117"/>
    </row>
    <row r="3269" ht="15.75" customHeight="1">
      <c r="A3269" s="122"/>
      <c r="B3269" s="133"/>
      <c r="C3269" s="120"/>
      <c r="D3269" s="120"/>
      <c r="E3269" s="120"/>
      <c r="F3269" s="120"/>
      <c r="G3269" s="120"/>
      <c r="H3269" s="120"/>
      <c r="I3269" s="121"/>
      <c r="J3269" s="121"/>
      <c r="K3269" s="117"/>
    </row>
    <row r="3270" ht="15.75" customHeight="1">
      <c r="A3270" s="122"/>
      <c r="B3270" s="133"/>
      <c r="C3270" s="120"/>
      <c r="D3270" s="120"/>
      <c r="E3270" s="120"/>
      <c r="F3270" s="120"/>
      <c r="G3270" s="120"/>
      <c r="H3270" s="120"/>
      <c r="I3270" s="121"/>
      <c r="J3270" s="121"/>
      <c r="K3270" s="117"/>
    </row>
    <row r="3271" ht="15.75" customHeight="1">
      <c r="A3271" s="122"/>
      <c r="B3271" s="133"/>
      <c r="C3271" s="120"/>
      <c r="D3271" s="120"/>
      <c r="E3271" s="120"/>
      <c r="F3271" s="120"/>
      <c r="G3271" s="120"/>
      <c r="H3271" s="120"/>
      <c r="I3271" s="121"/>
      <c r="J3271" s="121"/>
      <c r="K3271" s="117"/>
    </row>
    <row r="3272" ht="15.75" customHeight="1">
      <c r="A3272" s="122"/>
      <c r="B3272" s="133"/>
      <c r="C3272" s="120"/>
      <c r="D3272" s="120"/>
      <c r="E3272" s="120"/>
      <c r="F3272" s="120"/>
      <c r="G3272" s="120"/>
      <c r="H3272" s="120"/>
      <c r="I3272" s="121"/>
      <c r="J3272" s="121"/>
      <c r="K3272" s="117"/>
    </row>
    <row r="3273" ht="15.75" customHeight="1">
      <c r="A3273" s="122"/>
      <c r="B3273" s="133"/>
      <c r="C3273" s="120"/>
      <c r="D3273" s="120"/>
      <c r="E3273" s="120"/>
      <c r="F3273" s="120"/>
      <c r="G3273" s="120"/>
      <c r="H3273" s="120"/>
      <c r="I3273" s="121"/>
      <c r="J3273" s="121"/>
      <c r="K3273" s="117"/>
    </row>
    <row r="3274" ht="15.75" customHeight="1">
      <c r="A3274" s="122"/>
      <c r="B3274" s="133"/>
      <c r="C3274" s="120"/>
      <c r="D3274" s="120"/>
      <c r="E3274" s="120"/>
      <c r="F3274" s="120"/>
      <c r="G3274" s="120"/>
      <c r="H3274" s="120"/>
      <c r="I3274" s="121"/>
      <c r="J3274" s="121"/>
      <c r="K3274" s="117"/>
    </row>
    <row r="3275" ht="15.75" customHeight="1">
      <c r="A3275" s="122"/>
      <c r="B3275" s="133"/>
      <c r="C3275" s="120"/>
      <c r="D3275" s="120"/>
      <c r="E3275" s="120"/>
      <c r="F3275" s="120"/>
      <c r="G3275" s="120"/>
      <c r="H3275" s="120"/>
      <c r="I3275" s="121"/>
      <c r="J3275" s="121"/>
      <c r="K3275" s="117"/>
    </row>
    <row r="3276" ht="15.75" customHeight="1">
      <c r="A3276" s="122"/>
      <c r="B3276" s="133"/>
      <c r="C3276" s="120"/>
      <c r="D3276" s="120"/>
      <c r="E3276" s="120"/>
      <c r="F3276" s="120"/>
      <c r="G3276" s="120"/>
      <c r="H3276" s="120"/>
      <c r="I3276" s="121"/>
      <c r="J3276" s="121"/>
      <c r="K3276" s="117"/>
    </row>
    <row r="3277" ht="15.75" customHeight="1">
      <c r="A3277" s="122"/>
      <c r="B3277" s="133"/>
      <c r="C3277" s="120"/>
      <c r="D3277" s="120"/>
      <c r="E3277" s="120"/>
      <c r="F3277" s="120"/>
      <c r="G3277" s="120"/>
      <c r="H3277" s="120"/>
      <c r="I3277" s="121"/>
      <c r="J3277" s="121"/>
      <c r="K3277" s="117"/>
    </row>
    <row r="3278" ht="15.75" customHeight="1">
      <c r="A3278" s="122"/>
      <c r="B3278" s="133"/>
      <c r="C3278" s="120"/>
      <c r="D3278" s="120"/>
      <c r="E3278" s="120"/>
      <c r="F3278" s="120"/>
      <c r="G3278" s="120"/>
      <c r="H3278" s="120"/>
      <c r="I3278" s="121"/>
      <c r="J3278" s="121"/>
      <c r="K3278" s="117"/>
    </row>
    <row r="3279" ht="15.75" customHeight="1">
      <c r="A3279" s="122"/>
      <c r="B3279" s="133"/>
      <c r="C3279" s="120"/>
      <c r="D3279" s="120"/>
      <c r="E3279" s="120"/>
      <c r="F3279" s="120"/>
      <c r="G3279" s="120"/>
      <c r="H3279" s="120"/>
      <c r="I3279" s="121"/>
      <c r="J3279" s="121"/>
      <c r="K3279" s="117"/>
    </row>
    <row r="3280" ht="15.75" customHeight="1">
      <c r="A3280" s="122"/>
      <c r="B3280" s="133"/>
      <c r="C3280" s="120"/>
      <c r="D3280" s="120"/>
      <c r="E3280" s="120"/>
      <c r="F3280" s="120"/>
      <c r="G3280" s="120"/>
      <c r="H3280" s="120"/>
      <c r="I3280" s="121"/>
      <c r="J3280" s="121"/>
      <c r="K3280" s="117"/>
    </row>
    <row r="3281" ht="15.75" customHeight="1">
      <c r="A3281" s="122"/>
      <c r="B3281" s="133"/>
      <c r="C3281" s="120"/>
      <c r="D3281" s="120"/>
      <c r="E3281" s="120"/>
      <c r="F3281" s="120"/>
      <c r="G3281" s="120"/>
      <c r="H3281" s="120"/>
      <c r="I3281" s="121"/>
      <c r="J3281" s="121"/>
      <c r="K3281" s="117"/>
    </row>
    <row r="3282" ht="15.75" customHeight="1">
      <c r="A3282" s="122"/>
      <c r="B3282" s="133"/>
      <c r="C3282" s="120"/>
      <c r="D3282" s="120"/>
      <c r="E3282" s="120"/>
      <c r="F3282" s="120"/>
      <c r="G3282" s="120"/>
      <c r="H3282" s="120"/>
      <c r="I3282" s="121"/>
      <c r="J3282" s="121"/>
      <c r="K3282" s="117"/>
    </row>
    <row r="3283" ht="15.75" customHeight="1">
      <c r="A3283" s="122"/>
      <c r="B3283" s="133"/>
      <c r="C3283" s="120"/>
      <c r="D3283" s="120"/>
      <c r="E3283" s="120"/>
      <c r="F3283" s="120"/>
      <c r="G3283" s="120"/>
      <c r="H3283" s="120"/>
      <c r="I3283" s="121"/>
      <c r="J3283" s="121"/>
      <c r="K3283" s="117"/>
    </row>
    <row r="3284" ht="15.75" customHeight="1">
      <c r="A3284" s="122"/>
      <c r="B3284" s="133"/>
      <c r="C3284" s="120"/>
      <c r="D3284" s="120"/>
      <c r="E3284" s="120"/>
      <c r="F3284" s="120"/>
      <c r="G3284" s="120"/>
      <c r="H3284" s="120"/>
      <c r="I3284" s="121"/>
      <c r="J3284" s="121"/>
      <c r="K3284" s="117"/>
    </row>
    <row r="3285" ht="15.75" customHeight="1">
      <c r="A3285" s="122"/>
      <c r="B3285" s="133"/>
      <c r="C3285" s="120"/>
      <c r="D3285" s="120"/>
      <c r="E3285" s="120"/>
      <c r="F3285" s="120"/>
      <c r="G3285" s="120"/>
      <c r="H3285" s="120"/>
      <c r="I3285" s="121"/>
      <c r="J3285" s="121"/>
      <c r="K3285" s="117"/>
    </row>
    <row r="3286" ht="15.75" customHeight="1">
      <c r="A3286" s="122"/>
      <c r="B3286" s="133"/>
      <c r="C3286" s="120"/>
      <c r="D3286" s="120"/>
      <c r="E3286" s="120"/>
      <c r="F3286" s="120"/>
      <c r="G3286" s="120"/>
      <c r="H3286" s="120"/>
      <c r="I3286" s="121"/>
      <c r="J3286" s="121"/>
      <c r="K3286" s="117"/>
    </row>
    <row r="3287" ht="15.75" customHeight="1">
      <c r="A3287" s="122"/>
      <c r="B3287" s="133"/>
      <c r="C3287" s="120"/>
      <c r="D3287" s="120"/>
      <c r="E3287" s="120"/>
      <c r="F3287" s="120"/>
      <c r="G3287" s="120"/>
      <c r="H3287" s="120"/>
      <c r="I3287" s="121"/>
      <c r="J3287" s="121"/>
      <c r="K3287" s="117"/>
    </row>
    <row r="3288" ht="15.75" customHeight="1">
      <c r="A3288" s="122"/>
      <c r="B3288" s="133"/>
      <c r="C3288" s="120"/>
      <c r="D3288" s="120"/>
      <c r="E3288" s="120"/>
      <c r="F3288" s="120"/>
      <c r="G3288" s="120"/>
      <c r="H3288" s="120"/>
      <c r="I3288" s="121"/>
      <c r="J3288" s="121"/>
      <c r="K3288" s="117"/>
    </row>
    <row r="3289" ht="15.75" customHeight="1">
      <c r="A3289" s="122"/>
      <c r="B3289" s="133"/>
      <c r="C3289" s="120"/>
      <c r="D3289" s="120"/>
      <c r="E3289" s="120"/>
      <c r="F3289" s="120"/>
      <c r="G3289" s="120"/>
      <c r="H3289" s="120"/>
      <c r="I3289" s="121"/>
      <c r="J3289" s="121"/>
      <c r="K3289" s="117"/>
    </row>
    <row r="3290" ht="15.75" customHeight="1">
      <c r="A3290" s="122"/>
      <c r="B3290" s="133"/>
      <c r="C3290" s="120"/>
      <c r="D3290" s="120"/>
      <c r="E3290" s="120"/>
      <c r="F3290" s="120"/>
      <c r="G3290" s="120"/>
      <c r="H3290" s="120"/>
      <c r="I3290" s="121"/>
      <c r="J3290" s="121"/>
      <c r="K3290" s="117"/>
    </row>
    <row r="3291" ht="15.75" customHeight="1">
      <c r="A3291" s="122"/>
      <c r="B3291" s="133"/>
      <c r="C3291" s="120"/>
      <c r="D3291" s="120"/>
      <c r="E3291" s="120"/>
      <c r="F3291" s="120"/>
      <c r="G3291" s="120"/>
      <c r="H3291" s="120"/>
      <c r="I3291" s="121"/>
      <c r="J3291" s="121"/>
      <c r="K3291" s="117"/>
    </row>
    <row r="3292" ht="15.75" customHeight="1">
      <c r="A3292" s="122"/>
      <c r="B3292" s="133"/>
      <c r="C3292" s="120"/>
      <c r="D3292" s="120"/>
      <c r="E3292" s="120"/>
      <c r="F3292" s="120"/>
      <c r="G3292" s="120"/>
      <c r="H3292" s="120"/>
      <c r="I3292" s="121"/>
      <c r="J3292" s="121"/>
      <c r="K3292" s="117"/>
    </row>
    <row r="3293" ht="15.75" customHeight="1">
      <c r="A3293" s="122"/>
      <c r="B3293" s="133"/>
      <c r="C3293" s="120"/>
      <c r="D3293" s="120"/>
      <c r="E3293" s="120"/>
      <c r="F3293" s="120"/>
      <c r="G3293" s="120"/>
      <c r="H3293" s="120"/>
      <c r="I3293" s="121"/>
      <c r="J3293" s="121"/>
      <c r="K3293" s="117"/>
    </row>
    <row r="3294" ht="15.75" customHeight="1">
      <c r="A3294" s="122"/>
      <c r="B3294" s="133"/>
      <c r="C3294" s="120"/>
      <c r="D3294" s="120"/>
      <c r="E3294" s="120"/>
      <c r="F3294" s="120"/>
      <c r="G3294" s="120"/>
      <c r="H3294" s="120"/>
      <c r="I3294" s="121"/>
      <c r="J3294" s="121"/>
      <c r="K3294" s="117"/>
    </row>
    <row r="3295" ht="15.75" customHeight="1">
      <c r="A3295" s="122"/>
      <c r="B3295" s="133"/>
      <c r="C3295" s="120"/>
      <c r="D3295" s="120"/>
      <c r="E3295" s="120"/>
      <c r="F3295" s="120"/>
      <c r="G3295" s="120"/>
      <c r="H3295" s="120"/>
      <c r="I3295" s="121"/>
      <c r="J3295" s="121"/>
      <c r="K3295" s="117"/>
    </row>
    <row r="3296" ht="15.75" customHeight="1">
      <c r="A3296" s="122"/>
      <c r="B3296" s="133"/>
      <c r="C3296" s="120"/>
      <c r="D3296" s="120"/>
      <c r="E3296" s="120"/>
      <c r="F3296" s="120"/>
      <c r="G3296" s="120"/>
      <c r="H3296" s="120"/>
      <c r="I3296" s="121"/>
      <c r="J3296" s="121"/>
      <c r="K3296" s="117"/>
    </row>
    <row r="3297" ht="15.75" customHeight="1">
      <c r="A3297" s="122"/>
      <c r="B3297" s="133"/>
      <c r="C3297" s="120"/>
      <c r="D3297" s="120"/>
      <c r="E3297" s="120"/>
      <c r="F3297" s="120"/>
      <c r="G3297" s="120"/>
      <c r="H3297" s="120"/>
      <c r="I3297" s="121"/>
      <c r="J3297" s="121"/>
      <c r="K3297" s="117"/>
    </row>
    <row r="3298" ht="15.75" customHeight="1">
      <c r="A3298" s="122"/>
      <c r="B3298" s="133"/>
      <c r="C3298" s="120"/>
      <c r="D3298" s="120"/>
      <c r="E3298" s="120"/>
      <c r="F3298" s="120"/>
      <c r="G3298" s="120"/>
      <c r="H3298" s="120"/>
      <c r="I3298" s="121"/>
      <c r="J3298" s="121"/>
      <c r="K3298" s="117"/>
    </row>
    <row r="3299" ht="15.75" customHeight="1">
      <c r="A3299" s="122"/>
      <c r="B3299" s="133"/>
      <c r="C3299" s="120"/>
      <c r="D3299" s="120"/>
      <c r="E3299" s="120"/>
      <c r="F3299" s="120"/>
      <c r="G3299" s="120"/>
      <c r="H3299" s="120"/>
      <c r="I3299" s="121"/>
      <c r="J3299" s="121"/>
      <c r="K3299" s="117"/>
    </row>
    <row r="3300" ht="15.75" customHeight="1">
      <c r="A3300" s="122"/>
      <c r="B3300" s="133"/>
      <c r="C3300" s="120"/>
      <c r="D3300" s="120"/>
      <c r="E3300" s="120"/>
      <c r="F3300" s="120"/>
      <c r="G3300" s="120"/>
      <c r="H3300" s="120"/>
      <c r="I3300" s="121"/>
      <c r="J3300" s="121"/>
      <c r="K3300" s="117"/>
    </row>
    <row r="3301" ht="15.75" customHeight="1">
      <c r="A3301" s="122"/>
      <c r="B3301" s="133"/>
      <c r="C3301" s="120"/>
      <c r="D3301" s="120"/>
      <c r="E3301" s="120"/>
      <c r="F3301" s="120"/>
      <c r="G3301" s="120"/>
      <c r="H3301" s="120"/>
      <c r="I3301" s="121"/>
      <c r="J3301" s="121"/>
      <c r="K3301" s="117"/>
    </row>
    <row r="3302" ht="15.75" customHeight="1">
      <c r="A3302" s="122"/>
      <c r="B3302" s="133"/>
      <c r="C3302" s="120"/>
      <c r="D3302" s="120"/>
      <c r="E3302" s="120"/>
      <c r="F3302" s="120"/>
      <c r="G3302" s="120"/>
      <c r="H3302" s="120"/>
      <c r="I3302" s="121"/>
      <c r="J3302" s="121"/>
      <c r="K3302" s="117"/>
    </row>
    <row r="3303" ht="15.75" customHeight="1">
      <c r="A3303" s="122"/>
      <c r="B3303" s="133"/>
      <c r="C3303" s="120"/>
      <c r="D3303" s="120"/>
      <c r="E3303" s="120"/>
      <c r="F3303" s="120"/>
      <c r="G3303" s="120"/>
      <c r="H3303" s="120"/>
      <c r="I3303" s="121"/>
      <c r="J3303" s="121"/>
      <c r="K3303" s="117"/>
    </row>
    <row r="3304" ht="15.75" customHeight="1">
      <c r="A3304" s="122"/>
      <c r="B3304" s="133"/>
      <c r="C3304" s="120"/>
      <c r="D3304" s="120"/>
      <c r="E3304" s="120"/>
      <c r="F3304" s="120"/>
      <c r="G3304" s="120"/>
      <c r="H3304" s="120"/>
      <c r="I3304" s="121"/>
      <c r="J3304" s="121"/>
      <c r="K3304" s="117"/>
    </row>
    <row r="3305" ht="15.75" customHeight="1">
      <c r="A3305" s="122"/>
      <c r="B3305" s="133"/>
      <c r="C3305" s="120"/>
      <c r="D3305" s="120"/>
      <c r="E3305" s="120"/>
      <c r="F3305" s="120"/>
      <c r="G3305" s="120"/>
      <c r="H3305" s="120"/>
      <c r="I3305" s="121"/>
      <c r="J3305" s="121"/>
      <c r="K3305" s="117"/>
    </row>
    <row r="3306" ht="15.75" customHeight="1">
      <c r="A3306" s="122"/>
      <c r="B3306" s="133"/>
      <c r="C3306" s="120"/>
      <c r="D3306" s="120"/>
      <c r="E3306" s="120"/>
      <c r="F3306" s="120"/>
      <c r="G3306" s="120"/>
      <c r="H3306" s="120"/>
      <c r="I3306" s="121"/>
      <c r="J3306" s="121"/>
      <c r="K3306" s="117"/>
    </row>
    <row r="3307" ht="15.75" customHeight="1">
      <c r="A3307" s="122"/>
      <c r="B3307" s="133"/>
      <c r="C3307" s="120"/>
      <c r="D3307" s="120"/>
      <c r="E3307" s="120"/>
      <c r="F3307" s="120"/>
      <c r="G3307" s="120"/>
      <c r="H3307" s="120"/>
      <c r="I3307" s="121"/>
      <c r="J3307" s="121"/>
      <c r="K3307" s="117"/>
    </row>
    <row r="3308" ht="15.75" customHeight="1">
      <c r="A3308" s="122"/>
      <c r="B3308" s="133"/>
      <c r="C3308" s="120"/>
      <c r="D3308" s="120"/>
      <c r="E3308" s="120"/>
      <c r="F3308" s="120"/>
      <c r="G3308" s="120"/>
      <c r="H3308" s="120"/>
      <c r="I3308" s="121"/>
      <c r="J3308" s="121"/>
      <c r="K3308" s="117"/>
    </row>
    <row r="3309" ht="15.75" customHeight="1">
      <c r="A3309" s="122"/>
      <c r="B3309" s="133"/>
      <c r="C3309" s="120"/>
      <c r="D3309" s="120"/>
      <c r="E3309" s="120"/>
      <c r="F3309" s="120"/>
      <c r="G3309" s="120"/>
      <c r="H3309" s="120"/>
      <c r="I3309" s="121"/>
      <c r="J3309" s="121"/>
      <c r="K3309" s="117"/>
    </row>
    <row r="3310" ht="15.75" customHeight="1">
      <c r="A3310" s="122"/>
      <c r="B3310" s="133"/>
      <c r="C3310" s="120"/>
      <c r="D3310" s="120"/>
      <c r="E3310" s="120"/>
      <c r="F3310" s="120"/>
      <c r="G3310" s="120"/>
      <c r="H3310" s="120"/>
      <c r="I3310" s="121"/>
      <c r="J3310" s="121"/>
      <c r="K3310" s="117"/>
    </row>
    <row r="3311" ht="15.75" customHeight="1">
      <c r="A3311" s="122"/>
      <c r="B3311" s="133"/>
      <c r="C3311" s="120"/>
      <c r="D3311" s="120"/>
      <c r="E3311" s="120"/>
      <c r="F3311" s="120"/>
      <c r="G3311" s="120"/>
      <c r="H3311" s="120"/>
      <c r="I3311" s="121"/>
      <c r="J3311" s="121"/>
      <c r="K3311" s="117"/>
    </row>
    <row r="3312" ht="15.75" customHeight="1">
      <c r="A3312" s="122"/>
      <c r="B3312" s="133"/>
      <c r="C3312" s="120"/>
      <c r="D3312" s="120"/>
      <c r="E3312" s="120"/>
      <c r="F3312" s="120"/>
      <c r="G3312" s="120"/>
      <c r="H3312" s="120"/>
      <c r="I3312" s="121"/>
      <c r="J3312" s="121"/>
      <c r="K3312" s="117"/>
    </row>
    <row r="3313" ht="15.75" customHeight="1">
      <c r="A3313" s="122"/>
      <c r="B3313" s="133"/>
      <c r="C3313" s="120"/>
      <c r="D3313" s="120"/>
      <c r="E3313" s="120"/>
      <c r="F3313" s="120"/>
      <c r="G3313" s="120"/>
      <c r="H3313" s="120"/>
      <c r="I3313" s="121"/>
      <c r="J3313" s="121"/>
      <c r="K3313" s="117"/>
    </row>
    <row r="3314" ht="15.75" customHeight="1">
      <c r="A3314" s="122"/>
      <c r="B3314" s="133"/>
      <c r="C3314" s="120"/>
      <c r="D3314" s="120"/>
      <c r="E3314" s="120"/>
      <c r="F3314" s="120"/>
      <c r="G3314" s="120"/>
      <c r="H3314" s="120"/>
      <c r="I3314" s="121"/>
      <c r="J3314" s="121"/>
      <c r="K3314" s="117"/>
    </row>
    <row r="3315" ht="15.75" customHeight="1">
      <c r="A3315" s="122"/>
      <c r="B3315" s="133"/>
      <c r="C3315" s="120"/>
      <c r="D3315" s="120"/>
      <c r="E3315" s="120"/>
      <c r="F3315" s="120"/>
      <c r="G3315" s="120"/>
      <c r="H3315" s="120"/>
      <c r="I3315" s="121"/>
      <c r="J3315" s="121"/>
      <c r="K3315" s="117"/>
    </row>
    <row r="3316" ht="15.75" customHeight="1">
      <c r="A3316" s="122"/>
      <c r="B3316" s="133"/>
      <c r="C3316" s="120"/>
      <c r="D3316" s="120"/>
      <c r="E3316" s="120"/>
      <c r="F3316" s="120"/>
      <c r="G3316" s="120"/>
      <c r="H3316" s="120"/>
      <c r="I3316" s="121"/>
      <c r="J3316" s="121"/>
      <c r="K3316" s="117"/>
    </row>
    <row r="3317" ht="15.75" customHeight="1">
      <c r="A3317" s="122"/>
      <c r="B3317" s="133"/>
      <c r="C3317" s="120"/>
      <c r="D3317" s="120"/>
      <c r="E3317" s="120"/>
      <c r="F3317" s="120"/>
      <c r="G3317" s="120"/>
      <c r="H3317" s="120"/>
      <c r="I3317" s="121"/>
      <c r="J3317" s="121"/>
      <c r="K3317" s="117"/>
    </row>
    <row r="3318" ht="15.75" customHeight="1">
      <c r="A3318" s="122"/>
      <c r="B3318" s="133"/>
      <c r="C3318" s="120"/>
      <c r="D3318" s="120"/>
      <c r="E3318" s="120"/>
      <c r="F3318" s="120"/>
      <c r="G3318" s="120"/>
      <c r="H3318" s="120"/>
      <c r="I3318" s="121"/>
      <c r="J3318" s="121"/>
      <c r="K3318" s="117"/>
    </row>
    <row r="3319" ht="15.75" customHeight="1">
      <c r="A3319" s="122"/>
      <c r="B3319" s="133"/>
      <c r="C3319" s="120"/>
      <c r="D3319" s="120"/>
      <c r="E3319" s="120"/>
      <c r="F3319" s="120"/>
      <c r="G3319" s="120"/>
      <c r="H3319" s="120"/>
      <c r="I3319" s="121"/>
      <c r="J3319" s="121"/>
      <c r="K3319" s="117"/>
    </row>
    <row r="3320" ht="15.75" customHeight="1">
      <c r="A3320" s="122"/>
      <c r="B3320" s="133"/>
      <c r="C3320" s="120"/>
      <c r="D3320" s="120"/>
      <c r="E3320" s="120"/>
      <c r="F3320" s="120"/>
      <c r="G3320" s="120"/>
      <c r="H3320" s="120"/>
      <c r="I3320" s="121"/>
      <c r="J3320" s="121"/>
      <c r="K3320" s="117"/>
    </row>
    <row r="3321" ht="15.75" customHeight="1">
      <c r="A3321" s="122"/>
      <c r="B3321" s="133"/>
      <c r="C3321" s="120"/>
      <c r="D3321" s="120"/>
      <c r="E3321" s="120"/>
      <c r="F3321" s="120"/>
      <c r="G3321" s="120"/>
      <c r="H3321" s="120"/>
      <c r="I3321" s="121"/>
      <c r="J3321" s="121"/>
      <c r="K3321" s="117"/>
    </row>
    <row r="3322" ht="15.75" customHeight="1">
      <c r="A3322" s="122"/>
      <c r="B3322" s="133"/>
      <c r="C3322" s="120"/>
      <c r="D3322" s="120"/>
      <c r="E3322" s="120"/>
      <c r="F3322" s="120"/>
      <c r="G3322" s="120"/>
      <c r="H3322" s="120"/>
      <c r="I3322" s="121"/>
      <c r="J3322" s="121"/>
      <c r="K3322" s="117"/>
    </row>
    <row r="3323" ht="15.75" customHeight="1">
      <c r="A3323" s="122"/>
      <c r="B3323" s="133"/>
      <c r="C3323" s="120"/>
      <c r="D3323" s="120"/>
      <c r="E3323" s="120"/>
      <c r="F3323" s="120"/>
      <c r="G3323" s="120"/>
      <c r="H3323" s="120"/>
      <c r="I3323" s="121"/>
      <c r="J3323" s="121"/>
      <c r="K3323" s="117"/>
    </row>
    <row r="3324" ht="15.75" customHeight="1">
      <c r="A3324" s="122"/>
      <c r="B3324" s="133"/>
      <c r="C3324" s="120"/>
      <c r="D3324" s="120"/>
      <c r="E3324" s="120"/>
      <c r="F3324" s="120"/>
      <c r="G3324" s="120"/>
      <c r="H3324" s="120"/>
      <c r="I3324" s="121"/>
      <c r="J3324" s="121"/>
      <c r="K3324" s="117"/>
    </row>
    <row r="3325" ht="15.75" customHeight="1">
      <c r="A3325" s="122"/>
      <c r="B3325" s="133"/>
      <c r="C3325" s="120"/>
      <c r="D3325" s="120"/>
      <c r="E3325" s="120"/>
      <c r="F3325" s="120"/>
      <c r="G3325" s="120"/>
      <c r="H3325" s="120"/>
      <c r="I3325" s="121"/>
      <c r="J3325" s="121"/>
      <c r="K3325" s="117"/>
    </row>
    <row r="3326" ht="15.75" customHeight="1">
      <c r="A3326" s="122"/>
      <c r="B3326" s="133"/>
      <c r="C3326" s="120"/>
      <c r="D3326" s="120"/>
      <c r="E3326" s="120"/>
      <c r="F3326" s="120"/>
      <c r="G3326" s="120"/>
      <c r="H3326" s="120"/>
      <c r="I3326" s="121"/>
      <c r="J3326" s="121"/>
      <c r="K3326" s="117"/>
    </row>
    <row r="3327" ht="15.75" customHeight="1">
      <c r="A3327" s="122"/>
      <c r="B3327" s="133"/>
      <c r="C3327" s="120"/>
      <c r="D3327" s="120"/>
      <c r="E3327" s="120"/>
      <c r="F3327" s="120"/>
      <c r="G3327" s="120"/>
      <c r="H3327" s="120"/>
      <c r="I3327" s="121"/>
      <c r="J3327" s="121"/>
      <c r="K3327" s="117"/>
    </row>
    <row r="3328" ht="15.75" customHeight="1">
      <c r="A3328" s="122"/>
      <c r="B3328" s="133"/>
      <c r="C3328" s="120"/>
      <c r="D3328" s="120"/>
      <c r="E3328" s="120"/>
      <c r="F3328" s="120"/>
      <c r="G3328" s="120"/>
      <c r="H3328" s="120"/>
      <c r="I3328" s="121"/>
      <c r="J3328" s="121"/>
      <c r="K3328" s="117"/>
    </row>
    <row r="3329" ht="15.75" customHeight="1">
      <c r="A3329" s="122"/>
      <c r="B3329" s="133"/>
      <c r="C3329" s="120"/>
      <c r="D3329" s="120"/>
      <c r="E3329" s="120"/>
      <c r="F3329" s="120"/>
      <c r="G3329" s="120"/>
      <c r="H3329" s="120"/>
      <c r="I3329" s="121"/>
      <c r="J3329" s="121"/>
      <c r="K3329" s="117"/>
    </row>
    <row r="3330" ht="15.75" customHeight="1">
      <c r="A3330" s="122"/>
      <c r="B3330" s="133"/>
      <c r="C3330" s="120"/>
      <c r="D3330" s="120"/>
      <c r="E3330" s="120"/>
      <c r="F3330" s="120"/>
      <c r="G3330" s="120"/>
      <c r="H3330" s="120"/>
      <c r="I3330" s="121"/>
      <c r="J3330" s="121"/>
      <c r="K3330" s="117"/>
    </row>
    <row r="3331" ht="15.75" customHeight="1">
      <c r="A3331" s="122"/>
      <c r="B3331" s="133"/>
      <c r="C3331" s="120"/>
      <c r="D3331" s="120"/>
      <c r="E3331" s="120"/>
      <c r="F3331" s="120"/>
      <c r="G3331" s="120"/>
      <c r="H3331" s="120"/>
      <c r="I3331" s="121"/>
      <c r="J3331" s="121"/>
      <c r="K3331" s="117"/>
    </row>
    <row r="3332" ht="15.75" customHeight="1">
      <c r="A3332" s="122"/>
      <c r="B3332" s="133"/>
      <c r="C3332" s="120"/>
      <c r="D3332" s="120"/>
      <c r="E3332" s="120"/>
      <c r="F3332" s="120"/>
      <c r="G3332" s="120"/>
      <c r="H3332" s="120"/>
      <c r="I3332" s="121"/>
      <c r="J3332" s="121"/>
      <c r="K3332" s="117"/>
    </row>
    <row r="3333" ht="15.75" customHeight="1">
      <c r="A3333" s="122"/>
      <c r="B3333" s="133"/>
      <c r="C3333" s="120"/>
      <c r="D3333" s="120"/>
      <c r="E3333" s="120"/>
      <c r="F3333" s="120"/>
      <c r="G3333" s="120"/>
      <c r="H3333" s="120"/>
      <c r="I3333" s="121"/>
      <c r="J3333" s="121"/>
      <c r="K3333" s="117"/>
    </row>
    <row r="3334" ht="15.75" customHeight="1">
      <c r="A3334" s="122"/>
      <c r="B3334" s="133"/>
      <c r="C3334" s="120"/>
      <c r="D3334" s="120"/>
      <c r="E3334" s="120"/>
      <c r="F3334" s="120"/>
      <c r="G3334" s="120"/>
      <c r="H3334" s="120"/>
      <c r="I3334" s="121"/>
      <c r="J3334" s="121"/>
      <c r="K3334" s="117"/>
    </row>
    <row r="3335" ht="15.75" customHeight="1">
      <c r="A3335" s="122"/>
      <c r="B3335" s="133"/>
      <c r="C3335" s="120"/>
      <c r="D3335" s="120"/>
      <c r="E3335" s="120"/>
      <c r="F3335" s="120"/>
      <c r="G3335" s="120"/>
      <c r="H3335" s="120"/>
      <c r="I3335" s="121"/>
      <c r="J3335" s="121"/>
      <c r="K3335" s="117"/>
    </row>
    <row r="3336" ht="15.75" customHeight="1">
      <c r="A3336" s="122"/>
      <c r="B3336" s="133"/>
      <c r="C3336" s="120"/>
      <c r="D3336" s="120"/>
      <c r="E3336" s="120"/>
      <c r="F3336" s="120"/>
      <c r="G3336" s="120"/>
      <c r="H3336" s="120"/>
      <c r="I3336" s="121"/>
      <c r="J3336" s="121"/>
      <c r="K3336" s="117"/>
    </row>
    <row r="3337" ht="15.75" customHeight="1">
      <c r="A3337" s="122"/>
      <c r="B3337" s="133"/>
      <c r="C3337" s="120"/>
      <c r="D3337" s="120"/>
      <c r="E3337" s="120"/>
      <c r="F3337" s="120"/>
      <c r="G3337" s="120"/>
      <c r="H3337" s="120"/>
      <c r="I3337" s="121"/>
      <c r="J3337" s="121"/>
      <c r="K3337" s="117"/>
    </row>
    <row r="3338" ht="15.75" customHeight="1">
      <c r="A3338" s="122"/>
      <c r="B3338" s="133"/>
      <c r="C3338" s="120"/>
      <c r="D3338" s="120"/>
      <c r="E3338" s="120"/>
      <c r="F3338" s="120"/>
      <c r="G3338" s="120"/>
      <c r="H3338" s="120"/>
      <c r="I3338" s="121"/>
      <c r="J3338" s="121"/>
      <c r="K3338" s="117"/>
    </row>
    <row r="3339" ht="15.75" customHeight="1">
      <c r="A3339" s="122"/>
      <c r="B3339" s="133"/>
      <c r="C3339" s="120"/>
      <c r="D3339" s="120"/>
      <c r="E3339" s="120"/>
      <c r="F3339" s="120"/>
      <c r="G3339" s="120"/>
      <c r="H3339" s="120"/>
      <c r="I3339" s="121"/>
      <c r="J3339" s="121"/>
      <c r="K3339" s="117"/>
    </row>
    <row r="3340" ht="15.75" customHeight="1">
      <c r="A3340" s="122"/>
      <c r="B3340" s="133"/>
      <c r="C3340" s="120"/>
      <c r="D3340" s="120"/>
      <c r="E3340" s="120"/>
      <c r="F3340" s="120"/>
      <c r="G3340" s="120"/>
      <c r="H3340" s="120"/>
      <c r="I3340" s="121"/>
      <c r="J3340" s="121"/>
      <c r="K3340" s="117"/>
    </row>
    <row r="3341" ht="15.75" customHeight="1">
      <c r="A3341" s="122"/>
      <c r="B3341" s="133"/>
      <c r="C3341" s="120"/>
      <c r="D3341" s="120"/>
      <c r="E3341" s="120"/>
      <c r="F3341" s="120"/>
      <c r="G3341" s="120"/>
      <c r="H3341" s="120"/>
      <c r="I3341" s="121"/>
      <c r="J3341" s="121"/>
      <c r="K3341" s="117"/>
    </row>
    <row r="3342" ht="15.75" customHeight="1">
      <c r="A3342" s="122"/>
      <c r="B3342" s="133"/>
      <c r="C3342" s="120"/>
      <c r="D3342" s="120"/>
      <c r="E3342" s="120"/>
      <c r="F3342" s="120"/>
      <c r="G3342" s="120"/>
      <c r="H3342" s="120"/>
      <c r="I3342" s="121"/>
      <c r="J3342" s="121"/>
      <c r="K3342" s="117"/>
    </row>
    <row r="3343" ht="15.75" customHeight="1">
      <c r="A3343" s="122"/>
      <c r="B3343" s="133"/>
      <c r="C3343" s="120"/>
      <c r="D3343" s="120"/>
      <c r="E3343" s="120"/>
      <c r="F3343" s="120"/>
      <c r="G3343" s="120"/>
      <c r="H3343" s="120"/>
      <c r="I3343" s="121"/>
      <c r="J3343" s="121"/>
      <c r="K3343" s="117"/>
    </row>
    <row r="3344" ht="15.75" customHeight="1">
      <c r="A3344" s="122"/>
      <c r="B3344" s="133"/>
      <c r="C3344" s="120"/>
      <c r="D3344" s="120"/>
      <c r="E3344" s="120"/>
      <c r="F3344" s="120"/>
      <c r="G3344" s="120"/>
      <c r="H3344" s="120"/>
      <c r="I3344" s="121"/>
      <c r="J3344" s="121"/>
      <c r="K3344" s="117"/>
    </row>
    <row r="3345" ht="15.75" customHeight="1">
      <c r="A3345" s="122"/>
      <c r="B3345" s="133"/>
      <c r="C3345" s="120"/>
      <c r="D3345" s="120"/>
      <c r="E3345" s="120"/>
      <c r="F3345" s="120"/>
      <c r="G3345" s="120"/>
      <c r="H3345" s="120"/>
      <c r="I3345" s="121"/>
      <c r="J3345" s="121"/>
      <c r="K3345" s="117"/>
    </row>
    <row r="3346" ht="15.75" customHeight="1">
      <c r="A3346" s="122"/>
      <c r="B3346" s="133"/>
      <c r="C3346" s="120"/>
      <c r="D3346" s="120"/>
      <c r="E3346" s="120"/>
      <c r="F3346" s="120"/>
      <c r="G3346" s="120"/>
      <c r="H3346" s="120"/>
      <c r="I3346" s="121"/>
      <c r="J3346" s="121"/>
      <c r="K3346" s="117"/>
    </row>
    <row r="3347" ht="15.75" customHeight="1">
      <c r="A3347" s="122"/>
      <c r="B3347" s="133"/>
      <c r="C3347" s="120"/>
      <c r="D3347" s="120"/>
      <c r="E3347" s="120"/>
      <c r="F3347" s="120"/>
      <c r="G3347" s="120"/>
      <c r="H3347" s="120"/>
      <c r="I3347" s="121"/>
      <c r="J3347" s="121"/>
      <c r="K3347" s="117"/>
    </row>
    <row r="3348" ht="15.75" customHeight="1">
      <c r="A3348" s="122"/>
      <c r="B3348" s="133"/>
      <c r="C3348" s="120"/>
      <c r="D3348" s="120"/>
      <c r="E3348" s="120"/>
      <c r="F3348" s="120"/>
      <c r="G3348" s="120"/>
      <c r="H3348" s="120"/>
      <c r="I3348" s="121"/>
      <c r="J3348" s="121"/>
      <c r="K3348" s="117"/>
    </row>
    <row r="3349" ht="15.75" customHeight="1">
      <c r="A3349" s="122"/>
      <c r="B3349" s="133"/>
      <c r="C3349" s="120"/>
      <c r="D3349" s="120"/>
      <c r="E3349" s="120"/>
      <c r="F3349" s="120"/>
      <c r="G3349" s="120"/>
      <c r="H3349" s="120"/>
      <c r="I3349" s="121"/>
      <c r="J3349" s="121"/>
      <c r="K3349" s="117"/>
    </row>
    <row r="3350" ht="15.75" customHeight="1">
      <c r="A3350" s="122"/>
      <c r="B3350" s="133"/>
      <c r="C3350" s="120"/>
      <c r="D3350" s="120"/>
      <c r="E3350" s="120"/>
      <c r="F3350" s="120"/>
      <c r="G3350" s="120"/>
      <c r="H3350" s="120"/>
      <c r="I3350" s="121"/>
      <c r="J3350" s="121"/>
      <c r="K3350" s="117"/>
    </row>
    <row r="3351" ht="15.75" customHeight="1">
      <c r="A3351" s="122"/>
      <c r="B3351" s="133"/>
      <c r="C3351" s="120"/>
      <c r="D3351" s="120"/>
      <c r="E3351" s="120"/>
      <c r="F3351" s="120"/>
      <c r="G3351" s="120"/>
      <c r="H3351" s="120"/>
      <c r="I3351" s="121"/>
      <c r="J3351" s="121"/>
      <c r="K3351" s="117"/>
    </row>
    <row r="3352" ht="15.75" customHeight="1">
      <c r="A3352" s="122"/>
      <c r="B3352" s="133"/>
      <c r="C3352" s="120"/>
      <c r="D3352" s="120"/>
      <c r="E3352" s="120"/>
      <c r="F3352" s="120"/>
      <c r="G3352" s="120"/>
      <c r="H3352" s="120"/>
      <c r="I3352" s="121"/>
      <c r="J3352" s="121"/>
      <c r="K3352" s="117"/>
    </row>
    <row r="3353" ht="15.75" customHeight="1">
      <c r="A3353" s="122"/>
      <c r="B3353" s="133"/>
      <c r="C3353" s="120"/>
      <c r="D3353" s="120"/>
      <c r="E3353" s="120"/>
      <c r="F3353" s="120"/>
      <c r="G3353" s="120"/>
      <c r="H3353" s="120"/>
      <c r="I3353" s="121"/>
      <c r="J3353" s="121"/>
      <c r="K3353" s="117"/>
    </row>
    <row r="3354" ht="15.75" customHeight="1">
      <c r="A3354" s="122"/>
      <c r="B3354" s="133"/>
      <c r="C3354" s="120"/>
      <c r="D3354" s="120"/>
      <c r="E3354" s="120"/>
      <c r="F3354" s="120"/>
      <c r="G3354" s="120"/>
      <c r="H3354" s="120"/>
      <c r="I3354" s="121"/>
      <c r="J3354" s="121"/>
      <c r="K3354" s="117"/>
    </row>
    <row r="3355" ht="15.75" customHeight="1">
      <c r="A3355" s="122"/>
      <c r="B3355" s="133"/>
      <c r="C3355" s="120"/>
      <c r="D3355" s="120"/>
      <c r="E3355" s="120"/>
      <c r="F3355" s="120"/>
      <c r="G3355" s="120"/>
      <c r="H3355" s="120"/>
      <c r="I3355" s="121"/>
      <c r="J3355" s="121"/>
      <c r="K3355" s="117"/>
    </row>
    <row r="3356" ht="15.75" customHeight="1">
      <c r="A3356" s="122"/>
      <c r="B3356" s="133"/>
      <c r="C3356" s="120"/>
      <c r="D3356" s="120"/>
      <c r="E3356" s="120"/>
      <c r="F3356" s="120"/>
      <c r="G3356" s="120"/>
      <c r="H3356" s="120"/>
      <c r="I3356" s="121"/>
      <c r="J3356" s="121"/>
      <c r="K3356" s="117"/>
    </row>
    <row r="3357" ht="15.75" customHeight="1">
      <c r="A3357" s="122"/>
      <c r="B3357" s="133"/>
      <c r="C3357" s="120"/>
      <c r="D3357" s="120"/>
      <c r="E3357" s="120"/>
      <c r="F3357" s="120"/>
      <c r="G3357" s="120"/>
      <c r="H3357" s="120"/>
      <c r="I3357" s="121"/>
      <c r="J3357" s="121"/>
      <c r="K3357" s="117"/>
    </row>
    <row r="3358" ht="15.75" customHeight="1">
      <c r="A3358" s="122"/>
      <c r="B3358" s="133"/>
      <c r="C3358" s="120"/>
      <c r="D3358" s="120"/>
      <c r="E3358" s="120"/>
      <c r="F3358" s="120"/>
      <c r="G3358" s="120"/>
      <c r="H3358" s="120"/>
      <c r="I3358" s="121"/>
      <c r="J3358" s="121"/>
      <c r="K3358" s="117"/>
    </row>
    <row r="3359" ht="15.75" customHeight="1">
      <c r="A3359" s="122"/>
      <c r="B3359" s="133"/>
      <c r="C3359" s="120"/>
      <c r="D3359" s="120"/>
      <c r="E3359" s="120"/>
      <c r="F3359" s="120"/>
      <c r="G3359" s="120"/>
      <c r="H3359" s="120"/>
      <c r="I3359" s="121"/>
      <c r="J3359" s="121"/>
      <c r="K3359" s="117"/>
    </row>
    <row r="3360" ht="15.75" customHeight="1">
      <c r="A3360" s="122"/>
      <c r="B3360" s="133"/>
      <c r="C3360" s="120"/>
      <c r="D3360" s="120"/>
      <c r="E3360" s="120"/>
      <c r="F3360" s="120"/>
      <c r="G3360" s="120"/>
      <c r="H3360" s="120"/>
      <c r="I3360" s="121"/>
      <c r="J3360" s="121"/>
      <c r="K3360" s="117"/>
    </row>
    <row r="3361" ht="15.75" customHeight="1">
      <c r="A3361" s="122"/>
      <c r="B3361" s="133"/>
      <c r="C3361" s="120"/>
      <c r="D3361" s="120"/>
      <c r="E3361" s="120"/>
      <c r="F3361" s="120"/>
      <c r="G3361" s="120"/>
      <c r="H3361" s="120"/>
      <c r="I3361" s="121"/>
      <c r="J3361" s="121"/>
      <c r="K3361" s="117"/>
    </row>
    <row r="3362" ht="15.75" customHeight="1">
      <c r="A3362" s="122"/>
      <c r="B3362" s="133"/>
      <c r="C3362" s="120"/>
      <c r="D3362" s="120"/>
      <c r="E3362" s="120"/>
      <c r="F3362" s="120"/>
      <c r="G3362" s="120"/>
      <c r="H3362" s="120"/>
      <c r="I3362" s="121"/>
      <c r="J3362" s="121"/>
      <c r="K3362" s="117"/>
    </row>
    <row r="3363" ht="15.75" customHeight="1">
      <c r="A3363" s="122"/>
      <c r="B3363" s="133"/>
      <c r="C3363" s="120"/>
      <c r="D3363" s="120"/>
      <c r="E3363" s="120"/>
      <c r="F3363" s="120"/>
      <c r="G3363" s="120"/>
      <c r="H3363" s="120"/>
      <c r="I3363" s="121"/>
      <c r="J3363" s="121"/>
      <c r="K3363" s="117"/>
    </row>
    <row r="3364" ht="15.75" customHeight="1">
      <c r="A3364" s="122"/>
      <c r="B3364" s="133"/>
      <c r="C3364" s="120"/>
      <c r="D3364" s="120"/>
      <c r="E3364" s="120"/>
      <c r="F3364" s="120"/>
      <c r="G3364" s="120"/>
      <c r="H3364" s="120"/>
      <c r="I3364" s="121"/>
      <c r="J3364" s="121"/>
      <c r="K3364" s="117"/>
    </row>
    <row r="3365" ht="15.75" customHeight="1">
      <c r="A3365" s="122"/>
      <c r="B3365" s="133"/>
      <c r="C3365" s="120"/>
      <c r="D3365" s="120"/>
      <c r="E3365" s="120"/>
      <c r="F3365" s="120"/>
      <c r="G3365" s="120"/>
      <c r="H3365" s="120"/>
      <c r="I3365" s="121"/>
      <c r="J3365" s="121"/>
      <c r="K3365" s="117"/>
    </row>
    <row r="3366" ht="15.75" customHeight="1">
      <c r="A3366" s="122"/>
      <c r="B3366" s="133"/>
      <c r="C3366" s="120"/>
      <c r="D3366" s="120"/>
      <c r="E3366" s="120"/>
      <c r="F3366" s="120"/>
      <c r="G3366" s="120"/>
      <c r="H3366" s="120"/>
      <c r="I3366" s="121"/>
      <c r="J3366" s="121"/>
      <c r="K3366" s="117"/>
    </row>
    <row r="3367" ht="15.75" customHeight="1">
      <c r="A3367" s="122"/>
      <c r="B3367" s="133"/>
      <c r="C3367" s="120"/>
      <c r="D3367" s="120"/>
      <c r="E3367" s="120"/>
      <c r="F3367" s="120"/>
      <c r="G3367" s="120"/>
      <c r="H3367" s="120"/>
      <c r="I3367" s="121"/>
      <c r="J3367" s="121"/>
      <c r="K3367" s="117"/>
    </row>
    <row r="3368" ht="15.75" customHeight="1">
      <c r="A3368" s="122"/>
      <c r="B3368" s="133"/>
      <c r="C3368" s="120"/>
      <c r="D3368" s="120"/>
      <c r="E3368" s="120"/>
      <c r="F3368" s="120"/>
      <c r="G3368" s="120"/>
      <c r="H3368" s="120"/>
      <c r="I3368" s="121"/>
      <c r="J3368" s="121"/>
      <c r="K3368" s="117"/>
    </row>
    <row r="3369" ht="15.75" customHeight="1">
      <c r="A3369" s="122"/>
      <c r="B3369" s="133"/>
      <c r="C3369" s="120"/>
      <c r="D3369" s="120"/>
      <c r="E3369" s="120"/>
      <c r="F3369" s="120"/>
      <c r="G3369" s="120"/>
      <c r="H3369" s="120"/>
      <c r="I3369" s="121"/>
      <c r="J3369" s="121"/>
      <c r="K3369" s="117"/>
    </row>
    <row r="3370" ht="15.75" customHeight="1">
      <c r="A3370" s="122"/>
      <c r="B3370" s="133"/>
      <c r="C3370" s="120"/>
      <c r="D3370" s="120"/>
      <c r="E3370" s="120"/>
      <c r="F3370" s="120"/>
      <c r="G3370" s="120"/>
      <c r="H3370" s="120"/>
      <c r="I3370" s="121"/>
      <c r="J3370" s="121"/>
      <c r="K3370" s="117"/>
    </row>
    <row r="3371" ht="15.75" customHeight="1">
      <c r="A3371" s="122"/>
      <c r="B3371" s="133"/>
      <c r="C3371" s="120"/>
      <c r="D3371" s="120"/>
      <c r="E3371" s="120"/>
      <c r="F3371" s="120"/>
      <c r="G3371" s="120"/>
      <c r="H3371" s="120"/>
      <c r="I3371" s="121"/>
      <c r="J3371" s="121"/>
      <c r="K3371" s="117"/>
    </row>
    <row r="3372" ht="15.75" customHeight="1">
      <c r="A3372" s="122"/>
      <c r="B3372" s="133"/>
      <c r="C3372" s="120"/>
      <c r="D3372" s="120"/>
      <c r="E3372" s="120"/>
      <c r="F3372" s="120"/>
      <c r="G3372" s="120"/>
      <c r="H3372" s="120"/>
      <c r="I3372" s="121"/>
      <c r="J3372" s="121"/>
      <c r="K3372" s="117"/>
    </row>
    <row r="3373" ht="15.75" customHeight="1">
      <c r="A3373" s="122"/>
      <c r="B3373" s="133"/>
      <c r="C3373" s="120"/>
      <c r="D3373" s="120"/>
      <c r="E3373" s="120"/>
      <c r="F3373" s="120"/>
      <c r="G3373" s="120"/>
      <c r="H3373" s="120"/>
      <c r="I3373" s="121"/>
      <c r="J3373" s="121"/>
      <c r="K3373" s="117"/>
    </row>
    <row r="3374" ht="15.75" customHeight="1">
      <c r="A3374" s="122"/>
      <c r="B3374" s="133"/>
      <c r="C3374" s="120"/>
      <c r="D3374" s="120"/>
      <c r="E3374" s="120"/>
      <c r="F3374" s="120"/>
      <c r="G3374" s="120"/>
      <c r="H3374" s="120"/>
      <c r="I3374" s="121"/>
      <c r="J3374" s="121"/>
      <c r="K3374" s="117"/>
    </row>
    <row r="3375" ht="15.75" customHeight="1">
      <c r="A3375" s="122"/>
      <c r="B3375" s="133"/>
      <c r="C3375" s="120"/>
      <c r="D3375" s="120"/>
      <c r="E3375" s="120"/>
      <c r="F3375" s="120"/>
      <c r="G3375" s="120"/>
      <c r="H3375" s="120"/>
      <c r="I3375" s="121"/>
      <c r="J3375" s="121"/>
      <c r="K3375" s="117"/>
    </row>
    <row r="3376" ht="15.75" customHeight="1">
      <c r="A3376" s="122"/>
      <c r="B3376" s="133"/>
      <c r="C3376" s="120"/>
      <c r="D3376" s="120"/>
      <c r="E3376" s="120"/>
      <c r="F3376" s="120"/>
      <c r="G3376" s="120"/>
      <c r="H3376" s="120"/>
      <c r="I3376" s="121"/>
      <c r="J3376" s="121"/>
      <c r="K3376" s="117"/>
    </row>
    <row r="3377" ht="15.75" customHeight="1">
      <c r="A3377" s="122"/>
      <c r="B3377" s="133"/>
      <c r="C3377" s="120"/>
      <c r="D3377" s="120"/>
      <c r="E3377" s="120"/>
      <c r="F3377" s="120"/>
      <c r="G3377" s="120"/>
      <c r="H3377" s="120"/>
      <c r="I3377" s="121"/>
      <c r="J3377" s="121"/>
      <c r="K3377" s="117"/>
    </row>
    <row r="3378" ht="15.75" customHeight="1">
      <c r="A3378" s="122"/>
      <c r="B3378" s="133"/>
      <c r="C3378" s="120"/>
      <c r="D3378" s="120"/>
      <c r="E3378" s="120"/>
      <c r="F3378" s="120"/>
      <c r="G3378" s="120"/>
      <c r="H3378" s="120"/>
      <c r="I3378" s="121"/>
      <c r="J3378" s="121"/>
      <c r="K3378" s="117"/>
    </row>
    <row r="3379" ht="15.75" customHeight="1">
      <c r="A3379" s="122"/>
      <c r="B3379" s="133"/>
      <c r="C3379" s="120"/>
      <c r="D3379" s="120"/>
      <c r="E3379" s="120"/>
      <c r="F3379" s="120"/>
      <c r="G3379" s="120"/>
      <c r="H3379" s="120"/>
      <c r="I3379" s="121"/>
      <c r="J3379" s="121"/>
      <c r="K3379" s="117"/>
    </row>
    <row r="3380" ht="15.75" customHeight="1">
      <c r="A3380" s="122"/>
      <c r="B3380" s="133"/>
      <c r="C3380" s="120"/>
      <c r="D3380" s="120"/>
      <c r="E3380" s="120"/>
      <c r="F3380" s="120"/>
      <c r="G3380" s="120"/>
      <c r="H3380" s="120"/>
      <c r="I3380" s="121"/>
      <c r="J3380" s="121"/>
      <c r="K3380" s="117"/>
    </row>
    <row r="3381" ht="15.75" customHeight="1">
      <c r="A3381" s="122"/>
      <c r="B3381" s="133"/>
      <c r="C3381" s="120"/>
      <c r="D3381" s="120"/>
      <c r="E3381" s="120"/>
      <c r="F3381" s="120"/>
      <c r="G3381" s="120"/>
      <c r="H3381" s="120"/>
      <c r="I3381" s="121"/>
      <c r="J3381" s="121"/>
      <c r="K3381" s="117"/>
    </row>
    <row r="3382" ht="15.75" customHeight="1">
      <c r="A3382" s="122"/>
      <c r="B3382" s="133"/>
      <c r="C3382" s="120"/>
      <c r="D3382" s="120"/>
      <c r="E3382" s="120"/>
      <c r="F3382" s="120"/>
      <c r="G3382" s="120"/>
      <c r="H3382" s="120"/>
      <c r="I3382" s="121"/>
      <c r="J3382" s="121"/>
      <c r="K3382" s="117"/>
    </row>
    <row r="3383" ht="15.75" customHeight="1">
      <c r="A3383" s="122"/>
      <c r="B3383" s="133"/>
      <c r="C3383" s="120"/>
      <c r="D3383" s="120"/>
      <c r="E3383" s="120"/>
      <c r="F3383" s="120"/>
      <c r="G3383" s="120"/>
      <c r="H3383" s="120"/>
      <c r="I3383" s="121"/>
      <c r="J3383" s="121"/>
      <c r="K3383" s="117"/>
    </row>
    <row r="3384" ht="15.75" customHeight="1">
      <c r="A3384" s="122"/>
      <c r="B3384" s="133"/>
      <c r="C3384" s="120"/>
      <c r="D3384" s="120"/>
      <c r="E3384" s="120"/>
      <c r="F3384" s="120"/>
      <c r="G3384" s="120"/>
      <c r="H3384" s="120"/>
      <c r="I3384" s="121"/>
      <c r="J3384" s="121"/>
      <c r="K3384" s="117"/>
    </row>
    <row r="3385" ht="15.75" customHeight="1">
      <c r="A3385" s="122"/>
      <c r="B3385" s="133"/>
      <c r="C3385" s="120"/>
      <c r="D3385" s="120"/>
      <c r="E3385" s="120"/>
      <c r="F3385" s="120"/>
      <c r="G3385" s="120"/>
      <c r="H3385" s="120"/>
      <c r="I3385" s="121"/>
      <c r="J3385" s="121"/>
      <c r="K3385" s="117"/>
    </row>
    <row r="3386" ht="15.75" customHeight="1">
      <c r="A3386" s="122"/>
      <c r="B3386" s="133"/>
      <c r="C3386" s="120"/>
      <c r="D3386" s="120"/>
      <c r="E3386" s="120"/>
      <c r="F3386" s="120"/>
      <c r="G3386" s="120"/>
      <c r="H3386" s="120"/>
      <c r="I3386" s="121"/>
      <c r="J3386" s="121"/>
      <c r="K3386" s="117"/>
    </row>
    <row r="3387" ht="15.75" customHeight="1">
      <c r="A3387" s="122"/>
      <c r="B3387" s="133"/>
      <c r="C3387" s="120"/>
      <c r="D3387" s="120"/>
      <c r="E3387" s="120"/>
      <c r="F3387" s="120"/>
      <c r="G3387" s="120"/>
      <c r="H3387" s="120"/>
      <c r="I3387" s="121"/>
      <c r="J3387" s="121"/>
      <c r="K3387" s="117"/>
    </row>
    <row r="3388" ht="15.75" customHeight="1">
      <c r="A3388" s="122"/>
      <c r="B3388" s="133"/>
      <c r="C3388" s="120"/>
      <c r="D3388" s="120"/>
      <c r="E3388" s="120"/>
      <c r="F3388" s="120"/>
      <c r="G3388" s="120"/>
      <c r="H3388" s="120"/>
      <c r="I3388" s="121"/>
      <c r="J3388" s="121"/>
      <c r="K3388" s="117"/>
    </row>
    <row r="3389" ht="15.75" customHeight="1">
      <c r="A3389" s="122"/>
      <c r="B3389" s="133"/>
      <c r="C3389" s="120"/>
      <c r="D3389" s="120"/>
      <c r="E3389" s="120"/>
      <c r="F3389" s="120"/>
      <c r="G3389" s="120"/>
      <c r="H3389" s="120"/>
      <c r="I3389" s="121"/>
      <c r="J3389" s="121"/>
      <c r="K3389" s="117"/>
    </row>
    <row r="3390" ht="15.75" customHeight="1">
      <c r="A3390" s="122"/>
      <c r="B3390" s="133"/>
      <c r="C3390" s="120"/>
      <c r="D3390" s="120"/>
      <c r="E3390" s="120"/>
      <c r="F3390" s="120"/>
      <c r="G3390" s="120"/>
      <c r="H3390" s="120"/>
      <c r="I3390" s="121"/>
      <c r="J3390" s="121"/>
      <c r="K3390" s="117"/>
    </row>
    <row r="3391" ht="15.75" customHeight="1">
      <c r="A3391" s="122"/>
      <c r="B3391" s="133"/>
      <c r="C3391" s="120"/>
      <c r="D3391" s="120"/>
      <c r="E3391" s="120"/>
      <c r="F3391" s="120"/>
      <c r="G3391" s="120"/>
      <c r="H3391" s="120"/>
      <c r="I3391" s="121"/>
      <c r="J3391" s="121"/>
      <c r="K3391" s="117"/>
    </row>
    <row r="3392" ht="15.75" customHeight="1">
      <c r="A3392" s="122"/>
      <c r="B3392" s="133"/>
      <c r="C3392" s="120"/>
      <c r="D3392" s="120"/>
      <c r="E3392" s="120"/>
      <c r="F3392" s="120"/>
      <c r="G3392" s="120"/>
      <c r="H3392" s="120"/>
      <c r="I3392" s="121"/>
      <c r="J3392" s="121"/>
      <c r="K3392" s="117"/>
    </row>
    <row r="3393" ht="15.75" customHeight="1">
      <c r="A3393" s="122"/>
      <c r="B3393" s="133"/>
      <c r="C3393" s="120"/>
      <c r="D3393" s="120"/>
      <c r="E3393" s="120"/>
      <c r="F3393" s="120"/>
      <c r="G3393" s="120"/>
      <c r="H3393" s="120"/>
      <c r="I3393" s="121"/>
      <c r="J3393" s="121"/>
      <c r="K3393" s="117"/>
    </row>
    <row r="3394" ht="15.75" customHeight="1">
      <c r="A3394" s="122"/>
      <c r="B3394" s="133"/>
      <c r="C3394" s="120"/>
      <c r="D3394" s="120"/>
      <c r="E3394" s="120"/>
      <c r="F3394" s="120"/>
      <c r="G3394" s="120"/>
      <c r="H3394" s="120"/>
      <c r="I3394" s="121"/>
      <c r="J3394" s="121"/>
      <c r="K3394" s="117"/>
    </row>
    <row r="3395" ht="15.75" customHeight="1">
      <c r="A3395" s="122"/>
      <c r="B3395" s="133"/>
      <c r="C3395" s="120"/>
      <c r="D3395" s="120"/>
      <c r="E3395" s="120"/>
      <c r="F3395" s="120"/>
      <c r="G3395" s="120"/>
      <c r="H3395" s="120"/>
      <c r="I3395" s="121"/>
      <c r="J3395" s="121"/>
      <c r="K3395" s="117"/>
    </row>
    <row r="3396" ht="15.75" customHeight="1">
      <c r="A3396" s="122"/>
      <c r="B3396" s="133"/>
      <c r="C3396" s="120"/>
      <c r="D3396" s="120"/>
      <c r="E3396" s="120"/>
      <c r="F3396" s="120"/>
      <c r="G3396" s="120"/>
      <c r="H3396" s="120"/>
      <c r="I3396" s="121"/>
      <c r="J3396" s="121"/>
      <c r="K3396" s="117"/>
    </row>
    <row r="3397" ht="15.75" customHeight="1">
      <c r="A3397" s="122"/>
      <c r="B3397" s="133"/>
      <c r="C3397" s="120"/>
      <c r="D3397" s="120"/>
      <c r="E3397" s="120"/>
      <c r="F3397" s="120"/>
      <c r="G3397" s="120"/>
      <c r="H3397" s="120"/>
      <c r="I3397" s="121"/>
      <c r="J3397" s="121"/>
      <c r="K3397" s="117"/>
    </row>
    <row r="3398" ht="15.75" customHeight="1">
      <c r="A3398" s="122"/>
      <c r="B3398" s="133"/>
      <c r="C3398" s="120"/>
      <c r="D3398" s="120"/>
      <c r="E3398" s="120"/>
      <c r="F3398" s="120"/>
      <c r="G3398" s="120"/>
      <c r="H3398" s="120"/>
      <c r="I3398" s="121"/>
      <c r="J3398" s="121"/>
      <c r="K3398" s="117"/>
    </row>
    <row r="3399" ht="15.75" customHeight="1">
      <c r="A3399" s="122"/>
      <c r="B3399" s="133"/>
      <c r="C3399" s="120"/>
      <c r="D3399" s="120"/>
      <c r="E3399" s="120"/>
      <c r="F3399" s="120"/>
      <c r="G3399" s="120"/>
      <c r="H3399" s="120"/>
      <c r="I3399" s="121"/>
      <c r="J3399" s="121"/>
      <c r="K3399" s="117"/>
    </row>
    <row r="3400" ht="15.75" customHeight="1">
      <c r="A3400" s="122"/>
      <c r="B3400" s="133"/>
      <c r="C3400" s="120"/>
      <c r="D3400" s="120"/>
      <c r="E3400" s="120"/>
      <c r="F3400" s="120"/>
      <c r="G3400" s="120"/>
      <c r="H3400" s="120"/>
      <c r="I3400" s="121"/>
      <c r="J3400" s="121"/>
      <c r="K3400" s="117"/>
    </row>
    <row r="3401" ht="15.75" customHeight="1">
      <c r="A3401" s="122"/>
      <c r="B3401" s="133"/>
      <c r="C3401" s="120"/>
      <c r="D3401" s="120"/>
      <c r="E3401" s="120"/>
      <c r="F3401" s="120"/>
      <c r="G3401" s="120"/>
      <c r="H3401" s="120"/>
      <c r="I3401" s="121"/>
      <c r="J3401" s="121"/>
      <c r="K3401" s="117"/>
    </row>
    <row r="3402" ht="15.75" customHeight="1">
      <c r="A3402" s="122"/>
      <c r="B3402" s="133"/>
      <c r="C3402" s="120"/>
      <c r="D3402" s="120"/>
      <c r="E3402" s="120"/>
      <c r="F3402" s="120"/>
      <c r="G3402" s="120"/>
      <c r="H3402" s="120"/>
      <c r="I3402" s="121"/>
      <c r="J3402" s="121"/>
      <c r="K3402" s="117"/>
    </row>
    <row r="3403" ht="15.75" customHeight="1">
      <c r="A3403" s="122"/>
      <c r="B3403" s="133"/>
      <c r="C3403" s="120"/>
      <c r="D3403" s="120"/>
      <c r="E3403" s="120"/>
      <c r="F3403" s="120"/>
      <c r="G3403" s="120"/>
      <c r="H3403" s="120"/>
      <c r="I3403" s="121"/>
      <c r="J3403" s="121"/>
      <c r="K3403" s="117"/>
    </row>
    <row r="3404" ht="15.75" customHeight="1">
      <c r="A3404" s="122"/>
      <c r="B3404" s="133"/>
      <c r="C3404" s="120"/>
      <c r="D3404" s="120"/>
      <c r="E3404" s="120"/>
      <c r="F3404" s="120"/>
      <c r="G3404" s="120"/>
      <c r="H3404" s="120"/>
      <c r="I3404" s="121"/>
      <c r="J3404" s="121"/>
      <c r="K3404" s="117"/>
    </row>
    <row r="3405" ht="15.75" customHeight="1">
      <c r="A3405" s="122"/>
      <c r="B3405" s="133"/>
      <c r="C3405" s="120"/>
      <c r="D3405" s="120"/>
      <c r="E3405" s="120"/>
      <c r="F3405" s="120"/>
      <c r="G3405" s="120"/>
      <c r="H3405" s="120"/>
      <c r="I3405" s="121"/>
      <c r="J3405" s="121"/>
      <c r="K3405" s="117"/>
    </row>
    <row r="3406" ht="15.75" customHeight="1">
      <c r="A3406" s="122"/>
      <c r="B3406" s="133"/>
      <c r="C3406" s="120"/>
      <c r="D3406" s="120"/>
      <c r="E3406" s="120"/>
      <c r="F3406" s="120"/>
      <c r="G3406" s="120"/>
      <c r="H3406" s="120"/>
      <c r="I3406" s="121"/>
      <c r="J3406" s="121"/>
      <c r="K3406" s="117"/>
    </row>
    <row r="3407" ht="15.75" customHeight="1">
      <c r="A3407" s="122"/>
      <c r="B3407" s="133"/>
      <c r="C3407" s="120"/>
      <c r="D3407" s="120"/>
      <c r="E3407" s="120"/>
      <c r="F3407" s="120"/>
      <c r="G3407" s="120"/>
      <c r="H3407" s="120"/>
      <c r="I3407" s="121"/>
      <c r="J3407" s="121"/>
      <c r="K3407" s="117"/>
    </row>
    <row r="3408" ht="15.75" customHeight="1">
      <c r="A3408" s="122"/>
      <c r="B3408" s="133"/>
      <c r="C3408" s="120"/>
      <c r="D3408" s="120"/>
      <c r="E3408" s="120"/>
      <c r="F3408" s="120"/>
      <c r="G3408" s="120"/>
      <c r="H3408" s="120"/>
      <c r="I3408" s="121"/>
      <c r="J3408" s="121"/>
      <c r="K3408" s="117"/>
    </row>
    <row r="3409" ht="15.75" customHeight="1">
      <c r="A3409" s="122"/>
      <c r="B3409" s="133"/>
      <c r="C3409" s="120"/>
      <c r="D3409" s="120"/>
      <c r="E3409" s="120"/>
      <c r="F3409" s="120"/>
      <c r="G3409" s="120"/>
      <c r="H3409" s="120"/>
      <c r="I3409" s="121"/>
      <c r="J3409" s="121"/>
      <c r="K3409" s="117"/>
    </row>
    <row r="3410" ht="15.75" customHeight="1">
      <c r="A3410" s="122"/>
      <c r="B3410" s="133"/>
      <c r="C3410" s="120"/>
      <c r="D3410" s="120"/>
      <c r="E3410" s="120"/>
      <c r="F3410" s="120"/>
      <c r="G3410" s="120"/>
      <c r="H3410" s="120"/>
      <c r="I3410" s="121"/>
      <c r="J3410" s="121"/>
      <c r="K3410" s="117"/>
    </row>
    <row r="3411" ht="15.75" customHeight="1">
      <c r="A3411" s="122"/>
      <c r="B3411" s="133"/>
      <c r="C3411" s="120"/>
      <c r="D3411" s="120"/>
      <c r="E3411" s="120"/>
      <c r="F3411" s="120"/>
      <c r="G3411" s="120"/>
      <c r="H3411" s="120"/>
      <c r="I3411" s="121"/>
      <c r="J3411" s="121"/>
      <c r="K3411" s="117"/>
    </row>
    <row r="3412" ht="15.75" customHeight="1">
      <c r="A3412" s="122"/>
      <c r="B3412" s="133"/>
      <c r="C3412" s="120"/>
      <c r="D3412" s="120"/>
      <c r="E3412" s="120"/>
      <c r="F3412" s="120"/>
      <c r="G3412" s="120"/>
      <c r="H3412" s="120"/>
      <c r="I3412" s="121"/>
      <c r="J3412" s="121"/>
      <c r="K3412" s="117"/>
    </row>
    <row r="3413" ht="15.75" customHeight="1">
      <c r="A3413" s="122"/>
      <c r="B3413" s="133"/>
      <c r="C3413" s="120"/>
      <c r="D3413" s="120"/>
      <c r="E3413" s="120"/>
      <c r="F3413" s="120"/>
      <c r="G3413" s="120"/>
      <c r="H3413" s="120"/>
      <c r="I3413" s="121"/>
      <c r="J3413" s="121"/>
      <c r="K3413" s="117"/>
    </row>
    <row r="3414" ht="15.75" customHeight="1">
      <c r="A3414" s="122"/>
      <c r="B3414" s="133"/>
      <c r="C3414" s="120"/>
      <c r="D3414" s="120"/>
      <c r="E3414" s="120"/>
      <c r="F3414" s="120"/>
      <c r="G3414" s="120"/>
      <c r="H3414" s="120"/>
      <c r="I3414" s="121"/>
      <c r="J3414" s="121"/>
      <c r="K3414" s="117"/>
    </row>
    <row r="3415" ht="15.75" customHeight="1">
      <c r="A3415" s="122"/>
      <c r="B3415" s="133"/>
      <c r="C3415" s="120"/>
      <c r="D3415" s="120"/>
      <c r="E3415" s="120"/>
      <c r="F3415" s="120"/>
      <c r="G3415" s="120"/>
      <c r="H3415" s="120"/>
      <c r="I3415" s="121"/>
      <c r="J3415" s="121"/>
      <c r="K3415" s="117"/>
    </row>
    <row r="3416" ht="15.75" customHeight="1">
      <c r="A3416" s="122"/>
      <c r="B3416" s="133"/>
      <c r="C3416" s="120"/>
      <c r="D3416" s="120"/>
      <c r="E3416" s="120"/>
      <c r="F3416" s="120"/>
      <c r="G3416" s="120"/>
      <c r="H3416" s="120"/>
      <c r="I3416" s="121"/>
      <c r="J3416" s="121"/>
      <c r="K3416" s="117"/>
    </row>
    <row r="3417" ht="15.75" customHeight="1">
      <c r="A3417" s="122"/>
      <c r="B3417" s="133"/>
      <c r="C3417" s="120"/>
      <c r="D3417" s="120"/>
      <c r="E3417" s="120"/>
      <c r="F3417" s="120"/>
      <c r="G3417" s="120"/>
      <c r="H3417" s="120"/>
      <c r="I3417" s="121"/>
      <c r="J3417" s="121"/>
      <c r="K3417" s="117"/>
    </row>
    <row r="3418" ht="15.75" customHeight="1">
      <c r="A3418" s="122"/>
      <c r="B3418" s="133"/>
      <c r="C3418" s="120"/>
      <c r="D3418" s="120"/>
      <c r="E3418" s="120"/>
      <c r="F3418" s="120"/>
      <c r="G3418" s="120"/>
      <c r="H3418" s="120"/>
      <c r="I3418" s="121"/>
      <c r="J3418" s="121"/>
      <c r="K3418" s="117"/>
    </row>
    <row r="3419" ht="15.75" customHeight="1">
      <c r="A3419" s="122"/>
      <c r="B3419" s="133"/>
      <c r="C3419" s="120"/>
      <c r="D3419" s="120"/>
      <c r="E3419" s="120"/>
      <c r="F3419" s="120"/>
      <c r="G3419" s="120"/>
      <c r="H3419" s="120"/>
      <c r="I3419" s="121"/>
      <c r="J3419" s="121"/>
      <c r="K3419" s="117"/>
    </row>
    <row r="3420" ht="15.75" customHeight="1">
      <c r="A3420" s="122"/>
      <c r="B3420" s="133"/>
      <c r="C3420" s="120"/>
      <c r="D3420" s="120"/>
      <c r="E3420" s="120"/>
      <c r="F3420" s="120"/>
      <c r="G3420" s="120"/>
      <c r="H3420" s="120"/>
      <c r="I3420" s="121"/>
      <c r="J3420" s="121"/>
      <c r="K3420" s="117"/>
    </row>
    <row r="3421" ht="15.75" customHeight="1">
      <c r="A3421" s="122"/>
      <c r="B3421" s="133"/>
      <c r="C3421" s="120"/>
      <c r="D3421" s="120"/>
      <c r="E3421" s="120"/>
      <c r="F3421" s="120"/>
      <c r="G3421" s="120"/>
      <c r="H3421" s="120"/>
      <c r="I3421" s="121"/>
      <c r="J3421" s="121"/>
      <c r="K3421" s="117"/>
    </row>
    <row r="3422" ht="15.75" customHeight="1">
      <c r="A3422" s="122"/>
      <c r="B3422" s="133"/>
      <c r="C3422" s="120"/>
      <c r="D3422" s="120"/>
      <c r="E3422" s="120"/>
      <c r="F3422" s="120"/>
      <c r="G3422" s="120"/>
      <c r="H3422" s="120"/>
      <c r="I3422" s="121"/>
      <c r="J3422" s="121"/>
      <c r="K3422" s="117"/>
    </row>
    <row r="3423" ht="15.75" customHeight="1">
      <c r="A3423" s="122"/>
      <c r="B3423" s="133"/>
      <c r="C3423" s="120"/>
      <c r="D3423" s="120"/>
      <c r="E3423" s="120"/>
      <c r="F3423" s="120"/>
      <c r="G3423" s="120"/>
      <c r="H3423" s="120"/>
      <c r="I3423" s="121"/>
      <c r="J3423" s="121"/>
      <c r="K3423" s="117"/>
    </row>
    <row r="3424" ht="15.75" customHeight="1">
      <c r="A3424" s="122"/>
      <c r="B3424" s="133"/>
      <c r="C3424" s="120"/>
      <c r="D3424" s="120"/>
      <c r="E3424" s="120"/>
      <c r="F3424" s="120"/>
      <c r="G3424" s="120"/>
      <c r="H3424" s="120"/>
      <c r="I3424" s="121"/>
      <c r="J3424" s="121"/>
      <c r="K3424" s="117"/>
    </row>
    <row r="3425" ht="15.75" customHeight="1">
      <c r="A3425" s="122"/>
      <c r="B3425" s="133"/>
      <c r="C3425" s="120"/>
      <c r="D3425" s="120"/>
      <c r="E3425" s="120"/>
      <c r="F3425" s="120"/>
      <c r="G3425" s="120"/>
      <c r="H3425" s="120"/>
      <c r="I3425" s="121"/>
      <c r="J3425" s="121"/>
      <c r="K3425" s="117"/>
    </row>
    <row r="3426" ht="15.75" customHeight="1">
      <c r="A3426" s="122"/>
      <c r="B3426" s="133"/>
      <c r="C3426" s="120"/>
      <c r="D3426" s="120"/>
      <c r="E3426" s="120"/>
      <c r="F3426" s="120"/>
      <c r="G3426" s="120"/>
      <c r="H3426" s="120"/>
      <c r="I3426" s="121"/>
      <c r="J3426" s="121"/>
      <c r="K3426" s="117"/>
    </row>
    <row r="3427" ht="15.75" customHeight="1">
      <c r="A3427" s="122"/>
      <c r="B3427" s="133"/>
      <c r="C3427" s="120"/>
      <c r="D3427" s="120"/>
      <c r="E3427" s="120"/>
      <c r="F3427" s="120"/>
      <c r="G3427" s="120"/>
      <c r="H3427" s="120"/>
      <c r="I3427" s="121"/>
      <c r="J3427" s="121"/>
      <c r="K3427" s="117"/>
    </row>
    <row r="3428" ht="15.75" customHeight="1">
      <c r="A3428" s="122"/>
      <c r="B3428" s="133"/>
      <c r="C3428" s="120"/>
      <c r="D3428" s="120"/>
      <c r="E3428" s="120"/>
      <c r="F3428" s="120"/>
      <c r="G3428" s="120"/>
      <c r="H3428" s="120"/>
      <c r="I3428" s="121"/>
      <c r="J3428" s="121"/>
      <c r="K3428" s="117"/>
    </row>
    <row r="3429" ht="15.75" customHeight="1">
      <c r="A3429" s="122"/>
      <c r="B3429" s="133"/>
      <c r="C3429" s="120"/>
      <c r="D3429" s="120"/>
      <c r="E3429" s="120"/>
      <c r="F3429" s="120"/>
      <c r="G3429" s="120"/>
      <c r="H3429" s="120"/>
      <c r="I3429" s="121"/>
      <c r="J3429" s="121"/>
      <c r="K3429" s="117"/>
    </row>
    <row r="3430" ht="15.75" customHeight="1">
      <c r="A3430" s="122"/>
      <c r="B3430" s="133"/>
      <c r="C3430" s="120"/>
      <c r="D3430" s="120"/>
      <c r="E3430" s="120"/>
      <c r="F3430" s="120"/>
      <c r="G3430" s="120"/>
      <c r="H3430" s="120"/>
      <c r="I3430" s="121"/>
      <c r="J3430" s="121"/>
      <c r="K3430" s="117"/>
    </row>
    <row r="3431" ht="15.75" customHeight="1">
      <c r="A3431" s="122"/>
      <c r="B3431" s="133"/>
      <c r="C3431" s="120"/>
      <c r="D3431" s="120"/>
      <c r="E3431" s="120"/>
      <c r="F3431" s="120"/>
      <c r="G3431" s="120"/>
      <c r="H3431" s="120"/>
      <c r="I3431" s="121"/>
      <c r="J3431" s="121"/>
      <c r="K3431" s="117"/>
    </row>
    <row r="3432" ht="15.75" customHeight="1">
      <c r="A3432" s="122"/>
      <c r="B3432" s="133"/>
      <c r="C3432" s="120"/>
      <c r="D3432" s="120"/>
      <c r="E3432" s="120"/>
      <c r="F3432" s="120"/>
      <c r="G3432" s="120"/>
      <c r="H3432" s="120"/>
      <c r="I3432" s="121"/>
      <c r="J3432" s="121"/>
      <c r="K3432" s="117"/>
    </row>
    <row r="3433" ht="15.75" customHeight="1">
      <c r="A3433" s="122"/>
      <c r="B3433" s="133"/>
      <c r="C3433" s="120"/>
      <c r="D3433" s="120"/>
      <c r="E3433" s="120"/>
      <c r="F3433" s="120"/>
      <c r="G3433" s="120"/>
      <c r="H3433" s="120"/>
      <c r="I3433" s="121"/>
      <c r="J3433" s="121"/>
      <c r="K3433" s="117"/>
    </row>
    <row r="3434" ht="15.75" customHeight="1">
      <c r="A3434" s="122"/>
      <c r="B3434" s="133"/>
      <c r="C3434" s="120"/>
      <c r="D3434" s="120"/>
      <c r="E3434" s="120"/>
      <c r="F3434" s="120"/>
      <c r="G3434" s="120"/>
      <c r="H3434" s="120"/>
      <c r="I3434" s="121"/>
      <c r="J3434" s="121"/>
      <c r="K3434" s="117"/>
    </row>
    <row r="3435" ht="15.75" customHeight="1">
      <c r="A3435" s="122"/>
      <c r="B3435" s="133"/>
      <c r="C3435" s="120"/>
      <c r="D3435" s="120"/>
      <c r="E3435" s="120"/>
      <c r="F3435" s="120"/>
      <c r="G3435" s="120"/>
      <c r="H3435" s="120"/>
      <c r="I3435" s="121"/>
      <c r="J3435" s="121"/>
      <c r="K3435" s="117"/>
    </row>
    <row r="3436" ht="15.75" customHeight="1">
      <c r="A3436" s="122"/>
      <c r="B3436" s="133"/>
      <c r="C3436" s="120"/>
      <c r="D3436" s="120"/>
      <c r="E3436" s="120"/>
      <c r="F3436" s="120"/>
      <c r="G3436" s="120"/>
      <c r="H3436" s="120"/>
      <c r="I3436" s="121"/>
      <c r="J3436" s="121"/>
      <c r="K3436" s="117"/>
    </row>
    <row r="3437" ht="15.75" customHeight="1">
      <c r="A3437" s="122"/>
      <c r="B3437" s="133"/>
      <c r="C3437" s="120"/>
      <c r="D3437" s="120"/>
      <c r="E3437" s="120"/>
      <c r="F3437" s="120"/>
      <c r="G3437" s="120"/>
      <c r="H3437" s="120"/>
      <c r="I3437" s="121"/>
      <c r="J3437" s="121"/>
      <c r="K3437" s="117"/>
    </row>
    <row r="3438" ht="15.75" customHeight="1">
      <c r="A3438" s="122"/>
      <c r="B3438" s="133"/>
      <c r="C3438" s="120"/>
      <c r="D3438" s="120"/>
      <c r="E3438" s="120"/>
      <c r="F3438" s="120"/>
      <c r="G3438" s="120"/>
      <c r="H3438" s="120"/>
      <c r="I3438" s="121"/>
      <c r="J3438" s="121"/>
      <c r="K3438" s="117"/>
    </row>
    <row r="3439" ht="15.75" customHeight="1">
      <c r="A3439" s="122"/>
      <c r="B3439" s="133"/>
      <c r="C3439" s="120"/>
      <c r="D3439" s="120"/>
      <c r="E3439" s="120"/>
      <c r="F3439" s="120"/>
      <c r="G3439" s="120"/>
      <c r="H3439" s="120"/>
      <c r="I3439" s="121"/>
      <c r="J3439" s="121"/>
      <c r="K3439" s="117"/>
    </row>
    <row r="3440" ht="15.75" customHeight="1">
      <c r="A3440" s="122"/>
      <c r="B3440" s="133"/>
      <c r="C3440" s="120"/>
      <c r="D3440" s="120"/>
      <c r="E3440" s="120"/>
      <c r="F3440" s="120"/>
      <c r="G3440" s="120"/>
      <c r="H3440" s="120"/>
      <c r="I3440" s="121"/>
      <c r="J3440" s="121"/>
      <c r="K3440" s="117"/>
    </row>
    <row r="3441" ht="15.75" customHeight="1">
      <c r="A3441" s="122"/>
      <c r="B3441" s="133"/>
      <c r="C3441" s="120"/>
      <c r="D3441" s="120"/>
      <c r="E3441" s="120"/>
      <c r="F3441" s="120"/>
      <c r="G3441" s="120"/>
      <c r="H3441" s="120"/>
      <c r="I3441" s="121"/>
      <c r="J3441" s="121"/>
      <c r="K3441" s="117"/>
    </row>
    <row r="3442" ht="15.75" customHeight="1">
      <c r="A3442" s="122"/>
      <c r="B3442" s="133"/>
      <c r="C3442" s="120"/>
      <c r="D3442" s="120"/>
      <c r="E3442" s="120"/>
      <c r="F3442" s="120"/>
      <c r="G3442" s="120"/>
      <c r="H3442" s="120"/>
      <c r="I3442" s="121"/>
      <c r="J3442" s="121"/>
      <c r="K3442" s="117"/>
    </row>
    <row r="3443" ht="15.75" customHeight="1">
      <c r="A3443" s="122"/>
      <c r="B3443" s="133"/>
      <c r="C3443" s="120"/>
      <c r="D3443" s="120"/>
      <c r="E3443" s="120"/>
      <c r="F3443" s="120"/>
      <c r="G3443" s="120"/>
      <c r="H3443" s="120"/>
      <c r="I3443" s="121"/>
      <c r="J3443" s="121"/>
      <c r="K3443" s="117"/>
    </row>
    <row r="3444" ht="15.75" customHeight="1">
      <c r="A3444" s="122"/>
      <c r="B3444" s="133"/>
      <c r="C3444" s="120"/>
      <c r="D3444" s="120"/>
      <c r="E3444" s="120"/>
      <c r="F3444" s="120"/>
      <c r="G3444" s="120"/>
      <c r="H3444" s="120"/>
      <c r="I3444" s="121"/>
      <c r="J3444" s="121"/>
      <c r="K3444" s="117"/>
    </row>
    <row r="3445" ht="15.75" customHeight="1">
      <c r="A3445" s="122"/>
      <c r="B3445" s="133"/>
      <c r="C3445" s="120"/>
      <c r="D3445" s="120"/>
      <c r="E3445" s="120"/>
      <c r="F3445" s="120"/>
      <c r="G3445" s="120"/>
      <c r="H3445" s="120"/>
      <c r="I3445" s="121"/>
      <c r="J3445" s="121"/>
      <c r="K3445" s="117"/>
    </row>
    <row r="3446" ht="15.75" customHeight="1">
      <c r="A3446" s="122"/>
      <c r="B3446" s="133"/>
      <c r="C3446" s="120"/>
      <c r="D3446" s="120"/>
      <c r="E3446" s="120"/>
      <c r="F3446" s="120"/>
      <c r="G3446" s="120"/>
      <c r="H3446" s="120"/>
      <c r="I3446" s="121"/>
      <c r="J3446" s="121"/>
      <c r="K3446" s="117"/>
    </row>
    <row r="3447" ht="15.75" customHeight="1">
      <c r="A3447" s="122"/>
      <c r="B3447" s="133"/>
      <c r="C3447" s="120"/>
      <c r="D3447" s="120"/>
      <c r="E3447" s="120"/>
      <c r="F3447" s="120"/>
      <c r="G3447" s="120"/>
      <c r="H3447" s="120"/>
      <c r="I3447" s="121"/>
      <c r="J3447" s="121"/>
      <c r="K3447" s="117"/>
    </row>
    <row r="3448" ht="15.75" customHeight="1">
      <c r="A3448" s="122"/>
      <c r="B3448" s="133"/>
      <c r="C3448" s="120"/>
      <c r="D3448" s="120"/>
      <c r="E3448" s="120"/>
      <c r="F3448" s="120"/>
      <c r="G3448" s="120"/>
      <c r="H3448" s="120"/>
      <c r="I3448" s="121"/>
      <c r="J3448" s="121"/>
      <c r="K3448" s="117"/>
    </row>
    <row r="3449" ht="15.75" customHeight="1">
      <c r="A3449" s="122"/>
      <c r="B3449" s="133"/>
      <c r="C3449" s="120"/>
      <c r="D3449" s="120"/>
      <c r="E3449" s="120"/>
      <c r="F3449" s="120"/>
      <c r="G3449" s="120"/>
      <c r="H3449" s="120"/>
      <c r="I3449" s="121"/>
      <c r="J3449" s="121"/>
      <c r="K3449" s="117"/>
    </row>
    <row r="3450" ht="15.75" customHeight="1">
      <c r="A3450" s="122"/>
      <c r="B3450" s="133"/>
      <c r="C3450" s="120"/>
      <c r="D3450" s="120"/>
      <c r="E3450" s="120"/>
      <c r="F3450" s="120"/>
      <c r="G3450" s="120"/>
      <c r="H3450" s="120"/>
      <c r="I3450" s="121"/>
      <c r="J3450" s="121"/>
      <c r="K3450" s="117"/>
    </row>
    <row r="3451" ht="15.75" customHeight="1">
      <c r="A3451" s="122"/>
      <c r="B3451" s="133"/>
      <c r="C3451" s="120"/>
      <c r="D3451" s="120"/>
      <c r="E3451" s="120"/>
      <c r="F3451" s="120"/>
      <c r="G3451" s="120"/>
      <c r="H3451" s="120"/>
      <c r="I3451" s="121"/>
      <c r="J3451" s="121"/>
      <c r="K3451" s="117"/>
    </row>
    <row r="3452" ht="15.75" customHeight="1">
      <c r="A3452" s="122"/>
      <c r="B3452" s="133"/>
      <c r="C3452" s="120"/>
      <c r="D3452" s="120"/>
      <c r="E3452" s="120"/>
      <c r="F3452" s="120"/>
      <c r="G3452" s="120"/>
      <c r="H3452" s="120"/>
      <c r="I3452" s="121"/>
      <c r="J3452" s="121"/>
      <c r="K3452" s="117"/>
    </row>
    <row r="3453" ht="15.75" customHeight="1">
      <c r="A3453" s="122"/>
      <c r="B3453" s="133"/>
      <c r="C3453" s="120"/>
      <c r="D3453" s="120"/>
      <c r="E3453" s="120"/>
      <c r="F3453" s="120"/>
      <c r="G3453" s="120"/>
      <c r="H3453" s="120"/>
      <c r="I3453" s="121"/>
      <c r="J3453" s="121"/>
      <c r="K3453" s="117"/>
    </row>
    <row r="3454" ht="15.75" customHeight="1">
      <c r="A3454" s="122"/>
      <c r="B3454" s="133"/>
      <c r="C3454" s="120"/>
      <c r="D3454" s="120"/>
      <c r="E3454" s="120"/>
      <c r="F3454" s="120"/>
      <c r="G3454" s="120"/>
      <c r="H3454" s="120"/>
      <c r="I3454" s="121"/>
      <c r="J3454" s="121"/>
      <c r="K3454" s="117"/>
    </row>
    <row r="3455" ht="15.75" customHeight="1">
      <c r="A3455" s="122"/>
      <c r="B3455" s="133"/>
      <c r="C3455" s="120"/>
      <c r="D3455" s="120"/>
      <c r="E3455" s="120"/>
      <c r="F3455" s="120"/>
      <c r="G3455" s="120"/>
      <c r="H3455" s="120"/>
      <c r="I3455" s="121"/>
      <c r="J3455" s="121"/>
      <c r="K3455" s="117"/>
    </row>
    <row r="3456" ht="15.75" customHeight="1">
      <c r="A3456" s="122"/>
      <c r="B3456" s="133"/>
      <c r="C3456" s="120"/>
      <c r="D3456" s="120"/>
      <c r="E3456" s="120"/>
      <c r="F3456" s="120"/>
      <c r="G3456" s="120"/>
      <c r="H3456" s="120"/>
      <c r="I3456" s="121"/>
      <c r="J3456" s="121"/>
      <c r="K3456" s="117"/>
    </row>
    <row r="3457" ht="15.75" customHeight="1">
      <c r="A3457" s="122"/>
      <c r="B3457" s="133"/>
      <c r="C3457" s="120"/>
      <c r="D3457" s="120"/>
      <c r="E3457" s="120"/>
      <c r="F3457" s="120"/>
      <c r="G3457" s="120"/>
      <c r="H3457" s="120"/>
      <c r="I3457" s="121"/>
      <c r="J3457" s="121"/>
      <c r="K3457" s="117"/>
    </row>
    <row r="3458" ht="15.75" customHeight="1">
      <c r="A3458" s="122"/>
      <c r="B3458" s="133"/>
      <c r="C3458" s="120"/>
      <c r="D3458" s="120"/>
      <c r="E3458" s="120"/>
      <c r="F3458" s="120"/>
      <c r="G3458" s="120"/>
      <c r="H3458" s="120"/>
      <c r="I3458" s="121"/>
      <c r="J3458" s="121"/>
      <c r="K3458" s="117"/>
    </row>
    <row r="3459" ht="15.75" customHeight="1">
      <c r="A3459" s="122"/>
      <c r="B3459" s="133"/>
      <c r="C3459" s="120"/>
      <c r="D3459" s="120"/>
      <c r="E3459" s="120"/>
      <c r="F3459" s="120"/>
      <c r="G3459" s="120"/>
      <c r="H3459" s="120"/>
      <c r="I3459" s="121"/>
      <c r="J3459" s="121"/>
      <c r="K3459" s="117"/>
    </row>
    <row r="3460" ht="15.75" customHeight="1">
      <c r="A3460" s="122"/>
      <c r="B3460" s="133"/>
      <c r="C3460" s="120"/>
      <c r="D3460" s="120"/>
      <c r="E3460" s="120"/>
      <c r="F3460" s="120"/>
      <c r="G3460" s="120"/>
      <c r="H3460" s="120"/>
      <c r="I3460" s="121"/>
      <c r="J3460" s="121"/>
      <c r="K3460" s="117"/>
    </row>
    <row r="3461" ht="15.75" customHeight="1">
      <c r="A3461" s="122"/>
      <c r="B3461" s="133"/>
      <c r="C3461" s="120"/>
      <c r="D3461" s="120"/>
      <c r="E3461" s="120"/>
      <c r="F3461" s="120"/>
      <c r="G3461" s="120"/>
      <c r="H3461" s="120"/>
      <c r="I3461" s="121"/>
      <c r="J3461" s="121"/>
      <c r="K3461" s="117"/>
    </row>
    <row r="3462" ht="15.75" customHeight="1">
      <c r="A3462" s="122"/>
      <c r="B3462" s="133"/>
      <c r="C3462" s="120"/>
      <c r="D3462" s="120"/>
      <c r="E3462" s="120"/>
      <c r="F3462" s="120"/>
      <c r="G3462" s="120"/>
      <c r="H3462" s="120"/>
      <c r="I3462" s="121"/>
      <c r="J3462" s="121"/>
      <c r="K3462" s="117"/>
    </row>
    <row r="3463" ht="15.75" customHeight="1">
      <c r="A3463" s="122"/>
      <c r="B3463" s="133"/>
      <c r="C3463" s="120"/>
      <c r="D3463" s="120"/>
      <c r="E3463" s="120"/>
      <c r="F3463" s="120"/>
      <c r="G3463" s="120"/>
      <c r="H3463" s="120"/>
      <c r="I3463" s="121"/>
      <c r="J3463" s="121"/>
      <c r="K3463" s="117"/>
    </row>
    <row r="3464" ht="15.75" customHeight="1">
      <c r="A3464" s="122"/>
      <c r="B3464" s="133"/>
      <c r="C3464" s="120"/>
      <c r="D3464" s="120"/>
      <c r="E3464" s="120"/>
      <c r="F3464" s="120"/>
      <c r="G3464" s="120"/>
      <c r="H3464" s="120"/>
      <c r="I3464" s="121"/>
      <c r="J3464" s="121"/>
      <c r="K3464" s="117"/>
    </row>
    <row r="3465" ht="15.75" customHeight="1">
      <c r="A3465" s="122"/>
      <c r="B3465" s="133"/>
      <c r="C3465" s="120"/>
      <c r="D3465" s="120"/>
      <c r="E3465" s="120"/>
      <c r="F3465" s="120"/>
      <c r="G3465" s="120"/>
      <c r="H3465" s="120"/>
      <c r="I3465" s="121"/>
      <c r="J3465" s="121"/>
      <c r="K3465" s="117"/>
    </row>
    <row r="3466" ht="15.75" customHeight="1">
      <c r="A3466" s="122"/>
      <c r="B3466" s="133"/>
      <c r="C3466" s="120"/>
      <c r="D3466" s="120"/>
      <c r="E3466" s="120"/>
      <c r="F3466" s="120"/>
      <c r="G3466" s="120"/>
      <c r="H3466" s="120"/>
      <c r="I3466" s="121"/>
      <c r="J3466" s="121"/>
      <c r="K3466" s="117"/>
    </row>
    <row r="3467" ht="15.75" customHeight="1">
      <c r="A3467" s="122"/>
      <c r="B3467" s="133"/>
      <c r="C3467" s="120"/>
      <c r="D3467" s="120"/>
      <c r="E3467" s="120"/>
      <c r="F3467" s="120"/>
      <c r="G3467" s="120"/>
      <c r="H3467" s="120"/>
      <c r="I3467" s="121"/>
      <c r="J3467" s="121"/>
      <c r="K3467" s="117"/>
    </row>
    <row r="3468" ht="15.75" customHeight="1">
      <c r="A3468" s="122"/>
      <c r="B3468" s="133"/>
      <c r="C3468" s="120"/>
      <c r="D3468" s="120"/>
      <c r="E3468" s="120"/>
      <c r="F3468" s="120"/>
      <c r="G3468" s="120"/>
      <c r="H3468" s="120"/>
      <c r="I3468" s="121"/>
      <c r="J3468" s="121"/>
      <c r="K3468" s="117"/>
    </row>
    <row r="3469" ht="15.75" customHeight="1">
      <c r="A3469" s="122"/>
      <c r="B3469" s="133"/>
      <c r="C3469" s="120"/>
      <c r="D3469" s="120"/>
      <c r="E3469" s="120"/>
      <c r="F3469" s="120"/>
      <c r="G3469" s="120"/>
      <c r="H3469" s="120"/>
      <c r="I3469" s="121"/>
      <c r="J3469" s="121"/>
      <c r="K3469" s="117"/>
    </row>
    <row r="3470" ht="15.75" customHeight="1">
      <c r="A3470" s="122"/>
      <c r="B3470" s="133"/>
      <c r="C3470" s="120"/>
      <c r="D3470" s="120"/>
      <c r="E3470" s="120"/>
      <c r="F3470" s="120"/>
      <c r="G3470" s="120"/>
      <c r="H3470" s="120"/>
      <c r="I3470" s="121"/>
      <c r="J3470" s="121"/>
      <c r="K3470" s="117"/>
    </row>
    <row r="3471" ht="15.75" customHeight="1">
      <c r="A3471" s="122"/>
      <c r="B3471" s="133"/>
      <c r="C3471" s="120"/>
      <c r="D3471" s="120"/>
      <c r="E3471" s="120"/>
      <c r="F3471" s="120"/>
      <c r="G3471" s="120"/>
      <c r="H3471" s="120"/>
      <c r="I3471" s="121"/>
      <c r="J3471" s="121"/>
      <c r="K3471" s="117"/>
    </row>
    <row r="3472" ht="15.75" customHeight="1">
      <c r="A3472" s="122"/>
      <c r="B3472" s="133"/>
      <c r="C3472" s="120"/>
      <c r="D3472" s="120"/>
      <c r="E3472" s="120"/>
      <c r="F3472" s="120"/>
      <c r="G3472" s="120"/>
      <c r="H3472" s="120"/>
      <c r="I3472" s="121"/>
      <c r="J3472" s="121"/>
      <c r="K3472" s="117"/>
    </row>
    <row r="3473" ht="15.75" customHeight="1">
      <c r="A3473" s="122"/>
      <c r="B3473" s="133"/>
      <c r="C3473" s="120"/>
      <c r="D3473" s="120"/>
      <c r="E3473" s="120"/>
      <c r="F3473" s="120"/>
      <c r="G3473" s="120"/>
      <c r="H3473" s="120"/>
      <c r="I3473" s="121"/>
      <c r="J3473" s="121"/>
      <c r="K3473" s="117"/>
    </row>
    <row r="3474" ht="15.75" customHeight="1">
      <c r="A3474" s="122"/>
      <c r="B3474" s="133"/>
      <c r="C3474" s="120"/>
      <c r="D3474" s="120"/>
      <c r="E3474" s="120"/>
      <c r="F3474" s="120"/>
      <c r="G3474" s="120"/>
      <c r="H3474" s="120"/>
      <c r="I3474" s="121"/>
      <c r="J3474" s="121"/>
      <c r="K3474" s="117"/>
    </row>
    <row r="3475" ht="15.75" customHeight="1">
      <c r="A3475" s="122"/>
      <c r="B3475" s="133"/>
      <c r="C3475" s="120"/>
      <c r="D3475" s="120"/>
      <c r="E3475" s="120"/>
      <c r="F3475" s="120"/>
      <c r="G3475" s="120"/>
      <c r="H3475" s="120"/>
      <c r="I3475" s="121"/>
      <c r="J3475" s="121"/>
      <c r="K3475" s="117"/>
    </row>
    <row r="3476" ht="15.75" customHeight="1">
      <c r="A3476" s="122"/>
      <c r="B3476" s="133"/>
      <c r="C3476" s="120"/>
      <c r="D3476" s="120"/>
      <c r="E3476" s="120"/>
      <c r="F3476" s="120"/>
      <c r="G3476" s="120"/>
      <c r="H3476" s="120"/>
      <c r="I3476" s="121"/>
      <c r="J3476" s="121"/>
      <c r="K3476" s="117"/>
    </row>
    <row r="3477" ht="15.75" customHeight="1">
      <c r="A3477" s="122"/>
      <c r="B3477" s="133"/>
      <c r="C3477" s="120"/>
      <c r="D3477" s="120"/>
      <c r="E3477" s="120"/>
      <c r="F3477" s="120"/>
      <c r="G3477" s="120"/>
      <c r="H3477" s="120"/>
      <c r="I3477" s="121"/>
      <c r="J3477" s="121"/>
      <c r="K3477" s="117"/>
    </row>
    <row r="3478" ht="15.75" customHeight="1">
      <c r="A3478" s="122"/>
      <c r="B3478" s="133"/>
      <c r="C3478" s="120"/>
      <c r="D3478" s="120"/>
      <c r="E3478" s="120"/>
      <c r="F3478" s="120"/>
      <c r="G3478" s="120"/>
      <c r="H3478" s="120"/>
      <c r="I3478" s="121"/>
      <c r="J3478" s="121"/>
      <c r="K3478" s="117"/>
    </row>
    <row r="3479" ht="15.75" customHeight="1">
      <c r="A3479" s="122"/>
      <c r="B3479" s="133"/>
      <c r="C3479" s="120"/>
      <c r="D3479" s="120"/>
      <c r="E3479" s="120"/>
      <c r="F3479" s="120"/>
      <c r="G3479" s="120"/>
      <c r="H3479" s="120"/>
      <c r="I3479" s="121"/>
      <c r="J3479" s="121"/>
      <c r="K3479" s="117"/>
    </row>
    <row r="3480" ht="15.75" customHeight="1">
      <c r="A3480" s="122"/>
      <c r="B3480" s="133"/>
      <c r="C3480" s="120"/>
      <c r="D3480" s="120"/>
      <c r="E3480" s="120"/>
      <c r="F3480" s="120"/>
      <c r="G3480" s="120"/>
      <c r="H3480" s="120"/>
      <c r="I3480" s="121"/>
      <c r="J3480" s="121"/>
      <c r="K3480" s="117"/>
    </row>
    <row r="3481" ht="15.75" customHeight="1">
      <c r="A3481" s="122"/>
      <c r="B3481" s="133"/>
      <c r="C3481" s="120"/>
      <c r="D3481" s="120"/>
      <c r="E3481" s="120"/>
      <c r="F3481" s="120"/>
      <c r="G3481" s="120"/>
      <c r="H3481" s="120"/>
      <c r="I3481" s="121"/>
      <c r="J3481" s="121"/>
      <c r="K3481" s="117"/>
    </row>
    <row r="3482" ht="15.75" customHeight="1">
      <c r="A3482" s="122"/>
      <c r="B3482" s="133"/>
      <c r="C3482" s="120"/>
      <c r="D3482" s="120"/>
      <c r="E3482" s="120"/>
      <c r="F3482" s="120"/>
      <c r="G3482" s="120"/>
      <c r="H3482" s="120"/>
      <c r="I3482" s="121"/>
      <c r="J3482" s="121"/>
      <c r="K3482" s="117"/>
    </row>
    <row r="3483" ht="15.75" customHeight="1">
      <c r="A3483" s="122"/>
      <c r="B3483" s="133"/>
      <c r="C3483" s="120"/>
      <c r="D3483" s="120"/>
      <c r="E3483" s="120"/>
      <c r="F3483" s="120"/>
      <c r="G3483" s="120"/>
      <c r="H3483" s="120"/>
      <c r="I3483" s="121"/>
      <c r="J3483" s="121"/>
      <c r="K3483" s="117"/>
    </row>
    <row r="3484" ht="15.75" customHeight="1">
      <c r="A3484" s="122"/>
      <c r="B3484" s="133"/>
      <c r="C3484" s="120"/>
      <c r="D3484" s="120"/>
      <c r="E3484" s="120"/>
      <c r="F3484" s="120"/>
      <c r="G3484" s="120"/>
      <c r="H3484" s="120"/>
      <c r="I3484" s="121"/>
      <c r="J3484" s="121"/>
      <c r="K3484" s="117"/>
    </row>
    <row r="3485" ht="15.75" customHeight="1">
      <c r="A3485" s="122"/>
      <c r="B3485" s="133"/>
      <c r="C3485" s="120"/>
      <c r="D3485" s="120"/>
      <c r="E3485" s="120"/>
      <c r="F3485" s="120"/>
      <c r="G3485" s="120"/>
      <c r="H3485" s="120"/>
      <c r="I3485" s="121"/>
      <c r="J3485" s="121"/>
      <c r="K3485" s="117"/>
    </row>
    <row r="3486" ht="15.75" customHeight="1">
      <c r="A3486" s="122"/>
      <c r="B3486" s="133"/>
      <c r="C3486" s="120"/>
      <c r="D3486" s="120"/>
      <c r="E3486" s="120"/>
      <c r="F3486" s="120"/>
      <c r="G3486" s="120"/>
      <c r="H3486" s="120"/>
      <c r="I3486" s="121"/>
      <c r="J3486" s="121"/>
      <c r="K3486" s="117"/>
    </row>
    <row r="3487" ht="15.75" customHeight="1">
      <c r="A3487" s="122"/>
      <c r="B3487" s="133"/>
      <c r="C3487" s="120"/>
      <c r="D3487" s="120"/>
      <c r="E3487" s="120"/>
      <c r="F3487" s="120"/>
      <c r="G3487" s="120"/>
      <c r="H3487" s="120"/>
      <c r="I3487" s="121"/>
      <c r="J3487" s="121"/>
      <c r="K3487" s="117"/>
    </row>
    <row r="3488" ht="15.75" customHeight="1">
      <c r="A3488" s="122"/>
      <c r="B3488" s="133"/>
      <c r="C3488" s="120"/>
      <c r="D3488" s="120"/>
      <c r="E3488" s="120"/>
      <c r="F3488" s="120"/>
      <c r="G3488" s="120"/>
      <c r="H3488" s="120"/>
      <c r="I3488" s="121"/>
      <c r="J3488" s="121"/>
      <c r="K3488" s="117"/>
    </row>
    <row r="3489" ht="15.75" customHeight="1">
      <c r="A3489" s="122"/>
      <c r="B3489" s="133"/>
      <c r="C3489" s="120"/>
      <c r="D3489" s="120"/>
      <c r="E3489" s="120"/>
      <c r="F3489" s="120"/>
      <c r="G3489" s="120"/>
      <c r="H3489" s="120"/>
      <c r="I3489" s="121"/>
      <c r="J3489" s="121"/>
      <c r="K3489" s="117"/>
    </row>
    <row r="3490" ht="15.75" customHeight="1">
      <c r="A3490" s="122"/>
      <c r="B3490" s="133"/>
      <c r="C3490" s="120"/>
      <c r="D3490" s="120"/>
      <c r="E3490" s="120"/>
      <c r="F3490" s="120"/>
      <c r="G3490" s="120"/>
      <c r="H3490" s="120"/>
      <c r="I3490" s="121"/>
      <c r="J3490" s="121"/>
      <c r="K3490" s="117"/>
    </row>
    <row r="3491" ht="15.75" customHeight="1">
      <c r="A3491" s="122"/>
      <c r="B3491" s="133"/>
      <c r="C3491" s="120"/>
      <c r="D3491" s="120"/>
      <c r="E3491" s="120"/>
      <c r="F3491" s="120"/>
      <c r="G3491" s="120"/>
      <c r="H3491" s="120"/>
      <c r="I3491" s="121"/>
      <c r="J3491" s="121"/>
      <c r="K3491" s="117"/>
    </row>
    <row r="3492" ht="15.75" customHeight="1">
      <c r="A3492" s="122"/>
      <c r="B3492" s="133"/>
      <c r="C3492" s="120"/>
      <c r="D3492" s="120"/>
      <c r="E3492" s="120"/>
      <c r="F3492" s="120"/>
      <c r="G3492" s="120"/>
      <c r="H3492" s="120"/>
      <c r="I3492" s="121"/>
      <c r="J3492" s="121"/>
      <c r="K3492" s="117"/>
    </row>
    <row r="3493" ht="15.75" customHeight="1">
      <c r="A3493" s="122"/>
      <c r="B3493" s="133"/>
      <c r="C3493" s="120"/>
      <c r="D3493" s="120"/>
      <c r="E3493" s="120"/>
      <c r="F3493" s="120"/>
      <c r="G3493" s="120"/>
      <c r="H3493" s="120"/>
      <c r="I3493" s="121"/>
      <c r="J3493" s="121"/>
      <c r="K3493" s="117"/>
    </row>
    <row r="3494" ht="15.75" customHeight="1">
      <c r="A3494" s="122"/>
      <c r="B3494" s="133"/>
      <c r="C3494" s="120"/>
      <c r="D3494" s="120"/>
      <c r="E3494" s="120"/>
      <c r="F3494" s="120"/>
      <c r="G3494" s="120"/>
      <c r="H3494" s="120"/>
      <c r="I3494" s="121"/>
      <c r="J3494" s="121"/>
      <c r="K3494" s="117"/>
    </row>
    <row r="3495" ht="15.75" customHeight="1">
      <c r="A3495" s="122"/>
      <c r="B3495" s="133"/>
      <c r="C3495" s="120"/>
      <c r="D3495" s="120"/>
      <c r="E3495" s="120"/>
      <c r="F3495" s="120"/>
      <c r="G3495" s="120"/>
      <c r="H3495" s="120"/>
      <c r="I3495" s="121"/>
      <c r="J3495" s="121"/>
      <c r="K3495" s="117"/>
    </row>
    <row r="3496" ht="15.75" customHeight="1">
      <c r="A3496" s="122"/>
      <c r="B3496" s="133"/>
      <c r="C3496" s="120"/>
      <c r="D3496" s="120"/>
      <c r="E3496" s="120"/>
      <c r="F3496" s="120"/>
      <c r="G3496" s="120"/>
      <c r="H3496" s="120"/>
      <c r="I3496" s="121"/>
      <c r="J3496" s="121"/>
      <c r="K3496" s="117"/>
    </row>
    <row r="3497" ht="15.75" customHeight="1">
      <c r="A3497" s="122"/>
      <c r="B3497" s="133"/>
      <c r="C3497" s="120"/>
      <c r="D3497" s="120"/>
      <c r="E3497" s="120"/>
      <c r="F3497" s="120"/>
      <c r="G3497" s="120"/>
      <c r="H3497" s="120"/>
      <c r="I3497" s="121"/>
      <c r="J3497" s="121"/>
      <c r="K3497" s="117"/>
    </row>
    <row r="3498" ht="15.75" customHeight="1">
      <c r="A3498" s="122"/>
      <c r="B3498" s="133"/>
      <c r="C3498" s="120"/>
      <c r="D3498" s="120"/>
      <c r="E3498" s="120"/>
      <c r="F3498" s="120"/>
      <c r="G3498" s="120"/>
      <c r="H3498" s="120"/>
      <c r="I3498" s="121"/>
      <c r="J3498" s="121"/>
      <c r="K3498" s="117"/>
    </row>
    <row r="3499" ht="15.75" customHeight="1">
      <c r="A3499" s="122"/>
      <c r="B3499" s="133"/>
      <c r="C3499" s="120"/>
      <c r="D3499" s="120"/>
      <c r="E3499" s="120"/>
      <c r="F3499" s="120"/>
      <c r="G3499" s="120"/>
      <c r="H3499" s="120"/>
      <c r="I3499" s="121"/>
      <c r="J3499" s="121"/>
      <c r="K3499" s="117"/>
    </row>
    <row r="3500" ht="15.75" customHeight="1">
      <c r="A3500" s="122"/>
      <c r="B3500" s="133"/>
      <c r="C3500" s="120"/>
      <c r="D3500" s="120"/>
      <c r="E3500" s="120"/>
      <c r="F3500" s="120"/>
      <c r="G3500" s="120"/>
      <c r="H3500" s="120"/>
      <c r="I3500" s="121"/>
      <c r="J3500" s="121"/>
      <c r="K3500" s="117"/>
    </row>
    <row r="3501" ht="15.75" customHeight="1">
      <c r="A3501" s="122"/>
      <c r="B3501" s="133"/>
      <c r="C3501" s="120"/>
      <c r="D3501" s="120"/>
      <c r="E3501" s="120"/>
      <c r="F3501" s="120"/>
      <c r="G3501" s="120"/>
      <c r="H3501" s="120"/>
      <c r="I3501" s="121"/>
      <c r="J3501" s="121"/>
      <c r="K3501" s="117"/>
    </row>
    <row r="3502" ht="15.75" customHeight="1">
      <c r="A3502" s="122"/>
      <c r="B3502" s="133"/>
      <c r="C3502" s="120"/>
      <c r="D3502" s="120"/>
      <c r="E3502" s="120"/>
      <c r="F3502" s="120"/>
      <c r="G3502" s="120"/>
      <c r="H3502" s="120"/>
      <c r="I3502" s="121"/>
      <c r="J3502" s="121"/>
      <c r="K3502" s="117"/>
    </row>
    <row r="3503" ht="15.75" customHeight="1">
      <c r="A3503" s="122"/>
      <c r="B3503" s="133"/>
      <c r="C3503" s="120"/>
      <c r="D3503" s="120"/>
      <c r="E3503" s="120"/>
      <c r="F3503" s="120"/>
      <c r="G3503" s="120"/>
      <c r="H3503" s="120"/>
      <c r="I3503" s="121"/>
      <c r="J3503" s="121"/>
      <c r="K3503" s="117"/>
    </row>
    <row r="3504" ht="15.75" customHeight="1">
      <c r="A3504" s="122"/>
      <c r="B3504" s="133"/>
      <c r="C3504" s="120"/>
      <c r="D3504" s="120"/>
      <c r="E3504" s="120"/>
      <c r="F3504" s="120"/>
      <c r="G3504" s="120"/>
      <c r="H3504" s="120"/>
      <c r="I3504" s="121"/>
      <c r="J3504" s="121"/>
      <c r="K3504" s="117"/>
    </row>
    <row r="3505" ht="15.75" customHeight="1">
      <c r="A3505" s="122"/>
      <c r="B3505" s="133"/>
      <c r="C3505" s="120"/>
      <c r="D3505" s="120"/>
      <c r="E3505" s="120"/>
      <c r="F3505" s="120"/>
      <c r="G3505" s="120"/>
      <c r="H3505" s="120"/>
      <c r="I3505" s="121"/>
      <c r="J3505" s="121"/>
      <c r="K3505" s="117"/>
    </row>
    <row r="3506" ht="15.75" customHeight="1">
      <c r="A3506" s="122"/>
      <c r="B3506" s="133"/>
      <c r="C3506" s="120"/>
      <c r="D3506" s="120"/>
      <c r="E3506" s="120"/>
      <c r="F3506" s="120"/>
      <c r="G3506" s="120"/>
      <c r="H3506" s="120"/>
      <c r="I3506" s="121"/>
      <c r="J3506" s="121"/>
      <c r="K3506" s="117"/>
    </row>
    <row r="3507" ht="15.75" customHeight="1">
      <c r="A3507" s="122"/>
      <c r="B3507" s="133"/>
      <c r="C3507" s="120"/>
      <c r="D3507" s="120"/>
      <c r="E3507" s="120"/>
      <c r="F3507" s="120"/>
      <c r="G3507" s="120"/>
      <c r="H3507" s="120"/>
      <c r="I3507" s="121"/>
      <c r="J3507" s="121"/>
      <c r="K3507" s="117"/>
    </row>
    <row r="3508" ht="15.75" customHeight="1">
      <c r="A3508" s="122"/>
      <c r="B3508" s="133"/>
      <c r="C3508" s="120"/>
      <c r="D3508" s="120"/>
      <c r="E3508" s="120"/>
      <c r="F3508" s="120"/>
      <c r="G3508" s="120"/>
      <c r="H3508" s="120"/>
      <c r="I3508" s="121"/>
      <c r="J3508" s="121"/>
      <c r="K3508" s="117"/>
    </row>
    <row r="3509" ht="15.75" customHeight="1">
      <c r="A3509" s="122"/>
      <c r="B3509" s="133"/>
      <c r="C3509" s="120"/>
      <c r="D3509" s="120"/>
      <c r="E3509" s="120"/>
      <c r="F3509" s="120"/>
      <c r="G3509" s="120"/>
      <c r="H3509" s="120"/>
      <c r="I3509" s="121"/>
      <c r="J3509" s="121"/>
      <c r="K3509" s="117"/>
    </row>
    <row r="3510" ht="15.75" customHeight="1">
      <c r="A3510" s="122"/>
      <c r="B3510" s="133"/>
      <c r="C3510" s="120"/>
      <c r="D3510" s="120"/>
      <c r="E3510" s="120"/>
      <c r="F3510" s="120"/>
      <c r="G3510" s="120"/>
      <c r="H3510" s="120"/>
      <c r="I3510" s="121"/>
      <c r="J3510" s="121"/>
      <c r="K3510" s="117"/>
    </row>
    <row r="3511" ht="15.75" customHeight="1">
      <c r="A3511" s="122"/>
      <c r="B3511" s="133"/>
      <c r="C3511" s="120"/>
      <c r="D3511" s="120"/>
      <c r="E3511" s="120"/>
      <c r="F3511" s="120"/>
      <c r="G3511" s="120"/>
      <c r="H3511" s="120"/>
      <c r="I3511" s="121"/>
      <c r="J3511" s="121"/>
      <c r="K3511" s="117"/>
    </row>
    <row r="3512" ht="15.75" customHeight="1">
      <c r="A3512" s="122"/>
      <c r="B3512" s="133"/>
      <c r="C3512" s="120"/>
      <c r="D3512" s="120"/>
      <c r="E3512" s="120"/>
      <c r="F3512" s="120"/>
      <c r="G3512" s="120"/>
      <c r="H3512" s="120"/>
      <c r="I3512" s="121"/>
      <c r="J3512" s="121"/>
      <c r="K3512" s="117"/>
    </row>
    <row r="3513" ht="15.75" customHeight="1">
      <c r="A3513" s="122"/>
      <c r="B3513" s="133"/>
      <c r="C3513" s="120"/>
      <c r="D3513" s="120"/>
      <c r="E3513" s="120"/>
      <c r="F3513" s="120"/>
      <c r="G3513" s="120"/>
      <c r="H3513" s="120"/>
      <c r="I3513" s="121"/>
      <c r="J3513" s="121"/>
      <c r="K3513" s="117"/>
    </row>
    <row r="3514" ht="15.75" customHeight="1">
      <c r="A3514" s="122"/>
      <c r="B3514" s="133"/>
      <c r="C3514" s="120"/>
      <c r="D3514" s="120"/>
      <c r="E3514" s="120"/>
      <c r="F3514" s="120"/>
      <c r="G3514" s="120"/>
      <c r="H3514" s="120"/>
      <c r="I3514" s="121"/>
      <c r="J3514" s="121"/>
      <c r="K3514" s="117"/>
    </row>
    <row r="3515" ht="15.75" customHeight="1">
      <c r="A3515" s="122"/>
      <c r="B3515" s="133"/>
      <c r="C3515" s="120"/>
      <c r="D3515" s="120"/>
      <c r="E3515" s="120"/>
      <c r="F3515" s="120"/>
      <c r="G3515" s="120"/>
      <c r="H3515" s="120"/>
      <c r="I3515" s="121"/>
      <c r="J3515" s="121"/>
      <c r="K3515" s="117"/>
    </row>
    <row r="3516" ht="15.75" customHeight="1">
      <c r="A3516" s="122"/>
      <c r="B3516" s="133"/>
      <c r="C3516" s="120"/>
      <c r="D3516" s="120"/>
      <c r="E3516" s="120"/>
      <c r="F3516" s="120"/>
      <c r="G3516" s="120"/>
      <c r="H3516" s="120"/>
      <c r="I3516" s="121"/>
      <c r="J3516" s="121"/>
      <c r="K3516" s="117"/>
    </row>
    <row r="3517" ht="15.75" customHeight="1">
      <c r="A3517" s="122"/>
      <c r="B3517" s="133"/>
      <c r="C3517" s="120"/>
      <c r="D3517" s="120"/>
      <c r="E3517" s="120"/>
      <c r="F3517" s="120"/>
      <c r="G3517" s="120"/>
      <c r="H3517" s="120"/>
      <c r="I3517" s="121"/>
      <c r="J3517" s="121"/>
      <c r="K3517" s="117"/>
    </row>
    <row r="3518" ht="15.75" customHeight="1">
      <c r="A3518" s="122"/>
      <c r="B3518" s="133"/>
      <c r="C3518" s="120"/>
      <c r="D3518" s="120"/>
      <c r="E3518" s="120"/>
      <c r="F3518" s="120"/>
      <c r="G3518" s="120"/>
      <c r="H3518" s="120"/>
      <c r="I3518" s="121"/>
      <c r="J3518" s="121"/>
      <c r="K3518" s="117"/>
    </row>
    <row r="3519" ht="15.75" customHeight="1">
      <c r="A3519" s="122"/>
      <c r="B3519" s="133"/>
      <c r="C3519" s="120"/>
      <c r="D3519" s="120"/>
      <c r="E3519" s="120"/>
      <c r="F3519" s="120"/>
      <c r="G3519" s="120"/>
      <c r="H3519" s="120"/>
      <c r="I3519" s="121"/>
      <c r="J3519" s="121"/>
      <c r="K3519" s="117"/>
    </row>
    <row r="3520" ht="15.75" customHeight="1">
      <c r="A3520" s="122"/>
      <c r="B3520" s="133"/>
      <c r="C3520" s="120"/>
      <c r="D3520" s="120"/>
      <c r="E3520" s="120"/>
      <c r="F3520" s="120"/>
      <c r="G3520" s="120"/>
      <c r="H3520" s="120"/>
      <c r="I3520" s="121"/>
      <c r="J3520" s="121"/>
      <c r="K3520" s="117"/>
    </row>
    <row r="3521" ht="15.75" customHeight="1">
      <c r="A3521" s="122"/>
      <c r="B3521" s="133"/>
      <c r="C3521" s="120"/>
      <c r="D3521" s="120"/>
      <c r="E3521" s="120"/>
      <c r="F3521" s="120"/>
      <c r="G3521" s="120"/>
      <c r="H3521" s="120"/>
      <c r="I3521" s="121"/>
      <c r="J3521" s="121"/>
      <c r="K3521" s="117"/>
    </row>
    <row r="3522" ht="15.75" customHeight="1">
      <c r="A3522" s="122"/>
      <c r="B3522" s="133"/>
      <c r="C3522" s="120"/>
      <c r="D3522" s="120"/>
      <c r="E3522" s="120"/>
      <c r="F3522" s="120"/>
      <c r="G3522" s="120"/>
      <c r="H3522" s="120"/>
      <c r="I3522" s="121"/>
      <c r="J3522" s="121"/>
      <c r="K3522" s="117"/>
    </row>
    <row r="3523" ht="15.75" customHeight="1">
      <c r="A3523" s="122"/>
      <c r="B3523" s="133"/>
      <c r="C3523" s="120"/>
      <c r="D3523" s="120"/>
      <c r="E3523" s="120"/>
      <c r="F3523" s="120"/>
      <c r="G3523" s="120"/>
      <c r="H3523" s="120"/>
      <c r="I3523" s="121"/>
      <c r="J3523" s="121"/>
      <c r="K3523" s="117"/>
    </row>
    <row r="3524" ht="15.75" customHeight="1">
      <c r="A3524" s="122"/>
      <c r="B3524" s="133"/>
      <c r="C3524" s="120"/>
      <c r="D3524" s="120"/>
      <c r="E3524" s="120"/>
      <c r="F3524" s="120"/>
      <c r="G3524" s="120"/>
      <c r="H3524" s="120"/>
      <c r="I3524" s="121"/>
      <c r="J3524" s="121"/>
      <c r="K3524" s="117"/>
    </row>
    <row r="3525" ht="15.75" customHeight="1">
      <c r="A3525" s="122"/>
      <c r="B3525" s="133"/>
      <c r="C3525" s="120"/>
      <c r="D3525" s="120"/>
      <c r="E3525" s="120"/>
      <c r="F3525" s="120"/>
      <c r="G3525" s="120"/>
      <c r="H3525" s="120"/>
      <c r="I3525" s="121"/>
      <c r="J3525" s="121"/>
      <c r="K3525" s="117"/>
    </row>
    <row r="3526" ht="15.75" customHeight="1">
      <c r="A3526" s="122"/>
      <c r="B3526" s="133"/>
      <c r="C3526" s="120"/>
      <c r="D3526" s="120"/>
      <c r="E3526" s="120"/>
      <c r="F3526" s="120"/>
      <c r="G3526" s="120"/>
      <c r="H3526" s="120"/>
      <c r="I3526" s="121"/>
      <c r="J3526" s="121"/>
      <c r="K3526" s="117"/>
    </row>
    <row r="3527" ht="15.75" customHeight="1">
      <c r="A3527" s="122"/>
      <c r="B3527" s="133"/>
      <c r="C3527" s="120"/>
      <c r="D3527" s="120"/>
      <c r="E3527" s="120"/>
      <c r="F3527" s="120"/>
      <c r="G3527" s="120"/>
      <c r="H3527" s="120"/>
      <c r="I3527" s="121"/>
      <c r="J3527" s="121"/>
      <c r="K3527" s="117"/>
    </row>
    <row r="3528" ht="15.75" customHeight="1">
      <c r="A3528" s="122"/>
      <c r="B3528" s="133"/>
      <c r="C3528" s="120"/>
      <c r="D3528" s="120"/>
      <c r="E3528" s="120"/>
      <c r="F3528" s="120"/>
      <c r="G3528" s="120"/>
      <c r="H3528" s="120"/>
      <c r="I3528" s="121"/>
      <c r="J3528" s="121"/>
      <c r="K3528" s="117"/>
    </row>
    <row r="3529" ht="15.75" customHeight="1">
      <c r="A3529" s="122"/>
      <c r="B3529" s="133"/>
      <c r="C3529" s="120"/>
      <c r="D3529" s="120"/>
      <c r="E3529" s="120"/>
      <c r="F3529" s="120"/>
      <c r="G3529" s="120"/>
      <c r="H3529" s="120"/>
      <c r="I3529" s="121"/>
      <c r="J3529" s="121"/>
      <c r="K3529" s="117"/>
    </row>
    <row r="3530" ht="15.75" customHeight="1">
      <c r="A3530" s="122"/>
      <c r="B3530" s="133"/>
      <c r="C3530" s="120"/>
      <c r="D3530" s="120"/>
      <c r="E3530" s="120"/>
      <c r="F3530" s="120"/>
      <c r="G3530" s="120"/>
      <c r="H3530" s="120"/>
      <c r="I3530" s="121"/>
      <c r="J3530" s="121"/>
      <c r="K3530" s="117"/>
    </row>
    <row r="3531" ht="15.75" customHeight="1">
      <c r="A3531" s="122"/>
      <c r="B3531" s="133"/>
      <c r="C3531" s="120"/>
      <c r="D3531" s="120"/>
      <c r="E3531" s="120"/>
      <c r="F3531" s="120"/>
      <c r="G3531" s="120"/>
      <c r="H3531" s="120"/>
      <c r="I3531" s="121"/>
      <c r="J3531" s="121"/>
      <c r="K3531" s="117"/>
    </row>
    <row r="3532" ht="15.75" customHeight="1">
      <c r="A3532" s="122"/>
      <c r="B3532" s="133"/>
      <c r="C3532" s="120"/>
      <c r="D3532" s="120"/>
      <c r="E3532" s="120"/>
      <c r="F3532" s="120"/>
      <c r="G3532" s="120"/>
      <c r="H3532" s="120"/>
      <c r="I3532" s="121"/>
      <c r="J3532" s="121"/>
      <c r="K3532" s="117"/>
    </row>
    <row r="3533" ht="15.75" customHeight="1">
      <c r="A3533" s="122"/>
      <c r="B3533" s="133"/>
      <c r="C3533" s="120"/>
      <c r="D3533" s="120"/>
      <c r="E3533" s="120"/>
      <c r="F3533" s="120"/>
      <c r="G3533" s="120"/>
      <c r="H3533" s="120"/>
      <c r="I3533" s="121"/>
      <c r="J3533" s="121"/>
      <c r="K3533" s="117"/>
    </row>
    <row r="3534" ht="15.75" customHeight="1">
      <c r="A3534" s="122"/>
      <c r="B3534" s="133"/>
      <c r="C3534" s="120"/>
      <c r="D3534" s="120"/>
      <c r="E3534" s="120"/>
      <c r="F3534" s="120"/>
      <c r="G3534" s="120"/>
      <c r="H3534" s="120"/>
      <c r="I3534" s="121"/>
      <c r="J3534" s="121"/>
      <c r="K3534" s="117"/>
    </row>
    <row r="3535" ht="15.75" customHeight="1">
      <c r="A3535" s="122"/>
      <c r="B3535" s="133"/>
      <c r="C3535" s="120"/>
      <c r="D3535" s="120"/>
      <c r="E3535" s="120"/>
      <c r="F3535" s="120"/>
      <c r="G3535" s="120"/>
      <c r="H3535" s="120"/>
      <c r="I3535" s="121"/>
      <c r="J3535" s="121"/>
      <c r="K3535" s="117"/>
    </row>
    <row r="3536" ht="15.75" customHeight="1">
      <c r="A3536" s="122"/>
      <c r="B3536" s="133"/>
      <c r="C3536" s="120"/>
      <c r="D3536" s="120"/>
      <c r="E3536" s="120"/>
      <c r="F3536" s="120"/>
      <c r="G3536" s="120"/>
      <c r="H3536" s="120"/>
      <c r="I3536" s="121"/>
      <c r="J3536" s="121"/>
      <c r="K3536" s="117"/>
    </row>
    <row r="3537" ht="15.75" customHeight="1">
      <c r="A3537" s="122"/>
      <c r="B3537" s="133"/>
      <c r="C3537" s="120"/>
      <c r="D3537" s="120"/>
      <c r="E3537" s="120"/>
      <c r="F3537" s="120"/>
      <c r="G3537" s="120"/>
      <c r="H3537" s="120"/>
      <c r="I3537" s="121"/>
      <c r="J3537" s="121"/>
      <c r="K3537" s="117"/>
    </row>
    <row r="3538" ht="15.75" customHeight="1">
      <c r="A3538" s="122"/>
      <c r="B3538" s="133"/>
      <c r="C3538" s="120"/>
      <c r="D3538" s="120"/>
      <c r="E3538" s="120"/>
      <c r="F3538" s="120"/>
      <c r="G3538" s="120"/>
      <c r="H3538" s="120"/>
      <c r="I3538" s="121"/>
      <c r="J3538" s="121"/>
      <c r="K3538" s="117"/>
    </row>
    <row r="3539" ht="15.75" customHeight="1">
      <c r="A3539" s="122"/>
      <c r="B3539" s="133"/>
      <c r="C3539" s="120"/>
      <c r="D3539" s="120"/>
      <c r="E3539" s="120"/>
      <c r="F3539" s="120"/>
      <c r="G3539" s="120"/>
      <c r="H3539" s="120"/>
      <c r="I3539" s="121"/>
      <c r="J3539" s="121"/>
      <c r="K3539" s="117"/>
    </row>
    <row r="3540" ht="15.75" customHeight="1">
      <c r="A3540" s="122"/>
      <c r="B3540" s="133"/>
      <c r="C3540" s="120"/>
      <c r="D3540" s="120"/>
      <c r="E3540" s="120"/>
      <c r="F3540" s="120"/>
      <c r="G3540" s="120"/>
      <c r="H3540" s="120"/>
      <c r="I3540" s="121"/>
      <c r="J3540" s="121"/>
      <c r="K3540" s="117"/>
    </row>
    <row r="3541" ht="15.75" customHeight="1">
      <c r="A3541" s="122"/>
      <c r="B3541" s="133"/>
      <c r="C3541" s="120"/>
      <c r="D3541" s="120"/>
      <c r="E3541" s="120"/>
      <c r="F3541" s="120"/>
      <c r="G3541" s="120"/>
      <c r="H3541" s="120"/>
      <c r="I3541" s="121"/>
      <c r="J3541" s="121"/>
      <c r="K3541" s="117"/>
    </row>
    <row r="3542" ht="15.75" customHeight="1">
      <c r="A3542" s="122"/>
      <c r="B3542" s="133"/>
      <c r="C3542" s="120"/>
      <c r="D3542" s="120"/>
      <c r="E3542" s="120"/>
      <c r="F3542" s="120"/>
      <c r="G3542" s="120"/>
      <c r="H3542" s="120"/>
      <c r="I3542" s="121"/>
      <c r="J3542" s="121"/>
      <c r="K3542" s="117"/>
    </row>
    <row r="3543" ht="15.75" customHeight="1">
      <c r="A3543" s="122"/>
      <c r="B3543" s="133"/>
      <c r="C3543" s="120"/>
      <c r="D3543" s="120"/>
      <c r="E3543" s="120"/>
      <c r="F3543" s="120"/>
      <c r="G3543" s="120"/>
      <c r="H3543" s="120"/>
      <c r="I3543" s="121"/>
      <c r="J3543" s="121"/>
      <c r="K3543" s="117"/>
    </row>
    <row r="3544" ht="15.75" customHeight="1">
      <c r="A3544" s="122"/>
      <c r="B3544" s="133"/>
      <c r="C3544" s="120"/>
      <c r="D3544" s="120"/>
      <c r="E3544" s="120"/>
      <c r="F3544" s="120"/>
      <c r="G3544" s="120"/>
      <c r="H3544" s="120"/>
      <c r="I3544" s="121"/>
      <c r="J3544" s="121"/>
      <c r="K3544" s="117"/>
    </row>
    <row r="3545" ht="15.75" customHeight="1">
      <c r="A3545" s="122"/>
      <c r="B3545" s="133"/>
      <c r="C3545" s="120"/>
      <c r="D3545" s="120"/>
      <c r="E3545" s="120"/>
      <c r="F3545" s="120"/>
      <c r="G3545" s="120"/>
      <c r="H3545" s="120"/>
      <c r="I3545" s="121"/>
      <c r="J3545" s="121"/>
      <c r="K3545" s="117"/>
    </row>
    <row r="3546" ht="15.75" customHeight="1">
      <c r="A3546" s="122"/>
      <c r="B3546" s="133"/>
      <c r="C3546" s="120"/>
      <c r="D3546" s="120"/>
      <c r="E3546" s="120"/>
      <c r="F3546" s="120"/>
      <c r="G3546" s="120"/>
      <c r="H3546" s="120"/>
      <c r="I3546" s="121"/>
      <c r="J3546" s="121"/>
      <c r="K3546" s="117"/>
    </row>
    <row r="3547" ht="15.75" customHeight="1">
      <c r="A3547" s="122"/>
      <c r="B3547" s="133"/>
      <c r="C3547" s="120"/>
      <c r="D3547" s="120"/>
      <c r="E3547" s="120"/>
      <c r="F3547" s="120"/>
      <c r="G3547" s="120"/>
      <c r="H3547" s="120"/>
      <c r="I3547" s="121"/>
      <c r="J3547" s="121"/>
      <c r="K3547" s="117"/>
    </row>
    <row r="3548" ht="15.75" customHeight="1">
      <c r="A3548" s="122"/>
      <c r="B3548" s="133"/>
      <c r="C3548" s="120"/>
      <c r="D3548" s="120"/>
      <c r="E3548" s="120"/>
      <c r="F3548" s="120"/>
      <c r="G3548" s="120"/>
      <c r="H3548" s="120"/>
      <c r="I3548" s="121"/>
      <c r="J3548" s="121"/>
      <c r="K3548" s="117"/>
    </row>
    <row r="3549" ht="15.75" customHeight="1">
      <c r="A3549" s="122"/>
      <c r="B3549" s="133"/>
      <c r="C3549" s="120"/>
      <c r="D3549" s="120"/>
      <c r="E3549" s="120"/>
      <c r="F3549" s="120"/>
      <c r="G3549" s="120"/>
      <c r="H3549" s="120"/>
      <c r="I3549" s="121"/>
      <c r="J3549" s="121"/>
      <c r="K3549" s="117"/>
    </row>
    <row r="3550" ht="15.75" customHeight="1">
      <c r="A3550" s="122"/>
      <c r="B3550" s="133"/>
      <c r="C3550" s="120"/>
      <c r="D3550" s="120"/>
      <c r="E3550" s="120"/>
      <c r="F3550" s="120"/>
      <c r="G3550" s="120"/>
      <c r="H3550" s="120"/>
      <c r="I3550" s="121"/>
      <c r="J3550" s="121"/>
      <c r="K3550" s="117"/>
    </row>
    <row r="3551" ht="15.75" customHeight="1">
      <c r="A3551" s="122"/>
      <c r="B3551" s="133"/>
      <c r="C3551" s="120"/>
      <c r="D3551" s="120"/>
      <c r="E3551" s="120"/>
      <c r="F3551" s="120"/>
      <c r="G3551" s="120"/>
      <c r="H3551" s="120"/>
      <c r="I3551" s="121"/>
      <c r="J3551" s="121"/>
      <c r="K3551" s="117"/>
    </row>
    <row r="3552" ht="15.75" customHeight="1">
      <c r="A3552" s="122"/>
      <c r="B3552" s="133"/>
      <c r="C3552" s="120"/>
      <c r="D3552" s="120"/>
      <c r="E3552" s="120"/>
      <c r="F3552" s="120"/>
      <c r="G3552" s="120"/>
      <c r="H3552" s="120"/>
      <c r="I3552" s="121"/>
      <c r="J3552" s="121"/>
      <c r="K3552" s="117"/>
    </row>
    <row r="3553" ht="15.75" customHeight="1">
      <c r="A3553" s="122"/>
      <c r="B3553" s="133"/>
      <c r="C3553" s="120"/>
      <c r="D3553" s="120"/>
      <c r="E3553" s="120"/>
      <c r="F3553" s="120"/>
      <c r="G3553" s="120"/>
      <c r="H3553" s="120"/>
      <c r="I3553" s="121"/>
      <c r="J3553" s="121"/>
      <c r="K3553" s="117"/>
    </row>
    <row r="3554" ht="15.75" customHeight="1">
      <c r="A3554" s="122"/>
      <c r="B3554" s="133"/>
      <c r="C3554" s="120"/>
      <c r="D3554" s="120"/>
      <c r="E3554" s="120"/>
      <c r="F3554" s="120"/>
      <c r="G3554" s="120"/>
      <c r="H3554" s="120"/>
      <c r="I3554" s="121"/>
      <c r="J3554" s="121"/>
      <c r="K3554" s="117"/>
    </row>
    <row r="3555" ht="15.75" customHeight="1">
      <c r="A3555" s="122"/>
      <c r="B3555" s="133"/>
      <c r="C3555" s="120"/>
      <c r="D3555" s="120"/>
      <c r="E3555" s="120"/>
      <c r="F3555" s="120"/>
      <c r="G3555" s="120"/>
      <c r="H3555" s="120"/>
      <c r="I3555" s="121"/>
      <c r="J3555" s="121"/>
      <c r="K3555" s="117"/>
    </row>
    <row r="3556" ht="15.75" customHeight="1">
      <c r="A3556" s="122"/>
      <c r="B3556" s="133"/>
      <c r="C3556" s="120"/>
      <c r="D3556" s="120"/>
      <c r="E3556" s="120"/>
      <c r="F3556" s="120"/>
      <c r="G3556" s="120"/>
      <c r="H3556" s="120"/>
      <c r="I3556" s="121"/>
      <c r="J3556" s="121"/>
      <c r="K3556" s="117"/>
    </row>
    <row r="3557" ht="15.75" customHeight="1">
      <c r="A3557" s="122"/>
      <c r="B3557" s="133"/>
      <c r="C3557" s="120"/>
      <c r="D3557" s="120"/>
      <c r="E3557" s="120"/>
      <c r="F3557" s="120"/>
      <c r="G3557" s="120"/>
      <c r="H3557" s="120"/>
      <c r="I3557" s="121"/>
      <c r="J3557" s="121"/>
      <c r="K3557" s="117"/>
    </row>
    <row r="3558" ht="15.75" customHeight="1">
      <c r="A3558" s="122"/>
      <c r="B3558" s="133"/>
      <c r="C3558" s="120"/>
      <c r="D3558" s="120"/>
      <c r="E3558" s="120"/>
      <c r="F3558" s="120"/>
      <c r="G3558" s="120"/>
      <c r="H3558" s="120"/>
      <c r="I3558" s="121"/>
      <c r="J3558" s="121"/>
      <c r="K3558" s="117"/>
    </row>
    <row r="3559" ht="15.75" customHeight="1">
      <c r="A3559" s="122"/>
      <c r="B3559" s="133"/>
      <c r="C3559" s="120"/>
      <c r="D3559" s="120"/>
      <c r="E3559" s="120"/>
      <c r="F3559" s="120"/>
      <c r="G3559" s="120"/>
      <c r="H3559" s="120"/>
      <c r="I3559" s="121"/>
      <c r="J3559" s="121"/>
      <c r="K3559" s="117"/>
    </row>
    <row r="3560" ht="15.75" customHeight="1">
      <c r="A3560" s="122"/>
      <c r="B3560" s="133"/>
      <c r="C3560" s="120"/>
      <c r="D3560" s="120"/>
      <c r="E3560" s="120"/>
      <c r="F3560" s="120"/>
      <c r="G3560" s="120"/>
      <c r="H3560" s="120"/>
      <c r="I3560" s="121"/>
      <c r="J3560" s="121"/>
      <c r="K3560" s="117"/>
    </row>
    <row r="3561" ht="15.75" customHeight="1">
      <c r="A3561" s="122"/>
      <c r="B3561" s="133"/>
      <c r="C3561" s="120"/>
      <c r="D3561" s="120"/>
      <c r="E3561" s="120"/>
      <c r="F3561" s="120"/>
      <c r="G3561" s="120"/>
      <c r="H3561" s="120"/>
      <c r="I3561" s="121"/>
      <c r="J3561" s="121"/>
      <c r="K3561" s="117"/>
    </row>
    <row r="3562" ht="15.75" customHeight="1">
      <c r="A3562" s="122"/>
      <c r="B3562" s="133"/>
      <c r="C3562" s="120"/>
      <c r="D3562" s="120"/>
      <c r="E3562" s="120"/>
      <c r="F3562" s="120"/>
      <c r="G3562" s="120"/>
      <c r="H3562" s="120"/>
      <c r="I3562" s="121"/>
      <c r="J3562" s="121"/>
      <c r="K3562" s="117"/>
    </row>
    <row r="3563" ht="15.75" customHeight="1">
      <c r="A3563" s="122"/>
      <c r="B3563" s="133"/>
      <c r="C3563" s="120"/>
      <c r="D3563" s="120"/>
      <c r="E3563" s="120"/>
      <c r="F3563" s="120"/>
      <c r="G3563" s="120"/>
      <c r="H3563" s="120"/>
      <c r="I3563" s="121"/>
      <c r="J3563" s="121"/>
      <c r="K3563" s="117"/>
    </row>
    <row r="3564" ht="15.75" customHeight="1">
      <c r="A3564" s="122"/>
      <c r="B3564" s="133"/>
      <c r="C3564" s="120"/>
      <c r="D3564" s="120"/>
      <c r="E3564" s="120"/>
      <c r="F3564" s="120"/>
      <c r="G3564" s="120"/>
      <c r="H3564" s="120"/>
      <c r="I3564" s="121"/>
      <c r="J3564" s="121"/>
      <c r="K3564" s="117"/>
    </row>
    <row r="3565" ht="15.75" customHeight="1">
      <c r="A3565" s="122"/>
      <c r="B3565" s="133"/>
      <c r="C3565" s="120"/>
      <c r="D3565" s="120"/>
      <c r="E3565" s="120"/>
      <c r="F3565" s="120"/>
      <c r="G3565" s="120"/>
      <c r="H3565" s="120"/>
      <c r="I3565" s="121"/>
      <c r="J3565" s="121"/>
      <c r="K3565" s="117"/>
    </row>
    <row r="3566" ht="15.75" customHeight="1">
      <c r="A3566" s="122"/>
      <c r="B3566" s="133"/>
      <c r="C3566" s="120"/>
      <c r="D3566" s="120"/>
      <c r="E3566" s="120"/>
      <c r="F3566" s="120"/>
      <c r="G3566" s="120"/>
      <c r="H3566" s="120"/>
      <c r="I3566" s="121"/>
      <c r="J3566" s="121"/>
      <c r="K3566" s="117"/>
    </row>
    <row r="3567" ht="15.75" customHeight="1">
      <c r="A3567" s="122"/>
      <c r="B3567" s="133"/>
      <c r="C3567" s="120"/>
      <c r="D3567" s="120"/>
      <c r="E3567" s="120"/>
      <c r="F3567" s="120"/>
      <c r="G3567" s="120"/>
      <c r="H3567" s="120"/>
      <c r="I3567" s="121"/>
      <c r="J3567" s="121"/>
      <c r="K3567" s="117"/>
    </row>
    <row r="3568" ht="15.75" customHeight="1">
      <c r="A3568" s="122"/>
      <c r="B3568" s="133"/>
      <c r="C3568" s="120"/>
      <c r="D3568" s="120"/>
      <c r="E3568" s="120"/>
      <c r="F3568" s="120"/>
      <c r="G3568" s="120"/>
      <c r="H3568" s="120"/>
      <c r="I3568" s="121"/>
      <c r="J3568" s="121"/>
      <c r="K3568" s="117"/>
    </row>
    <row r="3569" ht="15.75" customHeight="1">
      <c r="A3569" s="122"/>
      <c r="B3569" s="133"/>
      <c r="C3569" s="120"/>
      <c r="D3569" s="120"/>
      <c r="E3569" s="120"/>
      <c r="F3569" s="120"/>
      <c r="G3569" s="120"/>
      <c r="H3569" s="120"/>
      <c r="I3569" s="121"/>
      <c r="J3569" s="121"/>
      <c r="K3569" s="117"/>
    </row>
    <row r="3570" ht="15.75" customHeight="1">
      <c r="A3570" s="122"/>
      <c r="B3570" s="133"/>
      <c r="C3570" s="120"/>
      <c r="D3570" s="120"/>
      <c r="E3570" s="120"/>
      <c r="F3570" s="120"/>
      <c r="G3570" s="120"/>
      <c r="H3570" s="120"/>
      <c r="I3570" s="121"/>
      <c r="J3570" s="121"/>
      <c r="K3570" s="117"/>
    </row>
    <row r="3571" ht="15.75" customHeight="1">
      <c r="A3571" s="122"/>
      <c r="B3571" s="133"/>
      <c r="C3571" s="120"/>
      <c r="D3571" s="120"/>
      <c r="E3571" s="120"/>
      <c r="F3571" s="120"/>
      <c r="G3571" s="120"/>
      <c r="H3571" s="120"/>
      <c r="I3571" s="121"/>
      <c r="J3571" s="121"/>
      <c r="K3571" s="117"/>
    </row>
    <row r="3572" ht="15.75" customHeight="1">
      <c r="A3572" s="122"/>
      <c r="B3572" s="133"/>
      <c r="C3572" s="120"/>
      <c r="D3572" s="120"/>
      <c r="E3572" s="120"/>
      <c r="F3572" s="120"/>
      <c r="G3572" s="120"/>
      <c r="H3572" s="120"/>
      <c r="I3572" s="121"/>
      <c r="J3572" s="121"/>
      <c r="K3572" s="117"/>
    </row>
    <row r="3573" ht="15.75" customHeight="1">
      <c r="A3573" s="122"/>
      <c r="B3573" s="133"/>
      <c r="C3573" s="120"/>
      <c r="D3573" s="120"/>
      <c r="E3573" s="120"/>
      <c r="F3573" s="120"/>
      <c r="G3573" s="120"/>
      <c r="H3573" s="120"/>
      <c r="I3573" s="121"/>
      <c r="J3573" s="121"/>
      <c r="K3573" s="117"/>
    </row>
    <row r="3574" ht="15.75" customHeight="1">
      <c r="A3574" s="122"/>
      <c r="B3574" s="133"/>
      <c r="C3574" s="120"/>
      <c r="D3574" s="120"/>
      <c r="E3574" s="120"/>
      <c r="F3574" s="120"/>
      <c r="G3574" s="120"/>
      <c r="H3574" s="120"/>
      <c r="I3574" s="121"/>
      <c r="J3574" s="121"/>
      <c r="K3574" s="117"/>
    </row>
    <row r="3575" ht="15.75" customHeight="1">
      <c r="A3575" s="122"/>
      <c r="B3575" s="133"/>
      <c r="C3575" s="120"/>
      <c r="D3575" s="120"/>
      <c r="E3575" s="120"/>
      <c r="F3575" s="120"/>
      <c r="G3575" s="120"/>
      <c r="H3575" s="120"/>
      <c r="I3575" s="121"/>
      <c r="J3575" s="121"/>
      <c r="K3575" s="117"/>
    </row>
    <row r="3576" ht="15.75" customHeight="1">
      <c r="A3576" s="122"/>
      <c r="B3576" s="133"/>
      <c r="C3576" s="120"/>
      <c r="D3576" s="120"/>
      <c r="E3576" s="120"/>
      <c r="F3576" s="120"/>
      <c r="G3576" s="120"/>
      <c r="H3576" s="120"/>
      <c r="I3576" s="121"/>
      <c r="J3576" s="121"/>
      <c r="K3576" s="117"/>
    </row>
    <row r="3577" ht="15.75" customHeight="1">
      <c r="A3577" s="122"/>
      <c r="B3577" s="133"/>
      <c r="C3577" s="120"/>
      <c r="D3577" s="120"/>
      <c r="E3577" s="120"/>
      <c r="F3577" s="120"/>
      <c r="G3577" s="120"/>
      <c r="H3577" s="120"/>
      <c r="I3577" s="121"/>
      <c r="J3577" s="121"/>
      <c r="K3577" s="117"/>
    </row>
    <row r="3578" ht="15.75" customHeight="1">
      <c r="A3578" s="122"/>
      <c r="B3578" s="133"/>
      <c r="C3578" s="120"/>
      <c r="D3578" s="120"/>
      <c r="E3578" s="120"/>
      <c r="F3578" s="120"/>
      <c r="G3578" s="120"/>
      <c r="H3578" s="120"/>
      <c r="I3578" s="121"/>
      <c r="J3578" s="121"/>
      <c r="K3578" s="117"/>
    </row>
    <row r="3579" ht="15.75" customHeight="1">
      <c r="A3579" s="122"/>
      <c r="B3579" s="133"/>
      <c r="C3579" s="120"/>
      <c r="D3579" s="120"/>
      <c r="E3579" s="120"/>
      <c r="F3579" s="120"/>
      <c r="G3579" s="120"/>
      <c r="H3579" s="120"/>
      <c r="I3579" s="121"/>
      <c r="J3579" s="121"/>
      <c r="K3579" s="117"/>
    </row>
    <row r="3580" ht="15.75" customHeight="1">
      <c r="A3580" s="122"/>
      <c r="B3580" s="133"/>
      <c r="C3580" s="120"/>
      <c r="D3580" s="120"/>
      <c r="E3580" s="120"/>
      <c r="F3580" s="120"/>
      <c r="G3580" s="120"/>
      <c r="H3580" s="120"/>
      <c r="I3580" s="121"/>
      <c r="J3580" s="121"/>
      <c r="K3580" s="117"/>
    </row>
    <row r="3581" ht="15.75" customHeight="1">
      <c r="A3581" s="122"/>
      <c r="B3581" s="133"/>
      <c r="C3581" s="120"/>
      <c r="D3581" s="120"/>
      <c r="E3581" s="120"/>
      <c r="F3581" s="120"/>
      <c r="G3581" s="120"/>
      <c r="H3581" s="120"/>
      <c r="I3581" s="121"/>
      <c r="J3581" s="121"/>
      <c r="K3581" s="117"/>
    </row>
    <row r="3582" ht="15.75" customHeight="1">
      <c r="A3582" s="122"/>
      <c r="B3582" s="133"/>
      <c r="C3582" s="120"/>
      <c r="D3582" s="120"/>
      <c r="E3582" s="120"/>
      <c r="F3582" s="120"/>
      <c r="G3582" s="120"/>
      <c r="H3582" s="120"/>
      <c r="I3582" s="121"/>
      <c r="J3582" s="121"/>
      <c r="K3582" s="117"/>
    </row>
    <row r="3583" ht="15.75" customHeight="1">
      <c r="A3583" s="122"/>
      <c r="B3583" s="133"/>
      <c r="C3583" s="120"/>
      <c r="D3583" s="120"/>
      <c r="E3583" s="120"/>
      <c r="F3583" s="120"/>
      <c r="G3583" s="120"/>
      <c r="H3583" s="120"/>
      <c r="I3583" s="121"/>
      <c r="J3583" s="121"/>
      <c r="K3583" s="117"/>
    </row>
    <row r="3584" ht="15.75" customHeight="1">
      <c r="A3584" s="122"/>
      <c r="B3584" s="133"/>
      <c r="C3584" s="120"/>
      <c r="D3584" s="120"/>
      <c r="E3584" s="120"/>
      <c r="F3584" s="120"/>
      <c r="G3584" s="120"/>
      <c r="H3584" s="120"/>
      <c r="I3584" s="121"/>
      <c r="J3584" s="121"/>
      <c r="K3584" s="117"/>
    </row>
    <row r="3585" ht="15.75" customHeight="1">
      <c r="A3585" s="122"/>
      <c r="B3585" s="133"/>
      <c r="C3585" s="120"/>
      <c r="D3585" s="120"/>
      <c r="E3585" s="120"/>
      <c r="F3585" s="120"/>
      <c r="G3585" s="120"/>
      <c r="H3585" s="120"/>
      <c r="I3585" s="121"/>
      <c r="J3585" s="121"/>
      <c r="K3585" s="117"/>
    </row>
    <row r="3586" ht="15.75" customHeight="1">
      <c r="A3586" s="122"/>
      <c r="B3586" s="133"/>
      <c r="C3586" s="120"/>
      <c r="D3586" s="120"/>
      <c r="E3586" s="120"/>
      <c r="F3586" s="120"/>
      <c r="G3586" s="120"/>
      <c r="H3586" s="120"/>
      <c r="I3586" s="121"/>
      <c r="J3586" s="121"/>
      <c r="K3586" s="117"/>
    </row>
    <row r="3587" ht="15.75" customHeight="1">
      <c r="A3587" s="122"/>
      <c r="B3587" s="133"/>
      <c r="C3587" s="120"/>
      <c r="D3587" s="120"/>
      <c r="E3587" s="120"/>
      <c r="F3587" s="120"/>
      <c r="G3587" s="120"/>
      <c r="H3587" s="120"/>
      <c r="I3587" s="121"/>
      <c r="J3587" s="121"/>
      <c r="K3587" s="117"/>
    </row>
    <row r="3588" ht="15.75" customHeight="1">
      <c r="A3588" s="122"/>
      <c r="B3588" s="133"/>
      <c r="C3588" s="120"/>
      <c r="D3588" s="120"/>
      <c r="E3588" s="120"/>
      <c r="F3588" s="120"/>
      <c r="G3588" s="120"/>
      <c r="H3588" s="120"/>
      <c r="I3588" s="121"/>
      <c r="J3588" s="121"/>
      <c r="K3588" s="117"/>
    </row>
    <row r="3589" ht="15.75" customHeight="1">
      <c r="A3589" s="122"/>
      <c r="B3589" s="133"/>
      <c r="C3589" s="120"/>
      <c r="D3589" s="120"/>
      <c r="E3589" s="120"/>
      <c r="F3589" s="120"/>
      <c r="G3589" s="120"/>
      <c r="H3589" s="120"/>
      <c r="I3589" s="121"/>
      <c r="J3589" s="121"/>
      <c r="K3589" s="117"/>
    </row>
    <row r="3590" ht="15.75" customHeight="1">
      <c r="A3590" s="122"/>
      <c r="B3590" s="133"/>
      <c r="C3590" s="120"/>
      <c r="D3590" s="120"/>
      <c r="E3590" s="120"/>
      <c r="F3590" s="120"/>
      <c r="G3590" s="120"/>
      <c r="H3590" s="120"/>
      <c r="I3590" s="121"/>
      <c r="J3590" s="121"/>
      <c r="K3590" s="117"/>
    </row>
    <row r="3591" ht="15.75" customHeight="1">
      <c r="A3591" s="122"/>
      <c r="B3591" s="133"/>
      <c r="C3591" s="120"/>
      <c r="D3591" s="120"/>
      <c r="E3591" s="120"/>
      <c r="F3591" s="120"/>
      <c r="G3591" s="120"/>
      <c r="H3591" s="120"/>
      <c r="I3591" s="121"/>
      <c r="J3591" s="121"/>
      <c r="K3591" s="117"/>
    </row>
    <row r="3592" ht="15.75" customHeight="1">
      <c r="A3592" s="122"/>
      <c r="B3592" s="133"/>
      <c r="C3592" s="120"/>
      <c r="D3592" s="120"/>
      <c r="E3592" s="120"/>
      <c r="F3592" s="120"/>
      <c r="G3592" s="120"/>
      <c r="H3592" s="120"/>
      <c r="I3592" s="121"/>
      <c r="J3592" s="121"/>
      <c r="K3592" s="117"/>
    </row>
    <row r="3593" ht="15.75" customHeight="1">
      <c r="A3593" s="122"/>
      <c r="B3593" s="133"/>
      <c r="C3593" s="120"/>
      <c r="D3593" s="120"/>
      <c r="E3593" s="120"/>
      <c r="F3593" s="120"/>
      <c r="G3593" s="120"/>
      <c r="H3593" s="120"/>
      <c r="I3593" s="121"/>
      <c r="J3593" s="121"/>
      <c r="K3593" s="117"/>
    </row>
    <row r="3594" ht="15.75" customHeight="1">
      <c r="A3594" s="122"/>
      <c r="B3594" s="133"/>
      <c r="C3594" s="120"/>
      <c r="D3594" s="120"/>
      <c r="E3594" s="120"/>
      <c r="F3594" s="120"/>
      <c r="G3594" s="120"/>
      <c r="H3594" s="120"/>
      <c r="I3594" s="121"/>
      <c r="J3594" s="121"/>
      <c r="K3594" s="117"/>
    </row>
    <row r="3595" ht="15.75" customHeight="1">
      <c r="A3595" s="122"/>
      <c r="B3595" s="133"/>
      <c r="C3595" s="120"/>
      <c r="D3595" s="120"/>
      <c r="E3595" s="120"/>
      <c r="F3595" s="120"/>
      <c r="G3595" s="120"/>
      <c r="H3595" s="120"/>
      <c r="I3595" s="121"/>
      <c r="J3595" s="121"/>
      <c r="K3595" s="117"/>
    </row>
    <row r="3596" ht="15.75" customHeight="1">
      <c r="A3596" s="122"/>
      <c r="B3596" s="133"/>
      <c r="C3596" s="120"/>
      <c r="D3596" s="120"/>
      <c r="E3596" s="120"/>
      <c r="F3596" s="120"/>
      <c r="G3596" s="120"/>
      <c r="H3596" s="120"/>
      <c r="I3596" s="121"/>
      <c r="J3596" s="121"/>
      <c r="K3596" s="117"/>
    </row>
    <row r="3597" ht="15.75" customHeight="1">
      <c r="A3597" s="122"/>
      <c r="B3597" s="133"/>
      <c r="C3597" s="120"/>
      <c r="D3597" s="120"/>
      <c r="E3597" s="120"/>
      <c r="F3597" s="120"/>
      <c r="G3597" s="120"/>
      <c r="H3597" s="120"/>
      <c r="I3597" s="121"/>
      <c r="J3597" s="121"/>
      <c r="K3597" s="117"/>
    </row>
    <row r="3598" ht="15.75" customHeight="1">
      <c r="A3598" s="122"/>
      <c r="B3598" s="133"/>
      <c r="C3598" s="120"/>
      <c r="D3598" s="120"/>
      <c r="E3598" s="120"/>
      <c r="F3598" s="120"/>
      <c r="G3598" s="120"/>
      <c r="H3598" s="120"/>
      <c r="I3598" s="121"/>
      <c r="J3598" s="121"/>
      <c r="K3598" s="117"/>
    </row>
    <row r="3599" ht="15.75" customHeight="1">
      <c r="A3599" s="122"/>
      <c r="B3599" s="133"/>
      <c r="C3599" s="120"/>
      <c r="D3599" s="120"/>
      <c r="E3599" s="120"/>
      <c r="F3599" s="120"/>
      <c r="G3599" s="120"/>
      <c r="H3599" s="120"/>
      <c r="I3599" s="121"/>
      <c r="J3599" s="121"/>
      <c r="K3599" s="117"/>
    </row>
    <row r="3600" ht="15.75" customHeight="1">
      <c r="A3600" s="122"/>
      <c r="B3600" s="133"/>
      <c r="C3600" s="120"/>
      <c r="D3600" s="120"/>
      <c r="E3600" s="120"/>
      <c r="F3600" s="120"/>
      <c r="G3600" s="120"/>
      <c r="H3600" s="120"/>
      <c r="I3600" s="121"/>
      <c r="J3600" s="121"/>
      <c r="K3600" s="117"/>
    </row>
    <row r="3601" ht="15.75" customHeight="1">
      <c r="A3601" s="122"/>
      <c r="B3601" s="133"/>
      <c r="C3601" s="120"/>
      <c r="D3601" s="120"/>
      <c r="E3601" s="120"/>
      <c r="F3601" s="120"/>
      <c r="G3601" s="120"/>
      <c r="H3601" s="120"/>
      <c r="I3601" s="121"/>
      <c r="J3601" s="121"/>
      <c r="K3601" s="117"/>
    </row>
    <row r="3602" ht="15.75" customHeight="1">
      <c r="A3602" s="122"/>
      <c r="B3602" s="133"/>
      <c r="C3602" s="120"/>
      <c r="D3602" s="120"/>
      <c r="E3602" s="120"/>
      <c r="F3602" s="120"/>
      <c r="G3602" s="120"/>
      <c r="H3602" s="120"/>
      <c r="I3602" s="121"/>
      <c r="J3602" s="121"/>
      <c r="K3602" s="117"/>
    </row>
    <row r="3603" ht="15.75" customHeight="1">
      <c r="A3603" s="122"/>
      <c r="B3603" s="133"/>
      <c r="C3603" s="120"/>
      <c r="D3603" s="120"/>
      <c r="E3603" s="120"/>
      <c r="F3603" s="120"/>
      <c r="G3603" s="120"/>
      <c r="H3603" s="120"/>
      <c r="I3603" s="121"/>
      <c r="J3603" s="121"/>
      <c r="K3603" s="117"/>
    </row>
    <row r="3604" ht="15.75" customHeight="1">
      <c r="A3604" s="122"/>
      <c r="B3604" s="133"/>
      <c r="C3604" s="120"/>
      <c r="D3604" s="120"/>
      <c r="E3604" s="120"/>
      <c r="F3604" s="120"/>
      <c r="G3604" s="120"/>
      <c r="H3604" s="120"/>
      <c r="I3604" s="121"/>
      <c r="J3604" s="121"/>
      <c r="K3604" s="117"/>
    </row>
    <row r="3605" ht="15.75" customHeight="1">
      <c r="A3605" s="122"/>
      <c r="B3605" s="133"/>
      <c r="C3605" s="120"/>
      <c r="D3605" s="120"/>
      <c r="E3605" s="120"/>
      <c r="F3605" s="120"/>
      <c r="G3605" s="120"/>
      <c r="H3605" s="120"/>
      <c r="I3605" s="121"/>
      <c r="J3605" s="121"/>
      <c r="K3605" s="117"/>
    </row>
    <row r="3606" ht="15.75" customHeight="1">
      <c r="A3606" s="122"/>
      <c r="B3606" s="133"/>
      <c r="C3606" s="120"/>
      <c r="D3606" s="120"/>
      <c r="E3606" s="120"/>
      <c r="F3606" s="120"/>
      <c r="G3606" s="120"/>
      <c r="H3606" s="120"/>
      <c r="I3606" s="121"/>
      <c r="J3606" s="121"/>
      <c r="K3606" s="117"/>
    </row>
    <row r="3607" ht="15.75" customHeight="1">
      <c r="A3607" s="122"/>
      <c r="B3607" s="133"/>
      <c r="C3607" s="120"/>
      <c r="D3607" s="120"/>
      <c r="E3607" s="120"/>
      <c r="F3607" s="120"/>
      <c r="G3607" s="120"/>
      <c r="H3607" s="120"/>
      <c r="I3607" s="121"/>
      <c r="J3607" s="121"/>
      <c r="K3607" s="117"/>
    </row>
    <row r="3608" ht="15.75" customHeight="1">
      <c r="A3608" s="122"/>
      <c r="B3608" s="133"/>
      <c r="C3608" s="120"/>
      <c r="D3608" s="120"/>
      <c r="E3608" s="120"/>
      <c r="F3608" s="120"/>
      <c r="G3608" s="120"/>
      <c r="H3608" s="120"/>
      <c r="I3608" s="121"/>
      <c r="J3608" s="121"/>
      <c r="K3608" s="117"/>
    </row>
    <row r="3609" ht="15.75" customHeight="1">
      <c r="A3609" s="122"/>
      <c r="B3609" s="133"/>
      <c r="C3609" s="120"/>
      <c r="D3609" s="120"/>
      <c r="E3609" s="120"/>
      <c r="F3609" s="120"/>
      <c r="G3609" s="120"/>
      <c r="H3609" s="120"/>
      <c r="I3609" s="121"/>
      <c r="J3609" s="121"/>
      <c r="K3609" s="117"/>
    </row>
    <row r="3610" ht="15.75" customHeight="1">
      <c r="A3610" s="122"/>
      <c r="B3610" s="133"/>
      <c r="C3610" s="120"/>
      <c r="D3610" s="120"/>
      <c r="E3610" s="120"/>
      <c r="F3610" s="120"/>
      <c r="G3610" s="120"/>
      <c r="H3610" s="120"/>
      <c r="I3610" s="121"/>
      <c r="J3610" s="121"/>
      <c r="K3610" s="117"/>
    </row>
    <row r="3611" ht="15.75" customHeight="1">
      <c r="A3611" s="122"/>
      <c r="B3611" s="133"/>
      <c r="C3611" s="120"/>
      <c r="D3611" s="120"/>
      <c r="E3611" s="120"/>
      <c r="F3611" s="120"/>
      <c r="G3611" s="120"/>
      <c r="H3611" s="120"/>
      <c r="I3611" s="121"/>
      <c r="J3611" s="121"/>
      <c r="K3611" s="117"/>
    </row>
    <row r="3612" ht="15.75" customHeight="1">
      <c r="A3612" s="122"/>
      <c r="B3612" s="133"/>
      <c r="C3612" s="120"/>
      <c r="D3612" s="120"/>
      <c r="E3612" s="120"/>
      <c r="F3612" s="120"/>
      <c r="G3612" s="120"/>
      <c r="H3612" s="120"/>
      <c r="I3612" s="121"/>
      <c r="J3612" s="121"/>
      <c r="K3612" s="117"/>
    </row>
    <row r="3613" ht="15.75" customHeight="1">
      <c r="A3613" s="122"/>
      <c r="B3613" s="133"/>
      <c r="C3613" s="120"/>
      <c r="D3613" s="120"/>
      <c r="E3613" s="120"/>
      <c r="F3613" s="120"/>
      <c r="G3613" s="120"/>
      <c r="H3613" s="120"/>
      <c r="I3613" s="121"/>
      <c r="J3613" s="121"/>
      <c r="K3613" s="117"/>
    </row>
    <row r="3614" ht="15.75" customHeight="1">
      <c r="A3614" s="122"/>
      <c r="B3614" s="133"/>
      <c r="C3614" s="120"/>
      <c r="D3614" s="120"/>
      <c r="E3614" s="120"/>
      <c r="F3614" s="120"/>
      <c r="G3614" s="120"/>
      <c r="H3614" s="120"/>
      <c r="I3614" s="121"/>
      <c r="J3614" s="121"/>
      <c r="K3614" s="117"/>
    </row>
    <row r="3615" ht="15.75" customHeight="1">
      <c r="A3615" s="122"/>
      <c r="B3615" s="133"/>
      <c r="C3615" s="120"/>
      <c r="D3615" s="120"/>
      <c r="E3615" s="120"/>
      <c r="F3615" s="120"/>
      <c r="G3615" s="120"/>
      <c r="H3615" s="120"/>
      <c r="I3615" s="121"/>
      <c r="J3615" s="121"/>
      <c r="K3615" s="117"/>
    </row>
    <row r="3616" ht="15.75" customHeight="1">
      <c r="A3616" s="122"/>
      <c r="B3616" s="133"/>
      <c r="C3616" s="120"/>
      <c r="D3616" s="120"/>
      <c r="E3616" s="120"/>
      <c r="F3616" s="120"/>
      <c r="G3616" s="120"/>
      <c r="H3616" s="120"/>
      <c r="I3616" s="121"/>
      <c r="J3616" s="121"/>
      <c r="K3616" s="117"/>
    </row>
    <row r="3617" ht="15.75" customHeight="1">
      <c r="A3617" s="122"/>
      <c r="B3617" s="133"/>
      <c r="C3617" s="120"/>
      <c r="D3617" s="120"/>
      <c r="E3617" s="120"/>
      <c r="F3617" s="120"/>
      <c r="G3617" s="120"/>
      <c r="H3617" s="120"/>
      <c r="I3617" s="121"/>
      <c r="J3617" s="121"/>
      <c r="K3617" s="117"/>
    </row>
    <row r="3618" ht="15.75" customHeight="1">
      <c r="A3618" s="122"/>
      <c r="B3618" s="133"/>
      <c r="C3618" s="120"/>
      <c r="D3618" s="120"/>
      <c r="E3618" s="120"/>
      <c r="F3618" s="120"/>
      <c r="G3618" s="120"/>
      <c r="H3618" s="120"/>
      <c r="I3618" s="121"/>
      <c r="J3618" s="121"/>
      <c r="K3618" s="117"/>
    </row>
    <row r="3619" ht="15.75" customHeight="1">
      <c r="A3619" s="122"/>
      <c r="B3619" s="133"/>
      <c r="C3619" s="120"/>
      <c r="D3619" s="120"/>
      <c r="E3619" s="120"/>
      <c r="F3619" s="120"/>
      <c r="G3619" s="120"/>
      <c r="H3619" s="120"/>
      <c r="I3619" s="121"/>
      <c r="J3619" s="121"/>
      <c r="K3619" s="117"/>
    </row>
    <row r="3620" ht="15.75" customHeight="1">
      <c r="A3620" s="122"/>
      <c r="B3620" s="133"/>
      <c r="C3620" s="120"/>
      <c r="D3620" s="120"/>
      <c r="E3620" s="120"/>
      <c r="F3620" s="120"/>
      <c r="G3620" s="120"/>
      <c r="H3620" s="120"/>
      <c r="I3620" s="121"/>
      <c r="J3620" s="121"/>
      <c r="K3620" s="117"/>
    </row>
    <row r="3621" ht="15.75" customHeight="1">
      <c r="A3621" s="122"/>
      <c r="B3621" s="133"/>
      <c r="C3621" s="120"/>
      <c r="D3621" s="120"/>
      <c r="E3621" s="120"/>
      <c r="F3621" s="120"/>
      <c r="G3621" s="120"/>
      <c r="H3621" s="120"/>
      <c r="I3621" s="121"/>
      <c r="J3621" s="121"/>
      <c r="K3621" s="117"/>
    </row>
    <row r="3622" ht="15.75" customHeight="1">
      <c r="A3622" s="122"/>
      <c r="B3622" s="133"/>
      <c r="C3622" s="120"/>
      <c r="D3622" s="120"/>
      <c r="E3622" s="120"/>
      <c r="F3622" s="120"/>
      <c r="G3622" s="120"/>
      <c r="H3622" s="120"/>
      <c r="I3622" s="121"/>
      <c r="J3622" s="121"/>
      <c r="K3622" s="117"/>
    </row>
    <row r="3623" ht="15.75" customHeight="1">
      <c r="A3623" s="122"/>
      <c r="B3623" s="133"/>
      <c r="C3623" s="120"/>
      <c r="D3623" s="120"/>
      <c r="E3623" s="120"/>
      <c r="F3623" s="120"/>
      <c r="G3623" s="120"/>
      <c r="H3623" s="120"/>
      <c r="I3623" s="121"/>
      <c r="J3623" s="121"/>
      <c r="K3623" s="117"/>
    </row>
    <row r="3624" ht="15.75" customHeight="1">
      <c r="A3624" s="122"/>
      <c r="B3624" s="133"/>
      <c r="C3624" s="120"/>
      <c r="D3624" s="120"/>
      <c r="E3624" s="120"/>
      <c r="F3624" s="120"/>
      <c r="G3624" s="120"/>
      <c r="H3624" s="120"/>
      <c r="I3624" s="121"/>
      <c r="J3624" s="121"/>
      <c r="K3624" s="117"/>
    </row>
    <row r="3625" ht="15.75" customHeight="1">
      <c r="A3625" s="122"/>
      <c r="B3625" s="133"/>
      <c r="C3625" s="120"/>
      <c r="D3625" s="120"/>
      <c r="E3625" s="120"/>
      <c r="F3625" s="120"/>
      <c r="G3625" s="120"/>
      <c r="H3625" s="120"/>
      <c r="I3625" s="121"/>
      <c r="J3625" s="121"/>
      <c r="K3625" s="117"/>
    </row>
    <row r="3626" ht="15.75" customHeight="1">
      <c r="A3626" s="122"/>
      <c r="B3626" s="133"/>
      <c r="C3626" s="120"/>
      <c r="D3626" s="120"/>
      <c r="E3626" s="120"/>
      <c r="F3626" s="120"/>
      <c r="G3626" s="120"/>
      <c r="H3626" s="120"/>
      <c r="I3626" s="121"/>
      <c r="J3626" s="121"/>
      <c r="K3626" s="117"/>
    </row>
    <row r="3627" ht="15.75" customHeight="1">
      <c r="A3627" s="122"/>
      <c r="B3627" s="133"/>
      <c r="C3627" s="120"/>
      <c r="D3627" s="120"/>
      <c r="E3627" s="120"/>
      <c r="F3627" s="120"/>
      <c r="G3627" s="120"/>
      <c r="H3627" s="120"/>
      <c r="I3627" s="121"/>
      <c r="J3627" s="121"/>
      <c r="K3627" s="117"/>
    </row>
    <row r="3628" ht="15.75" customHeight="1">
      <c r="A3628" s="122"/>
      <c r="B3628" s="133"/>
      <c r="C3628" s="120"/>
      <c r="D3628" s="120"/>
      <c r="E3628" s="120"/>
      <c r="F3628" s="120"/>
      <c r="G3628" s="120"/>
      <c r="H3628" s="120"/>
      <c r="I3628" s="121"/>
      <c r="J3628" s="121"/>
      <c r="K3628" s="117"/>
    </row>
    <row r="3629" ht="15.75" customHeight="1">
      <c r="A3629" s="122"/>
      <c r="B3629" s="133"/>
      <c r="C3629" s="120"/>
      <c r="D3629" s="120"/>
      <c r="E3629" s="120"/>
      <c r="F3629" s="120"/>
      <c r="G3629" s="120"/>
      <c r="H3629" s="120"/>
      <c r="I3629" s="121"/>
      <c r="J3629" s="121"/>
      <c r="K3629" s="117"/>
    </row>
    <row r="3630" ht="15.75" customHeight="1">
      <c r="A3630" s="122"/>
      <c r="B3630" s="133"/>
      <c r="C3630" s="120"/>
      <c r="D3630" s="120"/>
      <c r="E3630" s="120"/>
      <c r="F3630" s="120"/>
      <c r="G3630" s="120"/>
      <c r="H3630" s="120"/>
      <c r="I3630" s="121"/>
      <c r="J3630" s="121"/>
      <c r="K3630" s="117"/>
    </row>
    <row r="3631" ht="15.75" customHeight="1">
      <c r="A3631" s="122"/>
      <c r="B3631" s="133"/>
      <c r="C3631" s="120"/>
      <c r="D3631" s="120"/>
      <c r="E3631" s="120"/>
      <c r="F3631" s="120"/>
      <c r="G3631" s="120"/>
      <c r="H3631" s="120"/>
      <c r="I3631" s="121"/>
      <c r="J3631" s="121"/>
      <c r="K3631" s="117"/>
    </row>
    <row r="3632" ht="15.75" customHeight="1">
      <c r="A3632" s="122"/>
      <c r="B3632" s="133"/>
      <c r="C3632" s="120"/>
      <c r="D3632" s="120"/>
      <c r="E3632" s="120"/>
      <c r="F3632" s="120"/>
      <c r="G3632" s="120"/>
      <c r="H3632" s="120"/>
      <c r="I3632" s="121"/>
      <c r="J3632" s="121"/>
      <c r="K3632" s="117"/>
    </row>
    <row r="3633" ht="15.75" customHeight="1">
      <c r="A3633" s="122"/>
      <c r="B3633" s="133"/>
      <c r="C3633" s="120"/>
      <c r="D3633" s="120"/>
      <c r="E3633" s="120"/>
      <c r="F3633" s="120"/>
      <c r="G3633" s="120"/>
      <c r="H3633" s="120"/>
      <c r="I3633" s="121"/>
      <c r="J3633" s="121"/>
      <c r="K3633" s="117"/>
    </row>
    <row r="3634" ht="15.75" customHeight="1">
      <c r="A3634" s="122"/>
      <c r="B3634" s="133"/>
      <c r="C3634" s="120"/>
      <c r="D3634" s="120"/>
      <c r="E3634" s="120"/>
      <c r="F3634" s="120"/>
      <c r="G3634" s="120"/>
      <c r="H3634" s="120"/>
      <c r="I3634" s="121"/>
      <c r="J3634" s="121"/>
      <c r="K3634" s="117"/>
    </row>
    <row r="3635" ht="15.75" customHeight="1">
      <c r="A3635" s="122"/>
      <c r="B3635" s="133"/>
      <c r="C3635" s="120"/>
      <c r="D3635" s="120"/>
      <c r="E3635" s="120"/>
      <c r="F3635" s="120"/>
      <c r="G3635" s="120"/>
      <c r="H3635" s="120"/>
      <c r="I3635" s="121"/>
      <c r="J3635" s="121"/>
      <c r="K3635" s="117"/>
    </row>
    <row r="3636" ht="15.75" customHeight="1">
      <c r="A3636" s="122"/>
      <c r="B3636" s="133"/>
      <c r="C3636" s="120"/>
      <c r="D3636" s="120"/>
      <c r="E3636" s="120"/>
      <c r="F3636" s="120"/>
      <c r="G3636" s="120"/>
      <c r="H3636" s="120"/>
      <c r="I3636" s="121"/>
      <c r="J3636" s="121"/>
      <c r="K3636" s="117"/>
    </row>
    <row r="3637" ht="15.75" customHeight="1">
      <c r="A3637" s="122"/>
      <c r="B3637" s="133"/>
      <c r="C3637" s="120"/>
      <c r="D3637" s="120"/>
      <c r="E3637" s="120"/>
      <c r="F3637" s="120"/>
      <c r="G3637" s="120"/>
      <c r="H3637" s="120"/>
      <c r="I3637" s="121"/>
      <c r="J3637" s="121"/>
      <c r="K3637" s="117"/>
    </row>
    <row r="3638" ht="15.75" customHeight="1">
      <c r="A3638" s="122"/>
      <c r="B3638" s="133"/>
      <c r="C3638" s="120"/>
      <c r="D3638" s="120"/>
      <c r="E3638" s="120"/>
      <c r="F3638" s="120"/>
      <c r="G3638" s="120"/>
      <c r="H3638" s="120"/>
      <c r="I3638" s="121"/>
      <c r="J3638" s="121"/>
      <c r="K3638" s="117"/>
    </row>
    <row r="3639" ht="15.75" customHeight="1">
      <c r="A3639" s="122"/>
      <c r="B3639" s="133"/>
      <c r="C3639" s="120"/>
      <c r="D3639" s="120"/>
      <c r="E3639" s="120"/>
      <c r="F3639" s="120"/>
      <c r="G3639" s="120"/>
      <c r="H3639" s="120"/>
      <c r="I3639" s="121"/>
      <c r="J3639" s="121"/>
      <c r="K3639" s="117"/>
    </row>
    <row r="3640" ht="15.75" customHeight="1">
      <c r="A3640" s="122"/>
      <c r="B3640" s="133"/>
      <c r="C3640" s="120"/>
      <c r="D3640" s="120"/>
      <c r="E3640" s="120"/>
      <c r="F3640" s="120"/>
      <c r="G3640" s="120"/>
      <c r="H3640" s="120"/>
      <c r="I3640" s="121"/>
      <c r="J3640" s="121"/>
      <c r="K3640" s="117"/>
    </row>
    <row r="3641" ht="15.75" customHeight="1">
      <c r="A3641" s="122"/>
      <c r="B3641" s="133"/>
      <c r="C3641" s="120"/>
      <c r="D3641" s="120"/>
      <c r="E3641" s="120"/>
      <c r="F3641" s="120"/>
      <c r="G3641" s="120"/>
      <c r="H3641" s="120"/>
      <c r="I3641" s="121"/>
      <c r="J3641" s="121"/>
      <c r="K3641" s="117"/>
    </row>
    <row r="3642" ht="15.75" customHeight="1">
      <c r="A3642" s="122"/>
      <c r="B3642" s="133"/>
      <c r="C3642" s="120"/>
      <c r="D3642" s="120"/>
      <c r="E3642" s="120"/>
      <c r="F3642" s="120"/>
      <c r="G3642" s="120"/>
      <c r="H3642" s="120"/>
      <c r="I3642" s="121"/>
      <c r="J3642" s="121"/>
      <c r="K3642" s="117"/>
    </row>
    <row r="3643" ht="15.75" customHeight="1">
      <c r="A3643" s="122"/>
      <c r="B3643" s="133"/>
      <c r="C3643" s="120"/>
      <c r="D3643" s="120"/>
      <c r="E3643" s="120"/>
      <c r="F3643" s="120"/>
      <c r="G3643" s="120"/>
      <c r="H3643" s="120"/>
      <c r="I3643" s="121"/>
      <c r="J3643" s="121"/>
      <c r="K3643" s="117"/>
    </row>
    <row r="3644" ht="15.75" customHeight="1">
      <c r="A3644" s="122"/>
      <c r="B3644" s="133"/>
      <c r="C3644" s="120"/>
      <c r="D3644" s="120"/>
      <c r="E3644" s="120"/>
      <c r="F3644" s="120"/>
      <c r="G3644" s="120"/>
      <c r="H3644" s="120"/>
      <c r="I3644" s="121"/>
      <c r="J3644" s="121"/>
      <c r="K3644" s="117"/>
    </row>
    <row r="3645" ht="15.75" customHeight="1">
      <c r="A3645" s="122"/>
      <c r="B3645" s="133"/>
      <c r="C3645" s="120"/>
      <c r="D3645" s="120"/>
      <c r="E3645" s="120"/>
      <c r="F3645" s="120"/>
      <c r="G3645" s="120"/>
      <c r="H3645" s="120"/>
      <c r="I3645" s="121"/>
      <c r="J3645" s="121"/>
      <c r="K3645" s="117"/>
    </row>
    <row r="3646" ht="15.75" customHeight="1">
      <c r="A3646" s="122"/>
      <c r="B3646" s="133"/>
      <c r="C3646" s="120"/>
      <c r="D3646" s="120"/>
      <c r="E3646" s="120"/>
      <c r="F3646" s="120"/>
      <c r="G3646" s="120"/>
      <c r="H3646" s="120"/>
      <c r="I3646" s="121"/>
      <c r="J3646" s="121"/>
      <c r="K3646" s="117"/>
    </row>
    <row r="3647" ht="15.75" customHeight="1">
      <c r="A3647" s="122"/>
      <c r="B3647" s="133"/>
      <c r="C3647" s="120"/>
      <c r="D3647" s="120"/>
      <c r="E3647" s="120"/>
      <c r="F3647" s="120"/>
      <c r="G3647" s="120"/>
      <c r="H3647" s="120"/>
      <c r="I3647" s="121"/>
      <c r="J3647" s="121"/>
      <c r="K3647" s="117"/>
    </row>
    <row r="3648" ht="15.75" customHeight="1">
      <c r="A3648" s="122"/>
      <c r="B3648" s="133"/>
      <c r="C3648" s="120"/>
      <c r="D3648" s="120"/>
      <c r="E3648" s="120"/>
      <c r="F3648" s="120"/>
      <c r="G3648" s="120"/>
      <c r="H3648" s="120"/>
      <c r="I3648" s="121"/>
      <c r="J3648" s="121"/>
      <c r="K3648" s="117"/>
    </row>
    <row r="3649" ht="15.75" customHeight="1">
      <c r="A3649" s="122"/>
      <c r="B3649" s="133"/>
      <c r="C3649" s="120"/>
      <c r="D3649" s="120"/>
      <c r="E3649" s="120"/>
      <c r="F3649" s="120"/>
      <c r="G3649" s="120"/>
      <c r="H3649" s="120"/>
      <c r="I3649" s="121"/>
      <c r="J3649" s="121"/>
      <c r="K3649" s="117"/>
    </row>
    <row r="3650" ht="15.75" customHeight="1">
      <c r="A3650" s="122"/>
      <c r="B3650" s="133"/>
      <c r="C3650" s="120"/>
      <c r="D3650" s="120"/>
      <c r="E3650" s="120"/>
      <c r="F3650" s="120"/>
      <c r="G3650" s="120"/>
      <c r="H3650" s="120"/>
      <c r="I3650" s="121"/>
      <c r="J3650" s="121"/>
      <c r="K3650" s="117"/>
    </row>
    <row r="3651" ht="15.75" customHeight="1">
      <c r="A3651" s="122"/>
      <c r="B3651" s="133"/>
      <c r="C3651" s="120"/>
      <c r="D3651" s="120"/>
      <c r="E3651" s="120"/>
      <c r="F3651" s="120"/>
      <c r="G3651" s="120"/>
      <c r="H3651" s="120"/>
      <c r="I3651" s="121"/>
      <c r="J3651" s="121"/>
      <c r="K3651" s="117"/>
    </row>
    <row r="3652" ht="15.75" customHeight="1">
      <c r="A3652" s="122"/>
      <c r="B3652" s="133"/>
      <c r="C3652" s="120"/>
      <c r="D3652" s="120"/>
      <c r="E3652" s="120"/>
      <c r="F3652" s="120"/>
      <c r="G3652" s="120"/>
      <c r="H3652" s="120"/>
      <c r="I3652" s="121"/>
      <c r="J3652" s="121"/>
      <c r="K3652" s="117"/>
    </row>
    <row r="3653" ht="15.75" customHeight="1">
      <c r="A3653" s="122"/>
      <c r="B3653" s="133"/>
      <c r="C3653" s="120"/>
      <c r="D3653" s="120"/>
      <c r="E3653" s="120"/>
      <c r="F3653" s="120"/>
      <c r="G3653" s="120"/>
      <c r="H3653" s="120"/>
      <c r="I3653" s="121"/>
      <c r="J3653" s="121"/>
      <c r="K3653" s="117"/>
    </row>
    <row r="3654" ht="15.75" customHeight="1">
      <c r="A3654" s="122"/>
      <c r="B3654" s="133"/>
      <c r="C3654" s="120"/>
      <c r="D3654" s="120"/>
      <c r="E3654" s="120"/>
      <c r="F3654" s="120"/>
      <c r="G3654" s="120"/>
      <c r="H3654" s="120"/>
      <c r="I3654" s="121"/>
      <c r="J3654" s="121"/>
      <c r="K3654" s="117"/>
    </row>
    <row r="3655" ht="15.75" customHeight="1">
      <c r="A3655" s="122"/>
      <c r="B3655" s="133"/>
      <c r="C3655" s="120"/>
      <c r="D3655" s="120"/>
      <c r="E3655" s="120"/>
      <c r="F3655" s="120"/>
      <c r="G3655" s="120"/>
      <c r="H3655" s="120"/>
      <c r="I3655" s="121"/>
      <c r="J3655" s="121"/>
      <c r="K3655" s="117"/>
    </row>
    <row r="3656" ht="15.75" customHeight="1">
      <c r="A3656" s="122"/>
      <c r="B3656" s="133"/>
      <c r="C3656" s="120"/>
      <c r="D3656" s="120"/>
      <c r="E3656" s="120"/>
      <c r="F3656" s="120"/>
      <c r="G3656" s="120"/>
      <c r="H3656" s="120"/>
      <c r="I3656" s="121"/>
      <c r="J3656" s="121"/>
      <c r="K3656" s="117"/>
    </row>
    <row r="3657" ht="15.75" customHeight="1">
      <c r="A3657" s="122"/>
      <c r="B3657" s="133"/>
      <c r="C3657" s="120"/>
      <c r="D3657" s="120"/>
      <c r="E3657" s="120"/>
      <c r="F3657" s="120"/>
      <c r="G3657" s="120"/>
      <c r="H3657" s="120"/>
      <c r="I3657" s="121"/>
      <c r="J3657" s="121"/>
      <c r="K3657" s="117"/>
    </row>
    <row r="3658" ht="15.75" customHeight="1">
      <c r="A3658" s="122"/>
      <c r="B3658" s="133"/>
      <c r="C3658" s="120"/>
      <c r="D3658" s="120"/>
      <c r="E3658" s="120"/>
      <c r="F3658" s="120"/>
      <c r="G3658" s="120"/>
      <c r="H3658" s="120"/>
      <c r="I3658" s="121"/>
      <c r="J3658" s="121"/>
      <c r="K3658" s="117"/>
    </row>
    <row r="3659" ht="15.75" customHeight="1">
      <c r="A3659" s="122"/>
      <c r="B3659" s="133"/>
      <c r="C3659" s="120"/>
      <c r="D3659" s="120"/>
      <c r="E3659" s="120"/>
      <c r="F3659" s="120"/>
      <c r="G3659" s="120"/>
      <c r="H3659" s="120"/>
      <c r="I3659" s="121"/>
      <c r="J3659" s="121"/>
      <c r="K3659" s="117"/>
    </row>
    <row r="3660" ht="15.75" customHeight="1">
      <c r="A3660" s="122"/>
      <c r="B3660" s="133"/>
      <c r="C3660" s="120"/>
      <c r="D3660" s="120"/>
      <c r="E3660" s="120"/>
      <c r="F3660" s="120"/>
      <c r="G3660" s="120"/>
      <c r="H3660" s="120"/>
      <c r="I3660" s="121"/>
      <c r="J3660" s="121"/>
      <c r="K3660" s="117"/>
    </row>
    <row r="3661" ht="15.75" customHeight="1">
      <c r="A3661" s="122"/>
      <c r="B3661" s="133"/>
      <c r="C3661" s="120"/>
      <c r="D3661" s="120"/>
      <c r="E3661" s="120"/>
      <c r="F3661" s="120"/>
      <c r="G3661" s="120"/>
      <c r="H3661" s="120"/>
      <c r="I3661" s="121"/>
      <c r="J3661" s="121"/>
      <c r="K3661" s="117"/>
    </row>
    <row r="3662" ht="15.75" customHeight="1">
      <c r="A3662" s="122"/>
      <c r="B3662" s="133"/>
      <c r="C3662" s="120"/>
      <c r="D3662" s="120"/>
      <c r="E3662" s="120"/>
      <c r="F3662" s="120"/>
      <c r="G3662" s="120"/>
      <c r="H3662" s="120"/>
      <c r="I3662" s="121"/>
      <c r="J3662" s="121"/>
      <c r="K3662" s="117"/>
    </row>
    <row r="3663" ht="15.75" customHeight="1">
      <c r="A3663" s="122"/>
      <c r="B3663" s="133"/>
      <c r="C3663" s="120"/>
      <c r="D3663" s="120"/>
      <c r="E3663" s="120"/>
      <c r="F3663" s="120"/>
      <c r="G3663" s="120"/>
      <c r="H3663" s="120"/>
      <c r="I3663" s="121"/>
      <c r="J3663" s="121"/>
      <c r="K3663" s="117"/>
    </row>
    <row r="3664" ht="15.75" customHeight="1">
      <c r="A3664" s="122"/>
      <c r="B3664" s="133"/>
      <c r="C3664" s="120"/>
      <c r="D3664" s="120"/>
      <c r="E3664" s="120"/>
      <c r="F3664" s="120"/>
      <c r="G3664" s="120"/>
      <c r="H3664" s="120"/>
      <c r="I3664" s="121"/>
      <c r="J3664" s="121"/>
      <c r="K3664" s="117"/>
    </row>
    <row r="3665" ht="15.75" customHeight="1">
      <c r="A3665" s="122"/>
      <c r="B3665" s="133"/>
      <c r="C3665" s="120"/>
      <c r="D3665" s="120"/>
      <c r="E3665" s="120"/>
      <c r="F3665" s="120"/>
      <c r="G3665" s="120"/>
      <c r="H3665" s="120"/>
      <c r="I3665" s="121"/>
      <c r="J3665" s="121"/>
      <c r="K3665" s="117"/>
    </row>
    <row r="3666" ht="15.75" customHeight="1">
      <c r="A3666" s="122"/>
      <c r="B3666" s="133"/>
      <c r="C3666" s="120"/>
      <c r="D3666" s="120"/>
      <c r="E3666" s="120"/>
      <c r="F3666" s="120"/>
      <c r="G3666" s="120"/>
      <c r="H3666" s="120"/>
      <c r="I3666" s="121"/>
      <c r="J3666" s="121"/>
      <c r="K3666" s="117"/>
    </row>
    <row r="3667" ht="15.75" customHeight="1">
      <c r="A3667" s="122"/>
      <c r="B3667" s="133"/>
      <c r="C3667" s="120"/>
      <c r="D3667" s="120"/>
      <c r="E3667" s="120"/>
      <c r="F3667" s="120"/>
      <c r="G3667" s="120"/>
      <c r="H3667" s="120"/>
      <c r="I3667" s="121"/>
      <c r="J3667" s="121"/>
      <c r="K3667" s="117"/>
    </row>
    <row r="3668" ht="15.75" customHeight="1">
      <c r="A3668" s="122"/>
      <c r="B3668" s="133"/>
      <c r="C3668" s="120"/>
      <c r="D3668" s="120"/>
      <c r="E3668" s="120"/>
      <c r="F3668" s="120"/>
      <c r="G3668" s="120"/>
      <c r="H3668" s="120"/>
      <c r="I3668" s="121"/>
      <c r="J3668" s="121"/>
      <c r="K3668" s="117"/>
    </row>
    <row r="3669" ht="15.75" customHeight="1">
      <c r="A3669" s="122"/>
      <c r="B3669" s="133"/>
      <c r="C3669" s="120"/>
      <c r="D3669" s="120"/>
      <c r="E3669" s="120"/>
      <c r="F3669" s="120"/>
      <c r="G3669" s="120"/>
      <c r="H3669" s="120"/>
      <c r="I3669" s="121"/>
      <c r="J3669" s="121"/>
      <c r="K3669" s="117"/>
    </row>
    <row r="3670" ht="15.75" customHeight="1">
      <c r="A3670" s="122"/>
      <c r="B3670" s="133"/>
      <c r="C3670" s="120"/>
      <c r="D3670" s="120"/>
      <c r="E3670" s="120"/>
      <c r="F3670" s="120"/>
      <c r="G3670" s="120"/>
      <c r="H3670" s="120"/>
      <c r="I3670" s="121"/>
      <c r="J3670" s="121"/>
      <c r="K3670" s="117"/>
    </row>
    <row r="3671" ht="15.75" customHeight="1">
      <c r="A3671" s="122"/>
      <c r="B3671" s="133"/>
      <c r="C3671" s="120"/>
      <c r="D3671" s="120"/>
      <c r="E3671" s="120"/>
      <c r="F3671" s="120"/>
      <c r="G3671" s="120"/>
      <c r="H3671" s="120"/>
      <c r="I3671" s="121"/>
      <c r="J3671" s="121"/>
      <c r="K3671" s="117"/>
    </row>
    <row r="3672" ht="15.75" customHeight="1">
      <c r="A3672" s="122"/>
      <c r="B3672" s="133"/>
      <c r="C3672" s="120"/>
      <c r="D3672" s="120"/>
      <c r="E3672" s="120"/>
      <c r="F3672" s="120"/>
      <c r="G3672" s="120"/>
      <c r="H3672" s="120"/>
      <c r="I3672" s="121"/>
      <c r="J3672" s="121"/>
      <c r="K3672" s="117"/>
    </row>
    <row r="3673" ht="15.75" customHeight="1">
      <c r="A3673" s="122"/>
      <c r="B3673" s="133"/>
      <c r="C3673" s="120"/>
      <c r="D3673" s="120"/>
      <c r="E3673" s="120"/>
      <c r="F3673" s="120"/>
      <c r="G3673" s="120"/>
      <c r="H3673" s="120"/>
      <c r="I3673" s="121"/>
      <c r="J3673" s="121"/>
      <c r="K3673" s="117"/>
    </row>
    <row r="3674" ht="15.75" customHeight="1">
      <c r="A3674" s="122"/>
      <c r="B3674" s="133"/>
      <c r="C3674" s="120"/>
      <c r="D3674" s="120"/>
      <c r="E3674" s="120"/>
      <c r="F3674" s="120"/>
      <c r="G3674" s="120"/>
      <c r="H3674" s="120"/>
      <c r="I3674" s="121"/>
      <c r="J3674" s="121"/>
      <c r="K3674" s="117"/>
    </row>
    <row r="3675" ht="15.75" customHeight="1">
      <c r="A3675" s="122"/>
      <c r="B3675" s="133"/>
      <c r="C3675" s="120"/>
      <c r="D3675" s="120"/>
      <c r="E3675" s="120"/>
      <c r="F3675" s="120"/>
      <c r="G3675" s="120"/>
      <c r="H3675" s="120"/>
      <c r="I3675" s="121"/>
      <c r="J3675" s="121"/>
      <c r="K3675" s="117"/>
    </row>
    <row r="3676" ht="15.75" customHeight="1">
      <c r="A3676" s="122"/>
      <c r="B3676" s="133"/>
      <c r="C3676" s="120"/>
      <c r="D3676" s="120"/>
      <c r="E3676" s="120"/>
      <c r="F3676" s="120"/>
      <c r="G3676" s="120"/>
      <c r="H3676" s="120"/>
      <c r="I3676" s="121"/>
      <c r="J3676" s="121"/>
      <c r="K3676" s="117"/>
    </row>
    <row r="3677" ht="15.75" customHeight="1">
      <c r="A3677" s="122"/>
      <c r="B3677" s="133"/>
      <c r="C3677" s="120"/>
      <c r="D3677" s="120"/>
      <c r="E3677" s="120"/>
      <c r="F3677" s="120"/>
      <c r="G3677" s="120"/>
      <c r="H3677" s="120"/>
      <c r="I3677" s="121"/>
      <c r="J3677" s="121"/>
      <c r="K3677" s="117"/>
    </row>
    <row r="3678" ht="15.75" customHeight="1">
      <c r="A3678" s="122"/>
      <c r="B3678" s="133"/>
      <c r="C3678" s="120"/>
      <c r="D3678" s="120"/>
      <c r="E3678" s="120"/>
      <c r="F3678" s="120"/>
      <c r="G3678" s="120"/>
      <c r="H3678" s="120"/>
      <c r="I3678" s="121"/>
      <c r="J3678" s="121"/>
      <c r="K3678" s="117"/>
    </row>
    <row r="3679" ht="15.75" customHeight="1">
      <c r="A3679" s="122"/>
      <c r="B3679" s="133"/>
      <c r="C3679" s="120"/>
      <c r="D3679" s="120"/>
      <c r="E3679" s="120"/>
      <c r="F3679" s="120"/>
      <c r="G3679" s="120"/>
      <c r="H3679" s="120"/>
      <c r="I3679" s="121"/>
      <c r="J3679" s="121"/>
      <c r="K3679" s="117"/>
    </row>
    <row r="3680" ht="15.75" customHeight="1">
      <c r="A3680" s="122"/>
      <c r="B3680" s="133"/>
      <c r="C3680" s="120"/>
      <c r="D3680" s="120"/>
      <c r="E3680" s="120"/>
      <c r="F3680" s="120"/>
      <c r="G3680" s="120"/>
      <c r="H3680" s="120"/>
      <c r="I3680" s="121"/>
      <c r="J3680" s="121"/>
      <c r="K3680" s="117"/>
    </row>
    <row r="3681" ht="15.75" customHeight="1">
      <c r="A3681" s="122"/>
      <c r="B3681" s="133"/>
      <c r="C3681" s="120"/>
      <c r="D3681" s="120"/>
      <c r="E3681" s="120"/>
      <c r="F3681" s="120"/>
      <c r="G3681" s="120"/>
      <c r="H3681" s="120"/>
      <c r="I3681" s="121"/>
      <c r="J3681" s="121"/>
      <c r="K3681" s="117"/>
    </row>
    <row r="3682" ht="15.75" customHeight="1">
      <c r="A3682" s="122"/>
      <c r="B3682" s="133"/>
      <c r="C3682" s="120"/>
      <c r="D3682" s="120"/>
      <c r="E3682" s="120"/>
      <c r="F3682" s="120"/>
      <c r="G3682" s="120"/>
      <c r="H3682" s="120"/>
      <c r="I3682" s="121"/>
      <c r="J3682" s="121"/>
      <c r="K3682" s="117"/>
    </row>
    <row r="3683" ht="15.75" customHeight="1">
      <c r="A3683" s="122"/>
      <c r="B3683" s="133"/>
      <c r="C3683" s="120"/>
      <c r="D3683" s="120"/>
      <c r="E3683" s="120"/>
      <c r="F3683" s="120"/>
      <c r="G3683" s="120"/>
      <c r="H3683" s="120"/>
      <c r="I3683" s="121"/>
      <c r="J3683" s="121"/>
      <c r="K3683" s="117"/>
    </row>
    <row r="3684" ht="15.75" customHeight="1">
      <c r="A3684" s="122"/>
      <c r="B3684" s="133"/>
      <c r="C3684" s="120"/>
      <c r="D3684" s="120"/>
      <c r="E3684" s="120"/>
      <c r="F3684" s="120"/>
      <c r="G3684" s="120"/>
      <c r="H3684" s="120"/>
      <c r="I3684" s="121"/>
      <c r="J3684" s="121"/>
      <c r="K3684" s="117"/>
    </row>
    <row r="3685" ht="15.75" customHeight="1">
      <c r="A3685" s="122"/>
      <c r="B3685" s="133"/>
      <c r="C3685" s="120"/>
      <c r="D3685" s="120"/>
      <c r="E3685" s="120"/>
      <c r="F3685" s="120"/>
      <c r="G3685" s="120"/>
      <c r="H3685" s="120"/>
      <c r="I3685" s="121"/>
      <c r="J3685" s="121"/>
      <c r="K3685" s="117"/>
    </row>
    <row r="3686" ht="15.75" customHeight="1">
      <c r="A3686" s="122"/>
      <c r="B3686" s="133"/>
      <c r="C3686" s="120"/>
      <c r="D3686" s="120"/>
      <c r="E3686" s="120"/>
      <c r="F3686" s="120"/>
      <c r="G3686" s="120"/>
      <c r="H3686" s="120"/>
      <c r="I3686" s="121"/>
      <c r="J3686" s="121"/>
      <c r="K3686" s="117"/>
    </row>
    <row r="3687" ht="15.75" customHeight="1">
      <c r="A3687" s="122"/>
      <c r="B3687" s="133"/>
      <c r="C3687" s="120"/>
      <c r="D3687" s="120"/>
      <c r="E3687" s="120"/>
      <c r="F3687" s="120"/>
      <c r="G3687" s="120"/>
      <c r="H3687" s="120"/>
      <c r="I3687" s="121"/>
      <c r="J3687" s="121"/>
      <c r="K3687" s="117"/>
    </row>
    <row r="3688" ht="15.75" customHeight="1">
      <c r="A3688" s="122"/>
      <c r="B3688" s="133"/>
      <c r="C3688" s="120"/>
      <c r="D3688" s="120"/>
      <c r="E3688" s="120"/>
      <c r="F3688" s="120"/>
      <c r="G3688" s="120"/>
      <c r="H3688" s="120"/>
      <c r="I3688" s="121"/>
      <c r="J3688" s="121"/>
      <c r="K3688" s="117"/>
    </row>
    <row r="3689" ht="15.75" customHeight="1">
      <c r="A3689" s="122"/>
      <c r="B3689" s="133"/>
      <c r="C3689" s="120"/>
      <c r="D3689" s="120"/>
      <c r="E3689" s="120"/>
      <c r="F3689" s="120"/>
      <c r="G3689" s="120"/>
      <c r="H3689" s="120"/>
      <c r="I3689" s="121"/>
      <c r="J3689" s="121"/>
      <c r="K3689" s="117"/>
    </row>
    <row r="3690" ht="15.75" customHeight="1">
      <c r="A3690" s="122"/>
      <c r="B3690" s="133"/>
      <c r="C3690" s="120"/>
      <c r="D3690" s="120"/>
      <c r="E3690" s="120"/>
      <c r="F3690" s="120"/>
      <c r="G3690" s="120"/>
      <c r="H3690" s="120"/>
      <c r="I3690" s="121"/>
      <c r="J3690" s="121"/>
      <c r="K3690" s="117"/>
    </row>
    <row r="3691" ht="15.75" customHeight="1">
      <c r="A3691" s="122"/>
      <c r="B3691" s="133"/>
      <c r="C3691" s="120"/>
      <c r="D3691" s="120"/>
      <c r="E3691" s="120"/>
      <c r="F3691" s="120"/>
      <c r="G3691" s="120"/>
      <c r="H3691" s="120"/>
      <c r="I3691" s="121"/>
      <c r="J3691" s="121"/>
      <c r="K3691" s="117"/>
    </row>
    <row r="3692" ht="15.75" customHeight="1">
      <c r="A3692" s="122"/>
      <c r="B3692" s="133"/>
      <c r="C3692" s="120"/>
      <c r="D3692" s="120"/>
      <c r="E3692" s="120"/>
      <c r="F3692" s="120"/>
      <c r="G3692" s="120"/>
      <c r="H3692" s="120"/>
      <c r="I3692" s="121"/>
      <c r="J3692" s="121"/>
      <c r="K3692" s="117"/>
    </row>
    <row r="3693" ht="15.75" customHeight="1">
      <c r="A3693" s="122"/>
      <c r="B3693" s="133"/>
      <c r="C3693" s="120"/>
      <c r="D3693" s="120"/>
      <c r="E3693" s="120"/>
      <c r="F3693" s="120"/>
      <c r="G3693" s="120"/>
      <c r="H3693" s="120"/>
      <c r="I3693" s="121"/>
      <c r="J3693" s="121"/>
      <c r="K3693" s="117"/>
    </row>
    <row r="3694" ht="15.75" customHeight="1">
      <c r="A3694" s="122"/>
      <c r="B3694" s="133"/>
      <c r="C3694" s="120"/>
      <c r="D3694" s="120"/>
      <c r="E3694" s="120"/>
      <c r="F3694" s="120"/>
      <c r="G3694" s="120"/>
      <c r="H3694" s="120"/>
      <c r="I3694" s="121"/>
      <c r="J3694" s="121"/>
      <c r="K3694" s="117"/>
    </row>
    <row r="3695" ht="15.75" customHeight="1">
      <c r="A3695" s="122"/>
      <c r="B3695" s="133"/>
      <c r="C3695" s="120"/>
      <c r="D3695" s="120"/>
      <c r="E3695" s="120"/>
      <c r="F3695" s="120"/>
      <c r="G3695" s="120"/>
      <c r="H3695" s="120"/>
      <c r="I3695" s="121"/>
      <c r="J3695" s="121"/>
      <c r="K3695" s="117"/>
    </row>
    <row r="3696" ht="15.75" customHeight="1">
      <c r="A3696" s="122"/>
      <c r="B3696" s="133"/>
      <c r="C3696" s="120"/>
      <c r="D3696" s="120"/>
      <c r="E3696" s="120"/>
      <c r="F3696" s="120"/>
      <c r="G3696" s="120"/>
      <c r="H3696" s="120"/>
      <c r="I3696" s="121"/>
      <c r="J3696" s="121"/>
      <c r="K3696" s="117"/>
    </row>
    <row r="3697" ht="15.75" customHeight="1">
      <c r="A3697" s="122"/>
      <c r="B3697" s="133"/>
      <c r="C3697" s="120"/>
      <c r="D3697" s="120"/>
      <c r="E3697" s="120"/>
      <c r="F3697" s="120"/>
      <c r="G3697" s="120"/>
      <c r="H3697" s="120"/>
      <c r="I3697" s="121"/>
      <c r="J3697" s="121"/>
      <c r="K3697" s="117"/>
    </row>
    <row r="3698" ht="15.75" customHeight="1">
      <c r="A3698" s="122"/>
      <c r="B3698" s="133"/>
      <c r="C3698" s="120"/>
      <c r="D3698" s="120"/>
      <c r="E3698" s="120"/>
      <c r="F3698" s="120"/>
      <c r="G3698" s="120"/>
      <c r="H3698" s="120"/>
      <c r="I3698" s="121"/>
      <c r="J3698" s="121"/>
      <c r="K3698" s="117"/>
    </row>
    <row r="3699" ht="15.75" customHeight="1">
      <c r="A3699" s="122"/>
      <c r="B3699" s="133"/>
      <c r="C3699" s="120"/>
      <c r="D3699" s="120"/>
      <c r="E3699" s="120"/>
      <c r="F3699" s="120"/>
      <c r="G3699" s="120"/>
      <c r="H3699" s="120"/>
      <c r="I3699" s="121"/>
      <c r="J3699" s="121"/>
      <c r="K3699" s="117"/>
    </row>
    <row r="3700" ht="15.75" customHeight="1">
      <c r="A3700" s="122"/>
      <c r="B3700" s="133"/>
      <c r="C3700" s="120"/>
      <c r="D3700" s="120"/>
      <c r="E3700" s="120"/>
      <c r="F3700" s="120"/>
      <c r="G3700" s="120"/>
      <c r="H3700" s="120"/>
      <c r="I3700" s="121"/>
      <c r="J3700" s="121"/>
      <c r="K3700" s="117"/>
    </row>
    <row r="3701" ht="15.75" customHeight="1">
      <c r="A3701" s="122"/>
      <c r="B3701" s="133"/>
      <c r="C3701" s="120"/>
      <c r="D3701" s="120"/>
      <c r="E3701" s="120"/>
      <c r="F3701" s="120"/>
      <c r="G3701" s="120"/>
      <c r="H3701" s="120"/>
      <c r="I3701" s="121"/>
      <c r="J3701" s="121"/>
      <c r="K3701" s="117"/>
    </row>
    <row r="3702" ht="15.75" customHeight="1">
      <c r="A3702" s="122"/>
      <c r="B3702" s="133"/>
      <c r="C3702" s="120"/>
      <c r="D3702" s="120"/>
      <c r="E3702" s="120"/>
      <c r="F3702" s="120"/>
      <c r="G3702" s="120"/>
      <c r="H3702" s="120"/>
      <c r="I3702" s="121"/>
      <c r="J3702" s="121"/>
      <c r="K3702" s="117"/>
    </row>
    <row r="3703" ht="15.75" customHeight="1">
      <c r="A3703" s="122"/>
      <c r="B3703" s="133"/>
      <c r="C3703" s="120"/>
      <c r="D3703" s="120"/>
      <c r="E3703" s="120"/>
      <c r="F3703" s="120"/>
      <c r="G3703" s="120"/>
      <c r="H3703" s="120"/>
      <c r="I3703" s="121"/>
      <c r="J3703" s="121"/>
      <c r="K3703" s="117"/>
    </row>
    <row r="3704" ht="15.75" customHeight="1">
      <c r="A3704" s="122"/>
      <c r="B3704" s="133"/>
      <c r="C3704" s="120"/>
      <c r="D3704" s="120"/>
      <c r="E3704" s="120"/>
      <c r="F3704" s="120"/>
      <c r="G3704" s="120"/>
      <c r="H3704" s="120"/>
      <c r="I3704" s="121"/>
      <c r="J3704" s="121"/>
      <c r="K3704" s="117"/>
    </row>
    <row r="3705" ht="15.75" customHeight="1">
      <c r="A3705" s="122"/>
      <c r="B3705" s="133"/>
      <c r="C3705" s="120"/>
      <c r="D3705" s="120"/>
      <c r="E3705" s="120"/>
      <c r="F3705" s="120"/>
      <c r="G3705" s="120"/>
      <c r="H3705" s="120"/>
      <c r="I3705" s="121"/>
      <c r="J3705" s="121"/>
      <c r="K3705" s="117"/>
    </row>
    <row r="3706" ht="15.75" customHeight="1">
      <c r="A3706" s="122"/>
      <c r="B3706" s="133"/>
      <c r="C3706" s="120"/>
      <c r="D3706" s="120"/>
      <c r="E3706" s="120"/>
      <c r="F3706" s="120"/>
      <c r="G3706" s="120"/>
      <c r="H3706" s="120"/>
      <c r="I3706" s="121"/>
      <c r="J3706" s="121"/>
      <c r="K3706" s="117"/>
    </row>
    <row r="3707" ht="15.75" customHeight="1">
      <c r="A3707" s="122"/>
      <c r="B3707" s="133"/>
      <c r="C3707" s="120"/>
      <c r="D3707" s="120"/>
      <c r="E3707" s="120"/>
      <c r="F3707" s="120"/>
      <c r="G3707" s="120"/>
      <c r="H3707" s="120"/>
      <c r="I3707" s="121"/>
      <c r="J3707" s="121"/>
      <c r="K3707" s="117"/>
    </row>
    <row r="3708" ht="15.75" customHeight="1">
      <c r="A3708" s="122"/>
      <c r="B3708" s="133"/>
      <c r="C3708" s="120"/>
      <c r="D3708" s="120"/>
      <c r="E3708" s="120"/>
      <c r="F3708" s="120"/>
      <c r="G3708" s="120"/>
      <c r="H3708" s="120"/>
      <c r="I3708" s="121"/>
      <c r="J3708" s="121"/>
      <c r="K3708" s="117"/>
    </row>
    <row r="3709" ht="15.75" customHeight="1">
      <c r="A3709" s="122"/>
      <c r="B3709" s="133"/>
      <c r="C3709" s="120"/>
      <c r="D3709" s="120"/>
      <c r="E3709" s="120"/>
      <c r="F3709" s="120"/>
      <c r="G3709" s="120"/>
      <c r="H3709" s="120"/>
      <c r="I3709" s="121"/>
      <c r="J3709" s="121"/>
      <c r="K3709" s="117"/>
    </row>
    <row r="3710" ht="15.75" customHeight="1">
      <c r="A3710" s="122"/>
      <c r="B3710" s="133"/>
      <c r="C3710" s="120"/>
      <c r="D3710" s="120"/>
      <c r="E3710" s="120"/>
      <c r="F3710" s="120"/>
      <c r="G3710" s="120"/>
      <c r="H3710" s="120"/>
      <c r="I3710" s="121"/>
      <c r="J3710" s="121"/>
      <c r="K3710" s="117"/>
    </row>
    <row r="3711" ht="15.75" customHeight="1">
      <c r="A3711" s="122"/>
      <c r="B3711" s="133"/>
      <c r="C3711" s="120"/>
      <c r="D3711" s="120"/>
      <c r="E3711" s="120"/>
      <c r="F3711" s="120"/>
      <c r="G3711" s="120"/>
      <c r="H3711" s="120"/>
      <c r="I3711" s="121"/>
      <c r="J3711" s="121"/>
      <c r="K3711" s="117"/>
    </row>
    <row r="3712" ht="15.75" customHeight="1">
      <c r="A3712" s="122"/>
      <c r="B3712" s="133"/>
      <c r="C3712" s="120"/>
      <c r="D3712" s="120"/>
      <c r="E3712" s="120"/>
      <c r="F3712" s="120"/>
      <c r="G3712" s="120"/>
      <c r="H3712" s="120"/>
      <c r="I3712" s="121"/>
      <c r="J3712" s="121"/>
      <c r="K3712" s="117"/>
    </row>
    <row r="3713" ht="15.75" customHeight="1">
      <c r="A3713" s="122"/>
      <c r="B3713" s="133"/>
      <c r="C3713" s="120"/>
      <c r="D3713" s="120"/>
      <c r="E3713" s="120"/>
      <c r="F3713" s="120"/>
      <c r="G3713" s="120"/>
      <c r="H3713" s="120"/>
      <c r="I3713" s="121"/>
      <c r="J3713" s="121"/>
      <c r="K3713" s="117"/>
    </row>
    <row r="3714" ht="15.75" customHeight="1">
      <c r="A3714" s="122"/>
      <c r="B3714" s="133"/>
      <c r="C3714" s="120"/>
      <c r="D3714" s="120"/>
      <c r="E3714" s="120"/>
      <c r="F3714" s="120"/>
      <c r="G3714" s="120"/>
      <c r="H3714" s="120"/>
      <c r="I3714" s="121"/>
      <c r="J3714" s="121"/>
      <c r="K3714" s="117"/>
    </row>
    <row r="3715" ht="15.75" customHeight="1">
      <c r="A3715" s="122"/>
      <c r="B3715" s="133"/>
      <c r="C3715" s="120"/>
      <c r="D3715" s="120"/>
      <c r="E3715" s="120"/>
      <c r="F3715" s="120"/>
      <c r="G3715" s="120"/>
      <c r="H3715" s="120"/>
      <c r="I3715" s="121"/>
      <c r="J3715" s="121"/>
      <c r="K3715" s="117"/>
    </row>
    <row r="3716" ht="15.75" customHeight="1">
      <c r="A3716" s="122"/>
      <c r="B3716" s="133"/>
      <c r="C3716" s="120"/>
      <c r="D3716" s="120"/>
      <c r="E3716" s="120"/>
      <c r="F3716" s="120"/>
      <c r="G3716" s="120"/>
      <c r="H3716" s="120"/>
      <c r="I3716" s="121"/>
      <c r="J3716" s="121"/>
      <c r="K3716" s="117"/>
    </row>
    <row r="3717" ht="15.75" customHeight="1">
      <c r="A3717" s="122"/>
      <c r="B3717" s="133"/>
      <c r="C3717" s="120"/>
      <c r="D3717" s="120"/>
      <c r="E3717" s="120"/>
      <c r="F3717" s="120"/>
      <c r="G3717" s="120"/>
      <c r="H3717" s="120"/>
      <c r="I3717" s="121"/>
      <c r="J3717" s="121"/>
      <c r="K3717" s="117"/>
    </row>
    <row r="3718" ht="15.75" customHeight="1">
      <c r="A3718" s="122"/>
      <c r="B3718" s="133"/>
      <c r="C3718" s="120"/>
      <c r="D3718" s="120"/>
      <c r="E3718" s="120"/>
      <c r="F3718" s="120"/>
      <c r="G3718" s="120"/>
      <c r="H3718" s="120"/>
      <c r="I3718" s="121"/>
      <c r="J3718" s="121"/>
      <c r="K3718" s="117"/>
    </row>
    <row r="3719" ht="15.75" customHeight="1">
      <c r="A3719" s="122"/>
      <c r="B3719" s="133"/>
      <c r="C3719" s="120"/>
      <c r="D3719" s="120"/>
      <c r="E3719" s="120"/>
      <c r="F3719" s="120"/>
      <c r="G3719" s="120"/>
      <c r="H3719" s="120"/>
      <c r="I3719" s="121"/>
      <c r="J3719" s="121"/>
      <c r="K3719" s="117"/>
    </row>
    <row r="3720" ht="15.75" customHeight="1">
      <c r="A3720" s="122"/>
      <c r="B3720" s="133"/>
      <c r="C3720" s="120"/>
      <c r="D3720" s="120"/>
      <c r="E3720" s="120"/>
      <c r="F3720" s="120"/>
      <c r="G3720" s="120"/>
      <c r="H3720" s="120"/>
      <c r="I3720" s="121"/>
      <c r="J3720" s="121"/>
      <c r="K3720" s="117"/>
    </row>
    <row r="3721" ht="15.75" customHeight="1">
      <c r="A3721" s="122"/>
      <c r="B3721" s="133"/>
      <c r="C3721" s="120"/>
      <c r="D3721" s="120"/>
      <c r="E3721" s="120"/>
      <c r="F3721" s="120"/>
      <c r="G3721" s="120"/>
      <c r="H3721" s="120"/>
      <c r="I3721" s="121"/>
      <c r="J3721" s="121"/>
      <c r="K3721" s="117"/>
    </row>
    <row r="3722" ht="15.75" customHeight="1">
      <c r="A3722" s="122"/>
      <c r="B3722" s="133"/>
      <c r="C3722" s="120"/>
      <c r="D3722" s="120"/>
      <c r="E3722" s="120"/>
      <c r="F3722" s="120"/>
      <c r="G3722" s="120"/>
      <c r="H3722" s="120"/>
      <c r="I3722" s="121"/>
      <c r="J3722" s="121"/>
      <c r="K3722" s="117"/>
    </row>
    <row r="3723" ht="15.75" customHeight="1">
      <c r="A3723" s="122"/>
      <c r="B3723" s="133"/>
      <c r="C3723" s="120"/>
      <c r="D3723" s="120"/>
      <c r="E3723" s="120"/>
      <c r="F3723" s="120"/>
      <c r="G3723" s="120"/>
      <c r="H3723" s="120"/>
      <c r="I3723" s="121"/>
      <c r="J3723" s="121"/>
      <c r="K3723" s="117"/>
    </row>
    <row r="3724" ht="15.75" customHeight="1">
      <c r="A3724" s="122"/>
      <c r="B3724" s="133"/>
      <c r="C3724" s="120"/>
      <c r="D3724" s="120"/>
      <c r="E3724" s="120"/>
      <c r="F3724" s="120"/>
      <c r="G3724" s="120"/>
      <c r="H3724" s="120"/>
      <c r="I3724" s="121"/>
      <c r="J3724" s="121"/>
      <c r="K3724" s="117"/>
    </row>
    <row r="3725" ht="15.75" customHeight="1">
      <c r="A3725" s="122"/>
      <c r="B3725" s="133"/>
      <c r="C3725" s="120"/>
      <c r="D3725" s="120"/>
      <c r="E3725" s="120"/>
      <c r="F3725" s="120"/>
      <c r="G3725" s="120"/>
      <c r="H3725" s="120"/>
      <c r="I3725" s="121"/>
      <c r="J3725" s="121"/>
      <c r="K3725" s="117"/>
    </row>
    <row r="3726" ht="15.75" customHeight="1">
      <c r="A3726" s="122"/>
      <c r="B3726" s="133"/>
      <c r="C3726" s="120"/>
      <c r="D3726" s="120"/>
      <c r="E3726" s="120"/>
      <c r="F3726" s="120"/>
      <c r="G3726" s="120"/>
      <c r="H3726" s="120"/>
      <c r="I3726" s="121"/>
      <c r="J3726" s="121"/>
      <c r="K3726" s="117"/>
    </row>
    <row r="3727" ht="15.75" customHeight="1">
      <c r="A3727" s="122"/>
      <c r="B3727" s="133"/>
      <c r="C3727" s="120"/>
      <c r="D3727" s="120"/>
      <c r="E3727" s="120"/>
      <c r="F3727" s="120"/>
      <c r="G3727" s="120"/>
      <c r="H3727" s="120"/>
      <c r="I3727" s="121"/>
      <c r="J3727" s="121"/>
      <c r="K3727" s="117"/>
    </row>
    <row r="3728" ht="15.75" customHeight="1">
      <c r="A3728" s="122"/>
      <c r="B3728" s="133"/>
      <c r="C3728" s="120"/>
      <c r="D3728" s="120"/>
      <c r="E3728" s="120"/>
      <c r="F3728" s="120"/>
      <c r="G3728" s="120"/>
      <c r="H3728" s="120"/>
      <c r="I3728" s="121"/>
      <c r="J3728" s="121"/>
      <c r="K3728" s="117"/>
    </row>
    <row r="3729" ht="15.75" customHeight="1">
      <c r="A3729" s="122"/>
      <c r="B3729" s="133"/>
      <c r="C3729" s="120"/>
      <c r="D3729" s="120"/>
      <c r="E3729" s="120"/>
      <c r="F3729" s="120"/>
      <c r="G3729" s="120"/>
      <c r="H3729" s="120"/>
      <c r="I3729" s="121"/>
      <c r="J3729" s="121"/>
      <c r="K3729" s="117"/>
    </row>
    <row r="3730" ht="15.75" customHeight="1">
      <c r="A3730" s="122"/>
      <c r="B3730" s="133"/>
      <c r="C3730" s="120"/>
      <c r="D3730" s="120"/>
      <c r="E3730" s="120"/>
      <c r="F3730" s="120"/>
      <c r="G3730" s="120"/>
      <c r="H3730" s="120"/>
      <c r="I3730" s="121"/>
      <c r="J3730" s="121"/>
      <c r="K3730" s="117"/>
    </row>
    <row r="3731" ht="15.75" customHeight="1">
      <c r="A3731" s="122"/>
      <c r="B3731" s="133"/>
      <c r="C3731" s="120"/>
      <c r="D3731" s="120"/>
      <c r="E3731" s="120"/>
      <c r="F3731" s="120"/>
      <c r="G3731" s="120"/>
      <c r="H3731" s="120"/>
      <c r="I3731" s="121"/>
      <c r="J3731" s="121"/>
      <c r="K3731" s="117"/>
    </row>
    <row r="3732" ht="15.75" customHeight="1">
      <c r="A3732" s="122"/>
      <c r="B3732" s="133"/>
      <c r="C3732" s="120"/>
      <c r="D3732" s="120"/>
      <c r="E3732" s="120"/>
      <c r="F3732" s="120"/>
      <c r="G3732" s="120"/>
      <c r="H3732" s="120"/>
      <c r="I3732" s="121"/>
      <c r="J3732" s="121"/>
      <c r="K3732" s="117"/>
    </row>
    <row r="3733" ht="15.75" customHeight="1">
      <c r="A3733" s="122"/>
      <c r="B3733" s="133"/>
      <c r="C3733" s="120"/>
      <c r="D3733" s="120"/>
      <c r="E3733" s="120"/>
      <c r="F3733" s="120"/>
      <c r="G3733" s="120"/>
      <c r="H3733" s="120"/>
      <c r="I3733" s="121"/>
      <c r="J3733" s="121"/>
      <c r="K3733" s="117"/>
    </row>
    <row r="3734" ht="15.75" customHeight="1">
      <c r="A3734" s="122"/>
      <c r="B3734" s="133"/>
      <c r="C3734" s="120"/>
      <c r="D3734" s="120"/>
      <c r="E3734" s="120"/>
      <c r="F3734" s="120"/>
      <c r="G3734" s="120"/>
      <c r="H3734" s="120"/>
      <c r="I3734" s="121"/>
      <c r="J3734" s="121"/>
      <c r="K3734" s="117"/>
    </row>
    <row r="3735" ht="15.75" customHeight="1">
      <c r="A3735" s="122"/>
      <c r="B3735" s="133"/>
      <c r="C3735" s="120"/>
      <c r="D3735" s="120"/>
      <c r="E3735" s="120"/>
      <c r="F3735" s="120"/>
      <c r="G3735" s="120"/>
      <c r="H3735" s="120"/>
      <c r="I3735" s="121"/>
      <c r="J3735" s="121"/>
      <c r="K3735" s="117"/>
    </row>
    <row r="3736" ht="15.75" customHeight="1">
      <c r="A3736" s="122"/>
      <c r="B3736" s="133"/>
      <c r="C3736" s="120"/>
      <c r="D3736" s="120"/>
      <c r="E3736" s="120"/>
      <c r="F3736" s="120"/>
      <c r="G3736" s="120"/>
      <c r="H3736" s="120"/>
      <c r="I3736" s="121"/>
      <c r="J3736" s="121"/>
      <c r="K3736" s="117"/>
    </row>
    <row r="3737" ht="15.75" customHeight="1">
      <c r="A3737" s="122"/>
      <c r="B3737" s="133"/>
      <c r="C3737" s="120"/>
      <c r="D3737" s="120"/>
      <c r="E3737" s="120"/>
      <c r="F3737" s="120"/>
      <c r="G3737" s="120"/>
      <c r="H3737" s="120"/>
      <c r="I3737" s="121"/>
      <c r="J3737" s="121"/>
      <c r="K3737" s="117"/>
    </row>
    <row r="3738" ht="15.75" customHeight="1">
      <c r="A3738" s="122"/>
      <c r="B3738" s="133"/>
      <c r="C3738" s="120"/>
      <c r="D3738" s="120"/>
      <c r="E3738" s="120"/>
      <c r="F3738" s="120"/>
      <c r="G3738" s="120"/>
      <c r="H3738" s="120"/>
      <c r="I3738" s="121"/>
      <c r="J3738" s="121"/>
      <c r="K3738" s="117"/>
    </row>
    <row r="3739" ht="15.75" customHeight="1">
      <c r="A3739" s="122"/>
      <c r="B3739" s="133"/>
      <c r="C3739" s="120"/>
      <c r="D3739" s="120"/>
      <c r="E3739" s="120"/>
      <c r="F3739" s="120"/>
      <c r="G3739" s="120"/>
      <c r="H3739" s="120"/>
      <c r="I3739" s="121"/>
      <c r="J3739" s="121"/>
      <c r="K3739" s="117"/>
    </row>
    <row r="3740" ht="15.75" customHeight="1">
      <c r="A3740" s="122"/>
      <c r="B3740" s="133"/>
      <c r="C3740" s="120"/>
      <c r="D3740" s="120"/>
      <c r="E3740" s="120"/>
      <c r="F3740" s="120"/>
      <c r="G3740" s="120"/>
      <c r="H3740" s="120"/>
      <c r="I3740" s="121"/>
      <c r="J3740" s="121"/>
      <c r="K3740" s="117"/>
    </row>
    <row r="3741" ht="15.75" customHeight="1">
      <c r="A3741" s="122"/>
      <c r="B3741" s="133"/>
      <c r="C3741" s="120"/>
      <c r="D3741" s="120"/>
      <c r="E3741" s="120"/>
      <c r="F3741" s="120"/>
      <c r="G3741" s="120"/>
      <c r="H3741" s="120"/>
      <c r="I3741" s="121"/>
      <c r="J3741" s="121"/>
      <c r="K3741" s="117"/>
    </row>
    <row r="3742" ht="15.75" customHeight="1">
      <c r="A3742" s="122"/>
      <c r="B3742" s="133"/>
      <c r="C3742" s="120"/>
      <c r="D3742" s="120"/>
      <c r="E3742" s="120"/>
      <c r="F3742" s="120"/>
      <c r="G3742" s="120"/>
      <c r="H3742" s="120"/>
      <c r="I3742" s="121"/>
      <c r="J3742" s="121"/>
      <c r="K3742" s="117"/>
    </row>
    <row r="3743" ht="15.75" customHeight="1">
      <c r="A3743" s="122"/>
      <c r="B3743" s="133"/>
      <c r="C3743" s="120"/>
      <c r="D3743" s="120"/>
      <c r="E3743" s="120"/>
      <c r="F3743" s="120"/>
      <c r="G3743" s="120"/>
      <c r="H3743" s="120"/>
      <c r="I3743" s="121"/>
      <c r="J3743" s="121"/>
      <c r="K3743" s="117"/>
    </row>
    <row r="3744" ht="15.75" customHeight="1">
      <c r="A3744" s="122"/>
      <c r="B3744" s="133"/>
      <c r="C3744" s="120"/>
      <c r="D3744" s="120"/>
      <c r="E3744" s="120"/>
      <c r="F3744" s="120"/>
      <c r="G3744" s="120"/>
      <c r="H3744" s="120"/>
      <c r="I3744" s="121"/>
      <c r="J3744" s="121"/>
      <c r="K3744" s="117"/>
    </row>
    <row r="3745" ht="15.75" customHeight="1">
      <c r="A3745" s="122"/>
      <c r="B3745" s="133"/>
      <c r="C3745" s="120"/>
      <c r="D3745" s="120"/>
      <c r="E3745" s="120"/>
      <c r="F3745" s="120"/>
      <c r="G3745" s="120"/>
      <c r="H3745" s="120"/>
      <c r="I3745" s="121"/>
      <c r="J3745" s="121"/>
      <c r="K3745" s="117"/>
    </row>
    <row r="3746" ht="15.75" customHeight="1">
      <c r="A3746" s="122"/>
      <c r="B3746" s="133"/>
      <c r="C3746" s="120"/>
      <c r="D3746" s="120"/>
      <c r="E3746" s="120"/>
      <c r="F3746" s="120"/>
      <c r="G3746" s="120"/>
      <c r="H3746" s="120"/>
      <c r="I3746" s="121"/>
      <c r="J3746" s="121"/>
      <c r="K3746" s="117"/>
    </row>
    <row r="3747" ht="15.75" customHeight="1">
      <c r="A3747" s="122"/>
      <c r="B3747" s="133"/>
      <c r="C3747" s="120"/>
      <c r="D3747" s="120"/>
      <c r="E3747" s="120"/>
      <c r="F3747" s="120"/>
      <c r="G3747" s="120"/>
      <c r="H3747" s="120"/>
      <c r="I3747" s="121"/>
      <c r="J3747" s="121"/>
      <c r="K3747" s="117"/>
    </row>
    <row r="3748" ht="15.75" customHeight="1">
      <c r="A3748" s="122"/>
      <c r="B3748" s="133"/>
      <c r="C3748" s="120"/>
      <c r="D3748" s="120"/>
      <c r="E3748" s="120"/>
      <c r="F3748" s="120"/>
      <c r="G3748" s="120"/>
      <c r="H3748" s="120"/>
      <c r="I3748" s="121"/>
      <c r="J3748" s="121"/>
      <c r="K3748" s="117"/>
    </row>
    <row r="3749" ht="15.75" customHeight="1">
      <c r="A3749" s="122"/>
      <c r="B3749" s="133"/>
      <c r="C3749" s="120"/>
      <c r="D3749" s="120"/>
      <c r="E3749" s="120"/>
      <c r="F3749" s="120"/>
      <c r="G3749" s="120"/>
      <c r="H3749" s="120"/>
      <c r="I3749" s="121"/>
      <c r="J3749" s="121"/>
      <c r="K3749" s="117"/>
    </row>
    <row r="3750" ht="15.75" customHeight="1">
      <c r="A3750" s="122"/>
      <c r="B3750" s="133"/>
      <c r="C3750" s="120"/>
      <c r="D3750" s="120"/>
      <c r="E3750" s="120"/>
      <c r="F3750" s="120"/>
      <c r="G3750" s="120"/>
      <c r="H3750" s="120"/>
      <c r="I3750" s="121"/>
      <c r="J3750" s="121"/>
      <c r="K3750" s="117"/>
    </row>
    <row r="3751" ht="15.75" customHeight="1">
      <c r="A3751" s="122"/>
      <c r="B3751" s="133"/>
      <c r="C3751" s="120"/>
      <c r="D3751" s="120"/>
      <c r="E3751" s="120"/>
      <c r="F3751" s="120"/>
      <c r="G3751" s="120"/>
      <c r="H3751" s="120"/>
      <c r="I3751" s="121"/>
      <c r="J3751" s="121"/>
      <c r="K3751" s="117"/>
    </row>
    <row r="3752" ht="15.75" customHeight="1">
      <c r="A3752" s="122"/>
      <c r="B3752" s="133"/>
      <c r="C3752" s="120"/>
      <c r="D3752" s="120"/>
      <c r="E3752" s="120"/>
      <c r="F3752" s="120"/>
      <c r="G3752" s="120"/>
      <c r="H3752" s="120"/>
      <c r="I3752" s="121"/>
      <c r="J3752" s="121"/>
      <c r="K3752" s="117"/>
    </row>
    <row r="3753" ht="15.75" customHeight="1">
      <c r="A3753" s="122"/>
      <c r="B3753" s="133"/>
      <c r="C3753" s="120"/>
      <c r="D3753" s="120"/>
      <c r="E3753" s="120"/>
      <c r="F3753" s="120"/>
      <c r="G3753" s="120"/>
      <c r="H3753" s="120"/>
      <c r="I3753" s="121"/>
      <c r="J3753" s="121"/>
      <c r="K3753" s="117"/>
    </row>
    <row r="3754" ht="15.75" customHeight="1">
      <c r="A3754" s="122"/>
      <c r="B3754" s="133"/>
      <c r="C3754" s="120"/>
      <c r="D3754" s="120"/>
      <c r="E3754" s="120"/>
      <c r="F3754" s="120"/>
      <c r="G3754" s="120"/>
      <c r="H3754" s="120"/>
      <c r="I3754" s="121"/>
      <c r="J3754" s="121"/>
      <c r="K3754" s="117"/>
    </row>
    <row r="3755" ht="15.75" customHeight="1">
      <c r="A3755" s="122"/>
      <c r="B3755" s="133"/>
      <c r="C3755" s="120"/>
      <c r="D3755" s="120"/>
      <c r="E3755" s="120"/>
      <c r="F3755" s="120"/>
      <c r="G3755" s="120"/>
      <c r="H3755" s="120"/>
      <c r="I3755" s="121"/>
      <c r="J3755" s="121"/>
      <c r="K3755" s="117"/>
    </row>
    <row r="3756" ht="15.75" customHeight="1">
      <c r="A3756" s="122"/>
      <c r="B3756" s="133"/>
      <c r="C3756" s="120"/>
      <c r="D3756" s="120"/>
      <c r="E3756" s="120"/>
      <c r="F3756" s="120"/>
      <c r="G3756" s="120"/>
      <c r="H3756" s="120"/>
      <c r="I3756" s="121"/>
      <c r="J3756" s="121"/>
      <c r="K3756" s="117"/>
    </row>
    <row r="3757" ht="15.75" customHeight="1">
      <c r="A3757" s="122"/>
      <c r="B3757" s="133"/>
      <c r="C3757" s="120"/>
      <c r="D3757" s="120"/>
      <c r="E3757" s="120"/>
      <c r="F3757" s="120"/>
      <c r="G3757" s="120"/>
      <c r="H3757" s="120"/>
      <c r="I3757" s="121"/>
      <c r="J3757" s="121"/>
      <c r="K3757" s="117"/>
    </row>
    <row r="3758" ht="15.75" customHeight="1">
      <c r="A3758" s="122"/>
      <c r="B3758" s="133"/>
      <c r="C3758" s="120"/>
      <c r="D3758" s="120"/>
      <c r="E3758" s="120"/>
      <c r="F3758" s="120"/>
      <c r="G3758" s="120"/>
      <c r="H3758" s="120"/>
      <c r="I3758" s="121"/>
      <c r="J3758" s="121"/>
      <c r="K3758" s="117"/>
    </row>
    <row r="3759" ht="15.75" customHeight="1">
      <c r="A3759" s="122"/>
      <c r="B3759" s="133"/>
      <c r="C3759" s="120"/>
      <c r="D3759" s="120"/>
      <c r="E3759" s="120"/>
      <c r="F3759" s="120"/>
      <c r="G3759" s="120"/>
      <c r="H3759" s="120"/>
      <c r="I3759" s="121"/>
      <c r="J3759" s="121"/>
      <c r="K3759" s="117"/>
    </row>
    <row r="3760" ht="15.75" customHeight="1">
      <c r="A3760" s="122"/>
      <c r="B3760" s="133"/>
      <c r="C3760" s="120"/>
      <c r="D3760" s="120"/>
      <c r="E3760" s="120"/>
      <c r="F3760" s="120"/>
      <c r="G3760" s="120"/>
      <c r="H3760" s="120"/>
      <c r="I3760" s="121"/>
      <c r="J3760" s="121"/>
      <c r="K3760" s="117"/>
    </row>
    <row r="3761" ht="15.75" customHeight="1">
      <c r="A3761" s="122"/>
      <c r="B3761" s="133"/>
      <c r="C3761" s="120"/>
      <c r="D3761" s="120"/>
      <c r="E3761" s="120"/>
      <c r="F3761" s="120"/>
      <c r="G3761" s="120"/>
      <c r="H3761" s="120"/>
      <c r="I3761" s="121"/>
      <c r="J3761" s="121"/>
      <c r="K3761" s="117"/>
    </row>
    <row r="3762" ht="15.75" customHeight="1">
      <c r="A3762" s="122"/>
      <c r="B3762" s="133"/>
      <c r="C3762" s="120"/>
      <c r="D3762" s="120"/>
      <c r="E3762" s="120"/>
      <c r="F3762" s="120"/>
      <c r="G3762" s="120"/>
      <c r="H3762" s="120"/>
      <c r="I3762" s="121"/>
      <c r="J3762" s="121"/>
      <c r="K3762" s="117"/>
    </row>
    <row r="3763" ht="15.75" customHeight="1">
      <c r="A3763" s="122"/>
      <c r="B3763" s="133"/>
      <c r="C3763" s="120"/>
      <c r="D3763" s="120"/>
      <c r="E3763" s="120"/>
      <c r="F3763" s="120"/>
      <c r="G3763" s="120"/>
      <c r="H3763" s="120"/>
      <c r="I3763" s="121"/>
      <c r="J3763" s="121"/>
      <c r="K3763" s="117"/>
    </row>
    <row r="3764" ht="15.75" customHeight="1">
      <c r="A3764" s="122"/>
      <c r="B3764" s="133"/>
      <c r="C3764" s="120"/>
      <c r="D3764" s="120"/>
      <c r="E3764" s="120"/>
      <c r="F3764" s="120"/>
      <c r="G3764" s="120"/>
      <c r="H3764" s="120"/>
      <c r="I3764" s="121"/>
      <c r="J3764" s="121"/>
      <c r="K3764" s="117"/>
    </row>
    <row r="3765" ht="15.75" customHeight="1">
      <c r="A3765" s="122"/>
      <c r="B3765" s="133"/>
      <c r="C3765" s="120"/>
      <c r="D3765" s="120"/>
      <c r="E3765" s="120"/>
      <c r="F3765" s="120"/>
      <c r="G3765" s="120"/>
      <c r="H3765" s="120"/>
      <c r="I3765" s="121"/>
      <c r="J3765" s="121"/>
      <c r="K3765" s="117"/>
    </row>
    <row r="3766" ht="15.75" customHeight="1">
      <c r="A3766" s="122"/>
      <c r="B3766" s="133"/>
      <c r="C3766" s="120"/>
      <c r="D3766" s="120"/>
      <c r="E3766" s="120"/>
      <c r="F3766" s="120"/>
      <c r="G3766" s="120"/>
      <c r="H3766" s="120"/>
      <c r="I3766" s="121"/>
      <c r="J3766" s="121"/>
      <c r="K3766" s="117"/>
    </row>
    <row r="3767" ht="15.75" customHeight="1">
      <c r="A3767" s="122"/>
      <c r="B3767" s="133"/>
      <c r="C3767" s="120"/>
      <c r="D3767" s="120"/>
      <c r="E3767" s="120"/>
      <c r="F3767" s="120"/>
      <c r="G3767" s="120"/>
      <c r="H3767" s="120"/>
      <c r="I3767" s="121"/>
      <c r="J3767" s="121"/>
      <c r="K3767" s="117"/>
    </row>
    <row r="3768" ht="15.75" customHeight="1">
      <c r="A3768" s="122"/>
      <c r="B3768" s="133"/>
      <c r="C3768" s="120"/>
      <c r="D3768" s="120"/>
      <c r="E3768" s="120"/>
      <c r="F3768" s="120"/>
      <c r="G3768" s="120"/>
      <c r="H3768" s="120"/>
      <c r="I3768" s="121"/>
      <c r="J3768" s="121"/>
      <c r="K3768" s="117"/>
    </row>
    <row r="3769" ht="15.75" customHeight="1">
      <c r="A3769" s="122"/>
      <c r="B3769" s="133"/>
      <c r="C3769" s="120"/>
      <c r="D3769" s="120"/>
      <c r="E3769" s="120"/>
      <c r="F3769" s="120"/>
      <c r="G3769" s="120"/>
      <c r="H3769" s="120"/>
      <c r="I3769" s="121"/>
      <c r="J3769" s="121"/>
      <c r="K3769" s="117"/>
    </row>
    <row r="3770" ht="15.75" customHeight="1">
      <c r="A3770" s="122"/>
      <c r="B3770" s="133"/>
      <c r="C3770" s="120"/>
      <c r="D3770" s="120"/>
      <c r="E3770" s="120"/>
      <c r="F3770" s="120"/>
      <c r="G3770" s="120"/>
      <c r="H3770" s="120"/>
      <c r="I3770" s="121"/>
      <c r="J3770" s="121"/>
      <c r="K3770" s="117"/>
    </row>
    <row r="3771" ht="15.75" customHeight="1">
      <c r="A3771" s="122"/>
      <c r="B3771" s="133"/>
      <c r="C3771" s="120"/>
      <c r="D3771" s="120"/>
      <c r="E3771" s="120"/>
      <c r="F3771" s="120"/>
      <c r="G3771" s="120"/>
      <c r="H3771" s="120"/>
      <c r="I3771" s="121"/>
      <c r="J3771" s="121"/>
      <c r="K3771" s="117"/>
    </row>
    <row r="3772" ht="15.75" customHeight="1">
      <c r="A3772" s="122"/>
      <c r="B3772" s="133"/>
      <c r="C3772" s="120"/>
      <c r="D3772" s="120"/>
      <c r="E3772" s="120"/>
      <c r="F3772" s="120"/>
      <c r="G3772" s="120"/>
      <c r="H3772" s="120"/>
      <c r="I3772" s="121"/>
      <c r="J3772" s="121"/>
      <c r="K3772" s="117"/>
    </row>
    <row r="3773" ht="15.75" customHeight="1">
      <c r="A3773" s="122"/>
      <c r="B3773" s="133"/>
      <c r="C3773" s="120"/>
      <c r="D3773" s="120"/>
      <c r="E3773" s="120"/>
      <c r="F3773" s="120"/>
      <c r="G3773" s="120"/>
      <c r="H3773" s="120"/>
      <c r="I3773" s="121"/>
      <c r="J3773" s="121"/>
      <c r="K3773" s="117"/>
    </row>
    <row r="3774" ht="15.75" customHeight="1">
      <c r="A3774" s="122"/>
      <c r="B3774" s="133"/>
      <c r="C3774" s="120"/>
      <c r="D3774" s="120"/>
      <c r="E3774" s="120"/>
      <c r="F3774" s="120"/>
      <c r="G3774" s="120"/>
      <c r="H3774" s="120"/>
      <c r="I3774" s="121"/>
      <c r="J3774" s="121"/>
      <c r="K3774" s="117"/>
    </row>
    <row r="3775" ht="15.75" customHeight="1">
      <c r="A3775" s="122"/>
      <c r="B3775" s="133"/>
      <c r="C3775" s="120"/>
      <c r="D3775" s="120"/>
      <c r="E3775" s="120"/>
      <c r="F3775" s="120"/>
      <c r="G3775" s="120"/>
      <c r="H3775" s="120"/>
      <c r="I3775" s="121"/>
      <c r="J3775" s="121"/>
      <c r="K3775" s="117"/>
    </row>
    <row r="3776" ht="15.75" customHeight="1">
      <c r="A3776" s="122"/>
      <c r="B3776" s="133"/>
      <c r="C3776" s="120"/>
      <c r="D3776" s="120"/>
      <c r="E3776" s="120"/>
      <c r="F3776" s="120"/>
      <c r="G3776" s="120"/>
      <c r="H3776" s="120"/>
      <c r="I3776" s="121"/>
      <c r="J3776" s="121"/>
      <c r="K3776" s="117"/>
    </row>
    <row r="3777" ht="15.75" customHeight="1">
      <c r="A3777" s="122"/>
      <c r="B3777" s="133"/>
      <c r="C3777" s="120"/>
      <c r="D3777" s="120"/>
      <c r="E3777" s="120"/>
      <c r="F3777" s="120"/>
      <c r="G3777" s="120"/>
      <c r="H3777" s="120"/>
      <c r="I3777" s="121"/>
      <c r="J3777" s="121"/>
      <c r="K3777" s="117"/>
    </row>
    <row r="3778" ht="15.75" customHeight="1">
      <c r="A3778" s="122"/>
      <c r="B3778" s="133"/>
      <c r="C3778" s="120"/>
      <c r="D3778" s="120"/>
      <c r="E3778" s="120"/>
      <c r="F3778" s="120"/>
      <c r="G3778" s="120"/>
      <c r="H3778" s="120"/>
      <c r="I3778" s="121"/>
      <c r="J3778" s="121"/>
      <c r="K3778" s="117"/>
    </row>
    <row r="3779" ht="15.75" customHeight="1">
      <c r="A3779" s="122"/>
      <c r="B3779" s="133"/>
      <c r="C3779" s="120"/>
      <c r="D3779" s="120"/>
      <c r="E3779" s="120"/>
      <c r="F3779" s="120"/>
      <c r="G3779" s="120"/>
      <c r="H3779" s="120"/>
      <c r="I3779" s="121"/>
      <c r="J3779" s="121"/>
      <c r="K3779" s="117"/>
    </row>
    <row r="3780" ht="15.75" customHeight="1">
      <c r="A3780" s="122"/>
      <c r="B3780" s="133"/>
      <c r="C3780" s="120"/>
      <c r="D3780" s="120"/>
      <c r="E3780" s="120"/>
      <c r="F3780" s="120"/>
      <c r="G3780" s="120"/>
      <c r="H3780" s="120"/>
      <c r="I3780" s="121"/>
      <c r="J3780" s="121"/>
      <c r="K3780" s="117"/>
    </row>
    <row r="3781" ht="15.75" customHeight="1">
      <c r="A3781" s="122"/>
      <c r="B3781" s="133"/>
      <c r="C3781" s="120"/>
      <c r="D3781" s="120"/>
      <c r="E3781" s="120"/>
      <c r="F3781" s="120"/>
      <c r="G3781" s="120"/>
      <c r="H3781" s="120"/>
      <c r="I3781" s="121"/>
      <c r="J3781" s="121"/>
      <c r="K3781" s="117"/>
    </row>
    <row r="3782" ht="15.75" customHeight="1">
      <c r="A3782" s="122"/>
      <c r="B3782" s="133"/>
      <c r="C3782" s="120"/>
      <c r="D3782" s="120"/>
      <c r="E3782" s="120"/>
      <c r="F3782" s="120"/>
      <c r="G3782" s="120"/>
      <c r="H3782" s="120"/>
      <c r="I3782" s="121"/>
      <c r="J3782" s="121"/>
      <c r="K3782" s="117"/>
    </row>
    <row r="3783" ht="15.75" customHeight="1">
      <c r="A3783" s="122"/>
      <c r="B3783" s="133"/>
      <c r="C3783" s="120"/>
      <c r="D3783" s="120"/>
      <c r="E3783" s="120"/>
      <c r="F3783" s="120"/>
      <c r="G3783" s="120"/>
      <c r="H3783" s="120"/>
      <c r="I3783" s="121"/>
      <c r="J3783" s="121"/>
      <c r="K3783" s="117"/>
    </row>
    <row r="3784" ht="15.75" customHeight="1">
      <c r="A3784" s="122"/>
      <c r="B3784" s="133"/>
      <c r="C3784" s="120"/>
      <c r="D3784" s="120"/>
      <c r="E3784" s="120"/>
      <c r="F3784" s="120"/>
      <c r="G3784" s="120"/>
      <c r="H3784" s="120"/>
      <c r="I3784" s="121"/>
      <c r="J3784" s="121"/>
      <c r="K3784" s="117"/>
    </row>
    <row r="3785" ht="15.75" customHeight="1">
      <c r="A3785" s="122"/>
      <c r="B3785" s="133"/>
      <c r="C3785" s="120"/>
      <c r="D3785" s="120"/>
      <c r="E3785" s="120"/>
      <c r="F3785" s="120"/>
      <c r="G3785" s="120"/>
      <c r="H3785" s="120"/>
      <c r="I3785" s="121"/>
      <c r="J3785" s="121"/>
      <c r="K3785" s="117"/>
    </row>
    <row r="3786" ht="15.75" customHeight="1">
      <c r="A3786" s="122"/>
      <c r="B3786" s="133"/>
      <c r="C3786" s="120"/>
      <c r="D3786" s="120"/>
      <c r="E3786" s="120"/>
      <c r="F3786" s="120"/>
      <c r="G3786" s="120"/>
      <c r="H3786" s="120"/>
      <c r="I3786" s="121"/>
      <c r="J3786" s="121"/>
      <c r="K3786" s="117"/>
    </row>
    <row r="3787" ht="15.75" customHeight="1">
      <c r="A3787" s="122"/>
      <c r="B3787" s="133"/>
      <c r="C3787" s="120"/>
      <c r="D3787" s="120"/>
      <c r="E3787" s="120"/>
      <c r="F3787" s="120"/>
      <c r="G3787" s="120"/>
      <c r="H3787" s="120"/>
      <c r="I3787" s="121"/>
      <c r="J3787" s="121"/>
      <c r="K3787" s="117"/>
    </row>
    <row r="3788" ht="15.75" customHeight="1">
      <c r="A3788" s="122"/>
      <c r="B3788" s="133"/>
      <c r="C3788" s="120"/>
      <c r="D3788" s="120"/>
      <c r="E3788" s="120"/>
      <c r="F3788" s="120"/>
      <c r="G3788" s="120"/>
      <c r="H3788" s="120"/>
      <c r="I3788" s="121"/>
      <c r="J3788" s="121"/>
      <c r="K3788" s="117"/>
    </row>
    <row r="3789" ht="15.75" customHeight="1">
      <c r="A3789" s="122"/>
      <c r="B3789" s="133"/>
      <c r="C3789" s="120"/>
      <c r="D3789" s="120"/>
      <c r="E3789" s="120"/>
      <c r="F3789" s="120"/>
      <c r="G3789" s="120"/>
      <c r="H3789" s="120"/>
      <c r="I3789" s="121"/>
      <c r="J3789" s="121"/>
      <c r="K3789" s="117"/>
    </row>
    <row r="3790" ht="15.75" customHeight="1">
      <c r="A3790" s="122"/>
      <c r="B3790" s="133"/>
      <c r="C3790" s="120"/>
      <c r="D3790" s="120"/>
      <c r="E3790" s="120"/>
      <c r="F3790" s="120"/>
      <c r="G3790" s="120"/>
      <c r="H3790" s="120"/>
      <c r="I3790" s="121"/>
      <c r="J3790" s="121"/>
      <c r="K3790" s="117"/>
    </row>
    <row r="3791" ht="15.75" customHeight="1">
      <c r="A3791" s="122"/>
      <c r="B3791" s="133"/>
      <c r="C3791" s="120"/>
      <c r="D3791" s="120"/>
      <c r="E3791" s="120"/>
      <c r="F3791" s="120"/>
      <c r="G3791" s="120"/>
      <c r="H3791" s="120"/>
      <c r="I3791" s="121"/>
      <c r="J3791" s="121"/>
      <c r="K3791" s="117"/>
    </row>
    <row r="3792" ht="15.75" customHeight="1">
      <c r="A3792" s="122"/>
      <c r="B3792" s="133"/>
      <c r="C3792" s="120"/>
      <c r="D3792" s="120"/>
      <c r="E3792" s="120"/>
      <c r="F3792" s="120"/>
      <c r="G3792" s="120"/>
      <c r="H3792" s="120"/>
      <c r="I3792" s="121"/>
      <c r="J3792" s="121"/>
      <c r="K3792" s="117"/>
    </row>
    <row r="3793" ht="15.75" customHeight="1">
      <c r="A3793" s="122"/>
      <c r="B3793" s="133"/>
      <c r="C3793" s="120"/>
      <c r="D3793" s="120"/>
      <c r="E3793" s="120"/>
      <c r="F3793" s="120"/>
      <c r="G3793" s="120"/>
      <c r="H3793" s="120"/>
      <c r="I3793" s="121"/>
      <c r="J3793" s="121"/>
      <c r="K3793" s="117"/>
    </row>
    <row r="3794" ht="15.75" customHeight="1">
      <c r="A3794" s="122"/>
      <c r="B3794" s="133"/>
      <c r="C3794" s="120"/>
      <c r="D3794" s="120"/>
      <c r="E3794" s="120"/>
      <c r="F3794" s="120"/>
      <c r="G3794" s="120"/>
      <c r="H3794" s="120"/>
      <c r="I3794" s="121"/>
      <c r="J3794" s="121"/>
      <c r="K3794" s="117"/>
    </row>
    <row r="3795" ht="15.75" customHeight="1">
      <c r="A3795" s="122"/>
      <c r="B3795" s="133"/>
      <c r="C3795" s="120"/>
      <c r="D3795" s="120"/>
      <c r="E3795" s="120"/>
      <c r="F3795" s="120"/>
      <c r="G3795" s="120"/>
      <c r="H3795" s="120"/>
      <c r="I3795" s="121"/>
      <c r="J3795" s="121"/>
      <c r="K3795" s="117"/>
    </row>
    <row r="3796" ht="15.75" customHeight="1">
      <c r="A3796" s="122"/>
      <c r="B3796" s="133"/>
      <c r="C3796" s="120"/>
      <c r="D3796" s="120"/>
      <c r="E3796" s="120"/>
      <c r="F3796" s="120"/>
      <c r="G3796" s="120"/>
      <c r="H3796" s="120"/>
      <c r="I3796" s="121"/>
      <c r="J3796" s="121"/>
      <c r="K3796" s="117"/>
    </row>
    <row r="3797" ht="15.75" customHeight="1">
      <c r="A3797" s="122"/>
      <c r="B3797" s="133"/>
      <c r="C3797" s="120"/>
      <c r="D3797" s="120"/>
      <c r="E3797" s="120"/>
      <c r="F3797" s="120"/>
      <c r="G3797" s="120"/>
      <c r="H3797" s="120"/>
      <c r="I3797" s="121"/>
      <c r="J3797" s="121"/>
      <c r="K3797" s="117"/>
    </row>
    <row r="3798" ht="15.75" customHeight="1">
      <c r="A3798" s="122"/>
      <c r="B3798" s="133"/>
      <c r="C3798" s="120"/>
      <c r="D3798" s="120"/>
      <c r="E3798" s="120"/>
      <c r="F3798" s="120"/>
      <c r="G3798" s="120"/>
      <c r="H3798" s="120"/>
      <c r="I3798" s="121"/>
      <c r="J3798" s="121"/>
      <c r="K3798" s="117"/>
    </row>
    <row r="3799" ht="15.75" customHeight="1">
      <c r="A3799" s="122"/>
      <c r="B3799" s="133"/>
      <c r="C3799" s="120"/>
      <c r="D3799" s="120"/>
      <c r="E3799" s="120"/>
      <c r="F3799" s="120"/>
      <c r="G3799" s="120"/>
      <c r="H3799" s="120"/>
      <c r="I3799" s="121"/>
      <c r="J3799" s="121"/>
      <c r="K3799" s="117"/>
    </row>
    <row r="3800" ht="15.75" customHeight="1">
      <c r="A3800" s="122"/>
      <c r="B3800" s="133"/>
      <c r="C3800" s="120"/>
      <c r="D3800" s="120"/>
      <c r="E3800" s="120"/>
      <c r="F3800" s="120"/>
      <c r="G3800" s="120"/>
      <c r="H3800" s="120"/>
      <c r="I3800" s="121"/>
      <c r="J3800" s="121"/>
      <c r="K3800" s="117"/>
    </row>
    <row r="3801" ht="15.75" customHeight="1">
      <c r="A3801" s="122"/>
      <c r="B3801" s="133"/>
      <c r="C3801" s="120"/>
      <c r="D3801" s="120"/>
      <c r="E3801" s="120"/>
      <c r="F3801" s="120"/>
      <c r="G3801" s="120"/>
      <c r="H3801" s="120"/>
      <c r="I3801" s="121"/>
      <c r="J3801" s="121"/>
      <c r="K3801" s="117"/>
    </row>
    <row r="3802" ht="15.75" customHeight="1">
      <c r="A3802" s="122"/>
      <c r="B3802" s="133"/>
      <c r="C3802" s="120"/>
      <c r="D3802" s="120"/>
      <c r="E3802" s="120"/>
      <c r="F3802" s="120"/>
      <c r="G3802" s="120"/>
      <c r="H3802" s="120"/>
      <c r="I3802" s="121"/>
      <c r="J3802" s="121"/>
      <c r="K3802" s="117"/>
    </row>
    <row r="3803" ht="15.75" customHeight="1">
      <c r="A3803" s="122"/>
      <c r="B3803" s="133"/>
      <c r="C3803" s="120"/>
      <c r="D3803" s="120"/>
      <c r="E3803" s="120"/>
      <c r="F3803" s="120"/>
      <c r="G3803" s="120"/>
      <c r="H3803" s="120"/>
      <c r="I3803" s="121"/>
      <c r="J3803" s="121"/>
      <c r="K3803" s="117"/>
    </row>
    <row r="3804" ht="15.75" customHeight="1">
      <c r="A3804" s="122"/>
      <c r="B3804" s="133"/>
      <c r="C3804" s="120"/>
      <c r="D3804" s="120"/>
      <c r="E3804" s="120"/>
      <c r="F3804" s="120"/>
      <c r="G3804" s="120"/>
      <c r="H3804" s="120"/>
      <c r="I3804" s="121"/>
      <c r="J3804" s="121"/>
      <c r="K3804" s="117"/>
    </row>
    <row r="3805" ht="15.75" customHeight="1">
      <c r="A3805" s="122"/>
      <c r="B3805" s="133"/>
      <c r="C3805" s="120"/>
      <c r="D3805" s="120"/>
      <c r="E3805" s="120"/>
      <c r="F3805" s="120"/>
      <c r="G3805" s="120"/>
      <c r="H3805" s="120"/>
      <c r="I3805" s="121"/>
      <c r="J3805" s="121"/>
      <c r="K3805" s="117"/>
    </row>
    <row r="3806" ht="15.75" customHeight="1">
      <c r="A3806" s="122"/>
      <c r="B3806" s="133"/>
      <c r="C3806" s="120"/>
      <c r="D3806" s="120"/>
      <c r="E3806" s="120"/>
      <c r="F3806" s="120"/>
      <c r="G3806" s="120"/>
      <c r="H3806" s="120"/>
      <c r="I3806" s="121"/>
      <c r="J3806" s="121"/>
      <c r="K3806" s="117"/>
    </row>
    <row r="3807" ht="15.75" customHeight="1">
      <c r="A3807" s="122"/>
      <c r="B3807" s="133"/>
      <c r="C3807" s="120"/>
      <c r="D3807" s="120"/>
      <c r="E3807" s="120"/>
      <c r="F3807" s="120"/>
      <c r="G3807" s="120"/>
      <c r="H3807" s="120"/>
      <c r="I3807" s="121"/>
      <c r="J3807" s="121"/>
      <c r="K3807" s="117"/>
    </row>
    <row r="3808" ht="15.75" customHeight="1">
      <c r="A3808" s="122"/>
      <c r="B3808" s="133"/>
      <c r="C3808" s="120"/>
      <c r="D3808" s="120"/>
      <c r="E3808" s="120"/>
      <c r="F3808" s="120"/>
      <c r="G3808" s="120"/>
      <c r="H3808" s="120"/>
      <c r="I3808" s="121"/>
      <c r="J3808" s="121"/>
      <c r="K3808" s="117"/>
    </row>
    <row r="3809" ht="15.75" customHeight="1">
      <c r="A3809" s="122"/>
      <c r="B3809" s="133"/>
      <c r="C3809" s="120"/>
      <c r="D3809" s="120"/>
      <c r="E3809" s="120"/>
      <c r="F3809" s="120"/>
      <c r="G3809" s="120"/>
      <c r="H3809" s="120"/>
      <c r="I3809" s="121"/>
      <c r="J3809" s="121"/>
      <c r="K3809" s="117"/>
    </row>
    <row r="3810" ht="15.75" customHeight="1">
      <c r="A3810" s="122"/>
      <c r="B3810" s="133"/>
      <c r="C3810" s="120"/>
      <c r="D3810" s="120"/>
      <c r="E3810" s="120"/>
      <c r="F3810" s="120"/>
      <c r="G3810" s="120"/>
      <c r="H3810" s="120"/>
      <c r="I3810" s="121"/>
      <c r="J3810" s="121"/>
      <c r="K3810" s="117"/>
    </row>
    <row r="3811" ht="15.75" customHeight="1">
      <c r="A3811" s="122"/>
      <c r="B3811" s="133"/>
      <c r="C3811" s="120"/>
      <c r="D3811" s="120"/>
      <c r="E3811" s="120"/>
      <c r="F3811" s="120"/>
      <c r="G3811" s="120"/>
      <c r="H3811" s="120"/>
      <c r="I3811" s="121"/>
      <c r="J3811" s="121"/>
      <c r="K3811" s="117"/>
    </row>
    <row r="3812" ht="15.75" customHeight="1">
      <c r="A3812" s="122"/>
      <c r="B3812" s="133"/>
      <c r="C3812" s="120"/>
      <c r="D3812" s="120"/>
      <c r="E3812" s="120"/>
      <c r="F3812" s="120"/>
      <c r="G3812" s="120"/>
      <c r="H3812" s="120"/>
      <c r="I3812" s="121"/>
      <c r="J3812" s="121"/>
      <c r="K3812" s="117"/>
    </row>
    <row r="3813" ht="15.75" customHeight="1">
      <c r="A3813" s="122"/>
      <c r="B3813" s="133"/>
      <c r="C3813" s="120"/>
      <c r="D3813" s="120"/>
      <c r="E3813" s="120"/>
      <c r="F3813" s="120"/>
      <c r="G3813" s="120"/>
      <c r="H3813" s="120"/>
      <c r="I3813" s="121"/>
      <c r="J3813" s="121"/>
      <c r="K3813" s="117"/>
    </row>
    <row r="3814" ht="15.75" customHeight="1">
      <c r="A3814" s="122"/>
      <c r="B3814" s="133"/>
      <c r="C3814" s="120"/>
      <c r="D3814" s="120"/>
      <c r="E3814" s="120"/>
      <c r="F3814" s="120"/>
      <c r="G3814" s="120"/>
      <c r="H3814" s="120"/>
      <c r="I3814" s="121"/>
      <c r="J3814" s="121"/>
      <c r="K3814" s="117"/>
    </row>
    <row r="3815" ht="15.75" customHeight="1">
      <c r="A3815" s="122"/>
      <c r="B3815" s="133"/>
      <c r="C3815" s="120"/>
      <c r="D3815" s="120"/>
      <c r="E3815" s="120"/>
      <c r="F3815" s="120"/>
      <c r="G3815" s="120"/>
      <c r="H3815" s="120"/>
      <c r="I3815" s="121"/>
      <c r="J3815" s="121"/>
      <c r="K3815" s="117"/>
    </row>
    <row r="3816" ht="15.75" customHeight="1">
      <c r="A3816" s="122"/>
      <c r="B3816" s="133"/>
      <c r="C3816" s="120"/>
      <c r="D3816" s="120"/>
      <c r="E3816" s="120"/>
      <c r="F3816" s="120"/>
      <c r="G3816" s="120"/>
      <c r="H3816" s="120"/>
      <c r="I3816" s="121"/>
      <c r="J3816" s="121"/>
      <c r="K3816" s="117"/>
    </row>
    <row r="3817" ht="15.75" customHeight="1">
      <c r="A3817" s="122"/>
      <c r="B3817" s="133"/>
      <c r="C3817" s="120"/>
      <c r="D3817" s="120"/>
      <c r="E3817" s="120"/>
      <c r="F3817" s="120"/>
      <c r="G3817" s="120"/>
      <c r="H3817" s="120"/>
      <c r="I3817" s="121"/>
      <c r="J3817" s="121"/>
      <c r="K3817" s="117"/>
    </row>
    <row r="3818" ht="15.75" customHeight="1">
      <c r="A3818" s="122"/>
      <c r="B3818" s="133"/>
      <c r="C3818" s="120"/>
      <c r="D3818" s="120"/>
      <c r="E3818" s="120"/>
      <c r="F3818" s="120"/>
      <c r="G3818" s="120"/>
      <c r="H3818" s="120"/>
      <c r="I3818" s="121"/>
      <c r="J3818" s="121"/>
      <c r="K3818" s="117"/>
    </row>
    <row r="3819" ht="15.75" customHeight="1">
      <c r="A3819" s="122"/>
      <c r="B3819" s="133"/>
      <c r="C3819" s="120"/>
      <c r="D3819" s="120"/>
      <c r="E3819" s="120"/>
      <c r="F3819" s="120"/>
      <c r="G3819" s="120"/>
      <c r="H3819" s="120"/>
      <c r="I3819" s="121"/>
      <c r="J3819" s="121"/>
      <c r="K3819" s="117"/>
    </row>
    <row r="3820" ht="15.75" customHeight="1">
      <c r="A3820" s="122"/>
      <c r="B3820" s="133"/>
      <c r="C3820" s="120"/>
      <c r="D3820" s="120"/>
      <c r="E3820" s="120"/>
      <c r="F3820" s="120"/>
      <c r="G3820" s="120"/>
      <c r="H3820" s="120"/>
      <c r="I3820" s="121"/>
      <c r="J3820" s="121"/>
      <c r="K3820" s="117"/>
    </row>
    <row r="3821" ht="15.75" customHeight="1">
      <c r="A3821" s="122"/>
      <c r="B3821" s="133"/>
      <c r="C3821" s="120"/>
      <c r="D3821" s="120"/>
      <c r="E3821" s="120"/>
      <c r="F3821" s="120"/>
      <c r="G3821" s="120"/>
      <c r="H3821" s="120"/>
      <c r="I3821" s="121"/>
      <c r="J3821" s="121"/>
      <c r="K3821" s="117"/>
    </row>
    <row r="3822" ht="15.75" customHeight="1">
      <c r="A3822" s="122"/>
      <c r="B3822" s="133"/>
      <c r="C3822" s="120"/>
      <c r="D3822" s="120"/>
      <c r="E3822" s="120"/>
      <c r="F3822" s="120"/>
      <c r="G3822" s="120"/>
      <c r="H3822" s="120"/>
      <c r="I3822" s="121"/>
      <c r="J3822" s="121"/>
      <c r="K3822" s="117"/>
    </row>
    <row r="3823" ht="15.75" customHeight="1">
      <c r="A3823" s="122"/>
      <c r="B3823" s="133"/>
      <c r="C3823" s="120"/>
      <c r="D3823" s="120"/>
      <c r="E3823" s="120"/>
      <c r="F3823" s="120"/>
      <c r="G3823" s="120"/>
      <c r="H3823" s="120"/>
      <c r="I3823" s="121"/>
      <c r="J3823" s="121"/>
      <c r="K3823" s="117"/>
    </row>
    <row r="3824" ht="15.75" customHeight="1">
      <c r="A3824" s="122"/>
      <c r="B3824" s="133"/>
      <c r="C3824" s="120"/>
      <c r="D3824" s="120"/>
      <c r="E3824" s="120"/>
      <c r="F3824" s="120"/>
      <c r="G3824" s="120"/>
      <c r="H3824" s="120"/>
      <c r="I3824" s="121"/>
      <c r="J3824" s="121"/>
      <c r="K3824" s="117"/>
    </row>
    <row r="3825" ht="15.75" customHeight="1">
      <c r="A3825" s="122"/>
      <c r="B3825" s="133"/>
      <c r="C3825" s="120"/>
      <c r="D3825" s="120"/>
      <c r="E3825" s="120"/>
      <c r="F3825" s="120"/>
      <c r="G3825" s="120"/>
      <c r="H3825" s="120"/>
      <c r="I3825" s="121"/>
      <c r="J3825" s="121"/>
      <c r="K3825" s="117"/>
    </row>
    <row r="3826" ht="15.75" customHeight="1">
      <c r="A3826" s="122"/>
      <c r="B3826" s="133"/>
      <c r="C3826" s="120"/>
      <c r="D3826" s="120"/>
      <c r="E3826" s="120"/>
      <c r="F3826" s="120"/>
      <c r="G3826" s="120"/>
      <c r="H3826" s="120"/>
      <c r="I3826" s="121"/>
      <c r="J3826" s="121"/>
      <c r="K3826" s="117"/>
    </row>
    <row r="3827" ht="15.75" customHeight="1">
      <c r="A3827" s="122"/>
      <c r="B3827" s="133"/>
      <c r="C3827" s="120"/>
      <c r="D3827" s="120"/>
      <c r="E3827" s="120"/>
      <c r="F3827" s="120"/>
      <c r="G3827" s="120"/>
      <c r="H3827" s="120"/>
      <c r="I3827" s="121"/>
      <c r="J3827" s="121"/>
      <c r="K3827" s="117"/>
    </row>
    <row r="3828" ht="15.75" customHeight="1">
      <c r="A3828" s="122"/>
      <c r="B3828" s="133"/>
      <c r="C3828" s="120"/>
      <c r="D3828" s="120"/>
      <c r="E3828" s="120"/>
      <c r="F3828" s="120"/>
      <c r="G3828" s="120"/>
      <c r="H3828" s="120"/>
      <c r="I3828" s="121"/>
      <c r="J3828" s="121"/>
      <c r="K3828" s="117"/>
    </row>
    <row r="3829" ht="15.75" customHeight="1">
      <c r="A3829" s="122"/>
      <c r="B3829" s="133"/>
      <c r="C3829" s="120"/>
      <c r="D3829" s="120"/>
      <c r="E3829" s="120"/>
      <c r="F3829" s="120"/>
      <c r="G3829" s="120"/>
      <c r="H3829" s="120"/>
      <c r="I3829" s="121"/>
      <c r="J3829" s="121"/>
      <c r="K3829" s="117"/>
    </row>
    <row r="3830" ht="15.75" customHeight="1">
      <c r="A3830" s="122"/>
      <c r="B3830" s="133"/>
      <c r="C3830" s="120"/>
      <c r="D3830" s="120"/>
      <c r="E3830" s="120"/>
      <c r="F3830" s="120"/>
      <c r="G3830" s="120"/>
      <c r="H3830" s="120"/>
      <c r="I3830" s="121"/>
      <c r="J3830" s="121"/>
      <c r="K3830" s="117"/>
    </row>
    <row r="3831" ht="15.75" customHeight="1">
      <c r="A3831" s="122"/>
      <c r="B3831" s="133"/>
      <c r="C3831" s="120"/>
      <c r="D3831" s="120"/>
      <c r="E3831" s="120"/>
      <c r="F3831" s="120"/>
      <c r="G3831" s="120"/>
      <c r="H3831" s="120"/>
      <c r="I3831" s="121"/>
      <c r="J3831" s="121"/>
      <c r="K3831" s="117"/>
    </row>
    <row r="3832" ht="15.75" customHeight="1">
      <c r="A3832" s="122"/>
      <c r="B3832" s="133"/>
      <c r="C3832" s="120"/>
      <c r="D3832" s="120"/>
      <c r="E3832" s="120"/>
      <c r="F3832" s="120"/>
      <c r="G3832" s="120"/>
      <c r="H3832" s="120"/>
      <c r="I3832" s="121"/>
      <c r="J3832" s="121"/>
      <c r="K3832" s="117"/>
    </row>
    <row r="3833" ht="15.75" customHeight="1">
      <c r="A3833" s="122"/>
      <c r="B3833" s="133"/>
      <c r="C3833" s="120"/>
      <c r="D3833" s="120"/>
      <c r="E3833" s="120"/>
      <c r="F3833" s="120"/>
      <c r="G3833" s="120"/>
      <c r="H3833" s="120"/>
      <c r="I3833" s="121"/>
      <c r="J3833" s="121"/>
      <c r="K3833" s="117"/>
    </row>
    <row r="3834" ht="15.75" customHeight="1">
      <c r="A3834" s="122"/>
      <c r="B3834" s="133"/>
      <c r="C3834" s="120"/>
      <c r="D3834" s="120"/>
      <c r="E3834" s="120"/>
      <c r="F3834" s="120"/>
      <c r="G3834" s="120"/>
      <c r="H3834" s="120"/>
      <c r="I3834" s="121"/>
      <c r="J3834" s="121"/>
      <c r="K3834" s="117"/>
    </row>
    <row r="3835" ht="15.75" customHeight="1">
      <c r="A3835" s="122"/>
      <c r="B3835" s="133"/>
      <c r="C3835" s="120"/>
      <c r="D3835" s="120"/>
      <c r="E3835" s="120"/>
      <c r="F3835" s="120"/>
      <c r="G3835" s="120"/>
      <c r="H3835" s="120"/>
      <c r="I3835" s="121"/>
      <c r="J3835" s="121"/>
      <c r="K3835" s="117"/>
    </row>
    <row r="3836" ht="15.75" customHeight="1">
      <c r="A3836" s="122"/>
      <c r="B3836" s="133"/>
      <c r="C3836" s="120"/>
      <c r="D3836" s="120"/>
      <c r="E3836" s="120"/>
      <c r="F3836" s="120"/>
      <c r="G3836" s="120"/>
      <c r="H3836" s="120"/>
      <c r="I3836" s="121"/>
      <c r="J3836" s="121"/>
      <c r="K3836" s="117"/>
    </row>
    <row r="3837" ht="15.75" customHeight="1">
      <c r="A3837" s="122"/>
      <c r="B3837" s="133"/>
      <c r="C3837" s="120"/>
      <c r="D3837" s="120"/>
      <c r="E3837" s="120"/>
      <c r="F3837" s="120"/>
      <c r="G3837" s="120"/>
      <c r="H3837" s="120"/>
      <c r="I3837" s="121"/>
      <c r="J3837" s="121"/>
      <c r="K3837" s="117"/>
    </row>
    <row r="3838" ht="15.75" customHeight="1">
      <c r="A3838" s="122"/>
      <c r="B3838" s="133"/>
      <c r="C3838" s="120"/>
      <c r="D3838" s="120"/>
      <c r="E3838" s="120"/>
      <c r="F3838" s="120"/>
      <c r="G3838" s="120"/>
      <c r="H3838" s="120"/>
      <c r="I3838" s="121"/>
      <c r="J3838" s="121"/>
      <c r="K3838" s="117"/>
    </row>
    <row r="3839" ht="15.75" customHeight="1">
      <c r="A3839" s="122"/>
      <c r="B3839" s="133"/>
      <c r="C3839" s="120"/>
      <c r="D3839" s="120"/>
      <c r="E3839" s="120"/>
      <c r="F3839" s="120"/>
      <c r="G3839" s="120"/>
      <c r="H3839" s="120"/>
      <c r="I3839" s="121"/>
      <c r="J3839" s="121"/>
      <c r="K3839" s="117"/>
    </row>
    <row r="3840" ht="15.75" customHeight="1">
      <c r="A3840" s="122"/>
      <c r="B3840" s="133"/>
      <c r="C3840" s="120"/>
      <c r="D3840" s="120"/>
      <c r="E3840" s="120"/>
      <c r="F3840" s="120"/>
      <c r="G3840" s="120"/>
      <c r="H3840" s="120"/>
      <c r="I3840" s="121"/>
      <c r="J3840" s="121"/>
      <c r="K3840" s="117"/>
    </row>
    <row r="3841" ht="15.75" customHeight="1">
      <c r="A3841" s="122"/>
      <c r="B3841" s="133"/>
      <c r="C3841" s="120"/>
      <c r="D3841" s="120"/>
      <c r="E3841" s="120"/>
      <c r="F3841" s="120"/>
      <c r="G3841" s="120"/>
      <c r="H3841" s="120"/>
      <c r="I3841" s="121"/>
      <c r="J3841" s="121"/>
      <c r="K3841" s="117"/>
    </row>
    <row r="3842" ht="15.75" customHeight="1">
      <c r="A3842" s="122"/>
      <c r="B3842" s="133"/>
      <c r="C3842" s="120"/>
      <c r="D3842" s="120"/>
      <c r="E3842" s="120"/>
      <c r="F3842" s="120"/>
      <c r="G3842" s="120"/>
      <c r="H3842" s="120"/>
      <c r="I3842" s="121"/>
      <c r="J3842" s="121"/>
      <c r="K3842" s="117"/>
    </row>
    <row r="3843" ht="15.75" customHeight="1">
      <c r="A3843" s="122"/>
      <c r="B3843" s="133"/>
      <c r="C3843" s="120"/>
      <c r="D3843" s="120"/>
      <c r="E3843" s="120"/>
      <c r="F3843" s="120"/>
      <c r="G3843" s="120"/>
      <c r="H3843" s="120"/>
      <c r="I3843" s="121"/>
      <c r="J3843" s="121"/>
      <c r="K3843" s="117"/>
    </row>
    <row r="3844" ht="15.75" customHeight="1">
      <c r="A3844" s="122"/>
      <c r="B3844" s="133"/>
      <c r="C3844" s="120"/>
      <c r="D3844" s="120"/>
      <c r="E3844" s="120"/>
      <c r="F3844" s="120"/>
      <c r="G3844" s="120"/>
      <c r="H3844" s="120"/>
      <c r="I3844" s="121"/>
      <c r="J3844" s="121"/>
      <c r="K3844" s="117"/>
    </row>
    <row r="3845" ht="15.75" customHeight="1">
      <c r="A3845" s="122"/>
      <c r="B3845" s="133"/>
      <c r="C3845" s="120"/>
      <c r="D3845" s="120"/>
      <c r="E3845" s="120"/>
      <c r="F3845" s="120"/>
      <c r="G3845" s="120"/>
      <c r="H3845" s="120"/>
      <c r="I3845" s="121"/>
      <c r="J3845" s="121"/>
      <c r="K3845" s="117"/>
    </row>
    <row r="3846" ht="15.75" customHeight="1">
      <c r="A3846" s="122"/>
      <c r="B3846" s="133"/>
      <c r="C3846" s="120"/>
      <c r="D3846" s="120"/>
      <c r="E3846" s="120"/>
      <c r="F3846" s="120"/>
      <c r="G3846" s="120"/>
      <c r="H3846" s="120"/>
      <c r="I3846" s="121"/>
      <c r="J3846" s="121"/>
      <c r="K3846" s="117"/>
    </row>
    <row r="3847" ht="15.75" customHeight="1">
      <c r="A3847" s="122"/>
      <c r="B3847" s="133"/>
      <c r="C3847" s="120"/>
      <c r="D3847" s="120"/>
      <c r="E3847" s="120"/>
      <c r="F3847" s="120"/>
      <c r="G3847" s="120"/>
      <c r="H3847" s="120"/>
      <c r="I3847" s="121"/>
      <c r="J3847" s="121"/>
      <c r="K3847" s="117"/>
    </row>
    <row r="3848" ht="15.75" customHeight="1">
      <c r="A3848" s="122"/>
      <c r="B3848" s="133"/>
      <c r="C3848" s="120"/>
      <c r="D3848" s="120"/>
      <c r="E3848" s="120"/>
      <c r="F3848" s="120"/>
      <c r="G3848" s="120"/>
      <c r="H3848" s="120"/>
      <c r="I3848" s="121"/>
      <c r="J3848" s="121"/>
      <c r="K3848" s="117"/>
    </row>
    <row r="3849" ht="15.75" customHeight="1">
      <c r="A3849" s="122"/>
      <c r="B3849" s="133"/>
      <c r="C3849" s="120"/>
      <c r="D3849" s="120"/>
      <c r="E3849" s="120"/>
      <c r="F3849" s="120"/>
      <c r="G3849" s="120"/>
      <c r="H3849" s="120"/>
      <c r="I3849" s="121"/>
      <c r="J3849" s="121"/>
      <c r="K3849" s="117"/>
    </row>
    <row r="3850" ht="15.75" customHeight="1">
      <c r="A3850" s="122"/>
      <c r="B3850" s="133"/>
      <c r="C3850" s="120"/>
      <c r="D3850" s="120"/>
      <c r="E3850" s="120"/>
      <c r="F3850" s="120"/>
      <c r="G3850" s="120"/>
      <c r="H3850" s="120"/>
      <c r="I3850" s="121"/>
      <c r="J3850" s="121"/>
      <c r="K3850" s="117"/>
    </row>
    <row r="3851" ht="15.75" customHeight="1">
      <c r="A3851" s="122"/>
      <c r="B3851" s="133"/>
      <c r="C3851" s="120"/>
      <c r="D3851" s="120"/>
      <c r="E3851" s="120"/>
      <c r="F3851" s="120"/>
      <c r="G3851" s="120"/>
      <c r="H3851" s="120"/>
      <c r="I3851" s="121"/>
      <c r="J3851" s="121"/>
      <c r="K3851" s="117"/>
    </row>
    <row r="3852" ht="15.75" customHeight="1">
      <c r="A3852" s="122"/>
      <c r="B3852" s="133"/>
      <c r="C3852" s="120"/>
      <c r="D3852" s="120"/>
      <c r="E3852" s="120"/>
      <c r="F3852" s="120"/>
      <c r="G3852" s="120"/>
      <c r="H3852" s="120"/>
      <c r="I3852" s="121"/>
      <c r="J3852" s="121"/>
      <c r="K3852" s="117"/>
    </row>
    <row r="3853" ht="15.75" customHeight="1">
      <c r="A3853" s="122"/>
      <c r="B3853" s="133"/>
      <c r="C3853" s="120"/>
      <c r="D3853" s="120"/>
      <c r="E3853" s="120"/>
      <c r="F3853" s="120"/>
      <c r="G3853" s="120"/>
      <c r="H3853" s="120"/>
      <c r="I3853" s="121"/>
      <c r="J3853" s="121"/>
      <c r="K3853" s="117"/>
    </row>
    <row r="3854" ht="15.75" customHeight="1">
      <c r="A3854" s="122"/>
      <c r="B3854" s="133"/>
      <c r="C3854" s="120"/>
      <c r="D3854" s="120"/>
      <c r="E3854" s="120"/>
      <c r="F3854" s="120"/>
      <c r="G3854" s="120"/>
      <c r="H3854" s="120"/>
      <c r="I3854" s="121"/>
      <c r="J3854" s="121"/>
      <c r="K3854" s="117"/>
    </row>
    <row r="3855" ht="15.75" customHeight="1">
      <c r="A3855" s="122"/>
      <c r="B3855" s="133"/>
      <c r="C3855" s="120"/>
      <c r="D3855" s="120"/>
      <c r="E3855" s="120"/>
      <c r="F3855" s="120"/>
      <c r="G3855" s="120"/>
      <c r="H3855" s="120"/>
      <c r="I3855" s="121"/>
      <c r="J3855" s="121"/>
      <c r="K3855" s="117"/>
    </row>
    <row r="3856" ht="15.75" customHeight="1">
      <c r="A3856" s="122"/>
      <c r="B3856" s="133"/>
      <c r="C3856" s="120"/>
      <c r="D3856" s="120"/>
      <c r="E3856" s="120"/>
      <c r="F3856" s="120"/>
      <c r="G3856" s="120"/>
      <c r="H3856" s="120"/>
      <c r="I3856" s="121"/>
      <c r="J3856" s="121"/>
      <c r="K3856" s="117"/>
    </row>
    <row r="3857" ht="15.75" customHeight="1">
      <c r="A3857" s="122"/>
      <c r="B3857" s="133"/>
      <c r="C3857" s="120"/>
      <c r="D3857" s="120"/>
      <c r="E3857" s="120"/>
      <c r="F3857" s="120"/>
      <c r="G3857" s="120"/>
      <c r="H3857" s="120"/>
      <c r="I3857" s="121"/>
      <c r="J3857" s="121"/>
      <c r="K3857" s="117"/>
    </row>
    <row r="3858" ht="15.75" customHeight="1">
      <c r="A3858" s="122"/>
      <c r="B3858" s="133"/>
      <c r="C3858" s="120"/>
      <c r="D3858" s="120"/>
      <c r="E3858" s="120"/>
      <c r="F3858" s="120"/>
      <c r="G3858" s="120"/>
      <c r="H3858" s="120"/>
      <c r="I3858" s="121"/>
      <c r="J3858" s="121"/>
      <c r="K3858" s="117"/>
    </row>
    <row r="3859" ht="15.75" customHeight="1">
      <c r="A3859" s="122"/>
      <c r="B3859" s="133"/>
      <c r="C3859" s="120"/>
      <c r="D3859" s="120"/>
      <c r="E3859" s="120"/>
      <c r="F3859" s="120"/>
      <c r="G3859" s="120"/>
      <c r="H3859" s="120"/>
      <c r="I3859" s="121"/>
      <c r="J3859" s="121"/>
      <c r="K3859" s="117"/>
    </row>
    <row r="3860" ht="15.75" customHeight="1">
      <c r="A3860" s="122"/>
      <c r="B3860" s="133"/>
      <c r="C3860" s="120"/>
      <c r="D3860" s="120"/>
      <c r="E3860" s="120"/>
      <c r="F3860" s="120"/>
      <c r="G3860" s="120"/>
      <c r="H3860" s="120"/>
      <c r="I3860" s="121"/>
      <c r="J3860" s="121"/>
      <c r="K3860" s="117"/>
    </row>
    <row r="3861" ht="15.75" customHeight="1">
      <c r="A3861" s="122"/>
      <c r="B3861" s="133"/>
      <c r="C3861" s="120"/>
      <c r="D3861" s="120"/>
      <c r="E3861" s="120"/>
      <c r="F3861" s="120"/>
      <c r="G3861" s="120"/>
      <c r="H3861" s="120"/>
      <c r="I3861" s="121"/>
      <c r="J3861" s="121"/>
      <c r="K3861" s="117"/>
    </row>
    <row r="3862" ht="15.75" customHeight="1">
      <c r="A3862" s="122"/>
      <c r="B3862" s="133"/>
      <c r="C3862" s="120"/>
      <c r="D3862" s="120"/>
      <c r="E3862" s="120"/>
      <c r="F3862" s="120"/>
      <c r="G3862" s="120"/>
      <c r="H3862" s="120"/>
      <c r="I3862" s="121"/>
      <c r="J3862" s="121"/>
      <c r="K3862" s="117"/>
    </row>
    <row r="3863" ht="15.75" customHeight="1">
      <c r="A3863" s="122"/>
      <c r="B3863" s="133"/>
      <c r="C3863" s="120"/>
      <c r="D3863" s="120"/>
      <c r="E3863" s="120"/>
      <c r="F3863" s="120"/>
      <c r="G3863" s="120"/>
      <c r="H3863" s="120"/>
      <c r="I3863" s="121"/>
      <c r="J3863" s="121"/>
      <c r="K3863" s="117"/>
    </row>
    <row r="3864" ht="15.75" customHeight="1">
      <c r="A3864" s="122"/>
      <c r="B3864" s="133"/>
      <c r="C3864" s="120"/>
      <c r="D3864" s="120"/>
      <c r="E3864" s="120"/>
      <c r="F3864" s="120"/>
      <c r="G3864" s="120"/>
      <c r="H3864" s="120"/>
      <c r="I3864" s="121"/>
      <c r="J3864" s="121"/>
      <c r="K3864" s="117"/>
    </row>
    <row r="3865" ht="15.75" customHeight="1">
      <c r="A3865" s="122"/>
      <c r="B3865" s="133"/>
      <c r="C3865" s="120"/>
      <c r="D3865" s="120"/>
      <c r="E3865" s="120"/>
      <c r="F3865" s="120"/>
      <c r="G3865" s="120"/>
      <c r="H3865" s="120"/>
      <c r="I3865" s="121"/>
      <c r="J3865" s="121"/>
      <c r="K3865" s="117"/>
    </row>
    <row r="3866" ht="15.75" customHeight="1">
      <c r="A3866" s="122"/>
      <c r="B3866" s="133"/>
      <c r="C3866" s="120"/>
      <c r="D3866" s="120"/>
      <c r="E3866" s="120"/>
      <c r="F3866" s="120"/>
      <c r="G3866" s="120"/>
      <c r="H3866" s="120"/>
      <c r="I3866" s="121"/>
      <c r="J3866" s="121"/>
      <c r="K3866" s="117"/>
    </row>
    <row r="3867" ht="15.75" customHeight="1">
      <c r="A3867" s="122"/>
      <c r="B3867" s="133"/>
      <c r="C3867" s="120"/>
      <c r="D3867" s="120"/>
      <c r="E3867" s="120"/>
      <c r="F3867" s="120"/>
      <c r="G3867" s="120"/>
      <c r="H3867" s="120"/>
      <c r="I3867" s="121"/>
      <c r="J3867" s="121"/>
      <c r="K3867" s="117"/>
    </row>
    <row r="3868" ht="15.75" customHeight="1">
      <c r="A3868" s="122"/>
      <c r="B3868" s="133"/>
      <c r="C3868" s="120"/>
      <c r="D3868" s="120"/>
      <c r="E3868" s="120"/>
      <c r="F3868" s="120"/>
      <c r="G3868" s="120"/>
      <c r="H3868" s="120"/>
      <c r="I3868" s="121"/>
      <c r="J3868" s="121"/>
      <c r="K3868" s="117"/>
    </row>
    <row r="3869" ht="15.75" customHeight="1">
      <c r="A3869" s="122"/>
      <c r="B3869" s="133"/>
      <c r="C3869" s="120"/>
      <c r="D3869" s="120"/>
      <c r="E3869" s="120"/>
      <c r="F3869" s="120"/>
      <c r="G3869" s="120"/>
      <c r="H3869" s="120"/>
      <c r="I3869" s="121"/>
      <c r="J3869" s="121"/>
      <c r="K3869" s="117"/>
    </row>
    <row r="3870" ht="15.75" customHeight="1">
      <c r="A3870" s="122"/>
      <c r="B3870" s="133"/>
      <c r="C3870" s="120"/>
      <c r="D3870" s="120"/>
      <c r="E3870" s="120"/>
      <c r="F3870" s="120"/>
      <c r="G3870" s="120"/>
      <c r="H3870" s="120"/>
      <c r="I3870" s="121"/>
      <c r="J3870" s="121"/>
      <c r="K3870" s="117"/>
    </row>
    <row r="3871" ht="15.75" customHeight="1">
      <c r="A3871" s="122"/>
      <c r="B3871" s="133"/>
      <c r="C3871" s="120"/>
      <c r="D3871" s="120"/>
      <c r="E3871" s="120"/>
      <c r="F3871" s="120"/>
      <c r="G3871" s="120"/>
      <c r="H3871" s="120"/>
      <c r="I3871" s="121"/>
      <c r="J3871" s="121"/>
      <c r="K3871" s="117"/>
    </row>
    <row r="3872" ht="15.75" customHeight="1">
      <c r="A3872" s="122"/>
      <c r="B3872" s="133"/>
      <c r="C3872" s="120"/>
      <c r="D3872" s="120"/>
      <c r="E3872" s="120"/>
      <c r="F3872" s="120"/>
      <c r="G3872" s="120"/>
      <c r="H3872" s="120"/>
      <c r="I3872" s="121"/>
      <c r="J3872" s="121"/>
      <c r="K3872" s="117"/>
    </row>
    <row r="3873" ht="15.75" customHeight="1">
      <c r="A3873" s="122"/>
      <c r="B3873" s="133"/>
      <c r="C3873" s="120"/>
      <c r="D3873" s="120"/>
      <c r="E3873" s="120"/>
      <c r="F3873" s="120"/>
      <c r="G3873" s="120"/>
      <c r="H3873" s="120"/>
      <c r="I3873" s="121"/>
      <c r="J3873" s="121"/>
      <c r="K3873" s="117"/>
    </row>
    <row r="3874" ht="15.75" customHeight="1">
      <c r="A3874" s="122"/>
      <c r="B3874" s="133"/>
      <c r="C3874" s="120"/>
      <c r="D3874" s="120"/>
      <c r="E3874" s="120"/>
      <c r="F3874" s="120"/>
      <c r="G3874" s="120"/>
      <c r="H3874" s="120"/>
      <c r="I3874" s="121"/>
      <c r="J3874" s="121"/>
      <c r="K3874" s="117"/>
    </row>
    <row r="3875" ht="15.75" customHeight="1">
      <c r="A3875" s="122"/>
      <c r="B3875" s="133"/>
      <c r="C3875" s="120"/>
      <c r="D3875" s="120"/>
      <c r="E3875" s="120"/>
      <c r="F3875" s="120"/>
      <c r="G3875" s="120"/>
      <c r="H3875" s="120"/>
      <c r="I3875" s="121"/>
      <c r="J3875" s="121"/>
      <c r="K3875" s="117"/>
    </row>
    <row r="3876" ht="15.75" customHeight="1">
      <c r="A3876" s="122"/>
      <c r="B3876" s="133"/>
      <c r="C3876" s="120"/>
      <c r="D3876" s="120"/>
      <c r="E3876" s="120"/>
      <c r="F3876" s="120"/>
      <c r="G3876" s="120"/>
      <c r="H3876" s="120"/>
      <c r="I3876" s="121"/>
      <c r="J3876" s="121"/>
      <c r="K3876" s="117"/>
    </row>
    <row r="3877" ht="15.75" customHeight="1">
      <c r="A3877" s="122"/>
      <c r="B3877" s="133"/>
      <c r="C3877" s="120"/>
      <c r="D3877" s="120"/>
      <c r="E3877" s="120"/>
      <c r="F3877" s="120"/>
      <c r="G3877" s="120"/>
      <c r="H3877" s="120"/>
      <c r="I3877" s="121"/>
      <c r="J3877" s="121"/>
      <c r="K3877" s="117"/>
    </row>
    <row r="3878" ht="15.75" customHeight="1">
      <c r="A3878" s="122"/>
      <c r="B3878" s="133"/>
      <c r="C3878" s="120"/>
      <c r="D3878" s="120"/>
      <c r="E3878" s="120"/>
      <c r="F3878" s="120"/>
      <c r="G3878" s="120"/>
      <c r="H3878" s="120"/>
      <c r="I3878" s="121"/>
      <c r="J3878" s="121"/>
      <c r="K3878" s="117"/>
    </row>
    <row r="3879" ht="15.75" customHeight="1">
      <c r="A3879" s="122"/>
      <c r="B3879" s="133"/>
      <c r="C3879" s="120"/>
      <c r="D3879" s="120"/>
      <c r="E3879" s="120"/>
      <c r="F3879" s="120"/>
      <c r="G3879" s="120"/>
      <c r="H3879" s="120"/>
      <c r="I3879" s="121"/>
      <c r="J3879" s="121"/>
      <c r="K3879" s="117"/>
    </row>
    <row r="3880" ht="15.75" customHeight="1">
      <c r="A3880" s="122"/>
      <c r="B3880" s="133"/>
      <c r="C3880" s="120"/>
      <c r="D3880" s="120"/>
      <c r="E3880" s="120"/>
      <c r="F3880" s="120"/>
      <c r="G3880" s="120"/>
      <c r="H3880" s="120"/>
      <c r="I3880" s="121"/>
      <c r="J3880" s="121"/>
      <c r="K3880" s="117"/>
    </row>
    <row r="3881" ht="15.75" customHeight="1">
      <c r="A3881" s="122"/>
      <c r="B3881" s="133"/>
      <c r="C3881" s="120"/>
      <c r="D3881" s="120"/>
      <c r="E3881" s="120"/>
      <c r="F3881" s="120"/>
      <c r="G3881" s="120"/>
      <c r="H3881" s="120"/>
      <c r="I3881" s="121"/>
      <c r="J3881" s="121"/>
      <c r="K3881" s="117"/>
    </row>
    <row r="3882" ht="15.75" customHeight="1">
      <c r="A3882" s="122"/>
      <c r="B3882" s="133"/>
      <c r="C3882" s="120"/>
      <c r="D3882" s="120"/>
      <c r="E3882" s="120"/>
      <c r="F3882" s="120"/>
      <c r="G3882" s="120"/>
      <c r="H3882" s="120"/>
      <c r="I3882" s="121"/>
      <c r="J3882" s="121"/>
      <c r="K3882" s="117"/>
    </row>
    <row r="3883" ht="15.75" customHeight="1">
      <c r="A3883" s="122"/>
      <c r="B3883" s="133"/>
      <c r="C3883" s="120"/>
      <c r="D3883" s="120"/>
      <c r="E3883" s="120"/>
      <c r="F3883" s="120"/>
      <c r="G3883" s="120"/>
      <c r="H3883" s="120"/>
      <c r="I3883" s="121"/>
      <c r="J3883" s="121"/>
      <c r="K3883" s="117"/>
    </row>
    <row r="3884" ht="15.75" customHeight="1">
      <c r="A3884" s="122"/>
      <c r="B3884" s="133"/>
      <c r="C3884" s="120"/>
      <c r="D3884" s="120"/>
      <c r="E3884" s="120"/>
      <c r="F3884" s="120"/>
      <c r="G3884" s="120"/>
      <c r="H3884" s="120"/>
      <c r="I3884" s="121"/>
      <c r="J3884" s="121"/>
      <c r="K3884" s="117"/>
    </row>
    <row r="3885" ht="15.75" customHeight="1">
      <c r="A3885" s="122"/>
      <c r="B3885" s="133"/>
      <c r="C3885" s="120"/>
      <c r="D3885" s="120"/>
      <c r="E3885" s="120"/>
      <c r="F3885" s="120"/>
      <c r="G3885" s="120"/>
      <c r="H3885" s="120"/>
      <c r="I3885" s="121"/>
      <c r="J3885" s="121"/>
      <c r="K3885" s="117"/>
    </row>
    <row r="3886" ht="15.75" customHeight="1">
      <c r="A3886" s="122"/>
      <c r="B3886" s="133"/>
      <c r="C3886" s="120"/>
      <c r="D3886" s="120"/>
      <c r="E3886" s="120"/>
      <c r="F3886" s="120"/>
      <c r="G3886" s="120"/>
      <c r="H3886" s="120"/>
      <c r="I3886" s="121"/>
      <c r="J3886" s="121"/>
      <c r="K3886" s="117"/>
    </row>
    <row r="3887" ht="15.75" customHeight="1">
      <c r="A3887" s="122"/>
      <c r="B3887" s="133"/>
      <c r="C3887" s="120"/>
      <c r="D3887" s="120"/>
      <c r="E3887" s="120"/>
      <c r="F3887" s="120"/>
      <c r="G3887" s="120"/>
      <c r="H3887" s="120"/>
      <c r="I3887" s="121"/>
      <c r="J3887" s="121"/>
      <c r="K3887" s="117"/>
    </row>
    <row r="3888" ht="15.75" customHeight="1">
      <c r="A3888" s="122"/>
      <c r="B3888" s="133"/>
      <c r="C3888" s="120"/>
      <c r="D3888" s="120"/>
      <c r="E3888" s="120"/>
      <c r="F3888" s="120"/>
      <c r="G3888" s="120"/>
      <c r="H3888" s="120"/>
      <c r="I3888" s="121"/>
      <c r="J3888" s="121"/>
      <c r="K3888" s="117"/>
    </row>
    <row r="3889" ht="15.75" customHeight="1">
      <c r="A3889" s="122"/>
      <c r="B3889" s="133"/>
      <c r="C3889" s="120"/>
      <c r="D3889" s="120"/>
      <c r="E3889" s="120"/>
      <c r="F3889" s="120"/>
      <c r="G3889" s="120"/>
      <c r="H3889" s="120"/>
      <c r="I3889" s="121"/>
      <c r="J3889" s="121"/>
      <c r="K3889" s="117"/>
    </row>
    <row r="3890" ht="15.75" customHeight="1">
      <c r="A3890" s="122"/>
      <c r="B3890" s="133"/>
      <c r="C3890" s="120"/>
      <c r="D3890" s="120"/>
      <c r="E3890" s="120"/>
      <c r="F3890" s="120"/>
      <c r="G3890" s="120"/>
      <c r="H3890" s="120"/>
      <c r="I3890" s="121"/>
      <c r="J3890" s="121"/>
      <c r="K3890" s="117"/>
    </row>
    <row r="3891" ht="15.75" customHeight="1">
      <c r="A3891" s="122"/>
      <c r="B3891" s="133"/>
      <c r="C3891" s="120"/>
      <c r="D3891" s="120"/>
      <c r="E3891" s="120"/>
      <c r="F3891" s="120"/>
      <c r="G3891" s="120"/>
      <c r="H3891" s="120"/>
      <c r="I3891" s="121"/>
      <c r="J3891" s="121"/>
      <c r="K3891" s="117"/>
    </row>
    <row r="3892" ht="15.75" customHeight="1">
      <c r="A3892" s="122"/>
      <c r="B3892" s="133"/>
      <c r="C3892" s="120"/>
      <c r="D3892" s="120"/>
      <c r="E3892" s="120"/>
      <c r="F3892" s="120"/>
      <c r="G3892" s="120"/>
      <c r="H3892" s="120"/>
      <c r="I3892" s="121"/>
      <c r="J3892" s="121"/>
      <c r="K3892" s="117"/>
    </row>
    <row r="3893" ht="15.75" customHeight="1">
      <c r="A3893" s="122"/>
      <c r="B3893" s="133"/>
      <c r="C3893" s="120"/>
      <c r="D3893" s="120"/>
      <c r="E3893" s="120"/>
      <c r="F3893" s="120"/>
      <c r="G3893" s="120"/>
      <c r="H3893" s="120"/>
      <c r="I3893" s="121"/>
      <c r="J3893" s="121"/>
      <c r="K3893" s="117"/>
    </row>
    <row r="3894" ht="15.75" customHeight="1">
      <c r="A3894" s="122"/>
      <c r="B3894" s="133"/>
      <c r="C3894" s="120"/>
      <c r="D3894" s="120"/>
      <c r="E3894" s="120"/>
      <c r="F3894" s="120"/>
      <c r="G3894" s="120"/>
      <c r="H3894" s="120"/>
      <c r="I3894" s="121"/>
      <c r="J3894" s="121"/>
      <c r="K3894" s="117"/>
    </row>
    <row r="3895" ht="15.75" customHeight="1">
      <c r="A3895" s="122"/>
      <c r="B3895" s="133"/>
      <c r="C3895" s="120"/>
      <c r="D3895" s="120"/>
      <c r="E3895" s="120"/>
      <c r="F3895" s="120"/>
      <c r="G3895" s="120"/>
      <c r="H3895" s="120"/>
      <c r="I3895" s="121"/>
      <c r="J3895" s="121"/>
      <c r="K3895" s="117"/>
    </row>
    <row r="3896" ht="15.75" customHeight="1">
      <c r="A3896" s="122"/>
      <c r="B3896" s="133"/>
      <c r="C3896" s="120"/>
      <c r="D3896" s="120"/>
      <c r="E3896" s="120"/>
      <c r="F3896" s="120"/>
      <c r="G3896" s="120"/>
      <c r="H3896" s="120"/>
      <c r="I3896" s="121"/>
      <c r="J3896" s="121"/>
      <c r="K3896" s="117"/>
    </row>
    <row r="3897" ht="15.75" customHeight="1">
      <c r="A3897" s="122"/>
      <c r="B3897" s="133"/>
      <c r="C3897" s="120"/>
      <c r="D3897" s="120"/>
      <c r="E3897" s="120"/>
      <c r="F3897" s="120"/>
      <c r="G3897" s="120"/>
      <c r="H3897" s="120"/>
      <c r="I3897" s="121"/>
      <c r="J3897" s="121"/>
      <c r="K3897" s="117"/>
    </row>
    <row r="3898" ht="15.75" customHeight="1">
      <c r="A3898" s="122"/>
      <c r="B3898" s="133"/>
      <c r="C3898" s="120"/>
      <c r="D3898" s="120"/>
      <c r="E3898" s="120"/>
      <c r="F3898" s="120"/>
      <c r="G3898" s="120"/>
      <c r="H3898" s="120"/>
      <c r="I3898" s="121"/>
      <c r="J3898" s="121"/>
      <c r="K3898" s="117"/>
    </row>
    <row r="3899" ht="15.75" customHeight="1">
      <c r="A3899" s="122"/>
      <c r="B3899" s="133"/>
      <c r="C3899" s="120"/>
      <c r="D3899" s="120"/>
      <c r="E3899" s="120"/>
      <c r="F3899" s="120"/>
      <c r="G3899" s="120"/>
      <c r="H3899" s="120"/>
      <c r="I3899" s="121"/>
      <c r="J3899" s="121"/>
      <c r="K3899" s="117"/>
    </row>
    <row r="3900" ht="15.75" customHeight="1">
      <c r="A3900" s="122"/>
      <c r="B3900" s="133"/>
      <c r="C3900" s="120"/>
      <c r="D3900" s="120"/>
      <c r="E3900" s="120"/>
      <c r="F3900" s="120"/>
      <c r="G3900" s="120"/>
      <c r="H3900" s="120"/>
      <c r="I3900" s="121"/>
      <c r="J3900" s="121"/>
      <c r="K3900" s="117"/>
    </row>
    <row r="3901" ht="15.75" customHeight="1">
      <c r="A3901" s="122"/>
      <c r="B3901" s="133"/>
      <c r="C3901" s="120"/>
      <c r="D3901" s="120"/>
      <c r="E3901" s="120"/>
      <c r="F3901" s="120"/>
      <c r="G3901" s="120"/>
      <c r="H3901" s="120"/>
      <c r="I3901" s="121"/>
      <c r="J3901" s="121"/>
      <c r="K3901" s="117"/>
    </row>
    <row r="3902" ht="15.75" customHeight="1">
      <c r="A3902" s="122"/>
      <c r="B3902" s="133"/>
      <c r="C3902" s="120"/>
      <c r="D3902" s="120"/>
      <c r="E3902" s="120"/>
      <c r="F3902" s="120"/>
      <c r="G3902" s="120"/>
      <c r="H3902" s="120"/>
      <c r="I3902" s="121"/>
      <c r="J3902" s="121"/>
      <c r="K3902" s="117"/>
    </row>
    <row r="3903" ht="15.75" customHeight="1">
      <c r="A3903" s="122"/>
      <c r="B3903" s="133"/>
      <c r="C3903" s="120"/>
      <c r="D3903" s="120"/>
      <c r="E3903" s="120"/>
      <c r="F3903" s="120"/>
      <c r="G3903" s="120"/>
      <c r="H3903" s="120"/>
      <c r="I3903" s="121"/>
      <c r="J3903" s="121"/>
      <c r="K3903" s="117"/>
    </row>
    <row r="3904" ht="15.75" customHeight="1">
      <c r="A3904" s="122"/>
      <c r="B3904" s="133"/>
      <c r="C3904" s="120"/>
      <c r="D3904" s="120"/>
      <c r="E3904" s="120"/>
      <c r="F3904" s="120"/>
      <c r="G3904" s="120"/>
      <c r="H3904" s="120"/>
      <c r="I3904" s="121"/>
      <c r="J3904" s="121"/>
      <c r="K3904" s="117"/>
    </row>
    <row r="3905" ht="15.75" customHeight="1">
      <c r="A3905" s="122"/>
      <c r="B3905" s="133"/>
      <c r="C3905" s="120"/>
      <c r="D3905" s="120"/>
      <c r="E3905" s="120"/>
      <c r="F3905" s="120"/>
      <c r="G3905" s="120"/>
      <c r="H3905" s="120"/>
      <c r="I3905" s="121"/>
      <c r="J3905" s="121"/>
      <c r="K3905" s="117"/>
    </row>
    <row r="3906" ht="15.75" customHeight="1">
      <c r="A3906" s="122"/>
      <c r="B3906" s="133"/>
      <c r="C3906" s="120"/>
      <c r="D3906" s="120"/>
      <c r="E3906" s="120"/>
      <c r="F3906" s="120"/>
      <c r="G3906" s="120"/>
      <c r="H3906" s="120"/>
      <c r="I3906" s="121"/>
      <c r="J3906" s="121"/>
      <c r="K3906" s="117"/>
    </row>
    <row r="3907" ht="15.75" customHeight="1">
      <c r="A3907" s="122"/>
      <c r="B3907" s="133"/>
      <c r="C3907" s="120"/>
      <c r="D3907" s="120"/>
      <c r="E3907" s="120"/>
      <c r="F3907" s="120"/>
      <c r="G3907" s="120"/>
      <c r="H3907" s="120"/>
      <c r="I3907" s="121"/>
      <c r="J3907" s="121"/>
      <c r="K3907" s="117"/>
    </row>
    <row r="3908" ht="15.75" customHeight="1">
      <c r="A3908" s="122"/>
      <c r="B3908" s="133"/>
      <c r="C3908" s="120"/>
      <c r="D3908" s="120"/>
      <c r="E3908" s="120"/>
      <c r="F3908" s="120"/>
      <c r="G3908" s="120"/>
      <c r="H3908" s="120"/>
      <c r="I3908" s="121"/>
      <c r="J3908" s="121"/>
      <c r="K3908" s="117"/>
    </row>
    <row r="3909" ht="15.75" customHeight="1">
      <c r="A3909" s="122"/>
      <c r="B3909" s="133"/>
      <c r="C3909" s="120"/>
      <c r="D3909" s="120"/>
      <c r="E3909" s="120"/>
      <c r="F3909" s="120"/>
      <c r="G3909" s="120"/>
      <c r="H3909" s="120"/>
      <c r="I3909" s="121"/>
      <c r="J3909" s="121"/>
      <c r="K3909" s="117"/>
    </row>
    <row r="3910" ht="15.75" customHeight="1">
      <c r="A3910" s="122"/>
      <c r="B3910" s="133"/>
      <c r="C3910" s="120"/>
      <c r="D3910" s="120"/>
      <c r="E3910" s="120"/>
      <c r="F3910" s="120"/>
      <c r="G3910" s="120"/>
      <c r="H3910" s="120"/>
      <c r="I3910" s="121"/>
      <c r="J3910" s="121"/>
      <c r="K3910" s="117"/>
    </row>
    <row r="3911" ht="15.75" customHeight="1">
      <c r="A3911" s="122"/>
      <c r="B3911" s="133"/>
      <c r="C3911" s="120"/>
      <c r="D3911" s="120"/>
      <c r="E3911" s="120"/>
      <c r="F3911" s="120"/>
      <c r="G3911" s="120"/>
      <c r="H3911" s="120"/>
      <c r="I3911" s="121"/>
      <c r="J3911" s="121"/>
      <c r="K3911" s="117"/>
    </row>
    <row r="3912" ht="15.75" customHeight="1">
      <c r="A3912" s="122"/>
      <c r="B3912" s="133"/>
      <c r="C3912" s="120"/>
      <c r="D3912" s="120"/>
      <c r="E3912" s="120"/>
      <c r="F3912" s="120"/>
      <c r="G3912" s="120"/>
      <c r="H3912" s="120"/>
      <c r="I3912" s="121"/>
      <c r="J3912" s="121"/>
      <c r="K3912" s="117"/>
    </row>
    <row r="3913" ht="15.75" customHeight="1">
      <c r="A3913" s="122"/>
      <c r="B3913" s="133"/>
      <c r="C3913" s="120"/>
      <c r="D3913" s="120"/>
      <c r="E3913" s="120"/>
      <c r="F3913" s="120"/>
      <c r="G3913" s="120"/>
      <c r="H3913" s="120"/>
      <c r="I3913" s="121"/>
      <c r="J3913" s="121"/>
      <c r="K3913" s="117"/>
    </row>
    <row r="3914" ht="15.75" customHeight="1">
      <c r="A3914" s="122"/>
      <c r="B3914" s="133"/>
      <c r="C3914" s="120"/>
      <c r="D3914" s="120"/>
      <c r="E3914" s="120"/>
      <c r="F3914" s="120"/>
      <c r="G3914" s="120"/>
      <c r="H3914" s="120"/>
      <c r="I3914" s="121"/>
      <c r="J3914" s="121"/>
      <c r="K3914" s="117"/>
    </row>
    <row r="3915" ht="15.75" customHeight="1">
      <c r="A3915" s="122"/>
      <c r="B3915" s="133"/>
      <c r="C3915" s="120"/>
      <c r="D3915" s="120"/>
      <c r="E3915" s="120"/>
      <c r="F3915" s="120"/>
      <c r="G3915" s="120"/>
      <c r="H3915" s="120"/>
      <c r="I3915" s="121"/>
      <c r="J3915" s="121"/>
      <c r="K3915" s="117"/>
    </row>
    <row r="3916" ht="15.75" customHeight="1">
      <c r="A3916" s="122"/>
      <c r="B3916" s="133"/>
      <c r="C3916" s="120"/>
      <c r="D3916" s="120"/>
      <c r="E3916" s="120"/>
      <c r="F3916" s="120"/>
      <c r="G3916" s="120"/>
      <c r="H3916" s="120"/>
      <c r="I3916" s="121"/>
      <c r="J3916" s="121"/>
      <c r="K3916" s="117"/>
    </row>
    <row r="3917" ht="15.75" customHeight="1">
      <c r="A3917" s="122"/>
      <c r="B3917" s="133"/>
      <c r="C3917" s="120"/>
      <c r="D3917" s="120"/>
      <c r="E3917" s="120"/>
      <c r="F3917" s="120"/>
      <c r="G3917" s="120"/>
      <c r="H3917" s="120"/>
      <c r="I3917" s="121"/>
      <c r="J3917" s="121"/>
      <c r="K3917" s="117"/>
    </row>
    <row r="3918" ht="15.75" customHeight="1">
      <c r="A3918" s="122"/>
      <c r="B3918" s="133"/>
      <c r="C3918" s="120"/>
      <c r="D3918" s="120"/>
      <c r="E3918" s="120"/>
      <c r="F3918" s="120"/>
      <c r="G3918" s="120"/>
      <c r="H3918" s="120"/>
      <c r="I3918" s="121"/>
      <c r="J3918" s="121"/>
      <c r="K3918" s="117"/>
    </row>
    <row r="3919" ht="15.75" customHeight="1">
      <c r="A3919" s="122"/>
      <c r="B3919" s="133"/>
      <c r="C3919" s="120"/>
      <c r="D3919" s="120"/>
      <c r="E3919" s="120"/>
      <c r="F3919" s="120"/>
      <c r="G3919" s="120"/>
      <c r="H3919" s="120"/>
      <c r="I3919" s="121"/>
      <c r="J3919" s="121"/>
      <c r="K3919" s="117"/>
    </row>
    <row r="3920" ht="15.75" customHeight="1">
      <c r="A3920" s="122"/>
      <c r="B3920" s="133"/>
      <c r="C3920" s="120"/>
      <c r="D3920" s="120"/>
      <c r="E3920" s="120"/>
      <c r="F3920" s="120"/>
      <c r="G3920" s="120"/>
      <c r="H3920" s="120"/>
      <c r="I3920" s="121"/>
      <c r="J3920" s="121"/>
      <c r="K3920" s="117"/>
    </row>
    <row r="3921" ht="15.75" customHeight="1">
      <c r="A3921" s="122"/>
      <c r="B3921" s="133"/>
      <c r="C3921" s="120"/>
      <c r="D3921" s="120"/>
      <c r="E3921" s="120"/>
      <c r="F3921" s="120"/>
      <c r="G3921" s="120"/>
      <c r="H3921" s="120"/>
      <c r="I3921" s="121"/>
      <c r="J3921" s="121"/>
      <c r="K3921" s="117"/>
    </row>
    <row r="3922" ht="15.75" customHeight="1">
      <c r="A3922" s="122"/>
      <c r="B3922" s="133"/>
      <c r="C3922" s="120"/>
      <c r="D3922" s="120"/>
      <c r="E3922" s="120"/>
      <c r="F3922" s="120"/>
      <c r="G3922" s="120"/>
      <c r="H3922" s="120"/>
      <c r="I3922" s="121"/>
      <c r="J3922" s="121"/>
      <c r="K3922" s="117"/>
    </row>
    <row r="3923" ht="15.75" customHeight="1">
      <c r="A3923" s="122"/>
      <c r="B3923" s="133"/>
      <c r="C3923" s="120"/>
      <c r="D3923" s="120"/>
      <c r="E3923" s="120"/>
      <c r="F3923" s="120"/>
      <c r="G3923" s="120"/>
      <c r="H3923" s="120"/>
      <c r="I3923" s="121"/>
      <c r="J3923" s="121"/>
      <c r="K3923" s="117"/>
    </row>
    <row r="3924" ht="15.75" customHeight="1">
      <c r="A3924" s="122"/>
      <c r="B3924" s="133"/>
      <c r="C3924" s="120"/>
      <c r="D3924" s="120"/>
      <c r="E3924" s="120"/>
      <c r="F3924" s="120"/>
      <c r="G3924" s="120"/>
      <c r="H3924" s="120"/>
      <c r="I3924" s="121"/>
      <c r="J3924" s="121"/>
      <c r="K3924" s="117"/>
    </row>
    <row r="3925" ht="15.75" customHeight="1">
      <c r="A3925" s="122"/>
      <c r="B3925" s="133"/>
      <c r="C3925" s="120"/>
      <c r="D3925" s="120"/>
      <c r="E3925" s="120"/>
      <c r="F3925" s="120"/>
      <c r="G3925" s="120"/>
      <c r="H3925" s="120"/>
      <c r="I3925" s="121"/>
      <c r="J3925" s="121"/>
      <c r="K3925" s="117"/>
    </row>
    <row r="3926" ht="15.75" customHeight="1">
      <c r="A3926" s="122"/>
      <c r="B3926" s="133"/>
      <c r="C3926" s="120"/>
      <c r="D3926" s="120"/>
      <c r="E3926" s="120"/>
      <c r="F3926" s="120"/>
      <c r="G3926" s="120"/>
      <c r="H3926" s="120"/>
      <c r="I3926" s="121"/>
      <c r="J3926" s="121"/>
      <c r="K3926" s="117"/>
    </row>
    <row r="3927" ht="15.75" customHeight="1">
      <c r="A3927" s="122"/>
      <c r="B3927" s="133"/>
      <c r="C3927" s="120"/>
      <c r="D3927" s="120"/>
      <c r="E3927" s="120"/>
      <c r="F3927" s="120"/>
      <c r="G3927" s="120"/>
      <c r="H3927" s="120"/>
      <c r="I3927" s="121"/>
      <c r="J3927" s="121"/>
      <c r="K3927" s="117"/>
    </row>
    <row r="3928" ht="15.75" customHeight="1">
      <c r="A3928" s="122"/>
      <c r="B3928" s="133"/>
      <c r="C3928" s="120"/>
      <c r="D3928" s="120"/>
      <c r="E3928" s="120"/>
      <c r="F3928" s="120"/>
      <c r="G3928" s="120"/>
      <c r="H3928" s="120"/>
      <c r="I3928" s="121"/>
      <c r="J3928" s="121"/>
      <c r="K3928" s="117"/>
    </row>
    <row r="3929" ht="15.75" customHeight="1">
      <c r="A3929" s="122"/>
      <c r="B3929" s="133"/>
      <c r="C3929" s="120"/>
      <c r="D3929" s="120"/>
      <c r="E3929" s="120"/>
      <c r="F3929" s="120"/>
      <c r="G3929" s="120"/>
      <c r="H3929" s="120"/>
      <c r="I3929" s="121"/>
      <c r="J3929" s="121"/>
      <c r="K3929" s="117"/>
    </row>
    <row r="3930" ht="15.75" customHeight="1">
      <c r="A3930" s="122"/>
      <c r="B3930" s="133"/>
      <c r="C3930" s="120"/>
      <c r="D3930" s="120"/>
      <c r="E3930" s="120"/>
      <c r="F3930" s="120"/>
      <c r="G3930" s="120"/>
      <c r="H3930" s="120"/>
      <c r="I3930" s="121"/>
      <c r="J3930" s="121"/>
      <c r="K3930" s="117"/>
    </row>
    <row r="3931" ht="15.75" customHeight="1">
      <c r="A3931" s="122"/>
      <c r="B3931" s="133"/>
      <c r="C3931" s="120"/>
      <c r="D3931" s="120"/>
      <c r="E3931" s="120"/>
      <c r="F3931" s="120"/>
      <c r="G3931" s="120"/>
      <c r="H3931" s="120"/>
      <c r="I3931" s="121"/>
      <c r="J3931" s="121"/>
      <c r="K3931" s="117"/>
    </row>
    <row r="3932" ht="15.75" customHeight="1">
      <c r="A3932" s="122"/>
      <c r="B3932" s="133"/>
      <c r="C3932" s="120"/>
      <c r="D3932" s="120"/>
      <c r="E3932" s="120"/>
      <c r="F3932" s="120"/>
      <c r="G3932" s="120"/>
      <c r="H3932" s="120"/>
      <c r="I3932" s="121"/>
      <c r="J3932" s="121"/>
      <c r="K3932" s="117"/>
    </row>
    <row r="3933" ht="15.75" customHeight="1">
      <c r="A3933" s="122"/>
      <c r="B3933" s="133"/>
      <c r="C3933" s="120"/>
      <c r="D3933" s="120"/>
      <c r="E3933" s="120"/>
      <c r="F3933" s="120"/>
      <c r="G3933" s="120"/>
      <c r="H3933" s="120"/>
      <c r="I3933" s="121"/>
      <c r="J3933" s="121"/>
      <c r="K3933" s="117"/>
    </row>
    <row r="3934" ht="15.75" customHeight="1">
      <c r="A3934" s="122"/>
      <c r="B3934" s="133"/>
      <c r="C3934" s="120"/>
      <c r="D3934" s="120"/>
      <c r="E3934" s="120"/>
      <c r="F3934" s="120"/>
      <c r="G3934" s="120"/>
      <c r="H3934" s="120"/>
      <c r="I3934" s="121"/>
      <c r="J3934" s="121"/>
      <c r="K3934" s="117"/>
    </row>
    <row r="3935" ht="15.75" customHeight="1">
      <c r="A3935" s="122"/>
      <c r="B3935" s="133"/>
      <c r="C3935" s="120"/>
      <c r="D3935" s="120"/>
      <c r="E3935" s="120"/>
      <c r="F3935" s="120"/>
      <c r="G3935" s="120"/>
      <c r="H3935" s="120"/>
      <c r="I3935" s="121"/>
      <c r="J3935" s="121"/>
      <c r="K3935" s="117"/>
    </row>
    <row r="3936" ht="15.75" customHeight="1">
      <c r="A3936" s="122"/>
      <c r="B3936" s="133"/>
      <c r="C3936" s="120"/>
      <c r="D3936" s="120"/>
      <c r="E3936" s="120"/>
      <c r="F3936" s="120"/>
      <c r="G3936" s="120"/>
      <c r="H3936" s="120"/>
      <c r="I3936" s="121"/>
      <c r="J3936" s="121"/>
      <c r="K3936" s="117"/>
    </row>
    <row r="3937" ht="15.75" customHeight="1">
      <c r="A3937" s="122"/>
      <c r="B3937" s="133"/>
      <c r="C3937" s="120"/>
      <c r="D3937" s="120"/>
      <c r="E3937" s="120"/>
      <c r="F3937" s="120"/>
      <c r="G3937" s="120"/>
      <c r="H3937" s="120"/>
      <c r="I3937" s="121"/>
      <c r="J3937" s="121"/>
      <c r="K3937" s="117"/>
    </row>
    <row r="3938" ht="15.75" customHeight="1">
      <c r="A3938" s="122"/>
      <c r="B3938" s="133"/>
      <c r="C3938" s="120"/>
      <c r="D3938" s="120"/>
      <c r="E3938" s="120"/>
      <c r="F3938" s="120"/>
      <c r="G3938" s="120"/>
      <c r="H3938" s="120"/>
      <c r="I3938" s="121"/>
      <c r="J3938" s="121"/>
      <c r="K3938" s="117"/>
    </row>
    <row r="3939" ht="15.75" customHeight="1">
      <c r="A3939" s="122"/>
      <c r="B3939" s="133"/>
      <c r="C3939" s="120"/>
      <c r="D3939" s="120"/>
      <c r="E3939" s="120"/>
      <c r="F3939" s="120"/>
      <c r="G3939" s="120"/>
      <c r="H3939" s="120"/>
      <c r="I3939" s="121"/>
      <c r="J3939" s="121"/>
      <c r="K3939" s="117"/>
    </row>
    <row r="3940" ht="15.75" customHeight="1">
      <c r="A3940" s="122"/>
      <c r="B3940" s="133"/>
      <c r="C3940" s="120"/>
      <c r="D3940" s="120"/>
      <c r="E3940" s="120"/>
      <c r="F3940" s="120"/>
      <c r="G3940" s="120"/>
      <c r="H3940" s="120"/>
      <c r="I3940" s="121"/>
      <c r="J3940" s="121"/>
      <c r="K3940" s="117"/>
    </row>
    <row r="3941" ht="15.75" customHeight="1">
      <c r="A3941" s="122"/>
      <c r="B3941" s="133"/>
      <c r="C3941" s="120"/>
      <c r="D3941" s="120"/>
      <c r="E3941" s="120"/>
      <c r="F3941" s="120"/>
      <c r="G3941" s="120"/>
      <c r="H3941" s="120"/>
      <c r="I3941" s="121"/>
      <c r="J3941" s="121"/>
      <c r="K3941" s="117"/>
    </row>
    <row r="3942" ht="15.75" customHeight="1">
      <c r="A3942" s="122"/>
      <c r="B3942" s="133"/>
      <c r="C3942" s="120"/>
      <c r="D3942" s="120"/>
      <c r="E3942" s="120"/>
      <c r="F3942" s="120"/>
      <c r="G3942" s="120"/>
      <c r="H3942" s="120"/>
      <c r="I3942" s="121"/>
      <c r="J3942" s="121"/>
      <c r="K3942" s="117"/>
    </row>
    <row r="3943" ht="15.75" customHeight="1">
      <c r="A3943" s="122"/>
      <c r="B3943" s="133"/>
      <c r="C3943" s="120"/>
      <c r="D3943" s="120"/>
      <c r="E3943" s="120"/>
      <c r="F3943" s="120"/>
      <c r="G3943" s="120"/>
      <c r="H3943" s="120"/>
      <c r="I3943" s="121"/>
      <c r="J3943" s="121"/>
      <c r="K3943" s="117"/>
    </row>
    <row r="3944" ht="15.75" customHeight="1">
      <c r="A3944" s="122"/>
      <c r="B3944" s="133"/>
      <c r="C3944" s="120"/>
      <c r="D3944" s="120"/>
      <c r="E3944" s="120"/>
      <c r="F3944" s="120"/>
      <c r="G3944" s="120"/>
      <c r="H3944" s="120"/>
      <c r="I3944" s="121"/>
      <c r="J3944" s="121"/>
      <c r="K3944" s="117"/>
    </row>
    <row r="3945" ht="15.75" customHeight="1">
      <c r="A3945" s="122"/>
      <c r="B3945" s="133"/>
      <c r="C3945" s="120"/>
      <c r="D3945" s="120"/>
      <c r="E3945" s="120"/>
      <c r="F3945" s="120"/>
      <c r="G3945" s="120"/>
      <c r="H3945" s="120"/>
      <c r="I3945" s="121"/>
      <c r="J3945" s="121"/>
      <c r="K3945" s="117"/>
    </row>
    <row r="3946" ht="15.75" customHeight="1">
      <c r="A3946" s="122"/>
      <c r="B3946" s="133"/>
      <c r="C3946" s="120"/>
      <c r="D3946" s="120"/>
      <c r="E3946" s="120"/>
      <c r="F3946" s="120"/>
      <c r="G3946" s="120"/>
      <c r="H3946" s="120"/>
      <c r="I3946" s="121"/>
      <c r="J3946" s="121"/>
      <c r="K3946" s="117"/>
    </row>
    <row r="3947" ht="15.75" customHeight="1">
      <c r="A3947" s="122"/>
      <c r="B3947" s="133"/>
      <c r="C3947" s="120"/>
      <c r="D3947" s="120"/>
      <c r="E3947" s="120"/>
      <c r="F3947" s="120"/>
      <c r="G3947" s="120"/>
      <c r="H3947" s="120"/>
      <c r="I3947" s="121"/>
      <c r="J3947" s="121"/>
      <c r="K3947" s="117"/>
    </row>
    <row r="3948" ht="15.75" customHeight="1">
      <c r="A3948" s="122"/>
      <c r="B3948" s="133"/>
      <c r="C3948" s="120"/>
      <c r="D3948" s="120"/>
      <c r="E3948" s="120"/>
      <c r="F3948" s="120"/>
      <c r="G3948" s="120"/>
      <c r="H3948" s="120"/>
      <c r="I3948" s="121"/>
      <c r="J3948" s="121"/>
      <c r="K3948" s="117"/>
    </row>
    <row r="3949" ht="15.75" customHeight="1">
      <c r="A3949" s="122"/>
      <c r="B3949" s="133"/>
      <c r="C3949" s="120"/>
      <c r="D3949" s="120"/>
      <c r="E3949" s="120"/>
      <c r="F3949" s="120"/>
      <c r="G3949" s="120"/>
      <c r="H3949" s="120"/>
      <c r="I3949" s="121"/>
      <c r="J3949" s="121"/>
      <c r="K3949" s="117"/>
    </row>
    <row r="3950" ht="15.75" customHeight="1">
      <c r="A3950" s="122"/>
      <c r="B3950" s="133"/>
      <c r="C3950" s="120"/>
      <c r="D3950" s="120"/>
      <c r="E3950" s="120"/>
      <c r="F3950" s="120"/>
      <c r="G3950" s="120"/>
      <c r="H3950" s="120"/>
      <c r="I3950" s="121"/>
      <c r="J3950" s="121"/>
      <c r="K3950" s="117"/>
    </row>
    <row r="3951" ht="15.75" customHeight="1">
      <c r="A3951" s="122"/>
      <c r="B3951" s="133"/>
      <c r="C3951" s="120"/>
      <c r="D3951" s="120"/>
      <c r="E3951" s="120"/>
      <c r="F3951" s="120"/>
      <c r="G3951" s="120"/>
      <c r="H3951" s="120"/>
      <c r="I3951" s="121"/>
      <c r="J3951" s="121"/>
      <c r="K3951" s="117"/>
    </row>
    <row r="3952" ht="15.75" customHeight="1">
      <c r="A3952" s="122"/>
      <c r="B3952" s="133"/>
      <c r="C3952" s="120"/>
      <c r="D3952" s="120"/>
      <c r="E3952" s="120"/>
      <c r="F3952" s="120"/>
      <c r="G3952" s="120"/>
      <c r="H3952" s="120"/>
      <c r="I3952" s="121"/>
      <c r="J3952" s="121"/>
      <c r="K3952" s="117"/>
    </row>
    <row r="3953" ht="15.75" customHeight="1">
      <c r="A3953" s="122"/>
      <c r="B3953" s="133"/>
      <c r="C3953" s="120"/>
      <c r="D3953" s="120"/>
      <c r="E3953" s="120"/>
      <c r="F3953" s="120"/>
      <c r="G3953" s="120"/>
      <c r="H3953" s="120"/>
      <c r="I3953" s="121"/>
      <c r="J3953" s="121"/>
      <c r="K3953" s="117"/>
    </row>
    <row r="3954" ht="15.75" customHeight="1">
      <c r="A3954" s="122"/>
      <c r="B3954" s="133"/>
      <c r="C3954" s="120"/>
      <c r="D3954" s="120"/>
      <c r="E3954" s="120"/>
      <c r="F3954" s="120"/>
      <c r="G3954" s="120"/>
      <c r="H3954" s="120"/>
      <c r="I3954" s="121"/>
      <c r="J3954" s="121"/>
      <c r="K3954" s="117"/>
    </row>
    <row r="3955" ht="15.75" customHeight="1">
      <c r="A3955" s="122"/>
      <c r="B3955" s="133"/>
      <c r="C3955" s="120"/>
      <c r="D3955" s="120"/>
      <c r="E3955" s="120"/>
      <c r="F3955" s="120"/>
      <c r="G3955" s="120"/>
      <c r="H3955" s="120"/>
      <c r="I3955" s="121"/>
      <c r="J3955" s="121"/>
      <c r="K3955" s="117"/>
    </row>
    <row r="3956" ht="15.75" customHeight="1">
      <c r="A3956" s="122"/>
      <c r="B3956" s="133"/>
      <c r="C3956" s="120"/>
      <c r="D3956" s="120"/>
      <c r="E3956" s="120"/>
      <c r="F3956" s="120"/>
      <c r="G3956" s="120"/>
      <c r="H3956" s="120"/>
      <c r="I3956" s="121"/>
      <c r="J3956" s="121"/>
      <c r="K3956" s="117"/>
    </row>
    <row r="3957" ht="15.75" customHeight="1">
      <c r="A3957" s="122"/>
      <c r="B3957" s="133"/>
      <c r="C3957" s="120"/>
      <c r="D3957" s="120"/>
      <c r="E3957" s="120"/>
      <c r="F3957" s="120"/>
      <c r="G3957" s="120"/>
      <c r="H3957" s="120"/>
      <c r="I3957" s="121"/>
      <c r="J3957" s="121"/>
      <c r="K3957" s="117"/>
    </row>
    <row r="3958" ht="15.75" customHeight="1">
      <c r="A3958" s="122"/>
      <c r="B3958" s="133"/>
      <c r="C3958" s="120"/>
      <c r="D3958" s="120"/>
      <c r="E3958" s="120"/>
      <c r="F3958" s="120"/>
      <c r="G3958" s="120"/>
      <c r="H3958" s="120"/>
      <c r="I3958" s="121"/>
      <c r="J3958" s="121"/>
      <c r="K3958" s="117"/>
    </row>
    <row r="3959" ht="15.75" customHeight="1">
      <c r="A3959" s="122"/>
      <c r="B3959" s="133"/>
      <c r="C3959" s="120"/>
      <c r="D3959" s="120"/>
      <c r="E3959" s="120"/>
      <c r="F3959" s="120"/>
      <c r="G3959" s="120"/>
      <c r="H3959" s="120"/>
      <c r="I3959" s="121"/>
      <c r="J3959" s="121"/>
      <c r="K3959" s="117"/>
    </row>
    <row r="3960" ht="15.75" customHeight="1">
      <c r="A3960" s="122"/>
      <c r="B3960" s="133"/>
      <c r="C3960" s="120"/>
      <c r="D3960" s="120"/>
      <c r="E3960" s="120"/>
      <c r="F3960" s="120"/>
      <c r="G3960" s="120"/>
      <c r="H3960" s="120"/>
      <c r="I3960" s="121"/>
      <c r="J3960" s="121"/>
      <c r="K3960" s="117"/>
    </row>
    <row r="3961" ht="15.75" customHeight="1">
      <c r="A3961" s="122"/>
      <c r="B3961" s="133"/>
      <c r="C3961" s="120"/>
      <c r="D3961" s="120"/>
      <c r="E3961" s="120"/>
      <c r="F3961" s="120"/>
      <c r="G3961" s="120"/>
      <c r="H3961" s="120"/>
      <c r="I3961" s="121"/>
      <c r="J3961" s="121"/>
      <c r="K3961" s="117"/>
    </row>
    <row r="3962" ht="15.75" customHeight="1">
      <c r="A3962" s="122"/>
      <c r="B3962" s="133"/>
      <c r="C3962" s="120"/>
      <c r="D3962" s="120"/>
      <c r="E3962" s="120"/>
      <c r="F3962" s="120"/>
      <c r="G3962" s="120"/>
      <c r="H3962" s="120"/>
      <c r="I3962" s="121"/>
      <c r="J3962" s="121"/>
      <c r="K3962" s="117"/>
    </row>
    <row r="3963" ht="15.75" customHeight="1">
      <c r="A3963" s="122"/>
      <c r="B3963" s="133"/>
      <c r="C3963" s="120"/>
      <c r="D3963" s="120"/>
      <c r="E3963" s="120"/>
      <c r="F3963" s="120"/>
      <c r="G3963" s="120"/>
      <c r="H3963" s="120"/>
      <c r="I3963" s="121"/>
      <c r="J3963" s="121"/>
      <c r="K3963" s="117"/>
    </row>
    <row r="3964" ht="15.75" customHeight="1">
      <c r="A3964" s="122"/>
      <c r="B3964" s="133"/>
      <c r="C3964" s="120"/>
      <c r="D3964" s="120"/>
      <c r="E3964" s="120"/>
      <c r="F3964" s="120"/>
      <c r="G3964" s="120"/>
      <c r="H3964" s="120"/>
      <c r="I3964" s="121"/>
      <c r="J3964" s="121"/>
      <c r="K3964" s="117"/>
    </row>
    <row r="3965" ht="15.75" customHeight="1">
      <c r="A3965" s="122"/>
      <c r="B3965" s="133"/>
      <c r="C3965" s="120"/>
      <c r="D3965" s="120"/>
      <c r="E3965" s="120"/>
      <c r="F3965" s="120"/>
      <c r="G3965" s="120"/>
      <c r="H3965" s="120"/>
      <c r="I3965" s="121"/>
      <c r="J3965" s="121"/>
      <c r="K3965" s="117"/>
    </row>
    <row r="3966" ht="15.75" customHeight="1">
      <c r="A3966" s="122"/>
      <c r="B3966" s="133"/>
      <c r="C3966" s="120"/>
      <c r="D3966" s="120"/>
      <c r="E3966" s="120"/>
      <c r="F3966" s="120"/>
      <c r="G3966" s="120"/>
      <c r="H3966" s="120"/>
      <c r="I3966" s="121"/>
      <c r="J3966" s="121"/>
      <c r="K3966" s="117"/>
    </row>
    <row r="3967" ht="15.75" customHeight="1">
      <c r="A3967" s="122"/>
      <c r="B3967" s="133"/>
      <c r="C3967" s="120"/>
      <c r="D3967" s="120"/>
      <c r="E3967" s="120"/>
      <c r="F3967" s="120"/>
      <c r="G3967" s="120"/>
      <c r="H3967" s="120"/>
      <c r="I3967" s="121"/>
      <c r="J3967" s="121"/>
      <c r="K3967" s="117"/>
    </row>
    <row r="3968" ht="15.75" customHeight="1">
      <c r="A3968" s="122"/>
      <c r="B3968" s="133"/>
      <c r="C3968" s="120"/>
      <c r="D3968" s="120"/>
      <c r="E3968" s="120"/>
      <c r="F3968" s="120"/>
      <c r="G3968" s="120"/>
      <c r="H3968" s="120"/>
      <c r="I3968" s="121"/>
      <c r="J3968" s="121"/>
      <c r="K3968" s="117"/>
    </row>
    <row r="3969" ht="15.75" customHeight="1">
      <c r="A3969" s="122"/>
      <c r="B3969" s="133"/>
      <c r="C3969" s="120"/>
      <c r="D3969" s="120"/>
      <c r="E3969" s="120"/>
      <c r="F3969" s="120"/>
      <c r="G3969" s="120"/>
      <c r="H3969" s="120"/>
      <c r="I3969" s="121"/>
      <c r="J3969" s="121"/>
      <c r="K3969" s="117"/>
    </row>
    <row r="3970" ht="15.75" customHeight="1">
      <c r="A3970" s="122"/>
      <c r="B3970" s="133"/>
      <c r="C3970" s="120"/>
      <c r="D3970" s="120"/>
      <c r="E3970" s="120"/>
      <c r="F3970" s="120"/>
      <c r="G3970" s="120"/>
      <c r="H3970" s="120"/>
      <c r="I3970" s="121"/>
      <c r="J3970" s="121"/>
      <c r="K3970" s="117"/>
    </row>
    <row r="3971" ht="15.75" customHeight="1">
      <c r="A3971" s="122"/>
      <c r="B3971" s="133"/>
      <c r="C3971" s="120"/>
      <c r="D3971" s="120"/>
      <c r="E3971" s="120"/>
      <c r="F3971" s="120"/>
      <c r="G3971" s="120"/>
      <c r="H3971" s="120"/>
      <c r="I3971" s="121"/>
      <c r="J3971" s="121"/>
      <c r="K3971" s="117"/>
    </row>
    <row r="3972" ht="15.75" customHeight="1">
      <c r="A3972" s="122"/>
      <c r="B3972" s="133"/>
      <c r="C3972" s="120"/>
      <c r="D3972" s="120"/>
      <c r="E3972" s="120"/>
      <c r="F3972" s="120"/>
      <c r="G3972" s="120"/>
      <c r="H3972" s="120"/>
      <c r="I3972" s="121"/>
      <c r="J3972" s="121"/>
      <c r="K3972" s="117"/>
    </row>
    <row r="3973" ht="15.75" customHeight="1">
      <c r="A3973" s="122"/>
      <c r="B3973" s="133"/>
      <c r="C3973" s="120"/>
      <c r="D3973" s="120"/>
      <c r="E3973" s="120"/>
      <c r="F3973" s="120"/>
      <c r="G3973" s="120"/>
      <c r="H3973" s="120"/>
      <c r="I3973" s="121"/>
      <c r="J3973" s="121"/>
      <c r="K3973" s="117"/>
    </row>
    <row r="3974" ht="15.75" customHeight="1">
      <c r="A3974" s="122"/>
      <c r="B3974" s="133"/>
      <c r="C3974" s="120"/>
      <c r="D3974" s="120"/>
      <c r="E3974" s="120"/>
      <c r="F3974" s="120"/>
      <c r="G3974" s="120"/>
      <c r="H3974" s="120"/>
      <c r="I3974" s="121"/>
      <c r="J3974" s="121"/>
      <c r="K3974" s="117"/>
    </row>
    <row r="3975" ht="15.75" customHeight="1">
      <c r="A3975" s="122"/>
      <c r="B3975" s="133"/>
      <c r="C3975" s="120"/>
      <c r="D3975" s="120"/>
      <c r="E3975" s="120"/>
      <c r="F3975" s="120"/>
      <c r="G3975" s="120"/>
      <c r="H3975" s="120"/>
      <c r="I3975" s="121"/>
      <c r="J3975" s="121"/>
      <c r="K3975" s="117"/>
    </row>
    <row r="3976" ht="15.75" customHeight="1">
      <c r="A3976" s="122"/>
      <c r="B3976" s="133"/>
      <c r="C3976" s="120"/>
      <c r="D3976" s="120"/>
      <c r="E3976" s="120"/>
      <c r="F3976" s="120"/>
      <c r="G3976" s="120"/>
      <c r="H3976" s="120"/>
      <c r="I3976" s="121"/>
      <c r="J3976" s="121"/>
      <c r="K3976" s="117"/>
    </row>
    <row r="3977" ht="15.75" customHeight="1">
      <c r="A3977" s="122"/>
      <c r="B3977" s="133"/>
      <c r="C3977" s="120"/>
      <c r="D3977" s="120"/>
      <c r="E3977" s="120"/>
      <c r="F3977" s="120"/>
      <c r="G3977" s="120"/>
      <c r="H3977" s="120"/>
      <c r="I3977" s="121"/>
      <c r="J3977" s="121"/>
      <c r="K3977" s="117"/>
    </row>
    <row r="3978" ht="15.75" customHeight="1">
      <c r="A3978" s="122"/>
      <c r="B3978" s="133"/>
      <c r="C3978" s="120"/>
      <c r="D3978" s="120"/>
      <c r="E3978" s="120"/>
      <c r="F3978" s="120"/>
      <c r="G3978" s="120"/>
      <c r="H3978" s="120"/>
      <c r="I3978" s="121"/>
      <c r="J3978" s="121"/>
      <c r="K3978" s="117"/>
    </row>
    <row r="3979" ht="15.75" customHeight="1">
      <c r="A3979" s="122"/>
      <c r="B3979" s="133"/>
      <c r="C3979" s="120"/>
      <c r="D3979" s="120"/>
      <c r="E3979" s="120"/>
      <c r="F3979" s="120"/>
      <c r="G3979" s="120"/>
      <c r="H3979" s="120"/>
      <c r="I3979" s="121"/>
      <c r="J3979" s="121"/>
      <c r="K3979" s="117"/>
    </row>
    <row r="3980" ht="15.75" customHeight="1">
      <c r="A3980" s="122"/>
      <c r="B3980" s="133"/>
      <c r="C3980" s="120"/>
      <c r="D3980" s="120"/>
      <c r="E3980" s="120"/>
      <c r="F3980" s="120"/>
      <c r="G3980" s="120"/>
      <c r="H3980" s="120"/>
      <c r="I3980" s="121"/>
      <c r="J3980" s="121"/>
      <c r="K3980" s="117"/>
    </row>
    <row r="3981" ht="15.75" customHeight="1">
      <c r="A3981" s="122"/>
      <c r="B3981" s="133"/>
      <c r="C3981" s="120"/>
      <c r="D3981" s="120"/>
      <c r="E3981" s="120"/>
      <c r="F3981" s="120"/>
      <c r="G3981" s="120"/>
      <c r="H3981" s="120"/>
      <c r="I3981" s="121"/>
      <c r="J3981" s="121"/>
      <c r="K3981" s="117"/>
    </row>
    <row r="3982" ht="15.75" customHeight="1">
      <c r="A3982" s="122"/>
      <c r="B3982" s="133"/>
      <c r="C3982" s="120"/>
      <c r="D3982" s="120"/>
      <c r="E3982" s="120"/>
      <c r="F3982" s="120"/>
      <c r="G3982" s="120"/>
      <c r="H3982" s="120"/>
      <c r="I3982" s="121"/>
      <c r="J3982" s="121"/>
      <c r="K3982" s="117"/>
    </row>
    <row r="3983" ht="15.75" customHeight="1">
      <c r="A3983" s="122"/>
      <c r="B3983" s="133"/>
      <c r="C3983" s="120"/>
      <c r="D3983" s="120"/>
      <c r="E3983" s="120"/>
      <c r="F3983" s="120"/>
      <c r="G3983" s="120"/>
      <c r="H3983" s="120"/>
      <c r="I3983" s="121"/>
      <c r="J3983" s="121"/>
      <c r="K3983" s="117"/>
    </row>
    <row r="3984" ht="15.75" customHeight="1">
      <c r="A3984" s="122"/>
      <c r="B3984" s="133"/>
      <c r="C3984" s="120"/>
      <c r="D3984" s="120"/>
      <c r="E3984" s="120"/>
      <c r="F3984" s="120"/>
      <c r="G3984" s="120"/>
      <c r="H3984" s="120"/>
      <c r="I3984" s="121"/>
      <c r="J3984" s="121"/>
      <c r="K3984" s="117"/>
    </row>
    <row r="3985" ht="15.75" customHeight="1">
      <c r="A3985" s="122"/>
      <c r="B3985" s="133"/>
      <c r="C3985" s="120"/>
      <c r="D3985" s="120"/>
      <c r="E3985" s="120"/>
      <c r="F3985" s="120"/>
      <c r="G3985" s="120"/>
      <c r="H3985" s="120"/>
      <c r="I3985" s="121"/>
      <c r="J3985" s="121"/>
      <c r="K3985" s="117"/>
    </row>
    <row r="3986" ht="15.75" customHeight="1">
      <c r="A3986" s="122"/>
      <c r="B3986" s="133"/>
      <c r="C3986" s="120"/>
      <c r="D3986" s="120"/>
      <c r="E3986" s="120"/>
      <c r="F3986" s="120"/>
      <c r="G3986" s="120"/>
      <c r="H3986" s="120"/>
      <c r="I3986" s="121"/>
      <c r="J3986" s="121"/>
      <c r="K3986" s="117"/>
    </row>
    <row r="3987" ht="15.75" customHeight="1">
      <c r="A3987" s="122"/>
      <c r="B3987" s="133"/>
      <c r="C3987" s="120"/>
      <c r="D3987" s="120"/>
      <c r="E3987" s="120"/>
      <c r="F3987" s="120"/>
      <c r="G3987" s="120"/>
      <c r="H3987" s="120"/>
      <c r="I3987" s="121"/>
      <c r="J3987" s="121"/>
      <c r="K3987" s="117"/>
    </row>
    <row r="3988" ht="15.75" customHeight="1">
      <c r="A3988" s="122"/>
      <c r="B3988" s="133"/>
      <c r="C3988" s="120"/>
      <c r="D3988" s="120"/>
      <c r="E3988" s="120"/>
      <c r="F3988" s="120"/>
      <c r="G3988" s="120"/>
      <c r="H3988" s="120"/>
      <c r="I3988" s="121"/>
      <c r="J3988" s="121"/>
      <c r="K3988" s="117"/>
    </row>
    <row r="3989" ht="15.75" customHeight="1">
      <c r="A3989" s="122"/>
      <c r="B3989" s="133"/>
      <c r="C3989" s="120"/>
      <c r="D3989" s="120"/>
      <c r="E3989" s="120"/>
      <c r="F3989" s="120"/>
      <c r="G3989" s="120"/>
      <c r="H3989" s="120"/>
      <c r="I3989" s="121"/>
      <c r="J3989" s="121"/>
      <c r="K3989" s="117"/>
    </row>
    <row r="3990" ht="15.75" customHeight="1">
      <c r="A3990" s="122"/>
      <c r="B3990" s="133"/>
      <c r="C3990" s="120"/>
      <c r="D3990" s="120"/>
      <c r="E3990" s="120"/>
      <c r="F3990" s="120"/>
      <c r="G3990" s="120"/>
      <c r="H3990" s="120"/>
      <c r="I3990" s="121"/>
      <c r="J3990" s="121"/>
      <c r="K3990" s="117"/>
    </row>
    <row r="3991" ht="15.75" customHeight="1">
      <c r="A3991" s="122"/>
      <c r="B3991" s="133"/>
      <c r="C3991" s="120"/>
      <c r="D3991" s="120"/>
      <c r="E3991" s="120"/>
      <c r="F3991" s="120"/>
      <c r="G3991" s="120"/>
      <c r="H3991" s="120"/>
      <c r="I3991" s="121"/>
      <c r="J3991" s="121"/>
      <c r="K3991" s="117"/>
    </row>
    <row r="3992" ht="15.75" customHeight="1">
      <c r="A3992" s="122"/>
      <c r="B3992" s="133"/>
      <c r="C3992" s="120"/>
      <c r="D3992" s="120"/>
      <c r="E3992" s="120"/>
      <c r="F3992" s="120"/>
      <c r="G3992" s="120"/>
      <c r="H3992" s="120"/>
      <c r="I3992" s="121"/>
      <c r="J3992" s="121"/>
      <c r="K3992" s="117"/>
    </row>
    <row r="3993" ht="15.75" customHeight="1">
      <c r="A3993" s="122"/>
      <c r="B3993" s="133"/>
      <c r="C3993" s="120"/>
      <c r="D3993" s="120"/>
      <c r="E3993" s="120"/>
      <c r="F3993" s="120"/>
      <c r="G3993" s="120"/>
      <c r="H3993" s="120"/>
      <c r="I3993" s="121"/>
      <c r="J3993" s="121"/>
      <c r="K3993" s="117"/>
    </row>
    <row r="3994" ht="15.75" customHeight="1">
      <c r="A3994" s="122"/>
      <c r="B3994" s="133"/>
      <c r="C3994" s="120"/>
      <c r="D3994" s="120"/>
      <c r="E3994" s="120"/>
      <c r="F3994" s="120"/>
      <c r="G3994" s="120"/>
      <c r="H3994" s="120"/>
      <c r="I3994" s="121"/>
      <c r="J3994" s="121"/>
      <c r="K3994" s="117"/>
    </row>
    <row r="3995" ht="15.75" customHeight="1">
      <c r="A3995" s="122"/>
      <c r="B3995" s="133"/>
      <c r="C3995" s="120"/>
      <c r="D3995" s="120"/>
      <c r="E3995" s="120"/>
      <c r="F3995" s="120"/>
      <c r="G3995" s="120"/>
      <c r="H3995" s="120"/>
      <c r="I3995" s="121"/>
      <c r="J3995" s="121"/>
      <c r="K3995" s="117"/>
    </row>
    <row r="3996" ht="15.75" customHeight="1">
      <c r="A3996" s="122"/>
      <c r="B3996" s="133"/>
      <c r="C3996" s="120"/>
      <c r="D3996" s="120"/>
      <c r="E3996" s="120"/>
      <c r="F3996" s="120"/>
      <c r="G3996" s="120"/>
      <c r="H3996" s="120"/>
      <c r="I3996" s="121"/>
      <c r="J3996" s="121"/>
      <c r="K3996" s="117"/>
    </row>
    <row r="3997" ht="15.75" customHeight="1">
      <c r="A3997" s="122"/>
      <c r="B3997" s="133"/>
      <c r="C3997" s="120"/>
      <c r="D3997" s="120"/>
      <c r="E3997" s="120"/>
      <c r="F3997" s="120"/>
      <c r="G3997" s="120"/>
      <c r="H3997" s="120"/>
      <c r="I3997" s="121"/>
      <c r="J3997" s="121"/>
      <c r="K3997" s="117"/>
    </row>
    <row r="3998" ht="15.75" customHeight="1">
      <c r="A3998" s="122"/>
      <c r="B3998" s="133"/>
      <c r="C3998" s="120"/>
      <c r="D3998" s="120"/>
      <c r="E3998" s="120"/>
      <c r="F3998" s="120"/>
      <c r="G3998" s="120"/>
      <c r="H3998" s="120"/>
      <c r="I3998" s="121"/>
      <c r="J3998" s="121"/>
      <c r="K3998" s="117"/>
    </row>
    <row r="3999" ht="15.75" customHeight="1">
      <c r="A3999" s="122"/>
      <c r="B3999" s="133"/>
      <c r="C3999" s="120"/>
      <c r="D3999" s="120"/>
      <c r="E3999" s="120"/>
      <c r="F3999" s="120"/>
      <c r="G3999" s="120"/>
      <c r="H3999" s="120"/>
      <c r="I3999" s="121"/>
      <c r="J3999" s="121"/>
      <c r="K3999" s="117"/>
    </row>
    <row r="4000" ht="15.75" customHeight="1">
      <c r="A4000" s="122"/>
      <c r="B4000" s="133"/>
      <c r="C4000" s="120"/>
      <c r="D4000" s="120"/>
      <c r="E4000" s="120"/>
      <c r="F4000" s="120"/>
      <c r="G4000" s="120"/>
      <c r="H4000" s="120"/>
      <c r="I4000" s="121"/>
      <c r="J4000" s="121"/>
      <c r="K4000" s="117"/>
    </row>
    <row r="4001" ht="15.75" customHeight="1">
      <c r="A4001" s="122"/>
      <c r="B4001" s="133"/>
      <c r="C4001" s="120"/>
      <c r="D4001" s="120"/>
      <c r="E4001" s="120"/>
      <c r="F4001" s="120"/>
      <c r="G4001" s="120"/>
      <c r="H4001" s="120"/>
      <c r="I4001" s="121"/>
      <c r="J4001" s="121"/>
      <c r="K4001" s="117"/>
    </row>
    <row r="4002" ht="15.75" customHeight="1">
      <c r="A4002" s="122"/>
      <c r="B4002" s="133"/>
      <c r="C4002" s="120"/>
      <c r="D4002" s="120"/>
      <c r="E4002" s="120"/>
      <c r="F4002" s="120"/>
      <c r="G4002" s="120"/>
      <c r="H4002" s="120"/>
      <c r="I4002" s="121"/>
      <c r="J4002" s="121"/>
      <c r="K4002" s="117"/>
    </row>
    <row r="4003" ht="15.75" customHeight="1">
      <c r="A4003" s="122"/>
      <c r="B4003" s="133"/>
      <c r="C4003" s="120"/>
      <c r="D4003" s="120"/>
      <c r="E4003" s="120"/>
      <c r="F4003" s="120"/>
      <c r="G4003" s="120"/>
      <c r="H4003" s="120"/>
      <c r="I4003" s="121"/>
      <c r="J4003" s="121"/>
      <c r="K4003" s="117"/>
    </row>
    <row r="4004" ht="15.75" customHeight="1">
      <c r="A4004" s="122"/>
      <c r="B4004" s="133"/>
      <c r="C4004" s="120"/>
      <c r="D4004" s="120"/>
      <c r="E4004" s="120"/>
      <c r="F4004" s="120"/>
      <c r="G4004" s="120"/>
      <c r="H4004" s="120"/>
      <c r="I4004" s="121"/>
      <c r="J4004" s="121"/>
      <c r="K4004" s="117"/>
    </row>
    <row r="4005" ht="15.75" customHeight="1">
      <c r="A4005" s="122"/>
      <c r="B4005" s="133"/>
      <c r="C4005" s="120"/>
      <c r="D4005" s="120"/>
      <c r="E4005" s="120"/>
      <c r="F4005" s="120"/>
      <c r="G4005" s="120"/>
      <c r="H4005" s="120"/>
      <c r="I4005" s="121"/>
      <c r="J4005" s="121"/>
      <c r="K4005" s="117"/>
    </row>
    <row r="4006" ht="15.75" customHeight="1">
      <c r="A4006" s="122"/>
      <c r="B4006" s="133"/>
      <c r="C4006" s="120"/>
      <c r="D4006" s="120"/>
      <c r="E4006" s="120"/>
      <c r="F4006" s="120"/>
      <c r="G4006" s="120"/>
      <c r="H4006" s="120"/>
      <c r="I4006" s="121"/>
      <c r="J4006" s="121"/>
      <c r="K4006" s="117"/>
    </row>
    <row r="4007" ht="15.75" customHeight="1">
      <c r="A4007" s="122"/>
      <c r="B4007" s="133"/>
      <c r="C4007" s="120"/>
      <c r="D4007" s="120"/>
      <c r="E4007" s="120"/>
      <c r="F4007" s="120"/>
      <c r="G4007" s="120"/>
      <c r="H4007" s="120"/>
      <c r="I4007" s="121"/>
      <c r="J4007" s="121"/>
      <c r="K4007" s="117"/>
    </row>
    <row r="4008" ht="15.75" customHeight="1">
      <c r="A4008" s="122"/>
      <c r="B4008" s="133"/>
      <c r="C4008" s="120"/>
      <c r="D4008" s="120"/>
      <c r="E4008" s="120"/>
      <c r="F4008" s="120"/>
      <c r="G4008" s="120"/>
      <c r="H4008" s="120"/>
      <c r="I4008" s="121"/>
      <c r="J4008" s="121"/>
      <c r="K4008" s="117"/>
    </row>
    <row r="4009" ht="15.75" customHeight="1">
      <c r="A4009" s="122"/>
      <c r="B4009" s="133"/>
      <c r="C4009" s="120"/>
      <c r="D4009" s="120"/>
      <c r="E4009" s="120"/>
      <c r="F4009" s="120"/>
      <c r="G4009" s="120"/>
      <c r="H4009" s="120"/>
      <c r="I4009" s="121"/>
      <c r="J4009" s="121"/>
      <c r="K4009" s="117"/>
    </row>
    <row r="4010" ht="15.75" customHeight="1">
      <c r="A4010" s="122"/>
      <c r="B4010" s="133"/>
      <c r="C4010" s="120"/>
      <c r="D4010" s="120"/>
      <c r="E4010" s="120"/>
      <c r="F4010" s="120"/>
      <c r="G4010" s="120"/>
      <c r="H4010" s="120"/>
      <c r="I4010" s="121"/>
      <c r="J4010" s="121"/>
      <c r="K4010" s="117"/>
    </row>
    <row r="4011" ht="15.75" customHeight="1">
      <c r="A4011" s="122"/>
      <c r="B4011" s="133"/>
      <c r="C4011" s="120"/>
      <c r="D4011" s="120"/>
      <c r="E4011" s="120"/>
      <c r="F4011" s="120"/>
      <c r="G4011" s="120"/>
      <c r="H4011" s="120"/>
      <c r="I4011" s="121"/>
      <c r="J4011" s="121"/>
      <c r="K4011" s="117"/>
    </row>
    <row r="4012" ht="15.75" customHeight="1">
      <c r="A4012" s="122"/>
      <c r="B4012" s="133"/>
      <c r="C4012" s="120"/>
      <c r="D4012" s="120"/>
      <c r="E4012" s="120"/>
      <c r="F4012" s="120"/>
      <c r="G4012" s="120"/>
      <c r="H4012" s="120"/>
      <c r="I4012" s="121"/>
      <c r="J4012" s="121"/>
      <c r="K4012" s="117"/>
    </row>
    <row r="4013" ht="15.75" customHeight="1">
      <c r="A4013" s="122"/>
      <c r="B4013" s="133"/>
      <c r="C4013" s="120"/>
      <c r="D4013" s="120"/>
      <c r="E4013" s="120"/>
      <c r="F4013" s="120"/>
      <c r="G4013" s="120"/>
      <c r="H4013" s="120"/>
      <c r="I4013" s="121"/>
      <c r="J4013" s="121"/>
      <c r="K4013" s="117"/>
    </row>
    <row r="4014" ht="15.75" customHeight="1">
      <c r="A4014" s="122"/>
      <c r="B4014" s="133"/>
      <c r="C4014" s="120"/>
      <c r="D4014" s="120"/>
      <c r="E4014" s="120"/>
      <c r="F4014" s="120"/>
      <c r="G4014" s="120"/>
      <c r="H4014" s="120"/>
      <c r="I4014" s="121"/>
      <c r="J4014" s="121"/>
      <c r="K4014" s="117"/>
    </row>
    <row r="4015" ht="15.75" customHeight="1">
      <c r="A4015" s="122"/>
      <c r="B4015" s="133"/>
      <c r="C4015" s="120"/>
      <c r="D4015" s="120"/>
      <c r="E4015" s="120"/>
      <c r="F4015" s="120"/>
      <c r="G4015" s="120"/>
      <c r="H4015" s="120"/>
      <c r="I4015" s="121"/>
      <c r="J4015" s="121"/>
      <c r="K4015" s="117"/>
    </row>
    <row r="4016" ht="15.75" customHeight="1">
      <c r="A4016" s="122"/>
      <c r="B4016" s="133"/>
      <c r="C4016" s="120"/>
      <c r="D4016" s="120"/>
      <c r="E4016" s="120"/>
      <c r="F4016" s="120"/>
      <c r="G4016" s="120"/>
      <c r="H4016" s="120"/>
      <c r="I4016" s="121"/>
      <c r="J4016" s="121"/>
      <c r="K4016" s="117"/>
    </row>
    <row r="4017" ht="15.75" customHeight="1">
      <c r="A4017" s="122"/>
      <c r="B4017" s="133"/>
      <c r="C4017" s="120"/>
      <c r="D4017" s="120"/>
      <c r="E4017" s="120"/>
      <c r="F4017" s="120"/>
      <c r="G4017" s="120"/>
      <c r="H4017" s="120"/>
      <c r="I4017" s="121"/>
      <c r="J4017" s="121"/>
      <c r="K4017" s="117"/>
    </row>
    <row r="4018" ht="15.75" customHeight="1">
      <c r="A4018" s="122"/>
      <c r="B4018" s="133"/>
      <c r="C4018" s="120"/>
      <c r="D4018" s="120"/>
      <c r="E4018" s="120"/>
      <c r="F4018" s="120"/>
      <c r="G4018" s="120"/>
      <c r="H4018" s="120"/>
      <c r="I4018" s="121"/>
      <c r="J4018" s="121"/>
      <c r="K4018" s="117"/>
    </row>
    <row r="4019" ht="15.75" customHeight="1">
      <c r="A4019" s="122"/>
      <c r="B4019" s="133"/>
      <c r="C4019" s="120"/>
      <c r="D4019" s="120"/>
      <c r="E4019" s="120"/>
      <c r="F4019" s="120"/>
      <c r="G4019" s="120"/>
      <c r="H4019" s="120"/>
      <c r="I4019" s="121"/>
      <c r="J4019" s="121"/>
      <c r="K4019" s="117"/>
    </row>
    <row r="4020" ht="15.75" customHeight="1">
      <c r="A4020" s="122"/>
      <c r="B4020" s="133"/>
      <c r="C4020" s="120"/>
      <c r="D4020" s="120"/>
      <c r="E4020" s="120"/>
      <c r="F4020" s="120"/>
      <c r="G4020" s="120"/>
      <c r="H4020" s="120"/>
      <c r="I4020" s="121"/>
      <c r="J4020" s="121"/>
      <c r="K4020" s="117"/>
    </row>
    <row r="4021" ht="15.75" customHeight="1">
      <c r="A4021" s="122"/>
      <c r="B4021" s="133"/>
      <c r="C4021" s="120"/>
      <c r="D4021" s="120"/>
      <c r="E4021" s="120"/>
      <c r="F4021" s="120"/>
      <c r="G4021" s="120"/>
      <c r="H4021" s="120"/>
      <c r="I4021" s="121"/>
      <c r="J4021" s="121"/>
      <c r="K4021" s="117"/>
    </row>
    <row r="4022" ht="15.75" customHeight="1">
      <c r="A4022" s="122"/>
      <c r="B4022" s="133"/>
      <c r="C4022" s="120"/>
      <c r="D4022" s="120"/>
      <c r="E4022" s="120"/>
      <c r="F4022" s="120"/>
      <c r="G4022" s="120"/>
      <c r="H4022" s="120"/>
      <c r="I4022" s="121"/>
      <c r="J4022" s="121"/>
      <c r="K4022" s="117"/>
    </row>
    <row r="4023" ht="15.75" customHeight="1">
      <c r="A4023" s="122"/>
      <c r="B4023" s="133"/>
      <c r="C4023" s="120"/>
      <c r="D4023" s="120"/>
      <c r="E4023" s="120"/>
      <c r="F4023" s="120"/>
      <c r="G4023" s="120"/>
      <c r="H4023" s="120"/>
      <c r="I4023" s="121"/>
      <c r="J4023" s="121"/>
      <c r="K4023" s="117"/>
    </row>
    <row r="4024" ht="15.75" customHeight="1">
      <c r="A4024" s="122"/>
      <c r="B4024" s="133"/>
      <c r="C4024" s="120"/>
      <c r="D4024" s="120"/>
      <c r="E4024" s="120"/>
      <c r="F4024" s="120"/>
      <c r="G4024" s="120"/>
      <c r="H4024" s="120"/>
      <c r="I4024" s="121"/>
      <c r="J4024" s="121"/>
      <c r="K4024" s="117"/>
    </row>
    <row r="4025" ht="15.75" customHeight="1">
      <c r="A4025" s="122"/>
      <c r="B4025" s="133"/>
      <c r="C4025" s="120"/>
      <c r="D4025" s="120"/>
      <c r="E4025" s="120"/>
      <c r="F4025" s="120"/>
      <c r="G4025" s="120"/>
      <c r="H4025" s="120"/>
      <c r="I4025" s="121"/>
      <c r="J4025" s="121"/>
      <c r="K4025" s="117"/>
    </row>
    <row r="4026" ht="15.75" customHeight="1">
      <c r="A4026" s="122"/>
      <c r="B4026" s="133"/>
      <c r="C4026" s="120"/>
      <c r="D4026" s="120"/>
      <c r="E4026" s="120"/>
      <c r="F4026" s="120"/>
      <c r="G4026" s="120"/>
      <c r="H4026" s="120"/>
      <c r="I4026" s="121"/>
      <c r="J4026" s="121"/>
      <c r="K4026" s="117"/>
    </row>
    <row r="4027" ht="15.75" customHeight="1">
      <c r="A4027" s="122"/>
      <c r="B4027" s="133"/>
      <c r="C4027" s="120"/>
      <c r="D4027" s="120"/>
      <c r="E4027" s="120"/>
      <c r="F4027" s="120"/>
      <c r="G4027" s="120"/>
      <c r="H4027" s="120"/>
      <c r="I4027" s="121"/>
      <c r="J4027" s="121"/>
      <c r="K4027" s="117"/>
    </row>
    <row r="4028" ht="15.75" customHeight="1">
      <c r="A4028" s="122"/>
      <c r="B4028" s="133"/>
      <c r="C4028" s="120"/>
      <c r="D4028" s="120"/>
      <c r="E4028" s="120"/>
      <c r="F4028" s="120"/>
      <c r="G4028" s="120"/>
      <c r="H4028" s="120"/>
      <c r="I4028" s="121"/>
      <c r="J4028" s="121"/>
      <c r="K4028" s="117"/>
    </row>
    <row r="4029" ht="15.75" customHeight="1">
      <c r="A4029" s="122"/>
      <c r="B4029" s="133"/>
      <c r="C4029" s="120"/>
      <c r="D4029" s="120"/>
      <c r="E4029" s="120"/>
      <c r="F4029" s="120"/>
      <c r="G4029" s="120"/>
      <c r="H4029" s="120"/>
      <c r="I4029" s="121"/>
      <c r="J4029" s="121"/>
      <c r="K4029" s="117"/>
    </row>
    <row r="4030" ht="15.75" customHeight="1">
      <c r="A4030" s="122"/>
      <c r="B4030" s="133"/>
      <c r="C4030" s="120"/>
      <c r="D4030" s="120"/>
      <c r="E4030" s="120"/>
      <c r="F4030" s="120"/>
      <c r="G4030" s="120"/>
      <c r="H4030" s="120"/>
      <c r="I4030" s="121"/>
      <c r="J4030" s="121"/>
      <c r="K4030" s="117"/>
    </row>
    <row r="4031" ht="15.75" customHeight="1">
      <c r="A4031" s="122"/>
      <c r="B4031" s="133"/>
      <c r="C4031" s="120"/>
      <c r="D4031" s="120"/>
      <c r="E4031" s="120"/>
      <c r="F4031" s="120"/>
      <c r="G4031" s="120"/>
      <c r="H4031" s="120"/>
      <c r="I4031" s="121"/>
      <c r="J4031" s="121"/>
      <c r="K4031" s="117"/>
    </row>
    <row r="4032" ht="15.75" customHeight="1">
      <c r="A4032" s="122"/>
      <c r="B4032" s="133"/>
      <c r="C4032" s="120"/>
      <c r="D4032" s="120"/>
      <c r="E4032" s="120"/>
      <c r="F4032" s="120"/>
      <c r="G4032" s="120"/>
      <c r="H4032" s="120"/>
      <c r="I4032" s="121"/>
      <c r="J4032" s="121"/>
      <c r="K4032" s="117"/>
    </row>
    <row r="4033" ht="15.75" customHeight="1">
      <c r="A4033" s="122"/>
      <c r="B4033" s="133"/>
      <c r="C4033" s="120"/>
      <c r="D4033" s="120"/>
      <c r="E4033" s="120"/>
      <c r="F4033" s="120"/>
      <c r="G4033" s="120"/>
      <c r="H4033" s="120"/>
      <c r="I4033" s="121"/>
      <c r="J4033" s="121"/>
      <c r="K4033" s="117"/>
    </row>
    <row r="4034" ht="15.75" customHeight="1">
      <c r="A4034" s="122"/>
      <c r="B4034" s="133"/>
      <c r="C4034" s="120"/>
      <c r="D4034" s="120"/>
      <c r="E4034" s="120"/>
      <c r="F4034" s="120"/>
      <c r="G4034" s="120"/>
      <c r="H4034" s="120"/>
      <c r="I4034" s="121"/>
      <c r="J4034" s="121"/>
      <c r="K4034" s="117"/>
    </row>
    <row r="4035" ht="15.75" customHeight="1">
      <c r="A4035" s="122"/>
      <c r="B4035" s="133"/>
      <c r="C4035" s="120"/>
      <c r="D4035" s="120"/>
      <c r="E4035" s="120"/>
      <c r="F4035" s="120"/>
      <c r="G4035" s="120"/>
      <c r="H4035" s="120"/>
      <c r="I4035" s="121"/>
      <c r="J4035" s="121"/>
      <c r="K4035" s="117"/>
    </row>
    <row r="4036" ht="15.75" customHeight="1">
      <c r="A4036" s="122"/>
      <c r="B4036" s="133"/>
      <c r="C4036" s="120"/>
      <c r="D4036" s="120"/>
      <c r="E4036" s="120"/>
      <c r="F4036" s="120"/>
      <c r="G4036" s="120"/>
      <c r="H4036" s="120"/>
      <c r="I4036" s="121"/>
      <c r="J4036" s="121"/>
      <c r="K4036" s="117"/>
    </row>
    <row r="4037" ht="15.75" customHeight="1">
      <c r="A4037" s="122"/>
      <c r="B4037" s="133"/>
      <c r="C4037" s="120"/>
      <c r="D4037" s="120"/>
      <c r="E4037" s="120"/>
      <c r="F4037" s="120"/>
      <c r="G4037" s="120"/>
      <c r="H4037" s="120"/>
      <c r="I4037" s="121"/>
      <c r="J4037" s="121"/>
      <c r="K4037" s="117"/>
    </row>
    <row r="4038" ht="15.75" customHeight="1">
      <c r="A4038" s="122"/>
      <c r="B4038" s="133"/>
      <c r="C4038" s="120"/>
      <c r="D4038" s="120"/>
      <c r="E4038" s="120"/>
      <c r="F4038" s="120"/>
      <c r="G4038" s="120"/>
      <c r="H4038" s="120"/>
      <c r="I4038" s="121"/>
      <c r="J4038" s="121"/>
      <c r="K4038" s="117"/>
    </row>
    <row r="4039" ht="15.75" customHeight="1">
      <c r="A4039" s="122"/>
      <c r="B4039" s="133"/>
      <c r="C4039" s="120"/>
      <c r="D4039" s="120"/>
      <c r="E4039" s="120"/>
      <c r="F4039" s="120"/>
      <c r="G4039" s="120"/>
      <c r="H4039" s="120"/>
      <c r="I4039" s="121"/>
      <c r="J4039" s="121"/>
      <c r="K4039" s="117"/>
    </row>
    <row r="4040" ht="15.75" customHeight="1">
      <c r="A4040" s="122"/>
      <c r="B4040" s="133"/>
      <c r="C4040" s="120"/>
      <c r="D4040" s="120"/>
      <c r="E4040" s="120"/>
      <c r="F4040" s="120"/>
      <c r="G4040" s="120"/>
      <c r="H4040" s="120"/>
      <c r="I4040" s="121"/>
      <c r="J4040" s="121"/>
      <c r="K4040" s="117"/>
    </row>
    <row r="4041" ht="15.75" customHeight="1">
      <c r="A4041" s="122"/>
      <c r="B4041" s="133"/>
      <c r="C4041" s="120"/>
      <c r="D4041" s="120"/>
      <c r="E4041" s="120"/>
      <c r="F4041" s="120"/>
      <c r="G4041" s="120"/>
      <c r="H4041" s="120"/>
      <c r="I4041" s="121"/>
      <c r="J4041" s="121"/>
      <c r="K4041" s="117"/>
    </row>
    <row r="4042" ht="15.75" customHeight="1">
      <c r="A4042" s="122"/>
      <c r="B4042" s="133"/>
      <c r="C4042" s="120"/>
      <c r="D4042" s="120"/>
      <c r="E4042" s="120"/>
      <c r="F4042" s="120"/>
      <c r="G4042" s="120"/>
      <c r="H4042" s="120"/>
      <c r="I4042" s="121"/>
      <c r="J4042" s="121"/>
      <c r="K4042" s="117"/>
    </row>
    <row r="4043" ht="15.75" customHeight="1">
      <c r="A4043" s="122"/>
      <c r="B4043" s="133"/>
      <c r="C4043" s="120"/>
      <c r="D4043" s="120"/>
      <c r="E4043" s="120"/>
      <c r="F4043" s="120"/>
      <c r="G4043" s="120"/>
      <c r="H4043" s="120"/>
      <c r="I4043" s="121"/>
      <c r="J4043" s="121"/>
      <c r="K4043" s="117"/>
    </row>
    <row r="4044" ht="15.75" customHeight="1">
      <c r="A4044" s="122"/>
      <c r="B4044" s="133"/>
      <c r="C4044" s="120"/>
      <c r="D4044" s="120"/>
      <c r="E4044" s="120"/>
      <c r="F4044" s="120"/>
      <c r="G4044" s="120"/>
      <c r="H4044" s="120"/>
      <c r="I4044" s="121"/>
      <c r="J4044" s="121"/>
      <c r="K4044" s="117"/>
    </row>
    <row r="4045" ht="15.75" customHeight="1">
      <c r="A4045" s="122"/>
      <c r="B4045" s="133"/>
      <c r="C4045" s="120"/>
      <c r="D4045" s="120"/>
      <c r="E4045" s="120"/>
      <c r="F4045" s="120"/>
      <c r="G4045" s="120"/>
      <c r="H4045" s="120"/>
      <c r="I4045" s="121"/>
      <c r="J4045" s="121"/>
      <c r="K4045" s="117"/>
    </row>
    <row r="4046" ht="15.75" customHeight="1">
      <c r="A4046" s="122"/>
      <c r="B4046" s="133"/>
      <c r="C4046" s="120"/>
      <c r="D4046" s="120"/>
      <c r="E4046" s="120"/>
      <c r="F4046" s="120"/>
      <c r="G4046" s="120"/>
      <c r="H4046" s="120"/>
      <c r="I4046" s="121"/>
      <c r="J4046" s="121"/>
      <c r="K4046" s="117"/>
    </row>
    <row r="4047" ht="15.75" customHeight="1">
      <c r="A4047" s="122"/>
      <c r="B4047" s="133"/>
      <c r="C4047" s="120"/>
      <c r="D4047" s="120"/>
      <c r="E4047" s="120"/>
      <c r="F4047" s="120"/>
      <c r="G4047" s="120"/>
      <c r="H4047" s="120"/>
      <c r="I4047" s="121"/>
      <c r="J4047" s="121"/>
      <c r="K4047" s="117"/>
    </row>
    <row r="4048" ht="15.75" customHeight="1">
      <c r="A4048" s="122"/>
      <c r="B4048" s="133"/>
      <c r="C4048" s="120"/>
      <c r="D4048" s="120"/>
      <c r="E4048" s="120"/>
      <c r="F4048" s="120"/>
      <c r="G4048" s="120"/>
      <c r="H4048" s="120"/>
      <c r="I4048" s="121"/>
      <c r="J4048" s="121"/>
      <c r="K4048" s="117"/>
    </row>
    <row r="4049" ht="15.75" customHeight="1">
      <c r="A4049" s="122"/>
      <c r="B4049" s="133"/>
      <c r="C4049" s="120"/>
      <c r="D4049" s="120"/>
      <c r="E4049" s="120"/>
      <c r="F4049" s="120"/>
      <c r="G4049" s="120"/>
      <c r="H4049" s="120"/>
      <c r="I4049" s="121"/>
      <c r="J4049" s="121"/>
      <c r="K4049" s="117"/>
    </row>
    <row r="4050" ht="15.75" customHeight="1">
      <c r="A4050" s="122"/>
      <c r="B4050" s="133"/>
      <c r="C4050" s="120"/>
      <c r="D4050" s="120"/>
      <c r="E4050" s="120"/>
      <c r="F4050" s="120"/>
      <c r="G4050" s="120"/>
      <c r="H4050" s="120"/>
      <c r="I4050" s="121"/>
      <c r="J4050" s="121"/>
      <c r="K4050" s="117"/>
    </row>
    <row r="4051" ht="15.75" customHeight="1">
      <c r="A4051" s="122"/>
      <c r="B4051" s="133"/>
      <c r="C4051" s="120"/>
      <c r="D4051" s="120"/>
      <c r="E4051" s="120"/>
      <c r="F4051" s="120"/>
      <c r="G4051" s="120"/>
      <c r="H4051" s="120"/>
      <c r="I4051" s="121"/>
      <c r="J4051" s="121"/>
      <c r="K4051" s="117"/>
    </row>
    <row r="4052" ht="15.75" customHeight="1">
      <c r="A4052" s="122"/>
      <c r="B4052" s="133"/>
      <c r="C4052" s="120"/>
      <c r="D4052" s="120"/>
      <c r="E4052" s="120"/>
      <c r="F4052" s="120"/>
      <c r="G4052" s="120"/>
      <c r="H4052" s="120"/>
      <c r="I4052" s="121"/>
      <c r="J4052" s="121"/>
      <c r="K4052" s="117"/>
    </row>
    <row r="4053" ht="15.75" customHeight="1">
      <c r="A4053" s="122"/>
      <c r="B4053" s="133"/>
      <c r="C4053" s="120"/>
      <c r="D4053" s="120"/>
      <c r="E4053" s="120"/>
      <c r="F4053" s="120"/>
      <c r="G4053" s="120"/>
      <c r="H4053" s="120"/>
      <c r="I4053" s="121"/>
      <c r="J4053" s="121"/>
      <c r="K4053" s="117"/>
    </row>
    <row r="4054" ht="15.75" customHeight="1">
      <c r="A4054" s="122"/>
      <c r="B4054" s="133"/>
      <c r="C4054" s="120"/>
      <c r="D4054" s="120"/>
      <c r="E4054" s="120"/>
      <c r="F4054" s="120"/>
      <c r="G4054" s="120"/>
      <c r="H4054" s="120"/>
      <c r="I4054" s="121"/>
      <c r="J4054" s="121"/>
      <c r="K4054" s="117"/>
    </row>
    <row r="4055" ht="15.75" customHeight="1">
      <c r="A4055" s="122"/>
      <c r="B4055" s="133"/>
      <c r="C4055" s="120"/>
      <c r="D4055" s="120"/>
      <c r="E4055" s="120"/>
      <c r="F4055" s="120"/>
      <c r="G4055" s="120"/>
      <c r="H4055" s="120"/>
      <c r="I4055" s="121"/>
      <c r="J4055" s="121"/>
      <c r="K4055" s="117"/>
    </row>
    <row r="4056" ht="15.75" customHeight="1">
      <c r="A4056" s="122"/>
      <c r="B4056" s="133"/>
      <c r="C4056" s="120"/>
      <c r="D4056" s="120"/>
      <c r="E4056" s="120"/>
      <c r="F4056" s="120"/>
      <c r="G4056" s="120"/>
      <c r="H4056" s="120"/>
      <c r="I4056" s="121"/>
      <c r="J4056" s="121"/>
      <c r="K4056" s="117"/>
    </row>
    <row r="4057" ht="15.75" customHeight="1">
      <c r="A4057" s="122"/>
      <c r="B4057" s="133"/>
      <c r="C4057" s="120"/>
      <c r="D4057" s="120"/>
      <c r="E4057" s="120"/>
      <c r="F4057" s="120"/>
      <c r="G4057" s="120"/>
      <c r="H4057" s="120"/>
      <c r="I4057" s="121"/>
      <c r="J4057" s="121"/>
      <c r="K4057" s="117"/>
    </row>
    <row r="4058" ht="15.75" customHeight="1">
      <c r="A4058" s="122"/>
      <c r="B4058" s="133"/>
      <c r="C4058" s="120"/>
      <c r="D4058" s="120"/>
      <c r="E4058" s="120"/>
      <c r="F4058" s="120"/>
      <c r="G4058" s="120"/>
      <c r="H4058" s="120"/>
      <c r="I4058" s="121"/>
      <c r="J4058" s="121"/>
      <c r="K4058" s="117"/>
    </row>
    <row r="4059" ht="15.75" customHeight="1">
      <c r="A4059" s="122"/>
      <c r="B4059" s="133"/>
      <c r="C4059" s="120"/>
      <c r="D4059" s="120"/>
      <c r="E4059" s="120"/>
      <c r="F4059" s="120"/>
      <c r="G4059" s="120"/>
      <c r="H4059" s="120"/>
      <c r="I4059" s="121"/>
      <c r="J4059" s="121"/>
      <c r="K4059" s="117"/>
    </row>
    <row r="4060" ht="15.75" customHeight="1">
      <c r="A4060" s="122"/>
      <c r="B4060" s="133"/>
      <c r="C4060" s="120"/>
      <c r="D4060" s="120"/>
      <c r="E4060" s="120"/>
      <c r="F4060" s="120"/>
      <c r="G4060" s="120"/>
      <c r="H4060" s="120"/>
      <c r="I4060" s="121"/>
      <c r="J4060" s="121"/>
      <c r="K4060" s="117"/>
    </row>
    <row r="4061" ht="15.75" customHeight="1">
      <c r="A4061" s="122"/>
      <c r="B4061" s="133"/>
      <c r="C4061" s="120"/>
      <c r="D4061" s="120"/>
      <c r="E4061" s="120"/>
      <c r="F4061" s="120"/>
      <c r="G4061" s="120"/>
      <c r="H4061" s="120"/>
      <c r="I4061" s="121"/>
      <c r="J4061" s="121"/>
      <c r="K4061" s="117"/>
    </row>
    <row r="4062" ht="15.75" customHeight="1">
      <c r="A4062" s="122"/>
      <c r="B4062" s="133"/>
      <c r="C4062" s="120"/>
      <c r="D4062" s="120"/>
      <c r="E4062" s="120"/>
      <c r="F4062" s="120"/>
      <c r="G4062" s="120"/>
      <c r="H4062" s="120"/>
      <c r="I4062" s="121"/>
      <c r="J4062" s="121"/>
      <c r="K4062" s="117"/>
    </row>
    <row r="4063" ht="15.75" customHeight="1">
      <c r="A4063" s="122"/>
      <c r="B4063" s="133"/>
      <c r="C4063" s="120"/>
      <c r="D4063" s="120"/>
      <c r="E4063" s="120"/>
      <c r="F4063" s="120"/>
      <c r="G4063" s="120"/>
      <c r="H4063" s="120"/>
      <c r="I4063" s="121"/>
      <c r="J4063" s="121"/>
      <c r="K4063" s="117"/>
    </row>
    <row r="4064" ht="15.75" customHeight="1">
      <c r="A4064" s="122"/>
      <c r="B4064" s="133"/>
      <c r="C4064" s="120"/>
      <c r="D4064" s="120"/>
      <c r="E4064" s="120"/>
      <c r="F4064" s="120"/>
      <c r="G4064" s="120"/>
      <c r="H4064" s="120"/>
      <c r="I4064" s="121"/>
      <c r="J4064" s="121"/>
      <c r="K4064" s="117"/>
    </row>
    <row r="4065" ht="15.75" customHeight="1">
      <c r="A4065" s="122"/>
      <c r="B4065" s="133"/>
      <c r="C4065" s="120"/>
      <c r="D4065" s="120"/>
      <c r="E4065" s="120"/>
      <c r="F4065" s="120"/>
      <c r="G4065" s="120"/>
      <c r="H4065" s="120"/>
      <c r="I4065" s="121"/>
      <c r="J4065" s="121"/>
      <c r="K4065" s="117"/>
    </row>
    <row r="4066" ht="15.75" customHeight="1">
      <c r="A4066" s="122"/>
      <c r="B4066" s="133"/>
      <c r="C4066" s="120"/>
      <c r="D4066" s="120"/>
      <c r="E4066" s="120"/>
      <c r="F4066" s="120"/>
      <c r="G4066" s="120"/>
      <c r="H4066" s="120"/>
      <c r="I4066" s="121"/>
      <c r="J4066" s="121"/>
      <c r="K4066" s="117"/>
    </row>
    <row r="4067" ht="15.75" customHeight="1">
      <c r="A4067" s="122"/>
      <c r="B4067" s="133"/>
      <c r="C4067" s="120"/>
      <c r="D4067" s="120"/>
      <c r="E4067" s="120"/>
      <c r="F4067" s="120"/>
      <c r="G4067" s="120"/>
      <c r="H4067" s="120"/>
      <c r="I4067" s="121"/>
      <c r="J4067" s="121"/>
      <c r="K4067" s="117"/>
    </row>
    <row r="4068" ht="15.75" customHeight="1">
      <c r="A4068" s="122"/>
      <c r="B4068" s="133"/>
      <c r="C4068" s="120"/>
      <c r="D4068" s="120"/>
      <c r="E4068" s="120"/>
      <c r="F4068" s="120"/>
      <c r="G4068" s="120"/>
      <c r="H4068" s="120"/>
      <c r="I4068" s="121"/>
      <c r="J4068" s="121"/>
      <c r="K4068" s="117"/>
    </row>
    <row r="4069" ht="15.75" customHeight="1">
      <c r="A4069" s="122"/>
      <c r="B4069" s="133"/>
      <c r="C4069" s="120"/>
      <c r="D4069" s="120"/>
      <c r="E4069" s="120"/>
      <c r="F4069" s="120"/>
      <c r="G4069" s="120"/>
      <c r="H4069" s="120"/>
      <c r="I4069" s="121"/>
      <c r="J4069" s="121"/>
      <c r="K4069" s="117"/>
    </row>
    <row r="4070" ht="15.75" customHeight="1">
      <c r="A4070" s="122"/>
      <c r="B4070" s="133"/>
      <c r="C4070" s="120"/>
      <c r="D4070" s="120"/>
      <c r="E4070" s="120"/>
      <c r="F4070" s="120"/>
      <c r="G4070" s="120"/>
      <c r="H4070" s="120"/>
      <c r="I4070" s="121"/>
      <c r="J4070" s="121"/>
      <c r="K4070" s="117"/>
    </row>
    <row r="4071" ht="15.75" customHeight="1">
      <c r="A4071" s="122"/>
      <c r="B4071" s="133"/>
      <c r="C4071" s="120"/>
      <c r="D4071" s="120"/>
      <c r="E4071" s="120"/>
      <c r="F4071" s="120"/>
      <c r="G4071" s="120"/>
      <c r="H4071" s="120"/>
      <c r="I4071" s="121"/>
      <c r="J4071" s="121"/>
      <c r="K4071" s="117"/>
    </row>
    <row r="4072" ht="15.75" customHeight="1">
      <c r="A4072" s="122"/>
      <c r="B4072" s="133"/>
      <c r="C4072" s="120"/>
      <c r="D4072" s="120"/>
      <c r="E4072" s="120"/>
      <c r="F4072" s="120"/>
      <c r="G4072" s="120"/>
      <c r="H4072" s="120"/>
      <c r="I4072" s="121"/>
      <c r="J4072" s="121"/>
      <c r="K4072" s="117"/>
    </row>
    <row r="4073" ht="15.75" customHeight="1">
      <c r="A4073" s="122"/>
      <c r="B4073" s="133"/>
      <c r="C4073" s="120"/>
      <c r="D4073" s="120"/>
      <c r="E4073" s="120"/>
      <c r="F4073" s="120"/>
      <c r="G4073" s="120"/>
      <c r="H4073" s="120"/>
      <c r="I4073" s="121"/>
      <c r="J4073" s="121"/>
      <c r="K4073" s="117"/>
    </row>
    <row r="4074" ht="15.75" customHeight="1">
      <c r="A4074" s="122"/>
      <c r="B4074" s="133"/>
      <c r="C4074" s="120"/>
      <c r="D4074" s="120"/>
      <c r="E4074" s="120"/>
      <c r="F4074" s="120"/>
      <c r="G4074" s="120"/>
      <c r="H4074" s="120"/>
      <c r="I4074" s="121"/>
      <c r="J4074" s="121"/>
      <c r="K4074" s="117"/>
    </row>
    <row r="4075" ht="15.75" customHeight="1">
      <c r="A4075" s="122"/>
      <c r="B4075" s="133"/>
      <c r="C4075" s="120"/>
      <c r="D4075" s="120"/>
      <c r="E4075" s="120"/>
      <c r="F4075" s="120"/>
      <c r="G4075" s="120"/>
      <c r="H4075" s="120"/>
      <c r="I4075" s="121"/>
      <c r="J4075" s="121"/>
      <c r="K4075" s="117"/>
    </row>
    <row r="4076" ht="15.75" customHeight="1">
      <c r="A4076" s="122"/>
      <c r="B4076" s="133"/>
      <c r="C4076" s="120"/>
      <c r="D4076" s="120"/>
      <c r="E4076" s="120"/>
      <c r="F4076" s="120"/>
      <c r="G4076" s="120"/>
      <c r="H4076" s="120"/>
      <c r="I4076" s="121"/>
      <c r="J4076" s="121"/>
      <c r="K4076" s="117"/>
    </row>
    <row r="4077" ht="15.75" customHeight="1">
      <c r="A4077" s="122"/>
      <c r="B4077" s="133"/>
      <c r="C4077" s="120"/>
      <c r="D4077" s="120"/>
      <c r="E4077" s="120"/>
      <c r="F4077" s="120"/>
      <c r="G4077" s="120"/>
      <c r="H4077" s="120"/>
      <c r="I4077" s="121"/>
      <c r="J4077" s="121"/>
      <c r="K4077" s="117"/>
    </row>
    <row r="4078" ht="15.75" customHeight="1">
      <c r="A4078" s="122"/>
      <c r="B4078" s="133"/>
      <c r="C4078" s="120"/>
      <c r="D4078" s="120"/>
      <c r="E4078" s="120"/>
      <c r="F4078" s="120"/>
      <c r="G4078" s="120"/>
      <c r="H4078" s="120"/>
      <c r="I4078" s="121"/>
      <c r="J4078" s="121"/>
      <c r="K4078" s="117"/>
    </row>
    <row r="4079" ht="15.75" customHeight="1">
      <c r="A4079" s="122"/>
      <c r="B4079" s="133"/>
      <c r="C4079" s="120"/>
      <c r="D4079" s="120"/>
      <c r="E4079" s="120"/>
      <c r="F4079" s="120"/>
      <c r="G4079" s="120"/>
      <c r="H4079" s="120"/>
      <c r="I4079" s="121"/>
      <c r="J4079" s="121"/>
      <c r="K4079" s="117"/>
    </row>
    <row r="4080" ht="15.75" customHeight="1">
      <c r="A4080" s="122"/>
      <c r="B4080" s="133"/>
      <c r="C4080" s="120"/>
      <c r="D4080" s="120"/>
      <c r="E4080" s="120"/>
      <c r="F4080" s="120"/>
      <c r="G4080" s="120"/>
      <c r="H4080" s="120"/>
      <c r="I4080" s="121"/>
      <c r="J4080" s="121"/>
      <c r="K4080" s="117"/>
    </row>
    <row r="4081" ht="15.75" customHeight="1">
      <c r="A4081" s="122"/>
      <c r="B4081" s="133"/>
      <c r="C4081" s="120"/>
      <c r="D4081" s="120"/>
      <c r="E4081" s="120"/>
      <c r="F4081" s="120"/>
      <c r="G4081" s="120"/>
      <c r="H4081" s="120"/>
      <c r="I4081" s="121"/>
      <c r="J4081" s="121"/>
      <c r="K4081" s="117"/>
    </row>
    <row r="4082" ht="15.75" customHeight="1">
      <c r="A4082" s="122"/>
      <c r="B4082" s="133"/>
      <c r="C4082" s="120"/>
      <c r="D4082" s="120"/>
      <c r="E4082" s="120"/>
      <c r="F4082" s="120"/>
      <c r="G4082" s="120"/>
      <c r="H4082" s="120"/>
      <c r="I4082" s="121"/>
      <c r="J4082" s="121"/>
      <c r="K4082" s="117"/>
    </row>
    <row r="4083" ht="15.75" customHeight="1">
      <c r="A4083" s="122"/>
      <c r="B4083" s="133"/>
      <c r="C4083" s="120"/>
      <c r="D4083" s="120"/>
      <c r="E4083" s="120"/>
      <c r="F4083" s="120"/>
      <c r="G4083" s="120"/>
      <c r="H4083" s="120"/>
      <c r="I4083" s="121"/>
      <c r="J4083" s="121"/>
      <c r="K4083" s="117"/>
    </row>
    <row r="4084" ht="15.75" customHeight="1">
      <c r="A4084" s="122"/>
      <c r="B4084" s="133"/>
      <c r="C4084" s="120"/>
      <c r="D4084" s="120"/>
      <c r="E4084" s="120"/>
      <c r="F4084" s="120"/>
      <c r="G4084" s="120"/>
      <c r="H4084" s="120"/>
      <c r="I4084" s="121"/>
      <c r="J4084" s="121"/>
      <c r="K4084" s="117"/>
    </row>
    <row r="4085" ht="15.75" customHeight="1">
      <c r="A4085" s="122"/>
      <c r="B4085" s="133"/>
      <c r="C4085" s="120"/>
      <c r="D4085" s="120"/>
      <c r="E4085" s="120"/>
      <c r="F4085" s="120"/>
      <c r="G4085" s="120"/>
      <c r="H4085" s="120"/>
      <c r="I4085" s="121"/>
      <c r="J4085" s="121"/>
      <c r="K4085" s="117"/>
    </row>
    <row r="4086" ht="15.75" customHeight="1">
      <c r="A4086" s="122"/>
      <c r="B4086" s="133"/>
      <c r="C4086" s="120"/>
      <c r="D4086" s="120"/>
      <c r="E4086" s="120"/>
      <c r="F4086" s="120"/>
      <c r="G4086" s="120"/>
      <c r="H4086" s="120"/>
      <c r="I4086" s="121"/>
      <c r="J4086" s="121"/>
      <c r="K4086" s="117"/>
    </row>
    <row r="4087" ht="15.75" customHeight="1">
      <c r="A4087" s="122"/>
      <c r="B4087" s="133"/>
      <c r="C4087" s="120"/>
      <c r="D4087" s="120"/>
      <c r="E4087" s="120"/>
      <c r="F4087" s="120"/>
      <c r="G4087" s="120"/>
      <c r="H4087" s="120"/>
      <c r="I4087" s="121"/>
      <c r="J4087" s="121"/>
      <c r="K4087" s="117"/>
    </row>
    <row r="4088" ht="15.75" customHeight="1">
      <c r="A4088" s="122"/>
      <c r="B4088" s="133"/>
      <c r="C4088" s="120"/>
      <c r="D4088" s="120"/>
      <c r="E4088" s="120"/>
      <c r="F4088" s="120"/>
      <c r="G4088" s="120"/>
      <c r="H4088" s="120"/>
      <c r="I4088" s="121"/>
      <c r="J4088" s="121"/>
      <c r="K4088" s="117"/>
    </row>
    <row r="4089" ht="15.75" customHeight="1">
      <c r="A4089" s="122"/>
      <c r="B4089" s="133"/>
      <c r="C4089" s="120"/>
      <c r="D4089" s="120"/>
      <c r="E4089" s="120"/>
      <c r="F4089" s="120"/>
      <c r="G4089" s="120"/>
      <c r="H4089" s="120"/>
      <c r="I4089" s="121"/>
      <c r="J4089" s="121"/>
      <c r="K4089" s="117"/>
    </row>
    <row r="4090" ht="15.75" customHeight="1">
      <c r="A4090" s="122"/>
      <c r="B4090" s="133"/>
      <c r="C4090" s="120"/>
      <c r="D4090" s="120"/>
      <c r="E4090" s="120"/>
      <c r="F4090" s="120"/>
      <c r="G4090" s="120"/>
      <c r="H4090" s="120"/>
      <c r="I4090" s="121"/>
      <c r="J4090" s="121"/>
      <c r="K4090" s="117"/>
    </row>
    <row r="4091" ht="15.75" customHeight="1">
      <c r="A4091" s="122"/>
      <c r="B4091" s="133"/>
      <c r="C4091" s="120"/>
      <c r="D4091" s="120"/>
      <c r="E4091" s="120"/>
      <c r="F4091" s="120"/>
      <c r="G4091" s="120"/>
      <c r="H4091" s="120"/>
      <c r="I4091" s="121"/>
      <c r="J4091" s="121"/>
      <c r="K4091" s="117"/>
    </row>
    <row r="4092" ht="15.75" customHeight="1">
      <c r="A4092" s="122"/>
      <c r="B4092" s="133"/>
      <c r="C4092" s="120"/>
      <c r="D4092" s="120"/>
      <c r="E4092" s="120"/>
      <c r="F4092" s="120"/>
      <c r="G4092" s="120"/>
      <c r="H4092" s="120"/>
      <c r="I4092" s="121"/>
      <c r="J4092" s="121"/>
      <c r="K4092" s="117"/>
    </row>
    <row r="4093" ht="15.75" customHeight="1">
      <c r="A4093" s="122"/>
      <c r="B4093" s="133"/>
      <c r="C4093" s="120"/>
      <c r="D4093" s="120"/>
      <c r="E4093" s="120"/>
      <c r="F4093" s="120"/>
      <c r="G4093" s="120"/>
      <c r="H4093" s="120"/>
      <c r="I4093" s="121"/>
      <c r="J4093" s="121"/>
      <c r="K4093" s="117"/>
    </row>
    <row r="4094" ht="15.75" customHeight="1">
      <c r="A4094" s="122"/>
      <c r="B4094" s="133"/>
      <c r="C4094" s="120"/>
      <c r="D4094" s="120"/>
      <c r="E4094" s="120"/>
      <c r="F4094" s="120"/>
      <c r="G4094" s="120"/>
      <c r="H4094" s="120"/>
      <c r="I4094" s="121"/>
      <c r="J4094" s="121"/>
      <c r="K4094" s="117"/>
    </row>
    <row r="4095" ht="15.75" customHeight="1">
      <c r="A4095" s="122"/>
      <c r="B4095" s="133"/>
      <c r="C4095" s="120"/>
      <c r="D4095" s="120"/>
      <c r="E4095" s="120"/>
      <c r="F4095" s="120"/>
      <c r="G4095" s="120"/>
      <c r="H4095" s="120"/>
      <c r="I4095" s="121"/>
      <c r="J4095" s="121"/>
      <c r="K4095" s="117"/>
    </row>
    <row r="4096" ht="15.75" customHeight="1">
      <c r="A4096" s="122"/>
      <c r="B4096" s="133"/>
      <c r="C4096" s="120"/>
      <c r="D4096" s="120"/>
      <c r="E4096" s="120"/>
      <c r="F4096" s="120"/>
      <c r="G4096" s="120"/>
      <c r="H4096" s="120"/>
      <c r="I4096" s="121"/>
      <c r="J4096" s="121"/>
      <c r="K4096" s="117"/>
    </row>
    <row r="4097" ht="15.75" customHeight="1">
      <c r="A4097" s="122"/>
      <c r="B4097" s="133"/>
      <c r="C4097" s="120"/>
      <c r="D4097" s="120"/>
      <c r="E4097" s="120"/>
      <c r="F4097" s="120"/>
      <c r="G4097" s="120"/>
      <c r="H4097" s="120"/>
      <c r="I4097" s="121"/>
      <c r="J4097" s="121"/>
      <c r="K4097" s="117"/>
    </row>
    <row r="4098" ht="15.75" customHeight="1">
      <c r="A4098" s="122"/>
      <c r="B4098" s="133"/>
      <c r="C4098" s="120"/>
      <c r="D4098" s="120"/>
      <c r="E4098" s="120"/>
      <c r="F4098" s="120"/>
      <c r="G4098" s="120"/>
      <c r="H4098" s="120"/>
      <c r="I4098" s="121"/>
      <c r="J4098" s="121"/>
      <c r="K4098" s="117"/>
    </row>
    <row r="4099" ht="15.75" customHeight="1">
      <c r="A4099" s="122"/>
      <c r="B4099" s="133"/>
      <c r="C4099" s="120"/>
      <c r="D4099" s="120"/>
      <c r="E4099" s="120"/>
      <c r="F4099" s="120"/>
      <c r="G4099" s="120"/>
      <c r="H4099" s="120"/>
      <c r="I4099" s="121"/>
      <c r="J4099" s="121"/>
      <c r="K4099" s="117"/>
    </row>
    <row r="4100" ht="15.75" customHeight="1">
      <c r="A4100" s="122"/>
      <c r="B4100" s="133"/>
      <c r="C4100" s="120"/>
      <c r="D4100" s="120"/>
      <c r="E4100" s="120"/>
      <c r="F4100" s="120"/>
      <c r="G4100" s="120"/>
      <c r="H4100" s="120"/>
      <c r="I4100" s="121"/>
      <c r="J4100" s="121"/>
      <c r="K4100" s="117"/>
    </row>
    <row r="4101" ht="15.75" customHeight="1">
      <c r="A4101" s="122"/>
      <c r="B4101" s="133"/>
      <c r="C4101" s="120"/>
      <c r="D4101" s="120"/>
      <c r="E4101" s="120"/>
      <c r="F4101" s="120"/>
      <c r="G4101" s="120"/>
      <c r="H4101" s="120"/>
      <c r="I4101" s="121"/>
      <c r="J4101" s="121"/>
      <c r="K4101" s="117"/>
    </row>
    <row r="4102" ht="15.75" customHeight="1">
      <c r="A4102" s="122"/>
      <c r="B4102" s="133"/>
      <c r="C4102" s="120"/>
      <c r="D4102" s="120"/>
      <c r="E4102" s="120"/>
      <c r="F4102" s="120"/>
      <c r="G4102" s="120"/>
      <c r="H4102" s="120"/>
      <c r="I4102" s="121"/>
      <c r="J4102" s="121"/>
      <c r="K4102" s="117"/>
    </row>
    <row r="4103" ht="15.75" customHeight="1">
      <c r="A4103" s="122"/>
      <c r="B4103" s="133"/>
      <c r="C4103" s="120"/>
      <c r="D4103" s="120"/>
      <c r="E4103" s="120"/>
      <c r="F4103" s="120"/>
      <c r="G4103" s="120"/>
      <c r="H4103" s="120"/>
      <c r="I4103" s="121"/>
      <c r="J4103" s="121"/>
      <c r="K4103" s="117"/>
    </row>
    <row r="4104" ht="15.75" customHeight="1">
      <c r="A4104" s="122"/>
      <c r="B4104" s="133"/>
      <c r="C4104" s="120"/>
      <c r="D4104" s="120"/>
      <c r="E4104" s="120"/>
      <c r="F4104" s="120"/>
      <c r="G4104" s="120"/>
      <c r="H4104" s="120"/>
      <c r="I4104" s="121"/>
      <c r="J4104" s="121"/>
      <c r="K4104" s="117"/>
    </row>
    <row r="4105" ht="15.75" customHeight="1">
      <c r="A4105" s="122"/>
      <c r="B4105" s="133"/>
      <c r="C4105" s="120"/>
      <c r="D4105" s="120"/>
      <c r="E4105" s="120"/>
      <c r="F4105" s="120"/>
      <c r="G4105" s="120"/>
      <c r="H4105" s="120"/>
      <c r="I4105" s="121"/>
      <c r="J4105" s="121"/>
      <c r="K4105" s="117"/>
    </row>
    <row r="4106" ht="15.75" customHeight="1">
      <c r="A4106" s="122"/>
      <c r="B4106" s="133"/>
      <c r="C4106" s="120"/>
      <c r="D4106" s="120"/>
      <c r="E4106" s="120"/>
      <c r="F4106" s="120"/>
      <c r="G4106" s="120"/>
      <c r="H4106" s="120"/>
      <c r="I4106" s="121"/>
      <c r="J4106" s="121"/>
      <c r="K4106" s="117"/>
    </row>
    <row r="4107" ht="15.75" customHeight="1">
      <c r="A4107" s="122"/>
      <c r="B4107" s="133"/>
      <c r="C4107" s="120"/>
      <c r="D4107" s="120"/>
      <c r="E4107" s="120"/>
      <c r="F4107" s="120"/>
      <c r="G4107" s="120"/>
      <c r="H4107" s="120"/>
      <c r="I4107" s="121"/>
      <c r="J4107" s="121"/>
      <c r="K4107" s="117"/>
    </row>
    <row r="4108" ht="15.75" customHeight="1">
      <c r="A4108" s="122"/>
      <c r="B4108" s="133"/>
      <c r="C4108" s="120"/>
      <c r="D4108" s="120"/>
      <c r="E4108" s="120"/>
      <c r="F4108" s="120"/>
      <c r="G4108" s="120"/>
      <c r="H4108" s="120"/>
      <c r="I4108" s="121"/>
      <c r="J4108" s="121"/>
      <c r="K4108" s="117"/>
    </row>
    <row r="4109" ht="15.75" customHeight="1">
      <c r="A4109" s="122"/>
      <c r="B4109" s="133"/>
      <c r="C4109" s="120"/>
      <c r="D4109" s="120"/>
      <c r="E4109" s="120"/>
      <c r="F4109" s="120"/>
      <c r="G4109" s="120"/>
      <c r="H4109" s="120"/>
      <c r="I4109" s="121"/>
      <c r="J4109" s="121"/>
      <c r="K4109" s="117"/>
    </row>
    <row r="4110" ht="15.75" customHeight="1">
      <c r="A4110" s="122"/>
      <c r="B4110" s="133"/>
      <c r="C4110" s="120"/>
      <c r="D4110" s="120"/>
      <c r="E4110" s="120"/>
      <c r="F4110" s="120"/>
      <c r="G4110" s="120"/>
      <c r="H4110" s="120"/>
      <c r="I4110" s="121"/>
      <c r="J4110" s="121"/>
      <c r="K4110" s="117"/>
    </row>
    <row r="4111" ht="15.75" customHeight="1">
      <c r="A4111" s="122"/>
      <c r="B4111" s="133"/>
      <c r="C4111" s="120"/>
      <c r="D4111" s="120"/>
      <c r="E4111" s="120"/>
      <c r="F4111" s="120"/>
      <c r="G4111" s="120"/>
      <c r="H4111" s="120"/>
      <c r="I4111" s="121"/>
      <c r="J4111" s="121"/>
      <c r="K4111" s="117"/>
    </row>
    <row r="4112" ht="15.75" customHeight="1">
      <c r="A4112" s="122"/>
      <c r="B4112" s="133"/>
      <c r="C4112" s="120"/>
      <c r="D4112" s="120"/>
      <c r="E4112" s="120"/>
      <c r="F4112" s="120"/>
      <c r="G4112" s="120"/>
      <c r="H4112" s="120"/>
      <c r="I4112" s="121"/>
      <c r="J4112" s="121"/>
      <c r="K4112" s="117"/>
    </row>
    <row r="4113" ht="15.75" customHeight="1">
      <c r="A4113" s="122"/>
      <c r="B4113" s="133"/>
      <c r="C4113" s="120"/>
      <c r="D4113" s="120"/>
      <c r="E4113" s="120"/>
      <c r="F4113" s="120"/>
      <c r="G4113" s="120"/>
      <c r="H4113" s="120"/>
      <c r="I4113" s="121"/>
      <c r="J4113" s="121"/>
      <c r="K4113" s="117"/>
    </row>
    <row r="4114" ht="15.75" customHeight="1">
      <c r="A4114" s="122"/>
      <c r="B4114" s="133"/>
      <c r="C4114" s="120"/>
      <c r="D4114" s="120"/>
      <c r="E4114" s="120"/>
      <c r="F4114" s="120"/>
      <c r="G4114" s="120"/>
      <c r="H4114" s="120"/>
      <c r="I4114" s="121"/>
      <c r="J4114" s="121"/>
      <c r="K4114" s="117"/>
    </row>
    <row r="4115" ht="15.75" customHeight="1">
      <c r="A4115" s="122"/>
      <c r="B4115" s="133"/>
      <c r="C4115" s="120"/>
      <c r="D4115" s="120"/>
      <c r="E4115" s="120"/>
      <c r="F4115" s="120"/>
      <c r="G4115" s="120"/>
      <c r="H4115" s="120"/>
      <c r="I4115" s="121"/>
      <c r="J4115" s="121"/>
      <c r="K4115" s="117"/>
    </row>
    <row r="4116" ht="15.75" customHeight="1">
      <c r="A4116" s="122"/>
      <c r="B4116" s="133"/>
      <c r="C4116" s="120"/>
      <c r="D4116" s="120"/>
      <c r="E4116" s="120"/>
      <c r="F4116" s="120"/>
      <c r="G4116" s="120"/>
      <c r="H4116" s="120"/>
      <c r="I4116" s="121"/>
      <c r="J4116" s="121"/>
      <c r="K4116" s="117"/>
    </row>
    <row r="4117" ht="15.75" customHeight="1">
      <c r="A4117" s="122"/>
      <c r="B4117" s="133"/>
      <c r="C4117" s="120"/>
      <c r="D4117" s="120"/>
      <c r="E4117" s="120"/>
      <c r="F4117" s="120"/>
      <c r="G4117" s="120"/>
      <c r="H4117" s="120"/>
      <c r="I4117" s="121"/>
      <c r="J4117" s="121"/>
      <c r="K4117" s="117"/>
    </row>
    <row r="4118" ht="15.75" customHeight="1">
      <c r="A4118" s="122"/>
      <c r="B4118" s="133"/>
      <c r="C4118" s="120"/>
      <c r="D4118" s="120"/>
      <c r="E4118" s="120"/>
      <c r="F4118" s="120"/>
      <c r="G4118" s="120"/>
      <c r="H4118" s="120"/>
      <c r="I4118" s="121"/>
      <c r="J4118" s="121"/>
      <c r="K4118" s="117"/>
    </row>
    <row r="4119" ht="15.75" customHeight="1">
      <c r="A4119" s="122"/>
      <c r="B4119" s="133"/>
      <c r="C4119" s="120"/>
      <c r="D4119" s="120"/>
      <c r="E4119" s="120"/>
      <c r="F4119" s="120"/>
      <c r="G4119" s="120"/>
      <c r="H4119" s="120"/>
      <c r="I4119" s="121"/>
      <c r="J4119" s="121"/>
      <c r="K4119" s="117"/>
    </row>
    <row r="4120" ht="15.75" customHeight="1">
      <c r="A4120" s="122"/>
      <c r="B4120" s="133"/>
      <c r="C4120" s="120"/>
      <c r="D4120" s="120"/>
      <c r="E4120" s="120"/>
      <c r="F4120" s="120"/>
      <c r="G4120" s="120"/>
      <c r="H4120" s="120"/>
      <c r="I4120" s="121"/>
      <c r="J4120" s="121"/>
      <c r="K4120" s="117"/>
    </row>
    <row r="4121" ht="15.75" customHeight="1">
      <c r="A4121" s="122"/>
      <c r="B4121" s="133"/>
      <c r="C4121" s="120"/>
      <c r="D4121" s="120"/>
      <c r="E4121" s="120"/>
      <c r="F4121" s="120"/>
      <c r="G4121" s="120"/>
      <c r="H4121" s="120"/>
      <c r="I4121" s="121"/>
      <c r="J4121" s="121"/>
      <c r="K4121" s="117"/>
    </row>
    <row r="4122" ht="15.75" customHeight="1">
      <c r="A4122" s="122"/>
      <c r="B4122" s="133"/>
      <c r="C4122" s="120"/>
      <c r="D4122" s="120"/>
      <c r="E4122" s="120"/>
      <c r="F4122" s="120"/>
      <c r="G4122" s="120"/>
      <c r="H4122" s="120"/>
      <c r="I4122" s="121"/>
      <c r="J4122" s="121"/>
      <c r="K4122" s="117"/>
    </row>
    <row r="4123" ht="15.75" customHeight="1">
      <c r="A4123" s="122"/>
      <c r="B4123" s="133"/>
      <c r="C4123" s="120"/>
      <c r="D4123" s="120"/>
      <c r="E4123" s="120"/>
      <c r="F4123" s="120"/>
      <c r="G4123" s="120"/>
      <c r="H4123" s="120"/>
      <c r="I4123" s="121"/>
      <c r="J4123" s="121"/>
      <c r="K4123" s="117"/>
    </row>
    <row r="4124" ht="15.75" customHeight="1">
      <c r="A4124" s="122"/>
      <c r="B4124" s="133"/>
      <c r="C4124" s="120"/>
      <c r="D4124" s="120"/>
      <c r="E4124" s="120"/>
      <c r="F4124" s="120"/>
      <c r="G4124" s="120"/>
      <c r="H4124" s="120"/>
      <c r="I4124" s="121"/>
      <c r="J4124" s="121"/>
      <c r="K4124" s="117"/>
    </row>
    <row r="4125" ht="15.75" customHeight="1">
      <c r="A4125" s="122"/>
      <c r="B4125" s="133"/>
      <c r="C4125" s="120"/>
      <c r="D4125" s="120"/>
      <c r="E4125" s="120"/>
      <c r="F4125" s="120"/>
      <c r="G4125" s="120"/>
      <c r="H4125" s="120"/>
      <c r="I4125" s="121"/>
      <c r="J4125" s="121"/>
      <c r="K4125" s="117"/>
    </row>
    <row r="4126" ht="15.75" customHeight="1">
      <c r="A4126" s="122"/>
      <c r="B4126" s="133"/>
      <c r="C4126" s="120"/>
      <c r="D4126" s="120"/>
      <c r="E4126" s="120"/>
      <c r="F4126" s="120"/>
      <c r="G4126" s="120"/>
      <c r="H4126" s="120"/>
      <c r="I4126" s="121"/>
      <c r="J4126" s="121"/>
      <c r="K4126" s="117"/>
    </row>
    <row r="4127" ht="15.75" customHeight="1">
      <c r="A4127" s="122"/>
      <c r="B4127" s="133"/>
      <c r="C4127" s="120"/>
      <c r="D4127" s="120"/>
      <c r="E4127" s="120"/>
      <c r="F4127" s="120"/>
      <c r="G4127" s="120"/>
      <c r="H4127" s="120"/>
      <c r="I4127" s="121"/>
      <c r="J4127" s="121"/>
      <c r="K4127" s="117"/>
    </row>
    <row r="4128" ht="15.75" customHeight="1">
      <c r="A4128" s="122"/>
      <c r="B4128" s="133"/>
      <c r="C4128" s="120"/>
      <c r="D4128" s="120"/>
      <c r="E4128" s="120"/>
      <c r="F4128" s="120"/>
      <c r="G4128" s="120"/>
      <c r="H4128" s="120"/>
      <c r="I4128" s="121"/>
      <c r="J4128" s="121"/>
      <c r="K4128" s="117"/>
    </row>
    <row r="4129" ht="15.75" customHeight="1">
      <c r="A4129" s="122"/>
      <c r="B4129" s="133"/>
      <c r="C4129" s="120"/>
      <c r="D4129" s="120"/>
      <c r="E4129" s="120"/>
      <c r="F4129" s="120"/>
      <c r="G4129" s="120"/>
      <c r="H4129" s="120"/>
      <c r="I4129" s="121"/>
      <c r="J4129" s="121"/>
      <c r="K4129" s="117"/>
    </row>
    <row r="4130" ht="15.75" customHeight="1">
      <c r="A4130" s="122"/>
      <c r="B4130" s="133"/>
      <c r="C4130" s="120"/>
      <c r="D4130" s="120"/>
      <c r="E4130" s="120"/>
      <c r="F4130" s="120"/>
      <c r="G4130" s="120"/>
      <c r="H4130" s="120"/>
      <c r="I4130" s="121"/>
      <c r="J4130" s="121"/>
      <c r="K4130" s="117"/>
    </row>
    <row r="4131" ht="15.75" customHeight="1">
      <c r="A4131" s="122"/>
      <c r="B4131" s="133"/>
      <c r="C4131" s="120"/>
      <c r="D4131" s="120"/>
      <c r="E4131" s="120"/>
      <c r="F4131" s="120"/>
      <c r="G4131" s="120"/>
      <c r="H4131" s="120"/>
      <c r="I4131" s="121"/>
      <c r="J4131" s="121"/>
      <c r="K4131" s="117"/>
    </row>
    <row r="4132" ht="15.75" customHeight="1">
      <c r="A4132" s="122"/>
      <c r="B4132" s="133"/>
      <c r="C4132" s="120"/>
      <c r="D4132" s="120"/>
      <c r="E4132" s="120"/>
      <c r="F4132" s="120"/>
      <c r="G4132" s="120"/>
      <c r="H4132" s="120"/>
      <c r="I4132" s="121"/>
      <c r="J4132" s="121"/>
      <c r="K4132" s="117"/>
    </row>
    <row r="4133" ht="15.75" customHeight="1">
      <c r="A4133" s="122"/>
      <c r="B4133" s="133"/>
      <c r="C4133" s="120"/>
      <c r="D4133" s="120"/>
      <c r="E4133" s="120"/>
      <c r="F4133" s="120"/>
      <c r="G4133" s="120"/>
      <c r="H4133" s="120"/>
      <c r="I4133" s="121"/>
      <c r="J4133" s="121"/>
      <c r="K4133" s="117"/>
    </row>
    <row r="4134" ht="15.75" customHeight="1">
      <c r="A4134" s="122"/>
      <c r="B4134" s="133"/>
      <c r="C4134" s="120"/>
      <c r="D4134" s="120"/>
      <c r="E4134" s="120"/>
      <c r="F4134" s="120"/>
      <c r="G4134" s="120"/>
      <c r="H4134" s="120"/>
      <c r="I4134" s="121"/>
      <c r="J4134" s="121"/>
      <c r="K4134" s="117"/>
    </row>
    <row r="4135" ht="15.75" customHeight="1">
      <c r="A4135" s="122"/>
      <c r="B4135" s="133"/>
      <c r="C4135" s="120"/>
      <c r="D4135" s="120"/>
      <c r="E4135" s="120"/>
      <c r="F4135" s="120"/>
      <c r="G4135" s="120"/>
      <c r="H4135" s="120"/>
      <c r="I4135" s="121"/>
      <c r="J4135" s="121"/>
      <c r="K4135" s="117"/>
    </row>
    <row r="4136" ht="15.75" customHeight="1">
      <c r="A4136" s="122"/>
      <c r="B4136" s="133"/>
      <c r="C4136" s="120"/>
      <c r="D4136" s="120"/>
      <c r="E4136" s="120"/>
      <c r="F4136" s="120"/>
      <c r="G4136" s="120"/>
      <c r="H4136" s="120"/>
      <c r="I4136" s="121"/>
      <c r="J4136" s="121"/>
      <c r="K4136" s="117"/>
    </row>
    <row r="4137" ht="15.75" customHeight="1">
      <c r="A4137" s="122"/>
      <c r="B4137" s="133"/>
      <c r="C4137" s="120"/>
      <c r="D4137" s="120"/>
      <c r="E4137" s="120"/>
      <c r="F4137" s="120"/>
      <c r="G4137" s="120"/>
      <c r="H4137" s="120"/>
      <c r="I4137" s="121"/>
      <c r="J4137" s="121"/>
      <c r="K4137" s="117"/>
    </row>
    <row r="4138" ht="15.75" customHeight="1">
      <c r="A4138" s="122"/>
      <c r="B4138" s="133"/>
      <c r="C4138" s="120"/>
      <c r="D4138" s="120"/>
      <c r="E4138" s="120"/>
      <c r="F4138" s="120"/>
      <c r="G4138" s="120"/>
      <c r="H4138" s="120"/>
      <c r="I4138" s="121"/>
      <c r="J4138" s="121"/>
      <c r="K4138" s="117"/>
    </row>
    <row r="4139" ht="15.75" customHeight="1">
      <c r="A4139" s="122"/>
      <c r="B4139" s="133"/>
      <c r="C4139" s="120"/>
      <c r="D4139" s="120"/>
      <c r="E4139" s="120"/>
      <c r="F4139" s="120"/>
      <c r="G4139" s="120"/>
      <c r="H4139" s="120"/>
      <c r="I4139" s="121"/>
      <c r="J4139" s="121"/>
      <c r="K4139" s="117"/>
    </row>
    <row r="4140" ht="15.75" customHeight="1">
      <c r="A4140" s="122"/>
      <c r="B4140" s="133"/>
      <c r="C4140" s="120"/>
      <c r="D4140" s="120"/>
      <c r="E4140" s="120"/>
      <c r="F4140" s="120"/>
      <c r="G4140" s="120"/>
      <c r="H4140" s="120"/>
      <c r="I4140" s="121"/>
      <c r="J4140" s="121"/>
      <c r="K4140" s="117"/>
    </row>
    <row r="4141" ht="15.75" customHeight="1">
      <c r="A4141" s="122"/>
      <c r="B4141" s="133"/>
      <c r="C4141" s="120"/>
      <c r="D4141" s="120"/>
      <c r="E4141" s="120"/>
      <c r="F4141" s="120"/>
      <c r="G4141" s="120"/>
      <c r="H4141" s="120"/>
      <c r="I4141" s="121"/>
      <c r="J4141" s="121"/>
      <c r="K4141" s="117"/>
    </row>
    <row r="4142" ht="15.75" customHeight="1">
      <c r="A4142" s="122"/>
      <c r="B4142" s="133"/>
      <c r="C4142" s="120"/>
      <c r="D4142" s="120"/>
      <c r="E4142" s="120"/>
      <c r="F4142" s="120"/>
      <c r="G4142" s="120"/>
      <c r="H4142" s="120"/>
      <c r="I4142" s="121"/>
      <c r="J4142" s="121"/>
      <c r="K4142" s="117"/>
    </row>
    <row r="4143" ht="15.75" customHeight="1">
      <c r="A4143" s="122"/>
      <c r="B4143" s="133"/>
      <c r="C4143" s="120"/>
      <c r="D4143" s="120"/>
      <c r="E4143" s="120"/>
      <c r="F4143" s="120"/>
      <c r="G4143" s="120"/>
      <c r="H4143" s="120"/>
      <c r="I4143" s="121"/>
      <c r="J4143" s="121"/>
      <c r="K4143" s="117"/>
    </row>
    <row r="4144" ht="15.75" customHeight="1">
      <c r="A4144" s="122"/>
      <c r="B4144" s="133"/>
      <c r="C4144" s="120"/>
      <c r="D4144" s="120"/>
      <c r="E4144" s="120"/>
      <c r="F4144" s="120"/>
      <c r="G4144" s="120"/>
      <c r="H4144" s="120"/>
      <c r="I4144" s="121"/>
      <c r="J4144" s="121"/>
      <c r="K4144" s="117"/>
    </row>
    <row r="4145" ht="15.75" customHeight="1">
      <c r="A4145" s="122"/>
      <c r="B4145" s="133"/>
      <c r="C4145" s="120"/>
      <c r="D4145" s="120"/>
      <c r="E4145" s="120"/>
      <c r="F4145" s="120"/>
      <c r="G4145" s="120"/>
      <c r="H4145" s="120"/>
      <c r="I4145" s="121"/>
      <c r="J4145" s="121"/>
      <c r="K4145" s="117"/>
    </row>
    <row r="4146" ht="15.75" customHeight="1">
      <c r="A4146" s="122"/>
      <c r="B4146" s="133"/>
      <c r="C4146" s="120"/>
      <c r="D4146" s="120"/>
      <c r="E4146" s="120"/>
      <c r="F4146" s="120"/>
      <c r="G4146" s="120"/>
      <c r="H4146" s="120"/>
      <c r="I4146" s="121"/>
      <c r="J4146" s="121"/>
      <c r="K4146" s="117"/>
    </row>
    <row r="4147" ht="15.75" customHeight="1">
      <c r="A4147" s="122"/>
      <c r="B4147" s="133"/>
      <c r="C4147" s="120"/>
      <c r="D4147" s="120"/>
      <c r="E4147" s="120"/>
      <c r="F4147" s="120"/>
      <c r="G4147" s="120"/>
      <c r="H4147" s="120"/>
      <c r="I4147" s="121"/>
      <c r="J4147" s="121"/>
      <c r="K4147" s="117"/>
    </row>
    <row r="4148" ht="15.75" customHeight="1">
      <c r="A4148" s="122"/>
      <c r="B4148" s="133"/>
      <c r="C4148" s="120"/>
      <c r="D4148" s="120"/>
      <c r="E4148" s="120"/>
      <c r="F4148" s="120"/>
      <c r="G4148" s="120"/>
      <c r="H4148" s="120"/>
      <c r="I4148" s="121"/>
      <c r="J4148" s="121"/>
      <c r="K4148" s="117"/>
    </row>
    <row r="4149" ht="15.75" customHeight="1">
      <c r="A4149" s="122"/>
      <c r="B4149" s="133"/>
      <c r="C4149" s="120"/>
      <c r="D4149" s="120"/>
      <c r="E4149" s="120"/>
      <c r="F4149" s="120"/>
      <c r="G4149" s="120"/>
      <c r="H4149" s="120"/>
      <c r="I4149" s="121"/>
      <c r="J4149" s="121"/>
      <c r="K4149" s="117"/>
    </row>
    <row r="4150" ht="15.75" customHeight="1">
      <c r="A4150" s="122"/>
      <c r="B4150" s="133"/>
      <c r="C4150" s="120"/>
      <c r="D4150" s="120"/>
      <c r="E4150" s="120"/>
      <c r="F4150" s="120"/>
      <c r="G4150" s="120"/>
      <c r="H4150" s="120"/>
      <c r="I4150" s="121"/>
      <c r="J4150" s="121"/>
      <c r="K4150" s="117"/>
    </row>
    <row r="4151" ht="15.75" customHeight="1">
      <c r="A4151" s="122"/>
      <c r="B4151" s="133"/>
      <c r="C4151" s="120"/>
      <c r="D4151" s="120"/>
      <c r="E4151" s="120"/>
      <c r="F4151" s="120"/>
      <c r="G4151" s="120"/>
      <c r="H4151" s="120"/>
      <c r="I4151" s="121"/>
      <c r="J4151" s="121"/>
      <c r="K4151" s="117"/>
    </row>
    <row r="4152" ht="15.75" customHeight="1">
      <c r="A4152" s="122"/>
      <c r="B4152" s="133"/>
      <c r="C4152" s="120"/>
      <c r="D4152" s="120"/>
      <c r="E4152" s="120"/>
      <c r="F4152" s="120"/>
      <c r="G4152" s="120"/>
      <c r="H4152" s="120"/>
      <c r="I4152" s="121"/>
      <c r="J4152" s="121"/>
      <c r="K4152" s="117"/>
    </row>
    <row r="4153" ht="15.75" customHeight="1">
      <c r="A4153" s="122"/>
      <c r="B4153" s="133"/>
      <c r="C4153" s="120"/>
      <c r="D4153" s="120"/>
      <c r="E4153" s="120"/>
      <c r="F4153" s="120"/>
      <c r="G4153" s="120"/>
      <c r="H4153" s="120"/>
      <c r="I4153" s="121"/>
      <c r="J4153" s="121"/>
      <c r="K4153" s="117"/>
    </row>
    <row r="4154" ht="15.75" customHeight="1">
      <c r="A4154" s="122"/>
      <c r="B4154" s="133"/>
      <c r="C4154" s="120"/>
      <c r="D4154" s="120"/>
      <c r="E4154" s="120"/>
      <c r="F4154" s="120"/>
      <c r="G4154" s="120"/>
      <c r="H4154" s="120"/>
      <c r="I4154" s="121"/>
      <c r="J4154" s="121"/>
      <c r="K4154" s="117"/>
    </row>
    <row r="4155" ht="15.75" customHeight="1">
      <c r="A4155" s="122"/>
      <c r="B4155" s="133"/>
      <c r="C4155" s="120"/>
      <c r="D4155" s="120"/>
      <c r="E4155" s="120"/>
      <c r="F4155" s="120"/>
      <c r="G4155" s="120"/>
      <c r="H4155" s="120"/>
      <c r="I4155" s="121"/>
      <c r="J4155" s="121"/>
      <c r="K4155" s="117"/>
    </row>
    <row r="4156" ht="15.75" customHeight="1">
      <c r="A4156" s="122"/>
      <c r="B4156" s="133"/>
      <c r="C4156" s="120"/>
      <c r="D4156" s="120"/>
      <c r="E4156" s="120"/>
      <c r="F4156" s="120"/>
      <c r="G4156" s="120"/>
      <c r="H4156" s="120"/>
      <c r="I4156" s="121"/>
      <c r="J4156" s="121"/>
      <c r="K4156" s="117"/>
    </row>
    <row r="4157" ht="15.75" customHeight="1">
      <c r="A4157" s="122"/>
      <c r="B4157" s="133"/>
      <c r="C4157" s="120"/>
      <c r="D4157" s="120"/>
      <c r="E4157" s="120"/>
      <c r="F4157" s="120"/>
      <c r="G4157" s="120"/>
      <c r="H4157" s="120"/>
      <c r="I4157" s="121"/>
      <c r="J4157" s="121"/>
      <c r="K4157" s="117"/>
    </row>
    <row r="4158" ht="15.75" customHeight="1">
      <c r="A4158" s="122"/>
      <c r="B4158" s="133"/>
      <c r="C4158" s="120"/>
      <c r="D4158" s="120"/>
      <c r="E4158" s="120"/>
      <c r="F4158" s="120"/>
      <c r="G4158" s="120"/>
      <c r="H4158" s="120"/>
      <c r="I4158" s="121"/>
      <c r="J4158" s="121"/>
      <c r="K4158" s="117"/>
    </row>
    <row r="4159" ht="15.75" customHeight="1">
      <c r="A4159" s="122"/>
      <c r="B4159" s="133"/>
      <c r="C4159" s="120"/>
      <c r="D4159" s="120"/>
      <c r="E4159" s="120"/>
      <c r="F4159" s="120"/>
      <c r="G4159" s="120"/>
      <c r="H4159" s="120"/>
      <c r="I4159" s="121"/>
      <c r="J4159" s="121"/>
      <c r="K4159" s="117"/>
    </row>
    <row r="4160" ht="15.75" customHeight="1">
      <c r="A4160" s="122"/>
      <c r="B4160" s="133"/>
      <c r="C4160" s="120"/>
      <c r="D4160" s="120"/>
      <c r="E4160" s="120"/>
      <c r="F4160" s="120"/>
      <c r="G4160" s="120"/>
      <c r="H4160" s="120"/>
      <c r="I4160" s="121"/>
      <c r="J4160" s="121"/>
      <c r="K4160" s="117"/>
    </row>
    <row r="4161" ht="15.75" customHeight="1">
      <c r="A4161" s="122"/>
      <c r="B4161" s="133"/>
      <c r="C4161" s="120"/>
      <c r="D4161" s="120"/>
      <c r="E4161" s="120"/>
      <c r="F4161" s="120"/>
      <c r="G4161" s="120"/>
      <c r="H4161" s="120"/>
      <c r="I4161" s="121"/>
      <c r="J4161" s="121"/>
      <c r="K4161" s="117"/>
    </row>
    <row r="4162" ht="15.75" customHeight="1">
      <c r="A4162" s="122"/>
      <c r="B4162" s="133"/>
      <c r="C4162" s="120"/>
      <c r="D4162" s="120"/>
      <c r="E4162" s="120"/>
      <c r="F4162" s="120"/>
      <c r="G4162" s="120"/>
      <c r="H4162" s="120"/>
      <c r="I4162" s="121"/>
      <c r="J4162" s="121"/>
      <c r="K4162" s="117"/>
    </row>
    <row r="4163" ht="15.75" customHeight="1">
      <c r="A4163" s="122"/>
      <c r="B4163" s="133"/>
      <c r="C4163" s="120"/>
      <c r="D4163" s="120"/>
      <c r="E4163" s="120"/>
      <c r="F4163" s="120"/>
      <c r="G4163" s="120"/>
      <c r="H4163" s="120"/>
      <c r="I4163" s="121"/>
      <c r="J4163" s="121"/>
      <c r="K4163" s="117"/>
    </row>
    <row r="4164" ht="15.75" customHeight="1">
      <c r="A4164" s="122"/>
      <c r="B4164" s="133"/>
      <c r="C4164" s="120"/>
      <c r="D4164" s="120"/>
      <c r="E4164" s="120"/>
      <c r="F4164" s="120"/>
      <c r="G4164" s="120"/>
      <c r="H4164" s="120"/>
      <c r="I4164" s="121"/>
      <c r="J4164" s="121"/>
      <c r="K4164" s="117"/>
    </row>
    <row r="4165" ht="15.75" customHeight="1">
      <c r="A4165" s="122"/>
      <c r="B4165" s="133"/>
      <c r="C4165" s="120"/>
      <c r="D4165" s="120"/>
      <c r="E4165" s="120"/>
      <c r="F4165" s="120"/>
      <c r="G4165" s="120"/>
      <c r="H4165" s="120"/>
      <c r="I4165" s="121"/>
      <c r="J4165" s="121"/>
      <c r="K4165" s="117"/>
    </row>
    <row r="4166" ht="15.75" customHeight="1">
      <c r="A4166" s="122"/>
      <c r="B4166" s="133"/>
      <c r="C4166" s="120"/>
      <c r="D4166" s="120"/>
      <c r="E4166" s="120"/>
      <c r="F4166" s="120"/>
      <c r="G4166" s="120"/>
      <c r="H4166" s="120"/>
      <c r="I4166" s="121"/>
      <c r="J4166" s="121"/>
      <c r="K4166" s="117"/>
    </row>
    <row r="4167" ht="15.75" customHeight="1">
      <c r="A4167" s="122"/>
      <c r="B4167" s="133"/>
      <c r="C4167" s="120"/>
      <c r="D4167" s="120"/>
      <c r="E4167" s="120"/>
      <c r="F4167" s="120"/>
      <c r="G4167" s="120"/>
      <c r="H4167" s="120"/>
      <c r="I4167" s="121"/>
      <c r="J4167" s="121"/>
      <c r="K4167" s="117"/>
    </row>
    <row r="4168" ht="15.75" customHeight="1">
      <c r="A4168" s="122"/>
      <c r="B4168" s="133"/>
      <c r="C4168" s="120"/>
      <c r="D4168" s="120"/>
      <c r="E4168" s="120"/>
      <c r="F4168" s="120"/>
      <c r="G4168" s="120"/>
      <c r="H4168" s="120"/>
      <c r="I4168" s="121"/>
      <c r="J4168" s="121"/>
      <c r="K4168" s="117"/>
    </row>
    <row r="4169" ht="15.75" customHeight="1">
      <c r="A4169" s="122"/>
      <c r="B4169" s="133"/>
      <c r="C4169" s="120"/>
      <c r="D4169" s="120"/>
      <c r="E4169" s="120"/>
      <c r="F4169" s="120"/>
      <c r="G4169" s="120"/>
      <c r="H4169" s="120"/>
      <c r="I4169" s="121"/>
      <c r="J4169" s="121"/>
      <c r="K4169" s="117"/>
    </row>
    <row r="4170" ht="15.75" customHeight="1">
      <c r="A4170" s="122"/>
      <c r="B4170" s="133"/>
      <c r="C4170" s="120"/>
      <c r="D4170" s="120"/>
      <c r="E4170" s="120"/>
      <c r="F4170" s="120"/>
      <c r="G4170" s="120"/>
      <c r="H4170" s="120"/>
      <c r="I4170" s="121"/>
      <c r="J4170" s="121"/>
      <c r="K4170" s="117"/>
    </row>
    <row r="4171" ht="15.75" customHeight="1">
      <c r="A4171" s="122"/>
      <c r="B4171" s="133"/>
      <c r="C4171" s="120"/>
      <c r="D4171" s="120"/>
      <c r="E4171" s="120"/>
      <c r="F4171" s="120"/>
      <c r="G4171" s="120"/>
      <c r="H4171" s="120"/>
      <c r="I4171" s="121"/>
      <c r="J4171" s="121"/>
      <c r="K4171" s="117"/>
    </row>
    <row r="4172" ht="15.75" customHeight="1">
      <c r="A4172" s="122"/>
      <c r="B4172" s="133"/>
      <c r="C4172" s="120"/>
      <c r="D4172" s="120"/>
      <c r="E4172" s="120"/>
      <c r="F4172" s="120"/>
      <c r="G4172" s="120"/>
      <c r="H4172" s="120"/>
      <c r="I4172" s="121"/>
      <c r="J4172" s="121"/>
      <c r="K4172" s="117"/>
    </row>
    <row r="4173" ht="15.75" customHeight="1">
      <c r="A4173" s="122"/>
      <c r="B4173" s="133"/>
      <c r="C4173" s="120"/>
      <c r="D4173" s="120"/>
      <c r="E4173" s="120"/>
      <c r="F4173" s="120"/>
      <c r="G4173" s="120"/>
      <c r="H4173" s="120"/>
      <c r="I4173" s="121"/>
      <c r="J4173" s="121"/>
      <c r="K4173" s="117"/>
    </row>
    <row r="4174" ht="15.75" customHeight="1">
      <c r="A4174" s="122"/>
      <c r="B4174" s="133"/>
      <c r="C4174" s="120"/>
      <c r="D4174" s="120"/>
      <c r="E4174" s="120"/>
      <c r="F4174" s="120"/>
      <c r="G4174" s="120"/>
      <c r="H4174" s="120"/>
      <c r="I4174" s="121"/>
      <c r="J4174" s="121"/>
      <c r="K4174" s="117"/>
    </row>
    <row r="4175" ht="15.75" customHeight="1">
      <c r="A4175" s="122"/>
      <c r="B4175" s="133"/>
      <c r="C4175" s="120"/>
      <c r="D4175" s="120"/>
      <c r="E4175" s="120"/>
      <c r="F4175" s="120"/>
      <c r="G4175" s="120"/>
      <c r="H4175" s="120"/>
      <c r="I4175" s="121"/>
      <c r="J4175" s="121"/>
      <c r="K4175" s="117"/>
    </row>
    <row r="4176" ht="15.75" customHeight="1">
      <c r="A4176" s="122"/>
      <c r="B4176" s="133"/>
      <c r="C4176" s="120"/>
      <c r="D4176" s="120"/>
      <c r="E4176" s="120"/>
      <c r="F4176" s="120"/>
      <c r="G4176" s="120"/>
      <c r="H4176" s="120"/>
      <c r="I4176" s="121"/>
      <c r="J4176" s="121"/>
      <c r="K4176" s="117"/>
    </row>
    <row r="4177" ht="15.75" customHeight="1">
      <c r="A4177" s="122"/>
      <c r="B4177" s="133"/>
      <c r="C4177" s="120"/>
      <c r="D4177" s="120"/>
      <c r="E4177" s="120"/>
      <c r="F4177" s="120"/>
      <c r="G4177" s="120"/>
      <c r="H4177" s="120"/>
      <c r="I4177" s="121"/>
      <c r="J4177" s="121"/>
      <c r="K4177" s="117"/>
    </row>
    <row r="4178" ht="15.75" customHeight="1">
      <c r="A4178" s="122"/>
      <c r="B4178" s="133"/>
      <c r="C4178" s="120"/>
      <c r="D4178" s="120"/>
      <c r="E4178" s="120"/>
      <c r="F4178" s="120"/>
      <c r="G4178" s="120"/>
      <c r="H4178" s="120"/>
      <c r="I4178" s="121"/>
      <c r="J4178" s="121"/>
      <c r="K4178" s="117"/>
    </row>
    <row r="4179" ht="15.75" customHeight="1">
      <c r="A4179" s="122"/>
      <c r="B4179" s="133"/>
      <c r="C4179" s="120"/>
      <c r="D4179" s="120"/>
      <c r="E4179" s="120"/>
      <c r="F4179" s="120"/>
      <c r="G4179" s="120"/>
      <c r="H4179" s="120"/>
      <c r="I4179" s="121"/>
      <c r="J4179" s="121"/>
      <c r="K4179" s="117"/>
    </row>
    <row r="4180" ht="15.75" customHeight="1">
      <c r="A4180" s="122"/>
      <c r="B4180" s="133"/>
      <c r="C4180" s="120"/>
      <c r="D4180" s="120"/>
      <c r="E4180" s="120"/>
      <c r="F4180" s="120"/>
      <c r="G4180" s="120"/>
      <c r="H4180" s="120"/>
      <c r="I4180" s="121"/>
      <c r="J4180" s="121"/>
      <c r="K4180" s="117"/>
    </row>
    <row r="4181" ht="15.75" customHeight="1">
      <c r="A4181" s="122"/>
      <c r="B4181" s="133"/>
      <c r="C4181" s="120"/>
      <c r="D4181" s="120"/>
      <c r="E4181" s="120"/>
      <c r="F4181" s="120"/>
      <c r="G4181" s="120"/>
      <c r="H4181" s="120"/>
      <c r="I4181" s="121"/>
      <c r="J4181" s="121"/>
      <c r="K4181" s="117"/>
    </row>
    <row r="4182" ht="15.75" customHeight="1">
      <c r="A4182" s="122"/>
      <c r="B4182" s="133"/>
      <c r="C4182" s="120"/>
      <c r="D4182" s="120"/>
      <c r="E4182" s="120"/>
      <c r="F4182" s="120"/>
      <c r="G4182" s="120"/>
      <c r="H4182" s="120"/>
      <c r="I4182" s="121"/>
      <c r="J4182" s="121"/>
      <c r="K4182" s="117"/>
    </row>
    <row r="4183" ht="15.75" customHeight="1">
      <c r="A4183" s="122"/>
      <c r="B4183" s="133"/>
      <c r="C4183" s="120"/>
      <c r="D4183" s="120"/>
      <c r="E4183" s="120"/>
      <c r="F4183" s="120"/>
      <c r="G4183" s="120"/>
      <c r="H4183" s="120"/>
      <c r="I4183" s="121"/>
      <c r="J4183" s="121"/>
      <c r="K4183" s="117"/>
    </row>
    <row r="4184" ht="15.75" customHeight="1">
      <c r="A4184" s="122"/>
      <c r="B4184" s="133"/>
      <c r="C4184" s="120"/>
      <c r="D4184" s="120"/>
      <c r="E4184" s="120"/>
      <c r="F4184" s="120"/>
      <c r="G4184" s="120"/>
      <c r="H4184" s="120"/>
      <c r="I4184" s="121"/>
      <c r="J4184" s="121"/>
      <c r="K4184" s="117"/>
    </row>
    <row r="4185" ht="15.75" customHeight="1">
      <c r="A4185" s="122"/>
      <c r="B4185" s="133"/>
      <c r="C4185" s="120"/>
      <c r="D4185" s="120"/>
      <c r="E4185" s="120"/>
      <c r="F4185" s="120"/>
      <c r="G4185" s="120"/>
      <c r="H4185" s="120"/>
      <c r="I4185" s="121"/>
      <c r="J4185" s="121"/>
      <c r="K4185" s="117"/>
    </row>
    <row r="4186" ht="15.75" customHeight="1">
      <c r="A4186" s="122"/>
      <c r="B4186" s="133"/>
      <c r="C4186" s="120"/>
      <c r="D4186" s="120"/>
      <c r="E4186" s="120"/>
      <c r="F4186" s="120"/>
      <c r="G4186" s="120"/>
      <c r="H4186" s="120"/>
      <c r="I4186" s="121"/>
      <c r="J4186" s="121"/>
      <c r="K4186" s="117"/>
    </row>
    <row r="4187" ht="15.75" customHeight="1">
      <c r="A4187" s="122"/>
      <c r="B4187" s="133"/>
      <c r="C4187" s="120"/>
      <c r="D4187" s="120"/>
      <c r="E4187" s="120"/>
      <c r="F4187" s="120"/>
      <c r="G4187" s="120"/>
      <c r="H4187" s="120"/>
      <c r="I4187" s="121"/>
      <c r="J4187" s="121"/>
      <c r="K4187" s="117"/>
    </row>
    <row r="4188" ht="15.75" customHeight="1">
      <c r="A4188" s="122"/>
      <c r="B4188" s="133"/>
      <c r="C4188" s="120"/>
      <c r="D4188" s="120"/>
      <c r="E4188" s="120"/>
      <c r="F4188" s="120"/>
      <c r="G4188" s="120"/>
      <c r="H4188" s="120"/>
      <c r="I4188" s="121"/>
      <c r="J4188" s="121"/>
      <c r="K4188" s="117"/>
    </row>
    <row r="4189" ht="15.75" customHeight="1">
      <c r="A4189" s="122"/>
      <c r="B4189" s="133"/>
      <c r="C4189" s="120"/>
      <c r="D4189" s="120"/>
      <c r="E4189" s="120"/>
      <c r="F4189" s="120"/>
      <c r="G4189" s="120"/>
      <c r="H4189" s="120"/>
      <c r="I4189" s="121"/>
      <c r="J4189" s="121"/>
      <c r="K4189" s="117"/>
    </row>
    <row r="4190" ht="15.75" customHeight="1">
      <c r="A4190" s="122"/>
      <c r="B4190" s="133"/>
      <c r="C4190" s="120"/>
      <c r="D4190" s="120"/>
      <c r="E4190" s="120"/>
      <c r="F4190" s="120"/>
      <c r="G4190" s="120"/>
      <c r="H4190" s="120"/>
      <c r="I4190" s="121"/>
      <c r="J4190" s="121"/>
      <c r="K4190" s="117"/>
    </row>
    <row r="4191" ht="15.75" customHeight="1">
      <c r="A4191" s="122"/>
      <c r="B4191" s="133"/>
      <c r="C4191" s="120"/>
      <c r="D4191" s="120"/>
      <c r="E4191" s="120"/>
      <c r="F4191" s="120"/>
      <c r="G4191" s="120"/>
      <c r="H4191" s="120"/>
      <c r="I4191" s="121"/>
      <c r="J4191" s="121"/>
      <c r="K4191" s="117"/>
    </row>
    <row r="4192" ht="15.75" customHeight="1">
      <c r="A4192" s="122"/>
      <c r="B4192" s="133"/>
      <c r="C4192" s="120"/>
      <c r="D4192" s="120"/>
      <c r="E4192" s="120"/>
      <c r="F4192" s="120"/>
      <c r="G4192" s="120"/>
      <c r="H4192" s="120"/>
      <c r="I4192" s="121"/>
      <c r="J4192" s="121"/>
      <c r="K4192" s="117"/>
    </row>
    <row r="4193" ht="15.75" customHeight="1">
      <c r="A4193" s="122"/>
      <c r="B4193" s="133"/>
      <c r="C4193" s="120"/>
      <c r="D4193" s="120"/>
      <c r="E4193" s="120"/>
      <c r="F4193" s="120"/>
      <c r="G4193" s="120"/>
      <c r="H4193" s="120"/>
      <c r="I4193" s="121"/>
      <c r="J4193" s="121"/>
      <c r="K4193" s="117"/>
    </row>
    <row r="4194" ht="15.75" customHeight="1">
      <c r="A4194" s="122"/>
      <c r="B4194" s="133"/>
      <c r="C4194" s="120"/>
      <c r="D4194" s="120"/>
      <c r="E4194" s="120"/>
      <c r="F4194" s="120"/>
      <c r="G4194" s="120"/>
      <c r="H4194" s="120"/>
      <c r="I4194" s="121"/>
      <c r="J4194" s="121"/>
      <c r="K4194" s="117"/>
    </row>
    <row r="4195" ht="15.75" customHeight="1">
      <c r="A4195" s="122"/>
      <c r="B4195" s="133"/>
      <c r="C4195" s="120"/>
      <c r="D4195" s="120"/>
      <c r="E4195" s="120"/>
      <c r="F4195" s="120"/>
      <c r="G4195" s="120"/>
      <c r="H4195" s="120"/>
      <c r="I4195" s="121"/>
      <c r="J4195" s="121"/>
      <c r="K4195" s="117"/>
    </row>
    <row r="4196" ht="15.75" customHeight="1">
      <c r="A4196" s="122"/>
      <c r="B4196" s="133"/>
      <c r="C4196" s="120"/>
      <c r="D4196" s="120"/>
      <c r="E4196" s="120"/>
      <c r="F4196" s="120"/>
      <c r="G4196" s="120"/>
      <c r="H4196" s="120"/>
      <c r="I4196" s="121"/>
      <c r="J4196" s="121"/>
      <c r="K4196" s="117"/>
    </row>
    <row r="4197" ht="15.75" customHeight="1">
      <c r="A4197" s="122"/>
      <c r="B4197" s="133"/>
      <c r="C4197" s="120"/>
      <c r="D4197" s="120"/>
      <c r="E4197" s="120"/>
      <c r="F4197" s="120"/>
      <c r="G4197" s="120"/>
      <c r="H4197" s="120"/>
      <c r="I4197" s="121"/>
      <c r="J4197" s="121"/>
      <c r="K4197" s="117"/>
    </row>
    <row r="4198" ht="15.75" customHeight="1">
      <c r="A4198" s="122"/>
      <c r="B4198" s="133"/>
      <c r="C4198" s="120"/>
      <c r="D4198" s="120"/>
      <c r="E4198" s="120"/>
      <c r="F4198" s="120"/>
      <c r="G4198" s="120"/>
      <c r="H4198" s="120"/>
      <c r="I4198" s="121"/>
      <c r="J4198" s="121"/>
      <c r="K4198" s="117"/>
    </row>
    <row r="4199" ht="15.75" customHeight="1">
      <c r="A4199" s="122"/>
      <c r="B4199" s="133"/>
      <c r="C4199" s="120"/>
      <c r="D4199" s="120"/>
      <c r="E4199" s="120"/>
      <c r="F4199" s="120"/>
      <c r="G4199" s="120"/>
      <c r="H4199" s="120"/>
      <c r="I4199" s="121"/>
      <c r="J4199" s="121"/>
      <c r="K4199" s="117"/>
    </row>
    <row r="4200" ht="15.75" customHeight="1">
      <c r="A4200" s="122"/>
      <c r="B4200" s="133"/>
      <c r="C4200" s="120"/>
      <c r="D4200" s="120"/>
      <c r="E4200" s="120"/>
      <c r="F4200" s="120"/>
      <c r="G4200" s="120"/>
      <c r="H4200" s="120"/>
      <c r="I4200" s="121"/>
      <c r="J4200" s="121"/>
      <c r="K4200" s="117"/>
    </row>
    <row r="4201" ht="15.75" customHeight="1">
      <c r="A4201" s="122"/>
      <c r="B4201" s="133"/>
      <c r="C4201" s="120"/>
      <c r="D4201" s="120"/>
      <c r="E4201" s="120"/>
      <c r="F4201" s="120"/>
      <c r="G4201" s="120"/>
      <c r="H4201" s="120"/>
      <c r="I4201" s="121"/>
      <c r="J4201" s="121"/>
      <c r="K4201" s="117"/>
    </row>
    <row r="4202" ht="15.75" customHeight="1">
      <c r="A4202" s="122"/>
      <c r="B4202" s="133"/>
      <c r="C4202" s="120"/>
      <c r="D4202" s="120"/>
      <c r="E4202" s="120"/>
      <c r="F4202" s="120"/>
      <c r="G4202" s="120"/>
      <c r="H4202" s="120"/>
      <c r="I4202" s="121"/>
      <c r="J4202" s="121"/>
      <c r="K4202" s="117"/>
    </row>
    <row r="4203" ht="15.75" customHeight="1">
      <c r="A4203" s="122"/>
      <c r="B4203" s="133"/>
      <c r="C4203" s="120"/>
      <c r="D4203" s="120"/>
      <c r="E4203" s="120"/>
      <c r="F4203" s="120"/>
      <c r="G4203" s="120"/>
      <c r="H4203" s="120"/>
      <c r="I4203" s="121"/>
      <c r="J4203" s="121"/>
      <c r="K4203" s="117"/>
    </row>
    <row r="4204" ht="15.75" customHeight="1">
      <c r="A4204" s="122"/>
      <c r="B4204" s="133"/>
      <c r="C4204" s="120"/>
      <c r="D4204" s="120"/>
      <c r="E4204" s="120"/>
      <c r="F4204" s="120"/>
      <c r="G4204" s="120"/>
      <c r="H4204" s="120"/>
      <c r="I4204" s="121"/>
      <c r="J4204" s="121"/>
      <c r="K4204" s="117"/>
    </row>
    <row r="4205" ht="15.75" customHeight="1">
      <c r="A4205" s="122"/>
      <c r="B4205" s="133"/>
      <c r="C4205" s="120"/>
      <c r="D4205" s="120"/>
      <c r="E4205" s="120"/>
      <c r="F4205" s="120"/>
      <c r="G4205" s="120"/>
      <c r="H4205" s="120"/>
      <c r="I4205" s="121"/>
      <c r="J4205" s="121"/>
      <c r="K4205" s="117"/>
    </row>
    <row r="4206" ht="15.75" customHeight="1">
      <c r="A4206" s="122"/>
      <c r="B4206" s="133"/>
      <c r="C4206" s="120"/>
      <c r="D4206" s="120"/>
      <c r="E4206" s="120"/>
      <c r="F4206" s="120"/>
      <c r="G4206" s="120"/>
      <c r="H4206" s="120"/>
      <c r="I4206" s="121"/>
      <c r="J4206" s="121"/>
      <c r="K4206" s="117"/>
    </row>
    <row r="4207" ht="15.75" customHeight="1">
      <c r="A4207" s="122"/>
      <c r="B4207" s="133"/>
      <c r="C4207" s="120"/>
      <c r="D4207" s="120"/>
      <c r="E4207" s="120"/>
      <c r="F4207" s="120"/>
      <c r="G4207" s="120"/>
      <c r="H4207" s="120"/>
      <c r="I4207" s="121"/>
      <c r="J4207" s="121"/>
      <c r="K4207" s="117"/>
    </row>
    <row r="4208" ht="15.75" customHeight="1">
      <c r="A4208" s="122"/>
      <c r="B4208" s="133"/>
      <c r="C4208" s="120"/>
      <c r="D4208" s="120"/>
      <c r="E4208" s="120"/>
      <c r="F4208" s="120"/>
      <c r="G4208" s="120"/>
      <c r="H4208" s="120"/>
      <c r="I4208" s="121"/>
      <c r="J4208" s="121"/>
      <c r="K4208" s="117"/>
    </row>
    <row r="4209" ht="15.75" customHeight="1">
      <c r="A4209" s="122"/>
      <c r="B4209" s="133"/>
      <c r="C4209" s="120"/>
      <c r="D4209" s="120"/>
      <c r="E4209" s="120"/>
      <c r="F4209" s="120"/>
      <c r="G4209" s="120"/>
      <c r="H4209" s="120"/>
      <c r="I4209" s="121"/>
      <c r="J4209" s="121"/>
      <c r="K4209" s="117"/>
    </row>
    <row r="4210" ht="15.75" customHeight="1">
      <c r="A4210" s="122"/>
      <c r="B4210" s="133"/>
      <c r="C4210" s="120"/>
      <c r="D4210" s="120"/>
      <c r="E4210" s="120"/>
      <c r="F4210" s="120"/>
      <c r="G4210" s="120"/>
      <c r="H4210" s="120"/>
      <c r="I4210" s="121"/>
      <c r="J4210" s="121"/>
      <c r="K4210" s="117"/>
    </row>
    <row r="4211" ht="15.75" customHeight="1">
      <c r="A4211" s="122"/>
      <c r="B4211" s="133"/>
      <c r="C4211" s="120"/>
      <c r="D4211" s="120"/>
      <c r="E4211" s="120"/>
      <c r="F4211" s="120"/>
      <c r="G4211" s="120"/>
      <c r="H4211" s="120"/>
      <c r="I4211" s="121"/>
      <c r="J4211" s="121"/>
      <c r="K4211" s="117"/>
    </row>
    <row r="4212" ht="15.75" customHeight="1">
      <c r="A4212" s="122"/>
      <c r="B4212" s="133"/>
      <c r="C4212" s="120"/>
      <c r="D4212" s="120"/>
      <c r="E4212" s="120"/>
      <c r="F4212" s="120"/>
      <c r="G4212" s="120"/>
      <c r="H4212" s="120"/>
      <c r="I4212" s="121"/>
      <c r="J4212" s="121"/>
      <c r="K4212" s="117"/>
    </row>
    <row r="4213" ht="15.75" customHeight="1">
      <c r="A4213" s="122"/>
      <c r="B4213" s="133"/>
      <c r="C4213" s="120"/>
      <c r="D4213" s="120"/>
      <c r="E4213" s="120"/>
      <c r="F4213" s="120"/>
      <c r="G4213" s="120"/>
      <c r="H4213" s="120"/>
      <c r="I4213" s="121"/>
      <c r="J4213" s="121"/>
      <c r="K4213" s="117"/>
    </row>
    <row r="4214" ht="15.75" customHeight="1">
      <c r="A4214" s="122"/>
      <c r="B4214" s="133"/>
      <c r="C4214" s="120"/>
      <c r="D4214" s="120"/>
      <c r="E4214" s="120"/>
      <c r="F4214" s="120"/>
      <c r="G4214" s="120"/>
      <c r="H4214" s="120"/>
      <c r="I4214" s="121"/>
      <c r="J4214" s="121"/>
      <c r="K4214" s="117"/>
    </row>
    <row r="4215" ht="15.75" customHeight="1">
      <c r="A4215" s="122"/>
      <c r="B4215" s="133"/>
      <c r="C4215" s="120"/>
      <c r="D4215" s="120"/>
      <c r="E4215" s="120"/>
      <c r="F4215" s="120"/>
      <c r="G4215" s="120"/>
      <c r="H4215" s="120"/>
      <c r="I4215" s="121"/>
      <c r="J4215" s="121"/>
      <c r="K4215" s="117"/>
    </row>
    <row r="4216" ht="15.75" customHeight="1">
      <c r="A4216" s="122"/>
      <c r="B4216" s="133"/>
      <c r="C4216" s="120"/>
      <c r="D4216" s="120"/>
      <c r="E4216" s="120"/>
      <c r="F4216" s="120"/>
      <c r="G4216" s="120"/>
      <c r="H4216" s="120"/>
      <c r="I4216" s="121"/>
      <c r="J4216" s="121"/>
      <c r="K4216" s="117"/>
    </row>
    <row r="4217" ht="15.75" customHeight="1">
      <c r="A4217" s="122"/>
      <c r="B4217" s="133"/>
      <c r="C4217" s="120"/>
      <c r="D4217" s="120"/>
      <c r="E4217" s="120"/>
      <c r="F4217" s="120"/>
      <c r="G4217" s="120"/>
      <c r="H4217" s="120"/>
      <c r="I4217" s="121"/>
      <c r="J4217" s="121"/>
      <c r="K4217" s="117"/>
    </row>
    <row r="4218" ht="15.75" customHeight="1">
      <c r="A4218" s="122"/>
      <c r="B4218" s="133"/>
      <c r="C4218" s="120"/>
      <c r="D4218" s="120"/>
      <c r="E4218" s="120"/>
      <c r="F4218" s="120"/>
      <c r="G4218" s="120"/>
      <c r="H4218" s="120"/>
      <c r="I4218" s="121"/>
      <c r="J4218" s="121"/>
      <c r="K4218" s="117"/>
    </row>
    <row r="4219" ht="15.75" customHeight="1">
      <c r="A4219" s="122"/>
      <c r="B4219" s="133"/>
      <c r="C4219" s="120"/>
      <c r="D4219" s="120"/>
      <c r="E4219" s="120"/>
      <c r="F4219" s="120"/>
      <c r="G4219" s="120"/>
      <c r="H4219" s="120"/>
      <c r="I4219" s="121"/>
      <c r="J4219" s="121"/>
      <c r="K4219" s="117"/>
    </row>
    <row r="4220" ht="15.75" customHeight="1">
      <c r="A4220" s="122"/>
      <c r="B4220" s="133"/>
      <c r="C4220" s="120"/>
      <c r="D4220" s="120"/>
      <c r="E4220" s="120"/>
      <c r="F4220" s="120"/>
      <c r="G4220" s="120"/>
      <c r="H4220" s="120"/>
      <c r="I4220" s="121"/>
      <c r="J4220" s="121"/>
      <c r="K4220" s="117"/>
    </row>
    <row r="4221" ht="15.75" customHeight="1">
      <c r="A4221" s="122"/>
      <c r="B4221" s="133"/>
      <c r="C4221" s="120"/>
      <c r="D4221" s="120"/>
      <c r="E4221" s="120"/>
      <c r="F4221" s="120"/>
      <c r="G4221" s="120"/>
      <c r="H4221" s="120"/>
      <c r="I4221" s="121"/>
      <c r="J4221" s="121"/>
      <c r="K4221" s="117"/>
    </row>
    <row r="4222" ht="15.75" customHeight="1">
      <c r="A4222" s="122"/>
      <c r="B4222" s="133"/>
      <c r="C4222" s="120"/>
      <c r="D4222" s="120"/>
      <c r="E4222" s="120"/>
      <c r="F4222" s="120"/>
      <c r="G4222" s="120"/>
      <c r="H4222" s="120"/>
      <c r="I4222" s="121"/>
      <c r="J4222" s="121"/>
      <c r="K4222" s="117"/>
    </row>
    <row r="4223" ht="15.75" customHeight="1">
      <c r="A4223" s="122"/>
      <c r="B4223" s="133"/>
      <c r="C4223" s="120"/>
      <c r="D4223" s="120"/>
      <c r="E4223" s="120"/>
      <c r="F4223" s="120"/>
      <c r="G4223" s="120"/>
      <c r="H4223" s="120"/>
      <c r="I4223" s="121"/>
      <c r="J4223" s="121"/>
      <c r="K4223" s="117"/>
    </row>
    <row r="4224" ht="15.75" customHeight="1">
      <c r="A4224" s="122"/>
      <c r="B4224" s="133"/>
      <c r="C4224" s="120"/>
      <c r="D4224" s="120"/>
      <c r="E4224" s="120"/>
      <c r="F4224" s="120"/>
      <c r="G4224" s="120"/>
      <c r="H4224" s="120"/>
      <c r="I4224" s="121"/>
      <c r="J4224" s="121"/>
      <c r="K4224" s="117"/>
    </row>
    <row r="4225" ht="15.75" customHeight="1">
      <c r="A4225" s="122"/>
      <c r="B4225" s="133"/>
      <c r="C4225" s="120"/>
      <c r="D4225" s="120"/>
      <c r="E4225" s="120"/>
      <c r="F4225" s="120"/>
      <c r="G4225" s="120"/>
      <c r="H4225" s="120"/>
      <c r="I4225" s="121"/>
      <c r="J4225" s="121"/>
      <c r="K4225" s="117"/>
    </row>
    <row r="4226" ht="15.75" customHeight="1">
      <c r="A4226" s="122"/>
      <c r="B4226" s="133"/>
      <c r="C4226" s="120"/>
      <c r="D4226" s="120"/>
      <c r="E4226" s="120"/>
      <c r="F4226" s="120"/>
      <c r="G4226" s="120"/>
      <c r="H4226" s="120"/>
      <c r="I4226" s="121"/>
      <c r="J4226" s="121"/>
      <c r="K4226" s="117"/>
    </row>
    <row r="4227" ht="15.75" customHeight="1">
      <c r="A4227" s="122"/>
      <c r="B4227" s="133"/>
      <c r="C4227" s="120"/>
      <c r="D4227" s="120"/>
      <c r="E4227" s="120"/>
      <c r="F4227" s="120"/>
      <c r="G4227" s="120"/>
      <c r="H4227" s="120"/>
      <c r="I4227" s="121"/>
      <c r="J4227" s="121"/>
      <c r="K4227" s="117"/>
    </row>
    <row r="4228" ht="15.75" customHeight="1">
      <c r="A4228" s="122"/>
      <c r="B4228" s="133"/>
      <c r="C4228" s="120"/>
      <c r="D4228" s="120"/>
      <c r="E4228" s="120"/>
      <c r="F4228" s="120"/>
      <c r="G4228" s="120"/>
      <c r="H4228" s="120"/>
      <c r="I4228" s="121"/>
      <c r="J4228" s="121"/>
      <c r="K4228" s="117"/>
    </row>
    <row r="4229" ht="15.75" customHeight="1">
      <c r="A4229" s="122"/>
      <c r="B4229" s="133"/>
      <c r="C4229" s="120"/>
      <c r="D4229" s="120"/>
      <c r="E4229" s="120"/>
      <c r="F4229" s="120"/>
      <c r="G4229" s="120"/>
      <c r="H4229" s="120"/>
      <c r="I4229" s="121"/>
      <c r="J4229" s="121"/>
      <c r="K4229" s="117"/>
    </row>
    <row r="4230" ht="15.75" customHeight="1">
      <c r="A4230" s="122"/>
      <c r="B4230" s="133"/>
      <c r="C4230" s="120"/>
      <c r="D4230" s="120"/>
      <c r="E4230" s="120"/>
      <c r="F4230" s="120"/>
      <c r="G4230" s="120"/>
      <c r="H4230" s="120"/>
      <c r="I4230" s="121"/>
      <c r="J4230" s="121"/>
      <c r="K4230" s="117"/>
    </row>
    <row r="4231" ht="15.75" customHeight="1">
      <c r="A4231" s="122"/>
      <c r="B4231" s="133"/>
      <c r="C4231" s="120"/>
      <c r="D4231" s="120"/>
      <c r="E4231" s="120"/>
      <c r="F4231" s="120"/>
      <c r="G4231" s="120"/>
      <c r="H4231" s="120"/>
      <c r="I4231" s="121"/>
      <c r="J4231" s="121"/>
      <c r="K4231" s="117"/>
    </row>
    <row r="4232" ht="15.75" customHeight="1">
      <c r="A4232" s="122"/>
      <c r="B4232" s="133"/>
      <c r="C4232" s="120"/>
      <c r="D4232" s="120"/>
      <c r="E4232" s="120"/>
      <c r="F4232" s="120"/>
      <c r="G4232" s="120"/>
      <c r="H4232" s="120"/>
      <c r="I4232" s="121"/>
      <c r="J4232" s="121"/>
      <c r="K4232" s="117"/>
    </row>
    <row r="4233" ht="15.75" customHeight="1">
      <c r="A4233" s="122"/>
      <c r="B4233" s="133"/>
      <c r="C4233" s="120"/>
      <c r="D4233" s="120"/>
      <c r="E4233" s="120"/>
      <c r="F4233" s="120"/>
      <c r="G4233" s="120"/>
      <c r="H4233" s="120"/>
      <c r="I4233" s="121"/>
      <c r="J4233" s="121"/>
      <c r="K4233" s="117"/>
    </row>
    <row r="4234" ht="15.75" customHeight="1">
      <c r="A4234" s="122"/>
      <c r="B4234" s="133"/>
      <c r="C4234" s="120"/>
      <c r="D4234" s="120"/>
      <c r="E4234" s="120"/>
      <c r="F4234" s="120"/>
      <c r="G4234" s="120"/>
      <c r="H4234" s="120"/>
      <c r="I4234" s="121"/>
      <c r="J4234" s="121"/>
      <c r="K4234" s="117"/>
    </row>
    <row r="4235" ht="15.75" customHeight="1">
      <c r="A4235" s="122"/>
      <c r="B4235" s="133"/>
      <c r="C4235" s="120"/>
      <c r="D4235" s="120"/>
      <c r="E4235" s="120"/>
      <c r="F4235" s="120"/>
      <c r="G4235" s="120"/>
      <c r="H4235" s="120"/>
      <c r="I4235" s="121"/>
      <c r="J4235" s="121"/>
      <c r="K4235" s="117"/>
    </row>
    <row r="4236" ht="15.75" customHeight="1">
      <c r="A4236" s="122"/>
      <c r="B4236" s="133"/>
      <c r="C4236" s="120"/>
      <c r="D4236" s="120"/>
      <c r="E4236" s="120"/>
      <c r="F4236" s="120"/>
      <c r="G4236" s="120"/>
      <c r="H4236" s="120"/>
      <c r="I4236" s="121"/>
      <c r="J4236" s="121"/>
      <c r="K4236" s="117"/>
    </row>
    <row r="4237" ht="15.75" customHeight="1">
      <c r="A4237" s="122"/>
      <c r="B4237" s="133"/>
      <c r="C4237" s="120"/>
      <c r="D4237" s="120"/>
      <c r="E4237" s="120"/>
      <c r="F4237" s="120"/>
      <c r="G4237" s="120"/>
      <c r="H4237" s="120"/>
      <c r="I4237" s="121"/>
      <c r="J4237" s="121"/>
      <c r="K4237" s="117"/>
    </row>
    <row r="4238" ht="15.75" customHeight="1">
      <c r="A4238" s="122"/>
      <c r="B4238" s="133"/>
      <c r="C4238" s="120"/>
      <c r="D4238" s="120"/>
      <c r="E4238" s="120"/>
      <c r="F4238" s="120"/>
      <c r="G4238" s="120"/>
      <c r="H4238" s="120"/>
      <c r="I4238" s="121"/>
      <c r="J4238" s="121"/>
      <c r="K4238" s="117"/>
    </row>
    <row r="4239" ht="15.75" customHeight="1">
      <c r="A4239" s="122"/>
      <c r="B4239" s="133"/>
      <c r="C4239" s="120"/>
      <c r="D4239" s="120"/>
      <c r="E4239" s="120"/>
      <c r="F4239" s="120"/>
      <c r="G4239" s="120"/>
      <c r="H4239" s="120"/>
      <c r="I4239" s="121"/>
      <c r="J4239" s="121"/>
      <c r="K4239" s="117"/>
    </row>
    <row r="4240" ht="15.75" customHeight="1">
      <c r="A4240" s="122"/>
      <c r="B4240" s="133"/>
      <c r="C4240" s="120"/>
      <c r="D4240" s="120"/>
      <c r="E4240" s="120"/>
      <c r="F4240" s="120"/>
      <c r="G4240" s="120"/>
      <c r="H4240" s="120"/>
      <c r="I4240" s="121"/>
      <c r="J4240" s="121"/>
      <c r="K4240" s="117"/>
    </row>
    <row r="4241" ht="15.75" customHeight="1">
      <c r="A4241" s="122"/>
      <c r="B4241" s="133"/>
      <c r="C4241" s="120"/>
      <c r="D4241" s="120"/>
      <c r="E4241" s="120"/>
      <c r="F4241" s="120"/>
      <c r="G4241" s="120"/>
      <c r="H4241" s="120"/>
      <c r="I4241" s="121"/>
      <c r="J4241" s="121"/>
      <c r="K4241" s="117"/>
    </row>
    <row r="4242" ht="15.75" customHeight="1">
      <c r="A4242" s="122"/>
      <c r="B4242" s="133"/>
      <c r="C4242" s="120"/>
      <c r="D4242" s="120"/>
      <c r="E4242" s="120"/>
      <c r="F4242" s="120"/>
      <c r="G4242" s="120"/>
      <c r="H4242" s="120"/>
      <c r="I4242" s="121"/>
      <c r="J4242" s="121"/>
      <c r="K4242" s="117"/>
    </row>
    <row r="4243" ht="15.75" customHeight="1">
      <c r="A4243" s="122"/>
      <c r="B4243" s="133"/>
      <c r="C4243" s="120"/>
      <c r="D4243" s="120"/>
      <c r="E4243" s="120"/>
      <c r="F4243" s="120"/>
      <c r="G4243" s="120"/>
      <c r="H4243" s="120"/>
      <c r="I4243" s="121"/>
      <c r="J4243" s="121"/>
      <c r="K4243" s="117"/>
    </row>
    <row r="4244" ht="15.75" customHeight="1">
      <c r="A4244" s="122"/>
      <c r="B4244" s="133"/>
      <c r="C4244" s="120"/>
      <c r="D4244" s="120"/>
      <c r="E4244" s="120"/>
      <c r="F4244" s="120"/>
      <c r="G4244" s="120"/>
      <c r="H4244" s="120"/>
      <c r="I4244" s="121"/>
      <c r="J4244" s="121"/>
      <c r="K4244" s="117"/>
    </row>
    <row r="4245" ht="15.75" customHeight="1">
      <c r="A4245" s="122"/>
      <c r="B4245" s="133"/>
      <c r="C4245" s="120"/>
      <c r="D4245" s="120"/>
      <c r="E4245" s="120"/>
      <c r="F4245" s="120"/>
      <c r="G4245" s="120"/>
      <c r="H4245" s="120"/>
      <c r="I4245" s="121"/>
      <c r="J4245" s="121"/>
      <c r="K4245" s="117"/>
    </row>
    <row r="4246" ht="15.75" customHeight="1">
      <c r="A4246" s="122"/>
      <c r="B4246" s="133"/>
      <c r="C4246" s="120"/>
      <c r="D4246" s="120"/>
      <c r="E4246" s="120"/>
      <c r="F4246" s="120"/>
      <c r="G4246" s="120"/>
      <c r="H4246" s="120"/>
      <c r="I4246" s="121"/>
      <c r="J4246" s="121"/>
      <c r="K4246" s="117"/>
    </row>
    <row r="4247" ht="15.75" customHeight="1">
      <c r="A4247" s="122"/>
      <c r="B4247" s="133"/>
      <c r="C4247" s="120"/>
      <c r="D4247" s="120"/>
      <c r="E4247" s="120"/>
      <c r="F4247" s="120"/>
      <c r="G4247" s="120"/>
      <c r="H4247" s="120"/>
      <c r="I4247" s="121"/>
      <c r="J4247" s="121"/>
      <c r="K4247" s="117"/>
    </row>
    <row r="4248" ht="15.75" customHeight="1">
      <c r="A4248" s="122"/>
      <c r="B4248" s="133"/>
      <c r="C4248" s="120"/>
      <c r="D4248" s="120"/>
      <c r="E4248" s="120"/>
      <c r="F4248" s="120"/>
      <c r="G4248" s="120"/>
      <c r="H4248" s="120"/>
      <c r="I4248" s="121"/>
      <c r="J4248" s="121"/>
      <c r="K4248" s="117"/>
    </row>
    <row r="4249" ht="15.75" customHeight="1">
      <c r="A4249" s="122"/>
      <c r="B4249" s="133"/>
      <c r="C4249" s="120"/>
      <c r="D4249" s="120"/>
      <c r="E4249" s="120"/>
      <c r="F4249" s="120"/>
      <c r="G4249" s="120"/>
      <c r="H4249" s="120"/>
      <c r="I4249" s="121"/>
      <c r="J4249" s="121"/>
      <c r="K4249" s="117"/>
    </row>
    <row r="4250" ht="15.75" customHeight="1">
      <c r="A4250" s="122"/>
      <c r="B4250" s="133"/>
      <c r="C4250" s="120"/>
      <c r="D4250" s="120"/>
      <c r="E4250" s="120"/>
      <c r="F4250" s="120"/>
      <c r="G4250" s="120"/>
      <c r="H4250" s="120"/>
      <c r="I4250" s="121"/>
      <c r="J4250" s="121"/>
      <c r="K4250" s="117"/>
    </row>
    <row r="4251" ht="15.75" customHeight="1">
      <c r="A4251" s="122"/>
      <c r="B4251" s="133"/>
      <c r="C4251" s="120"/>
      <c r="D4251" s="120"/>
      <c r="E4251" s="120"/>
      <c r="F4251" s="120"/>
      <c r="G4251" s="120"/>
      <c r="H4251" s="120"/>
      <c r="I4251" s="121"/>
      <c r="J4251" s="121"/>
      <c r="K4251" s="117"/>
    </row>
    <row r="4252" ht="15.75" customHeight="1">
      <c r="A4252" s="122"/>
      <c r="B4252" s="133"/>
      <c r="C4252" s="120"/>
      <c r="D4252" s="120"/>
      <c r="E4252" s="120"/>
      <c r="F4252" s="120"/>
      <c r="G4252" s="120"/>
      <c r="H4252" s="120"/>
      <c r="I4252" s="121"/>
      <c r="J4252" s="121"/>
      <c r="K4252" s="117"/>
    </row>
    <row r="4253" ht="15.75" customHeight="1">
      <c r="A4253" s="122"/>
      <c r="B4253" s="133"/>
      <c r="C4253" s="120"/>
      <c r="D4253" s="120"/>
      <c r="E4253" s="120"/>
      <c r="F4253" s="120"/>
      <c r="G4253" s="120"/>
      <c r="H4253" s="120"/>
      <c r="I4253" s="121"/>
      <c r="J4253" s="121"/>
      <c r="K4253" s="117"/>
    </row>
    <row r="4254" ht="15.75" customHeight="1">
      <c r="A4254" s="122"/>
      <c r="B4254" s="133"/>
      <c r="C4254" s="120"/>
      <c r="D4254" s="120"/>
      <c r="E4254" s="120"/>
      <c r="F4254" s="120"/>
      <c r="G4254" s="120"/>
      <c r="H4254" s="120"/>
      <c r="I4254" s="121"/>
      <c r="J4254" s="121"/>
      <c r="K4254" s="117"/>
    </row>
    <row r="4255" ht="15.75" customHeight="1">
      <c r="A4255" s="122"/>
      <c r="B4255" s="133"/>
      <c r="C4255" s="120"/>
      <c r="D4255" s="120"/>
      <c r="E4255" s="120"/>
      <c r="F4255" s="120"/>
      <c r="G4255" s="120"/>
      <c r="H4255" s="120"/>
      <c r="I4255" s="121"/>
      <c r="J4255" s="121"/>
      <c r="K4255" s="117"/>
    </row>
    <row r="4256" ht="15.75" customHeight="1">
      <c r="A4256" s="122"/>
      <c r="B4256" s="133"/>
      <c r="C4256" s="120"/>
      <c r="D4256" s="120"/>
      <c r="E4256" s="120"/>
      <c r="F4256" s="120"/>
      <c r="G4256" s="120"/>
      <c r="H4256" s="120"/>
      <c r="I4256" s="121"/>
      <c r="J4256" s="121"/>
      <c r="K4256" s="117"/>
    </row>
    <row r="4257" ht="15.75" customHeight="1">
      <c r="A4257" s="122"/>
      <c r="B4257" s="133"/>
      <c r="C4257" s="120"/>
      <c r="D4257" s="120"/>
      <c r="E4257" s="120"/>
      <c r="F4257" s="120"/>
      <c r="G4257" s="120"/>
      <c r="H4257" s="120"/>
      <c r="I4257" s="121"/>
      <c r="J4257" s="121"/>
      <c r="K4257" s="117"/>
    </row>
    <row r="4258" ht="15.75" customHeight="1">
      <c r="A4258" s="122"/>
      <c r="B4258" s="133"/>
      <c r="C4258" s="120"/>
      <c r="D4258" s="120"/>
      <c r="E4258" s="120"/>
      <c r="F4258" s="120"/>
      <c r="G4258" s="120"/>
      <c r="H4258" s="120"/>
      <c r="I4258" s="121"/>
      <c r="J4258" s="121"/>
      <c r="K4258" s="117"/>
    </row>
    <row r="4259" ht="15.75" customHeight="1">
      <c r="A4259" s="122"/>
      <c r="B4259" s="133"/>
      <c r="C4259" s="120"/>
      <c r="D4259" s="120"/>
      <c r="E4259" s="120"/>
      <c r="F4259" s="120"/>
      <c r="G4259" s="120"/>
      <c r="H4259" s="120"/>
      <c r="I4259" s="121"/>
      <c r="J4259" s="121"/>
      <c r="K4259" s="117"/>
    </row>
    <row r="4260" ht="15.75" customHeight="1">
      <c r="A4260" s="122"/>
      <c r="B4260" s="133"/>
      <c r="C4260" s="120"/>
      <c r="D4260" s="120"/>
      <c r="E4260" s="120"/>
      <c r="F4260" s="120"/>
      <c r="G4260" s="120"/>
      <c r="H4260" s="120"/>
      <c r="I4260" s="121"/>
      <c r="J4260" s="121"/>
      <c r="K4260" s="117"/>
    </row>
    <row r="4261" ht="15.75" customHeight="1">
      <c r="A4261" s="122"/>
      <c r="B4261" s="133"/>
      <c r="C4261" s="120"/>
      <c r="D4261" s="120"/>
      <c r="E4261" s="120"/>
      <c r="F4261" s="120"/>
      <c r="G4261" s="120"/>
      <c r="H4261" s="120"/>
      <c r="I4261" s="121"/>
      <c r="J4261" s="121"/>
      <c r="K4261" s="117"/>
    </row>
    <row r="4262" ht="15.75" customHeight="1">
      <c r="A4262" s="122"/>
      <c r="B4262" s="133"/>
      <c r="C4262" s="120"/>
      <c r="D4262" s="120"/>
      <c r="E4262" s="120"/>
      <c r="F4262" s="120"/>
      <c r="G4262" s="120"/>
      <c r="H4262" s="120"/>
      <c r="I4262" s="121"/>
      <c r="J4262" s="121"/>
      <c r="K4262" s="117"/>
    </row>
    <row r="4263" ht="15.75" customHeight="1">
      <c r="A4263" s="122"/>
      <c r="B4263" s="133"/>
      <c r="C4263" s="120"/>
      <c r="D4263" s="120"/>
      <c r="E4263" s="120"/>
      <c r="F4263" s="120"/>
      <c r="G4263" s="120"/>
      <c r="H4263" s="120"/>
      <c r="I4263" s="121"/>
      <c r="J4263" s="121"/>
      <c r="K4263" s="117"/>
    </row>
    <row r="4264" ht="15.75" customHeight="1">
      <c r="A4264" s="122"/>
      <c r="B4264" s="133"/>
      <c r="C4264" s="120"/>
      <c r="D4264" s="120"/>
      <c r="E4264" s="120"/>
      <c r="F4264" s="120"/>
      <c r="G4264" s="120"/>
      <c r="H4264" s="120"/>
      <c r="I4264" s="121"/>
      <c r="J4264" s="121"/>
      <c r="K4264" s="117"/>
    </row>
    <row r="4265" ht="15.75" customHeight="1">
      <c r="A4265" s="122"/>
      <c r="B4265" s="133"/>
      <c r="C4265" s="120"/>
      <c r="D4265" s="120"/>
      <c r="E4265" s="120"/>
      <c r="F4265" s="120"/>
      <c r="G4265" s="120"/>
      <c r="H4265" s="120"/>
      <c r="I4265" s="121"/>
      <c r="J4265" s="121"/>
      <c r="K4265" s="117"/>
    </row>
    <row r="4266" ht="15.75" customHeight="1">
      <c r="A4266" s="122"/>
      <c r="B4266" s="133"/>
      <c r="C4266" s="120"/>
      <c r="D4266" s="120"/>
      <c r="E4266" s="120"/>
      <c r="F4266" s="120"/>
      <c r="G4266" s="120"/>
      <c r="H4266" s="120"/>
      <c r="I4266" s="121"/>
      <c r="J4266" s="121"/>
      <c r="K4266" s="117"/>
    </row>
    <row r="4267" ht="15.75" customHeight="1">
      <c r="A4267" s="122"/>
      <c r="B4267" s="133"/>
      <c r="C4267" s="120"/>
      <c r="D4267" s="120"/>
      <c r="E4267" s="120"/>
      <c r="F4267" s="120"/>
      <c r="G4267" s="120"/>
      <c r="H4267" s="120"/>
      <c r="I4267" s="121"/>
      <c r="J4267" s="121"/>
      <c r="K4267" s="117"/>
    </row>
    <row r="4268" ht="15.75" customHeight="1">
      <c r="A4268" s="122"/>
      <c r="B4268" s="133"/>
      <c r="C4268" s="120"/>
      <c r="D4268" s="120"/>
      <c r="E4268" s="120"/>
      <c r="F4268" s="120"/>
      <c r="G4268" s="120"/>
      <c r="H4268" s="120"/>
      <c r="I4268" s="121"/>
      <c r="J4268" s="121"/>
      <c r="K4268" s="117"/>
    </row>
    <row r="4269" ht="15.75" customHeight="1">
      <c r="A4269" s="122"/>
      <c r="B4269" s="133"/>
      <c r="C4269" s="120"/>
      <c r="D4269" s="120"/>
      <c r="E4269" s="120"/>
      <c r="F4269" s="120"/>
      <c r="G4269" s="120"/>
      <c r="H4269" s="120"/>
      <c r="I4269" s="121"/>
      <c r="J4269" s="121"/>
      <c r="K4269" s="117"/>
    </row>
    <row r="4270" ht="15.75" customHeight="1">
      <c r="A4270" s="122"/>
      <c r="B4270" s="133"/>
      <c r="C4270" s="120"/>
      <c r="D4270" s="120"/>
      <c r="E4270" s="120"/>
      <c r="F4270" s="120"/>
      <c r="G4270" s="120"/>
      <c r="H4270" s="120"/>
      <c r="I4270" s="121"/>
      <c r="J4270" s="121"/>
      <c r="K4270" s="117"/>
    </row>
    <row r="4271" ht="15.75" customHeight="1">
      <c r="A4271" s="122"/>
      <c r="B4271" s="133"/>
      <c r="C4271" s="120"/>
      <c r="D4271" s="120"/>
      <c r="E4271" s="120"/>
      <c r="F4271" s="120"/>
      <c r="G4271" s="120"/>
      <c r="H4271" s="120"/>
      <c r="I4271" s="121"/>
      <c r="J4271" s="121"/>
      <c r="K4271" s="117"/>
    </row>
    <row r="4272" ht="15.75" customHeight="1">
      <c r="A4272" s="122"/>
      <c r="B4272" s="133"/>
      <c r="C4272" s="120"/>
      <c r="D4272" s="120"/>
      <c r="E4272" s="120"/>
      <c r="F4272" s="120"/>
      <c r="G4272" s="120"/>
      <c r="H4272" s="120"/>
      <c r="I4272" s="121"/>
      <c r="J4272" s="121"/>
      <c r="K4272" s="117"/>
    </row>
    <row r="4273" ht="15.75" customHeight="1">
      <c r="A4273" s="122"/>
      <c r="B4273" s="133"/>
      <c r="C4273" s="120"/>
      <c r="D4273" s="120"/>
      <c r="E4273" s="120"/>
      <c r="F4273" s="120"/>
      <c r="G4273" s="120"/>
      <c r="H4273" s="120"/>
      <c r="I4273" s="121"/>
      <c r="J4273" s="121"/>
      <c r="K4273" s="117"/>
    </row>
    <row r="4274" ht="15.75" customHeight="1">
      <c r="A4274" s="122"/>
      <c r="B4274" s="133"/>
      <c r="C4274" s="120"/>
      <c r="D4274" s="120"/>
      <c r="E4274" s="120"/>
      <c r="F4274" s="120"/>
      <c r="G4274" s="120"/>
      <c r="H4274" s="120"/>
      <c r="I4274" s="121"/>
      <c r="J4274" s="121"/>
      <c r="K4274" s="117"/>
    </row>
    <row r="4275" ht="15.75" customHeight="1">
      <c r="A4275" s="122"/>
      <c r="B4275" s="133"/>
      <c r="C4275" s="120"/>
      <c r="D4275" s="120"/>
      <c r="E4275" s="120"/>
      <c r="F4275" s="120"/>
      <c r="G4275" s="120"/>
      <c r="H4275" s="120"/>
      <c r="I4275" s="121"/>
      <c r="J4275" s="121"/>
      <c r="K4275" s="117"/>
    </row>
    <row r="4276" ht="15.75" customHeight="1">
      <c r="A4276" s="122"/>
      <c r="B4276" s="133"/>
      <c r="C4276" s="120"/>
      <c r="D4276" s="120"/>
      <c r="E4276" s="120"/>
      <c r="F4276" s="120"/>
      <c r="G4276" s="120"/>
      <c r="H4276" s="120"/>
      <c r="I4276" s="121"/>
      <c r="J4276" s="121"/>
      <c r="K4276" s="117"/>
    </row>
    <row r="4277" ht="15.75" customHeight="1">
      <c r="A4277" s="122"/>
      <c r="B4277" s="133"/>
      <c r="C4277" s="120"/>
      <c r="D4277" s="120"/>
      <c r="E4277" s="120"/>
      <c r="F4277" s="120"/>
      <c r="G4277" s="120"/>
      <c r="H4277" s="120"/>
      <c r="I4277" s="121"/>
      <c r="J4277" s="121"/>
      <c r="K4277" s="117"/>
    </row>
    <row r="4278" ht="15.75" customHeight="1">
      <c r="A4278" s="122"/>
      <c r="B4278" s="133"/>
      <c r="C4278" s="120"/>
      <c r="D4278" s="120"/>
      <c r="E4278" s="120"/>
      <c r="F4278" s="120"/>
      <c r="G4278" s="120"/>
      <c r="H4278" s="120"/>
      <c r="I4278" s="121"/>
      <c r="J4278" s="121"/>
      <c r="K4278" s="117"/>
    </row>
    <row r="4279" ht="15.75" customHeight="1">
      <c r="A4279" s="122"/>
      <c r="B4279" s="133"/>
      <c r="C4279" s="120"/>
      <c r="D4279" s="120"/>
      <c r="E4279" s="120"/>
      <c r="F4279" s="120"/>
      <c r="G4279" s="120"/>
      <c r="H4279" s="120"/>
      <c r="I4279" s="121"/>
      <c r="J4279" s="121"/>
      <c r="K4279" s="117"/>
    </row>
    <row r="4280" ht="15.75" customHeight="1">
      <c r="A4280" s="122"/>
      <c r="B4280" s="133"/>
      <c r="C4280" s="120"/>
      <c r="D4280" s="120"/>
      <c r="E4280" s="120"/>
      <c r="F4280" s="120"/>
      <c r="G4280" s="120"/>
      <c r="H4280" s="120"/>
      <c r="I4280" s="121"/>
      <c r="J4280" s="121"/>
      <c r="K4280" s="117"/>
    </row>
    <row r="4281" ht="15.75" customHeight="1">
      <c r="A4281" s="122"/>
      <c r="B4281" s="133"/>
      <c r="C4281" s="120"/>
      <c r="D4281" s="120"/>
      <c r="E4281" s="120"/>
      <c r="F4281" s="120"/>
      <c r="G4281" s="120"/>
      <c r="H4281" s="120"/>
      <c r="I4281" s="121"/>
      <c r="J4281" s="121"/>
      <c r="K4281" s="117"/>
    </row>
    <row r="4282" ht="15.75" customHeight="1">
      <c r="A4282" s="122"/>
      <c r="B4282" s="133"/>
      <c r="C4282" s="120"/>
      <c r="D4282" s="120"/>
      <c r="E4282" s="120"/>
      <c r="F4282" s="120"/>
      <c r="G4282" s="120"/>
      <c r="H4282" s="120"/>
      <c r="I4282" s="121"/>
      <c r="J4282" s="121"/>
      <c r="K4282" s="117"/>
    </row>
    <row r="4283" ht="15.75" customHeight="1">
      <c r="A4283" s="122"/>
      <c r="B4283" s="133"/>
      <c r="C4283" s="120"/>
      <c r="D4283" s="120"/>
      <c r="E4283" s="120"/>
      <c r="F4283" s="120"/>
      <c r="G4283" s="120"/>
      <c r="H4283" s="120"/>
      <c r="I4283" s="121"/>
      <c r="J4283" s="121"/>
      <c r="K4283" s="117"/>
    </row>
    <row r="4284" ht="15.75" customHeight="1">
      <c r="A4284" s="122"/>
      <c r="B4284" s="133"/>
      <c r="C4284" s="120"/>
      <c r="D4284" s="120"/>
      <c r="E4284" s="120"/>
      <c r="F4284" s="120"/>
      <c r="G4284" s="120"/>
      <c r="H4284" s="120"/>
      <c r="I4284" s="121"/>
      <c r="J4284" s="121"/>
      <c r="K4284" s="117"/>
    </row>
    <row r="4285" ht="15.75" customHeight="1">
      <c r="A4285" s="122"/>
      <c r="B4285" s="133"/>
      <c r="C4285" s="120"/>
      <c r="D4285" s="120"/>
      <c r="E4285" s="120"/>
      <c r="F4285" s="120"/>
      <c r="G4285" s="120"/>
      <c r="H4285" s="120"/>
      <c r="I4285" s="121"/>
      <c r="J4285" s="121"/>
      <c r="K4285" s="117"/>
    </row>
    <row r="4286" ht="15.75" customHeight="1">
      <c r="A4286" s="122"/>
      <c r="B4286" s="133"/>
      <c r="C4286" s="120"/>
      <c r="D4286" s="120"/>
      <c r="E4286" s="120"/>
      <c r="F4286" s="120"/>
      <c r="G4286" s="120"/>
      <c r="H4286" s="120"/>
      <c r="I4286" s="121"/>
      <c r="J4286" s="121"/>
      <c r="K4286" s="117"/>
    </row>
    <row r="4287" ht="15.75" customHeight="1">
      <c r="A4287" s="122"/>
      <c r="B4287" s="133"/>
      <c r="C4287" s="120"/>
      <c r="D4287" s="120"/>
      <c r="E4287" s="120"/>
      <c r="F4287" s="120"/>
      <c r="G4287" s="120"/>
      <c r="H4287" s="120"/>
      <c r="I4287" s="121"/>
      <c r="J4287" s="121"/>
      <c r="K4287" s="117"/>
    </row>
    <row r="4288" ht="15.75" customHeight="1">
      <c r="A4288" s="122"/>
      <c r="B4288" s="133"/>
      <c r="C4288" s="120"/>
      <c r="D4288" s="120"/>
      <c r="E4288" s="120"/>
      <c r="F4288" s="120"/>
      <c r="G4288" s="120"/>
      <c r="H4288" s="120"/>
      <c r="I4288" s="121"/>
      <c r="J4288" s="121"/>
      <c r="K4288" s="117"/>
    </row>
    <row r="4289" ht="15.75" customHeight="1">
      <c r="A4289" s="122"/>
      <c r="B4289" s="133"/>
      <c r="C4289" s="120"/>
      <c r="D4289" s="120"/>
      <c r="E4289" s="120"/>
      <c r="F4289" s="120"/>
      <c r="G4289" s="120"/>
      <c r="H4289" s="120"/>
      <c r="I4289" s="121"/>
      <c r="J4289" s="121"/>
      <c r="K4289" s="117"/>
    </row>
    <row r="4290" ht="15.75" customHeight="1">
      <c r="A4290" s="122"/>
      <c r="B4290" s="133"/>
      <c r="C4290" s="120"/>
      <c r="D4290" s="120"/>
      <c r="E4290" s="120"/>
      <c r="F4290" s="120"/>
      <c r="G4290" s="120"/>
      <c r="H4290" s="120"/>
      <c r="I4290" s="121"/>
      <c r="J4290" s="121"/>
      <c r="K4290" s="117"/>
    </row>
    <row r="4291" ht="15.75" customHeight="1">
      <c r="A4291" s="122"/>
      <c r="B4291" s="133"/>
      <c r="C4291" s="120"/>
      <c r="D4291" s="120"/>
      <c r="E4291" s="120"/>
      <c r="F4291" s="120"/>
      <c r="G4291" s="120"/>
      <c r="H4291" s="120"/>
      <c r="I4291" s="121"/>
      <c r="J4291" s="121"/>
      <c r="K4291" s="117"/>
    </row>
    <row r="4292" ht="15.75" customHeight="1">
      <c r="A4292" s="122"/>
      <c r="B4292" s="133"/>
      <c r="C4292" s="120"/>
      <c r="D4292" s="120"/>
      <c r="E4292" s="120"/>
      <c r="F4292" s="120"/>
      <c r="G4292" s="120"/>
      <c r="H4292" s="120"/>
      <c r="I4292" s="121"/>
      <c r="J4292" s="121"/>
      <c r="K4292" s="117"/>
    </row>
    <row r="4293" ht="15.75" customHeight="1">
      <c r="A4293" s="122"/>
      <c r="B4293" s="133"/>
      <c r="C4293" s="120"/>
      <c r="D4293" s="120"/>
      <c r="E4293" s="120"/>
      <c r="F4293" s="120"/>
      <c r="G4293" s="120"/>
      <c r="H4293" s="120"/>
      <c r="I4293" s="121"/>
      <c r="J4293" s="121"/>
      <c r="K4293" s="117"/>
    </row>
    <row r="4294" ht="15.75" customHeight="1">
      <c r="A4294" s="122"/>
      <c r="B4294" s="133"/>
      <c r="C4294" s="120"/>
      <c r="D4294" s="120"/>
      <c r="E4294" s="120"/>
      <c r="F4294" s="120"/>
      <c r="G4294" s="120"/>
      <c r="H4294" s="120"/>
      <c r="I4294" s="121"/>
      <c r="J4294" s="121"/>
      <c r="K4294" s="117"/>
    </row>
    <row r="4295" ht="15.75" customHeight="1">
      <c r="A4295" s="122"/>
      <c r="B4295" s="133"/>
      <c r="C4295" s="120"/>
      <c r="D4295" s="120"/>
      <c r="E4295" s="120"/>
      <c r="F4295" s="120"/>
      <c r="G4295" s="120"/>
      <c r="H4295" s="120"/>
      <c r="I4295" s="121"/>
      <c r="J4295" s="121"/>
      <c r="K4295" s="117"/>
    </row>
    <row r="4296" ht="15.75" customHeight="1">
      <c r="A4296" s="122"/>
      <c r="B4296" s="133"/>
      <c r="C4296" s="120"/>
      <c r="D4296" s="120"/>
      <c r="E4296" s="120"/>
      <c r="F4296" s="120"/>
      <c r="G4296" s="120"/>
      <c r="H4296" s="120"/>
      <c r="I4296" s="121"/>
      <c r="J4296" s="121"/>
      <c r="K4296" s="117"/>
    </row>
    <row r="4297" ht="15.75" customHeight="1">
      <c r="A4297" s="122"/>
      <c r="B4297" s="133"/>
      <c r="C4297" s="120"/>
      <c r="D4297" s="120"/>
      <c r="E4297" s="120"/>
      <c r="F4297" s="120"/>
      <c r="G4297" s="120"/>
      <c r="H4297" s="120"/>
      <c r="I4297" s="121"/>
      <c r="J4297" s="121"/>
      <c r="K4297" s="117"/>
    </row>
    <row r="4298" ht="15.75" customHeight="1">
      <c r="A4298" s="122"/>
      <c r="B4298" s="133"/>
      <c r="C4298" s="120"/>
      <c r="D4298" s="120"/>
      <c r="E4298" s="120"/>
      <c r="F4298" s="120"/>
      <c r="G4298" s="120"/>
      <c r="H4298" s="120"/>
      <c r="I4298" s="121"/>
      <c r="J4298" s="121"/>
      <c r="K4298" s="117"/>
    </row>
    <row r="4299" ht="15.75" customHeight="1">
      <c r="A4299" s="122"/>
      <c r="B4299" s="133"/>
      <c r="C4299" s="120"/>
      <c r="D4299" s="120"/>
      <c r="E4299" s="120"/>
      <c r="F4299" s="120"/>
      <c r="G4299" s="120"/>
      <c r="H4299" s="120"/>
      <c r="I4299" s="121"/>
      <c r="J4299" s="121"/>
      <c r="K4299" s="117"/>
    </row>
    <row r="4300" ht="15.75" customHeight="1">
      <c r="A4300" s="122"/>
      <c r="B4300" s="133"/>
      <c r="C4300" s="120"/>
      <c r="D4300" s="120"/>
      <c r="E4300" s="120"/>
      <c r="F4300" s="120"/>
      <c r="G4300" s="120"/>
      <c r="H4300" s="120"/>
      <c r="I4300" s="121"/>
      <c r="J4300" s="121"/>
      <c r="K4300" s="117"/>
    </row>
    <row r="4301" ht="15.75" customHeight="1">
      <c r="A4301" s="122"/>
      <c r="B4301" s="133"/>
      <c r="C4301" s="120"/>
      <c r="D4301" s="120"/>
      <c r="E4301" s="120"/>
      <c r="F4301" s="120"/>
      <c r="G4301" s="120"/>
      <c r="H4301" s="120"/>
      <c r="I4301" s="121"/>
      <c r="J4301" s="121"/>
      <c r="K4301" s="117"/>
    </row>
    <row r="4302" ht="15.75" customHeight="1">
      <c r="A4302" s="122"/>
      <c r="B4302" s="133"/>
      <c r="C4302" s="120"/>
      <c r="D4302" s="120"/>
      <c r="E4302" s="120"/>
      <c r="F4302" s="120"/>
      <c r="G4302" s="120"/>
      <c r="H4302" s="120"/>
      <c r="I4302" s="121"/>
      <c r="J4302" s="121"/>
      <c r="K4302" s="117"/>
    </row>
    <row r="4303" ht="15.75" customHeight="1">
      <c r="A4303" s="122"/>
      <c r="B4303" s="133"/>
      <c r="C4303" s="120"/>
      <c r="D4303" s="120"/>
      <c r="E4303" s="120"/>
      <c r="F4303" s="120"/>
      <c r="G4303" s="120"/>
      <c r="H4303" s="120"/>
      <c r="I4303" s="121"/>
      <c r="J4303" s="121"/>
      <c r="K4303" s="117"/>
    </row>
    <row r="4304" ht="15.75" customHeight="1">
      <c r="A4304" s="122"/>
      <c r="B4304" s="133"/>
      <c r="C4304" s="120"/>
      <c r="D4304" s="120"/>
      <c r="E4304" s="120"/>
      <c r="F4304" s="120"/>
      <c r="G4304" s="120"/>
      <c r="H4304" s="120"/>
      <c r="I4304" s="121"/>
      <c r="J4304" s="121"/>
      <c r="K4304" s="117"/>
    </row>
    <row r="4305" ht="15.75" customHeight="1">
      <c r="A4305" s="122"/>
      <c r="B4305" s="133"/>
      <c r="C4305" s="120"/>
      <c r="D4305" s="120"/>
      <c r="E4305" s="120"/>
      <c r="F4305" s="120"/>
      <c r="G4305" s="120"/>
      <c r="H4305" s="120"/>
      <c r="I4305" s="121"/>
      <c r="J4305" s="121"/>
      <c r="K4305" s="117"/>
    </row>
    <row r="4306" ht="15.75" customHeight="1">
      <c r="A4306" s="122"/>
      <c r="B4306" s="133"/>
      <c r="C4306" s="120"/>
      <c r="D4306" s="120"/>
      <c r="E4306" s="120"/>
      <c r="F4306" s="120"/>
      <c r="G4306" s="120"/>
      <c r="H4306" s="120"/>
      <c r="I4306" s="121"/>
      <c r="J4306" s="121"/>
      <c r="K4306" s="117"/>
    </row>
    <row r="4307" ht="15.75" customHeight="1">
      <c r="A4307" s="122"/>
      <c r="B4307" s="133"/>
      <c r="C4307" s="120"/>
      <c r="D4307" s="120"/>
      <c r="E4307" s="120"/>
      <c r="F4307" s="120"/>
      <c r="G4307" s="120"/>
      <c r="H4307" s="120"/>
      <c r="I4307" s="121"/>
      <c r="J4307" s="121"/>
      <c r="K4307" s="117"/>
    </row>
    <row r="4308" ht="15.75" customHeight="1">
      <c r="A4308" s="122"/>
      <c r="B4308" s="133"/>
      <c r="C4308" s="120"/>
      <c r="D4308" s="120"/>
      <c r="E4308" s="120"/>
      <c r="F4308" s="120"/>
      <c r="G4308" s="120"/>
      <c r="H4308" s="120"/>
      <c r="I4308" s="121"/>
      <c r="J4308" s="121"/>
      <c r="K4308" s="117"/>
    </row>
    <row r="4309" ht="15.75" customHeight="1">
      <c r="A4309" s="122"/>
      <c r="B4309" s="133"/>
      <c r="C4309" s="120"/>
      <c r="D4309" s="120"/>
      <c r="E4309" s="120"/>
      <c r="F4309" s="120"/>
      <c r="G4309" s="120"/>
      <c r="H4309" s="120"/>
      <c r="I4309" s="121"/>
      <c r="J4309" s="121"/>
      <c r="K4309" s="117"/>
    </row>
    <row r="4310" ht="15.75" customHeight="1">
      <c r="A4310" s="122"/>
      <c r="B4310" s="133"/>
      <c r="C4310" s="120"/>
      <c r="D4310" s="120"/>
      <c r="E4310" s="120"/>
      <c r="F4310" s="120"/>
      <c r="G4310" s="120"/>
      <c r="H4310" s="120"/>
      <c r="I4310" s="121"/>
      <c r="J4310" s="121"/>
      <c r="K4310" s="117"/>
    </row>
    <row r="4311" ht="15.75" customHeight="1">
      <c r="A4311" s="122"/>
      <c r="B4311" s="133"/>
      <c r="C4311" s="120"/>
      <c r="D4311" s="120"/>
      <c r="E4311" s="120"/>
      <c r="F4311" s="120"/>
      <c r="G4311" s="120"/>
      <c r="H4311" s="120"/>
      <c r="I4311" s="121"/>
      <c r="J4311" s="121"/>
      <c r="K4311" s="117"/>
    </row>
    <row r="4312" ht="15.75" customHeight="1">
      <c r="A4312" s="122"/>
      <c r="B4312" s="133"/>
      <c r="C4312" s="120"/>
      <c r="D4312" s="120"/>
      <c r="E4312" s="120"/>
      <c r="F4312" s="120"/>
      <c r="G4312" s="120"/>
      <c r="H4312" s="120"/>
      <c r="I4312" s="121"/>
      <c r="J4312" s="121"/>
      <c r="K4312" s="117"/>
    </row>
    <row r="4313" ht="15.75" customHeight="1">
      <c r="A4313" s="122"/>
      <c r="B4313" s="133"/>
      <c r="C4313" s="120"/>
      <c r="D4313" s="120"/>
      <c r="E4313" s="120"/>
      <c r="F4313" s="120"/>
      <c r="G4313" s="120"/>
      <c r="H4313" s="120"/>
      <c r="I4313" s="121"/>
      <c r="J4313" s="121"/>
      <c r="K4313" s="117"/>
    </row>
    <row r="4314" ht="15.75" customHeight="1">
      <c r="A4314" s="122"/>
      <c r="B4314" s="133"/>
      <c r="C4314" s="120"/>
      <c r="D4314" s="120"/>
      <c r="E4314" s="120"/>
      <c r="F4314" s="120"/>
      <c r="G4314" s="120"/>
      <c r="H4314" s="120"/>
      <c r="I4314" s="121"/>
      <c r="J4314" s="121"/>
      <c r="K4314" s="117"/>
    </row>
    <row r="4315" ht="15.75" customHeight="1">
      <c r="A4315" s="122"/>
      <c r="B4315" s="133"/>
      <c r="C4315" s="120"/>
      <c r="D4315" s="120"/>
      <c r="E4315" s="120"/>
      <c r="F4315" s="120"/>
      <c r="G4315" s="120"/>
      <c r="H4315" s="120"/>
      <c r="I4315" s="121"/>
      <c r="J4315" s="121"/>
      <c r="K4315" s="117"/>
    </row>
    <row r="4316" ht="15.75" customHeight="1">
      <c r="A4316" s="122"/>
      <c r="B4316" s="133"/>
      <c r="C4316" s="120"/>
      <c r="D4316" s="120"/>
      <c r="E4316" s="120"/>
      <c r="F4316" s="120"/>
      <c r="G4316" s="120"/>
      <c r="H4316" s="120"/>
      <c r="I4316" s="121"/>
      <c r="J4316" s="121"/>
      <c r="K4316" s="117"/>
    </row>
    <row r="4317" ht="15.75" customHeight="1">
      <c r="A4317" s="122"/>
      <c r="B4317" s="133"/>
      <c r="C4317" s="120"/>
      <c r="D4317" s="120"/>
      <c r="E4317" s="120"/>
      <c r="F4317" s="120"/>
      <c r="G4317" s="120"/>
      <c r="H4317" s="120"/>
      <c r="I4317" s="121"/>
      <c r="J4317" s="121"/>
      <c r="K4317" s="117"/>
    </row>
    <row r="4318" ht="15.75" customHeight="1">
      <c r="A4318" s="122"/>
      <c r="B4318" s="133"/>
      <c r="C4318" s="120"/>
      <c r="D4318" s="120"/>
      <c r="E4318" s="120"/>
      <c r="F4318" s="120"/>
      <c r="G4318" s="120"/>
      <c r="H4318" s="120"/>
      <c r="I4318" s="121"/>
      <c r="J4318" s="121"/>
      <c r="K4318" s="117"/>
    </row>
    <row r="4319" ht="15.75" customHeight="1">
      <c r="A4319" s="122"/>
      <c r="B4319" s="133"/>
      <c r="C4319" s="120"/>
      <c r="D4319" s="120"/>
      <c r="E4319" s="120"/>
      <c r="F4319" s="120"/>
      <c r="G4319" s="120"/>
      <c r="H4319" s="120"/>
      <c r="I4319" s="121"/>
      <c r="J4319" s="121"/>
      <c r="K4319" s="117"/>
    </row>
    <row r="4320" ht="15.75" customHeight="1">
      <c r="A4320" s="122"/>
      <c r="B4320" s="133"/>
      <c r="C4320" s="120"/>
      <c r="D4320" s="120"/>
      <c r="E4320" s="120"/>
      <c r="F4320" s="120"/>
      <c r="G4320" s="120"/>
      <c r="H4320" s="120"/>
      <c r="I4320" s="121"/>
      <c r="J4320" s="121"/>
      <c r="K4320" s="117"/>
    </row>
    <row r="4321" ht="15.75" customHeight="1">
      <c r="A4321" s="122"/>
      <c r="B4321" s="133"/>
      <c r="C4321" s="120"/>
      <c r="D4321" s="120"/>
      <c r="E4321" s="120"/>
      <c r="F4321" s="120"/>
      <c r="G4321" s="120"/>
      <c r="H4321" s="120"/>
      <c r="I4321" s="121"/>
      <c r="J4321" s="121"/>
      <c r="K4321" s="117"/>
    </row>
    <row r="4322" ht="15.75" customHeight="1">
      <c r="A4322" s="122"/>
      <c r="B4322" s="133"/>
      <c r="C4322" s="120"/>
      <c r="D4322" s="120"/>
      <c r="E4322" s="120"/>
      <c r="F4322" s="120"/>
      <c r="G4322" s="120"/>
      <c r="H4322" s="120"/>
      <c r="I4322" s="121"/>
      <c r="J4322" s="121"/>
      <c r="K4322" s="117"/>
    </row>
    <row r="4323" ht="15.75" customHeight="1">
      <c r="A4323" s="122"/>
      <c r="B4323" s="133"/>
      <c r="C4323" s="120"/>
      <c r="D4323" s="120"/>
      <c r="E4323" s="120"/>
      <c r="F4323" s="120"/>
      <c r="G4323" s="120"/>
      <c r="H4323" s="120"/>
      <c r="I4323" s="121"/>
      <c r="J4323" s="121"/>
      <c r="K4323" s="117"/>
    </row>
    <row r="4324" ht="15.75" customHeight="1">
      <c r="A4324" s="122"/>
      <c r="B4324" s="133"/>
      <c r="C4324" s="120"/>
      <c r="D4324" s="120"/>
      <c r="E4324" s="120"/>
      <c r="F4324" s="120"/>
      <c r="G4324" s="120"/>
      <c r="H4324" s="120"/>
      <c r="I4324" s="121"/>
      <c r="J4324" s="121"/>
      <c r="K4324" s="117"/>
    </row>
    <row r="4325" ht="15.75" customHeight="1">
      <c r="A4325" s="122"/>
      <c r="B4325" s="133"/>
      <c r="C4325" s="120"/>
      <c r="D4325" s="120"/>
      <c r="E4325" s="120"/>
      <c r="F4325" s="120"/>
      <c r="G4325" s="120"/>
      <c r="H4325" s="120"/>
      <c r="I4325" s="121"/>
      <c r="J4325" s="121"/>
      <c r="K4325" s="117"/>
    </row>
    <row r="4326" ht="15.75" customHeight="1">
      <c r="A4326" s="122"/>
      <c r="B4326" s="133"/>
      <c r="C4326" s="120"/>
      <c r="D4326" s="120"/>
      <c r="E4326" s="120"/>
      <c r="F4326" s="120"/>
      <c r="G4326" s="120"/>
      <c r="H4326" s="120"/>
      <c r="I4326" s="121"/>
      <c r="J4326" s="121"/>
      <c r="K4326" s="117"/>
    </row>
    <row r="4327" ht="15.75" customHeight="1">
      <c r="A4327" s="122"/>
      <c r="B4327" s="133"/>
      <c r="C4327" s="120"/>
      <c r="D4327" s="120"/>
      <c r="E4327" s="120"/>
      <c r="F4327" s="120"/>
      <c r="G4327" s="120"/>
      <c r="H4327" s="120"/>
      <c r="I4327" s="121"/>
      <c r="J4327" s="121"/>
      <c r="K4327" s="117"/>
    </row>
    <row r="4328" ht="15.75" customHeight="1">
      <c r="A4328" s="122"/>
      <c r="B4328" s="133"/>
      <c r="C4328" s="120"/>
      <c r="D4328" s="120"/>
      <c r="E4328" s="120"/>
      <c r="F4328" s="120"/>
      <c r="G4328" s="120"/>
      <c r="H4328" s="120"/>
      <c r="I4328" s="121"/>
      <c r="J4328" s="121"/>
      <c r="K4328" s="117"/>
    </row>
    <row r="4329" ht="15.75" customHeight="1">
      <c r="A4329" s="122"/>
      <c r="B4329" s="133"/>
      <c r="C4329" s="120"/>
      <c r="D4329" s="120"/>
      <c r="E4329" s="120"/>
      <c r="F4329" s="120"/>
      <c r="G4329" s="120"/>
      <c r="H4329" s="120"/>
      <c r="I4329" s="121"/>
      <c r="J4329" s="121"/>
      <c r="K4329" s="117"/>
    </row>
    <row r="4330" ht="15.75" customHeight="1">
      <c r="A4330" s="122"/>
      <c r="B4330" s="133"/>
      <c r="C4330" s="120"/>
      <c r="D4330" s="120"/>
      <c r="E4330" s="120"/>
      <c r="F4330" s="120"/>
      <c r="G4330" s="120"/>
      <c r="H4330" s="120"/>
      <c r="I4330" s="121"/>
      <c r="J4330" s="121"/>
      <c r="K4330" s="117"/>
    </row>
    <row r="4331" ht="15.75" customHeight="1">
      <c r="A4331" s="122"/>
      <c r="B4331" s="133"/>
      <c r="C4331" s="120"/>
      <c r="D4331" s="120"/>
      <c r="E4331" s="120"/>
      <c r="F4331" s="120"/>
      <c r="G4331" s="120"/>
      <c r="H4331" s="120"/>
      <c r="I4331" s="121"/>
      <c r="J4331" s="121"/>
      <c r="K4331" s="117"/>
    </row>
    <row r="4332" ht="15.75" customHeight="1">
      <c r="A4332" s="122"/>
      <c r="B4332" s="133"/>
      <c r="C4332" s="120"/>
      <c r="D4332" s="120"/>
      <c r="E4332" s="120"/>
      <c r="F4332" s="120"/>
      <c r="G4332" s="120"/>
      <c r="H4332" s="120"/>
      <c r="I4332" s="121"/>
      <c r="J4332" s="121"/>
      <c r="K4332" s="117"/>
    </row>
    <row r="4333" ht="15.75" customHeight="1">
      <c r="A4333" s="122"/>
      <c r="B4333" s="133"/>
      <c r="C4333" s="120"/>
      <c r="D4333" s="120"/>
      <c r="E4333" s="120"/>
      <c r="F4333" s="120"/>
      <c r="G4333" s="120"/>
      <c r="H4333" s="120"/>
      <c r="I4333" s="121"/>
      <c r="J4333" s="121"/>
      <c r="K4333" s="117"/>
    </row>
    <row r="4334" ht="15.75" customHeight="1">
      <c r="A4334" s="122"/>
      <c r="B4334" s="133"/>
      <c r="C4334" s="120"/>
      <c r="D4334" s="120"/>
      <c r="E4334" s="120"/>
      <c r="F4334" s="120"/>
      <c r="G4334" s="120"/>
      <c r="H4334" s="120"/>
      <c r="I4334" s="121"/>
      <c r="J4334" s="121"/>
      <c r="K4334" s="117"/>
    </row>
    <row r="4335" ht="15.75" customHeight="1">
      <c r="A4335" s="122"/>
      <c r="B4335" s="133"/>
      <c r="C4335" s="120"/>
      <c r="D4335" s="120"/>
      <c r="E4335" s="120"/>
      <c r="F4335" s="120"/>
      <c r="G4335" s="120"/>
      <c r="H4335" s="120"/>
      <c r="I4335" s="121"/>
      <c r="J4335" s="121"/>
      <c r="K4335" s="117"/>
    </row>
    <row r="4336" ht="15.75" customHeight="1">
      <c r="A4336" s="122"/>
      <c r="B4336" s="133"/>
      <c r="C4336" s="120"/>
      <c r="D4336" s="120"/>
      <c r="E4336" s="120"/>
      <c r="F4336" s="120"/>
      <c r="G4336" s="120"/>
      <c r="H4336" s="120"/>
      <c r="I4336" s="121"/>
      <c r="J4336" s="121"/>
      <c r="K4336" s="117"/>
    </row>
    <row r="4337" ht="15.75" customHeight="1">
      <c r="A4337" s="122"/>
      <c r="B4337" s="133"/>
      <c r="C4337" s="120"/>
      <c r="D4337" s="120"/>
      <c r="E4337" s="120"/>
      <c r="F4337" s="120"/>
      <c r="G4337" s="120"/>
      <c r="H4337" s="120"/>
      <c r="I4337" s="121"/>
      <c r="J4337" s="121"/>
      <c r="K4337" s="117"/>
    </row>
    <row r="4338" ht="15.75" customHeight="1">
      <c r="A4338" s="122"/>
      <c r="B4338" s="133"/>
      <c r="C4338" s="120"/>
      <c r="D4338" s="120"/>
      <c r="E4338" s="120"/>
      <c r="F4338" s="120"/>
      <c r="G4338" s="120"/>
      <c r="H4338" s="120"/>
      <c r="I4338" s="121"/>
      <c r="J4338" s="121"/>
      <c r="K4338" s="117"/>
    </row>
    <row r="4339" ht="15.75" customHeight="1">
      <c r="A4339" s="122"/>
      <c r="B4339" s="133"/>
      <c r="C4339" s="120"/>
      <c r="D4339" s="120"/>
      <c r="E4339" s="120"/>
      <c r="F4339" s="120"/>
      <c r="G4339" s="120"/>
      <c r="H4339" s="120"/>
      <c r="I4339" s="121"/>
      <c r="J4339" s="121"/>
      <c r="K4339" s="117"/>
    </row>
    <row r="4340" ht="15.75" customHeight="1">
      <c r="A4340" s="122"/>
      <c r="B4340" s="133"/>
      <c r="C4340" s="120"/>
      <c r="D4340" s="120"/>
      <c r="E4340" s="120"/>
      <c r="F4340" s="120"/>
      <c r="G4340" s="120"/>
      <c r="H4340" s="120"/>
      <c r="I4340" s="121"/>
      <c r="J4340" s="121"/>
      <c r="K4340" s="117"/>
    </row>
    <row r="4341" ht="15.75" customHeight="1">
      <c r="A4341" s="122"/>
      <c r="B4341" s="133"/>
      <c r="C4341" s="120"/>
      <c r="D4341" s="120"/>
      <c r="E4341" s="120"/>
      <c r="F4341" s="120"/>
      <c r="G4341" s="120"/>
      <c r="H4341" s="120"/>
      <c r="I4341" s="121"/>
      <c r="J4341" s="121"/>
      <c r="K4341" s="117"/>
    </row>
    <row r="4342" ht="15.75" customHeight="1">
      <c r="A4342" s="122"/>
      <c r="B4342" s="133"/>
      <c r="C4342" s="120"/>
      <c r="D4342" s="120"/>
      <c r="E4342" s="120"/>
      <c r="F4342" s="120"/>
      <c r="G4342" s="120"/>
      <c r="H4342" s="120"/>
      <c r="I4342" s="121"/>
      <c r="J4342" s="121"/>
      <c r="K4342" s="117"/>
    </row>
    <row r="4343" ht="15.75" customHeight="1">
      <c r="A4343" s="122"/>
      <c r="B4343" s="133"/>
      <c r="C4343" s="120"/>
      <c r="D4343" s="120"/>
      <c r="E4343" s="120"/>
      <c r="F4343" s="120"/>
      <c r="G4343" s="120"/>
      <c r="H4343" s="120"/>
      <c r="I4343" s="121"/>
      <c r="J4343" s="121"/>
      <c r="K4343" s="117"/>
    </row>
    <row r="4344" ht="15.75" customHeight="1">
      <c r="A4344" s="122"/>
      <c r="B4344" s="133"/>
      <c r="C4344" s="120"/>
      <c r="D4344" s="120"/>
      <c r="E4344" s="120"/>
      <c r="F4344" s="120"/>
      <c r="G4344" s="120"/>
      <c r="H4344" s="120"/>
      <c r="I4344" s="121"/>
      <c r="J4344" s="121"/>
      <c r="K4344" s="117"/>
    </row>
    <row r="4345" ht="15.75" customHeight="1">
      <c r="A4345" s="122"/>
      <c r="B4345" s="133"/>
      <c r="C4345" s="120"/>
      <c r="D4345" s="120"/>
      <c r="E4345" s="120"/>
      <c r="F4345" s="120"/>
      <c r="G4345" s="120"/>
      <c r="H4345" s="120"/>
      <c r="I4345" s="121"/>
      <c r="J4345" s="121"/>
      <c r="K4345" s="117"/>
    </row>
    <row r="4346" ht="15.75" customHeight="1">
      <c r="A4346" s="122"/>
      <c r="B4346" s="133"/>
      <c r="C4346" s="120"/>
      <c r="D4346" s="120"/>
      <c r="E4346" s="120"/>
      <c r="F4346" s="120"/>
      <c r="G4346" s="120"/>
      <c r="H4346" s="120"/>
      <c r="I4346" s="121"/>
      <c r="J4346" s="121"/>
      <c r="K4346" s="117"/>
    </row>
    <row r="4347" ht="15.75" customHeight="1">
      <c r="A4347" s="122"/>
      <c r="B4347" s="133"/>
      <c r="C4347" s="120"/>
      <c r="D4347" s="120"/>
      <c r="E4347" s="120"/>
      <c r="F4347" s="120"/>
      <c r="G4347" s="120"/>
      <c r="H4347" s="120"/>
      <c r="I4347" s="121"/>
      <c r="J4347" s="121"/>
      <c r="K4347" s="117"/>
    </row>
    <row r="4348" ht="15.75" customHeight="1">
      <c r="A4348" s="122"/>
      <c r="B4348" s="133"/>
      <c r="C4348" s="120"/>
      <c r="D4348" s="120"/>
      <c r="E4348" s="120"/>
      <c r="F4348" s="120"/>
      <c r="G4348" s="120"/>
      <c r="H4348" s="120"/>
      <c r="I4348" s="121"/>
      <c r="J4348" s="121"/>
      <c r="K4348" s="117"/>
    </row>
    <row r="4349" ht="15.75" customHeight="1">
      <c r="A4349" s="122"/>
      <c r="B4349" s="133"/>
      <c r="C4349" s="120"/>
      <c r="D4349" s="120"/>
      <c r="E4349" s="120"/>
      <c r="F4349" s="120"/>
      <c r="G4349" s="120"/>
      <c r="H4349" s="120"/>
      <c r="I4349" s="121"/>
      <c r="J4349" s="121"/>
      <c r="K4349" s="117"/>
    </row>
    <row r="4350" ht="15.75" customHeight="1">
      <c r="A4350" s="122"/>
      <c r="B4350" s="133"/>
      <c r="C4350" s="120"/>
      <c r="D4350" s="120"/>
      <c r="E4350" s="120"/>
      <c r="F4350" s="120"/>
      <c r="G4350" s="120"/>
      <c r="H4350" s="120"/>
      <c r="I4350" s="121"/>
      <c r="J4350" s="121"/>
      <c r="K4350" s="117"/>
    </row>
    <row r="4351" ht="15.75" customHeight="1">
      <c r="A4351" s="122"/>
      <c r="B4351" s="133"/>
      <c r="C4351" s="120"/>
      <c r="D4351" s="120"/>
      <c r="E4351" s="120"/>
      <c r="F4351" s="120"/>
      <c r="G4351" s="120"/>
      <c r="H4351" s="120"/>
      <c r="I4351" s="121"/>
      <c r="J4351" s="121"/>
      <c r="K4351" s="117"/>
    </row>
    <row r="4352" ht="15.75" customHeight="1">
      <c r="A4352" s="122"/>
      <c r="B4352" s="133"/>
      <c r="C4352" s="120"/>
      <c r="D4352" s="120"/>
      <c r="E4352" s="120"/>
      <c r="F4352" s="120"/>
      <c r="G4352" s="120"/>
      <c r="H4352" s="120"/>
      <c r="I4352" s="121"/>
      <c r="J4352" s="121"/>
      <c r="K4352" s="117"/>
    </row>
    <row r="4353" ht="15.75" customHeight="1">
      <c r="A4353" s="122"/>
      <c r="B4353" s="133"/>
      <c r="C4353" s="120"/>
      <c r="D4353" s="120"/>
      <c r="E4353" s="120"/>
      <c r="F4353" s="120"/>
      <c r="G4353" s="120"/>
      <c r="H4353" s="120"/>
      <c r="I4353" s="121"/>
      <c r="J4353" s="121"/>
      <c r="K4353" s="117"/>
    </row>
    <row r="4354" ht="15.75" customHeight="1">
      <c r="A4354" s="122"/>
      <c r="B4354" s="133"/>
      <c r="C4354" s="120"/>
      <c r="D4354" s="120"/>
      <c r="E4354" s="120"/>
      <c r="F4354" s="120"/>
      <c r="G4354" s="120"/>
      <c r="H4354" s="120"/>
      <c r="I4354" s="121"/>
      <c r="J4354" s="121"/>
      <c r="K4354" s="117"/>
    </row>
    <row r="4355" ht="15.75" customHeight="1">
      <c r="A4355" s="122"/>
      <c r="B4355" s="133"/>
      <c r="C4355" s="120"/>
      <c r="D4355" s="120"/>
      <c r="E4355" s="120"/>
      <c r="F4355" s="120"/>
      <c r="G4355" s="120"/>
      <c r="H4355" s="120"/>
      <c r="I4355" s="121"/>
      <c r="J4355" s="121"/>
      <c r="K4355" s="117"/>
    </row>
    <row r="4356" ht="15.75" customHeight="1">
      <c r="A4356" s="122"/>
      <c r="B4356" s="133"/>
      <c r="C4356" s="120"/>
      <c r="D4356" s="120"/>
      <c r="E4356" s="120"/>
      <c r="F4356" s="120"/>
      <c r="G4356" s="120"/>
      <c r="H4356" s="120"/>
      <c r="I4356" s="121"/>
      <c r="J4356" s="121"/>
      <c r="K4356" s="117"/>
    </row>
    <row r="4357" ht="15.75" customHeight="1">
      <c r="A4357" s="122"/>
      <c r="B4357" s="133"/>
      <c r="C4357" s="120"/>
      <c r="D4357" s="120"/>
      <c r="E4357" s="120"/>
      <c r="F4357" s="120"/>
      <c r="G4357" s="120"/>
      <c r="H4357" s="120"/>
      <c r="I4357" s="121"/>
      <c r="J4357" s="121"/>
      <c r="K4357" s="117"/>
    </row>
    <row r="4358" ht="15.75" customHeight="1">
      <c r="A4358" s="122"/>
      <c r="B4358" s="133"/>
      <c r="C4358" s="120"/>
      <c r="D4358" s="120"/>
      <c r="E4358" s="120"/>
      <c r="F4358" s="120"/>
      <c r="G4358" s="120"/>
      <c r="H4358" s="120"/>
      <c r="I4358" s="121"/>
      <c r="J4358" s="121"/>
      <c r="K4358" s="117"/>
    </row>
    <row r="4359" ht="15.75" customHeight="1">
      <c r="A4359" s="122"/>
      <c r="B4359" s="133"/>
      <c r="C4359" s="120"/>
      <c r="D4359" s="120"/>
      <c r="E4359" s="120"/>
      <c r="F4359" s="120"/>
      <c r="G4359" s="120"/>
      <c r="H4359" s="120"/>
      <c r="I4359" s="121"/>
      <c r="J4359" s="121"/>
      <c r="K4359" s="117"/>
    </row>
    <row r="4360" ht="15.75" customHeight="1">
      <c r="A4360" s="122"/>
      <c r="B4360" s="133"/>
      <c r="C4360" s="120"/>
      <c r="D4360" s="120"/>
      <c r="E4360" s="120"/>
      <c r="F4360" s="120"/>
      <c r="G4360" s="120"/>
      <c r="H4360" s="120"/>
      <c r="I4360" s="121"/>
      <c r="J4360" s="121"/>
      <c r="K4360" s="117"/>
    </row>
    <row r="4361" ht="15.75" customHeight="1">
      <c r="A4361" s="122"/>
      <c r="B4361" s="133"/>
      <c r="C4361" s="120"/>
      <c r="D4361" s="120"/>
      <c r="E4361" s="120"/>
      <c r="F4361" s="120"/>
      <c r="G4361" s="120"/>
      <c r="H4361" s="120"/>
      <c r="I4361" s="121"/>
      <c r="J4361" s="121"/>
      <c r="K4361" s="117"/>
    </row>
    <row r="4362" ht="15.75" customHeight="1">
      <c r="A4362" s="122"/>
      <c r="B4362" s="133"/>
      <c r="C4362" s="120"/>
      <c r="D4362" s="120"/>
      <c r="E4362" s="120"/>
      <c r="F4362" s="120"/>
      <c r="G4362" s="120"/>
      <c r="H4362" s="120"/>
      <c r="I4362" s="121"/>
      <c r="J4362" s="121"/>
      <c r="K4362" s="117"/>
    </row>
    <row r="4363" ht="15.75" customHeight="1">
      <c r="A4363" s="122"/>
      <c r="B4363" s="133"/>
      <c r="C4363" s="120"/>
      <c r="D4363" s="120"/>
      <c r="E4363" s="120"/>
      <c r="F4363" s="120"/>
      <c r="G4363" s="120"/>
      <c r="H4363" s="120"/>
      <c r="I4363" s="121"/>
      <c r="J4363" s="121"/>
      <c r="K4363" s="117"/>
    </row>
    <row r="4364" ht="15.75" customHeight="1">
      <c r="A4364" s="122"/>
      <c r="B4364" s="133"/>
      <c r="C4364" s="120"/>
      <c r="D4364" s="120"/>
      <c r="E4364" s="120"/>
      <c r="F4364" s="120"/>
      <c r="G4364" s="120"/>
      <c r="H4364" s="120"/>
      <c r="I4364" s="121"/>
      <c r="J4364" s="121"/>
      <c r="K4364" s="117"/>
    </row>
    <row r="4365" ht="15.75" customHeight="1">
      <c r="A4365" s="122"/>
      <c r="B4365" s="133"/>
      <c r="C4365" s="120"/>
      <c r="D4365" s="120"/>
      <c r="E4365" s="120"/>
      <c r="F4365" s="120"/>
      <c r="G4365" s="120"/>
      <c r="H4365" s="120"/>
      <c r="I4365" s="121"/>
      <c r="J4365" s="121"/>
      <c r="K4365" s="117"/>
    </row>
    <row r="4366" ht="15.75" customHeight="1">
      <c r="A4366" s="122"/>
      <c r="B4366" s="133"/>
      <c r="C4366" s="120"/>
      <c r="D4366" s="120"/>
      <c r="E4366" s="120"/>
      <c r="F4366" s="120"/>
      <c r="G4366" s="120"/>
      <c r="H4366" s="120"/>
      <c r="I4366" s="121"/>
      <c r="J4366" s="121"/>
      <c r="K4366" s="117"/>
    </row>
    <row r="4367" ht="15.75" customHeight="1">
      <c r="A4367" s="122"/>
      <c r="B4367" s="133"/>
      <c r="C4367" s="120"/>
      <c r="D4367" s="120"/>
      <c r="E4367" s="120"/>
      <c r="F4367" s="120"/>
      <c r="G4367" s="120"/>
      <c r="H4367" s="120"/>
      <c r="I4367" s="121"/>
      <c r="J4367" s="121"/>
      <c r="K4367" s="117"/>
    </row>
    <row r="4368" ht="15.75" customHeight="1">
      <c r="A4368" s="122"/>
      <c r="B4368" s="133"/>
      <c r="C4368" s="120"/>
      <c r="D4368" s="120"/>
      <c r="E4368" s="120"/>
      <c r="F4368" s="120"/>
      <c r="G4368" s="120"/>
      <c r="H4368" s="120"/>
      <c r="I4368" s="121"/>
      <c r="J4368" s="121"/>
      <c r="K4368" s="117"/>
    </row>
    <row r="4369" ht="15.75" customHeight="1">
      <c r="A4369" s="122"/>
      <c r="B4369" s="133"/>
      <c r="C4369" s="120"/>
      <c r="D4369" s="120"/>
      <c r="E4369" s="120"/>
      <c r="F4369" s="120"/>
      <c r="G4369" s="120"/>
      <c r="H4369" s="120"/>
      <c r="I4369" s="121"/>
      <c r="J4369" s="121"/>
      <c r="K4369" s="117"/>
    </row>
    <row r="4370" ht="15.75" customHeight="1">
      <c r="A4370" s="122"/>
      <c r="B4370" s="133"/>
      <c r="C4370" s="120"/>
      <c r="D4370" s="120"/>
      <c r="E4370" s="120"/>
      <c r="F4370" s="120"/>
      <c r="G4370" s="120"/>
      <c r="H4370" s="120"/>
      <c r="I4370" s="121"/>
      <c r="J4370" s="121"/>
      <c r="K4370" s="117"/>
    </row>
    <row r="4371" ht="15.75" customHeight="1">
      <c r="A4371" s="122"/>
      <c r="B4371" s="133"/>
      <c r="C4371" s="120"/>
      <c r="D4371" s="120"/>
      <c r="E4371" s="120"/>
      <c r="F4371" s="120"/>
      <c r="G4371" s="120"/>
      <c r="H4371" s="120"/>
      <c r="I4371" s="121"/>
      <c r="J4371" s="121"/>
      <c r="K4371" s="117"/>
    </row>
    <row r="4372" ht="15.75" customHeight="1">
      <c r="A4372" s="122"/>
      <c r="B4372" s="133"/>
      <c r="C4372" s="120"/>
      <c r="D4372" s="120"/>
      <c r="E4372" s="120"/>
      <c r="F4372" s="120"/>
      <c r="G4372" s="120"/>
      <c r="H4372" s="120"/>
      <c r="I4372" s="121"/>
      <c r="J4372" s="121"/>
      <c r="K4372" s="117"/>
    </row>
    <row r="4373" ht="15.75" customHeight="1">
      <c r="A4373" s="122"/>
      <c r="B4373" s="133"/>
      <c r="C4373" s="120"/>
      <c r="D4373" s="120"/>
      <c r="E4373" s="120"/>
      <c r="F4373" s="120"/>
      <c r="G4373" s="120"/>
      <c r="H4373" s="120"/>
      <c r="I4373" s="121"/>
      <c r="J4373" s="121"/>
      <c r="K4373" s="117"/>
    </row>
    <row r="4374" ht="15.75" customHeight="1">
      <c r="A4374" s="122"/>
      <c r="B4374" s="133"/>
      <c r="C4374" s="120"/>
      <c r="D4374" s="120"/>
      <c r="E4374" s="120"/>
      <c r="F4374" s="120"/>
      <c r="G4374" s="120"/>
      <c r="H4374" s="120"/>
      <c r="I4374" s="121"/>
      <c r="J4374" s="121"/>
      <c r="K4374" s="117"/>
    </row>
    <row r="4375" ht="15.75" customHeight="1">
      <c r="A4375" s="122"/>
      <c r="B4375" s="133"/>
      <c r="C4375" s="120"/>
      <c r="D4375" s="120"/>
      <c r="E4375" s="120"/>
      <c r="F4375" s="120"/>
      <c r="G4375" s="120"/>
      <c r="H4375" s="120"/>
      <c r="I4375" s="121"/>
      <c r="J4375" s="121"/>
      <c r="K4375" s="117"/>
    </row>
    <row r="4376" ht="15.75" customHeight="1">
      <c r="A4376" s="122"/>
      <c r="B4376" s="133"/>
      <c r="C4376" s="120"/>
      <c r="D4376" s="120"/>
      <c r="E4376" s="120"/>
      <c r="F4376" s="120"/>
      <c r="G4376" s="120"/>
      <c r="H4376" s="120"/>
      <c r="I4376" s="121"/>
      <c r="J4376" s="121"/>
      <c r="K4376" s="117"/>
    </row>
    <row r="4377" ht="15.75" customHeight="1">
      <c r="A4377" s="122"/>
      <c r="B4377" s="133"/>
      <c r="C4377" s="120"/>
      <c r="D4377" s="120"/>
      <c r="E4377" s="120"/>
      <c r="F4377" s="120"/>
      <c r="G4377" s="120"/>
      <c r="H4377" s="120"/>
      <c r="I4377" s="121"/>
      <c r="J4377" s="121"/>
      <c r="K4377" s="117"/>
    </row>
    <row r="4378" ht="15.75" customHeight="1">
      <c r="A4378" s="122"/>
      <c r="B4378" s="133"/>
      <c r="C4378" s="120"/>
      <c r="D4378" s="120"/>
      <c r="E4378" s="120"/>
      <c r="F4378" s="120"/>
      <c r="G4378" s="120"/>
      <c r="H4378" s="120"/>
      <c r="I4378" s="121"/>
      <c r="J4378" s="121"/>
      <c r="K4378" s="117"/>
    </row>
    <row r="4379" ht="15.75" customHeight="1">
      <c r="A4379" s="122"/>
      <c r="B4379" s="133"/>
      <c r="C4379" s="120"/>
      <c r="D4379" s="120"/>
      <c r="E4379" s="120"/>
      <c r="F4379" s="120"/>
      <c r="G4379" s="120"/>
      <c r="H4379" s="120"/>
      <c r="I4379" s="121"/>
      <c r="J4379" s="121"/>
      <c r="K4379" s="117"/>
    </row>
    <row r="4380" ht="15.75" customHeight="1">
      <c r="A4380" s="122"/>
      <c r="B4380" s="133"/>
      <c r="C4380" s="120"/>
      <c r="D4380" s="120"/>
      <c r="E4380" s="120"/>
      <c r="F4380" s="120"/>
      <c r="G4380" s="120"/>
      <c r="H4380" s="120"/>
      <c r="I4380" s="121"/>
      <c r="J4380" s="121"/>
      <c r="K4380" s="117"/>
    </row>
    <row r="4381" ht="15.75" customHeight="1">
      <c r="A4381" s="122"/>
      <c r="B4381" s="133"/>
      <c r="C4381" s="120"/>
      <c r="D4381" s="120"/>
      <c r="E4381" s="120"/>
      <c r="F4381" s="120"/>
      <c r="G4381" s="120"/>
      <c r="H4381" s="120"/>
      <c r="I4381" s="121"/>
      <c r="J4381" s="121"/>
      <c r="K4381" s="117"/>
    </row>
    <row r="4382" ht="15.75" customHeight="1">
      <c r="A4382" s="122"/>
      <c r="B4382" s="133"/>
      <c r="C4382" s="120"/>
      <c r="D4382" s="120"/>
      <c r="E4382" s="120"/>
      <c r="F4382" s="120"/>
      <c r="G4382" s="120"/>
      <c r="H4382" s="120"/>
      <c r="I4382" s="121"/>
      <c r="J4382" s="121"/>
      <c r="K4382" s="117"/>
    </row>
    <row r="4383" ht="15.75" customHeight="1">
      <c r="A4383" s="122"/>
      <c r="B4383" s="133"/>
      <c r="C4383" s="120"/>
      <c r="D4383" s="120"/>
      <c r="E4383" s="120"/>
      <c r="F4383" s="120"/>
      <c r="G4383" s="120"/>
      <c r="H4383" s="120"/>
      <c r="I4383" s="121"/>
      <c r="J4383" s="121"/>
      <c r="K4383" s="117"/>
    </row>
    <row r="4384" ht="15.75" customHeight="1">
      <c r="A4384" s="122"/>
      <c r="B4384" s="133"/>
      <c r="C4384" s="120"/>
      <c r="D4384" s="120"/>
      <c r="E4384" s="120"/>
      <c r="F4384" s="120"/>
      <c r="G4384" s="120"/>
      <c r="H4384" s="120"/>
      <c r="I4384" s="121"/>
      <c r="J4384" s="121"/>
      <c r="K4384" s="117"/>
    </row>
    <row r="4385" ht="15.75" customHeight="1">
      <c r="A4385" s="122"/>
      <c r="B4385" s="133"/>
      <c r="C4385" s="120"/>
      <c r="D4385" s="120"/>
      <c r="E4385" s="120"/>
      <c r="F4385" s="120"/>
      <c r="G4385" s="120"/>
      <c r="H4385" s="120"/>
      <c r="I4385" s="121"/>
      <c r="J4385" s="121"/>
      <c r="K4385" s="117"/>
    </row>
    <row r="4386" ht="15.75" customHeight="1">
      <c r="A4386" s="122"/>
      <c r="B4386" s="133"/>
      <c r="C4386" s="120"/>
      <c r="D4386" s="120"/>
      <c r="E4386" s="120"/>
      <c r="F4386" s="120"/>
      <c r="G4386" s="120"/>
      <c r="H4386" s="120"/>
      <c r="I4386" s="121"/>
      <c r="J4386" s="121"/>
      <c r="K4386" s="117"/>
    </row>
    <row r="4387" ht="15.75" customHeight="1">
      <c r="A4387" s="122"/>
      <c r="B4387" s="133"/>
      <c r="C4387" s="120"/>
      <c r="D4387" s="120"/>
      <c r="E4387" s="120"/>
      <c r="F4387" s="120"/>
      <c r="G4387" s="120"/>
      <c r="H4387" s="120"/>
      <c r="I4387" s="121"/>
      <c r="J4387" s="121"/>
      <c r="K4387" s="117"/>
    </row>
    <row r="4388" ht="15.75" customHeight="1">
      <c r="A4388" s="122"/>
      <c r="B4388" s="133"/>
      <c r="C4388" s="120"/>
      <c r="D4388" s="120"/>
      <c r="E4388" s="120"/>
      <c r="F4388" s="120"/>
      <c r="G4388" s="120"/>
      <c r="H4388" s="120"/>
      <c r="I4388" s="121"/>
      <c r="J4388" s="121"/>
      <c r="K4388" s="117"/>
    </row>
    <row r="4389" ht="15.75" customHeight="1">
      <c r="A4389" s="122"/>
      <c r="B4389" s="133"/>
      <c r="C4389" s="120"/>
      <c r="D4389" s="120"/>
      <c r="E4389" s="120"/>
      <c r="F4389" s="120"/>
      <c r="G4389" s="120"/>
      <c r="H4389" s="120"/>
      <c r="I4389" s="121"/>
      <c r="J4389" s="121"/>
      <c r="K4389" s="117"/>
    </row>
    <row r="4390" ht="15.75" customHeight="1">
      <c r="A4390" s="122"/>
      <c r="B4390" s="133"/>
      <c r="C4390" s="120"/>
      <c r="D4390" s="120"/>
      <c r="E4390" s="120"/>
      <c r="F4390" s="120"/>
      <c r="G4390" s="120"/>
      <c r="H4390" s="120"/>
      <c r="I4390" s="121"/>
      <c r="J4390" s="121"/>
      <c r="K4390" s="117"/>
    </row>
    <row r="4391" ht="15.75" customHeight="1">
      <c r="A4391" s="122"/>
      <c r="B4391" s="133"/>
      <c r="C4391" s="120"/>
      <c r="D4391" s="120"/>
      <c r="E4391" s="120"/>
      <c r="F4391" s="120"/>
      <c r="G4391" s="120"/>
      <c r="H4391" s="120"/>
      <c r="I4391" s="121"/>
      <c r="J4391" s="121"/>
      <c r="K4391" s="117"/>
    </row>
    <row r="4392" ht="15.75" customHeight="1">
      <c r="A4392" s="122"/>
      <c r="B4392" s="133"/>
      <c r="C4392" s="120"/>
      <c r="D4392" s="120"/>
      <c r="E4392" s="120"/>
      <c r="F4392" s="120"/>
      <c r="G4392" s="120"/>
      <c r="H4392" s="120"/>
      <c r="I4392" s="121"/>
      <c r="J4392" s="121"/>
      <c r="K4392" s="117"/>
    </row>
    <row r="4393" ht="15.75" customHeight="1">
      <c r="A4393" s="122"/>
      <c r="B4393" s="133"/>
      <c r="C4393" s="120"/>
      <c r="D4393" s="120"/>
      <c r="E4393" s="120"/>
      <c r="F4393" s="120"/>
      <c r="G4393" s="120"/>
      <c r="H4393" s="120"/>
      <c r="I4393" s="121"/>
      <c r="J4393" s="121"/>
      <c r="K4393" s="117"/>
    </row>
    <row r="4394" ht="15.75" customHeight="1">
      <c r="A4394" s="122"/>
      <c r="B4394" s="133"/>
      <c r="C4394" s="120"/>
      <c r="D4394" s="120"/>
      <c r="E4394" s="120"/>
      <c r="F4394" s="120"/>
      <c r="G4394" s="120"/>
      <c r="H4394" s="120"/>
      <c r="I4394" s="121"/>
      <c r="J4394" s="121"/>
      <c r="K4394" s="117"/>
    </row>
    <row r="4395" ht="15.75" customHeight="1">
      <c r="A4395" s="122"/>
      <c r="B4395" s="133"/>
      <c r="C4395" s="120"/>
      <c r="D4395" s="120"/>
      <c r="E4395" s="120"/>
      <c r="F4395" s="120"/>
      <c r="G4395" s="120"/>
      <c r="H4395" s="120"/>
      <c r="I4395" s="121"/>
      <c r="J4395" s="121"/>
      <c r="K4395" s="117"/>
    </row>
    <row r="4396" ht="15.75" customHeight="1">
      <c r="A4396" s="122"/>
      <c r="B4396" s="133"/>
      <c r="C4396" s="120"/>
      <c r="D4396" s="120"/>
      <c r="E4396" s="120"/>
      <c r="F4396" s="120"/>
      <c r="G4396" s="120"/>
      <c r="H4396" s="120"/>
      <c r="I4396" s="121"/>
      <c r="J4396" s="121"/>
      <c r="K4396" s="117"/>
    </row>
    <row r="4397" ht="15.75" customHeight="1">
      <c r="A4397" s="122"/>
      <c r="B4397" s="133"/>
      <c r="C4397" s="120"/>
      <c r="D4397" s="120"/>
      <c r="E4397" s="120"/>
      <c r="F4397" s="120"/>
      <c r="G4397" s="120"/>
      <c r="H4397" s="120"/>
      <c r="I4397" s="121"/>
      <c r="J4397" s="121"/>
      <c r="K4397" s="117"/>
    </row>
    <row r="4398" ht="15.75" customHeight="1">
      <c r="A4398" s="122"/>
      <c r="B4398" s="133"/>
      <c r="C4398" s="120"/>
      <c r="D4398" s="120"/>
      <c r="E4398" s="120"/>
      <c r="F4398" s="120"/>
      <c r="G4398" s="120"/>
      <c r="H4398" s="120"/>
      <c r="I4398" s="121"/>
      <c r="J4398" s="121"/>
      <c r="K4398" s="117"/>
    </row>
    <row r="4399" ht="15.75" customHeight="1">
      <c r="A4399" s="122"/>
      <c r="B4399" s="133"/>
      <c r="C4399" s="120"/>
      <c r="D4399" s="120"/>
      <c r="E4399" s="120"/>
      <c r="F4399" s="120"/>
      <c r="G4399" s="120"/>
      <c r="H4399" s="120"/>
      <c r="I4399" s="121"/>
      <c r="J4399" s="121"/>
      <c r="K4399" s="117"/>
    </row>
    <row r="4400" ht="15.75" customHeight="1">
      <c r="A4400" s="122"/>
      <c r="B4400" s="133"/>
      <c r="C4400" s="120"/>
      <c r="D4400" s="120"/>
      <c r="E4400" s="120"/>
      <c r="F4400" s="120"/>
      <c r="G4400" s="120"/>
      <c r="H4400" s="120"/>
      <c r="I4400" s="121"/>
      <c r="J4400" s="121"/>
      <c r="K4400" s="117"/>
    </row>
    <row r="4401" ht="15.75" customHeight="1">
      <c r="A4401" s="122"/>
      <c r="B4401" s="133"/>
      <c r="C4401" s="120"/>
      <c r="D4401" s="120"/>
      <c r="E4401" s="120"/>
      <c r="F4401" s="120"/>
      <c r="G4401" s="120"/>
      <c r="H4401" s="120"/>
      <c r="I4401" s="121"/>
      <c r="J4401" s="121"/>
      <c r="K4401" s="117"/>
    </row>
    <row r="4402" ht="15.75" customHeight="1">
      <c r="A4402" s="122"/>
      <c r="B4402" s="133"/>
      <c r="C4402" s="120"/>
      <c r="D4402" s="120"/>
      <c r="E4402" s="120"/>
      <c r="F4402" s="120"/>
      <c r="G4402" s="120"/>
      <c r="H4402" s="120"/>
      <c r="I4402" s="121"/>
      <c r="J4402" s="121"/>
      <c r="K4402" s="117"/>
    </row>
    <row r="4403" ht="15.75" customHeight="1">
      <c r="A4403" s="122"/>
      <c r="B4403" s="133"/>
      <c r="C4403" s="120"/>
      <c r="D4403" s="120"/>
      <c r="E4403" s="120"/>
      <c r="F4403" s="120"/>
      <c r="G4403" s="120"/>
      <c r="H4403" s="120"/>
      <c r="I4403" s="121"/>
      <c r="J4403" s="121"/>
      <c r="K4403" s="117"/>
    </row>
    <row r="4404" ht="15.75" customHeight="1">
      <c r="A4404" s="122"/>
      <c r="B4404" s="133"/>
      <c r="C4404" s="120"/>
      <c r="D4404" s="120"/>
      <c r="E4404" s="120"/>
      <c r="F4404" s="120"/>
      <c r="G4404" s="120"/>
      <c r="H4404" s="120"/>
      <c r="I4404" s="121"/>
      <c r="J4404" s="121"/>
      <c r="K4404" s="117"/>
    </row>
    <row r="4405" ht="15.75" customHeight="1">
      <c r="A4405" s="122"/>
      <c r="B4405" s="133"/>
      <c r="C4405" s="120"/>
      <c r="D4405" s="120"/>
      <c r="E4405" s="120"/>
      <c r="F4405" s="120"/>
      <c r="G4405" s="120"/>
      <c r="H4405" s="120"/>
      <c r="I4405" s="121"/>
      <c r="J4405" s="121"/>
      <c r="K4405" s="117"/>
    </row>
    <row r="4406" ht="15.75" customHeight="1">
      <c r="A4406" s="122"/>
      <c r="B4406" s="133"/>
      <c r="C4406" s="120"/>
      <c r="D4406" s="120"/>
      <c r="E4406" s="120"/>
      <c r="F4406" s="120"/>
      <c r="G4406" s="120"/>
      <c r="H4406" s="120"/>
      <c r="I4406" s="121"/>
      <c r="J4406" s="121"/>
      <c r="K4406" s="117"/>
    </row>
    <row r="4407" ht="15.75" customHeight="1">
      <c r="A4407" s="122"/>
      <c r="B4407" s="133"/>
      <c r="C4407" s="120"/>
      <c r="D4407" s="120"/>
      <c r="E4407" s="120"/>
      <c r="F4407" s="120"/>
      <c r="G4407" s="120"/>
      <c r="H4407" s="120"/>
      <c r="I4407" s="121"/>
      <c r="J4407" s="121"/>
      <c r="K4407" s="117"/>
    </row>
    <row r="4408" ht="15.75" customHeight="1">
      <c r="A4408" s="122"/>
      <c r="B4408" s="133"/>
      <c r="C4408" s="120"/>
      <c r="D4408" s="120"/>
      <c r="E4408" s="120"/>
      <c r="F4408" s="120"/>
      <c r="G4408" s="120"/>
      <c r="H4408" s="120"/>
      <c r="I4408" s="121"/>
      <c r="J4408" s="121"/>
      <c r="K4408" s="117"/>
    </row>
    <row r="4409" ht="15.75" customHeight="1">
      <c r="A4409" s="122"/>
      <c r="B4409" s="133"/>
      <c r="C4409" s="120"/>
      <c r="D4409" s="120"/>
      <c r="E4409" s="120"/>
      <c r="F4409" s="120"/>
      <c r="G4409" s="120"/>
      <c r="H4409" s="120"/>
      <c r="I4409" s="121"/>
      <c r="J4409" s="121"/>
      <c r="K4409" s="117"/>
    </row>
    <row r="4410" ht="15.75" customHeight="1">
      <c r="A4410" s="122"/>
      <c r="B4410" s="133"/>
      <c r="C4410" s="120"/>
      <c r="D4410" s="120"/>
      <c r="E4410" s="120"/>
      <c r="F4410" s="120"/>
      <c r="G4410" s="120"/>
      <c r="H4410" s="120"/>
      <c r="I4410" s="121"/>
      <c r="J4410" s="121"/>
      <c r="K4410" s="117"/>
    </row>
    <row r="4411" ht="15.75" customHeight="1">
      <c r="A4411" s="122"/>
      <c r="B4411" s="133"/>
      <c r="C4411" s="120"/>
      <c r="D4411" s="120"/>
      <c r="E4411" s="120"/>
      <c r="F4411" s="120"/>
      <c r="G4411" s="120"/>
      <c r="H4411" s="120"/>
      <c r="I4411" s="121"/>
      <c r="J4411" s="121"/>
      <c r="K4411" s="117"/>
    </row>
    <row r="4412" ht="15.75" customHeight="1">
      <c r="A4412" s="122"/>
      <c r="B4412" s="133"/>
      <c r="C4412" s="120"/>
      <c r="D4412" s="120"/>
      <c r="E4412" s="120"/>
      <c r="F4412" s="120"/>
      <c r="G4412" s="120"/>
      <c r="H4412" s="120"/>
      <c r="I4412" s="121"/>
      <c r="J4412" s="121"/>
      <c r="K4412" s="117"/>
    </row>
    <row r="4413" ht="15.75" customHeight="1">
      <c r="A4413" s="122"/>
      <c r="B4413" s="133"/>
      <c r="C4413" s="120"/>
      <c r="D4413" s="120"/>
      <c r="E4413" s="120"/>
      <c r="F4413" s="120"/>
      <c r="G4413" s="120"/>
      <c r="H4413" s="120"/>
      <c r="I4413" s="121"/>
      <c r="J4413" s="121"/>
      <c r="K4413" s="117"/>
    </row>
    <row r="4414" ht="15.75" customHeight="1">
      <c r="A4414" s="122"/>
      <c r="B4414" s="133"/>
      <c r="C4414" s="120"/>
      <c r="D4414" s="120"/>
      <c r="E4414" s="120"/>
      <c r="F4414" s="120"/>
      <c r="G4414" s="120"/>
      <c r="H4414" s="120"/>
      <c r="I4414" s="121"/>
      <c r="J4414" s="121"/>
      <c r="K4414" s="117"/>
    </row>
    <row r="4415" ht="15.75" customHeight="1">
      <c r="A4415" s="122"/>
      <c r="B4415" s="133"/>
      <c r="C4415" s="120"/>
      <c r="D4415" s="120"/>
      <c r="E4415" s="120"/>
      <c r="F4415" s="120"/>
      <c r="G4415" s="120"/>
      <c r="H4415" s="120"/>
      <c r="I4415" s="121"/>
      <c r="J4415" s="121"/>
      <c r="K4415" s="117"/>
    </row>
    <row r="4416" ht="15.75" customHeight="1">
      <c r="A4416" s="122"/>
      <c r="B4416" s="133"/>
      <c r="C4416" s="120"/>
      <c r="D4416" s="120"/>
      <c r="E4416" s="120"/>
      <c r="F4416" s="120"/>
      <c r="G4416" s="120"/>
      <c r="H4416" s="120"/>
      <c r="I4416" s="121"/>
      <c r="J4416" s="121"/>
      <c r="K4416" s="117"/>
    </row>
    <row r="4417" ht="15.75" customHeight="1">
      <c r="A4417" s="122"/>
      <c r="B4417" s="133"/>
      <c r="C4417" s="120"/>
      <c r="D4417" s="120"/>
      <c r="E4417" s="120"/>
      <c r="F4417" s="120"/>
      <c r="G4417" s="120"/>
      <c r="H4417" s="120"/>
      <c r="I4417" s="121"/>
      <c r="J4417" s="121"/>
      <c r="K4417" s="117"/>
    </row>
    <row r="4418" ht="15.75" customHeight="1">
      <c r="A4418" s="122"/>
      <c r="B4418" s="133"/>
      <c r="C4418" s="120"/>
      <c r="D4418" s="120"/>
      <c r="E4418" s="120"/>
      <c r="F4418" s="120"/>
      <c r="G4418" s="120"/>
      <c r="H4418" s="120"/>
      <c r="I4418" s="121"/>
      <c r="J4418" s="121"/>
      <c r="K4418" s="117"/>
    </row>
    <row r="4419" ht="15.75" customHeight="1">
      <c r="A4419" s="122"/>
      <c r="B4419" s="133"/>
      <c r="C4419" s="120"/>
      <c r="D4419" s="120"/>
      <c r="E4419" s="120"/>
      <c r="F4419" s="120"/>
      <c r="G4419" s="120"/>
      <c r="H4419" s="120"/>
      <c r="I4419" s="121"/>
      <c r="J4419" s="121"/>
      <c r="K4419" s="117"/>
    </row>
    <row r="4420" ht="15.75" customHeight="1">
      <c r="A4420" s="122"/>
      <c r="B4420" s="133"/>
      <c r="C4420" s="120"/>
      <c r="D4420" s="120"/>
      <c r="E4420" s="120"/>
      <c r="F4420" s="120"/>
      <c r="G4420" s="120"/>
      <c r="H4420" s="120"/>
      <c r="I4420" s="121"/>
      <c r="J4420" s="121"/>
      <c r="K4420" s="117"/>
    </row>
    <row r="4421" ht="15.75" customHeight="1">
      <c r="A4421" s="122"/>
      <c r="B4421" s="133"/>
      <c r="C4421" s="120"/>
      <c r="D4421" s="120"/>
      <c r="E4421" s="120"/>
      <c r="F4421" s="120"/>
      <c r="G4421" s="120"/>
      <c r="H4421" s="120"/>
      <c r="I4421" s="121"/>
      <c r="J4421" s="121"/>
      <c r="K4421" s="117"/>
    </row>
    <row r="4422" ht="15.75" customHeight="1">
      <c r="A4422" s="122"/>
      <c r="B4422" s="133"/>
      <c r="C4422" s="120"/>
      <c r="D4422" s="120"/>
      <c r="E4422" s="120"/>
      <c r="F4422" s="120"/>
      <c r="G4422" s="120"/>
      <c r="H4422" s="120"/>
      <c r="I4422" s="121"/>
      <c r="J4422" s="121"/>
      <c r="K4422" s="117"/>
    </row>
    <row r="4423" ht="15.75" customHeight="1">
      <c r="A4423" s="122"/>
      <c r="B4423" s="133"/>
      <c r="C4423" s="120"/>
      <c r="D4423" s="120"/>
      <c r="E4423" s="120"/>
      <c r="F4423" s="120"/>
      <c r="G4423" s="120"/>
      <c r="H4423" s="120"/>
      <c r="I4423" s="121"/>
      <c r="J4423" s="121"/>
      <c r="K4423" s="117"/>
    </row>
    <row r="4424" ht="15.75" customHeight="1">
      <c r="A4424" s="122"/>
      <c r="B4424" s="133"/>
      <c r="C4424" s="120"/>
      <c r="D4424" s="120"/>
      <c r="E4424" s="120"/>
      <c r="F4424" s="120"/>
      <c r="G4424" s="120"/>
      <c r="H4424" s="120"/>
      <c r="I4424" s="121"/>
      <c r="J4424" s="121"/>
      <c r="K4424" s="117"/>
    </row>
    <row r="4425" ht="15.75" customHeight="1">
      <c r="A4425" s="122"/>
      <c r="B4425" s="133"/>
      <c r="C4425" s="120"/>
      <c r="D4425" s="120"/>
      <c r="E4425" s="120"/>
      <c r="F4425" s="120"/>
      <c r="G4425" s="120"/>
      <c r="H4425" s="120"/>
      <c r="I4425" s="121"/>
      <c r="J4425" s="121"/>
      <c r="K4425" s="117"/>
    </row>
    <row r="4426" ht="15.75" customHeight="1">
      <c r="A4426" s="122"/>
      <c r="B4426" s="133"/>
      <c r="C4426" s="120"/>
      <c r="D4426" s="120"/>
      <c r="E4426" s="120"/>
      <c r="F4426" s="120"/>
      <c r="G4426" s="120"/>
      <c r="H4426" s="120"/>
      <c r="I4426" s="121"/>
      <c r="J4426" s="121"/>
      <c r="K4426" s="117"/>
    </row>
    <row r="4427" ht="15.75" customHeight="1">
      <c r="A4427" s="122"/>
      <c r="B4427" s="133"/>
      <c r="C4427" s="120"/>
      <c r="D4427" s="120"/>
      <c r="E4427" s="120"/>
      <c r="F4427" s="120"/>
      <c r="G4427" s="120"/>
      <c r="H4427" s="120"/>
      <c r="I4427" s="121"/>
      <c r="J4427" s="121"/>
      <c r="K4427" s="117"/>
    </row>
    <row r="4428" ht="15.75" customHeight="1">
      <c r="A4428" s="122"/>
      <c r="B4428" s="133"/>
      <c r="C4428" s="120"/>
      <c r="D4428" s="120"/>
      <c r="E4428" s="120"/>
      <c r="F4428" s="120"/>
      <c r="G4428" s="120"/>
      <c r="H4428" s="120"/>
      <c r="I4428" s="121"/>
      <c r="J4428" s="121"/>
      <c r="K4428" s="117"/>
    </row>
    <row r="4429" ht="15.75" customHeight="1">
      <c r="A4429" s="122"/>
      <c r="B4429" s="133"/>
      <c r="C4429" s="120"/>
      <c r="D4429" s="120"/>
      <c r="E4429" s="120"/>
      <c r="F4429" s="120"/>
      <c r="G4429" s="120"/>
      <c r="H4429" s="120"/>
      <c r="I4429" s="121"/>
      <c r="J4429" s="121"/>
      <c r="K4429" s="117"/>
    </row>
    <row r="4430" ht="15.75" customHeight="1">
      <c r="A4430" s="122"/>
      <c r="B4430" s="133"/>
      <c r="C4430" s="120"/>
      <c r="D4430" s="120"/>
      <c r="E4430" s="120"/>
      <c r="F4430" s="120"/>
      <c r="G4430" s="120"/>
      <c r="H4430" s="120"/>
      <c r="I4430" s="121"/>
      <c r="J4430" s="121"/>
      <c r="K4430" s="117"/>
    </row>
    <row r="4431" ht="15.75" customHeight="1">
      <c r="A4431" s="122"/>
      <c r="B4431" s="133"/>
      <c r="C4431" s="120"/>
      <c r="D4431" s="120"/>
      <c r="E4431" s="120"/>
      <c r="F4431" s="120"/>
      <c r="G4431" s="120"/>
      <c r="H4431" s="120"/>
      <c r="I4431" s="121"/>
      <c r="J4431" s="121"/>
      <c r="K4431" s="117"/>
    </row>
    <row r="4432" ht="15.75" customHeight="1">
      <c r="A4432" s="122"/>
      <c r="B4432" s="133"/>
      <c r="C4432" s="120"/>
      <c r="D4432" s="120"/>
      <c r="E4432" s="120"/>
      <c r="F4432" s="120"/>
      <c r="G4432" s="120"/>
      <c r="H4432" s="120"/>
      <c r="I4432" s="121"/>
      <c r="J4432" s="121"/>
      <c r="K4432" s="117"/>
    </row>
    <row r="4433" ht="15.75" customHeight="1">
      <c r="A4433" s="122"/>
      <c r="B4433" s="133"/>
      <c r="C4433" s="120"/>
      <c r="D4433" s="120"/>
      <c r="E4433" s="120"/>
      <c r="F4433" s="120"/>
      <c r="G4433" s="120"/>
      <c r="H4433" s="120"/>
      <c r="I4433" s="121"/>
      <c r="J4433" s="121"/>
      <c r="K4433" s="117"/>
    </row>
    <row r="4434" ht="15.75" customHeight="1">
      <c r="A4434" s="122"/>
      <c r="B4434" s="133"/>
      <c r="C4434" s="120"/>
      <c r="D4434" s="120"/>
      <c r="E4434" s="120"/>
      <c r="F4434" s="120"/>
      <c r="G4434" s="120"/>
      <c r="H4434" s="120"/>
      <c r="I4434" s="121"/>
      <c r="J4434" s="121"/>
      <c r="K4434" s="117"/>
    </row>
    <row r="4435" ht="15.75" customHeight="1">
      <c r="A4435" s="122"/>
      <c r="B4435" s="133"/>
      <c r="C4435" s="120"/>
      <c r="D4435" s="120"/>
      <c r="E4435" s="120"/>
      <c r="F4435" s="120"/>
      <c r="G4435" s="120"/>
      <c r="H4435" s="120"/>
      <c r="I4435" s="121"/>
      <c r="J4435" s="121"/>
      <c r="K4435" s="117"/>
    </row>
    <row r="4436" ht="15.75" customHeight="1">
      <c r="A4436" s="122"/>
      <c r="B4436" s="133"/>
      <c r="C4436" s="120"/>
      <c r="D4436" s="120"/>
      <c r="E4436" s="120"/>
      <c r="F4436" s="120"/>
      <c r="G4436" s="120"/>
      <c r="H4436" s="120"/>
      <c r="I4436" s="121"/>
      <c r="J4436" s="121"/>
      <c r="K4436" s="117"/>
    </row>
    <row r="4437" ht="15.75" customHeight="1">
      <c r="A4437" s="122"/>
      <c r="B4437" s="133"/>
      <c r="C4437" s="120"/>
      <c r="D4437" s="120"/>
      <c r="E4437" s="120"/>
      <c r="F4437" s="120"/>
      <c r="G4437" s="120"/>
      <c r="H4437" s="120"/>
      <c r="I4437" s="121"/>
      <c r="J4437" s="121"/>
      <c r="K4437" s="117"/>
    </row>
    <row r="4438" ht="15.75" customHeight="1">
      <c r="A4438" s="122"/>
      <c r="B4438" s="133"/>
      <c r="C4438" s="120"/>
      <c r="D4438" s="120"/>
      <c r="E4438" s="120"/>
      <c r="F4438" s="120"/>
      <c r="G4438" s="120"/>
      <c r="H4438" s="120"/>
      <c r="I4438" s="121"/>
      <c r="J4438" s="121"/>
      <c r="K4438" s="117"/>
    </row>
    <row r="4439" ht="15.75" customHeight="1">
      <c r="A4439" s="122"/>
      <c r="B4439" s="133"/>
      <c r="C4439" s="120"/>
      <c r="D4439" s="120"/>
      <c r="E4439" s="120"/>
      <c r="F4439" s="120"/>
      <c r="G4439" s="120"/>
      <c r="H4439" s="120"/>
      <c r="I4439" s="121"/>
      <c r="J4439" s="121"/>
      <c r="K4439" s="117"/>
    </row>
    <row r="4440" ht="15.75" customHeight="1">
      <c r="A4440" s="122"/>
      <c r="B4440" s="133"/>
      <c r="C4440" s="120"/>
      <c r="D4440" s="120"/>
      <c r="E4440" s="120"/>
      <c r="F4440" s="120"/>
      <c r="G4440" s="120"/>
      <c r="H4440" s="120"/>
      <c r="I4440" s="121"/>
      <c r="J4440" s="121"/>
      <c r="K4440" s="117"/>
    </row>
    <row r="4441" ht="15.75" customHeight="1">
      <c r="A4441" s="122"/>
      <c r="B4441" s="133"/>
      <c r="C4441" s="120"/>
      <c r="D4441" s="120"/>
      <c r="E4441" s="120"/>
      <c r="F4441" s="120"/>
      <c r="G4441" s="120"/>
      <c r="H4441" s="120"/>
      <c r="I4441" s="121"/>
      <c r="J4441" s="121"/>
      <c r="K4441" s="117"/>
    </row>
    <row r="4442" ht="15.75" customHeight="1">
      <c r="A4442" s="122"/>
      <c r="B4442" s="133"/>
      <c r="C4442" s="120"/>
      <c r="D4442" s="120"/>
      <c r="E4442" s="120"/>
      <c r="F4442" s="120"/>
      <c r="G4442" s="120"/>
      <c r="H4442" s="120"/>
      <c r="I4442" s="121"/>
      <c r="J4442" s="121"/>
      <c r="K4442" s="117"/>
    </row>
    <row r="4443" ht="15.75" customHeight="1">
      <c r="A4443" s="122"/>
      <c r="B4443" s="133"/>
      <c r="C4443" s="120"/>
      <c r="D4443" s="120"/>
      <c r="E4443" s="120"/>
      <c r="F4443" s="120"/>
      <c r="G4443" s="120"/>
      <c r="H4443" s="120"/>
      <c r="I4443" s="121"/>
      <c r="J4443" s="121"/>
      <c r="K4443" s="117"/>
    </row>
    <row r="4444" ht="15.75" customHeight="1">
      <c r="A4444" s="122"/>
      <c r="B4444" s="133"/>
      <c r="C4444" s="120"/>
      <c r="D4444" s="120"/>
      <c r="E4444" s="120"/>
      <c r="F4444" s="120"/>
      <c r="G4444" s="120"/>
      <c r="H4444" s="120"/>
      <c r="I4444" s="121"/>
      <c r="J4444" s="121"/>
      <c r="K4444" s="117"/>
    </row>
    <row r="4445" ht="15.75" customHeight="1">
      <c r="A4445" s="122"/>
      <c r="B4445" s="133"/>
      <c r="C4445" s="120"/>
      <c r="D4445" s="120"/>
      <c r="E4445" s="120"/>
      <c r="F4445" s="120"/>
      <c r="G4445" s="120"/>
      <c r="H4445" s="120"/>
      <c r="I4445" s="121"/>
      <c r="J4445" s="121"/>
      <c r="K4445" s="117"/>
    </row>
    <row r="4446" ht="15.75" customHeight="1">
      <c r="A4446" s="122"/>
      <c r="B4446" s="133"/>
      <c r="C4446" s="120"/>
      <c r="D4446" s="120"/>
      <c r="E4446" s="120"/>
      <c r="F4446" s="120"/>
      <c r="G4446" s="120"/>
      <c r="H4446" s="120"/>
      <c r="I4446" s="121"/>
      <c r="J4446" s="121"/>
      <c r="K4446" s="117"/>
    </row>
    <row r="4447" ht="15.75" customHeight="1">
      <c r="A4447" s="122"/>
      <c r="B4447" s="133"/>
      <c r="C4447" s="120"/>
      <c r="D4447" s="120"/>
      <c r="E4447" s="120"/>
      <c r="F4447" s="120"/>
      <c r="G4447" s="120"/>
      <c r="H4447" s="120"/>
      <c r="I4447" s="121"/>
      <c r="J4447" s="121"/>
      <c r="K4447" s="117"/>
    </row>
    <row r="4448" ht="15.75" customHeight="1">
      <c r="A4448" s="122"/>
      <c r="B4448" s="133"/>
      <c r="C4448" s="120"/>
      <c r="D4448" s="120"/>
      <c r="E4448" s="120"/>
      <c r="F4448" s="120"/>
      <c r="G4448" s="120"/>
      <c r="H4448" s="120"/>
      <c r="I4448" s="121"/>
      <c r="J4448" s="121"/>
      <c r="K4448" s="117"/>
    </row>
    <row r="4449" ht="15.75" customHeight="1">
      <c r="A4449" s="122"/>
      <c r="B4449" s="133"/>
      <c r="C4449" s="120"/>
      <c r="D4449" s="120"/>
      <c r="E4449" s="120"/>
      <c r="F4449" s="120"/>
      <c r="G4449" s="120"/>
      <c r="H4449" s="120"/>
      <c r="I4449" s="121"/>
      <c r="J4449" s="121"/>
      <c r="K4449" s="117"/>
    </row>
    <row r="4450" ht="15.75" customHeight="1">
      <c r="A4450" s="122"/>
      <c r="B4450" s="133"/>
      <c r="C4450" s="120"/>
      <c r="D4450" s="120"/>
      <c r="E4450" s="120"/>
      <c r="F4450" s="120"/>
      <c r="G4450" s="120"/>
      <c r="H4450" s="120"/>
      <c r="I4450" s="121"/>
      <c r="J4450" s="121"/>
      <c r="K4450" s="117"/>
    </row>
    <row r="4451" ht="15.75" customHeight="1">
      <c r="A4451" s="122"/>
      <c r="B4451" s="133"/>
      <c r="C4451" s="120"/>
      <c r="D4451" s="120"/>
      <c r="E4451" s="120"/>
      <c r="F4451" s="120"/>
      <c r="G4451" s="120"/>
      <c r="H4451" s="120"/>
      <c r="I4451" s="121"/>
      <c r="J4451" s="121"/>
      <c r="K4451" s="117"/>
    </row>
    <row r="4452" ht="15.75" customHeight="1">
      <c r="A4452" s="122"/>
      <c r="B4452" s="133"/>
      <c r="C4452" s="120"/>
      <c r="D4452" s="120"/>
      <c r="E4452" s="120"/>
      <c r="F4452" s="120"/>
      <c r="G4452" s="120"/>
      <c r="H4452" s="120"/>
      <c r="I4452" s="121"/>
      <c r="J4452" s="121"/>
      <c r="K4452" s="117"/>
    </row>
    <row r="4453" ht="15.75" customHeight="1">
      <c r="A4453" s="122"/>
      <c r="B4453" s="133"/>
      <c r="C4453" s="120"/>
      <c r="D4453" s="120"/>
      <c r="E4453" s="120"/>
      <c r="F4453" s="120"/>
      <c r="G4453" s="120"/>
      <c r="H4453" s="120"/>
      <c r="I4453" s="121"/>
      <c r="J4453" s="121"/>
      <c r="K4453" s="117"/>
    </row>
    <row r="4454" ht="15.75" customHeight="1">
      <c r="A4454" s="122"/>
      <c r="B4454" s="133"/>
      <c r="C4454" s="120"/>
      <c r="D4454" s="120"/>
      <c r="E4454" s="120"/>
      <c r="F4454" s="120"/>
      <c r="G4454" s="120"/>
      <c r="H4454" s="120"/>
      <c r="I4454" s="121"/>
      <c r="J4454" s="121"/>
      <c r="K4454" s="117"/>
    </row>
    <row r="4455" ht="15.75" customHeight="1">
      <c r="A4455" s="122"/>
      <c r="B4455" s="133"/>
      <c r="C4455" s="120"/>
      <c r="D4455" s="120"/>
      <c r="E4455" s="120"/>
      <c r="F4455" s="120"/>
      <c r="G4455" s="120"/>
      <c r="H4455" s="120"/>
      <c r="I4455" s="121"/>
      <c r="J4455" s="121"/>
      <c r="K4455" s="117"/>
    </row>
    <row r="4456" ht="15.75" customHeight="1">
      <c r="A4456" s="122"/>
      <c r="B4456" s="133"/>
      <c r="C4456" s="120"/>
      <c r="D4456" s="120"/>
      <c r="E4456" s="120"/>
      <c r="F4456" s="120"/>
      <c r="G4456" s="120"/>
      <c r="H4456" s="120"/>
      <c r="I4456" s="121"/>
      <c r="J4456" s="121"/>
      <c r="K4456" s="117"/>
    </row>
    <row r="4457" ht="15.75" customHeight="1">
      <c r="A4457" s="122"/>
      <c r="B4457" s="133"/>
      <c r="C4457" s="120"/>
      <c r="D4457" s="120"/>
      <c r="E4457" s="120"/>
      <c r="F4457" s="120"/>
      <c r="G4457" s="120"/>
      <c r="H4457" s="120"/>
      <c r="I4457" s="121"/>
      <c r="J4457" s="121"/>
      <c r="K4457" s="117"/>
    </row>
    <row r="4458" ht="15.75" customHeight="1">
      <c r="A4458" s="122"/>
      <c r="B4458" s="133"/>
      <c r="C4458" s="120"/>
      <c r="D4458" s="120"/>
      <c r="E4458" s="120"/>
      <c r="F4458" s="120"/>
      <c r="G4458" s="120"/>
      <c r="H4458" s="120"/>
      <c r="I4458" s="121"/>
      <c r="J4458" s="121"/>
      <c r="K4458" s="117"/>
    </row>
    <row r="4459" ht="15.75" customHeight="1">
      <c r="A4459" s="122"/>
      <c r="B4459" s="133"/>
      <c r="C4459" s="120"/>
      <c r="D4459" s="120"/>
      <c r="E4459" s="120"/>
      <c r="F4459" s="120"/>
      <c r="G4459" s="120"/>
      <c r="H4459" s="120"/>
      <c r="I4459" s="121"/>
      <c r="J4459" s="121"/>
      <c r="K4459" s="117"/>
    </row>
    <row r="4460" ht="15.75" customHeight="1">
      <c r="A4460" s="122"/>
      <c r="B4460" s="133"/>
      <c r="C4460" s="120"/>
      <c r="D4460" s="120"/>
      <c r="E4460" s="120"/>
      <c r="F4460" s="120"/>
      <c r="G4460" s="120"/>
      <c r="H4460" s="120"/>
      <c r="I4460" s="121"/>
      <c r="J4460" s="121"/>
      <c r="K4460" s="117"/>
    </row>
    <row r="4461" ht="15.75" customHeight="1">
      <c r="A4461" s="122"/>
      <c r="B4461" s="133"/>
      <c r="C4461" s="120"/>
      <c r="D4461" s="120"/>
      <c r="E4461" s="120"/>
      <c r="F4461" s="120"/>
      <c r="G4461" s="120"/>
      <c r="H4461" s="120"/>
      <c r="I4461" s="121"/>
      <c r="J4461" s="121"/>
      <c r="K4461" s="117"/>
    </row>
    <row r="4462" ht="15.75" customHeight="1">
      <c r="A4462" s="122"/>
      <c r="B4462" s="133"/>
      <c r="C4462" s="120"/>
      <c r="D4462" s="120"/>
      <c r="E4462" s="120"/>
      <c r="F4462" s="120"/>
      <c r="G4462" s="120"/>
      <c r="H4462" s="120"/>
      <c r="I4462" s="121"/>
      <c r="J4462" s="121"/>
      <c r="K4462" s="117"/>
    </row>
    <row r="4463" ht="15.75" customHeight="1">
      <c r="A4463" s="122"/>
      <c r="B4463" s="133"/>
      <c r="C4463" s="120"/>
      <c r="D4463" s="120"/>
      <c r="E4463" s="120"/>
      <c r="F4463" s="120"/>
      <c r="G4463" s="120"/>
      <c r="H4463" s="120"/>
      <c r="I4463" s="121"/>
      <c r="J4463" s="121"/>
      <c r="K4463" s="117"/>
    </row>
    <row r="4464" ht="15.75" customHeight="1">
      <c r="A4464" s="122"/>
      <c r="B4464" s="133"/>
      <c r="C4464" s="120"/>
      <c r="D4464" s="120"/>
      <c r="E4464" s="120"/>
      <c r="F4464" s="120"/>
      <c r="G4464" s="120"/>
      <c r="H4464" s="120"/>
      <c r="I4464" s="121"/>
      <c r="J4464" s="121"/>
      <c r="K4464" s="117"/>
    </row>
    <row r="4465" ht="15.75" customHeight="1">
      <c r="A4465" s="122"/>
      <c r="B4465" s="133"/>
      <c r="C4465" s="120"/>
      <c r="D4465" s="120"/>
      <c r="E4465" s="120"/>
      <c r="F4465" s="120"/>
      <c r="G4465" s="120"/>
      <c r="H4465" s="120"/>
      <c r="I4465" s="121"/>
      <c r="J4465" s="121"/>
      <c r="K4465" s="117"/>
    </row>
    <row r="4466" ht="15.75" customHeight="1">
      <c r="A4466" s="122"/>
      <c r="B4466" s="133"/>
      <c r="C4466" s="120"/>
      <c r="D4466" s="120"/>
      <c r="E4466" s="120"/>
      <c r="F4466" s="120"/>
      <c r="G4466" s="120"/>
      <c r="H4466" s="120"/>
      <c r="I4466" s="121"/>
      <c r="J4466" s="121"/>
      <c r="K4466" s="117"/>
    </row>
    <row r="4467" ht="15.75" customHeight="1">
      <c r="A4467" s="122"/>
      <c r="B4467" s="133"/>
      <c r="C4467" s="120"/>
      <c r="D4467" s="120"/>
      <c r="E4467" s="120"/>
      <c r="F4467" s="120"/>
      <c r="G4467" s="120"/>
      <c r="H4467" s="120"/>
      <c r="I4467" s="121"/>
      <c r="J4467" s="121"/>
      <c r="K4467" s="117"/>
    </row>
    <row r="4468" ht="15.75" customHeight="1">
      <c r="A4468" s="122"/>
      <c r="B4468" s="133"/>
      <c r="C4468" s="120"/>
      <c r="D4468" s="120"/>
      <c r="E4468" s="120"/>
      <c r="F4468" s="120"/>
      <c r="G4468" s="120"/>
      <c r="H4468" s="120"/>
      <c r="I4468" s="121"/>
      <c r="J4468" s="121"/>
      <c r="K4468" s="117"/>
    </row>
    <row r="4469" ht="15.75" customHeight="1">
      <c r="A4469" s="122"/>
      <c r="B4469" s="133"/>
      <c r="C4469" s="120"/>
      <c r="D4469" s="120"/>
      <c r="E4469" s="120"/>
      <c r="F4469" s="120"/>
      <c r="G4469" s="120"/>
      <c r="H4469" s="120"/>
      <c r="I4469" s="121"/>
      <c r="J4469" s="121"/>
      <c r="K4469" s="117"/>
    </row>
    <row r="4470" ht="15.75" customHeight="1">
      <c r="A4470" s="122"/>
      <c r="B4470" s="133"/>
      <c r="C4470" s="120"/>
      <c r="D4470" s="120"/>
      <c r="E4470" s="120"/>
      <c r="F4470" s="120"/>
      <c r="G4470" s="120"/>
      <c r="H4470" s="120"/>
      <c r="I4470" s="121"/>
      <c r="J4470" s="121"/>
      <c r="K4470" s="117"/>
    </row>
    <row r="4471" ht="15.75" customHeight="1">
      <c r="A4471" s="122"/>
      <c r="B4471" s="133"/>
      <c r="C4471" s="120"/>
      <c r="D4471" s="120"/>
      <c r="E4471" s="120"/>
      <c r="F4471" s="120"/>
      <c r="G4471" s="120"/>
      <c r="H4471" s="120"/>
      <c r="I4471" s="121"/>
      <c r="J4471" s="121"/>
      <c r="K4471" s="117"/>
    </row>
    <row r="4472" ht="15.75" customHeight="1">
      <c r="A4472" s="122"/>
      <c r="B4472" s="133"/>
      <c r="C4472" s="120"/>
      <c r="D4472" s="120"/>
      <c r="E4472" s="120"/>
      <c r="F4472" s="120"/>
      <c r="G4472" s="120"/>
      <c r="H4472" s="120"/>
      <c r="I4472" s="121"/>
      <c r="J4472" s="121"/>
      <c r="K4472" s="117"/>
    </row>
    <row r="4473" ht="15.75" customHeight="1">
      <c r="A4473" s="122"/>
      <c r="B4473" s="133"/>
      <c r="C4473" s="120"/>
      <c r="D4473" s="120"/>
      <c r="E4473" s="120"/>
      <c r="F4473" s="120"/>
      <c r="G4473" s="120"/>
      <c r="H4473" s="120"/>
      <c r="I4473" s="121"/>
      <c r="J4473" s="121"/>
      <c r="K4473" s="117"/>
    </row>
    <row r="4474" ht="15.75" customHeight="1">
      <c r="A4474" s="122"/>
      <c r="B4474" s="133"/>
      <c r="C4474" s="120"/>
      <c r="D4474" s="120"/>
      <c r="E4474" s="120"/>
      <c r="F4474" s="120"/>
      <c r="G4474" s="120"/>
      <c r="H4474" s="120"/>
      <c r="I4474" s="121"/>
      <c r="J4474" s="121"/>
      <c r="K4474" s="117"/>
    </row>
    <row r="4475" ht="15.75" customHeight="1">
      <c r="A4475" s="122"/>
      <c r="B4475" s="133"/>
      <c r="C4475" s="120"/>
      <c r="D4475" s="120"/>
      <c r="E4475" s="120"/>
      <c r="F4475" s="120"/>
      <c r="G4475" s="120"/>
      <c r="H4475" s="120"/>
      <c r="I4475" s="121"/>
      <c r="J4475" s="121"/>
      <c r="K4475" s="117"/>
    </row>
    <row r="4476" ht="15.75" customHeight="1">
      <c r="A4476" s="122"/>
      <c r="B4476" s="133"/>
      <c r="C4476" s="120"/>
      <c r="D4476" s="120"/>
      <c r="E4476" s="120"/>
      <c r="F4476" s="120"/>
      <c r="G4476" s="120"/>
      <c r="H4476" s="120"/>
      <c r="I4476" s="121"/>
      <c r="J4476" s="121"/>
      <c r="K4476" s="117"/>
    </row>
    <row r="4477" ht="15.75" customHeight="1">
      <c r="A4477" s="122"/>
      <c r="B4477" s="133"/>
      <c r="C4477" s="120"/>
      <c r="D4477" s="120"/>
      <c r="E4477" s="120"/>
      <c r="F4477" s="120"/>
      <c r="G4477" s="120"/>
      <c r="H4477" s="120"/>
      <c r="I4477" s="121"/>
      <c r="J4477" s="121"/>
      <c r="K4477" s="117"/>
    </row>
    <row r="4478" ht="15.75" customHeight="1">
      <c r="A4478" s="122"/>
      <c r="B4478" s="133"/>
      <c r="C4478" s="120"/>
      <c r="D4478" s="120"/>
      <c r="E4478" s="120"/>
      <c r="F4478" s="120"/>
      <c r="G4478" s="120"/>
      <c r="H4478" s="120"/>
      <c r="I4478" s="121"/>
      <c r="J4478" s="121"/>
      <c r="K4478" s="117"/>
    </row>
    <row r="4479" ht="15.75" customHeight="1">
      <c r="A4479" s="122"/>
      <c r="B4479" s="133"/>
      <c r="C4479" s="120"/>
      <c r="D4479" s="120"/>
      <c r="E4479" s="120"/>
      <c r="F4479" s="120"/>
      <c r="G4479" s="120"/>
      <c r="H4479" s="120"/>
      <c r="I4479" s="121"/>
      <c r="J4479" s="121"/>
      <c r="K4479" s="117"/>
    </row>
    <row r="4480" ht="15.75" customHeight="1">
      <c r="A4480" s="122"/>
      <c r="B4480" s="133"/>
      <c r="C4480" s="120"/>
      <c r="D4480" s="120"/>
      <c r="E4480" s="120"/>
      <c r="F4480" s="120"/>
      <c r="G4480" s="120"/>
      <c r="H4480" s="120"/>
      <c r="I4480" s="121"/>
      <c r="J4480" s="121"/>
      <c r="K4480" s="117"/>
    </row>
    <row r="4481" ht="15.75" customHeight="1">
      <c r="A4481" s="122"/>
      <c r="B4481" s="133"/>
      <c r="C4481" s="120"/>
      <c r="D4481" s="120"/>
      <c r="E4481" s="120"/>
      <c r="F4481" s="120"/>
      <c r="G4481" s="120"/>
      <c r="H4481" s="120"/>
      <c r="I4481" s="121"/>
      <c r="J4481" s="121"/>
      <c r="K4481" s="117"/>
    </row>
    <row r="4482" ht="15.75" customHeight="1">
      <c r="A4482" s="122"/>
      <c r="B4482" s="133"/>
      <c r="C4482" s="120"/>
      <c r="D4482" s="120"/>
      <c r="E4482" s="120"/>
      <c r="F4482" s="120"/>
      <c r="G4482" s="120"/>
      <c r="H4482" s="120"/>
      <c r="I4482" s="121"/>
      <c r="J4482" s="121"/>
      <c r="K4482" s="117"/>
    </row>
    <row r="4483" ht="15.75" customHeight="1">
      <c r="A4483" s="122"/>
      <c r="B4483" s="133"/>
      <c r="C4483" s="120"/>
      <c r="D4483" s="120"/>
      <c r="E4483" s="120"/>
      <c r="F4483" s="120"/>
      <c r="G4483" s="120"/>
      <c r="H4483" s="120"/>
      <c r="I4483" s="121"/>
      <c r="J4483" s="121"/>
      <c r="K4483" s="117"/>
    </row>
    <row r="4484" ht="15.75" customHeight="1">
      <c r="A4484" s="122"/>
      <c r="B4484" s="133"/>
      <c r="C4484" s="120"/>
      <c r="D4484" s="120"/>
      <c r="E4484" s="120"/>
      <c r="F4484" s="120"/>
      <c r="G4484" s="120"/>
      <c r="H4484" s="120"/>
      <c r="I4484" s="121"/>
      <c r="J4484" s="121"/>
      <c r="K4484" s="117"/>
    </row>
    <row r="4485" ht="15.75" customHeight="1">
      <c r="A4485" s="122"/>
      <c r="B4485" s="133"/>
      <c r="C4485" s="120"/>
      <c r="D4485" s="120"/>
      <c r="E4485" s="120"/>
      <c r="F4485" s="120"/>
      <c r="G4485" s="120"/>
      <c r="H4485" s="120"/>
      <c r="I4485" s="121"/>
      <c r="J4485" s="121"/>
      <c r="K4485" s="117"/>
    </row>
    <row r="4486" ht="15.75" customHeight="1">
      <c r="A4486" s="122"/>
      <c r="B4486" s="133"/>
      <c r="C4486" s="120"/>
      <c r="D4486" s="120"/>
      <c r="E4486" s="120"/>
      <c r="F4486" s="120"/>
      <c r="G4486" s="120"/>
      <c r="H4486" s="120"/>
      <c r="I4486" s="121"/>
      <c r="J4486" s="121"/>
      <c r="K4486" s="117"/>
    </row>
    <row r="4487" ht="15.75" customHeight="1">
      <c r="A4487" s="122"/>
      <c r="B4487" s="133"/>
      <c r="C4487" s="120"/>
      <c r="D4487" s="120"/>
      <c r="E4487" s="120"/>
      <c r="F4487" s="120"/>
      <c r="G4487" s="120"/>
      <c r="H4487" s="120"/>
      <c r="I4487" s="121"/>
      <c r="J4487" s="121"/>
      <c r="K4487" s="117"/>
    </row>
    <row r="4488" ht="15.75" customHeight="1">
      <c r="A4488" s="122"/>
      <c r="B4488" s="133"/>
      <c r="C4488" s="120"/>
      <c r="D4488" s="120"/>
      <c r="E4488" s="120"/>
      <c r="F4488" s="120"/>
      <c r="G4488" s="120"/>
      <c r="H4488" s="120"/>
      <c r="I4488" s="121"/>
      <c r="J4488" s="121"/>
      <c r="K4488" s="117"/>
    </row>
    <row r="4489" ht="15.75" customHeight="1">
      <c r="A4489" s="122"/>
      <c r="B4489" s="133"/>
      <c r="C4489" s="120"/>
      <c r="D4489" s="120"/>
      <c r="E4489" s="120"/>
      <c r="F4489" s="120"/>
      <c r="G4489" s="120"/>
      <c r="H4489" s="120"/>
      <c r="I4489" s="121"/>
      <c r="J4489" s="121"/>
      <c r="K4489" s="117"/>
    </row>
    <row r="4490" ht="15.75" customHeight="1">
      <c r="A4490" s="122"/>
      <c r="B4490" s="133"/>
      <c r="C4490" s="120"/>
      <c r="D4490" s="120"/>
      <c r="E4490" s="120"/>
      <c r="F4490" s="120"/>
      <c r="G4490" s="120"/>
      <c r="H4490" s="120"/>
      <c r="I4490" s="121"/>
      <c r="J4490" s="121"/>
      <c r="K4490" s="117"/>
    </row>
    <row r="4491" ht="15.75" customHeight="1">
      <c r="A4491" s="122"/>
      <c r="B4491" s="133"/>
      <c r="C4491" s="120"/>
      <c r="D4491" s="120"/>
      <c r="E4491" s="120"/>
      <c r="F4491" s="120"/>
      <c r="G4491" s="120"/>
      <c r="H4491" s="120"/>
      <c r="I4491" s="121"/>
      <c r="J4491" s="121"/>
      <c r="K4491" s="117"/>
    </row>
    <row r="4492" ht="15.75" customHeight="1">
      <c r="A4492" s="122"/>
      <c r="B4492" s="133"/>
      <c r="C4492" s="120"/>
      <c r="D4492" s="120"/>
      <c r="E4492" s="120"/>
      <c r="F4492" s="120"/>
      <c r="G4492" s="120"/>
      <c r="H4492" s="120"/>
      <c r="I4492" s="121"/>
      <c r="J4492" s="121"/>
      <c r="K4492" s="117"/>
    </row>
    <row r="4493" ht="15.75" customHeight="1">
      <c r="A4493" s="122"/>
      <c r="B4493" s="133"/>
      <c r="C4493" s="120"/>
      <c r="D4493" s="120"/>
      <c r="E4493" s="120"/>
      <c r="F4493" s="120"/>
      <c r="G4493" s="120"/>
      <c r="H4493" s="120"/>
      <c r="I4493" s="121"/>
      <c r="J4493" s="121"/>
      <c r="K4493" s="117"/>
    </row>
    <row r="4494" ht="15.75" customHeight="1">
      <c r="A4494" s="122"/>
      <c r="B4494" s="133"/>
      <c r="C4494" s="120"/>
      <c r="D4494" s="120"/>
      <c r="E4494" s="120"/>
      <c r="F4494" s="120"/>
      <c r="G4494" s="120"/>
      <c r="H4494" s="120"/>
      <c r="I4494" s="121"/>
      <c r="J4494" s="121"/>
      <c r="K4494" s="117"/>
    </row>
    <row r="4495" ht="15.75" customHeight="1">
      <c r="A4495" s="122"/>
      <c r="B4495" s="133"/>
      <c r="C4495" s="120"/>
      <c r="D4495" s="120"/>
      <c r="E4495" s="120"/>
      <c r="F4495" s="120"/>
      <c r="G4495" s="120"/>
      <c r="H4495" s="120"/>
      <c r="I4495" s="121"/>
      <c r="J4495" s="121"/>
      <c r="K4495" s="117"/>
    </row>
    <row r="4496" ht="15.75" customHeight="1">
      <c r="A4496" s="122"/>
      <c r="B4496" s="133"/>
      <c r="C4496" s="120"/>
      <c r="D4496" s="120"/>
      <c r="E4496" s="120"/>
      <c r="F4496" s="120"/>
      <c r="G4496" s="120"/>
      <c r="H4496" s="120"/>
      <c r="I4496" s="121"/>
      <c r="J4496" s="121"/>
      <c r="K4496" s="117"/>
    </row>
    <row r="4497" ht="15.75" customHeight="1">
      <c r="A4497" s="122"/>
      <c r="B4497" s="133"/>
      <c r="C4497" s="120"/>
      <c r="D4497" s="120"/>
      <c r="E4497" s="120"/>
      <c r="F4497" s="120"/>
      <c r="G4497" s="120"/>
      <c r="H4497" s="120"/>
      <c r="I4497" s="121"/>
      <c r="J4497" s="121"/>
      <c r="K4497" s="117"/>
    </row>
    <row r="4498" ht="15.75" customHeight="1">
      <c r="A4498" s="122"/>
      <c r="B4498" s="133"/>
      <c r="C4498" s="120"/>
      <c r="D4498" s="120"/>
      <c r="E4498" s="120"/>
      <c r="F4498" s="120"/>
      <c r="G4498" s="120"/>
      <c r="H4498" s="120"/>
      <c r="I4498" s="121"/>
      <c r="J4498" s="121"/>
      <c r="K4498" s="117"/>
    </row>
    <row r="4499" ht="15.75" customHeight="1">
      <c r="A4499" s="122"/>
      <c r="B4499" s="133"/>
      <c r="C4499" s="120"/>
      <c r="D4499" s="120"/>
      <c r="E4499" s="120"/>
      <c r="F4499" s="120"/>
      <c r="G4499" s="120"/>
      <c r="H4499" s="120"/>
      <c r="I4499" s="121"/>
      <c r="J4499" s="121"/>
      <c r="K4499" s="117"/>
    </row>
    <row r="4500" ht="15.75" customHeight="1">
      <c r="A4500" s="122"/>
      <c r="B4500" s="133"/>
      <c r="C4500" s="120"/>
      <c r="D4500" s="120"/>
      <c r="E4500" s="120"/>
      <c r="F4500" s="120"/>
      <c r="G4500" s="120"/>
      <c r="H4500" s="120"/>
      <c r="I4500" s="121"/>
      <c r="J4500" s="121"/>
      <c r="K4500" s="117"/>
    </row>
    <row r="4501" ht="15.75" customHeight="1">
      <c r="A4501" s="122"/>
      <c r="B4501" s="133"/>
      <c r="C4501" s="120"/>
      <c r="D4501" s="120"/>
      <c r="E4501" s="120"/>
      <c r="F4501" s="120"/>
      <c r="G4501" s="120"/>
      <c r="H4501" s="120"/>
      <c r="I4501" s="121"/>
      <c r="J4501" s="121"/>
      <c r="K4501" s="117"/>
    </row>
    <row r="4502" ht="15.75" customHeight="1">
      <c r="A4502" s="122"/>
      <c r="B4502" s="133"/>
      <c r="C4502" s="120"/>
      <c r="D4502" s="120"/>
      <c r="E4502" s="120"/>
      <c r="F4502" s="120"/>
      <c r="G4502" s="120"/>
      <c r="H4502" s="120"/>
      <c r="I4502" s="121"/>
      <c r="J4502" s="121"/>
      <c r="K4502" s="117"/>
    </row>
    <row r="4503" ht="15.75" customHeight="1">
      <c r="A4503" s="122"/>
      <c r="B4503" s="133"/>
      <c r="C4503" s="120"/>
      <c r="D4503" s="120"/>
      <c r="E4503" s="120"/>
      <c r="F4503" s="120"/>
      <c r="G4503" s="120"/>
      <c r="H4503" s="120"/>
      <c r="I4503" s="121"/>
      <c r="J4503" s="121"/>
      <c r="K4503" s="117"/>
    </row>
    <row r="4504" ht="15.75" customHeight="1">
      <c r="A4504" s="122"/>
      <c r="B4504" s="133"/>
      <c r="C4504" s="120"/>
      <c r="D4504" s="120"/>
      <c r="E4504" s="120"/>
      <c r="F4504" s="120"/>
      <c r="G4504" s="120"/>
      <c r="H4504" s="120"/>
      <c r="I4504" s="121"/>
      <c r="J4504" s="121"/>
      <c r="K4504" s="117"/>
    </row>
    <row r="4505" ht="15.75" customHeight="1">
      <c r="A4505" s="122"/>
      <c r="B4505" s="133"/>
      <c r="C4505" s="120"/>
      <c r="D4505" s="120"/>
      <c r="E4505" s="120"/>
      <c r="F4505" s="120"/>
      <c r="G4505" s="120"/>
      <c r="H4505" s="120"/>
      <c r="I4505" s="121"/>
      <c r="J4505" s="121"/>
      <c r="K4505" s="117"/>
    </row>
    <row r="4506" ht="15.75" customHeight="1">
      <c r="A4506" s="122"/>
      <c r="B4506" s="133"/>
      <c r="C4506" s="120"/>
      <c r="D4506" s="120"/>
      <c r="E4506" s="120"/>
      <c r="F4506" s="120"/>
      <c r="G4506" s="120"/>
      <c r="H4506" s="120"/>
      <c r="I4506" s="121"/>
      <c r="J4506" s="121"/>
      <c r="K4506" s="117"/>
    </row>
    <row r="4507" ht="15.75" customHeight="1">
      <c r="A4507" s="122"/>
      <c r="B4507" s="133"/>
      <c r="C4507" s="120"/>
      <c r="D4507" s="120"/>
      <c r="E4507" s="120"/>
      <c r="F4507" s="120"/>
      <c r="G4507" s="120"/>
      <c r="H4507" s="120"/>
      <c r="I4507" s="121"/>
      <c r="J4507" s="121"/>
      <c r="K4507" s="117"/>
    </row>
    <row r="4508" ht="15.75" customHeight="1">
      <c r="A4508" s="122"/>
      <c r="B4508" s="133"/>
      <c r="C4508" s="120"/>
      <c r="D4508" s="120"/>
      <c r="E4508" s="120"/>
      <c r="F4508" s="120"/>
      <c r="G4508" s="120"/>
      <c r="H4508" s="120"/>
      <c r="I4508" s="121"/>
      <c r="J4508" s="121"/>
      <c r="K4508" s="117"/>
    </row>
    <row r="4509" ht="15.75" customHeight="1">
      <c r="A4509" s="122"/>
      <c r="B4509" s="133"/>
      <c r="C4509" s="120"/>
      <c r="D4509" s="120"/>
      <c r="E4509" s="120"/>
      <c r="F4509" s="120"/>
      <c r="G4509" s="120"/>
      <c r="H4509" s="120"/>
      <c r="I4509" s="121"/>
      <c r="J4509" s="121"/>
      <c r="K4509" s="117"/>
    </row>
    <row r="4510" ht="15.75" customHeight="1">
      <c r="A4510" s="122"/>
      <c r="B4510" s="133"/>
      <c r="C4510" s="120"/>
      <c r="D4510" s="120"/>
      <c r="E4510" s="120"/>
      <c r="F4510" s="120"/>
      <c r="G4510" s="120"/>
      <c r="H4510" s="120"/>
      <c r="I4510" s="121"/>
      <c r="J4510" s="121"/>
      <c r="K4510" s="117"/>
    </row>
    <row r="4511" ht="15.75" customHeight="1">
      <c r="A4511" s="122"/>
      <c r="B4511" s="133"/>
      <c r="C4511" s="120"/>
      <c r="D4511" s="120"/>
      <c r="E4511" s="120"/>
      <c r="F4511" s="120"/>
      <c r="G4511" s="120"/>
      <c r="H4511" s="120"/>
      <c r="I4511" s="121"/>
      <c r="J4511" s="121"/>
      <c r="K4511" s="117"/>
    </row>
    <row r="4512" ht="15.75" customHeight="1">
      <c r="A4512" s="122"/>
      <c r="B4512" s="133"/>
      <c r="C4512" s="120"/>
      <c r="D4512" s="120"/>
      <c r="E4512" s="120"/>
      <c r="F4512" s="120"/>
      <c r="G4512" s="120"/>
      <c r="H4512" s="120"/>
      <c r="I4512" s="121"/>
      <c r="J4512" s="121"/>
      <c r="K4512" s="117"/>
    </row>
    <row r="4513" ht="15.75" customHeight="1">
      <c r="A4513" s="122"/>
      <c r="B4513" s="133"/>
      <c r="C4513" s="120"/>
      <c r="D4513" s="120"/>
      <c r="E4513" s="120"/>
      <c r="F4513" s="120"/>
      <c r="G4513" s="120"/>
      <c r="H4513" s="120"/>
      <c r="I4513" s="121"/>
      <c r="J4513" s="121"/>
      <c r="K4513" s="117"/>
    </row>
    <row r="4514" ht="15.75" customHeight="1">
      <c r="A4514" s="122"/>
      <c r="B4514" s="133"/>
      <c r="C4514" s="120"/>
      <c r="D4514" s="120"/>
      <c r="E4514" s="120"/>
      <c r="F4514" s="120"/>
      <c r="G4514" s="120"/>
      <c r="H4514" s="120"/>
      <c r="I4514" s="121"/>
      <c r="J4514" s="121"/>
      <c r="K4514" s="117"/>
    </row>
    <row r="4515" ht="15.75" customHeight="1">
      <c r="A4515" s="122"/>
      <c r="B4515" s="133"/>
      <c r="C4515" s="120"/>
      <c r="D4515" s="120"/>
      <c r="E4515" s="120"/>
      <c r="F4515" s="120"/>
      <c r="G4515" s="120"/>
      <c r="H4515" s="120"/>
      <c r="I4515" s="121"/>
      <c r="J4515" s="121"/>
      <c r="K4515" s="117"/>
    </row>
    <row r="4516" ht="15.75" customHeight="1">
      <c r="A4516" s="122"/>
      <c r="B4516" s="133"/>
      <c r="C4516" s="120"/>
      <c r="D4516" s="120"/>
      <c r="E4516" s="120"/>
      <c r="F4516" s="120"/>
      <c r="G4516" s="120"/>
      <c r="H4516" s="120"/>
      <c r="I4516" s="121"/>
      <c r="J4516" s="121"/>
      <c r="K4516" s="117"/>
    </row>
    <row r="4517" ht="15.75" customHeight="1">
      <c r="A4517" s="122"/>
      <c r="B4517" s="133"/>
      <c r="C4517" s="120"/>
      <c r="D4517" s="120"/>
      <c r="E4517" s="120"/>
      <c r="F4517" s="120"/>
      <c r="G4517" s="120"/>
      <c r="H4517" s="120"/>
      <c r="I4517" s="121"/>
      <c r="J4517" s="121"/>
      <c r="K4517" s="117"/>
    </row>
    <row r="4518" ht="15.75" customHeight="1">
      <c r="A4518" s="122"/>
      <c r="B4518" s="133"/>
      <c r="C4518" s="120"/>
      <c r="D4518" s="120"/>
      <c r="E4518" s="120"/>
      <c r="F4518" s="120"/>
      <c r="G4518" s="120"/>
      <c r="H4518" s="120"/>
      <c r="I4518" s="121"/>
      <c r="J4518" s="121"/>
      <c r="K4518" s="117"/>
    </row>
    <row r="4519" ht="15.75" customHeight="1">
      <c r="A4519" s="122"/>
      <c r="B4519" s="133"/>
      <c r="C4519" s="120"/>
      <c r="D4519" s="120"/>
      <c r="E4519" s="120"/>
      <c r="F4519" s="120"/>
      <c r="G4519" s="120"/>
      <c r="H4519" s="120"/>
      <c r="I4519" s="121"/>
      <c r="J4519" s="121"/>
      <c r="K4519" s="117"/>
    </row>
    <row r="4520" ht="15.75" customHeight="1">
      <c r="A4520" s="122"/>
      <c r="B4520" s="133"/>
      <c r="C4520" s="120"/>
      <c r="D4520" s="120"/>
      <c r="E4520" s="120"/>
      <c r="F4520" s="120"/>
      <c r="G4520" s="120"/>
      <c r="H4520" s="120"/>
      <c r="I4520" s="121"/>
      <c r="J4520" s="121"/>
      <c r="K4520" s="117"/>
    </row>
    <row r="4521" ht="15.75" customHeight="1">
      <c r="A4521" s="122"/>
      <c r="B4521" s="133"/>
      <c r="C4521" s="120"/>
      <c r="D4521" s="120"/>
      <c r="E4521" s="120"/>
      <c r="F4521" s="120"/>
      <c r="G4521" s="120"/>
      <c r="H4521" s="120"/>
      <c r="I4521" s="121"/>
      <c r="J4521" s="121"/>
      <c r="K4521" s="117"/>
    </row>
    <row r="4522" ht="15.75" customHeight="1">
      <c r="A4522" s="122"/>
      <c r="B4522" s="133"/>
      <c r="C4522" s="120"/>
      <c r="D4522" s="120"/>
      <c r="E4522" s="120"/>
      <c r="F4522" s="120"/>
      <c r="G4522" s="120"/>
      <c r="H4522" s="120"/>
      <c r="I4522" s="121"/>
      <c r="J4522" s="121"/>
      <c r="K4522" s="117"/>
    </row>
    <row r="4523" ht="15.75" customHeight="1">
      <c r="A4523" s="122"/>
      <c r="B4523" s="133"/>
      <c r="C4523" s="120"/>
      <c r="D4523" s="120"/>
      <c r="E4523" s="120"/>
      <c r="F4523" s="120"/>
      <c r="G4523" s="120"/>
      <c r="H4523" s="120"/>
      <c r="I4523" s="121"/>
      <c r="J4523" s="121"/>
      <c r="K4523" s="117"/>
    </row>
    <row r="4524" ht="15.75" customHeight="1">
      <c r="A4524" s="122"/>
      <c r="B4524" s="133"/>
      <c r="C4524" s="120"/>
      <c r="D4524" s="120"/>
      <c r="E4524" s="120"/>
      <c r="F4524" s="120"/>
      <c r="G4524" s="120"/>
      <c r="H4524" s="120"/>
      <c r="I4524" s="121"/>
      <c r="J4524" s="121"/>
      <c r="K4524" s="117"/>
    </row>
    <row r="4525" ht="15.75" customHeight="1">
      <c r="A4525" s="122"/>
      <c r="B4525" s="133"/>
      <c r="C4525" s="120"/>
      <c r="D4525" s="120"/>
      <c r="E4525" s="120"/>
      <c r="F4525" s="120"/>
      <c r="G4525" s="120"/>
      <c r="H4525" s="120"/>
      <c r="I4525" s="121"/>
      <c r="J4525" s="121"/>
      <c r="K4525" s="117"/>
    </row>
    <row r="4526" ht="15.75" customHeight="1">
      <c r="A4526" s="122"/>
      <c r="B4526" s="133"/>
      <c r="C4526" s="120"/>
      <c r="D4526" s="120"/>
      <c r="E4526" s="120"/>
      <c r="F4526" s="120"/>
      <c r="G4526" s="120"/>
      <c r="H4526" s="120"/>
      <c r="I4526" s="121"/>
      <c r="J4526" s="121"/>
      <c r="K4526" s="117"/>
    </row>
    <row r="4527" ht="15.75" customHeight="1">
      <c r="A4527" s="122"/>
      <c r="B4527" s="133"/>
      <c r="C4527" s="120"/>
      <c r="D4527" s="120"/>
      <c r="E4527" s="120"/>
      <c r="F4527" s="120"/>
      <c r="G4527" s="120"/>
      <c r="H4527" s="120"/>
      <c r="I4527" s="121"/>
      <c r="J4527" s="121"/>
      <c r="K4527" s="117"/>
    </row>
    <row r="4528" ht="15.75" customHeight="1">
      <c r="A4528" s="122"/>
      <c r="B4528" s="133"/>
      <c r="C4528" s="120"/>
      <c r="D4528" s="120"/>
      <c r="E4528" s="120"/>
      <c r="F4528" s="120"/>
      <c r="G4528" s="120"/>
      <c r="H4528" s="120"/>
      <c r="I4528" s="121"/>
      <c r="J4528" s="121"/>
      <c r="K4528" s="117"/>
    </row>
    <row r="4529" ht="15.75" customHeight="1">
      <c r="A4529" s="122"/>
      <c r="B4529" s="133"/>
      <c r="C4529" s="120"/>
      <c r="D4529" s="120"/>
      <c r="E4529" s="120"/>
      <c r="F4529" s="120"/>
      <c r="G4529" s="120"/>
      <c r="H4529" s="120"/>
      <c r="I4529" s="121"/>
      <c r="J4529" s="121"/>
      <c r="K4529" s="117"/>
    </row>
    <row r="4530" ht="15.75" customHeight="1">
      <c r="A4530" s="122"/>
      <c r="B4530" s="133"/>
      <c r="C4530" s="120"/>
      <c r="D4530" s="120"/>
      <c r="E4530" s="120"/>
      <c r="F4530" s="120"/>
      <c r="G4530" s="120"/>
      <c r="H4530" s="120"/>
      <c r="I4530" s="121"/>
      <c r="J4530" s="121"/>
      <c r="K4530" s="117"/>
    </row>
    <row r="4531" ht="15.75" customHeight="1">
      <c r="A4531" s="122"/>
      <c r="B4531" s="133"/>
      <c r="C4531" s="120"/>
      <c r="D4531" s="120"/>
      <c r="E4531" s="120"/>
      <c r="F4531" s="120"/>
      <c r="G4531" s="120"/>
      <c r="H4531" s="120"/>
      <c r="I4531" s="121"/>
      <c r="J4531" s="121"/>
      <c r="K4531" s="117"/>
    </row>
    <row r="4532" ht="15.75" customHeight="1">
      <c r="A4532" s="122"/>
      <c r="B4532" s="133"/>
      <c r="C4532" s="120"/>
      <c r="D4532" s="120"/>
      <c r="E4532" s="120"/>
      <c r="F4532" s="120"/>
      <c r="G4532" s="120"/>
      <c r="H4532" s="120"/>
      <c r="I4532" s="121"/>
      <c r="J4532" s="121"/>
      <c r="K4532" s="117"/>
    </row>
    <row r="4533" ht="15.75" customHeight="1">
      <c r="A4533" s="122"/>
      <c r="B4533" s="133"/>
      <c r="C4533" s="120"/>
      <c r="D4533" s="120"/>
      <c r="E4533" s="120"/>
      <c r="F4533" s="120"/>
      <c r="G4533" s="120"/>
      <c r="H4533" s="120"/>
      <c r="I4533" s="121"/>
      <c r="J4533" s="121"/>
      <c r="K4533" s="117"/>
    </row>
    <row r="4534" ht="15.75" customHeight="1">
      <c r="A4534" s="122"/>
      <c r="B4534" s="133"/>
      <c r="C4534" s="120"/>
      <c r="D4534" s="120"/>
      <c r="E4534" s="120"/>
      <c r="F4534" s="120"/>
      <c r="G4534" s="120"/>
      <c r="H4534" s="120"/>
      <c r="I4534" s="121"/>
      <c r="J4534" s="121"/>
      <c r="K4534" s="117"/>
    </row>
    <row r="4535" ht="15.75" customHeight="1">
      <c r="A4535" s="122"/>
      <c r="B4535" s="133"/>
      <c r="C4535" s="120"/>
      <c r="D4535" s="120"/>
      <c r="E4535" s="120"/>
      <c r="F4535" s="120"/>
      <c r="G4535" s="120"/>
      <c r="H4535" s="120"/>
      <c r="I4535" s="121"/>
      <c r="J4535" s="121"/>
      <c r="K4535" s="117"/>
    </row>
    <row r="4536" ht="15.75" customHeight="1">
      <c r="A4536" s="122"/>
      <c r="B4536" s="133"/>
      <c r="C4536" s="120"/>
      <c r="D4536" s="120"/>
      <c r="E4536" s="120"/>
      <c r="F4536" s="120"/>
      <c r="G4536" s="120"/>
      <c r="H4536" s="120"/>
      <c r="I4536" s="121"/>
      <c r="J4536" s="121"/>
      <c r="K4536" s="117"/>
    </row>
    <row r="4537" ht="15.75" customHeight="1">
      <c r="A4537" s="122"/>
      <c r="B4537" s="133"/>
      <c r="C4537" s="120"/>
      <c r="D4537" s="120"/>
      <c r="E4537" s="120"/>
      <c r="F4537" s="120"/>
      <c r="G4537" s="120"/>
      <c r="H4537" s="120"/>
      <c r="I4537" s="121"/>
      <c r="J4537" s="121"/>
      <c r="K4537" s="117"/>
    </row>
    <row r="4538" ht="15.75" customHeight="1">
      <c r="A4538" s="122"/>
      <c r="B4538" s="133"/>
      <c r="C4538" s="120"/>
      <c r="D4538" s="120"/>
      <c r="E4538" s="120"/>
      <c r="F4538" s="120"/>
      <c r="G4538" s="120"/>
      <c r="H4538" s="120"/>
      <c r="I4538" s="121"/>
      <c r="J4538" s="121"/>
      <c r="K4538" s="117"/>
    </row>
    <row r="4539" ht="15.75" customHeight="1">
      <c r="A4539" s="122"/>
      <c r="B4539" s="133"/>
      <c r="C4539" s="120"/>
      <c r="D4539" s="120"/>
      <c r="E4539" s="120"/>
      <c r="F4539" s="120"/>
      <c r="G4539" s="120"/>
      <c r="H4539" s="120"/>
      <c r="I4539" s="121"/>
      <c r="J4539" s="121"/>
      <c r="K4539" s="117"/>
    </row>
    <row r="4540" ht="15.75" customHeight="1">
      <c r="A4540" s="122"/>
      <c r="B4540" s="133"/>
      <c r="C4540" s="120"/>
      <c r="D4540" s="120"/>
      <c r="E4540" s="120"/>
      <c r="F4540" s="120"/>
      <c r="G4540" s="120"/>
      <c r="H4540" s="120"/>
      <c r="I4540" s="121"/>
      <c r="J4540" s="121"/>
      <c r="K4540" s="117"/>
    </row>
    <row r="4541" ht="15.75" customHeight="1">
      <c r="A4541" s="122"/>
      <c r="B4541" s="133"/>
      <c r="C4541" s="120"/>
      <c r="D4541" s="120"/>
      <c r="E4541" s="120"/>
      <c r="F4541" s="120"/>
      <c r="G4541" s="120"/>
      <c r="H4541" s="120"/>
      <c r="I4541" s="121"/>
      <c r="J4541" s="121"/>
      <c r="K4541" s="117"/>
    </row>
    <row r="4542" ht="15.75" customHeight="1">
      <c r="A4542" s="122"/>
      <c r="B4542" s="133"/>
      <c r="C4542" s="120"/>
      <c r="D4542" s="120"/>
      <c r="E4542" s="120"/>
      <c r="F4542" s="120"/>
      <c r="G4542" s="120"/>
      <c r="H4542" s="120"/>
      <c r="I4542" s="121"/>
      <c r="J4542" s="121"/>
      <c r="K4542" s="117"/>
    </row>
    <row r="4543" ht="15.75" customHeight="1">
      <c r="A4543" s="122"/>
      <c r="B4543" s="133"/>
      <c r="C4543" s="120"/>
      <c r="D4543" s="120"/>
      <c r="E4543" s="120"/>
      <c r="F4543" s="120"/>
      <c r="G4543" s="120"/>
      <c r="H4543" s="120"/>
      <c r="I4543" s="121"/>
      <c r="J4543" s="121"/>
      <c r="K4543" s="117"/>
    </row>
    <row r="4544" ht="15.75" customHeight="1">
      <c r="A4544" s="122"/>
      <c r="B4544" s="133"/>
      <c r="C4544" s="120"/>
      <c r="D4544" s="120"/>
      <c r="E4544" s="120"/>
      <c r="F4544" s="120"/>
      <c r="G4544" s="120"/>
      <c r="H4544" s="120"/>
      <c r="I4544" s="121"/>
      <c r="J4544" s="121"/>
      <c r="K4544" s="117"/>
    </row>
    <row r="4545" ht="15.75" customHeight="1">
      <c r="A4545" s="122"/>
      <c r="B4545" s="133"/>
      <c r="C4545" s="120"/>
      <c r="D4545" s="120"/>
      <c r="E4545" s="120"/>
      <c r="F4545" s="120"/>
      <c r="G4545" s="120"/>
      <c r="H4545" s="120"/>
      <c r="I4545" s="121"/>
      <c r="J4545" s="121"/>
      <c r="K4545" s="117"/>
    </row>
    <row r="4546" ht="15.75" customHeight="1">
      <c r="A4546" s="122"/>
      <c r="B4546" s="133"/>
      <c r="C4546" s="120"/>
      <c r="D4546" s="120"/>
      <c r="E4546" s="120"/>
      <c r="F4546" s="120"/>
      <c r="G4546" s="120"/>
      <c r="H4546" s="120"/>
      <c r="I4546" s="121"/>
      <c r="J4546" s="121"/>
      <c r="K4546" s="117"/>
    </row>
    <row r="4547" ht="15.75" customHeight="1">
      <c r="A4547" s="122"/>
      <c r="B4547" s="133"/>
      <c r="C4547" s="120"/>
      <c r="D4547" s="120"/>
      <c r="E4547" s="120"/>
      <c r="F4547" s="120"/>
      <c r="G4547" s="120"/>
      <c r="H4547" s="120"/>
      <c r="I4547" s="121"/>
      <c r="J4547" s="121"/>
      <c r="K4547" s="117"/>
    </row>
    <row r="4548" ht="15.75" customHeight="1">
      <c r="A4548" s="122"/>
      <c r="B4548" s="133"/>
      <c r="C4548" s="120"/>
      <c r="D4548" s="120"/>
      <c r="E4548" s="120"/>
      <c r="F4548" s="120"/>
      <c r="G4548" s="120"/>
      <c r="H4548" s="120"/>
      <c r="I4548" s="121"/>
      <c r="J4548" s="121"/>
      <c r="K4548" s="117"/>
    </row>
    <row r="4549" ht="15.75" customHeight="1">
      <c r="A4549" s="122"/>
      <c r="B4549" s="133"/>
      <c r="C4549" s="120"/>
      <c r="D4549" s="120"/>
      <c r="E4549" s="120"/>
      <c r="F4549" s="120"/>
      <c r="G4549" s="120"/>
      <c r="H4549" s="120"/>
      <c r="I4549" s="121"/>
      <c r="J4549" s="121"/>
      <c r="K4549" s="117"/>
    </row>
    <row r="4550" ht="15.75" customHeight="1">
      <c r="A4550" s="122"/>
      <c r="B4550" s="133"/>
      <c r="C4550" s="120"/>
      <c r="D4550" s="120"/>
      <c r="E4550" s="120"/>
      <c r="F4550" s="120"/>
      <c r="G4550" s="120"/>
      <c r="H4550" s="120"/>
      <c r="I4550" s="121"/>
      <c r="J4550" s="121"/>
      <c r="K4550" s="117"/>
    </row>
    <row r="4551" ht="15.75" customHeight="1">
      <c r="A4551" s="122"/>
      <c r="B4551" s="133"/>
      <c r="C4551" s="120"/>
      <c r="D4551" s="120"/>
      <c r="E4551" s="120"/>
      <c r="F4551" s="120"/>
      <c r="G4551" s="120"/>
      <c r="H4551" s="120"/>
      <c r="I4551" s="121"/>
      <c r="J4551" s="121"/>
      <c r="K4551" s="117"/>
    </row>
    <row r="4552" ht="15.75" customHeight="1">
      <c r="A4552" s="122"/>
      <c r="B4552" s="133"/>
      <c r="C4552" s="120"/>
      <c r="D4552" s="120"/>
      <c r="E4552" s="120"/>
      <c r="F4552" s="120"/>
      <c r="G4552" s="120"/>
      <c r="H4552" s="120"/>
      <c r="I4552" s="121"/>
      <c r="J4552" s="121"/>
      <c r="K4552" s="117"/>
    </row>
    <row r="4553" ht="15.75" customHeight="1">
      <c r="A4553" s="122"/>
      <c r="B4553" s="133"/>
      <c r="C4553" s="120"/>
      <c r="D4553" s="120"/>
      <c r="E4553" s="120"/>
      <c r="F4553" s="120"/>
      <c r="G4553" s="120"/>
      <c r="H4553" s="120"/>
      <c r="I4553" s="121"/>
      <c r="J4553" s="121"/>
      <c r="K4553" s="117"/>
    </row>
    <row r="4554" ht="15.75" customHeight="1">
      <c r="A4554" s="122"/>
      <c r="B4554" s="133"/>
      <c r="C4554" s="120"/>
      <c r="D4554" s="120"/>
      <c r="E4554" s="120"/>
      <c r="F4554" s="120"/>
      <c r="G4554" s="120"/>
      <c r="H4554" s="120"/>
      <c r="I4554" s="121"/>
      <c r="J4554" s="121"/>
      <c r="K4554" s="117"/>
    </row>
    <row r="4555" ht="15.75" customHeight="1">
      <c r="A4555" s="122"/>
      <c r="B4555" s="133"/>
      <c r="C4555" s="120"/>
      <c r="D4555" s="120"/>
      <c r="E4555" s="120"/>
      <c r="F4555" s="120"/>
      <c r="G4555" s="120"/>
      <c r="H4555" s="120"/>
      <c r="I4555" s="121"/>
      <c r="J4555" s="121"/>
      <c r="K4555" s="117"/>
    </row>
    <row r="4556" ht="15.75" customHeight="1">
      <c r="A4556" s="122"/>
      <c r="B4556" s="133"/>
      <c r="C4556" s="120"/>
      <c r="D4556" s="120"/>
      <c r="E4556" s="120"/>
      <c r="F4556" s="120"/>
      <c r="G4556" s="120"/>
      <c r="H4556" s="120"/>
      <c r="I4556" s="121"/>
      <c r="J4556" s="121"/>
      <c r="K4556" s="117"/>
    </row>
    <row r="4557" ht="15.75" customHeight="1">
      <c r="A4557" s="122"/>
      <c r="B4557" s="133"/>
      <c r="C4557" s="120"/>
      <c r="D4557" s="120"/>
      <c r="E4557" s="120"/>
      <c r="F4557" s="120"/>
      <c r="G4557" s="120"/>
      <c r="H4557" s="120"/>
      <c r="I4557" s="121"/>
      <c r="J4557" s="121"/>
      <c r="K4557" s="117"/>
    </row>
    <row r="4558" ht="15.75" customHeight="1">
      <c r="A4558" s="122"/>
      <c r="B4558" s="133"/>
      <c r="C4558" s="120"/>
      <c r="D4558" s="120"/>
      <c r="E4558" s="120"/>
      <c r="F4558" s="120"/>
      <c r="G4558" s="120"/>
      <c r="H4558" s="120"/>
      <c r="I4558" s="121"/>
      <c r="J4558" s="121"/>
      <c r="K4558" s="117"/>
    </row>
    <row r="4559" ht="15.75" customHeight="1">
      <c r="A4559" s="122"/>
      <c r="B4559" s="133"/>
      <c r="C4559" s="120"/>
      <c r="D4559" s="120"/>
      <c r="E4559" s="120"/>
      <c r="F4559" s="120"/>
      <c r="G4559" s="120"/>
      <c r="H4559" s="120"/>
      <c r="I4559" s="121"/>
      <c r="J4559" s="121"/>
      <c r="K4559" s="117"/>
    </row>
    <row r="4560" ht="15.75" customHeight="1">
      <c r="A4560" s="122"/>
      <c r="B4560" s="133"/>
      <c r="C4560" s="120"/>
      <c r="D4560" s="120"/>
      <c r="E4560" s="120"/>
      <c r="F4560" s="120"/>
      <c r="G4560" s="120"/>
      <c r="H4560" s="120"/>
      <c r="I4560" s="121"/>
      <c r="J4560" s="121"/>
      <c r="K4560" s="117"/>
    </row>
    <row r="4561" ht="15.75" customHeight="1">
      <c r="A4561" s="122"/>
      <c r="B4561" s="133"/>
      <c r="C4561" s="120"/>
      <c r="D4561" s="120"/>
      <c r="E4561" s="120"/>
      <c r="F4561" s="120"/>
      <c r="G4561" s="120"/>
      <c r="H4561" s="120"/>
      <c r="I4561" s="121"/>
      <c r="J4561" s="121"/>
      <c r="K4561" s="117"/>
    </row>
    <row r="4562" ht="15.75" customHeight="1">
      <c r="A4562" s="122"/>
      <c r="B4562" s="133"/>
      <c r="C4562" s="120"/>
      <c r="D4562" s="120"/>
      <c r="E4562" s="120"/>
      <c r="F4562" s="120"/>
      <c r="G4562" s="120"/>
      <c r="H4562" s="120"/>
      <c r="I4562" s="121"/>
      <c r="J4562" s="121"/>
      <c r="K4562" s="117"/>
    </row>
    <row r="4563" ht="15.75" customHeight="1">
      <c r="A4563" s="122"/>
      <c r="B4563" s="133"/>
      <c r="C4563" s="120"/>
      <c r="D4563" s="120"/>
      <c r="E4563" s="120"/>
      <c r="F4563" s="120"/>
      <c r="G4563" s="120"/>
      <c r="H4563" s="120"/>
      <c r="I4563" s="121"/>
      <c r="J4563" s="121"/>
      <c r="K4563" s="117"/>
    </row>
    <row r="4564" ht="15.75" customHeight="1">
      <c r="A4564" s="122"/>
      <c r="B4564" s="133"/>
      <c r="C4564" s="120"/>
      <c r="D4564" s="120"/>
      <c r="E4564" s="120"/>
      <c r="F4564" s="120"/>
      <c r="G4564" s="120"/>
      <c r="H4564" s="120"/>
      <c r="I4564" s="121"/>
      <c r="J4564" s="121"/>
      <c r="K4564" s="117"/>
    </row>
    <row r="4565" ht="15.75" customHeight="1">
      <c r="A4565" s="122"/>
      <c r="B4565" s="133"/>
      <c r="C4565" s="120"/>
      <c r="D4565" s="120"/>
      <c r="E4565" s="120"/>
      <c r="F4565" s="120"/>
      <c r="G4565" s="120"/>
      <c r="H4565" s="120"/>
      <c r="I4565" s="121"/>
      <c r="J4565" s="121"/>
      <c r="K4565" s="117"/>
    </row>
    <row r="4566" ht="15.75" customHeight="1">
      <c r="A4566" s="122"/>
      <c r="B4566" s="133"/>
      <c r="C4566" s="120"/>
      <c r="D4566" s="120"/>
      <c r="E4566" s="120"/>
      <c r="F4566" s="120"/>
      <c r="G4566" s="120"/>
      <c r="H4566" s="120"/>
      <c r="I4566" s="121"/>
      <c r="J4566" s="121"/>
      <c r="K4566" s="117"/>
    </row>
    <row r="4567" ht="15.75" customHeight="1">
      <c r="A4567" s="122"/>
      <c r="B4567" s="133"/>
      <c r="C4567" s="120"/>
      <c r="D4567" s="120"/>
      <c r="E4567" s="120"/>
      <c r="F4567" s="120"/>
      <c r="G4567" s="120"/>
      <c r="H4567" s="120"/>
      <c r="I4567" s="121"/>
      <c r="J4567" s="121"/>
      <c r="K4567" s="117"/>
    </row>
    <row r="4568" ht="15.75" customHeight="1">
      <c r="A4568" s="122"/>
      <c r="B4568" s="133"/>
      <c r="C4568" s="120"/>
      <c r="D4568" s="120"/>
      <c r="E4568" s="120"/>
      <c r="F4568" s="120"/>
      <c r="G4568" s="120"/>
      <c r="H4568" s="120"/>
      <c r="I4568" s="121"/>
      <c r="J4568" s="121"/>
      <c r="K4568" s="117"/>
    </row>
    <row r="4569" ht="15.75" customHeight="1">
      <c r="A4569" s="122"/>
      <c r="B4569" s="133"/>
      <c r="C4569" s="120"/>
      <c r="D4569" s="120"/>
      <c r="E4569" s="120"/>
      <c r="F4569" s="120"/>
      <c r="G4569" s="120"/>
      <c r="H4569" s="120"/>
      <c r="I4569" s="121"/>
      <c r="J4569" s="121"/>
      <c r="K4569" s="117"/>
    </row>
    <row r="4570" ht="15.75" customHeight="1">
      <c r="A4570" s="122"/>
      <c r="B4570" s="133"/>
      <c r="C4570" s="120"/>
      <c r="D4570" s="120"/>
      <c r="E4570" s="120"/>
      <c r="F4570" s="120"/>
      <c r="G4570" s="120"/>
      <c r="H4570" s="120"/>
      <c r="I4570" s="121"/>
      <c r="J4570" s="121"/>
      <c r="K4570" s="117"/>
    </row>
    <row r="4571" ht="15.75" customHeight="1">
      <c r="A4571" s="122"/>
      <c r="B4571" s="133"/>
      <c r="C4571" s="120"/>
      <c r="D4571" s="120"/>
      <c r="E4571" s="120"/>
      <c r="F4571" s="120"/>
      <c r="G4571" s="120"/>
      <c r="H4571" s="120"/>
      <c r="I4571" s="121"/>
      <c r="J4571" s="121"/>
      <c r="K4571" s="117"/>
    </row>
    <row r="4572" ht="15.75" customHeight="1">
      <c r="A4572" s="122"/>
      <c r="B4572" s="133"/>
      <c r="C4572" s="120"/>
      <c r="D4572" s="120"/>
      <c r="E4572" s="120"/>
      <c r="F4572" s="120"/>
      <c r="G4572" s="120"/>
      <c r="H4572" s="120"/>
      <c r="I4572" s="121"/>
      <c r="J4572" s="121"/>
      <c r="K4572" s="117"/>
    </row>
    <row r="4573" ht="15.75" customHeight="1">
      <c r="A4573" s="122"/>
      <c r="B4573" s="133"/>
      <c r="C4573" s="120"/>
      <c r="D4573" s="120"/>
      <c r="E4573" s="120"/>
      <c r="F4573" s="120"/>
      <c r="G4573" s="120"/>
      <c r="H4573" s="120"/>
      <c r="I4573" s="121"/>
      <c r="J4573" s="121"/>
      <c r="K4573" s="117"/>
    </row>
    <row r="4574" ht="15.75" customHeight="1">
      <c r="A4574" s="122"/>
      <c r="B4574" s="133"/>
      <c r="C4574" s="120"/>
      <c r="D4574" s="120"/>
      <c r="E4574" s="120"/>
      <c r="F4574" s="120"/>
      <c r="G4574" s="120"/>
      <c r="H4574" s="120"/>
      <c r="I4574" s="121"/>
      <c r="J4574" s="121"/>
      <c r="K4574" s="117"/>
    </row>
    <row r="4575" ht="15.75" customHeight="1">
      <c r="A4575" s="122"/>
      <c r="B4575" s="133"/>
      <c r="C4575" s="120"/>
      <c r="D4575" s="120"/>
      <c r="E4575" s="120"/>
      <c r="F4575" s="120"/>
      <c r="G4575" s="120"/>
      <c r="H4575" s="120"/>
      <c r="I4575" s="121"/>
      <c r="J4575" s="121"/>
      <c r="K4575" s="117"/>
    </row>
    <row r="4576" ht="15.75" customHeight="1">
      <c r="A4576" s="122"/>
      <c r="B4576" s="133"/>
      <c r="C4576" s="120"/>
      <c r="D4576" s="120"/>
      <c r="E4576" s="120"/>
      <c r="F4576" s="120"/>
      <c r="G4576" s="120"/>
      <c r="H4576" s="120"/>
      <c r="I4576" s="121"/>
      <c r="J4576" s="121"/>
      <c r="K4576" s="117"/>
    </row>
    <row r="4577" ht="15.75" customHeight="1">
      <c r="A4577" s="122"/>
      <c r="B4577" s="133"/>
      <c r="C4577" s="120"/>
      <c r="D4577" s="120"/>
      <c r="E4577" s="120"/>
      <c r="F4577" s="120"/>
      <c r="G4577" s="120"/>
      <c r="H4577" s="120"/>
      <c r="I4577" s="121"/>
      <c r="J4577" s="121"/>
      <c r="K4577" s="117"/>
    </row>
    <row r="4578" ht="15.75" customHeight="1">
      <c r="A4578" s="122"/>
      <c r="B4578" s="133"/>
      <c r="C4578" s="120"/>
      <c r="D4578" s="120"/>
      <c r="E4578" s="120"/>
      <c r="F4578" s="120"/>
      <c r="G4578" s="120"/>
      <c r="H4578" s="120"/>
      <c r="I4578" s="121"/>
      <c r="J4578" s="121"/>
      <c r="K4578" s="117"/>
    </row>
    <row r="4579" ht="15.75" customHeight="1">
      <c r="A4579" s="122"/>
      <c r="B4579" s="133"/>
      <c r="C4579" s="120"/>
      <c r="D4579" s="120"/>
      <c r="E4579" s="120"/>
      <c r="F4579" s="120"/>
      <c r="G4579" s="120"/>
      <c r="H4579" s="120"/>
      <c r="I4579" s="121"/>
      <c r="J4579" s="121"/>
      <c r="K4579" s="117"/>
    </row>
    <row r="4580" ht="15.75" customHeight="1">
      <c r="A4580" s="122"/>
      <c r="B4580" s="133"/>
      <c r="C4580" s="120"/>
      <c r="D4580" s="120"/>
      <c r="E4580" s="120"/>
      <c r="F4580" s="120"/>
      <c r="G4580" s="120"/>
      <c r="H4580" s="120"/>
      <c r="I4580" s="121"/>
      <c r="J4580" s="121"/>
      <c r="K4580" s="117"/>
    </row>
    <row r="4581" ht="15.75" customHeight="1">
      <c r="A4581" s="122"/>
      <c r="B4581" s="133"/>
      <c r="C4581" s="120"/>
      <c r="D4581" s="120"/>
      <c r="E4581" s="120"/>
      <c r="F4581" s="120"/>
      <c r="G4581" s="120"/>
      <c r="H4581" s="120"/>
      <c r="I4581" s="121"/>
      <c r="J4581" s="121"/>
      <c r="K4581" s="117"/>
    </row>
    <row r="4582" ht="15.75" customHeight="1">
      <c r="A4582" s="122"/>
      <c r="B4582" s="133"/>
      <c r="C4582" s="120"/>
      <c r="D4582" s="120"/>
      <c r="E4582" s="120"/>
      <c r="F4582" s="120"/>
      <c r="G4582" s="120"/>
      <c r="H4582" s="120"/>
      <c r="I4582" s="121"/>
      <c r="J4582" s="121"/>
      <c r="K4582" s="117"/>
    </row>
    <row r="4583" ht="15.75" customHeight="1">
      <c r="A4583" s="122"/>
      <c r="B4583" s="133"/>
      <c r="C4583" s="120"/>
      <c r="D4583" s="120"/>
      <c r="E4583" s="120"/>
      <c r="F4583" s="120"/>
      <c r="G4583" s="120"/>
      <c r="H4583" s="120"/>
      <c r="I4583" s="121"/>
      <c r="J4583" s="121"/>
      <c r="K4583" s="117"/>
    </row>
    <row r="4584" ht="15.75" customHeight="1">
      <c r="A4584" s="122"/>
      <c r="B4584" s="133"/>
      <c r="C4584" s="120"/>
      <c r="D4584" s="120"/>
      <c r="E4584" s="120"/>
      <c r="F4584" s="120"/>
      <c r="G4584" s="120"/>
      <c r="H4584" s="120"/>
      <c r="I4584" s="121"/>
      <c r="J4584" s="121"/>
      <c r="K4584" s="117"/>
    </row>
    <row r="4585" ht="15.75" customHeight="1">
      <c r="A4585" s="122"/>
      <c r="B4585" s="133"/>
      <c r="C4585" s="120"/>
      <c r="D4585" s="120"/>
      <c r="E4585" s="120"/>
      <c r="F4585" s="120"/>
      <c r="G4585" s="120"/>
      <c r="H4585" s="120"/>
      <c r="I4585" s="121"/>
      <c r="J4585" s="121"/>
      <c r="K4585" s="117"/>
    </row>
    <row r="4586" ht="15.75" customHeight="1">
      <c r="A4586" s="122"/>
      <c r="B4586" s="133"/>
      <c r="C4586" s="120"/>
      <c r="D4586" s="120"/>
      <c r="E4586" s="120"/>
      <c r="F4586" s="120"/>
      <c r="G4586" s="120"/>
      <c r="H4586" s="120"/>
      <c r="I4586" s="121"/>
      <c r="J4586" s="121"/>
      <c r="K4586" s="117"/>
    </row>
    <row r="4587" ht="15.75" customHeight="1">
      <c r="A4587" s="122"/>
      <c r="B4587" s="133"/>
      <c r="C4587" s="120"/>
      <c r="D4587" s="120"/>
      <c r="E4587" s="120"/>
      <c r="F4587" s="120"/>
      <c r="G4587" s="120"/>
      <c r="H4587" s="120"/>
      <c r="I4587" s="121"/>
      <c r="J4587" s="121"/>
      <c r="K4587" s="117"/>
    </row>
    <row r="4588" ht="15.75" customHeight="1">
      <c r="A4588" s="122"/>
      <c r="B4588" s="133"/>
      <c r="C4588" s="120"/>
      <c r="D4588" s="120"/>
      <c r="E4588" s="120"/>
      <c r="F4588" s="120"/>
      <c r="G4588" s="120"/>
      <c r="H4588" s="120"/>
      <c r="I4588" s="121"/>
      <c r="J4588" s="121"/>
      <c r="K4588" s="117"/>
    </row>
    <row r="4589" ht="15.75" customHeight="1">
      <c r="A4589" s="122"/>
      <c r="B4589" s="133"/>
      <c r="C4589" s="120"/>
      <c r="D4589" s="120"/>
      <c r="E4589" s="120"/>
      <c r="F4589" s="120"/>
      <c r="G4589" s="120"/>
      <c r="H4589" s="120"/>
      <c r="I4589" s="121"/>
      <c r="J4589" s="121"/>
      <c r="K4589" s="117"/>
    </row>
    <row r="4590" ht="15.75" customHeight="1">
      <c r="A4590" s="122"/>
      <c r="B4590" s="133"/>
      <c r="C4590" s="120"/>
      <c r="D4590" s="120"/>
      <c r="E4590" s="120"/>
      <c r="F4590" s="120"/>
      <c r="G4590" s="120"/>
      <c r="H4590" s="120"/>
      <c r="I4590" s="121"/>
      <c r="J4590" s="121"/>
      <c r="K4590" s="117"/>
    </row>
    <row r="4591" ht="15.75" customHeight="1">
      <c r="A4591" s="122"/>
      <c r="B4591" s="133"/>
      <c r="C4591" s="120"/>
      <c r="D4591" s="120"/>
      <c r="E4591" s="120"/>
      <c r="F4591" s="120"/>
      <c r="G4591" s="120"/>
      <c r="H4591" s="120"/>
      <c r="I4591" s="121"/>
      <c r="J4591" s="121"/>
      <c r="K4591" s="117"/>
    </row>
    <row r="4592" ht="15.75" customHeight="1">
      <c r="A4592" s="122"/>
      <c r="B4592" s="133"/>
      <c r="C4592" s="120"/>
      <c r="D4592" s="120"/>
      <c r="E4592" s="120"/>
      <c r="F4592" s="120"/>
      <c r="G4592" s="120"/>
      <c r="H4592" s="120"/>
      <c r="I4592" s="121"/>
      <c r="J4592" s="121"/>
      <c r="K4592" s="117"/>
    </row>
    <row r="4593" ht="15.75" customHeight="1">
      <c r="A4593" s="122"/>
      <c r="B4593" s="133"/>
      <c r="C4593" s="120"/>
      <c r="D4593" s="120"/>
      <c r="E4593" s="120"/>
      <c r="F4593" s="120"/>
      <c r="G4593" s="120"/>
      <c r="H4593" s="120"/>
      <c r="I4593" s="121"/>
      <c r="J4593" s="121"/>
      <c r="K4593" s="117"/>
    </row>
    <row r="4594" ht="15.75" customHeight="1">
      <c r="A4594" s="122"/>
      <c r="B4594" s="133"/>
      <c r="C4594" s="120"/>
      <c r="D4594" s="120"/>
      <c r="E4594" s="120"/>
      <c r="F4594" s="120"/>
      <c r="G4594" s="120"/>
      <c r="H4594" s="120"/>
      <c r="I4594" s="121"/>
      <c r="J4594" s="121"/>
      <c r="K4594" s="117"/>
    </row>
    <row r="4595" ht="15.75" customHeight="1">
      <c r="A4595" s="122"/>
      <c r="B4595" s="133"/>
      <c r="C4595" s="120"/>
      <c r="D4595" s="120"/>
      <c r="E4595" s="120"/>
      <c r="F4595" s="120"/>
      <c r="G4595" s="120"/>
      <c r="H4595" s="120"/>
      <c r="I4595" s="121"/>
      <c r="J4595" s="121"/>
      <c r="K4595" s="117"/>
    </row>
    <row r="4596" ht="15.75" customHeight="1">
      <c r="A4596" s="122"/>
      <c r="B4596" s="133"/>
      <c r="C4596" s="120"/>
      <c r="D4596" s="120"/>
      <c r="E4596" s="120"/>
      <c r="F4596" s="120"/>
      <c r="G4596" s="120"/>
      <c r="H4596" s="120"/>
      <c r="I4596" s="121"/>
      <c r="J4596" s="121"/>
      <c r="K4596" s="117"/>
    </row>
    <row r="4597" ht="15.75" customHeight="1">
      <c r="A4597" s="122"/>
      <c r="B4597" s="133"/>
      <c r="C4597" s="120"/>
      <c r="D4597" s="120"/>
      <c r="E4597" s="120"/>
      <c r="F4597" s="120"/>
      <c r="G4597" s="120"/>
      <c r="H4597" s="120"/>
      <c r="I4597" s="121"/>
      <c r="J4597" s="121"/>
      <c r="K4597" s="117"/>
    </row>
    <row r="4598" ht="15.75" customHeight="1">
      <c r="A4598" s="122"/>
      <c r="B4598" s="133"/>
      <c r="C4598" s="120"/>
      <c r="D4598" s="120"/>
      <c r="E4598" s="120"/>
      <c r="F4598" s="120"/>
      <c r="G4598" s="120"/>
      <c r="H4598" s="120"/>
      <c r="I4598" s="121"/>
      <c r="J4598" s="121"/>
      <c r="K4598" s="117"/>
    </row>
    <row r="4599" ht="15.75" customHeight="1">
      <c r="A4599" s="122"/>
      <c r="B4599" s="133"/>
      <c r="C4599" s="120"/>
      <c r="D4599" s="120"/>
      <c r="E4599" s="120"/>
      <c r="F4599" s="120"/>
      <c r="G4599" s="120"/>
      <c r="H4599" s="120"/>
      <c r="I4599" s="121"/>
      <c r="J4599" s="121"/>
      <c r="K4599" s="117"/>
    </row>
    <row r="4600" ht="15.75" customHeight="1">
      <c r="A4600" s="122"/>
      <c r="B4600" s="133"/>
      <c r="C4600" s="120"/>
      <c r="D4600" s="120"/>
      <c r="E4600" s="120"/>
      <c r="F4600" s="120"/>
      <c r="G4600" s="120"/>
      <c r="H4600" s="120"/>
      <c r="I4600" s="121"/>
      <c r="J4600" s="121"/>
      <c r="K4600" s="117"/>
    </row>
    <row r="4601" ht="15.75" customHeight="1">
      <c r="A4601" s="122"/>
      <c r="B4601" s="133"/>
      <c r="C4601" s="120"/>
      <c r="D4601" s="120"/>
      <c r="E4601" s="120"/>
      <c r="F4601" s="120"/>
      <c r="G4601" s="120"/>
      <c r="H4601" s="120"/>
      <c r="I4601" s="121"/>
      <c r="J4601" s="121"/>
      <c r="K4601" s="117"/>
    </row>
    <row r="4602" ht="15.75" customHeight="1">
      <c r="A4602" s="122"/>
      <c r="B4602" s="133"/>
      <c r="C4602" s="120"/>
      <c r="D4602" s="120"/>
      <c r="E4602" s="120"/>
      <c r="F4602" s="120"/>
      <c r="G4602" s="120"/>
      <c r="H4602" s="120"/>
      <c r="I4602" s="121"/>
      <c r="J4602" s="121"/>
      <c r="K4602" s="117"/>
    </row>
    <row r="4603" ht="15.75" customHeight="1">
      <c r="A4603" s="122"/>
      <c r="B4603" s="133"/>
      <c r="C4603" s="120"/>
      <c r="D4603" s="120"/>
      <c r="E4603" s="120"/>
      <c r="F4603" s="120"/>
      <c r="G4603" s="120"/>
      <c r="H4603" s="120"/>
      <c r="I4603" s="121"/>
      <c r="J4603" s="121"/>
      <c r="K4603" s="117"/>
    </row>
    <row r="4604" ht="15.75" customHeight="1">
      <c r="A4604" s="122"/>
      <c r="B4604" s="133"/>
      <c r="C4604" s="120"/>
      <c r="D4604" s="120"/>
      <c r="E4604" s="120"/>
      <c r="F4604" s="120"/>
      <c r="G4604" s="120"/>
      <c r="H4604" s="120"/>
      <c r="I4604" s="121"/>
      <c r="J4604" s="121"/>
      <c r="K4604" s="117"/>
    </row>
    <row r="4605" ht="15.75" customHeight="1">
      <c r="A4605" s="122"/>
      <c r="B4605" s="133"/>
      <c r="C4605" s="120"/>
      <c r="D4605" s="120"/>
      <c r="E4605" s="120"/>
      <c r="F4605" s="120"/>
      <c r="G4605" s="120"/>
      <c r="H4605" s="120"/>
      <c r="I4605" s="121"/>
      <c r="J4605" s="121"/>
      <c r="K4605" s="117"/>
    </row>
    <row r="4606" ht="15.75" customHeight="1">
      <c r="A4606" s="122"/>
      <c r="B4606" s="133"/>
      <c r="C4606" s="120"/>
      <c r="D4606" s="120"/>
      <c r="E4606" s="120"/>
      <c r="F4606" s="120"/>
      <c r="G4606" s="120"/>
      <c r="H4606" s="120"/>
      <c r="I4606" s="121"/>
      <c r="J4606" s="121"/>
      <c r="K4606" s="117"/>
    </row>
    <row r="4607" ht="15.75" customHeight="1">
      <c r="A4607" s="122"/>
      <c r="B4607" s="133"/>
      <c r="C4607" s="120"/>
      <c r="D4607" s="120"/>
      <c r="E4607" s="120"/>
      <c r="F4607" s="120"/>
      <c r="G4607" s="120"/>
      <c r="H4607" s="120"/>
      <c r="I4607" s="121"/>
      <c r="J4607" s="121"/>
      <c r="K4607" s="117"/>
    </row>
    <row r="4608" ht="15.75" customHeight="1">
      <c r="A4608" s="122"/>
      <c r="B4608" s="133"/>
      <c r="C4608" s="120"/>
      <c r="D4608" s="120"/>
      <c r="E4608" s="120"/>
      <c r="F4608" s="120"/>
      <c r="G4608" s="120"/>
      <c r="H4608" s="120"/>
      <c r="I4608" s="121"/>
      <c r="J4608" s="121"/>
      <c r="K4608" s="117"/>
    </row>
    <row r="4609" ht="15.75" customHeight="1">
      <c r="A4609" s="122"/>
      <c r="B4609" s="133"/>
      <c r="C4609" s="120"/>
      <c r="D4609" s="120"/>
      <c r="E4609" s="120"/>
      <c r="F4609" s="120"/>
      <c r="G4609" s="120"/>
      <c r="H4609" s="120"/>
      <c r="I4609" s="121"/>
      <c r="J4609" s="121"/>
      <c r="K4609" s="117"/>
    </row>
    <row r="4610" ht="15.75" customHeight="1">
      <c r="A4610" s="122"/>
      <c r="B4610" s="133"/>
      <c r="C4610" s="120"/>
      <c r="D4610" s="120"/>
      <c r="E4610" s="120"/>
      <c r="F4610" s="120"/>
      <c r="G4610" s="120"/>
      <c r="H4610" s="120"/>
      <c r="I4610" s="121"/>
      <c r="J4610" s="121"/>
      <c r="K4610" s="117"/>
    </row>
    <row r="4611" ht="15.75" customHeight="1">
      <c r="A4611" s="122"/>
      <c r="B4611" s="133"/>
      <c r="C4611" s="120"/>
      <c r="D4611" s="120"/>
      <c r="E4611" s="120"/>
      <c r="F4611" s="120"/>
      <c r="G4611" s="120"/>
      <c r="H4611" s="120"/>
      <c r="I4611" s="121"/>
      <c r="J4611" s="121"/>
      <c r="K4611" s="117"/>
    </row>
    <row r="4612" ht="15.75" customHeight="1">
      <c r="A4612" s="122"/>
      <c r="B4612" s="133"/>
      <c r="C4612" s="120"/>
      <c r="D4612" s="120"/>
      <c r="E4612" s="120"/>
      <c r="F4612" s="120"/>
      <c r="G4612" s="120"/>
      <c r="H4612" s="120"/>
      <c r="I4612" s="121"/>
      <c r="J4612" s="121"/>
      <c r="K4612" s="117"/>
    </row>
    <row r="4613" ht="15.75" customHeight="1">
      <c r="A4613" s="122"/>
      <c r="B4613" s="133"/>
      <c r="C4613" s="120"/>
      <c r="D4613" s="120"/>
      <c r="E4613" s="120"/>
      <c r="F4613" s="120"/>
      <c r="G4613" s="120"/>
      <c r="H4613" s="120"/>
      <c r="I4613" s="121"/>
      <c r="J4613" s="121"/>
      <c r="K4613" s="117"/>
    </row>
    <row r="4614" ht="15.75" customHeight="1">
      <c r="A4614" s="122"/>
      <c r="B4614" s="133"/>
      <c r="C4614" s="120"/>
      <c r="D4614" s="120"/>
      <c r="E4614" s="120"/>
      <c r="F4614" s="120"/>
      <c r="G4614" s="120"/>
      <c r="H4614" s="120"/>
      <c r="I4614" s="121"/>
      <c r="J4614" s="121"/>
      <c r="K4614" s="117"/>
    </row>
    <row r="4615" ht="15.75" customHeight="1">
      <c r="A4615" s="122"/>
      <c r="B4615" s="133"/>
      <c r="C4615" s="120"/>
      <c r="D4615" s="120"/>
      <c r="E4615" s="120"/>
      <c r="F4615" s="120"/>
      <c r="G4615" s="120"/>
      <c r="H4615" s="120"/>
      <c r="I4615" s="121"/>
      <c r="J4615" s="121"/>
      <c r="K4615" s="117"/>
    </row>
    <row r="4616" ht="15.75" customHeight="1">
      <c r="A4616" s="122"/>
      <c r="B4616" s="133"/>
      <c r="C4616" s="120"/>
      <c r="D4616" s="120"/>
      <c r="E4616" s="120"/>
      <c r="F4616" s="120"/>
      <c r="G4616" s="120"/>
      <c r="H4616" s="120"/>
      <c r="I4616" s="121"/>
      <c r="J4616" s="121"/>
      <c r="K4616" s="117"/>
    </row>
    <row r="4617" ht="15.75" customHeight="1">
      <c r="A4617" s="122"/>
      <c r="B4617" s="133"/>
      <c r="C4617" s="120"/>
      <c r="D4617" s="120"/>
      <c r="E4617" s="120"/>
      <c r="F4617" s="120"/>
      <c r="G4617" s="120"/>
      <c r="H4617" s="120"/>
      <c r="I4617" s="121"/>
      <c r="J4617" s="121"/>
      <c r="K4617" s="117"/>
    </row>
    <row r="4618" ht="15.75" customHeight="1">
      <c r="A4618" s="122"/>
      <c r="B4618" s="133"/>
      <c r="C4618" s="120"/>
      <c r="D4618" s="120"/>
      <c r="E4618" s="120"/>
      <c r="F4618" s="120"/>
      <c r="G4618" s="120"/>
      <c r="H4618" s="120"/>
      <c r="I4618" s="121"/>
      <c r="J4618" s="121"/>
      <c r="K4618" s="117"/>
    </row>
    <row r="4619" ht="15.75" customHeight="1">
      <c r="A4619" s="122"/>
      <c r="B4619" s="133"/>
      <c r="C4619" s="120"/>
      <c r="D4619" s="120"/>
      <c r="E4619" s="120"/>
      <c r="F4619" s="120"/>
      <c r="G4619" s="120"/>
      <c r="H4619" s="120"/>
      <c r="I4619" s="121"/>
      <c r="J4619" s="121"/>
      <c r="K4619" s="117"/>
    </row>
    <row r="4620" ht="15.75" customHeight="1">
      <c r="A4620" s="122"/>
      <c r="B4620" s="133"/>
      <c r="C4620" s="120"/>
      <c r="D4620" s="120"/>
      <c r="E4620" s="120"/>
      <c r="F4620" s="120"/>
      <c r="G4620" s="120"/>
      <c r="H4620" s="120"/>
      <c r="I4620" s="121"/>
      <c r="J4620" s="121"/>
      <c r="K4620" s="117"/>
    </row>
    <row r="4621" ht="15.75" customHeight="1">
      <c r="A4621" s="122"/>
      <c r="B4621" s="133"/>
      <c r="C4621" s="120"/>
      <c r="D4621" s="120"/>
      <c r="E4621" s="120"/>
      <c r="F4621" s="120"/>
      <c r="G4621" s="120"/>
      <c r="H4621" s="120"/>
      <c r="I4621" s="121"/>
      <c r="J4621" s="121"/>
      <c r="K4621" s="117"/>
    </row>
    <row r="4622" ht="15.75" customHeight="1">
      <c r="A4622" s="122"/>
      <c r="B4622" s="133"/>
      <c r="C4622" s="120"/>
      <c r="D4622" s="120"/>
      <c r="E4622" s="120"/>
      <c r="F4622" s="120"/>
      <c r="G4622" s="120"/>
      <c r="H4622" s="120"/>
      <c r="I4622" s="121"/>
      <c r="J4622" s="121"/>
      <c r="K4622" s="117"/>
    </row>
    <row r="4623" ht="15.75" customHeight="1">
      <c r="A4623" s="122"/>
      <c r="B4623" s="133"/>
      <c r="C4623" s="120"/>
      <c r="D4623" s="120"/>
      <c r="E4623" s="120"/>
      <c r="F4623" s="120"/>
      <c r="G4623" s="120"/>
      <c r="H4623" s="120"/>
      <c r="I4623" s="121"/>
      <c r="J4623" s="121"/>
      <c r="K4623" s="117"/>
    </row>
    <row r="4624" ht="15.75" customHeight="1">
      <c r="A4624" s="122"/>
      <c r="B4624" s="133"/>
      <c r="C4624" s="120"/>
      <c r="D4624" s="120"/>
      <c r="E4624" s="120"/>
      <c r="F4624" s="120"/>
      <c r="G4624" s="120"/>
      <c r="H4624" s="120"/>
      <c r="I4624" s="121"/>
      <c r="J4624" s="121"/>
      <c r="K4624" s="117"/>
    </row>
    <row r="4625" ht="15.75" customHeight="1">
      <c r="A4625" s="122"/>
      <c r="B4625" s="133"/>
      <c r="C4625" s="120"/>
      <c r="D4625" s="120"/>
      <c r="E4625" s="120"/>
      <c r="F4625" s="120"/>
      <c r="G4625" s="120"/>
      <c r="H4625" s="120"/>
      <c r="I4625" s="121"/>
      <c r="J4625" s="121"/>
      <c r="K4625" s="117"/>
    </row>
    <row r="4626" ht="15.75" customHeight="1">
      <c r="A4626" s="122"/>
      <c r="B4626" s="133"/>
      <c r="C4626" s="120"/>
      <c r="D4626" s="120"/>
      <c r="E4626" s="120"/>
      <c r="F4626" s="120"/>
      <c r="G4626" s="120"/>
      <c r="H4626" s="120"/>
      <c r="I4626" s="121"/>
      <c r="J4626" s="121"/>
      <c r="K4626" s="117"/>
    </row>
    <row r="4627" ht="15.75" customHeight="1">
      <c r="A4627" s="122"/>
      <c r="B4627" s="133"/>
      <c r="C4627" s="120"/>
      <c r="D4627" s="120"/>
      <c r="E4627" s="120"/>
      <c r="F4627" s="120"/>
      <c r="G4627" s="120"/>
      <c r="H4627" s="120"/>
      <c r="I4627" s="121"/>
      <c r="J4627" s="121"/>
      <c r="K4627" s="117"/>
    </row>
    <row r="4628" ht="15.75" customHeight="1">
      <c r="A4628" s="122"/>
      <c r="B4628" s="133"/>
      <c r="C4628" s="120"/>
      <c r="D4628" s="120"/>
      <c r="E4628" s="120"/>
      <c r="F4628" s="120"/>
      <c r="G4628" s="120"/>
      <c r="H4628" s="120"/>
      <c r="I4628" s="121"/>
      <c r="J4628" s="121"/>
      <c r="K4628" s="117"/>
    </row>
    <row r="4629" ht="15.75" customHeight="1">
      <c r="A4629" s="122"/>
      <c r="B4629" s="133"/>
      <c r="C4629" s="120"/>
      <c r="D4629" s="120"/>
      <c r="E4629" s="120"/>
      <c r="F4629" s="120"/>
      <c r="G4629" s="120"/>
      <c r="H4629" s="120"/>
      <c r="I4629" s="121"/>
      <c r="J4629" s="121"/>
      <c r="K4629" s="117"/>
    </row>
    <row r="4630" ht="15.75" customHeight="1">
      <c r="A4630" s="122"/>
      <c r="B4630" s="133"/>
      <c r="C4630" s="120"/>
      <c r="D4630" s="120"/>
      <c r="E4630" s="120"/>
      <c r="F4630" s="120"/>
      <c r="G4630" s="120"/>
      <c r="H4630" s="120"/>
      <c r="I4630" s="121"/>
      <c r="J4630" s="121"/>
      <c r="K4630" s="117"/>
    </row>
    <row r="4631" ht="15.75" customHeight="1">
      <c r="A4631" s="122"/>
      <c r="B4631" s="133"/>
      <c r="C4631" s="120"/>
      <c r="D4631" s="120"/>
      <c r="E4631" s="120"/>
      <c r="F4631" s="120"/>
      <c r="G4631" s="120"/>
      <c r="H4631" s="120"/>
      <c r="I4631" s="121"/>
      <c r="J4631" s="121"/>
      <c r="K4631" s="117"/>
    </row>
    <row r="4632" ht="15.75" customHeight="1">
      <c r="A4632" s="122"/>
      <c r="B4632" s="133"/>
      <c r="C4632" s="120"/>
      <c r="D4632" s="120"/>
      <c r="E4632" s="120"/>
      <c r="F4632" s="120"/>
      <c r="G4632" s="120"/>
      <c r="H4632" s="120"/>
      <c r="I4632" s="121"/>
      <c r="J4632" s="121"/>
      <c r="K4632" s="117"/>
    </row>
    <row r="4633" ht="15.75" customHeight="1">
      <c r="A4633" s="122"/>
      <c r="B4633" s="133"/>
      <c r="C4633" s="120"/>
      <c r="D4633" s="120"/>
      <c r="E4633" s="120"/>
      <c r="F4633" s="120"/>
      <c r="G4633" s="120"/>
      <c r="H4633" s="120"/>
      <c r="I4633" s="121"/>
      <c r="J4633" s="121"/>
      <c r="K4633" s="117"/>
    </row>
    <row r="4634" ht="15.75" customHeight="1">
      <c r="A4634" s="122"/>
      <c r="B4634" s="133"/>
      <c r="C4634" s="120"/>
      <c r="D4634" s="120"/>
      <c r="E4634" s="120"/>
      <c r="F4634" s="120"/>
      <c r="G4634" s="120"/>
      <c r="H4634" s="120"/>
      <c r="I4634" s="121"/>
      <c r="J4634" s="121"/>
      <c r="K4634" s="117"/>
    </row>
    <row r="4635" ht="15.75" customHeight="1">
      <c r="A4635" s="122"/>
      <c r="B4635" s="133"/>
      <c r="C4635" s="120"/>
      <c r="D4635" s="120"/>
      <c r="E4635" s="120"/>
      <c r="F4635" s="120"/>
      <c r="G4635" s="120"/>
      <c r="H4635" s="120"/>
      <c r="I4635" s="121"/>
      <c r="J4635" s="121"/>
      <c r="K4635" s="117"/>
    </row>
    <row r="4636" ht="15.75" customHeight="1">
      <c r="A4636" s="122"/>
      <c r="B4636" s="133"/>
      <c r="C4636" s="120"/>
      <c r="D4636" s="120"/>
      <c r="E4636" s="120"/>
      <c r="F4636" s="120"/>
      <c r="G4636" s="120"/>
      <c r="H4636" s="120"/>
      <c r="I4636" s="121"/>
      <c r="J4636" s="121"/>
      <c r="K4636" s="117"/>
    </row>
    <row r="4637" ht="15.75" customHeight="1">
      <c r="A4637" s="122"/>
      <c r="B4637" s="133"/>
      <c r="C4637" s="120"/>
      <c r="D4637" s="120"/>
      <c r="E4637" s="120"/>
      <c r="F4637" s="120"/>
      <c r="G4637" s="120"/>
      <c r="H4637" s="120"/>
      <c r="I4637" s="121"/>
      <c r="J4637" s="121"/>
      <c r="K4637" s="117"/>
    </row>
    <row r="4638" ht="15.75" customHeight="1">
      <c r="A4638" s="122"/>
      <c r="B4638" s="133"/>
      <c r="C4638" s="120"/>
      <c r="D4638" s="120"/>
      <c r="E4638" s="120"/>
      <c r="F4638" s="120"/>
      <c r="G4638" s="120"/>
      <c r="H4638" s="120"/>
      <c r="I4638" s="121"/>
      <c r="J4638" s="121"/>
      <c r="K4638" s="117"/>
    </row>
    <row r="4639" ht="15.75" customHeight="1">
      <c r="A4639" s="122"/>
      <c r="B4639" s="133"/>
      <c r="C4639" s="120"/>
      <c r="D4639" s="120"/>
      <c r="E4639" s="120"/>
      <c r="F4639" s="120"/>
      <c r="G4639" s="120"/>
      <c r="H4639" s="120"/>
      <c r="I4639" s="121"/>
      <c r="J4639" s="121"/>
      <c r="K4639" s="117"/>
    </row>
    <row r="4640" ht="15.75" customHeight="1">
      <c r="A4640" s="122"/>
      <c r="B4640" s="133"/>
      <c r="C4640" s="120"/>
      <c r="D4640" s="120"/>
      <c r="E4640" s="120"/>
      <c r="F4640" s="120"/>
      <c r="G4640" s="120"/>
      <c r="H4640" s="120"/>
      <c r="I4640" s="121"/>
      <c r="J4640" s="121"/>
      <c r="K4640" s="117"/>
    </row>
    <row r="4641" ht="15.75" customHeight="1">
      <c r="A4641" s="122"/>
      <c r="B4641" s="133"/>
      <c r="C4641" s="120"/>
      <c r="D4641" s="120"/>
      <c r="E4641" s="120"/>
      <c r="F4641" s="120"/>
      <c r="G4641" s="120"/>
      <c r="H4641" s="120"/>
      <c r="I4641" s="121"/>
      <c r="J4641" s="121"/>
      <c r="K4641" s="117"/>
    </row>
    <row r="4642" ht="15.75" customHeight="1">
      <c r="A4642" s="122"/>
      <c r="B4642" s="133"/>
      <c r="C4642" s="120"/>
      <c r="D4642" s="120"/>
      <c r="E4642" s="120"/>
      <c r="F4642" s="120"/>
      <c r="G4642" s="120"/>
      <c r="H4642" s="120"/>
      <c r="I4642" s="121"/>
      <c r="J4642" s="121"/>
      <c r="K4642" s="117"/>
    </row>
    <row r="4643" ht="15.75" customHeight="1">
      <c r="A4643" s="122"/>
      <c r="B4643" s="133"/>
      <c r="C4643" s="120"/>
      <c r="D4643" s="120"/>
      <c r="E4643" s="120"/>
      <c r="F4643" s="120"/>
      <c r="G4643" s="120"/>
      <c r="H4643" s="120"/>
      <c r="I4643" s="121"/>
      <c r="J4643" s="121"/>
      <c r="K4643" s="117"/>
    </row>
    <row r="4644" ht="15.75" customHeight="1">
      <c r="A4644" s="122"/>
      <c r="B4644" s="133"/>
      <c r="C4644" s="120"/>
      <c r="D4644" s="120"/>
      <c r="E4644" s="120"/>
      <c r="F4644" s="120"/>
      <c r="G4644" s="120"/>
      <c r="H4644" s="120"/>
      <c r="I4644" s="121"/>
      <c r="J4644" s="121"/>
      <c r="K4644" s="117"/>
    </row>
    <row r="4645" ht="15.75" customHeight="1">
      <c r="A4645" s="122"/>
      <c r="B4645" s="133"/>
      <c r="C4645" s="120"/>
      <c r="D4645" s="120"/>
      <c r="E4645" s="120"/>
      <c r="F4645" s="120"/>
      <c r="G4645" s="120"/>
      <c r="H4645" s="120"/>
      <c r="I4645" s="121"/>
      <c r="J4645" s="121"/>
      <c r="K4645" s="117"/>
    </row>
    <row r="4646" ht="15.75" customHeight="1">
      <c r="A4646" s="122"/>
      <c r="B4646" s="133"/>
      <c r="C4646" s="120"/>
      <c r="D4646" s="120"/>
      <c r="E4646" s="120"/>
      <c r="F4646" s="120"/>
      <c r="G4646" s="120"/>
      <c r="H4646" s="120"/>
      <c r="I4646" s="121"/>
      <c r="J4646" s="121"/>
      <c r="K4646" s="117"/>
    </row>
    <row r="4647" ht="15.75" customHeight="1">
      <c r="A4647" s="122"/>
      <c r="B4647" s="133"/>
      <c r="C4647" s="120"/>
      <c r="D4647" s="120"/>
      <c r="E4647" s="120"/>
      <c r="F4647" s="120"/>
      <c r="G4647" s="120"/>
      <c r="H4647" s="120"/>
      <c r="I4647" s="121"/>
      <c r="J4647" s="121"/>
      <c r="K4647" s="117"/>
    </row>
    <row r="4648" ht="15.75" customHeight="1">
      <c r="A4648" s="122"/>
      <c r="B4648" s="133"/>
      <c r="C4648" s="120"/>
      <c r="D4648" s="120"/>
      <c r="E4648" s="120"/>
      <c r="F4648" s="120"/>
      <c r="G4648" s="120"/>
      <c r="H4648" s="120"/>
      <c r="I4648" s="121"/>
      <c r="J4648" s="121"/>
      <c r="K4648" s="117"/>
    </row>
    <row r="4649" ht="15.75" customHeight="1">
      <c r="A4649" s="122"/>
      <c r="B4649" s="133"/>
      <c r="C4649" s="120"/>
      <c r="D4649" s="120"/>
      <c r="E4649" s="120"/>
      <c r="F4649" s="120"/>
      <c r="G4649" s="120"/>
      <c r="H4649" s="120"/>
      <c r="I4649" s="121"/>
      <c r="J4649" s="121"/>
      <c r="K4649" s="117"/>
    </row>
    <row r="4650" ht="15.75" customHeight="1">
      <c r="A4650" s="122"/>
      <c r="B4650" s="133"/>
      <c r="C4650" s="120"/>
      <c r="D4650" s="120"/>
      <c r="E4650" s="120"/>
      <c r="F4650" s="120"/>
      <c r="G4650" s="120"/>
      <c r="H4650" s="120"/>
      <c r="I4650" s="121"/>
      <c r="J4650" s="121"/>
      <c r="K4650" s="117"/>
    </row>
    <row r="4651" ht="15.75" customHeight="1">
      <c r="A4651" s="122"/>
      <c r="B4651" s="133"/>
      <c r="C4651" s="120"/>
      <c r="D4651" s="120"/>
      <c r="E4651" s="120"/>
      <c r="F4651" s="120"/>
      <c r="G4651" s="120"/>
      <c r="H4651" s="120"/>
      <c r="I4651" s="121"/>
      <c r="J4651" s="121"/>
      <c r="K4651" s="117"/>
    </row>
    <row r="4652" ht="15.75" customHeight="1">
      <c r="A4652" s="122"/>
      <c r="B4652" s="133"/>
      <c r="C4652" s="120"/>
      <c r="D4652" s="120"/>
      <c r="E4652" s="120"/>
      <c r="F4652" s="120"/>
      <c r="G4652" s="120"/>
      <c r="H4652" s="120"/>
      <c r="I4652" s="121"/>
      <c r="J4652" s="121"/>
      <c r="K4652" s="117"/>
    </row>
    <row r="4653" ht="15.75" customHeight="1">
      <c r="A4653" s="122"/>
      <c r="B4653" s="133"/>
      <c r="C4653" s="120"/>
      <c r="D4653" s="120"/>
      <c r="E4653" s="120"/>
      <c r="F4653" s="120"/>
      <c r="G4653" s="120"/>
      <c r="H4653" s="120"/>
      <c r="I4653" s="121"/>
      <c r="J4653" s="121"/>
      <c r="K4653" s="117"/>
    </row>
    <row r="4654" ht="15.75" customHeight="1">
      <c r="A4654" s="122"/>
      <c r="B4654" s="133"/>
      <c r="C4654" s="120"/>
      <c r="D4654" s="120"/>
      <c r="E4654" s="120"/>
      <c r="F4654" s="120"/>
      <c r="G4654" s="120"/>
      <c r="H4654" s="120"/>
      <c r="I4654" s="121"/>
      <c r="J4654" s="121"/>
      <c r="K4654" s="117"/>
    </row>
    <row r="4655" ht="15.75" customHeight="1">
      <c r="A4655" s="122"/>
      <c r="B4655" s="133"/>
      <c r="C4655" s="120"/>
      <c r="D4655" s="120"/>
      <c r="E4655" s="120"/>
      <c r="F4655" s="120"/>
      <c r="G4655" s="120"/>
      <c r="H4655" s="120"/>
      <c r="I4655" s="121"/>
      <c r="J4655" s="121"/>
      <c r="K4655" s="117"/>
    </row>
    <row r="4656" ht="15.75" customHeight="1">
      <c r="A4656" s="122"/>
      <c r="B4656" s="133"/>
      <c r="C4656" s="120"/>
      <c r="D4656" s="120"/>
      <c r="E4656" s="120"/>
      <c r="F4656" s="120"/>
      <c r="G4656" s="120"/>
      <c r="H4656" s="120"/>
      <c r="I4656" s="121"/>
      <c r="J4656" s="121"/>
      <c r="K4656" s="117"/>
    </row>
    <row r="4657" ht="15.75" customHeight="1">
      <c r="A4657" s="122"/>
      <c r="B4657" s="133"/>
      <c r="C4657" s="120"/>
      <c r="D4657" s="120"/>
      <c r="E4657" s="120"/>
      <c r="F4657" s="120"/>
      <c r="G4657" s="120"/>
      <c r="H4657" s="120"/>
      <c r="I4657" s="121"/>
      <c r="J4657" s="121"/>
      <c r="K4657" s="117"/>
    </row>
    <row r="4658" ht="15.75" customHeight="1">
      <c r="A4658" s="122"/>
      <c r="B4658" s="133"/>
      <c r="C4658" s="120"/>
      <c r="D4658" s="120"/>
      <c r="E4658" s="120"/>
      <c r="F4658" s="120"/>
      <c r="G4658" s="120"/>
      <c r="H4658" s="120"/>
      <c r="I4658" s="121"/>
      <c r="J4658" s="121"/>
      <c r="K4658" s="117"/>
    </row>
    <row r="4659" ht="15.75" customHeight="1">
      <c r="A4659" s="122"/>
      <c r="B4659" s="133"/>
      <c r="C4659" s="120"/>
      <c r="D4659" s="120"/>
      <c r="E4659" s="120"/>
      <c r="F4659" s="120"/>
      <c r="G4659" s="120"/>
      <c r="H4659" s="120"/>
      <c r="I4659" s="121"/>
      <c r="J4659" s="121"/>
      <c r="K4659" s="117"/>
    </row>
    <row r="4660" ht="15.75" customHeight="1">
      <c r="A4660" s="122"/>
      <c r="B4660" s="133"/>
      <c r="C4660" s="120"/>
      <c r="D4660" s="120"/>
      <c r="E4660" s="120"/>
      <c r="F4660" s="120"/>
      <c r="G4660" s="120"/>
      <c r="H4660" s="120"/>
      <c r="I4660" s="121"/>
      <c r="J4660" s="121"/>
      <c r="K4660" s="117"/>
    </row>
    <row r="4661" ht="15.75" customHeight="1">
      <c r="A4661" s="122"/>
      <c r="B4661" s="133"/>
      <c r="C4661" s="120"/>
      <c r="D4661" s="120"/>
      <c r="E4661" s="120"/>
      <c r="F4661" s="120"/>
      <c r="G4661" s="120"/>
      <c r="H4661" s="120"/>
      <c r="I4661" s="121"/>
      <c r="J4661" s="121"/>
      <c r="K4661" s="117"/>
    </row>
    <row r="4662" ht="15.75" customHeight="1">
      <c r="A4662" s="122"/>
      <c r="B4662" s="133"/>
      <c r="C4662" s="120"/>
      <c r="D4662" s="120"/>
      <c r="E4662" s="120"/>
      <c r="F4662" s="120"/>
      <c r="G4662" s="120"/>
      <c r="H4662" s="120"/>
      <c r="I4662" s="121"/>
      <c r="J4662" s="121"/>
      <c r="K4662" s="117"/>
    </row>
    <row r="4663" ht="15.75" customHeight="1">
      <c r="A4663" s="122"/>
      <c r="B4663" s="133"/>
      <c r="C4663" s="120"/>
      <c r="D4663" s="120"/>
      <c r="E4663" s="120"/>
      <c r="F4663" s="120"/>
      <c r="G4663" s="120"/>
      <c r="H4663" s="120"/>
      <c r="I4663" s="121"/>
      <c r="J4663" s="121"/>
      <c r="K4663" s="117"/>
    </row>
    <row r="4664" ht="15.75" customHeight="1">
      <c r="A4664" s="122"/>
      <c r="B4664" s="133"/>
      <c r="C4664" s="120"/>
      <c r="D4664" s="120"/>
      <c r="E4664" s="120"/>
      <c r="F4664" s="120"/>
      <c r="G4664" s="120"/>
      <c r="H4664" s="120"/>
      <c r="I4664" s="121"/>
      <c r="J4664" s="121"/>
      <c r="K4664" s="117"/>
    </row>
    <row r="4665" ht="15.75" customHeight="1">
      <c r="A4665" s="122"/>
      <c r="B4665" s="133"/>
      <c r="C4665" s="120"/>
      <c r="D4665" s="120"/>
      <c r="E4665" s="120"/>
      <c r="F4665" s="120"/>
      <c r="G4665" s="120"/>
      <c r="H4665" s="120"/>
      <c r="I4665" s="121"/>
      <c r="J4665" s="121"/>
      <c r="K4665" s="117"/>
    </row>
    <row r="4666" ht="15.75" customHeight="1">
      <c r="A4666" s="122"/>
      <c r="B4666" s="133"/>
      <c r="C4666" s="120"/>
      <c r="D4666" s="120"/>
      <c r="E4666" s="120"/>
      <c r="F4666" s="120"/>
      <c r="G4666" s="120"/>
      <c r="H4666" s="120"/>
      <c r="I4666" s="121"/>
      <c r="J4666" s="121"/>
      <c r="K4666" s="117"/>
    </row>
    <row r="4667" ht="15.75" customHeight="1">
      <c r="A4667" s="122"/>
      <c r="B4667" s="133"/>
      <c r="C4667" s="120"/>
      <c r="D4667" s="120"/>
      <c r="E4667" s="120"/>
      <c r="F4667" s="120"/>
      <c r="G4667" s="120"/>
      <c r="H4667" s="120"/>
      <c r="I4667" s="121"/>
      <c r="J4667" s="121"/>
      <c r="K4667" s="117"/>
    </row>
    <row r="4668" ht="15.75" customHeight="1">
      <c r="A4668" s="122"/>
      <c r="B4668" s="133"/>
      <c r="C4668" s="120"/>
      <c r="D4668" s="120"/>
      <c r="E4668" s="120"/>
      <c r="F4668" s="120"/>
      <c r="G4668" s="120"/>
      <c r="H4668" s="120"/>
      <c r="I4668" s="121"/>
      <c r="J4668" s="121"/>
      <c r="K4668" s="117"/>
    </row>
    <row r="4669" ht="15.75" customHeight="1">
      <c r="A4669" s="122"/>
      <c r="B4669" s="133"/>
      <c r="C4669" s="120"/>
      <c r="D4669" s="120"/>
      <c r="E4669" s="120"/>
      <c r="F4669" s="120"/>
      <c r="G4669" s="120"/>
      <c r="H4669" s="120"/>
      <c r="I4669" s="121"/>
      <c r="J4669" s="121"/>
      <c r="K4669" s="117"/>
    </row>
    <row r="4670" ht="15.75" customHeight="1">
      <c r="A4670" s="122"/>
      <c r="B4670" s="133"/>
      <c r="C4670" s="120"/>
      <c r="D4670" s="120"/>
      <c r="E4670" s="120"/>
      <c r="F4670" s="120"/>
      <c r="G4670" s="120"/>
      <c r="H4670" s="120"/>
      <c r="I4670" s="121"/>
      <c r="J4670" s="121"/>
      <c r="K4670" s="117"/>
    </row>
    <row r="4671" ht="15.75" customHeight="1">
      <c r="A4671" s="122"/>
      <c r="B4671" s="133"/>
      <c r="C4671" s="120"/>
      <c r="D4671" s="120"/>
      <c r="E4671" s="120"/>
      <c r="F4671" s="120"/>
      <c r="G4671" s="120"/>
      <c r="H4671" s="120"/>
      <c r="I4671" s="121"/>
      <c r="J4671" s="121"/>
      <c r="K4671" s="117"/>
    </row>
    <row r="4672" ht="15.75" customHeight="1">
      <c r="A4672" s="122"/>
      <c r="B4672" s="133"/>
      <c r="C4672" s="120"/>
      <c r="D4672" s="120"/>
      <c r="E4672" s="120"/>
      <c r="F4672" s="120"/>
      <c r="G4672" s="120"/>
      <c r="H4672" s="120"/>
      <c r="I4672" s="121"/>
      <c r="J4672" s="121"/>
      <c r="K4672" s="117"/>
    </row>
    <row r="4673" ht="15.75" customHeight="1">
      <c r="A4673" s="122"/>
      <c r="B4673" s="133"/>
      <c r="C4673" s="120"/>
      <c r="D4673" s="120"/>
      <c r="E4673" s="120"/>
      <c r="F4673" s="120"/>
      <c r="G4673" s="120"/>
      <c r="H4673" s="120"/>
      <c r="I4673" s="121"/>
      <c r="J4673" s="121"/>
      <c r="K4673" s="117"/>
    </row>
    <row r="4674" ht="15.75" customHeight="1">
      <c r="A4674" s="122"/>
      <c r="B4674" s="133"/>
      <c r="C4674" s="120"/>
      <c r="D4674" s="120"/>
      <c r="E4674" s="120"/>
      <c r="F4674" s="120"/>
      <c r="G4674" s="120"/>
      <c r="H4674" s="120"/>
      <c r="I4674" s="121"/>
      <c r="J4674" s="121"/>
      <c r="K4674" s="117"/>
    </row>
    <row r="4675" ht="15.75" customHeight="1">
      <c r="A4675" s="122"/>
      <c r="B4675" s="133"/>
      <c r="C4675" s="120"/>
      <c r="D4675" s="120"/>
      <c r="E4675" s="120"/>
      <c r="F4675" s="120"/>
      <c r="G4675" s="120"/>
      <c r="H4675" s="120"/>
      <c r="I4675" s="121"/>
      <c r="J4675" s="121"/>
      <c r="K4675" s="117"/>
    </row>
    <row r="4676" ht="15.75" customHeight="1">
      <c r="A4676" s="122"/>
      <c r="B4676" s="133"/>
      <c r="C4676" s="120"/>
      <c r="D4676" s="120"/>
      <c r="E4676" s="120"/>
      <c r="F4676" s="120"/>
      <c r="G4676" s="120"/>
      <c r="H4676" s="120"/>
      <c r="I4676" s="121"/>
      <c r="J4676" s="121"/>
      <c r="K4676" s="117"/>
    </row>
    <row r="4677" ht="15.75" customHeight="1">
      <c r="A4677" s="122"/>
      <c r="B4677" s="133"/>
      <c r="C4677" s="120"/>
      <c r="D4677" s="120"/>
      <c r="E4677" s="120"/>
      <c r="F4677" s="120"/>
      <c r="G4677" s="120"/>
      <c r="H4677" s="120"/>
      <c r="I4677" s="121"/>
      <c r="J4677" s="121"/>
      <c r="K4677" s="117"/>
    </row>
    <row r="4678" ht="15.75" customHeight="1">
      <c r="A4678" s="122"/>
      <c r="B4678" s="133"/>
      <c r="C4678" s="120"/>
      <c r="D4678" s="120"/>
      <c r="E4678" s="120"/>
      <c r="F4678" s="120"/>
      <c r="G4678" s="120"/>
      <c r="H4678" s="120"/>
      <c r="I4678" s="121"/>
      <c r="J4678" s="121"/>
      <c r="K4678" s="117"/>
    </row>
    <row r="4679" ht="15.75" customHeight="1">
      <c r="A4679" s="122"/>
      <c r="B4679" s="133"/>
      <c r="C4679" s="120"/>
      <c r="D4679" s="120"/>
      <c r="E4679" s="120"/>
      <c r="F4679" s="120"/>
      <c r="G4679" s="120"/>
      <c r="H4679" s="120"/>
      <c r="I4679" s="121"/>
      <c r="J4679" s="121"/>
      <c r="K4679" s="117"/>
    </row>
    <row r="4680" ht="15.75" customHeight="1">
      <c r="A4680" s="122"/>
      <c r="B4680" s="133"/>
      <c r="C4680" s="120"/>
      <c r="D4680" s="120"/>
      <c r="E4680" s="120"/>
      <c r="F4680" s="120"/>
      <c r="G4680" s="120"/>
      <c r="H4680" s="120"/>
      <c r="I4680" s="121"/>
      <c r="J4680" s="121"/>
      <c r="K4680" s="117"/>
    </row>
    <row r="4681" ht="15.75" customHeight="1">
      <c r="A4681" s="122"/>
      <c r="B4681" s="133"/>
      <c r="C4681" s="120"/>
      <c r="D4681" s="120"/>
      <c r="E4681" s="120"/>
      <c r="F4681" s="120"/>
      <c r="G4681" s="120"/>
      <c r="H4681" s="120"/>
      <c r="I4681" s="121"/>
      <c r="J4681" s="121"/>
      <c r="K4681" s="117"/>
    </row>
    <row r="4682" ht="15.75" customHeight="1">
      <c r="A4682" s="122"/>
      <c r="B4682" s="133"/>
      <c r="C4682" s="120"/>
      <c r="D4682" s="120"/>
      <c r="E4682" s="120"/>
      <c r="F4682" s="120"/>
      <c r="G4682" s="120"/>
      <c r="H4682" s="120"/>
      <c r="I4682" s="121"/>
      <c r="J4682" s="121"/>
      <c r="K4682" s="117"/>
    </row>
    <row r="4683" ht="15.75" customHeight="1">
      <c r="A4683" s="122"/>
      <c r="B4683" s="133"/>
      <c r="C4683" s="120"/>
      <c r="D4683" s="120"/>
      <c r="E4683" s="120"/>
      <c r="F4683" s="120"/>
      <c r="G4683" s="120"/>
      <c r="H4683" s="120"/>
      <c r="I4683" s="121"/>
      <c r="J4683" s="121"/>
      <c r="K4683" s="117"/>
    </row>
    <row r="4684" ht="15.75" customHeight="1">
      <c r="A4684" s="122"/>
      <c r="B4684" s="133"/>
      <c r="C4684" s="120"/>
      <c r="D4684" s="120"/>
      <c r="E4684" s="120"/>
      <c r="F4684" s="120"/>
      <c r="G4684" s="120"/>
      <c r="H4684" s="120"/>
      <c r="I4684" s="121"/>
      <c r="J4684" s="121"/>
      <c r="K4684" s="117"/>
    </row>
    <row r="4685" ht="15.75" customHeight="1">
      <c r="A4685" s="122"/>
      <c r="B4685" s="133"/>
      <c r="C4685" s="120"/>
      <c r="D4685" s="120"/>
      <c r="E4685" s="120"/>
      <c r="F4685" s="120"/>
      <c r="G4685" s="120"/>
      <c r="H4685" s="120"/>
      <c r="I4685" s="121"/>
      <c r="J4685" s="121"/>
      <c r="K4685" s="117"/>
    </row>
    <row r="4686" ht="15.75" customHeight="1">
      <c r="A4686" s="122"/>
      <c r="B4686" s="133"/>
      <c r="C4686" s="120"/>
      <c r="D4686" s="120"/>
      <c r="E4686" s="120"/>
      <c r="F4686" s="120"/>
      <c r="G4686" s="120"/>
      <c r="H4686" s="120"/>
      <c r="I4686" s="121"/>
      <c r="J4686" s="121"/>
      <c r="K4686" s="117"/>
    </row>
    <row r="4687" ht="15.75" customHeight="1">
      <c r="A4687" s="122"/>
      <c r="B4687" s="133"/>
      <c r="C4687" s="120"/>
      <c r="D4687" s="120"/>
      <c r="E4687" s="120"/>
      <c r="F4687" s="120"/>
      <c r="G4687" s="120"/>
      <c r="H4687" s="120"/>
      <c r="I4687" s="121"/>
      <c r="J4687" s="121"/>
      <c r="K4687" s="117"/>
    </row>
    <row r="4688" ht="15.75" customHeight="1">
      <c r="A4688" s="122"/>
      <c r="B4688" s="133"/>
      <c r="C4688" s="120"/>
      <c r="D4688" s="120"/>
      <c r="E4688" s="120"/>
      <c r="F4688" s="120"/>
      <c r="G4688" s="120"/>
      <c r="H4688" s="120"/>
      <c r="I4688" s="121"/>
      <c r="J4688" s="121"/>
      <c r="K4688" s="117"/>
    </row>
    <row r="4689" ht="15.75" customHeight="1">
      <c r="A4689" s="122"/>
      <c r="B4689" s="133"/>
      <c r="C4689" s="120"/>
      <c r="D4689" s="120"/>
      <c r="E4689" s="120"/>
      <c r="F4689" s="120"/>
      <c r="G4689" s="120"/>
      <c r="H4689" s="120"/>
      <c r="I4689" s="121"/>
      <c r="J4689" s="121"/>
      <c r="K4689" s="117"/>
    </row>
    <row r="4690" ht="15.75" customHeight="1">
      <c r="A4690" s="122"/>
      <c r="B4690" s="133"/>
      <c r="C4690" s="120"/>
      <c r="D4690" s="120"/>
      <c r="E4690" s="120"/>
      <c r="F4690" s="120"/>
      <c r="G4690" s="120"/>
      <c r="H4690" s="120"/>
      <c r="I4690" s="121"/>
      <c r="J4690" s="121"/>
      <c r="K4690" s="117"/>
    </row>
    <row r="4691" ht="15.75" customHeight="1">
      <c r="A4691" s="122"/>
      <c r="B4691" s="133"/>
      <c r="C4691" s="120"/>
      <c r="D4691" s="120"/>
      <c r="E4691" s="120"/>
      <c r="F4691" s="120"/>
      <c r="G4691" s="120"/>
      <c r="H4691" s="120"/>
      <c r="I4691" s="121"/>
      <c r="J4691" s="121"/>
      <c r="K4691" s="117"/>
    </row>
    <row r="4692" ht="15.75" customHeight="1">
      <c r="A4692" s="122"/>
      <c r="B4692" s="133"/>
      <c r="C4692" s="120"/>
      <c r="D4692" s="120"/>
      <c r="E4692" s="120"/>
      <c r="F4692" s="120"/>
      <c r="G4692" s="120"/>
      <c r="H4692" s="120"/>
      <c r="I4692" s="121"/>
      <c r="J4692" s="121"/>
      <c r="K4692" s="117"/>
    </row>
    <row r="4693" ht="15.75" customHeight="1">
      <c r="A4693" s="122"/>
      <c r="B4693" s="133"/>
      <c r="C4693" s="120"/>
      <c r="D4693" s="120"/>
      <c r="E4693" s="120"/>
      <c r="F4693" s="120"/>
      <c r="G4693" s="120"/>
      <c r="H4693" s="120"/>
      <c r="I4693" s="121"/>
      <c r="J4693" s="121"/>
      <c r="K4693" s="117"/>
    </row>
    <row r="4694" ht="15.75" customHeight="1">
      <c r="A4694" s="122"/>
      <c r="B4694" s="133"/>
      <c r="C4694" s="120"/>
      <c r="D4694" s="120"/>
      <c r="E4694" s="120"/>
      <c r="F4694" s="120"/>
      <c r="G4694" s="120"/>
      <c r="H4694" s="120"/>
      <c r="I4694" s="121"/>
      <c r="J4694" s="121"/>
      <c r="K4694" s="117"/>
    </row>
    <row r="4695" ht="15.75" customHeight="1">
      <c r="A4695" s="122"/>
      <c r="B4695" s="133"/>
      <c r="C4695" s="120"/>
      <c r="D4695" s="120"/>
      <c r="E4695" s="120"/>
      <c r="F4695" s="120"/>
      <c r="G4695" s="120"/>
      <c r="H4695" s="120"/>
      <c r="I4695" s="121"/>
      <c r="J4695" s="121"/>
      <c r="K4695" s="117"/>
    </row>
    <row r="4696" ht="15.75" customHeight="1">
      <c r="A4696" s="122"/>
      <c r="B4696" s="133"/>
      <c r="C4696" s="120"/>
      <c r="D4696" s="120"/>
      <c r="E4696" s="120"/>
      <c r="F4696" s="120"/>
      <c r="G4696" s="120"/>
      <c r="H4696" s="120"/>
      <c r="I4696" s="121"/>
      <c r="J4696" s="121"/>
      <c r="K4696" s="117"/>
    </row>
    <row r="4697" ht="15.75" customHeight="1">
      <c r="A4697" s="122"/>
      <c r="B4697" s="133"/>
      <c r="C4697" s="120"/>
      <c r="D4697" s="120"/>
      <c r="E4697" s="120"/>
      <c r="F4697" s="120"/>
      <c r="G4697" s="120"/>
      <c r="H4697" s="120"/>
      <c r="I4697" s="121"/>
      <c r="J4697" s="121"/>
      <c r="K4697" s="117"/>
    </row>
    <row r="4698" ht="15.75" customHeight="1">
      <c r="A4698" s="122"/>
      <c r="B4698" s="133"/>
      <c r="C4698" s="120"/>
      <c r="D4698" s="120"/>
      <c r="E4698" s="120"/>
      <c r="F4698" s="120"/>
      <c r="G4698" s="120"/>
      <c r="H4698" s="120"/>
      <c r="I4698" s="121"/>
      <c r="J4698" s="121"/>
      <c r="K4698" s="117"/>
    </row>
    <row r="4699" ht="15.75" customHeight="1">
      <c r="A4699" s="122"/>
      <c r="B4699" s="133"/>
      <c r="C4699" s="120"/>
      <c r="D4699" s="120"/>
      <c r="E4699" s="120"/>
      <c r="F4699" s="120"/>
      <c r="G4699" s="120"/>
      <c r="H4699" s="120"/>
      <c r="I4699" s="121"/>
      <c r="J4699" s="121"/>
      <c r="K4699" s="117"/>
    </row>
    <row r="4700" ht="15.75" customHeight="1">
      <c r="A4700" s="122"/>
      <c r="B4700" s="133"/>
      <c r="C4700" s="120"/>
      <c r="D4700" s="120"/>
      <c r="E4700" s="120"/>
      <c r="F4700" s="120"/>
      <c r="G4700" s="120"/>
      <c r="H4700" s="120"/>
      <c r="I4700" s="121"/>
      <c r="J4700" s="121"/>
      <c r="K4700" s="117"/>
    </row>
    <row r="4701" ht="15.75" customHeight="1">
      <c r="A4701" s="122"/>
      <c r="B4701" s="133"/>
      <c r="C4701" s="120"/>
      <c r="D4701" s="120"/>
      <c r="E4701" s="120"/>
      <c r="F4701" s="120"/>
      <c r="G4701" s="120"/>
      <c r="H4701" s="120"/>
      <c r="I4701" s="121"/>
      <c r="J4701" s="121"/>
      <c r="K4701" s="117"/>
    </row>
    <row r="4702" ht="15.75" customHeight="1">
      <c r="A4702" s="122"/>
      <c r="B4702" s="133"/>
      <c r="C4702" s="120"/>
      <c r="D4702" s="120"/>
      <c r="E4702" s="120"/>
      <c r="F4702" s="120"/>
      <c r="G4702" s="120"/>
      <c r="H4702" s="120"/>
      <c r="I4702" s="121"/>
      <c r="J4702" s="121"/>
      <c r="K4702" s="117"/>
    </row>
    <row r="4703" ht="15.75" customHeight="1">
      <c r="A4703" s="122"/>
      <c r="B4703" s="133"/>
      <c r="C4703" s="120"/>
      <c r="D4703" s="120"/>
      <c r="E4703" s="120"/>
      <c r="F4703" s="120"/>
      <c r="G4703" s="120"/>
      <c r="H4703" s="120"/>
      <c r="I4703" s="121"/>
      <c r="J4703" s="121"/>
      <c r="K4703" s="117"/>
    </row>
    <row r="4704" ht="15.75" customHeight="1">
      <c r="A4704" s="122"/>
      <c r="B4704" s="133"/>
      <c r="C4704" s="120"/>
      <c r="D4704" s="120"/>
      <c r="E4704" s="120"/>
      <c r="F4704" s="120"/>
      <c r="G4704" s="120"/>
      <c r="H4704" s="120"/>
      <c r="I4704" s="121"/>
      <c r="J4704" s="121"/>
      <c r="K4704" s="117"/>
    </row>
    <row r="4705" ht="15.75" customHeight="1">
      <c r="A4705" s="122"/>
      <c r="B4705" s="133"/>
      <c r="C4705" s="120"/>
      <c r="D4705" s="120"/>
      <c r="E4705" s="120"/>
      <c r="F4705" s="120"/>
      <c r="G4705" s="120"/>
      <c r="H4705" s="120"/>
      <c r="I4705" s="121"/>
      <c r="J4705" s="121"/>
      <c r="K4705" s="117"/>
    </row>
    <row r="4706" ht="15.75" customHeight="1">
      <c r="A4706" s="122"/>
      <c r="B4706" s="133"/>
      <c r="C4706" s="120"/>
      <c r="D4706" s="120"/>
      <c r="E4706" s="120"/>
      <c r="F4706" s="120"/>
      <c r="G4706" s="120"/>
      <c r="H4706" s="120"/>
      <c r="I4706" s="121"/>
      <c r="J4706" s="121"/>
      <c r="K4706" s="117"/>
    </row>
    <row r="4707" ht="15.75" customHeight="1">
      <c r="A4707" s="122"/>
      <c r="B4707" s="133"/>
      <c r="C4707" s="120"/>
      <c r="D4707" s="120"/>
      <c r="E4707" s="120"/>
      <c r="F4707" s="120"/>
      <c r="G4707" s="120"/>
      <c r="H4707" s="120"/>
      <c r="I4707" s="121"/>
      <c r="J4707" s="121"/>
      <c r="K4707" s="117"/>
    </row>
    <row r="4708" ht="15.75" customHeight="1">
      <c r="A4708" s="122"/>
      <c r="B4708" s="133"/>
      <c r="C4708" s="120"/>
      <c r="D4708" s="120"/>
      <c r="E4708" s="120"/>
      <c r="F4708" s="120"/>
      <c r="G4708" s="120"/>
      <c r="H4708" s="120"/>
      <c r="I4708" s="121"/>
      <c r="J4708" s="121"/>
      <c r="K4708" s="117"/>
    </row>
    <row r="4709" ht="15.75" customHeight="1">
      <c r="A4709" s="122"/>
      <c r="B4709" s="133"/>
      <c r="C4709" s="120"/>
      <c r="D4709" s="120"/>
      <c r="E4709" s="120"/>
      <c r="F4709" s="120"/>
      <c r="G4709" s="120"/>
      <c r="H4709" s="120"/>
      <c r="I4709" s="121"/>
      <c r="J4709" s="121"/>
      <c r="K4709" s="117"/>
    </row>
    <row r="4710" ht="15.75" customHeight="1">
      <c r="A4710" s="122"/>
      <c r="B4710" s="133"/>
      <c r="C4710" s="120"/>
      <c r="D4710" s="120"/>
      <c r="E4710" s="120"/>
      <c r="F4710" s="120"/>
      <c r="G4710" s="120"/>
      <c r="H4710" s="120"/>
      <c r="I4710" s="121"/>
      <c r="J4710" s="121"/>
      <c r="K4710" s="117"/>
    </row>
    <row r="4711" ht="15.75" customHeight="1">
      <c r="A4711" s="122"/>
      <c r="B4711" s="133"/>
      <c r="C4711" s="120"/>
      <c r="D4711" s="120"/>
      <c r="E4711" s="120"/>
      <c r="F4711" s="120"/>
      <c r="G4711" s="120"/>
      <c r="H4711" s="120"/>
      <c r="I4711" s="121"/>
      <c r="J4711" s="121"/>
      <c r="K4711" s="117"/>
    </row>
    <row r="4712" ht="15.75" customHeight="1">
      <c r="A4712" s="122"/>
      <c r="B4712" s="133"/>
      <c r="C4712" s="120"/>
      <c r="D4712" s="120"/>
      <c r="E4712" s="120"/>
      <c r="F4712" s="120"/>
      <c r="G4712" s="120"/>
      <c r="H4712" s="120"/>
      <c r="I4712" s="121"/>
      <c r="J4712" s="121"/>
      <c r="K4712" s="117"/>
    </row>
    <row r="4713" ht="15.75" customHeight="1">
      <c r="A4713" s="122"/>
      <c r="B4713" s="133"/>
      <c r="C4713" s="120"/>
      <c r="D4713" s="120"/>
      <c r="E4713" s="120"/>
      <c r="F4713" s="120"/>
      <c r="G4713" s="120"/>
      <c r="H4713" s="120"/>
      <c r="I4713" s="121"/>
      <c r="J4713" s="121"/>
      <c r="K4713" s="117"/>
    </row>
    <row r="4714" ht="15.75" customHeight="1">
      <c r="A4714" s="122"/>
      <c r="B4714" s="133"/>
      <c r="C4714" s="120"/>
      <c r="D4714" s="120"/>
      <c r="E4714" s="120"/>
      <c r="F4714" s="120"/>
      <c r="G4714" s="120"/>
      <c r="H4714" s="120"/>
      <c r="I4714" s="121"/>
      <c r="J4714" s="121"/>
      <c r="K4714" s="117"/>
    </row>
    <row r="4715" ht="15.75" customHeight="1">
      <c r="A4715" s="122"/>
      <c r="B4715" s="133"/>
      <c r="C4715" s="120"/>
      <c r="D4715" s="120"/>
      <c r="E4715" s="120"/>
      <c r="F4715" s="120"/>
      <c r="G4715" s="120"/>
      <c r="H4715" s="120"/>
      <c r="I4715" s="121"/>
      <c r="J4715" s="121"/>
      <c r="K4715" s="117"/>
    </row>
    <row r="4716" ht="15.75" customHeight="1">
      <c r="A4716" s="122"/>
      <c r="B4716" s="133"/>
      <c r="C4716" s="120"/>
      <c r="D4716" s="120"/>
      <c r="E4716" s="120"/>
      <c r="F4716" s="120"/>
      <c r="G4716" s="120"/>
      <c r="H4716" s="120"/>
      <c r="I4716" s="121"/>
      <c r="J4716" s="121"/>
      <c r="K4716" s="117"/>
    </row>
    <row r="4717" ht="15.75" customHeight="1">
      <c r="A4717" s="122"/>
      <c r="B4717" s="133"/>
      <c r="C4717" s="120"/>
      <c r="D4717" s="120"/>
      <c r="E4717" s="120"/>
      <c r="F4717" s="120"/>
      <c r="G4717" s="120"/>
      <c r="H4717" s="120"/>
      <c r="I4717" s="121"/>
      <c r="J4717" s="121"/>
      <c r="K4717" s="117"/>
    </row>
    <row r="4718" ht="15.75" customHeight="1">
      <c r="A4718" s="122"/>
      <c r="B4718" s="133"/>
      <c r="C4718" s="120"/>
      <c r="D4718" s="120"/>
      <c r="E4718" s="120"/>
      <c r="F4718" s="120"/>
      <c r="G4718" s="120"/>
      <c r="H4718" s="120"/>
      <c r="I4718" s="121"/>
      <c r="J4718" s="121"/>
      <c r="K4718" s="117"/>
    </row>
    <row r="4719" ht="15.75" customHeight="1">
      <c r="A4719" s="122"/>
      <c r="B4719" s="133"/>
      <c r="C4719" s="120"/>
      <c r="D4719" s="120"/>
      <c r="E4719" s="120"/>
      <c r="F4719" s="120"/>
      <c r="G4719" s="120"/>
      <c r="H4719" s="120"/>
      <c r="I4719" s="121"/>
      <c r="J4719" s="121"/>
      <c r="K4719" s="117"/>
    </row>
    <row r="4720" ht="15.75" customHeight="1">
      <c r="A4720" s="122"/>
      <c r="B4720" s="133"/>
      <c r="C4720" s="120"/>
      <c r="D4720" s="120"/>
      <c r="E4720" s="120"/>
      <c r="F4720" s="120"/>
      <c r="G4720" s="120"/>
      <c r="H4720" s="120"/>
      <c r="I4720" s="121"/>
      <c r="J4720" s="121"/>
      <c r="K4720" s="117"/>
    </row>
    <row r="4721" ht="15.75" customHeight="1">
      <c r="A4721" s="122"/>
      <c r="B4721" s="133"/>
      <c r="C4721" s="120"/>
      <c r="D4721" s="120"/>
      <c r="E4721" s="120"/>
      <c r="F4721" s="120"/>
      <c r="G4721" s="120"/>
      <c r="H4721" s="120"/>
      <c r="I4721" s="121"/>
      <c r="J4721" s="121"/>
      <c r="K4721" s="117"/>
    </row>
    <row r="4722" ht="15.75" customHeight="1">
      <c r="A4722" s="122"/>
      <c r="B4722" s="133"/>
      <c r="C4722" s="120"/>
      <c r="D4722" s="120"/>
      <c r="E4722" s="120"/>
      <c r="F4722" s="120"/>
      <c r="G4722" s="120"/>
      <c r="H4722" s="120"/>
      <c r="I4722" s="121"/>
      <c r="J4722" s="121"/>
      <c r="K4722" s="117"/>
    </row>
    <row r="4723" ht="15.75" customHeight="1">
      <c r="A4723" s="122"/>
      <c r="B4723" s="133"/>
      <c r="C4723" s="120"/>
      <c r="D4723" s="120"/>
      <c r="E4723" s="120"/>
      <c r="F4723" s="120"/>
      <c r="G4723" s="120"/>
      <c r="H4723" s="120"/>
      <c r="I4723" s="121"/>
      <c r="J4723" s="121"/>
      <c r="K4723" s="117"/>
    </row>
    <row r="4724" ht="15.75" customHeight="1">
      <c r="A4724" s="122"/>
      <c r="B4724" s="133"/>
      <c r="C4724" s="120"/>
      <c r="D4724" s="120"/>
      <c r="E4724" s="120"/>
      <c r="F4724" s="120"/>
      <c r="G4724" s="120"/>
      <c r="H4724" s="120"/>
      <c r="I4724" s="121"/>
      <c r="J4724" s="121"/>
      <c r="K4724" s="117"/>
    </row>
    <row r="4725" ht="15.75" customHeight="1">
      <c r="A4725" s="122"/>
      <c r="B4725" s="133"/>
      <c r="C4725" s="120"/>
      <c r="D4725" s="120"/>
      <c r="E4725" s="120"/>
      <c r="F4725" s="120"/>
      <c r="G4725" s="120"/>
      <c r="H4725" s="120"/>
      <c r="I4725" s="121"/>
      <c r="J4725" s="121"/>
      <c r="K4725" s="117"/>
    </row>
    <row r="4726" ht="15.75" customHeight="1">
      <c r="A4726" s="122"/>
      <c r="B4726" s="133"/>
      <c r="C4726" s="120"/>
      <c r="D4726" s="120"/>
      <c r="E4726" s="120"/>
      <c r="F4726" s="120"/>
      <c r="G4726" s="120"/>
      <c r="H4726" s="120"/>
      <c r="I4726" s="121"/>
      <c r="J4726" s="121"/>
      <c r="K4726" s="117"/>
    </row>
    <row r="4727" ht="15.75" customHeight="1">
      <c r="A4727" s="122"/>
      <c r="B4727" s="133"/>
      <c r="C4727" s="120"/>
      <c r="D4727" s="120"/>
      <c r="E4727" s="120"/>
      <c r="F4727" s="120"/>
      <c r="G4727" s="120"/>
      <c r="H4727" s="120"/>
      <c r="I4727" s="121"/>
      <c r="J4727" s="121"/>
      <c r="K4727" s="117"/>
    </row>
    <row r="4728" ht="15.75" customHeight="1">
      <c r="A4728" s="122"/>
      <c r="B4728" s="133"/>
      <c r="C4728" s="120"/>
      <c r="D4728" s="120"/>
      <c r="E4728" s="120"/>
      <c r="F4728" s="120"/>
      <c r="G4728" s="120"/>
      <c r="H4728" s="120"/>
      <c r="I4728" s="121"/>
      <c r="J4728" s="121"/>
      <c r="K4728" s="117"/>
    </row>
    <row r="4729" ht="15.75" customHeight="1">
      <c r="A4729" s="122"/>
      <c r="B4729" s="133"/>
      <c r="C4729" s="120"/>
      <c r="D4729" s="120"/>
      <c r="E4729" s="120"/>
      <c r="F4729" s="120"/>
      <c r="G4729" s="120"/>
      <c r="H4729" s="120"/>
      <c r="I4729" s="121"/>
      <c r="J4729" s="121"/>
      <c r="K4729" s="117"/>
    </row>
    <row r="4730" ht="15.75" customHeight="1">
      <c r="A4730" s="122"/>
      <c r="B4730" s="133"/>
      <c r="C4730" s="120"/>
      <c r="D4730" s="120"/>
      <c r="E4730" s="120"/>
      <c r="F4730" s="120"/>
      <c r="G4730" s="120"/>
      <c r="H4730" s="120"/>
      <c r="I4730" s="121"/>
      <c r="J4730" s="121"/>
      <c r="K4730" s="117"/>
    </row>
    <row r="4731" ht="15.75" customHeight="1">
      <c r="A4731" s="122"/>
      <c r="B4731" s="133"/>
      <c r="C4731" s="120"/>
      <c r="D4731" s="120"/>
      <c r="E4731" s="120"/>
      <c r="F4731" s="120"/>
      <c r="G4731" s="120"/>
      <c r="H4731" s="120"/>
      <c r="I4731" s="121"/>
      <c r="J4731" s="121"/>
      <c r="K4731" s="117"/>
    </row>
    <row r="4732" ht="15.75" customHeight="1">
      <c r="A4732" s="122"/>
      <c r="B4732" s="133"/>
      <c r="C4732" s="120"/>
      <c r="D4732" s="120"/>
      <c r="E4732" s="120"/>
      <c r="F4732" s="120"/>
      <c r="G4732" s="120"/>
      <c r="H4732" s="120"/>
      <c r="I4732" s="121"/>
      <c r="J4732" s="121"/>
      <c r="K4732" s="117"/>
    </row>
    <row r="4733" ht="15.75" customHeight="1">
      <c r="A4733" s="122"/>
      <c r="B4733" s="133"/>
      <c r="C4733" s="120"/>
      <c r="D4733" s="120"/>
      <c r="E4733" s="120"/>
      <c r="F4733" s="120"/>
      <c r="G4733" s="120"/>
      <c r="H4733" s="120"/>
      <c r="I4733" s="121"/>
      <c r="J4733" s="121"/>
      <c r="K4733" s="117"/>
    </row>
    <row r="4734" ht="15.75" customHeight="1">
      <c r="A4734" s="122"/>
      <c r="B4734" s="133"/>
      <c r="C4734" s="120"/>
      <c r="D4734" s="120"/>
      <c r="E4734" s="120"/>
      <c r="F4734" s="120"/>
      <c r="G4734" s="120"/>
      <c r="H4734" s="120"/>
      <c r="I4734" s="121"/>
      <c r="J4734" s="121"/>
      <c r="K4734" s="117"/>
    </row>
    <row r="4735" ht="15.75" customHeight="1">
      <c r="A4735" s="122"/>
      <c r="B4735" s="133"/>
      <c r="C4735" s="120"/>
      <c r="D4735" s="120"/>
      <c r="E4735" s="120"/>
      <c r="F4735" s="120"/>
      <c r="G4735" s="120"/>
      <c r="H4735" s="120"/>
      <c r="I4735" s="121"/>
      <c r="J4735" s="121"/>
      <c r="K4735" s="117"/>
    </row>
    <row r="4736" ht="15.75" customHeight="1">
      <c r="A4736" s="122"/>
      <c r="B4736" s="133"/>
      <c r="C4736" s="120"/>
      <c r="D4736" s="120"/>
      <c r="E4736" s="120"/>
      <c r="F4736" s="120"/>
      <c r="G4736" s="120"/>
      <c r="H4736" s="120"/>
      <c r="I4736" s="121"/>
      <c r="J4736" s="121"/>
      <c r="K4736" s="117"/>
    </row>
    <row r="4737" ht="15.75" customHeight="1">
      <c r="A4737" s="122"/>
      <c r="B4737" s="133"/>
      <c r="C4737" s="120"/>
      <c r="D4737" s="120"/>
      <c r="E4737" s="120"/>
      <c r="F4737" s="120"/>
      <c r="G4737" s="120"/>
      <c r="H4737" s="120"/>
      <c r="I4737" s="121"/>
      <c r="J4737" s="121"/>
      <c r="K4737" s="117"/>
    </row>
    <row r="4738" ht="15.75" customHeight="1">
      <c r="A4738" s="122"/>
      <c r="B4738" s="133"/>
      <c r="C4738" s="120"/>
      <c r="D4738" s="120"/>
      <c r="E4738" s="120"/>
      <c r="F4738" s="120"/>
      <c r="G4738" s="120"/>
      <c r="H4738" s="120"/>
      <c r="I4738" s="121"/>
      <c r="J4738" s="121"/>
      <c r="K4738" s="117"/>
    </row>
    <row r="4739" ht="15.75" customHeight="1">
      <c r="A4739" s="122"/>
      <c r="B4739" s="133"/>
      <c r="C4739" s="120"/>
      <c r="D4739" s="120"/>
      <c r="E4739" s="120"/>
      <c r="F4739" s="120"/>
      <c r="G4739" s="120"/>
      <c r="H4739" s="120"/>
      <c r="I4739" s="121"/>
      <c r="J4739" s="121"/>
      <c r="K4739" s="117"/>
    </row>
    <row r="4740" ht="15.75" customHeight="1">
      <c r="A4740" s="122"/>
      <c r="B4740" s="133"/>
      <c r="C4740" s="120"/>
      <c r="D4740" s="120"/>
      <c r="E4740" s="120"/>
      <c r="F4740" s="120"/>
      <c r="G4740" s="120"/>
      <c r="H4740" s="120"/>
      <c r="I4740" s="121"/>
      <c r="J4740" s="121"/>
      <c r="K4740" s="117"/>
    </row>
    <row r="4741" ht="15.75" customHeight="1">
      <c r="A4741" s="122"/>
      <c r="B4741" s="133"/>
      <c r="C4741" s="120"/>
      <c r="D4741" s="120"/>
      <c r="E4741" s="120"/>
      <c r="F4741" s="120"/>
      <c r="G4741" s="120"/>
      <c r="H4741" s="120"/>
      <c r="I4741" s="121"/>
      <c r="J4741" s="121"/>
      <c r="K4741" s="117"/>
    </row>
    <row r="4742" ht="15.75" customHeight="1">
      <c r="A4742" s="122"/>
      <c r="B4742" s="133"/>
      <c r="C4742" s="120"/>
      <c r="D4742" s="120"/>
      <c r="E4742" s="120"/>
      <c r="F4742" s="120"/>
      <c r="G4742" s="120"/>
      <c r="H4742" s="120"/>
      <c r="I4742" s="121"/>
      <c r="J4742" s="121"/>
      <c r="K4742" s="117"/>
    </row>
    <row r="4743" ht="15.75" customHeight="1">
      <c r="A4743" s="122"/>
      <c r="B4743" s="133"/>
      <c r="C4743" s="120"/>
      <c r="D4743" s="120"/>
      <c r="E4743" s="120"/>
      <c r="F4743" s="120"/>
      <c r="G4743" s="120"/>
      <c r="H4743" s="120"/>
      <c r="I4743" s="121"/>
      <c r="J4743" s="121"/>
      <c r="K4743" s="117"/>
    </row>
    <row r="4744" ht="15.75" customHeight="1">
      <c r="A4744" s="122"/>
      <c r="B4744" s="133"/>
      <c r="C4744" s="120"/>
      <c r="D4744" s="120"/>
      <c r="E4744" s="120"/>
      <c r="F4744" s="120"/>
      <c r="G4744" s="120"/>
      <c r="H4744" s="120"/>
      <c r="I4744" s="121"/>
      <c r="J4744" s="121"/>
      <c r="K4744" s="117"/>
    </row>
    <row r="4745" ht="15.75" customHeight="1">
      <c r="A4745" s="122"/>
      <c r="B4745" s="133"/>
      <c r="C4745" s="120"/>
      <c r="D4745" s="120"/>
      <c r="E4745" s="120"/>
      <c r="F4745" s="120"/>
      <c r="G4745" s="120"/>
      <c r="H4745" s="120"/>
      <c r="I4745" s="121"/>
      <c r="J4745" s="121"/>
      <c r="K4745" s="117"/>
    </row>
    <row r="4746" ht="15.75" customHeight="1">
      <c r="A4746" s="122"/>
      <c r="B4746" s="133"/>
      <c r="C4746" s="120"/>
      <c r="D4746" s="120"/>
      <c r="E4746" s="120"/>
      <c r="F4746" s="120"/>
      <c r="G4746" s="120"/>
      <c r="H4746" s="120"/>
      <c r="I4746" s="121"/>
      <c r="J4746" s="121"/>
      <c r="K4746" s="117"/>
    </row>
    <row r="4747" ht="15.75" customHeight="1">
      <c r="A4747" s="122"/>
      <c r="B4747" s="133"/>
      <c r="C4747" s="120"/>
      <c r="D4747" s="120"/>
      <c r="E4747" s="120"/>
      <c r="F4747" s="120"/>
      <c r="G4747" s="120"/>
      <c r="H4747" s="120"/>
      <c r="I4747" s="121"/>
      <c r="J4747" s="121"/>
      <c r="K4747" s="117"/>
    </row>
    <row r="4748" ht="15.75" customHeight="1">
      <c r="A4748" s="122"/>
      <c r="B4748" s="133"/>
      <c r="C4748" s="120"/>
      <c r="D4748" s="120"/>
      <c r="E4748" s="120"/>
      <c r="F4748" s="120"/>
      <c r="G4748" s="120"/>
      <c r="H4748" s="120"/>
      <c r="I4748" s="121"/>
      <c r="J4748" s="121"/>
      <c r="K4748" s="117"/>
    </row>
    <row r="4749" ht="15.75" customHeight="1">
      <c r="A4749" s="122"/>
      <c r="B4749" s="133"/>
      <c r="C4749" s="120"/>
      <c r="D4749" s="120"/>
      <c r="E4749" s="120"/>
      <c r="F4749" s="120"/>
      <c r="G4749" s="120"/>
      <c r="H4749" s="120"/>
      <c r="I4749" s="121"/>
      <c r="J4749" s="121"/>
      <c r="K4749" s="117"/>
    </row>
    <row r="4750" ht="15.75" customHeight="1">
      <c r="A4750" s="122"/>
      <c r="B4750" s="133"/>
      <c r="C4750" s="120"/>
      <c r="D4750" s="120"/>
      <c r="E4750" s="120"/>
      <c r="F4750" s="120"/>
      <c r="G4750" s="120"/>
      <c r="H4750" s="120"/>
      <c r="I4750" s="121"/>
      <c r="J4750" s="121"/>
      <c r="K4750" s="117"/>
    </row>
    <row r="4751" ht="15.75" customHeight="1">
      <c r="A4751" s="122"/>
      <c r="B4751" s="133"/>
      <c r="C4751" s="120"/>
      <c r="D4751" s="120"/>
      <c r="E4751" s="120"/>
      <c r="F4751" s="120"/>
      <c r="G4751" s="120"/>
      <c r="H4751" s="120"/>
      <c r="I4751" s="121"/>
      <c r="J4751" s="121"/>
      <c r="K4751" s="117"/>
    </row>
    <row r="4752" ht="15.75" customHeight="1">
      <c r="A4752" s="122"/>
      <c r="B4752" s="133"/>
      <c r="C4752" s="120"/>
      <c r="D4752" s="120"/>
      <c r="E4752" s="120"/>
      <c r="F4752" s="120"/>
      <c r="G4752" s="120"/>
      <c r="H4752" s="120"/>
      <c r="I4752" s="121"/>
      <c r="J4752" s="121"/>
      <c r="K4752" s="117"/>
    </row>
    <row r="4753" ht="15.75" customHeight="1">
      <c r="A4753" s="122"/>
      <c r="B4753" s="133"/>
      <c r="C4753" s="120"/>
      <c r="D4753" s="120"/>
      <c r="E4753" s="120"/>
      <c r="F4753" s="120"/>
      <c r="G4753" s="120"/>
      <c r="H4753" s="120"/>
      <c r="I4753" s="121"/>
      <c r="J4753" s="121"/>
      <c r="K4753" s="117"/>
    </row>
    <row r="4754" ht="15.75" customHeight="1">
      <c r="A4754" s="122"/>
      <c r="B4754" s="133"/>
      <c r="C4754" s="120"/>
      <c r="D4754" s="120"/>
      <c r="E4754" s="120"/>
      <c r="F4754" s="120"/>
      <c r="G4754" s="120"/>
      <c r="H4754" s="120"/>
      <c r="I4754" s="121"/>
      <c r="J4754" s="121"/>
      <c r="K4754" s="117"/>
    </row>
    <row r="4755" ht="15.75" customHeight="1">
      <c r="A4755" s="122"/>
      <c r="B4755" s="133"/>
      <c r="C4755" s="120"/>
      <c r="D4755" s="120"/>
      <c r="E4755" s="120"/>
      <c r="F4755" s="120"/>
      <c r="G4755" s="120"/>
      <c r="H4755" s="120"/>
      <c r="I4755" s="121"/>
      <c r="J4755" s="121"/>
      <c r="K4755" s="117"/>
    </row>
    <row r="4756" ht="15.75" customHeight="1">
      <c r="A4756" s="122"/>
      <c r="B4756" s="133"/>
      <c r="C4756" s="120"/>
      <c r="D4756" s="120"/>
      <c r="E4756" s="120"/>
      <c r="F4756" s="120"/>
      <c r="G4756" s="120"/>
      <c r="H4756" s="120"/>
      <c r="I4756" s="121"/>
      <c r="J4756" s="121"/>
      <c r="K4756" s="117"/>
    </row>
    <row r="4757" ht="15.75" customHeight="1">
      <c r="A4757" s="122"/>
      <c r="B4757" s="133"/>
      <c r="C4757" s="120"/>
      <c r="D4757" s="120"/>
      <c r="E4757" s="120"/>
      <c r="F4757" s="120"/>
      <c r="G4757" s="120"/>
      <c r="H4757" s="120"/>
      <c r="I4757" s="121"/>
      <c r="J4757" s="121"/>
      <c r="K4757" s="117"/>
    </row>
    <row r="4758" ht="15.75" customHeight="1">
      <c r="A4758" s="122"/>
      <c r="B4758" s="133"/>
      <c r="C4758" s="120"/>
      <c r="D4758" s="120"/>
      <c r="E4758" s="120"/>
      <c r="F4758" s="120"/>
      <c r="G4758" s="120"/>
      <c r="H4758" s="120"/>
      <c r="I4758" s="121"/>
      <c r="J4758" s="121"/>
      <c r="K4758" s="117"/>
    </row>
    <row r="4759" ht="15.75" customHeight="1">
      <c r="A4759" s="122"/>
      <c r="B4759" s="133"/>
      <c r="C4759" s="120"/>
      <c r="D4759" s="120"/>
      <c r="E4759" s="120"/>
      <c r="F4759" s="120"/>
      <c r="G4759" s="120"/>
      <c r="H4759" s="120"/>
      <c r="I4759" s="121"/>
      <c r="J4759" s="121"/>
      <c r="K4759" s="117"/>
    </row>
    <row r="4760" ht="15.75" customHeight="1">
      <c r="A4760" s="122"/>
      <c r="B4760" s="133"/>
      <c r="C4760" s="120"/>
      <c r="D4760" s="120"/>
      <c r="E4760" s="120"/>
      <c r="F4760" s="120"/>
      <c r="G4760" s="120"/>
      <c r="H4760" s="120"/>
      <c r="I4760" s="121"/>
      <c r="J4760" s="121"/>
      <c r="K4760" s="117"/>
    </row>
    <row r="4761" ht="15.75" customHeight="1">
      <c r="A4761" s="122"/>
      <c r="B4761" s="133"/>
      <c r="C4761" s="120"/>
      <c r="D4761" s="120"/>
      <c r="E4761" s="120"/>
      <c r="F4761" s="120"/>
      <c r="G4761" s="120"/>
      <c r="H4761" s="120"/>
      <c r="I4761" s="121"/>
      <c r="J4761" s="121"/>
      <c r="K4761" s="117"/>
    </row>
    <row r="4762" ht="15.75" customHeight="1">
      <c r="A4762" s="122"/>
      <c r="B4762" s="133"/>
      <c r="C4762" s="120"/>
      <c r="D4762" s="120"/>
      <c r="E4762" s="120"/>
      <c r="F4762" s="120"/>
      <c r="G4762" s="120"/>
      <c r="H4762" s="120"/>
      <c r="I4762" s="121"/>
      <c r="J4762" s="121"/>
      <c r="K4762" s="117"/>
    </row>
    <row r="4763" ht="15.75" customHeight="1">
      <c r="A4763" s="122"/>
      <c r="B4763" s="133"/>
      <c r="C4763" s="120"/>
      <c r="D4763" s="120"/>
      <c r="E4763" s="120"/>
      <c r="F4763" s="120"/>
      <c r="G4763" s="120"/>
      <c r="H4763" s="120"/>
      <c r="I4763" s="121"/>
      <c r="J4763" s="121"/>
      <c r="K4763" s="117"/>
    </row>
    <row r="4764" ht="15.75" customHeight="1">
      <c r="A4764" s="122"/>
      <c r="B4764" s="133"/>
      <c r="C4764" s="120"/>
      <c r="D4764" s="120"/>
      <c r="E4764" s="120"/>
      <c r="F4764" s="120"/>
      <c r="G4764" s="120"/>
      <c r="H4764" s="120"/>
      <c r="I4764" s="121"/>
      <c r="J4764" s="121"/>
      <c r="K4764" s="117"/>
    </row>
    <row r="4765" ht="15.75" customHeight="1">
      <c r="A4765" s="122"/>
      <c r="B4765" s="133"/>
      <c r="C4765" s="120"/>
      <c r="D4765" s="120"/>
      <c r="E4765" s="120"/>
      <c r="F4765" s="120"/>
      <c r="G4765" s="120"/>
      <c r="H4765" s="120"/>
      <c r="I4765" s="121"/>
      <c r="J4765" s="121"/>
      <c r="K4765" s="117"/>
    </row>
    <row r="4766" ht="15.75" customHeight="1">
      <c r="A4766" s="122"/>
      <c r="B4766" s="133"/>
      <c r="C4766" s="120"/>
      <c r="D4766" s="120"/>
      <c r="E4766" s="120"/>
      <c r="F4766" s="120"/>
      <c r="G4766" s="120"/>
      <c r="H4766" s="120"/>
      <c r="I4766" s="121"/>
      <c r="J4766" s="121"/>
      <c r="K4766" s="117"/>
    </row>
    <row r="4767" ht="15.75" customHeight="1">
      <c r="A4767" s="122"/>
      <c r="B4767" s="133"/>
      <c r="C4767" s="120"/>
      <c r="D4767" s="120"/>
      <c r="E4767" s="120"/>
      <c r="F4767" s="120"/>
      <c r="G4767" s="120"/>
      <c r="H4767" s="120"/>
      <c r="I4767" s="121"/>
      <c r="J4767" s="121"/>
      <c r="K4767" s="117"/>
    </row>
    <row r="4768" ht="15.75" customHeight="1">
      <c r="A4768" s="122"/>
      <c r="B4768" s="133"/>
      <c r="C4768" s="120"/>
      <c r="D4768" s="120"/>
      <c r="E4768" s="120"/>
      <c r="F4768" s="120"/>
      <c r="G4768" s="120"/>
      <c r="H4768" s="120"/>
      <c r="I4768" s="121"/>
      <c r="J4768" s="121"/>
      <c r="K4768" s="117"/>
    </row>
    <row r="4769" ht="15.75" customHeight="1">
      <c r="A4769" s="122"/>
      <c r="B4769" s="133"/>
      <c r="C4769" s="120"/>
      <c r="D4769" s="120"/>
      <c r="E4769" s="120"/>
      <c r="F4769" s="120"/>
      <c r="G4769" s="120"/>
      <c r="H4769" s="120"/>
      <c r="I4769" s="121"/>
      <c r="J4769" s="121"/>
      <c r="K4769" s="117"/>
    </row>
    <row r="4770" ht="15.75" customHeight="1">
      <c r="A4770" s="122"/>
      <c r="B4770" s="133"/>
      <c r="C4770" s="120"/>
      <c r="D4770" s="120"/>
      <c r="E4770" s="120"/>
      <c r="F4770" s="120"/>
      <c r="G4770" s="120"/>
      <c r="H4770" s="120"/>
      <c r="I4770" s="121"/>
      <c r="J4770" s="121"/>
      <c r="K4770" s="117"/>
    </row>
    <row r="4771" ht="15.75" customHeight="1">
      <c r="A4771" s="122"/>
      <c r="B4771" s="133"/>
      <c r="C4771" s="120"/>
      <c r="D4771" s="120"/>
      <c r="E4771" s="120"/>
      <c r="F4771" s="120"/>
      <c r="G4771" s="120"/>
      <c r="H4771" s="120"/>
      <c r="I4771" s="121"/>
      <c r="J4771" s="121"/>
      <c r="K4771" s="117"/>
    </row>
    <row r="4772" ht="15.75" customHeight="1">
      <c r="A4772" s="122"/>
      <c r="B4772" s="133"/>
      <c r="C4772" s="120"/>
      <c r="D4772" s="120"/>
      <c r="E4772" s="120"/>
      <c r="F4772" s="120"/>
      <c r="G4772" s="120"/>
      <c r="H4772" s="120"/>
      <c r="I4772" s="121"/>
      <c r="J4772" s="121"/>
      <c r="K4772" s="117"/>
    </row>
    <row r="4773" ht="15.75" customHeight="1">
      <c r="A4773" s="122"/>
      <c r="B4773" s="133"/>
      <c r="C4773" s="120"/>
      <c r="D4773" s="120"/>
      <c r="E4773" s="120"/>
      <c r="F4773" s="120"/>
      <c r="G4773" s="120"/>
      <c r="H4773" s="120"/>
      <c r="I4773" s="121"/>
      <c r="J4773" s="121"/>
      <c r="K4773" s="117"/>
    </row>
    <row r="4774" ht="15.75" customHeight="1">
      <c r="A4774" s="122"/>
      <c r="B4774" s="133"/>
      <c r="C4774" s="120"/>
      <c r="D4774" s="120"/>
      <c r="E4774" s="120"/>
      <c r="F4774" s="120"/>
      <c r="G4774" s="120"/>
      <c r="H4774" s="120"/>
      <c r="I4774" s="121"/>
      <c r="J4774" s="121"/>
      <c r="K4774" s="117"/>
    </row>
    <row r="4775" ht="15.75" customHeight="1">
      <c r="A4775" s="122"/>
      <c r="B4775" s="133"/>
      <c r="C4775" s="120"/>
      <c r="D4775" s="120"/>
      <c r="E4775" s="120"/>
      <c r="F4775" s="120"/>
      <c r="G4775" s="120"/>
      <c r="H4775" s="120"/>
      <c r="I4775" s="121"/>
      <c r="J4775" s="121"/>
      <c r="K4775" s="117"/>
    </row>
    <row r="4776" ht="15.75" customHeight="1">
      <c r="A4776" s="122"/>
      <c r="B4776" s="133"/>
      <c r="C4776" s="120"/>
      <c r="D4776" s="120"/>
      <c r="E4776" s="120"/>
      <c r="F4776" s="120"/>
      <c r="G4776" s="120"/>
      <c r="H4776" s="120"/>
      <c r="I4776" s="121"/>
      <c r="J4776" s="121"/>
      <c r="K4776" s="117"/>
    </row>
    <row r="4777" ht="15.75" customHeight="1">
      <c r="A4777" s="122"/>
      <c r="B4777" s="133"/>
      <c r="C4777" s="120"/>
      <c r="D4777" s="120"/>
      <c r="E4777" s="120"/>
      <c r="F4777" s="120"/>
      <c r="G4777" s="120"/>
      <c r="H4777" s="120"/>
      <c r="I4777" s="121"/>
      <c r="J4777" s="121"/>
      <c r="K4777" s="117"/>
    </row>
    <row r="4778" ht="15.75" customHeight="1">
      <c r="A4778" s="122"/>
      <c r="B4778" s="133"/>
      <c r="C4778" s="120"/>
      <c r="D4778" s="120"/>
      <c r="E4778" s="120"/>
      <c r="F4778" s="120"/>
      <c r="G4778" s="120"/>
      <c r="H4778" s="120"/>
      <c r="I4778" s="121"/>
      <c r="J4778" s="121"/>
      <c r="K4778" s="117"/>
    </row>
    <row r="4779" ht="15.75" customHeight="1">
      <c r="A4779" s="122"/>
      <c r="B4779" s="133"/>
      <c r="C4779" s="120"/>
      <c r="D4779" s="120"/>
      <c r="E4779" s="120"/>
      <c r="F4779" s="120"/>
      <c r="G4779" s="120"/>
      <c r="H4779" s="120"/>
      <c r="I4779" s="121"/>
      <c r="J4779" s="121"/>
      <c r="K4779" s="117"/>
    </row>
    <row r="4780" ht="15.75" customHeight="1">
      <c r="A4780" s="122"/>
      <c r="B4780" s="133"/>
      <c r="C4780" s="120"/>
      <c r="D4780" s="120"/>
      <c r="E4780" s="120"/>
      <c r="F4780" s="120"/>
      <c r="G4780" s="120"/>
      <c r="H4780" s="120"/>
      <c r="I4780" s="121"/>
      <c r="J4780" s="121"/>
      <c r="K4780" s="117"/>
    </row>
    <row r="4781" ht="15.75" customHeight="1">
      <c r="A4781" s="122"/>
      <c r="B4781" s="133"/>
      <c r="C4781" s="120"/>
      <c r="D4781" s="120"/>
      <c r="E4781" s="120"/>
      <c r="F4781" s="120"/>
      <c r="G4781" s="120"/>
      <c r="H4781" s="120"/>
      <c r="I4781" s="121"/>
      <c r="J4781" s="121"/>
      <c r="K4781" s="117"/>
    </row>
    <row r="4782" ht="15.75" customHeight="1">
      <c r="A4782" s="122"/>
      <c r="B4782" s="133"/>
      <c r="C4782" s="120"/>
      <c r="D4782" s="120"/>
      <c r="E4782" s="120"/>
      <c r="F4782" s="120"/>
      <c r="G4782" s="120"/>
      <c r="H4782" s="120"/>
      <c r="I4782" s="121"/>
      <c r="J4782" s="121"/>
      <c r="K4782" s="117"/>
    </row>
    <row r="4783" ht="15.75" customHeight="1">
      <c r="A4783" s="122"/>
      <c r="B4783" s="133"/>
      <c r="C4783" s="120"/>
      <c r="D4783" s="120"/>
      <c r="E4783" s="120"/>
      <c r="F4783" s="120"/>
      <c r="G4783" s="120"/>
      <c r="H4783" s="120"/>
      <c r="I4783" s="121"/>
      <c r="J4783" s="121"/>
      <c r="K4783" s="117"/>
    </row>
    <row r="4784" ht="15.75" customHeight="1">
      <c r="A4784" s="122"/>
      <c r="B4784" s="133"/>
      <c r="C4784" s="120"/>
      <c r="D4784" s="120"/>
      <c r="E4784" s="120"/>
      <c r="F4784" s="120"/>
      <c r="G4784" s="120"/>
      <c r="H4784" s="120"/>
      <c r="I4784" s="121"/>
      <c r="J4784" s="121"/>
      <c r="K4784" s="117"/>
    </row>
    <row r="4785" ht="15.75" customHeight="1">
      <c r="A4785" s="122"/>
      <c r="B4785" s="133"/>
      <c r="C4785" s="120"/>
      <c r="D4785" s="120"/>
      <c r="E4785" s="120"/>
      <c r="F4785" s="120"/>
      <c r="G4785" s="120"/>
      <c r="H4785" s="120"/>
      <c r="I4785" s="121"/>
      <c r="J4785" s="121"/>
      <c r="K4785" s="117"/>
    </row>
    <row r="4786" ht="15.75" customHeight="1">
      <c r="A4786" s="122"/>
      <c r="B4786" s="133"/>
      <c r="C4786" s="120"/>
      <c r="D4786" s="120"/>
      <c r="E4786" s="120"/>
      <c r="F4786" s="120"/>
      <c r="G4786" s="120"/>
      <c r="H4786" s="120"/>
      <c r="I4786" s="121"/>
      <c r="J4786" s="121"/>
      <c r="K4786" s="117"/>
    </row>
    <row r="4787" ht="15.75" customHeight="1">
      <c r="A4787" s="122"/>
      <c r="B4787" s="133"/>
      <c r="C4787" s="120"/>
      <c r="D4787" s="120"/>
      <c r="E4787" s="120"/>
      <c r="F4787" s="120"/>
      <c r="G4787" s="120"/>
      <c r="H4787" s="120"/>
      <c r="I4787" s="121"/>
      <c r="J4787" s="121"/>
      <c r="K4787" s="117"/>
    </row>
    <row r="4788" ht="15.75" customHeight="1">
      <c r="A4788" s="122"/>
      <c r="B4788" s="133"/>
      <c r="C4788" s="120"/>
      <c r="D4788" s="120"/>
      <c r="E4788" s="120"/>
      <c r="F4788" s="120"/>
      <c r="G4788" s="120"/>
      <c r="H4788" s="120"/>
      <c r="I4788" s="121"/>
      <c r="J4788" s="121"/>
      <c r="K4788" s="117"/>
    </row>
    <row r="4789" ht="15.75" customHeight="1">
      <c r="A4789" s="122"/>
      <c r="B4789" s="133"/>
      <c r="C4789" s="120"/>
      <c r="D4789" s="120"/>
      <c r="E4789" s="120"/>
      <c r="F4789" s="120"/>
      <c r="G4789" s="120"/>
      <c r="H4789" s="120"/>
      <c r="I4789" s="121"/>
      <c r="J4789" s="121"/>
      <c r="K4789" s="117"/>
    </row>
    <row r="4790" ht="15.75" customHeight="1">
      <c r="A4790" s="122"/>
      <c r="B4790" s="133"/>
      <c r="C4790" s="120"/>
      <c r="D4790" s="120"/>
      <c r="E4790" s="120"/>
      <c r="F4790" s="120"/>
      <c r="G4790" s="120"/>
      <c r="H4790" s="120"/>
      <c r="I4790" s="121"/>
      <c r="J4790" s="121"/>
      <c r="K4790" s="117"/>
    </row>
    <row r="4791" ht="15.75" customHeight="1">
      <c r="A4791" s="122"/>
      <c r="B4791" s="133"/>
      <c r="C4791" s="120"/>
      <c r="D4791" s="120"/>
      <c r="E4791" s="120"/>
      <c r="F4791" s="120"/>
      <c r="G4791" s="120"/>
      <c r="H4791" s="120"/>
      <c r="I4791" s="121"/>
      <c r="J4791" s="121"/>
      <c r="K4791" s="117"/>
    </row>
    <row r="4792" ht="15.75" customHeight="1">
      <c r="A4792" s="122"/>
      <c r="B4792" s="133"/>
      <c r="C4792" s="120"/>
      <c r="D4792" s="120"/>
      <c r="E4792" s="120"/>
      <c r="F4792" s="120"/>
      <c r="G4792" s="120"/>
      <c r="H4792" s="120"/>
      <c r="I4792" s="121"/>
      <c r="J4792" s="121"/>
      <c r="K4792" s="117"/>
    </row>
    <row r="4793" ht="15.75" customHeight="1">
      <c r="A4793" s="122"/>
      <c r="B4793" s="133"/>
      <c r="C4793" s="120"/>
      <c r="D4793" s="120"/>
      <c r="E4793" s="120"/>
      <c r="F4793" s="120"/>
      <c r="G4793" s="120"/>
      <c r="H4793" s="120"/>
      <c r="I4793" s="121"/>
      <c r="J4793" s="121"/>
      <c r="K4793" s="117"/>
    </row>
    <row r="4794" ht="15.75" customHeight="1">
      <c r="A4794" s="122"/>
      <c r="B4794" s="133"/>
      <c r="C4794" s="120"/>
      <c r="D4794" s="120"/>
      <c r="E4794" s="120"/>
      <c r="F4794" s="120"/>
      <c r="G4794" s="120"/>
      <c r="H4794" s="120"/>
      <c r="I4794" s="121"/>
      <c r="J4794" s="121"/>
      <c r="K4794" s="117"/>
    </row>
    <row r="4795" ht="15.75" customHeight="1">
      <c r="A4795" s="122"/>
      <c r="B4795" s="133"/>
      <c r="C4795" s="120"/>
      <c r="D4795" s="120"/>
      <c r="E4795" s="120"/>
      <c r="F4795" s="120"/>
      <c r="G4795" s="120"/>
      <c r="H4795" s="120"/>
      <c r="I4795" s="121"/>
      <c r="J4795" s="121"/>
      <c r="K4795" s="117"/>
    </row>
    <row r="4796" ht="15.75" customHeight="1">
      <c r="A4796" s="122"/>
      <c r="B4796" s="133"/>
      <c r="C4796" s="120"/>
      <c r="D4796" s="120"/>
      <c r="E4796" s="120"/>
      <c r="F4796" s="120"/>
      <c r="G4796" s="120"/>
      <c r="H4796" s="120"/>
      <c r="I4796" s="121"/>
      <c r="J4796" s="121"/>
      <c r="K4796" s="117"/>
    </row>
    <row r="4797" ht="15.75" customHeight="1">
      <c r="A4797" s="122"/>
      <c r="B4797" s="133"/>
      <c r="C4797" s="120"/>
      <c r="D4797" s="120"/>
      <c r="E4797" s="120"/>
      <c r="F4797" s="120"/>
      <c r="G4797" s="120"/>
      <c r="H4797" s="120"/>
      <c r="I4797" s="121"/>
      <c r="J4797" s="121"/>
      <c r="K4797" s="117"/>
    </row>
    <row r="4798" ht="15.75" customHeight="1">
      <c r="A4798" s="122"/>
      <c r="B4798" s="133"/>
      <c r="C4798" s="120"/>
      <c r="D4798" s="120"/>
      <c r="E4798" s="120"/>
      <c r="F4798" s="120"/>
      <c r="G4798" s="120"/>
      <c r="H4798" s="120"/>
      <c r="I4798" s="121"/>
      <c r="J4798" s="121"/>
      <c r="K4798" s="117"/>
    </row>
    <row r="4799" ht="15.75" customHeight="1">
      <c r="A4799" s="122"/>
      <c r="B4799" s="133"/>
      <c r="C4799" s="120"/>
      <c r="D4799" s="120"/>
      <c r="E4799" s="120"/>
      <c r="F4799" s="120"/>
      <c r="G4799" s="120"/>
      <c r="H4799" s="120"/>
      <c r="I4799" s="121"/>
      <c r="J4799" s="121"/>
      <c r="K4799" s="117"/>
    </row>
    <row r="4800" ht="15.75" customHeight="1">
      <c r="A4800" s="122"/>
      <c r="B4800" s="133"/>
      <c r="C4800" s="120"/>
      <c r="D4800" s="120"/>
      <c r="E4800" s="120"/>
      <c r="F4800" s="120"/>
      <c r="G4800" s="120"/>
      <c r="H4800" s="120"/>
      <c r="I4800" s="121"/>
      <c r="J4800" s="121"/>
      <c r="K4800" s="117"/>
    </row>
    <row r="4801" ht="15.75" customHeight="1">
      <c r="A4801" s="122"/>
      <c r="B4801" s="133"/>
      <c r="C4801" s="120"/>
      <c r="D4801" s="120"/>
      <c r="E4801" s="120"/>
      <c r="F4801" s="120"/>
      <c r="G4801" s="120"/>
      <c r="H4801" s="120"/>
      <c r="I4801" s="121"/>
      <c r="J4801" s="121"/>
      <c r="K4801" s="117"/>
    </row>
    <row r="4802" ht="15.75" customHeight="1">
      <c r="A4802" s="122"/>
      <c r="B4802" s="133"/>
      <c r="C4802" s="120"/>
      <c r="D4802" s="120"/>
      <c r="E4802" s="120"/>
      <c r="F4802" s="120"/>
      <c r="G4802" s="120"/>
      <c r="H4802" s="120"/>
      <c r="I4802" s="121"/>
      <c r="J4802" s="121"/>
      <c r="K4802" s="117"/>
    </row>
    <row r="4803" ht="15.75" customHeight="1">
      <c r="A4803" s="122"/>
      <c r="B4803" s="133"/>
      <c r="C4803" s="120"/>
      <c r="D4803" s="120"/>
      <c r="E4803" s="120"/>
      <c r="F4803" s="120"/>
      <c r="G4803" s="120"/>
      <c r="H4803" s="120"/>
      <c r="I4803" s="121"/>
      <c r="J4803" s="121"/>
      <c r="K4803" s="117"/>
    </row>
    <row r="4804" ht="15.75" customHeight="1">
      <c r="A4804" s="122"/>
      <c r="B4804" s="133"/>
      <c r="C4804" s="120"/>
      <c r="D4804" s="120"/>
      <c r="E4804" s="120"/>
      <c r="F4804" s="120"/>
      <c r="G4804" s="120"/>
      <c r="H4804" s="120"/>
      <c r="I4804" s="121"/>
      <c r="J4804" s="121"/>
      <c r="K4804" s="117"/>
    </row>
    <row r="4805" ht="15.75" customHeight="1">
      <c r="A4805" s="122"/>
      <c r="B4805" s="133"/>
      <c r="C4805" s="120"/>
      <c r="D4805" s="120"/>
      <c r="E4805" s="120"/>
      <c r="F4805" s="120"/>
      <c r="G4805" s="120"/>
      <c r="H4805" s="120"/>
      <c r="I4805" s="121"/>
      <c r="J4805" s="121"/>
      <c r="K4805" s="117"/>
    </row>
    <row r="4806" ht="15.75" customHeight="1">
      <c r="A4806" s="122"/>
      <c r="B4806" s="133"/>
      <c r="C4806" s="120"/>
      <c r="D4806" s="120"/>
      <c r="E4806" s="120"/>
      <c r="F4806" s="120"/>
      <c r="G4806" s="120"/>
      <c r="H4806" s="120"/>
      <c r="I4806" s="121"/>
      <c r="J4806" s="121"/>
      <c r="K4806" s="117"/>
    </row>
    <row r="4807" ht="15.75" customHeight="1">
      <c r="A4807" s="122"/>
      <c r="B4807" s="133"/>
      <c r="C4807" s="120"/>
      <c r="D4807" s="120"/>
      <c r="E4807" s="120"/>
      <c r="F4807" s="120"/>
      <c r="G4807" s="120"/>
      <c r="H4807" s="120"/>
      <c r="I4807" s="121"/>
      <c r="J4807" s="121"/>
      <c r="K4807" s="117"/>
    </row>
    <row r="4808" ht="15.75" customHeight="1">
      <c r="A4808" s="122"/>
      <c r="B4808" s="133"/>
      <c r="C4808" s="120"/>
      <c r="D4808" s="120"/>
      <c r="E4808" s="120"/>
      <c r="F4808" s="120"/>
      <c r="G4808" s="120"/>
      <c r="H4808" s="120"/>
      <c r="I4808" s="121"/>
      <c r="J4808" s="121"/>
      <c r="K4808" s="117"/>
    </row>
    <row r="4809" ht="15.75" customHeight="1">
      <c r="A4809" s="122"/>
      <c r="B4809" s="133"/>
      <c r="C4809" s="120"/>
      <c r="D4809" s="120"/>
      <c r="E4809" s="120"/>
      <c r="F4809" s="120"/>
      <c r="G4809" s="120"/>
      <c r="H4809" s="120"/>
      <c r="I4809" s="121"/>
      <c r="J4809" s="121"/>
      <c r="K4809" s="117"/>
    </row>
    <row r="4810" ht="15.75" customHeight="1">
      <c r="A4810" s="122"/>
      <c r="B4810" s="133"/>
      <c r="C4810" s="120"/>
      <c r="D4810" s="120"/>
      <c r="E4810" s="120"/>
      <c r="F4810" s="120"/>
      <c r="G4810" s="120"/>
      <c r="H4810" s="120"/>
      <c r="I4810" s="121"/>
      <c r="J4810" s="121"/>
      <c r="K4810" s="117"/>
    </row>
    <row r="4811" ht="15.75" customHeight="1">
      <c r="A4811" s="122"/>
      <c r="B4811" s="133"/>
      <c r="C4811" s="120"/>
      <c r="D4811" s="120"/>
      <c r="E4811" s="120"/>
      <c r="F4811" s="120"/>
      <c r="G4811" s="120"/>
      <c r="H4811" s="120"/>
      <c r="I4811" s="121"/>
      <c r="J4811" s="121"/>
      <c r="K4811" s="117"/>
    </row>
    <row r="4812" ht="15.75" customHeight="1">
      <c r="A4812" s="122"/>
      <c r="B4812" s="133"/>
      <c r="C4812" s="120"/>
      <c r="D4812" s="120"/>
      <c r="E4812" s="120"/>
      <c r="F4812" s="120"/>
      <c r="G4812" s="120"/>
      <c r="H4812" s="120"/>
      <c r="I4812" s="121"/>
      <c r="J4812" s="121"/>
      <c r="K4812" s="117"/>
    </row>
    <row r="4813" ht="15.75" customHeight="1">
      <c r="A4813" s="122"/>
      <c r="B4813" s="133"/>
      <c r="C4813" s="120"/>
      <c r="D4813" s="120"/>
      <c r="E4813" s="120"/>
      <c r="F4813" s="120"/>
      <c r="G4813" s="120"/>
      <c r="H4813" s="120"/>
      <c r="I4813" s="121"/>
      <c r="J4813" s="121"/>
      <c r="K4813" s="117"/>
    </row>
    <row r="4814" ht="15.75" customHeight="1">
      <c r="A4814" s="122"/>
      <c r="B4814" s="133"/>
      <c r="C4814" s="120"/>
      <c r="D4814" s="120"/>
      <c r="E4814" s="120"/>
      <c r="F4814" s="120"/>
      <c r="G4814" s="120"/>
      <c r="H4814" s="120"/>
      <c r="I4814" s="121"/>
      <c r="J4814" s="121"/>
      <c r="K4814" s="117"/>
    </row>
    <row r="4815" ht="15.75" customHeight="1">
      <c r="A4815" s="122"/>
      <c r="B4815" s="133"/>
      <c r="C4815" s="120"/>
      <c r="D4815" s="120"/>
      <c r="E4815" s="120"/>
      <c r="F4815" s="120"/>
      <c r="G4815" s="120"/>
      <c r="H4815" s="120"/>
      <c r="I4815" s="121"/>
      <c r="J4815" s="121"/>
      <c r="K4815" s="117"/>
    </row>
    <row r="4816" ht="15.75" customHeight="1">
      <c r="A4816" s="122"/>
      <c r="B4816" s="133"/>
      <c r="C4816" s="120"/>
      <c r="D4816" s="120"/>
      <c r="E4816" s="120"/>
      <c r="F4816" s="120"/>
      <c r="G4816" s="120"/>
      <c r="H4816" s="120"/>
      <c r="I4816" s="121"/>
      <c r="J4816" s="121"/>
      <c r="K4816" s="117"/>
    </row>
    <row r="4817" ht="15.75" customHeight="1">
      <c r="A4817" s="122"/>
      <c r="B4817" s="133"/>
      <c r="C4817" s="120"/>
      <c r="D4817" s="120"/>
      <c r="E4817" s="120"/>
      <c r="F4817" s="120"/>
      <c r="G4817" s="120"/>
      <c r="H4817" s="120"/>
      <c r="I4817" s="121"/>
      <c r="J4817" s="121"/>
      <c r="K4817" s="117"/>
    </row>
    <row r="4818" ht="15.75" customHeight="1">
      <c r="A4818" s="122"/>
      <c r="B4818" s="133"/>
      <c r="C4818" s="120"/>
      <c r="D4818" s="120"/>
      <c r="E4818" s="120"/>
      <c r="F4818" s="120"/>
      <c r="G4818" s="120"/>
      <c r="H4818" s="120"/>
      <c r="I4818" s="121"/>
      <c r="J4818" s="121"/>
      <c r="K4818" s="117"/>
    </row>
    <row r="4819" ht="15.75" customHeight="1">
      <c r="A4819" s="122"/>
      <c r="B4819" s="133"/>
      <c r="C4819" s="120"/>
      <c r="D4819" s="120"/>
      <c r="E4819" s="120"/>
      <c r="F4819" s="120"/>
      <c r="G4819" s="120"/>
      <c r="H4819" s="120"/>
      <c r="I4819" s="121"/>
      <c r="J4819" s="121"/>
      <c r="K4819" s="117"/>
    </row>
    <row r="4820" ht="15.75" customHeight="1">
      <c r="A4820" s="122"/>
      <c r="B4820" s="133"/>
      <c r="C4820" s="120"/>
      <c r="D4820" s="120"/>
      <c r="E4820" s="120"/>
      <c r="F4820" s="120"/>
      <c r="G4820" s="120"/>
      <c r="H4820" s="120"/>
      <c r="I4820" s="121"/>
      <c r="J4820" s="121"/>
      <c r="K4820" s="117"/>
    </row>
    <row r="4821" ht="15.75" customHeight="1">
      <c r="A4821" s="122"/>
      <c r="B4821" s="133"/>
      <c r="C4821" s="120"/>
      <c r="D4821" s="120"/>
      <c r="E4821" s="120"/>
      <c r="F4821" s="120"/>
      <c r="G4821" s="120"/>
      <c r="H4821" s="120"/>
      <c r="I4821" s="121"/>
      <c r="J4821" s="121"/>
      <c r="K4821" s="117"/>
    </row>
    <row r="4822" ht="15.75" customHeight="1">
      <c r="A4822" s="122"/>
      <c r="B4822" s="133"/>
      <c r="C4822" s="120"/>
      <c r="D4822" s="120"/>
      <c r="E4822" s="120"/>
      <c r="F4822" s="120"/>
      <c r="G4822" s="120"/>
      <c r="H4822" s="120"/>
      <c r="I4822" s="121"/>
      <c r="J4822" s="121"/>
      <c r="K4822" s="117"/>
    </row>
    <row r="4823" ht="15.75" customHeight="1">
      <c r="A4823" s="122"/>
      <c r="B4823" s="133"/>
      <c r="C4823" s="120"/>
      <c r="D4823" s="120"/>
      <c r="E4823" s="120"/>
      <c r="F4823" s="120"/>
      <c r="G4823" s="120"/>
      <c r="H4823" s="120"/>
      <c r="I4823" s="121"/>
      <c r="J4823" s="121"/>
      <c r="K4823" s="117"/>
    </row>
    <row r="4824" ht="15.75" customHeight="1">
      <c r="A4824" s="122"/>
      <c r="B4824" s="133"/>
      <c r="C4824" s="120"/>
      <c r="D4824" s="120"/>
      <c r="E4824" s="120"/>
      <c r="F4824" s="120"/>
      <c r="G4824" s="120"/>
      <c r="H4824" s="120"/>
      <c r="I4824" s="121"/>
      <c r="J4824" s="121"/>
      <c r="K4824" s="117"/>
    </row>
    <row r="4825" ht="15.75" customHeight="1">
      <c r="A4825" s="122"/>
      <c r="B4825" s="133"/>
      <c r="C4825" s="120"/>
      <c r="D4825" s="120"/>
      <c r="E4825" s="120"/>
      <c r="F4825" s="120"/>
      <c r="G4825" s="120"/>
      <c r="H4825" s="120"/>
      <c r="I4825" s="121"/>
      <c r="J4825" s="121"/>
      <c r="K4825" s="117"/>
    </row>
    <row r="4826" ht="15.75" customHeight="1">
      <c r="A4826" s="122"/>
      <c r="B4826" s="133"/>
      <c r="C4826" s="120"/>
      <c r="D4826" s="120"/>
      <c r="E4826" s="120"/>
      <c r="F4826" s="120"/>
      <c r="G4826" s="120"/>
      <c r="H4826" s="120"/>
      <c r="I4826" s="121"/>
      <c r="J4826" s="121"/>
      <c r="K4826" s="117"/>
    </row>
    <row r="4827" ht="15.75" customHeight="1">
      <c r="A4827" s="122"/>
      <c r="B4827" s="133"/>
      <c r="C4827" s="120"/>
      <c r="D4827" s="120"/>
      <c r="E4827" s="120"/>
      <c r="F4827" s="120"/>
      <c r="G4827" s="120"/>
      <c r="H4827" s="120"/>
      <c r="I4827" s="121"/>
      <c r="J4827" s="121"/>
      <c r="K4827" s="117"/>
    </row>
    <row r="4828" ht="15.75" customHeight="1">
      <c r="A4828" s="122"/>
      <c r="B4828" s="133"/>
      <c r="C4828" s="120"/>
      <c r="D4828" s="120"/>
      <c r="E4828" s="120"/>
      <c r="F4828" s="120"/>
      <c r="G4828" s="120"/>
      <c r="H4828" s="120"/>
      <c r="I4828" s="121"/>
      <c r="J4828" s="121"/>
      <c r="K4828" s="117"/>
    </row>
    <row r="4829" ht="15.75" customHeight="1">
      <c r="A4829" s="122"/>
      <c r="B4829" s="133"/>
      <c r="C4829" s="120"/>
      <c r="D4829" s="120"/>
      <c r="E4829" s="120"/>
      <c r="F4829" s="120"/>
      <c r="G4829" s="120"/>
      <c r="H4829" s="120"/>
      <c r="I4829" s="121"/>
      <c r="J4829" s="121"/>
      <c r="K4829" s="117"/>
    </row>
    <row r="4830" ht="15.75" customHeight="1">
      <c r="A4830" s="122"/>
      <c r="B4830" s="133"/>
      <c r="C4830" s="120"/>
      <c r="D4830" s="120"/>
      <c r="E4830" s="120"/>
      <c r="F4830" s="120"/>
      <c r="G4830" s="120"/>
      <c r="H4830" s="120"/>
      <c r="I4830" s="121"/>
      <c r="J4830" s="121"/>
      <c r="K4830" s="117"/>
    </row>
    <row r="4831" ht="15.75" customHeight="1">
      <c r="A4831" s="122"/>
      <c r="B4831" s="133"/>
      <c r="C4831" s="120"/>
      <c r="D4831" s="120"/>
      <c r="E4831" s="120"/>
      <c r="F4831" s="120"/>
      <c r="G4831" s="120"/>
      <c r="H4831" s="120"/>
      <c r="I4831" s="121"/>
      <c r="J4831" s="121"/>
      <c r="K4831" s="117"/>
    </row>
    <row r="4832" ht="15.75" customHeight="1">
      <c r="A4832" s="122"/>
      <c r="B4832" s="133"/>
      <c r="C4832" s="120"/>
      <c r="D4832" s="120"/>
      <c r="E4832" s="120"/>
      <c r="F4832" s="120"/>
      <c r="G4832" s="120"/>
      <c r="H4832" s="120"/>
      <c r="I4832" s="121"/>
      <c r="J4832" s="121"/>
      <c r="K4832" s="117"/>
    </row>
    <row r="4833" ht="15.75" customHeight="1">
      <c r="A4833" s="122"/>
      <c r="B4833" s="133"/>
      <c r="C4833" s="120"/>
      <c r="D4833" s="120"/>
      <c r="E4833" s="120"/>
      <c r="F4833" s="120"/>
      <c r="G4833" s="120"/>
      <c r="H4833" s="120"/>
      <c r="I4833" s="121"/>
      <c r="J4833" s="121"/>
      <c r="K4833" s="117"/>
    </row>
    <row r="4834" ht="15.75" customHeight="1">
      <c r="A4834" s="122"/>
      <c r="B4834" s="133"/>
      <c r="C4834" s="120"/>
      <c r="D4834" s="120"/>
      <c r="E4834" s="120"/>
      <c r="F4834" s="120"/>
      <c r="G4834" s="120"/>
      <c r="H4834" s="120"/>
      <c r="I4834" s="121"/>
      <c r="J4834" s="121"/>
      <c r="K4834" s="117"/>
    </row>
    <row r="4835" ht="15.75" customHeight="1">
      <c r="A4835" s="122"/>
      <c r="B4835" s="133"/>
      <c r="C4835" s="120"/>
      <c r="D4835" s="120"/>
      <c r="E4835" s="120"/>
      <c r="F4835" s="120"/>
      <c r="G4835" s="120"/>
      <c r="H4835" s="120"/>
      <c r="I4835" s="121"/>
      <c r="J4835" s="121"/>
      <c r="K4835" s="117"/>
    </row>
    <row r="4836" ht="15.75" customHeight="1">
      <c r="A4836" s="122"/>
      <c r="B4836" s="133"/>
      <c r="C4836" s="120"/>
      <c r="D4836" s="120"/>
      <c r="E4836" s="120"/>
      <c r="F4836" s="120"/>
      <c r="G4836" s="120"/>
      <c r="H4836" s="120"/>
      <c r="I4836" s="121"/>
      <c r="J4836" s="121"/>
      <c r="K4836" s="117"/>
    </row>
    <row r="4837" ht="15.75" customHeight="1">
      <c r="A4837" s="122"/>
      <c r="B4837" s="133"/>
      <c r="C4837" s="120"/>
      <c r="D4837" s="120"/>
      <c r="E4837" s="120"/>
      <c r="F4837" s="120"/>
      <c r="G4837" s="120"/>
      <c r="H4837" s="120"/>
      <c r="I4837" s="121"/>
      <c r="J4837" s="121"/>
      <c r="K4837" s="117"/>
    </row>
    <row r="4838" ht="15.75" customHeight="1">
      <c r="A4838" s="122"/>
      <c r="B4838" s="133"/>
      <c r="C4838" s="120"/>
      <c r="D4838" s="120"/>
      <c r="E4838" s="120"/>
      <c r="F4838" s="120"/>
      <c r="G4838" s="120"/>
      <c r="H4838" s="120"/>
      <c r="I4838" s="121"/>
      <c r="J4838" s="121"/>
      <c r="K4838" s="117"/>
    </row>
    <row r="4839" ht="15.75" customHeight="1">
      <c r="A4839" s="122"/>
      <c r="B4839" s="133"/>
      <c r="C4839" s="120"/>
      <c r="D4839" s="120"/>
      <c r="E4839" s="120"/>
      <c r="F4839" s="120"/>
      <c r="G4839" s="120"/>
      <c r="H4839" s="120"/>
      <c r="I4839" s="121"/>
      <c r="J4839" s="121"/>
      <c r="K4839" s="117"/>
    </row>
    <row r="4840" ht="15.75" customHeight="1">
      <c r="A4840" s="122"/>
      <c r="B4840" s="133"/>
      <c r="C4840" s="120"/>
      <c r="D4840" s="120"/>
      <c r="E4840" s="120"/>
      <c r="F4840" s="120"/>
      <c r="G4840" s="120"/>
      <c r="H4840" s="120"/>
      <c r="I4840" s="121"/>
      <c r="J4840" s="121"/>
      <c r="K4840" s="117"/>
    </row>
    <row r="4841" ht="15.75" customHeight="1">
      <c r="A4841" s="122"/>
      <c r="B4841" s="133"/>
      <c r="C4841" s="120"/>
      <c r="D4841" s="120"/>
      <c r="E4841" s="120"/>
      <c r="F4841" s="120"/>
      <c r="G4841" s="120"/>
      <c r="H4841" s="120"/>
      <c r="I4841" s="121"/>
      <c r="J4841" s="121"/>
      <c r="K4841" s="117"/>
    </row>
    <row r="4842" ht="15.75" customHeight="1">
      <c r="A4842" s="122"/>
      <c r="B4842" s="133"/>
      <c r="C4842" s="120"/>
      <c r="D4842" s="120"/>
      <c r="E4842" s="120"/>
      <c r="F4842" s="120"/>
      <c r="G4842" s="120"/>
      <c r="H4842" s="120"/>
      <c r="I4842" s="121"/>
      <c r="J4842" s="121"/>
      <c r="K4842" s="117"/>
    </row>
    <row r="4843" ht="15.75" customHeight="1">
      <c r="A4843" s="122"/>
      <c r="B4843" s="133"/>
      <c r="C4843" s="120"/>
      <c r="D4843" s="120"/>
      <c r="E4843" s="120"/>
      <c r="F4843" s="120"/>
      <c r="G4843" s="120"/>
      <c r="H4843" s="120"/>
      <c r="I4843" s="121"/>
      <c r="J4843" s="121"/>
      <c r="K4843" s="117"/>
    </row>
    <row r="4844" ht="15.75" customHeight="1">
      <c r="A4844" s="122"/>
      <c r="B4844" s="133"/>
      <c r="C4844" s="120"/>
      <c r="D4844" s="120"/>
      <c r="E4844" s="120"/>
      <c r="F4844" s="120"/>
      <c r="G4844" s="120"/>
      <c r="H4844" s="120"/>
      <c r="I4844" s="121"/>
      <c r="J4844" s="121"/>
      <c r="K4844" s="117"/>
    </row>
    <row r="4845" ht="15.75" customHeight="1">
      <c r="A4845" s="122"/>
      <c r="B4845" s="133"/>
      <c r="C4845" s="120"/>
      <c r="D4845" s="120"/>
      <c r="E4845" s="120"/>
      <c r="F4845" s="120"/>
      <c r="G4845" s="120"/>
      <c r="H4845" s="120"/>
      <c r="I4845" s="121"/>
      <c r="J4845" s="121"/>
      <c r="K4845" s="117"/>
    </row>
    <row r="4846" ht="15.75" customHeight="1">
      <c r="A4846" s="122"/>
      <c r="B4846" s="133"/>
      <c r="C4846" s="120"/>
      <c r="D4846" s="120"/>
      <c r="E4846" s="120"/>
      <c r="F4846" s="120"/>
      <c r="G4846" s="120"/>
      <c r="H4846" s="120"/>
      <c r="I4846" s="121"/>
      <c r="J4846" s="121"/>
      <c r="K4846" s="117"/>
    </row>
    <row r="4847" ht="15.75" customHeight="1">
      <c r="A4847" s="122"/>
      <c r="B4847" s="133"/>
      <c r="C4847" s="120"/>
      <c r="D4847" s="120"/>
      <c r="E4847" s="120"/>
      <c r="F4847" s="120"/>
      <c r="G4847" s="120"/>
      <c r="H4847" s="120"/>
      <c r="I4847" s="121"/>
      <c r="J4847" s="121"/>
      <c r="K4847" s="117"/>
    </row>
    <row r="4848" ht="15.75" customHeight="1">
      <c r="A4848" s="122"/>
      <c r="B4848" s="133"/>
      <c r="C4848" s="120"/>
      <c r="D4848" s="120"/>
      <c r="E4848" s="120"/>
      <c r="F4848" s="120"/>
      <c r="G4848" s="120"/>
      <c r="H4848" s="120"/>
      <c r="I4848" s="121"/>
      <c r="J4848" s="121"/>
      <c r="K4848" s="117"/>
    </row>
    <row r="4849" ht="15.75" customHeight="1">
      <c r="A4849" s="122"/>
      <c r="B4849" s="133"/>
      <c r="C4849" s="120"/>
      <c r="D4849" s="120"/>
      <c r="E4849" s="120"/>
      <c r="F4849" s="120"/>
      <c r="G4849" s="120"/>
      <c r="H4849" s="120"/>
      <c r="I4849" s="121"/>
      <c r="J4849" s="121"/>
      <c r="K4849" s="117"/>
    </row>
    <row r="4850" ht="15.75" customHeight="1">
      <c r="A4850" s="122"/>
      <c r="B4850" s="133"/>
      <c r="C4850" s="120"/>
      <c r="D4850" s="120"/>
      <c r="E4850" s="120"/>
      <c r="F4850" s="120"/>
      <c r="G4850" s="120"/>
      <c r="H4850" s="120"/>
      <c r="I4850" s="121"/>
      <c r="J4850" s="121"/>
      <c r="K4850" s="117"/>
    </row>
    <row r="4851" ht="15.75" customHeight="1">
      <c r="A4851" s="122"/>
      <c r="B4851" s="133"/>
      <c r="C4851" s="120"/>
      <c r="D4851" s="120"/>
      <c r="E4851" s="120"/>
      <c r="F4851" s="120"/>
      <c r="G4851" s="120"/>
      <c r="H4851" s="120"/>
      <c r="I4851" s="121"/>
      <c r="J4851" s="121"/>
      <c r="K4851" s="117"/>
    </row>
    <row r="4852" ht="15.75" customHeight="1">
      <c r="A4852" s="122"/>
      <c r="B4852" s="133"/>
      <c r="C4852" s="120"/>
      <c r="D4852" s="120"/>
      <c r="E4852" s="120"/>
      <c r="F4852" s="120"/>
      <c r="G4852" s="120"/>
      <c r="H4852" s="120"/>
      <c r="I4852" s="121"/>
      <c r="J4852" s="121"/>
      <c r="K4852" s="117"/>
    </row>
    <row r="4853" ht="15.75" customHeight="1">
      <c r="A4853" s="122"/>
      <c r="B4853" s="133"/>
      <c r="C4853" s="120"/>
      <c r="D4853" s="120"/>
      <c r="E4853" s="120"/>
      <c r="F4853" s="120"/>
      <c r="G4853" s="120"/>
      <c r="H4853" s="120"/>
      <c r="I4853" s="121"/>
      <c r="J4853" s="121"/>
      <c r="K4853" s="117"/>
    </row>
    <row r="4854" ht="15.75" customHeight="1">
      <c r="A4854" s="122"/>
      <c r="B4854" s="133"/>
      <c r="C4854" s="120"/>
      <c r="D4854" s="120"/>
      <c r="E4854" s="120"/>
      <c r="F4854" s="120"/>
      <c r="G4854" s="120"/>
      <c r="H4854" s="120"/>
      <c r="I4854" s="121"/>
      <c r="J4854" s="121"/>
      <c r="K4854" s="117"/>
    </row>
    <row r="4855" ht="15.75" customHeight="1">
      <c r="A4855" s="122"/>
      <c r="B4855" s="133"/>
      <c r="C4855" s="120"/>
      <c r="D4855" s="120"/>
      <c r="E4855" s="120"/>
      <c r="F4855" s="120"/>
      <c r="G4855" s="120"/>
      <c r="H4855" s="120"/>
      <c r="I4855" s="121"/>
      <c r="J4855" s="121"/>
      <c r="K4855" s="117"/>
    </row>
    <row r="4856" ht="15.75" customHeight="1">
      <c r="A4856" s="122"/>
      <c r="B4856" s="133"/>
      <c r="C4856" s="120"/>
      <c r="D4856" s="120"/>
      <c r="E4856" s="120"/>
      <c r="F4856" s="120"/>
      <c r="G4856" s="120"/>
      <c r="H4856" s="120"/>
      <c r="I4856" s="121"/>
      <c r="J4856" s="121"/>
      <c r="K4856" s="117"/>
    </row>
    <row r="4857" ht="15.75" customHeight="1">
      <c r="A4857" s="122"/>
      <c r="B4857" s="133"/>
      <c r="C4857" s="120"/>
      <c r="D4857" s="120"/>
      <c r="E4857" s="120"/>
      <c r="F4857" s="120"/>
      <c r="G4857" s="120"/>
      <c r="H4857" s="120"/>
      <c r="I4857" s="121"/>
      <c r="J4857" s="121"/>
      <c r="K4857" s="117"/>
    </row>
    <row r="4858" ht="15.75" customHeight="1">
      <c r="A4858" s="122"/>
      <c r="B4858" s="133"/>
      <c r="C4858" s="120"/>
      <c r="D4858" s="120"/>
      <c r="E4858" s="120"/>
      <c r="F4858" s="120"/>
      <c r="G4858" s="120"/>
      <c r="H4858" s="120"/>
      <c r="I4858" s="121"/>
      <c r="J4858" s="121"/>
      <c r="K4858" s="117"/>
    </row>
    <row r="4859" ht="15.75" customHeight="1">
      <c r="A4859" s="122"/>
      <c r="B4859" s="133"/>
      <c r="C4859" s="120"/>
      <c r="D4859" s="120"/>
      <c r="E4859" s="120"/>
      <c r="F4859" s="120"/>
      <c r="G4859" s="120"/>
      <c r="H4859" s="120"/>
      <c r="I4859" s="121"/>
      <c r="J4859" s="121"/>
      <c r="K4859" s="117"/>
    </row>
    <row r="4860" ht="15.75" customHeight="1">
      <c r="A4860" s="122"/>
      <c r="B4860" s="133"/>
      <c r="C4860" s="120"/>
      <c r="D4860" s="120"/>
      <c r="E4860" s="120"/>
      <c r="F4860" s="120"/>
      <c r="G4860" s="120"/>
      <c r="H4860" s="120"/>
      <c r="I4860" s="121"/>
      <c r="J4860" s="121"/>
      <c r="K4860" s="117"/>
    </row>
    <row r="4861" ht="15.75" customHeight="1">
      <c r="A4861" s="122"/>
      <c r="B4861" s="133"/>
      <c r="C4861" s="120"/>
      <c r="D4861" s="120"/>
      <c r="E4861" s="120"/>
      <c r="F4861" s="120"/>
      <c r="G4861" s="120"/>
      <c r="H4861" s="120"/>
      <c r="I4861" s="121"/>
      <c r="J4861" s="121"/>
      <c r="K4861" s="117"/>
    </row>
    <row r="4862" ht="15.75" customHeight="1">
      <c r="A4862" s="122"/>
      <c r="B4862" s="133"/>
      <c r="C4862" s="120"/>
      <c r="D4862" s="120"/>
      <c r="E4862" s="120"/>
      <c r="F4862" s="120"/>
      <c r="G4862" s="120"/>
      <c r="H4862" s="120"/>
      <c r="I4862" s="121"/>
      <c r="J4862" s="121"/>
      <c r="K4862" s="117"/>
    </row>
    <row r="4863" ht="15.75" customHeight="1">
      <c r="A4863" s="122"/>
      <c r="B4863" s="133"/>
      <c r="C4863" s="120"/>
      <c r="D4863" s="120"/>
      <c r="E4863" s="120"/>
      <c r="F4863" s="120"/>
      <c r="G4863" s="120"/>
      <c r="H4863" s="120"/>
      <c r="I4863" s="121"/>
      <c r="J4863" s="121"/>
      <c r="K4863" s="117"/>
    </row>
    <row r="4864" ht="15.75" customHeight="1">
      <c r="A4864" s="122"/>
      <c r="B4864" s="133"/>
      <c r="C4864" s="120"/>
      <c r="D4864" s="120"/>
      <c r="E4864" s="120"/>
      <c r="F4864" s="120"/>
      <c r="G4864" s="120"/>
      <c r="H4864" s="120"/>
      <c r="I4864" s="121"/>
      <c r="J4864" s="121"/>
      <c r="K4864" s="117"/>
    </row>
    <row r="4865" ht="15.75" customHeight="1">
      <c r="A4865" s="122"/>
      <c r="B4865" s="133"/>
      <c r="C4865" s="120"/>
      <c r="D4865" s="120"/>
      <c r="E4865" s="120"/>
      <c r="F4865" s="120"/>
      <c r="G4865" s="120"/>
      <c r="H4865" s="120"/>
      <c r="I4865" s="121"/>
      <c r="J4865" s="121"/>
      <c r="K4865" s="117"/>
    </row>
    <row r="4866" ht="15.75" customHeight="1">
      <c r="A4866" s="122"/>
      <c r="B4866" s="133"/>
      <c r="C4866" s="120"/>
      <c r="D4866" s="120"/>
      <c r="E4866" s="120"/>
      <c r="F4866" s="120"/>
      <c r="G4866" s="120"/>
      <c r="H4866" s="120"/>
      <c r="I4866" s="121"/>
      <c r="J4866" s="121"/>
      <c r="K4866" s="117"/>
    </row>
    <row r="4867" ht="15.75" customHeight="1">
      <c r="A4867" s="122"/>
      <c r="B4867" s="133"/>
      <c r="C4867" s="120"/>
      <c r="D4867" s="120"/>
      <c r="E4867" s="120"/>
      <c r="F4867" s="120"/>
      <c r="G4867" s="120"/>
      <c r="H4867" s="120"/>
      <c r="I4867" s="121"/>
      <c r="J4867" s="121"/>
      <c r="K4867" s="117"/>
    </row>
    <row r="4868" ht="15.75" customHeight="1">
      <c r="A4868" s="122"/>
      <c r="B4868" s="133"/>
      <c r="C4868" s="120"/>
      <c r="D4868" s="120"/>
      <c r="E4868" s="120"/>
      <c r="F4868" s="120"/>
      <c r="G4868" s="120"/>
      <c r="H4868" s="120"/>
      <c r="I4868" s="121"/>
      <c r="J4868" s="121"/>
      <c r="K4868" s="117"/>
    </row>
    <row r="4869" ht="15.75" customHeight="1">
      <c r="A4869" s="122"/>
      <c r="B4869" s="133"/>
      <c r="C4869" s="120"/>
      <c r="D4869" s="120"/>
      <c r="E4869" s="120"/>
      <c r="F4869" s="120"/>
      <c r="G4869" s="120"/>
      <c r="H4869" s="120"/>
      <c r="I4869" s="121"/>
      <c r="J4869" s="121"/>
      <c r="K4869" s="117"/>
    </row>
    <row r="4870" ht="15.75" customHeight="1">
      <c r="A4870" s="122"/>
      <c r="B4870" s="133"/>
      <c r="C4870" s="120"/>
      <c r="D4870" s="120"/>
      <c r="E4870" s="120"/>
      <c r="F4870" s="120"/>
      <c r="G4870" s="120"/>
      <c r="H4870" s="120"/>
      <c r="I4870" s="121"/>
      <c r="J4870" s="121"/>
      <c r="K4870" s="117"/>
    </row>
    <row r="4871" ht="15.75" customHeight="1">
      <c r="A4871" s="122"/>
      <c r="B4871" s="133"/>
      <c r="C4871" s="120"/>
      <c r="D4871" s="120"/>
      <c r="E4871" s="120"/>
      <c r="F4871" s="120"/>
      <c r="G4871" s="120"/>
      <c r="H4871" s="120"/>
      <c r="I4871" s="121"/>
      <c r="J4871" s="121"/>
      <c r="K4871" s="117"/>
    </row>
    <row r="4872" ht="15.75" customHeight="1">
      <c r="A4872" s="122"/>
      <c r="B4872" s="133"/>
      <c r="C4872" s="120"/>
      <c r="D4872" s="120"/>
      <c r="E4872" s="120"/>
      <c r="F4872" s="120"/>
      <c r="G4872" s="120"/>
      <c r="H4872" s="120"/>
      <c r="I4872" s="121"/>
      <c r="J4872" s="121"/>
      <c r="K4872" s="117"/>
    </row>
    <row r="4873" ht="15.75" customHeight="1">
      <c r="A4873" s="122"/>
      <c r="B4873" s="133"/>
      <c r="C4873" s="120"/>
      <c r="D4873" s="120"/>
      <c r="E4873" s="120"/>
      <c r="F4873" s="120"/>
      <c r="G4873" s="120"/>
      <c r="H4873" s="120"/>
      <c r="I4873" s="121"/>
      <c r="J4873" s="121"/>
      <c r="K4873" s="117"/>
    </row>
    <row r="4874" ht="15.75" customHeight="1">
      <c r="A4874" s="122"/>
      <c r="B4874" s="133"/>
      <c r="C4874" s="120"/>
      <c r="D4874" s="120"/>
      <c r="E4874" s="120"/>
      <c r="F4874" s="120"/>
      <c r="G4874" s="120"/>
      <c r="H4874" s="120"/>
      <c r="I4874" s="121"/>
      <c r="J4874" s="121"/>
      <c r="K4874" s="117"/>
    </row>
    <row r="4875" ht="15.75" customHeight="1">
      <c r="A4875" s="122"/>
      <c r="B4875" s="133"/>
      <c r="C4875" s="120"/>
      <c r="D4875" s="120"/>
      <c r="E4875" s="120"/>
      <c r="F4875" s="120"/>
      <c r="G4875" s="120"/>
      <c r="H4875" s="120"/>
      <c r="I4875" s="121"/>
      <c r="J4875" s="121"/>
      <c r="K4875" s="117"/>
    </row>
    <row r="4876" ht="15.75" customHeight="1">
      <c r="A4876" s="122"/>
      <c r="B4876" s="133"/>
      <c r="C4876" s="120"/>
      <c r="D4876" s="120"/>
      <c r="E4876" s="120"/>
      <c r="F4876" s="120"/>
      <c r="G4876" s="120"/>
      <c r="H4876" s="120"/>
      <c r="I4876" s="121"/>
      <c r="J4876" s="121"/>
      <c r="K4876" s="117"/>
    </row>
    <row r="4877" ht="15.75" customHeight="1">
      <c r="A4877" s="122"/>
      <c r="B4877" s="133"/>
      <c r="C4877" s="120"/>
      <c r="D4877" s="120"/>
      <c r="E4877" s="120"/>
      <c r="F4877" s="120"/>
      <c r="G4877" s="120"/>
      <c r="H4877" s="120"/>
      <c r="I4877" s="121"/>
      <c r="J4877" s="121"/>
      <c r="K4877" s="117"/>
    </row>
    <row r="4878" ht="15.75" customHeight="1">
      <c r="A4878" s="122"/>
      <c r="B4878" s="133"/>
      <c r="C4878" s="120"/>
      <c r="D4878" s="120"/>
      <c r="E4878" s="120"/>
      <c r="F4878" s="120"/>
      <c r="G4878" s="120"/>
      <c r="H4878" s="120"/>
      <c r="I4878" s="121"/>
      <c r="J4878" s="121"/>
      <c r="K4878" s="117"/>
    </row>
    <row r="4879" ht="15.75" customHeight="1">
      <c r="A4879" s="122"/>
      <c r="B4879" s="133"/>
      <c r="C4879" s="120"/>
      <c r="D4879" s="120"/>
      <c r="E4879" s="120"/>
      <c r="F4879" s="120"/>
      <c r="G4879" s="120"/>
      <c r="H4879" s="120"/>
      <c r="I4879" s="121"/>
      <c r="J4879" s="121"/>
      <c r="K4879" s="117"/>
    </row>
    <row r="4880" ht="15.75" customHeight="1">
      <c r="A4880" s="122"/>
      <c r="B4880" s="133"/>
      <c r="C4880" s="120"/>
      <c r="D4880" s="120"/>
      <c r="E4880" s="120"/>
      <c r="F4880" s="120"/>
      <c r="G4880" s="120"/>
      <c r="H4880" s="120"/>
      <c r="I4880" s="121"/>
      <c r="J4880" s="121"/>
      <c r="K4880" s="117"/>
    </row>
    <row r="4881" ht="15.75" customHeight="1">
      <c r="A4881" s="122"/>
      <c r="B4881" s="133"/>
      <c r="C4881" s="120"/>
      <c r="D4881" s="120"/>
      <c r="E4881" s="120"/>
      <c r="F4881" s="120"/>
      <c r="G4881" s="120"/>
      <c r="H4881" s="120"/>
      <c r="I4881" s="121"/>
      <c r="J4881" s="121"/>
      <c r="K4881" s="117"/>
    </row>
    <row r="4882" ht="15.75" customHeight="1">
      <c r="A4882" s="122"/>
      <c r="B4882" s="133"/>
      <c r="C4882" s="120"/>
      <c r="D4882" s="120"/>
      <c r="E4882" s="120"/>
      <c r="F4882" s="120"/>
      <c r="G4882" s="120"/>
      <c r="H4882" s="120"/>
      <c r="I4882" s="121"/>
      <c r="J4882" s="121"/>
      <c r="K4882" s="117"/>
    </row>
    <row r="4883" ht="15.75" customHeight="1">
      <c r="A4883" s="122"/>
      <c r="B4883" s="133"/>
      <c r="C4883" s="120"/>
      <c r="D4883" s="120"/>
      <c r="E4883" s="120"/>
      <c r="F4883" s="120"/>
      <c r="G4883" s="120"/>
      <c r="H4883" s="120"/>
      <c r="I4883" s="121"/>
      <c r="J4883" s="121"/>
      <c r="K4883" s="117"/>
    </row>
    <row r="4884" ht="15.75" customHeight="1">
      <c r="A4884" s="122"/>
      <c r="B4884" s="133"/>
      <c r="C4884" s="120"/>
      <c r="D4884" s="120"/>
      <c r="E4884" s="120"/>
      <c r="F4884" s="120"/>
      <c r="G4884" s="120"/>
      <c r="H4884" s="120"/>
      <c r="I4884" s="121"/>
      <c r="J4884" s="121"/>
      <c r="K4884" s="117"/>
    </row>
    <row r="4885" ht="15.75" customHeight="1">
      <c r="A4885" s="122"/>
      <c r="B4885" s="133"/>
      <c r="C4885" s="120"/>
      <c r="D4885" s="120"/>
      <c r="E4885" s="120"/>
      <c r="F4885" s="120"/>
      <c r="G4885" s="120"/>
      <c r="H4885" s="120"/>
      <c r="I4885" s="121"/>
      <c r="J4885" s="121"/>
      <c r="K4885" s="117"/>
    </row>
    <row r="4886" ht="15.75" customHeight="1">
      <c r="A4886" s="122"/>
      <c r="B4886" s="133"/>
      <c r="C4886" s="120"/>
      <c r="D4886" s="120"/>
      <c r="E4886" s="120"/>
      <c r="F4886" s="120"/>
      <c r="G4886" s="120"/>
      <c r="H4886" s="120"/>
      <c r="I4886" s="121"/>
      <c r="J4886" s="121"/>
      <c r="K4886" s="117"/>
    </row>
    <row r="4887" ht="15.75" customHeight="1">
      <c r="A4887" s="122"/>
      <c r="B4887" s="133"/>
      <c r="C4887" s="120"/>
      <c r="D4887" s="120"/>
      <c r="E4887" s="120"/>
      <c r="F4887" s="120"/>
      <c r="G4887" s="120"/>
      <c r="H4887" s="120"/>
      <c r="I4887" s="121"/>
      <c r="J4887" s="121"/>
      <c r="K4887" s="117"/>
    </row>
    <row r="4888" ht="15.75" customHeight="1">
      <c r="A4888" s="122"/>
      <c r="B4888" s="133"/>
      <c r="C4888" s="120"/>
      <c r="D4888" s="120"/>
      <c r="E4888" s="120"/>
      <c r="F4888" s="120"/>
      <c r="G4888" s="120"/>
      <c r="H4888" s="120"/>
      <c r="I4888" s="121"/>
      <c r="J4888" s="121"/>
      <c r="K4888" s="117"/>
    </row>
    <row r="4889" ht="15.75" customHeight="1">
      <c r="A4889" s="122"/>
      <c r="B4889" s="133"/>
      <c r="C4889" s="120"/>
      <c r="D4889" s="120"/>
      <c r="E4889" s="120"/>
      <c r="F4889" s="120"/>
      <c r="G4889" s="120"/>
      <c r="H4889" s="120"/>
      <c r="I4889" s="121"/>
      <c r="J4889" s="121"/>
      <c r="K4889" s="117"/>
    </row>
    <row r="4890" ht="15.75" customHeight="1">
      <c r="A4890" s="122"/>
      <c r="B4890" s="133"/>
      <c r="C4890" s="120"/>
      <c r="D4890" s="120"/>
      <c r="E4890" s="120"/>
      <c r="F4890" s="120"/>
      <c r="G4890" s="120"/>
      <c r="H4890" s="120"/>
      <c r="I4890" s="121"/>
      <c r="J4890" s="121"/>
      <c r="K4890" s="117"/>
    </row>
    <row r="4891" ht="15.75" customHeight="1">
      <c r="A4891" s="122"/>
      <c r="B4891" s="133"/>
      <c r="C4891" s="120"/>
      <c r="D4891" s="120"/>
      <c r="E4891" s="120"/>
      <c r="F4891" s="120"/>
      <c r="G4891" s="120"/>
      <c r="H4891" s="120"/>
      <c r="I4891" s="121"/>
      <c r="J4891" s="121"/>
      <c r="K4891" s="117"/>
    </row>
    <row r="4892" ht="15.75" customHeight="1">
      <c r="A4892" s="122"/>
      <c r="B4892" s="133"/>
      <c r="C4892" s="120"/>
      <c r="D4892" s="120"/>
      <c r="E4892" s="120"/>
      <c r="F4892" s="120"/>
      <c r="G4892" s="120"/>
      <c r="H4892" s="120"/>
      <c r="I4892" s="121"/>
      <c r="J4892" s="121"/>
      <c r="K4892" s="117"/>
    </row>
    <row r="4893" ht="15.75" customHeight="1">
      <c r="A4893" s="122"/>
      <c r="B4893" s="133"/>
      <c r="C4893" s="120"/>
      <c r="D4893" s="120"/>
      <c r="E4893" s="120"/>
      <c r="F4893" s="120"/>
      <c r="G4893" s="120"/>
      <c r="H4893" s="120"/>
      <c r="I4893" s="121"/>
      <c r="J4893" s="121"/>
      <c r="K4893" s="117"/>
    </row>
    <row r="4894" ht="15.75" customHeight="1">
      <c r="A4894" s="122"/>
      <c r="B4894" s="133"/>
      <c r="C4894" s="120"/>
      <c r="D4894" s="120"/>
      <c r="E4894" s="120"/>
      <c r="F4894" s="120"/>
      <c r="G4894" s="120"/>
      <c r="H4894" s="120"/>
      <c r="I4894" s="121"/>
      <c r="J4894" s="121"/>
      <c r="K4894" s="117"/>
    </row>
    <row r="4895" ht="15.75" customHeight="1">
      <c r="A4895" s="122"/>
      <c r="B4895" s="133"/>
      <c r="C4895" s="120"/>
      <c r="D4895" s="120"/>
      <c r="E4895" s="120"/>
      <c r="F4895" s="120"/>
      <c r="G4895" s="120"/>
      <c r="H4895" s="120"/>
      <c r="I4895" s="121"/>
      <c r="J4895" s="121"/>
      <c r="K4895" s="117"/>
    </row>
    <row r="4896" ht="15.75" customHeight="1">
      <c r="A4896" s="122"/>
      <c r="B4896" s="133"/>
      <c r="C4896" s="120"/>
      <c r="D4896" s="120"/>
      <c r="E4896" s="120"/>
      <c r="F4896" s="120"/>
      <c r="G4896" s="120"/>
      <c r="H4896" s="120"/>
      <c r="I4896" s="121"/>
      <c r="J4896" s="121"/>
      <c r="K4896" s="117"/>
    </row>
    <row r="4897" ht="15.75" customHeight="1">
      <c r="A4897" s="122"/>
      <c r="B4897" s="133"/>
      <c r="C4897" s="120"/>
      <c r="D4897" s="120"/>
      <c r="E4897" s="120"/>
      <c r="F4897" s="120"/>
      <c r="G4897" s="120"/>
      <c r="H4897" s="120"/>
      <c r="I4897" s="121"/>
      <c r="J4897" s="121"/>
      <c r="K4897" s="117"/>
    </row>
    <row r="4898" ht="15.75" customHeight="1">
      <c r="A4898" s="122"/>
      <c r="B4898" s="133"/>
      <c r="C4898" s="120"/>
      <c r="D4898" s="120"/>
      <c r="E4898" s="120"/>
      <c r="F4898" s="120"/>
      <c r="G4898" s="120"/>
      <c r="H4898" s="120"/>
      <c r="I4898" s="121"/>
      <c r="J4898" s="121"/>
      <c r="K4898" s="117"/>
    </row>
    <row r="4899" ht="15.75" customHeight="1">
      <c r="A4899" s="122"/>
      <c r="B4899" s="133"/>
      <c r="C4899" s="120"/>
      <c r="D4899" s="120"/>
      <c r="E4899" s="120"/>
      <c r="F4899" s="120"/>
      <c r="G4899" s="120"/>
      <c r="H4899" s="120"/>
      <c r="I4899" s="121"/>
      <c r="J4899" s="121"/>
      <c r="K4899" s="117"/>
    </row>
    <row r="4900" ht="15.75" customHeight="1">
      <c r="A4900" s="122"/>
      <c r="B4900" s="133"/>
      <c r="C4900" s="120"/>
      <c r="D4900" s="120"/>
      <c r="E4900" s="120"/>
      <c r="F4900" s="120"/>
      <c r="G4900" s="120"/>
      <c r="H4900" s="120"/>
      <c r="I4900" s="121"/>
      <c r="J4900" s="121"/>
      <c r="K4900" s="117"/>
    </row>
    <row r="4901" ht="15.75" customHeight="1">
      <c r="A4901" s="122"/>
      <c r="B4901" s="133"/>
      <c r="C4901" s="120"/>
      <c r="D4901" s="120"/>
      <c r="E4901" s="120"/>
      <c r="F4901" s="120"/>
      <c r="G4901" s="120"/>
      <c r="H4901" s="120"/>
      <c r="I4901" s="121"/>
      <c r="J4901" s="121"/>
      <c r="K4901" s="117"/>
    </row>
    <row r="4902" ht="15.75" customHeight="1">
      <c r="A4902" s="122"/>
      <c r="B4902" s="133"/>
      <c r="C4902" s="120"/>
      <c r="D4902" s="120"/>
      <c r="E4902" s="120"/>
      <c r="F4902" s="120"/>
      <c r="G4902" s="120"/>
      <c r="H4902" s="120"/>
      <c r="I4902" s="121"/>
      <c r="J4902" s="121"/>
      <c r="K4902" s="117"/>
    </row>
    <row r="4903" ht="15.75" customHeight="1">
      <c r="A4903" s="122"/>
      <c r="B4903" s="133"/>
      <c r="C4903" s="120"/>
      <c r="D4903" s="120"/>
      <c r="E4903" s="120"/>
      <c r="F4903" s="120"/>
      <c r="G4903" s="120"/>
      <c r="H4903" s="120"/>
      <c r="I4903" s="121"/>
      <c r="J4903" s="121"/>
      <c r="K4903" s="117"/>
    </row>
    <row r="4904" ht="15.75" customHeight="1">
      <c r="A4904" s="122"/>
      <c r="B4904" s="133"/>
      <c r="C4904" s="120"/>
      <c r="D4904" s="120"/>
      <c r="E4904" s="120"/>
      <c r="F4904" s="120"/>
      <c r="G4904" s="120"/>
      <c r="H4904" s="120"/>
      <c r="I4904" s="121"/>
      <c r="J4904" s="121"/>
      <c r="K4904" s="117"/>
    </row>
    <row r="4905" ht="15.75" customHeight="1">
      <c r="A4905" s="122"/>
      <c r="B4905" s="133"/>
      <c r="C4905" s="120"/>
      <c r="D4905" s="120"/>
      <c r="E4905" s="120"/>
      <c r="F4905" s="120"/>
      <c r="G4905" s="120"/>
      <c r="H4905" s="120"/>
      <c r="I4905" s="121"/>
      <c r="J4905" s="121"/>
      <c r="K4905" s="117"/>
    </row>
    <row r="4906" ht="15.75" customHeight="1">
      <c r="A4906" s="122"/>
      <c r="B4906" s="133"/>
      <c r="C4906" s="120"/>
      <c r="D4906" s="120"/>
      <c r="E4906" s="120"/>
      <c r="F4906" s="120"/>
      <c r="G4906" s="120"/>
      <c r="H4906" s="120"/>
      <c r="I4906" s="121"/>
      <c r="J4906" s="121"/>
      <c r="K4906" s="117"/>
    </row>
    <row r="4907" ht="15.75" customHeight="1">
      <c r="A4907" s="122"/>
      <c r="B4907" s="133"/>
      <c r="C4907" s="120"/>
      <c r="D4907" s="120"/>
      <c r="E4907" s="120"/>
      <c r="F4907" s="120"/>
      <c r="G4907" s="120"/>
      <c r="H4907" s="120"/>
      <c r="I4907" s="121"/>
      <c r="J4907" s="121"/>
      <c r="K4907" s="117"/>
    </row>
    <row r="4908" ht="15.75" customHeight="1">
      <c r="A4908" s="122"/>
      <c r="B4908" s="133"/>
      <c r="C4908" s="120"/>
      <c r="D4908" s="120"/>
      <c r="E4908" s="120"/>
      <c r="F4908" s="120"/>
      <c r="G4908" s="120"/>
      <c r="H4908" s="120"/>
      <c r="I4908" s="121"/>
      <c r="J4908" s="121"/>
      <c r="K4908" s="117"/>
    </row>
    <row r="4909" ht="15.75" customHeight="1">
      <c r="A4909" s="122"/>
      <c r="B4909" s="133"/>
      <c r="C4909" s="120"/>
      <c r="D4909" s="120"/>
      <c r="E4909" s="120"/>
      <c r="F4909" s="120"/>
      <c r="G4909" s="120"/>
      <c r="H4909" s="120"/>
      <c r="I4909" s="121"/>
      <c r="J4909" s="121"/>
      <c r="K4909" s="117"/>
    </row>
    <row r="4910" ht="15.75" customHeight="1">
      <c r="A4910" s="122"/>
      <c r="B4910" s="133"/>
      <c r="C4910" s="120"/>
      <c r="D4910" s="120"/>
      <c r="E4910" s="120"/>
      <c r="F4910" s="120"/>
      <c r="G4910" s="120"/>
      <c r="H4910" s="120"/>
      <c r="I4910" s="121"/>
      <c r="J4910" s="121"/>
      <c r="K4910" s="117"/>
    </row>
    <row r="4911" ht="15.75" customHeight="1">
      <c r="A4911" s="122"/>
      <c r="B4911" s="133"/>
      <c r="C4911" s="120"/>
      <c r="D4911" s="120"/>
      <c r="E4911" s="120"/>
      <c r="F4911" s="120"/>
      <c r="G4911" s="120"/>
      <c r="H4911" s="120"/>
      <c r="I4911" s="121"/>
      <c r="J4911" s="121"/>
      <c r="K4911" s="117"/>
    </row>
    <row r="4912" ht="15.75" customHeight="1">
      <c r="A4912" s="122"/>
      <c r="B4912" s="133"/>
      <c r="C4912" s="120"/>
      <c r="D4912" s="120"/>
      <c r="E4912" s="120"/>
      <c r="F4912" s="120"/>
      <c r="G4912" s="120"/>
      <c r="H4912" s="120"/>
      <c r="I4912" s="121"/>
      <c r="J4912" s="121"/>
      <c r="K4912" s="117"/>
    </row>
    <row r="4913" ht="15.75" customHeight="1">
      <c r="A4913" s="122"/>
      <c r="B4913" s="133"/>
      <c r="C4913" s="120"/>
      <c r="D4913" s="120"/>
      <c r="E4913" s="120"/>
      <c r="F4913" s="120"/>
      <c r="G4913" s="120"/>
      <c r="H4913" s="120"/>
      <c r="I4913" s="121"/>
      <c r="J4913" s="121"/>
      <c r="K4913" s="117"/>
    </row>
    <row r="4914" ht="15.75" customHeight="1">
      <c r="A4914" s="122"/>
      <c r="B4914" s="133"/>
      <c r="C4914" s="120"/>
      <c r="D4914" s="120"/>
      <c r="E4914" s="120"/>
      <c r="F4914" s="120"/>
      <c r="G4914" s="120"/>
      <c r="H4914" s="120"/>
      <c r="I4914" s="121"/>
      <c r="J4914" s="121"/>
      <c r="K4914" s="117"/>
    </row>
    <row r="4915" ht="15.75" customHeight="1">
      <c r="A4915" s="122"/>
      <c r="B4915" s="133"/>
      <c r="C4915" s="120"/>
      <c r="D4915" s="120"/>
      <c r="E4915" s="120"/>
      <c r="F4915" s="120"/>
      <c r="G4915" s="120"/>
      <c r="H4915" s="120"/>
      <c r="I4915" s="121"/>
      <c r="J4915" s="121"/>
      <c r="K4915" s="117"/>
    </row>
    <row r="4916" ht="15.75" customHeight="1">
      <c r="A4916" s="122"/>
      <c r="B4916" s="133"/>
      <c r="C4916" s="120"/>
      <c r="D4916" s="120"/>
      <c r="E4916" s="120"/>
      <c r="F4916" s="120"/>
      <c r="G4916" s="120"/>
      <c r="H4916" s="120"/>
      <c r="I4916" s="121"/>
      <c r="J4916" s="121"/>
      <c r="K4916" s="117"/>
    </row>
    <row r="4917" ht="15.75" customHeight="1">
      <c r="A4917" s="122"/>
      <c r="B4917" s="133"/>
      <c r="C4917" s="120"/>
      <c r="D4917" s="120"/>
      <c r="E4917" s="120"/>
      <c r="F4917" s="120"/>
      <c r="G4917" s="120"/>
      <c r="H4917" s="120"/>
      <c r="I4917" s="121"/>
      <c r="J4917" s="121"/>
      <c r="K4917" s="117"/>
    </row>
    <row r="4918" ht="15.75" customHeight="1">
      <c r="A4918" s="122"/>
      <c r="B4918" s="133"/>
      <c r="C4918" s="120"/>
      <c r="D4918" s="120"/>
      <c r="E4918" s="120"/>
      <c r="F4918" s="120"/>
      <c r="G4918" s="120"/>
      <c r="H4918" s="120"/>
      <c r="I4918" s="121"/>
      <c r="J4918" s="121"/>
      <c r="K4918" s="117"/>
    </row>
    <row r="4919" ht="15.75" customHeight="1">
      <c r="A4919" s="122"/>
      <c r="B4919" s="133"/>
      <c r="C4919" s="120"/>
      <c r="D4919" s="120"/>
      <c r="E4919" s="120"/>
      <c r="F4919" s="120"/>
      <c r="G4919" s="120"/>
      <c r="H4919" s="120"/>
      <c r="I4919" s="121"/>
      <c r="J4919" s="121"/>
      <c r="K4919" s="117"/>
    </row>
    <row r="4920" ht="15.75" customHeight="1">
      <c r="A4920" s="122"/>
      <c r="B4920" s="133"/>
      <c r="C4920" s="120"/>
      <c r="D4920" s="120"/>
      <c r="E4920" s="120"/>
      <c r="F4920" s="120"/>
      <c r="G4920" s="120"/>
      <c r="H4920" s="120"/>
      <c r="I4920" s="121"/>
      <c r="J4920" s="121"/>
      <c r="K4920" s="117"/>
    </row>
    <row r="4921" ht="15.75" customHeight="1">
      <c r="A4921" s="122"/>
      <c r="B4921" s="133"/>
      <c r="C4921" s="120"/>
      <c r="D4921" s="120"/>
      <c r="E4921" s="120"/>
      <c r="F4921" s="120"/>
      <c r="G4921" s="120"/>
      <c r="H4921" s="120"/>
      <c r="I4921" s="121"/>
      <c r="J4921" s="121"/>
      <c r="K4921" s="117"/>
    </row>
    <row r="4922" ht="15.75" customHeight="1">
      <c r="A4922" s="122"/>
      <c r="B4922" s="133"/>
      <c r="C4922" s="120"/>
      <c r="D4922" s="120"/>
      <c r="E4922" s="120"/>
      <c r="F4922" s="120"/>
      <c r="G4922" s="120"/>
      <c r="H4922" s="120"/>
      <c r="I4922" s="121"/>
      <c r="J4922" s="121"/>
      <c r="K4922" s="117"/>
    </row>
    <row r="4923" ht="15.75" customHeight="1">
      <c r="A4923" s="122"/>
      <c r="B4923" s="133"/>
      <c r="C4923" s="120"/>
      <c r="D4923" s="120"/>
      <c r="E4923" s="120"/>
      <c r="F4923" s="120"/>
      <c r="G4923" s="120"/>
      <c r="H4923" s="120"/>
      <c r="I4923" s="121"/>
      <c r="J4923" s="121"/>
      <c r="K4923" s="117"/>
    </row>
    <row r="4924" ht="15.75" customHeight="1">
      <c r="A4924" s="122"/>
      <c r="B4924" s="133"/>
      <c r="C4924" s="120"/>
      <c r="D4924" s="120"/>
      <c r="E4924" s="120"/>
      <c r="F4924" s="120"/>
      <c r="G4924" s="120"/>
      <c r="H4924" s="120"/>
      <c r="I4924" s="121"/>
      <c r="J4924" s="121"/>
      <c r="K4924" s="117"/>
    </row>
    <row r="4925" ht="15.75" customHeight="1">
      <c r="A4925" s="122"/>
      <c r="B4925" s="133"/>
      <c r="C4925" s="120"/>
      <c r="D4925" s="120"/>
      <c r="E4925" s="120"/>
      <c r="F4925" s="120"/>
      <c r="G4925" s="120"/>
      <c r="H4925" s="120"/>
      <c r="I4925" s="121"/>
      <c r="J4925" s="121"/>
      <c r="K4925" s="117"/>
    </row>
    <row r="4926" ht="15.75" customHeight="1">
      <c r="A4926" s="122"/>
      <c r="B4926" s="133"/>
      <c r="C4926" s="120"/>
      <c r="D4926" s="120"/>
      <c r="E4926" s="120"/>
      <c r="F4926" s="120"/>
      <c r="G4926" s="120"/>
      <c r="H4926" s="120"/>
      <c r="I4926" s="121"/>
      <c r="J4926" s="121"/>
      <c r="K4926" s="117"/>
    </row>
    <row r="4927" ht="15.75" customHeight="1">
      <c r="A4927" s="122"/>
      <c r="B4927" s="133"/>
      <c r="C4927" s="120"/>
      <c r="D4927" s="120"/>
      <c r="E4927" s="120"/>
      <c r="F4927" s="120"/>
      <c r="G4927" s="120"/>
      <c r="H4927" s="120"/>
      <c r="I4927" s="121"/>
      <c r="J4927" s="121"/>
      <c r="K4927" s="117"/>
    </row>
    <row r="4928" ht="15.75" customHeight="1">
      <c r="A4928" s="122"/>
      <c r="B4928" s="133"/>
      <c r="C4928" s="120"/>
      <c r="D4928" s="120"/>
      <c r="E4928" s="120"/>
      <c r="F4928" s="120"/>
      <c r="G4928" s="120"/>
      <c r="H4928" s="120"/>
      <c r="I4928" s="121"/>
      <c r="J4928" s="121"/>
      <c r="K4928" s="117"/>
    </row>
    <row r="4929" ht="15.75" customHeight="1">
      <c r="A4929" s="122"/>
      <c r="B4929" s="133"/>
      <c r="C4929" s="120"/>
      <c r="D4929" s="120"/>
      <c r="E4929" s="120"/>
      <c r="F4929" s="120"/>
      <c r="G4929" s="120"/>
      <c r="H4929" s="120"/>
      <c r="I4929" s="121"/>
      <c r="J4929" s="121"/>
      <c r="K4929" s="117"/>
    </row>
    <row r="4930" ht="15.75" customHeight="1">
      <c r="A4930" s="122"/>
      <c r="B4930" s="133"/>
      <c r="C4930" s="120"/>
      <c r="D4930" s="120"/>
      <c r="E4930" s="120"/>
      <c r="F4930" s="120"/>
      <c r="G4930" s="120"/>
      <c r="H4930" s="120"/>
      <c r="I4930" s="121"/>
      <c r="J4930" s="121"/>
      <c r="K4930" s="117"/>
    </row>
    <row r="4931" ht="15.75" customHeight="1">
      <c r="A4931" s="122"/>
      <c r="B4931" s="133"/>
      <c r="C4931" s="120"/>
      <c r="D4931" s="120"/>
      <c r="E4931" s="120"/>
      <c r="F4931" s="120"/>
      <c r="G4931" s="120"/>
      <c r="H4931" s="120"/>
      <c r="I4931" s="121"/>
      <c r="J4931" s="121"/>
      <c r="K4931" s="117"/>
    </row>
    <row r="4932" ht="15.75" customHeight="1">
      <c r="A4932" s="122"/>
      <c r="B4932" s="133"/>
      <c r="C4932" s="120"/>
      <c r="D4932" s="120"/>
      <c r="E4932" s="120"/>
      <c r="F4932" s="120"/>
      <c r="G4932" s="120"/>
      <c r="H4932" s="120"/>
      <c r="I4932" s="121"/>
      <c r="J4932" s="121"/>
      <c r="K4932" s="117"/>
    </row>
    <row r="4933" ht="15.75" customHeight="1">
      <c r="A4933" s="122"/>
      <c r="B4933" s="133"/>
      <c r="C4933" s="120"/>
      <c r="D4933" s="120"/>
      <c r="E4933" s="120"/>
      <c r="F4933" s="120"/>
      <c r="G4933" s="120"/>
      <c r="H4933" s="120"/>
      <c r="I4933" s="121"/>
      <c r="J4933" s="121"/>
      <c r="K4933" s="117"/>
    </row>
    <row r="4934" ht="15.75" customHeight="1">
      <c r="A4934" s="122"/>
      <c r="B4934" s="133"/>
      <c r="C4934" s="120"/>
      <c r="D4934" s="120"/>
      <c r="E4934" s="120"/>
      <c r="F4934" s="120"/>
      <c r="G4934" s="120"/>
      <c r="H4934" s="120"/>
      <c r="I4934" s="121"/>
      <c r="J4934" s="121"/>
      <c r="K4934" s="117"/>
    </row>
    <row r="4935" ht="15.75" customHeight="1">
      <c r="A4935" s="122"/>
      <c r="B4935" s="133"/>
      <c r="C4935" s="120"/>
      <c r="D4935" s="120"/>
      <c r="E4935" s="120"/>
      <c r="F4935" s="120"/>
      <c r="G4935" s="120"/>
      <c r="H4935" s="120"/>
      <c r="I4935" s="121"/>
      <c r="J4935" s="121"/>
      <c r="K4935" s="117"/>
    </row>
    <row r="4936" ht="15.75" customHeight="1">
      <c r="A4936" s="122"/>
      <c r="B4936" s="133"/>
      <c r="C4936" s="120"/>
      <c r="D4936" s="120"/>
      <c r="E4936" s="120"/>
      <c r="F4936" s="120"/>
      <c r="G4936" s="120"/>
      <c r="H4936" s="120"/>
      <c r="I4936" s="121"/>
      <c r="J4936" s="121"/>
      <c r="K4936" s="117"/>
    </row>
    <row r="4937" ht="15.75" customHeight="1">
      <c r="A4937" s="122"/>
      <c r="B4937" s="133"/>
      <c r="C4937" s="120"/>
      <c r="D4937" s="120"/>
      <c r="E4937" s="120"/>
      <c r="F4937" s="120"/>
      <c r="G4937" s="120"/>
      <c r="H4937" s="120"/>
      <c r="I4937" s="121"/>
      <c r="J4937" s="121"/>
      <c r="K4937" s="117"/>
    </row>
    <row r="4938" ht="15.75" customHeight="1">
      <c r="A4938" s="122"/>
      <c r="B4938" s="133"/>
      <c r="C4938" s="120"/>
      <c r="D4938" s="120"/>
      <c r="E4938" s="120"/>
      <c r="F4938" s="120"/>
      <c r="G4938" s="120"/>
      <c r="H4938" s="120"/>
      <c r="I4938" s="121"/>
      <c r="J4938" s="121"/>
      <c r="K4938" s="117"/>
    </row>
    <row r="4939" ht="15.75" customHeight="1">
      <c r="A4939" s="122"/>
      <c r="B4939" s="133"/>
      <c r="C4939" s="120"/>
      <c r="D4939" s="120"/>
      <c r="E4939" s="120"/>
      <c r="F4939" s="120"/>
      <c r="G4939" s="120"/>
      <c r="H4939" s="120"/>
      <c r="I4939" s="121"/>
      <c r="J4939" s="121"/>
      <c r="K4939" s="117"/>
    </row>
    <row r="4940" ht="15.75" customHeight="1">
      <c r="A4940" s="122"/>
      <c r="B4940" s="133"/>
      <c r="C4940" s="120"/>
      <c r="D4940" s="120"/>
      <c r="E4940" s="120"/>
      <c r="F4940" s="120"/>
      <c r="G4940" s="120"/>
      <c r="H4940" s="120"/>
      <c r="I4940" s="121"/>
      <c r="J4940" s="121"/>
      <c r="K4940" s="117"/>
    </row>
    <row r="4941" ht="15.75" customHeight="1">
      <c r="A4941" s="122"/>
      <c r="B4941" s="133"/>
      <c r="C4941" s="120"/>
      <c r="D4941" s="120"/>
      <c r="E4941" s="120"/>
      <c r="F4941" s="120"/>
      <c r="G4941" s="120"/>
      <c r="H4941" s="120"/>
      <c r="I4941" s="121"/>
      <c r="J4941" s="121"/>
      <c r="K4941" s="117"/>
    </row>
    <row r="4942" ht="15.75" customHeight="1">
      <c r="A4942" s="122"/>
      <c r="B4942" s="133"/>
      <c r="C4942" s="120"/>
      <c r="D4942" s="120"/>
      <c r="E4942" s="120"/>
      <c r="F4942" s="120"/>
      <c r="G4942" s="120"/>
      <c r="H4942" s="120"/>
      <c r="I4942" s="121"/>
      <c r="J4942" s="121"/>
      <c r="K4942" s="117"/>
    </row>
    <row r="4943" ht="15.75" customHeight="1">
      <c r="A4943" s="122"/>
      <c r="B4943" s="133"/>
      <c r="C4943" s="120"/>
      <c r="D4943" s="120"/>
      <c r="E4943" s="120"/>
      <c r="F4943" s="120"/>
      <c r="G4943" s="120"/>
      <c r="H4943" s="120"/>
      <c r="I4943" s="121"/>
      <c r="J4943" s="121"/>
      <c r="K4943" s="117"/>
    </row>
    <row r="4944" ht="15.75" customHeight="1">
      <c r="A4944" s="122"/>
      <c r="B4944" s="133"/>
      <c r="C4944" s="120"/>
      <c r="D4944" s="120"/>
      <c r="E4944" s="120"/>
      <c r="F4944" s="120"/>
      <c r="G4944" s="120"/>
      <c r="H4944" s="120"/>
      <c r="I4944" s="121"/>
      <c r="J4944" s="121"/>
      <c r="K4944" s="117"/>
    </row>
    <row r="4945" ht="15.75" customHeight="1">
      <c r="A4945" s="122"/>
      <c r="B4945" s="133"/>
      <c r="C4945" s="120"/>
      <c r="D4945" s="120"/>
      <c r="E4945" s="120"/>
      <c r="F4945" s="120"/>
      <c r="G4945" s="120"/>
      <c r="H4945" s="120"/>
      <c r="I4945" s="121"/>
      <c r="J4945" s="121"/>
      <c r="K4945" s="117"/>
    </row>
    <row r="4946" ht="15.75" customHeight="1">
      <c r="A4946" s="122"/>
      <c r="B4946" s="133"/>
      <c r="C4946" s="120"/>
      <c r="D4946" s="120"/>
      <c r="E4946" s="120"/>
      <c r="F4946" s="120"/>
      <c r="G4946" s="120"/>
      <c r="H4946" s="120"/>
      <c r="I4946" s="121"/>
      <c r="J4946" s="121"/>
      <c r="K4946" s="117"/>
    </row>
    <row r="4947" ht="15.75" customHeight="1">
      <c r="A4947" s="122"/>
      <c r="B4947" s="133"/>
      <c r="C4947" s="120"/>
      <c r="D4947" s="120"/>
      <c r="E4947" s="120"/>
      <c r="F4947" s="120"/>
      <c r="G4947" s="120"/>
      <c r="H4947" s="120"/>
      <c r="I4947" s="121"/>
      <c r="J4947" s="121"/>
      <c r="K4947" s="117"/>
    </row>
    <row r="4948" ht="15.75" customHeight="1">
      <c r="A4948" s="122"/>
      <c r="B4948" s="133"/>
      <c r="C4948" s="120"/>
      <c r="D4948" s="120"/>
      <c r="E4948" s="120"/>
      <c r="F4948" s="120"/>
      <c r="G4948" s="120"/>
      <c r="H4948" s="120"/>
      <c r="I4948" s="121"/>
      <c r="J4948" s="121"/>
      <c r="K4948" s="117"/>
    </row>
    <row r="4949" ht="15.75" customHeight="1">
      <c r="A4949" s="122"/>
      <c r="B4949" s="133"/>
      <c r="C4949" s="120"/>
      <c r="D4949" s="120"/>
      <c r="E4949" s="120"/>
      <c r="F4949" s="120"/>
      <c r="G4949" s="120"/>
      <c r="H4949" s="120"/>
      <c r="I4949" s="121"/>
      <c r="J4949" s="121"/>
      <c r="K4949" s="117"/>
    </row>
    <row r="4950" ht="15.75" customHeight="1">
      <c r="A4950" s="122"/>
      <c r="B4950" s="133"/>
      <c r="C4950" s="120"/>
      <c r="D4950" s="120"/>
      <c r="E4950" s="120"/>
      <c r="F4950" s="120"/>
      <c r="G4950" s="120"/>
      <c r="H4950" s="120"/>
      <c r="I4950" s="121"/>
      <c r="J4950" s="121"/>
      <c r="K4950" s="117"/>
    </row>
    <row r="4951" ht="15.75" customHeight="1">
      <c r="A4951" s="122"/>
      <c r="B4951" s="133"/>
      <c r="C4951" s="120"/>
      <c r="D4951" s="120"/>
      <c r="E4951" s="120"/>
      <c r="F4951" s="120"/>
      <c r="G4951" s="120"/>
      <c r="H4951" s="120"/>
      <c r="I4951" s="121"/>
      <c r="J4951" s="121"/>
      <c r="K4951" s="117"/>
    </row>
    <row r="4952" ht="15.75" customHeight="1">
      <c r="A4952" s="122"/>
      <c r="B4952" s="133"/>
      <c r="C4952" s="120"/>
      <c r="D4952" s="120"/>
      <c r="E4952" s="120"/>
      <c r="F4952" s="120"/>
      <c r="G4952" s="120"/>
      <c r="H4952" s="120"/>
      <c r="I4952" s="121"/>
      <c r="J4952" s="121"/>
      <c r="K4952" s="117"/>
    </row>
    <row r="4953" ht="15.75" customHeight="1">
      <c r="A4953" s="122"/>
      <c r="B4953" s="133"/>
      <c r="C4953" s="120"/>
      <c r="D4953" s="120"/>
      <c r="E4953" s="120"/>
      <c r="F4953" s="120"/>
      <c r="G4953" s="120"/>
      <c r="H4953" s="120"/>
      <c r="I4953" s="121"/>
      <c r="J4953" s="121"/>
      <c r="K4953" s="117"/>
    </row>
    <row r="4954" ht="15.75" customHeight="1">
      <c r="A4954" s="122"/>
      <c r="B4954" s="133"/>
      <c r="C4954" s="120"/>
      <c r="D4954" s="120"/>
      <c r="E4954" s="120"/>
      <c r="F4954" s="120"/>
      <c r="G4954" s="120"/>
      <c r="H4954" s="120"/>
      <c r="I4954" s="121"/>
      <c r="J4954" s="121"/>
      <c r="K4954" s="117"/>
    </row>
    <row r="4955" ht="15.75" customHeight="1">
      <c r="A4955" s="122"/>
      <c r="B4955" s="133"/>
      <c r="C4955" s="120"/>
      <c r="D4955" s="120"/>
      <c r="E4955" s="120"/>
      <c r="F4955" s="120"/>
      <c r="G4955" s="120"/>
      <c r="H4955" s="120"/>
      <c r="I4955" s="121"/>
      <c r="J4955" s="121"/>
      <c r="K4955" s="117"/>
    </row>
    <row r="4956" ht="15.75" customHeight="1">
      <c r="A4956" s="122"/>
      <c r="B4956" s="133"/>
      <c r="C4956" s="120"/>
      <c r="D4956" s="120"/>
      <c r="E4956" s="120"/>
      <c r="F4956" s="120"/>
      <c r="G4956" s="120"/>
      <c r="H4956" s="120"/>
      <c r="I4956" s="121"/>
      <c r="J4956" s="121"/>
      <c r="K4956" s="117"/>
    </row>
    <row r="4957" ht="15.75" customHeight="1">
      <c r="A4957" s="122"/>
      <c r="B4957" s="133"/>
      <c r="C4957" s="120"/>
      <c r="D4957" s="120"/>
      <c r="E4957" s="120"/>
      <c r="F4957" s="120"/>
      <c r="G4957" s="120"/>
      <c r="H4957" s="120"/>
      <c r="I4957" s="121"/>
      <c r="J4957" s="121"/>
      <c r="K4957" s="117"/>
    </row>
    <row r="4958" ht="15.75" customHeight="1">
      <c r="A4958" s="122"/>
      <c r="B4958" s="133"/>
      <c r="C4958" s="120"/>
      <c r="D4958" s="120"/>
      <c r="E4958" s="120"/>
      <c r="F4958" s="120"/>
      <c r="G4958" s="120"/>
      <c r="H4958" s="120"/>
      <c r="I4958" s="121"/>
      <c r="J4958" s="121"/>
      <c r="K4958" s="117"/>
    </row>
    <row r="4959" ht="15.75" customHeight="1">
      <c r="A4959" s="122"/>
      <c r="B4959" s="133"/>
      <c r="C4959" s="120"/>
      <c r="D4959" s="120"/>
      <c r="E4959" s="120"/>
      <c r="F4959" s="120"/>
      <c r="G4959" s="120"/>
      <c r="H4959" s="120"/>
      <c r="I4959" s="121"/>
      <c r="J4959" s="121"/>
      <c r="K4959" s="117"/>
    </row>
    <row r="4960" ht="15.75" customHeight="1">
      <c r="A4960" s="122"/>
      <c r="B4960" s="133"/>
      <c r="C4960" s="120"/>
      <c r="D4960" s="120"/>
      <c r="E4960" s="120"/>
      <c r="F4960" s="120"/>
      <c r="G4960" s="120"/>
      <c r="H4960" s="120"/>
      <c r="I4960" s="121"/>
      <c r="J4960" s="121"/>
      <c r="K4960" s="117"/>
    </row>
    <row r="4961" ht="15.75" customHeight="1">
      <c r="A4961" s="122"/>
      <c r="B4961" s="133"/>
      <c r="C4961" s="120"/>
      <c r="D4961" s="120"/>
      <c r="E4961" s="120"/>
      <c r="F4961" s="120"/>
      <c r="G4961" s="120"/>
      <c r="H4961" s="120"/>
      <c r="I4961" s="121"/>
      <c r="J4961" s="121"/>
      <c r="K4961" s="117"/>
    </row>
    <row r="4962" ht="15.75" customHeight="1">
      <c r="A4962" s="122"/>
      <c r="B4962" s="133"/>
      <c r="C4962" s="120"/>
      <c r="D4962" s="120"/>
      <c r="E4962" s="120"/>
      <c r="F4962" s="120"/>
      <c r="G4962" s="120"/>
      <c r="H4962" s="120"/>
      <c r="I4962" s="121"/>
      <c r="J4962" s="121"/>
      <c r="K4962" s="117"/>
    </row>
    <row r="4963" ht="15.75" customHeight="1">
      <c r="A4963" s="122"/>
      <c r="B4963" s="133"/>
      <c r="C4963" s="120"/>
      <c r="D4963" s="120"/>
      <c r="E4963" s="120"/>
      <c r="F4963" s="120"/>
      <c r="G4963" s="120"/>
      <c r="H4963" s="120"/>
      <c r="I4963" s="121"/>
      <c r="J4963" s="121"/>
      <c r="K4963" s="117"/>
    </row>
    <row r="4964" ht="15.75" customHeight="1">
      <c r="A4964" s="122"/>
      <c r="B4964" s="133"/>
      <c r="C4964" s="120"/>
      <c r="D4964" s="120"/>
      <c r="E4964" s="120"/>
      <c r="F4964" s="120"/>
      <c r="G4964" s="120"/>
      <c r="H4964" s="120"/>
      <c r="I4964" s="121"/>
      <c r="J4964" s="121"/>
      <c r="K4964" s="117"/>
    </row>
    <row r="4965" ht="15.75" customHeight="1">
      <c r="A4965" s="122"/>
      <c r="B4965" s="133"/>
      <c r="C4965" s="120"/>
      <c r="D4965" s="120"/>
      <c r="E4965" s="120"/>
      <c r="F4965" s="120"/>
      <c r="G4965" s="120"/>
      <c r="H4965" s="120"/>
      <c r="I4965" s="121"/>
      <c r="J4965" s="121"/>
      <c r="K4965" s="117"/>
    </row>
    <row r="4966" ht="15.75" customHeight="1">
      <c r="A4966" s="122"/>
      <c r="B4966" s="133"/>
      <c r="C4966" s="120"/>
      <c r="D4966" s="120"/>
      <c r="E4966" s="120"/>
      <c r="F4966" s="120"/>
      <c r="G4966" s="120"/>
      <c r="H4966" s="120"/>
      <c r="I4966" s="121"/>
      <c r="J4966" s="121"/>
      <c r="K4966" s="117"/>
    </row>
    <row r="4967" ht="15.75" customHeight="1">
      <c r="A4967" s="122"/>
      <c r="B4967" s="133"/>
      <c r="C4967" s="120"/>
      <c r="D4967" s="120"/>
      <c r="E4967" s="120"/>
      <c r="F4967" s="120"/>
      <c r="G4967" s="120"/>
      <c r="H4967" s="120"/>
      <c r="I4967" s="121"/>
      <c r="J4967" s="121"/>
      <c r="K4967" s="117"/>
    </row>
    <row r="4968" ht="15.75" customHeight="1">
      <c r="A4968" s="122"/>
      <c r="B4968" s="133"/>
      <c r="C4968" s="120"/>
      <c r="D4968" s="120"/>
      <c r="E4968" s="120"/>
      <c r="F4968" s="120"/>
      <c r="G4968" s="120"/>
      <c r="H4968" s="120"/>
      <c r="I4968" s="121"/>
      <c r="J4968" s="121"/>
      <c r="K4968" s="117"/>
    </row>
    <row r="4969" ht="15.75" customHeight="1">
      <c r="A4969" s="122"/>
      <c r="B4969" s="133"/>
      <c r="C4969" s="120"/>
      <c r="D4969" s="120"/>
      <c r="E4969" s="120"/>
      <c r="F4969" s="120"/>
      <c r="G4969" s="120"/>
      <c r="H4969" s="120"/>
      <c r="I4969" s="121"/>
      <c r="J4969" s="121"/>
      <c r="K4969" s="117"/>
    </row>
    <row r="4970" ht="15.75" customHeight="1">
      <c r="A4970" s="122"/>
      <c r="B4970" s="133"/>
      <c r="C4970" s="120"/>
      <c r="D4970" s="120"/>
      <c r="E4970" s="120"/>
      <c r="F4970" s="120"/>
      <c r="G4970" s="120"/>
      <c r="H4970" s="120"/>
      <c r="I4970" s="121"/>
      <c r="J4970" s="121"/>
      <c r="K4970" s="117"/>
    </row>
    <row r="4971" ht="15.75" customHeight="1">
      <c r="A4971" s="122"/>
      <c r="B4971" s="133"/>
      <c r="C4971" s="120"/>
      <c r="D4971" s="120"/>
      <c r="E4971" s="120"/>
      <c r="F4971" s="120"/>
      <c r="G4971" s="120"/>
      <c r="H4971" s="120"/>
      <c r="I4971" s="121"/>
      <c r="J4971" s="121"/>
      <c r="K4971" s="117"/>
    </row>
    <row r="4972" ht="15.75" customHeight="1">
      <c r="A4972" s="122"/>
      <c r="B4972" s="133"/>
      <c r="C4972" s="120"/>
      <c r="D4972" s="120"/>
      <c r="E4972" s="120"/>
      <c r="F4972" s="120"/>
      <c r="G4972" s="120"/>
      <c r="H4972" s="120"/>
      <c r="I4972" s="121"/>
      <c r="J4972" s="121"/>
      <c r="K4972" s="117"/>
    </row>
    <row r="4973" ht="15.75" customHeight="1">
      <c r="A4973" s="122"/>
      <c r="B4973" s="133"/>
      <c r="C4973" s="120"/>
      <c r="D4973" s="120"/>
      <c r="E4973" s="120"/>
      <c r="F4973" s="120"/>
      <c r="G4973" s="120"/>
      <c r="H4973" s="120"/>
      <c r="I4973" s="121"/>
      <c r="J4973" s="121"/>
      <c r="K4973" s="117"/>
    </row>
    <row r="4974" ht="15.75" customHeight="1">
      <c r="A4974" s="122"/>
      <c r="B4974" s="133"/>
      <c r="C4974" s="120"/>
      <c r="D4974" s="120"/>
      <c r="E4974" s="120"/>
      <c r="F4974" s="120"/>
      <c r="G4974" s="120"/>
      <c r="H4974" s="120"/>
      <c r="I4974" s="121"/>
      <c r="J4974" s="121"/>
      <c r="K4974" s="117"/>
    </row>
    <row r="4975" ht="15.75" customHeight="1">
      <c r="A4975" s="122"/>
      <c r="B4975" s="133"/>
      <c r="C4975" s="120"/>
      <c r="D4975" s="120"/>
      <c r="E4975" s="120"/>
      <c r="F4975" s="120"/>
      <c r="G4975" s="120"/>
      <c r="H4975" s="120"/>
      <c r="I4975" s="121"/>
      <c r="J4975" s="121"/>
      <c r="K4975" s="117"/>
    </row>
    <row r="4976" ht="15.75" customHeight="1">
      <c r="A4976" s="122"/>
      <c r="B4976" s="133"/>
      <c r="C4976" s="120"/>
      <c r="D4976" s="120"/>
      <c r="E4976" s="120"/>
      <c r="F4976" s="120"/>
      <c r="G4976" s="120"/>
      <c r="H4976" s="120"/>
      <c r="I4976" s="121"/>
      <c r="J4976" s="121"/>
      <c r="K4976" s="117"/>
    </row>
    <row r="4977" ht="15.75" customHeight="1">
      <c r="A4977" s="122"/>
      <c r="B4977" s="133"/>
      <c r="C4977" s="120"/>
      <c r="D4977" s="120"/>
      <c r="E4977" s="120"/>
      <c r="F4977" s="120"/>
      <c r="G4977" s="120"/>
      <c r="H4977" s="120"/>
      <c r="I4977" s="121"/>
      <c r="J4977" s="121"/>
      <c r="K4977" s="117"/>
    </row>
    <row r="4978" ht="15.75" customHeight="1">
      <c r="A4978" s="122"/>
      <c r="B4978" s="133"/>
      <c r="C4978" s="120"/>
      <c r="D4978" s="120"/>
      <c r="E4978" s="120"/>
      <c r="F4978" s="120"/>
      <c r="G4978" s="120"/>
      <c r="H4978" s="120"/>
      <c r="I4978" s="121"/>
      <c r="J4978" s="121"/>
      <c r="K4978" s="117"/>
    </row>
    <row r="4979" ht="15.75" customHeight="1">
      <c r="A4979" s="122"/>
      <c r="B4979" s="133"/>
      <c r="C4979" s="120"/>
      <c r="D4979" s="120"/>
      <c r="E4979" s="120"/>
      <c r="F4979" s="120"/>
      <c r="G4979" s="120"/>
      <c r="H4979" s="120"/>
      <c r="I4979" s="121"/>
      <c r="J4979" s="121"/>
      <c r="K4979" s="117"/>
    </row>
    <row r="4980" ht="15.75" customHeight="1">
      <c r="A4980" s="122"/>
      <c r="B4980" s="133"/>
      <c r="C4980" s="120"/>
      <c r="D4980" s="120"/>
      <c r="E4980" s="120"/>
      <c r="F4980" s="120"/>
      <c r="G4980" s="120"/>
      <c r="H4980" s="120"/>
      <c r="I4980" s="121"/>
      <c r="J4980" s="121"/>
      <c r="K4980" s="117"/>
    </row>
    <row r="4981" ht="15.75" customHeight="1">
      <c r="A4981" s="122"/>
      <c r="B4981" s="133"/>
      <c r="C4981" s="120"/>
      <c r="D4981" s="120"/>
      <c r="E4981" s="120"/>
      <c r="F4981" s="120"/>
      <c r="G4981" s="120"/>
      <c r="H4981" s="120"/>
      <c r="I4981" s="121"/>
      <c r="J4981" s="121"/>
      <c r="K4981" s="117"/>
    </row>
    <row r="4982" ht="15.75" customHeight="1">
      <c r="A4982" s="122"/>
      <c r="B4982" s="133"/>
      <c r="C4982" s="120"/>
      <c r="D4982" s="120"/>
      <c r="E4982" s="120"/>
      <c r="F4982" s="120"/>
      <c r="G4982" s="120"/>
      <c r="H4982" s="120"/>
      <c r="I4982" s="121"/>
      <c r="J4982" s="121"/>
      <c r="K4982" s="117"/>
    </row>
    <row r="4983" ht="15.75" customHeight="1">
      <c r="A4983" s="122"/>
      <c r="B4983" s="133"/>
      <c r="C4983" s="120"/>
      <c r="D4983" s="120"/>
      <c r="E4983" s="120"/>
      <c r="F4983" s="120"/>
      <c r="G4983" s="120"/>
      <c r="H4983" s="120"/>
      <c r="I4983" s="121"/>
      <c r="J4983" s="121"/>
      <c r="K4983" s="117"/>
    </row>
    <row r="4984" ht="15.75" customHeight="1">
      <c r="A4984" s="122"/>
      <c r="B4984" s="133"/>
      <c r="C4984" s="120"/>
      <c r="D4984" s="120"/>
      <c r="E4984" s="120"/>
      <c r="F4984" s="120"/>
      <c r="G4984" s="120"/>
      <c r="H4984" s="120"/>
      <c r="I4984" s="121"/>
      <c r="J4984" s="121"/>
      <c r="K4984" s="117"/>
    </row>
    <row r="4985" ht="15.75" customHeight="1">
      <c r="A4985" s="122"/>
      <c r="B4985" s="133"/>
      <c r="C4985" s="120"/>
      <c r="D4985" s="120"/>
      <c r="E4985" s="120"/>
      <c r="F4985" s="120"/>
      <c r="G4985" s="120"/>
      <c r="H4985" s="120"/>
      <c r="I4985" s="121"/>
      <c r="J4985" s="121"/>
      <c r="K4985" s="117"/>
    </row>
    <row r="4986" ht="15.75" customHeight="1">
      <c r="A4986" s="122"/>
      <c r="B4986" s="133"/>
      <c r="C4986" s="120"/>
      <c r="D4986" s="120"/>
      <c r="E4986" s="120"/>
      <c r="F4986" s="120"/>
      <c r="G4986" s="120"/>
      <c r="H4986" s="120"/>
      <c r="I4986" s="121"/>
      <c r="J4986" s="121"/>
      <c r="K4986" s="117"/>
    </row>
    <row r="4987" ht="15.75" customHeight="1">
      <c r="A4987" s="122"/>
      <c r="B4987" s="133"/>
      <c r="C4987" s="120"/>
      <c r="D4987" s="120"/>
      <c r="E4987" s="120"/>
      <c r="F4987" s="120"/>
      <c r="G4987" s="120"/>
      <c r="H4987" s="120"/>
      <c r="I4987" s="121"/>
      <c r="J4987" s="121"/>
      <c r="K4987" s="117"/>
    </row>
    <row r="4988" ht="15.75" customHeight="1">
      <c r="A4988" s="122"/>
      <c r="B4988" s="133"/>
      <c r="C4988" s="120"/>
      <c r="D4988" s="120"/>
      <c r="E4988" s="120"/>
      <c r="F4988" s="120"/>
      <c r="G4988" s="120"/>
      <c r="H4988" s="120"/>
      <c r="I4988" s="121"/>
      <c r="J4988" s="121"/>
      <c r="K4988" s="117"/>
    </row>
    <row r="4989" ht="15.75" customHeight="1">
      <c r="A4989" s="122"/>
      <c r="B4989" s="133"/>
      <c r="C4989" s="120"/>
      <c r="D4989" s="120"/>
      <c r="E4989" s="120"/>
      <c r="F4989" s="120"/>
      <c r="G4989" s="120"/>
      <c r="H4989" s="120"/>
      <c r="I4989" s="121"/>
      <c r="J4989" s="121"/>
      <c r="K4989" s="117"/>
    </row>
    <row r="4990" ht="15.75" customHeight="1">
      <c r="A4990" s="122"/>
      <c r="B4990" s="133"/>
      <c r="C4990" s="120"/>
      <c r="D4990" s="120"/>
      <c r="E4990" s="120"/>
      <c r="F4990" s="120"/>
      <c r="G4990" s="120"/>
      <c r="H4990" s="120"/>
      <c r="I4990" s="121"/>
      <c r="J4990" s="121"/>
      <c r="K4990" s="117"/>
    </row>
    <row r="4991" ht="15.75" customHeight="1">
      <c r="A4991" s="122"/>
      <c r="B4991" s="133"/>
      <c r="C4991" s="120"/>
      <c r="D4991" s="120"/>
      <c r="E4991" s="120"/>
      <c r="F4991" s="120"/>
      <c r="G4991" s="120"/>
      <c r="H4991" s="120"/>
      <c r="I4991" s="121"/>
      <c r="J4991" s="121"/>
      <c r="K4991" s="117"/>
    </row>
    <row r="4992" ht="15.75" customHeight="1">
      <c r="A4992" s="122"/>
      <c r="B4992" s="133"/>
      <c r="C4992" s="120"/>
      <c r="D4992" s="120"/>
      <c r="E4992" s="120"/>
      <c r="F4992" s="120"/>
      <c r="G4992" s="120"/>
      <c r="H4992" s="120"/>
      <c r="I4992" s="121"/>
      <c r="J4992" s="121"/>
      <c r="K4992" s="117"/>
    </row>
    <row r="4993" ht="15.75" customHeight="1">
      <c r="A4993" s="122"/>
      <c r="B4993" s="133"/>
      <c r="C4993" s="120"/>
      <c r="D4993" s="120"/>
      <c r="E4993" s="120"/>
      <c r="F4993" s="120"/>
      <c r="G4993" s="120"/>
      <c r="H4993" s="120"/>
      <c r="I4993" s="121"/>
      <c r="J4993" s="121"/>
      <c r="K4993" s="117"/>
    </row>
    <row r="4994" ht="15.75" customHeight="1">
      <c r="A4994" s="122"/>
      <c r="B4994" s="133"/>
      <c r="C4994" s="120"/>
      <c r="D4994" s="120"/>
      <c r="E4994" s="120"/>
      <c r="F4994" s="120"/>
      <c r="G4994" s="120"/>
      <c r="H4994" s="120"/>
      <c r="I4994" s="121"/>
      <c r="J4994" s="121"/>
      <c r="K4994" s="117"/>
    </row>
    <row r="4995" ht="15.75" customHeight="1">
      <c r="A4995" s="122"/>
      <c r="B4995" s="133"/>
      <c r="C4995" s="120"/>
      <c r="D4995" s="120"/>
      <c r="E4995" s="120"/>
      <c r="F4995" s="120"/>
      <c r="G4995" s="120"/>
      <c r="H4995" s="120"/>
      <c r="I4995" s="121"/>
      <c r="J4995" s="121"/>
      <c r="K4995" s="117"/>
    </row>
    <row r="4996" ht="15.75" customHeight="1">
      <c r="A4996" s="122"/>
      <c r="B4996" s="133"/>
      <c r="C4996" s="120"/>
      <c r="D4996" s="120"/>
      <c r="E4996" s="120"/>
      <c r="F4996" s="120"/>
      <c r="G4996" s="120"/>
      <c r="H4996" s="120"/>
      <c r="I4996" s="121"/>
      <c r="J4996" s="121"/>
      <c r="K4996" s="117"/>
    </row>
    <row r="4997" ht="15.75" customHeight="1">
      <c r="A4997" s="122"/>
      <c r="B4997" s="133"/>
      <c r="C4997" s="120"/>
      <c r="D4997" s="120"/>
      <c r="E4997" s="120"/>
      <c r="F4997" s="120"/>
      <c r="G4997" s="120"/>
      <c r="H4997" s="120"/>
      <c r="I4997" s="121"/>
      <c r="J4997" s="121"/>
      <c r="K4997" s="117"/>
    </row>
    <row r="4998" ht="15.75" customHeight="1">
      <c r="A4998" s="122"/>
      <c r="B4998" s="133"/>
      <c r="C4998" s="120"/>
      <c r="D4998" s="120"/>
      <c r="E4998" s="120"/>
      <c r="F4998" s="120"/>
      <c r="G4998" s="120"/>
      <c r="H4998" s="120"/>
      <c r="I4998" s="121"/>
      <c r="J4998" s="121"/>
      <c r="K4998" s="117"/>
    </row>
    <row r="4999" ht="15.75" customHeight="1">
      <c r="A4999" s="122"/>
      <c r="B4999" s="133"/>
      <c r="C4999" s="120"/>
      <c r="D4999" s="120"/>
      <c r="E4999" s="120"/>
      <c r="F4999" s="120"/>
      <c r="G4999" s="120"/>
      <c r="H4999" s="120"/>
      <c r="I4999" s="121"/>
      <c r="J4999" s="121"/>
      <c r="K4999" s="117"/>
    </row>
    <row r="5000" ht="15.75" customHeight="1">
      <c r="A5000" s="122"/>
      <c r="B5000" s="133"/>
      <c r="C5000" s="120"/>
      <c r="D5000" s="120"/>
      <c r="E5000" s="120"/>
      <c r="F5000" s="120"/>
      <c r="G5000" s="120"/>
      <c r="H5000" s="120"/>
      <c r="I5000" s="121"/>
      <c r="J5000" s="121"/>
      <c r="K5000" s="117"/>
    </row>
    <row r="5001" ht="15.75" customHeight="1">
      <c r="A5001" s="122"/>
      <c r="B5001" s="133"/>
      <c r="C5001" s="120"/>
      <c r="D5001" s="120"/>
      <c r="E5001" s="120"/>
      <c r="F5001" s="120"/>
      <c r="G5001" s="120"/>
      <c r="H5001" s="120"/>
      <c r="I5001" s="121"/>
      <c r="J5001" s="121"/>
      <c r="K5001" s="117"/>
    </row>
    <row r="5002" ht="15.75" customHeight="1">
      <c r="A5002" s="122"/>
      <c r="B5002" s="133"/>
      <c r="C5002" s="120"/>
      <c r="D5002" s="120"/>
      <c r="E5002" s="120"/>
      <c r="F5002" s="120"/>
      <c r="G5002" s="120"/>
      <c r="H5002" s="120"/>
      <c r="I5002" s="121"/>
      <c r="J5002" s="121"/>
      <c r="K5002" s="117"/>
    </row>
    <row r="5003" ht="15.75" customHeight="1">
      <c r="A5003" s="122"/>
      <c r="B5003" s="133"/>
      <c r="C5003" s="120"/>
      <c r="D5003" s="120"/>
      <c r="E5003" s="120"/>
      <c r="F5003" s="120"/>
      <c r="G5003" s="120"/>
      <c r="H5003" s="120"/>
      <c r="I5003" s="121"/>
      <c r="J5003" s="121"/>
      <c r="K5003" s="117"/>
    </row>
    <row r="5004" ht="15.75" customHeight="1">
      <c r="A5004" s="122"/>
      <c r="B5004" s="133"/>
      <c r="C5004" s="120"/>
      <c r="D5004" s="120"/>
      <c r="E5004" s="120"/>
      <c r="F5004" s="120"/>
      <c r="G5004" s="120"/>
      <c r="H5004" s="120"/>
      <c r="I5004" s="121"/>
      <c r="J5004" s="121"/>
      <c r="K5004" s="117"/>
    </row>
    <row r="5005" ht="15.75" customHeight="1">
      <c r="A5005" s="122"/>
      <c r="B5005" s="133"/>
      <c r="C5005" s="120"/>
      <c r="D5005" s="120"/>
      <c r="E5005" s="120"/>
      <c r="F5005" s="120"/>
      <c r="G5005" s="120"/>
      <c r="H5005" s="120"/>
      <c r="I5005" s="121"/>
      <c r="J5005" s="121"/>
      <c r="K5005" s="117"/>
    </row>
    <row r="5006" ht="15.75" customHeight="1">
      <c r="A5006" s="122"/>
      <c r="B5006" s="133"/>
      <c r="C5006" s="120"/>
      <c r="D5006" s="120"/>
      <c r="E5006" s="120"/>
      <c r="F5006" s="120"/>
      <c r="G5006" s="120"/>
      <c r="H5006" s="120"/>
      <c r="I5006" s="121"/>
      <c r="J5006" s="121"/>
      <c r="K5006" s="117"/>
    </row>
    <row r="5007" ht="15.75" customHeight="1">
      <c r="A5007" s="122"/>
      <c r="B5007" s="133"/>
      <c r="C5007" s="120"/>
      <c r="D5007" s="120"/>
      <c r="E5007" s="120"/>
      <c r="F5007" s="120"/>
      <c r="G5007" s="120"/>
      <c r="H5007" s="120"/>
      <c r="I5007" s="121"/>
      <c r="J5007" s="121"/>
      <c r="K5007" s="117"/>
    </row>
    <row r="5008" ht="15.75" customHeight="1">
      <c r="A5008" s="122"/>
      <c r="B5008" s="133"/>
      <c r="C5008" s="120"/>
      <c r="D5008" s="120"/>
      <c r="E5008" s="120"/>
      <c r="F5008" s="120"/>
      <c r="G5008" s="120"/>
      <c r="H5008" s="120"/>
      <c r="I5008" s="121"/>
      <c r="J5008" s="121"/>
      <c r="K5008" s="117"/>
    </row>
    <row r="5009" ht="15.75" customHeight="1">
      <c r="A5009" s="122"/>
      <c r="B5009" s="133"/>
      <c r="C5009" s="120"/>
      <c r="D5009" s="120"/>
      <c r="E5009" s="120"/>
      <c r="F5009" s="120"/>
      <c r="G5009" s="120"/>
      <c r="H5009" s="120"/>
      <c r="I5009" s="121"/>
      <c r="J5009" s="121"/>
      <c r="K5009" s="117"/>
    </row>
    <row r="5010" ht="15.75" customHeight="1">
      <c r="A5010" s="122"/>
      <c r="B5010" s="133"/>
      <c r="C5010" s="120"/>
      <c r="D5010" s="120"/>
      <c r="E5010" s="120"/>
      <c r="F5010" s="120"/>
      <c r="G5010" s="120"/>
      <c r="H5010" s="120"/>
      <c r="I5010" s="121"/>
      <c r="J5010" s="121"/>
      <c r="K5010" s="117"/>
    </row>
    <row r="5011" ht="15.75" customHeight="1">
      <c r="A5011" s="122"/>
      <c r="B5011" s="133"/>
      <c r="C5011" s="120"/>
      <c r="D5011" s="120"/>
      <c r="E5011" s="120"/>
      <c r="F5011" s="120"/>
      <c r="G5011" s="120"/>
      <c r="H5011" s="120"/>
      <c r="I5011" s="121"/>
      <c r="J5011" s="121"/>
      <c r="K5011" s="117"/>
    </row>
    <row r="5012" ht="15.75" customHeight="1">
      <c r="A5012" s="122"/>
      <c r="B5012" s="133"/>
      <c r="C5012" s="120"/>
      <c r="D5012" s="120"/>
      <c r="E5012" s="120"/>
      <c r="F5012" s="120"/>
      <c r="G5012" s="120"/>
      <c r="H5012" s="120"/>
      <c r="I5012" s="121"/>
      <c r="J5012" s="121"/>
      <c r="K5012" s="117"/>
    </row>
    <row r="5013" ht="15.75" customHeight="1">
      <c r="A5013" s="122"/>
      <c r="B5013" s="133"/>
      <c r="C5013" s="120"/>
      <c r="D5013" s="120"/>
      <c r="E5013" s="120"/>
      <c r="F5013" s="120"/>
      <c r="G5013" s="120"/>
      <c r="H5013" s="120"/>
      <c r="I5013" s="121"/>
      <c r="J5013" s="121"/>
      <c r="K5013" s="117"/>
    </row>
    <row r="5014" ht="15.75" customHeight="1">
      <c r="A5014" s="122"/>
      <c r="B5014" s="133"/>
      <c r="C5014" s="120"/>
      <c r="D5014" s="120"/>
      <c r="E5014" s="120"/>
      <c r="F5014" s="120"/>
      <c r="G5014" s="120"/>
      <c r="H5014" s="120"/>
      <c r="I5014" s="121"/>
      <c r="J5014" s="121"/>
      <c r="K5014" s="117"/>
    </row>
    <row r="5015" ht="15.75" customHeight="1">
      <c r="A5015" s="122"/>
      <c r="B5015" s="133"/>
      <c r="C5015" s="120"/>
      <c r="D5015" s="120"/>
      <c r="E5015" s="120"/>
      <c r="F5015" s="120"/>
      <c r="G5015" s="120"/>
      <c r="H5015" s="120"/>
      <c r="I5015" s="121"/>
      <c r="J5015" s="121"/>
      <c r="K5015" s="117"/>
    </row>
    <row r="5016" ht="15.75" customHeight="1">
      <c r="A5016" s="122"/>
      <c r="B5016" s="133"/>
      <c r="C5016" s="120"/>
      <c r="D5016" s="120"/>
      <c r="E5016" s="120"/>
      <c r="F5016" s="120"/>
      <c r="G5016" s="120"/>
      <c r="H5016" s="120"/>
      <c r="I5016" s="121"/>
      <c r="J5016" s="121"/>
      <c r="K5016" s="117"/>
    </row>
    <row r="5017" ht="15.75" customHeight="1">
      <c r="A5017" s="122"/>
      <c r="B5017" s="133"/>
      <c r="C5017" s="120"/>
      <c r="D5017" s="120"/>
      <c r="E5017" s="120"/>
      <c r="F5017" s="120"/>
      <c r="G5017" s="120"/>
      <c r="H5017" s="120"/>
      <c r="I5017" s="121"/>
      <c r="J5017" s="121"/>
      <c r="K5017" s="117"/>
    </row>
    <row r="5018" ht="15.75" customHeight="1">
      <c r="A5018" s="122"/>
      <c r="B5018" s="133"/>
      <c r="C5018" s="120"/>
      <c r="D5018" s="120"/>
      <c r="E5018" s="120"/>
      <c r="F5018" s="120"/>
      <c r="G5018" s="120"/>
      <c r="H5018" s="120"/>
      <c r="I5018" s="121"/>
      <c r="J5018" s="121"/>
      <c r="K5018" s="117"/>
    </row>
    <row r="5019" ht="15.75" customHeight="1">
      <c r="A5019" s="122"/>
      <c r="B5019" s="133"/>
      <c r="C5019" s="120"/>
      <c r="D5019" s="120"/>
      <c r="E5019" s="120"/>
      <c r="F5019" s="120"/>
      <c r="G5019" s="120"/>
      <c r="H5019" s="120"/>
      <c r="I5019" s="121"/>
      <c r="J5019" s="121"/>
      <c r="K5019" s="117"/>
    </row>
    <row r="5020" ht="15.75" customHeight="1">
      <c r="A5020" s="122"/>
      <c r="B5020" s="133"/>
      <c r="C5020" s="120"/>
      <c r="D5020" s="120"/>
      <c r="E5020" s="120"/>
      <c r="F5020" s="120"/>
      <c r="G5020" s="120"/>
      <c r="H5020" s="120"/>
      <c r="I5020" s="121"/>
      <c r="J5020" s="121"/>
      <c r="K5020" s="117"/>
    </row>
    <row r="5021" ht="15.75" customHeight="1">
      <c r="A5021" s="122"/>
      <c r="B5021" s="133"/>
      <c r="C5021" s="120"/>
      <c r="D5021" s="120"/>
      <c r="E5021" s="120"/>
      <c r="F5021" s="120"/>
      <c r="G5021" s="120"/>
      <c r="H5021" s="120"/>
      <c r="I5021" s="121"/>
      <c r="J5021" s="121"/>
      <c r="K5021" s="117"/>
    </row>
    <row r="5022" ht="15.75" customHeight="1">
      <c r="A5022" s="122"/>
      <c r="B5022" s="133"/>
      <c r="C5022" s="120"/>
      <c r="D5022" s="120"/>
      <c r="E5022" s="120"/>
      <c r="F5022" s="120"/>
      <c r="G5022" s="120"/>
      <c r="H5022" s="120"/>
      <c r="I5022" s="121"/>
      <c r="J5022" s="121"/>
      <c r="K5022" s="117"/>
    </row>
    <row r="5023" ht="15.75" customHeight="1">
      <c r="A5023" s="122"/>
      <c r="B5023" s="133"/>
      <c r="C5023" s="120"/>
      <c r="D5023" s="120"/>
      <c r="E5023" s="120"/>
      <c r="F5023" s="120"/>
      <c r="G5023" s="120"/>
      <c r="H5023" s="120"/>
      <c r="I5023" s="121"/>
      <c r="J5023" s="121"/>
      <c r="K5023" s="117"/>
    </row>
    <row r="5024" ht="15.75" customHeight="1">
      <c r="A5024" s="122"/>
      <c r="B5024" s="133"/>
      <c r="C5024" s="120"/>
      <c r="D5024" s="120"/>
      <c r="E5024" s="120"/>
      <c r="F5024" s="120"/>
      <c r="G5024" s="120"/>
      <c r="H5024" s="120"/>
      <c r="I5024" s="121"/>
      <c r="J5024" s="121"/>
      <c r="K5024" s="117"/>
    </row>
    <row r="5025" ht="15.75" customHeight="1">
      <c r="A5025" s="122"/>
      <c r="B5025" s="133"/>
      <c r="C5025" s="120"/>
      <c r="D5025" s="120"/>
      <c r="E5025" s="120"/>
      <c r="F5025" s="120"/>
      <c r="G5025" s="120"/>
      <c r="H5025" s="120"/>
      <c r="I5025" s="121"/>
      <c r="J5025" s="121"/>
      <c r="K5025" s="117"/>
    </row>
    <row r="5026" ht="15.75" customHeight="1">
      <c r="A5026" s="122"/>
      <c r="B5026" s="133"/>
      <c r="C5026" s="120"/>
      <c r="D5026" s="120"/>
      <c r="E5026" s="120"/>
      <c r="F5026" s="120"/>
      <c r="G5026" s="120"/>
      <c r="H5026" s="120"/>
      <c r="I5026" s="121"/>
      <c r="J5026" s="121"/>
      <c r="K5026" s="117"/>
    </row>
    <row r="5027" ht="15.75" customHeight="1">
      <c r="A5027" s="122"/>
      <c r="B5027" s="133"/>
      <c r="C5027" s="120"/>
      <c r="D5027" s="120"/>
      <c r="E5027" s="120"/>
      <c r="F5027" s="120"/>
      <c r="G5027" s="120"/>
      <c r="H5027" s="120"/>
      <c r="I5027" s="121"/>
      <c r="J5027" s="121"/>
      <c r="K5027" s="117"/>
    </row>
    <row r="5028" ht="15.75" customHeight="1">
      <c r="A5028" s="122"/>
      <c r="B5028" s="133"/>
      <c r="C5028" s="120"/>
      <c r="D5028" s="120"/>
      <c r="E5028" s="120"/>
      <c r="F5028" s="120"/>
      <c r="G5028" s="120"/>
      <c r="H5028" s="120"/>
      <c r="I5028" s="121"/>
      <c r="J5028" s="121"/>
      <c r="K5028" s="117"/>
    </row>
    <row r="5029" ht="15.75" customHeight="1">
      <c r="A5029" s="122"/>
      <c r="B5029" s="133"/>
      <c r="C5029" s="120"/>
      <c r="D5029" s="120"/>
      <c r="E5029" s="120"/>
      <c r="F5029" s="120"/>
      <c r="G5029" s="120"/>
      <c r="H5029" s="120"/>
      <c r="I5029" s="121"/>
      <c r="J5029" s="121"/>
      <c r="K5029" s="117"/>
    </row>
    <row r="5030" ht="15.75" customHeight="1">
      <c r="A5030" s="122"/>
      <c r="B5030" s="133"/>
      <c r="C5030" s="120"/>
      <c r="D5030" s="120"/>
      <c r="E5030" s="120"/>
      <c r="F5030" s="120"/>
      <c r="G5030" s="120"/>
      <c r="H5030" s="120"/>
      <c r="I5030" s="121"/>
      <c r="J5030" s="121"/>
      <c r="K5030" s="117"/>
    </row>
    <row r="5031" ht="15.75" customHeight="1">
      <c r="A5031" s="122"/>
      <c r="B5031" s="133"/>
      <c r="C5031" s="120"/>
      <c r="D5031" s="120"/>
      <c r="E5031" s="120"/>
      <c r="F5031" s="120"/>
      <c r="G5031" s="120"/>
      <c r="H5031" s="120"/>
      <c r="I5031" s="121"/>
      <c r="J5031" s="121"/>
      <c r="K5031" s="117"/>
    </row>
    <row r="5032" ht="15.75" customHeight="1">
      <c r="A5032" s="122"/>
      <c r="B5032" s="133"/>
      <c r="C5032" s="120"/>
      <c r="D5032" s="120"/>
      <c r="E5032" s="120"/>
      <c r="F5032" s="120"/>
      <c r="G5032" s="120"/>
      <c r="H5032" s="120"/>
      <c r="I5032" s="121"/>
      <c r="J5032" s="121"/>
      <c r="K5032" s="117"/>
    </row>
    <row r="5033" ht="15.75" customHeight="1">
      <c r="A5033" s="122"/>
      <c r="B5033" s="133"/>
      <c r="C5033" s="120"/>
      <c r="D5033" s="120"/>
      <c r="E5033" s="120"/>
      <c r="F5033" s="120"/>
      <c r="G5033" s="120"/>
      <c r="H5033" s="120"/>
      <c r="I5033" s="121"/>
      <c r="J5033" s="121"/>
      <c r="K5033" s="117"/>
    </row>
    <row r="5034" ht="15.75" customHeight="1">
      <c r="A5034" s="122"/>
      <c r="B5034" s="133"/>
      <c r="C5034" s="120"/>
      <c r="D5034" s="120"/>
      <c r="E5034" s="120"/>
      <c r="F5034" s="120"/>
      <c r="G5034" s="120"/>
      <c r="H5034" s="120"/>
      <c r="I5034" s="121"/>
      <c r="J5034" s="121"/>
      <c r="K5034" s="117"/>
    </row>
    <row r="5035" ht="15.75" customHeight="1">
      <c r="A5035" s="122"/>
      <c r="B5035" s="133"/>
      <c r="C5035" s="120"/>
      <c r="D5035" s="120"/>
      <c r="E5035" s="120"/>
      <c r="F5035" s="120"/>
      <c r="G5035" s="120"/>
      <c r="H5035" s="120"/>
      <c r="I5035" s="121"/>
      <c r="J5035" s="121"/>
      <c r="K5035" s="117"/>
    </row>
    <row r="5036" ht="15.75" customHeight="1">
      <c r="A5036" s="122"/>
      <c r="B5036" s="133"/>
      <c r="C5036" s="120"/>
      <c r="D5036" s="120"/>
      <c r="E5036" s="120"/>
      <c r="F5036" s="120"/>
      <c r="G5036" s="120"/>
      <c r="H5036" s="120"/>
      <c r="I5036" s="121"/>
      <c r="J5036" s="121"/>
      <c r="K5036" s="117"/>
    </row>
    <row r="5037" ht="15.75" customHeight="1">
      <c r="A5037" s="122"/>
      <c r="B5037" s="133"/>
      <c r="C5037" s="120"/>
      <c r="D5037" s="120"/>
      <c r="E5037" s="120"/>
      <c r="F5037" s="120"/>
      <c r="G5037" s="120"/>
      <c r="H5037" s="120"/>
      <c r="I5037" s="121"/>
      <c r="J5037" s="121"/>
      <c r="K5037" s="117"/>
    </row>
    <row r="5038" ht="15.75" customHeight="1">
      <c r="A5038" s="122"/>
      <c r="B5038" s="133"/>
      <c r="C5038" s="120"/>
      <c r="D5038" s="120"/>
      <c r="E5038" s="120"/>
      <c r="F5038" s="120"/>
      <c r="G5038" s="120"/>
      <c r="H5038" s="120"/>
      <c r="I5038" s="121"/>
      <c r="J5038" s="121"/>
      <c r="K5038" s="117"/>
    </row>
    <row r="5039" ht="15.75" customHeight="1">
      <c r="A5039" s="122"/>
      <c r="B5039" s="133"/>
      <c r="C5039" s="120"/>
      <c r="D5039" s="120"/>
      <c r="E5039" s="120"/>
      <c r="F5039" s="120"/>
      <c r="G5039" s="120"/>
      <c r="H5039" s="120"/>
      <c r="I5039" s="121"/>
      <c r="J5039" s="121"/>
      <c r="K5039" s="117"/>
    </row>
    <row r="5040" ht="15.75" customHeight="1">
      <c r="A5040" s="122"/>
      <c r="B5040" s="133"/>
      <c r="C5040" s="120"/>
      <c r="D5040" s="120"/>
      <c r="E5040" s="120"/>
      <c r="F5040" s="120"/>
      <c r="G5040" s="120"/>
      <c r="H5040" s="120"/>
      <c r="I5040" s="121"/>
      <c r="J5040" s="121"/>
      <c r="K5040" s="117"/>
    </row>
    <row r="5041" ht="15.75" customHeight="1">
      <c r="A5041" s="122"/>
      <c r="B5041" s="133"/>
      <c r="C5041" s="120"/>
      <c r="D5041" s="120"/>
      <c r="E5041" s="120"/>
      <c r="F5041" s="120"/>
      <c r="G5041" s="120"/>
      <c r="H5041" s="120"/>
      <c r="I5041" s="121"/>
      <c r="J5041" s="121"/>
      <c r="K5041" s="117"/>
    </row>
    <row r="5042" ht="15.75" customHeight="1">
      <c r="A5042" s="122"/>
      <c r="B5042" s="133"/>
      <c r="C5042" s="120"/>
      <c r="D5042" s="120"/>
      <c r="E5042" s="120"/>
      <c r="F5042" s="120"/>
      <c r="G5042" s="120"/>
      <c r="H5042" s="120"/>
      <c r="I5042" s="121"/>
      <c r="J5042" s="121"/>
      <c r="K5042" s="117"/>
    </row>
    <row r="5043" ht="15.75" customHeight="1">
      <c r="A5043" s="122"/>
      <c r="B5043" s="133"/>
      <c r="C5043" s="120"/>
      <c r="D5043" s="120"/>
      <c r="E5043" s="120"/>
      <c r="F5043" s="120"/>
      <c r="G5043" s="120"/>
      <c r="H5043" s="120"/>
      <c r="I5043" s="121"/>
      <c r="J5043" s="121"/>
      <c r="K5043" s="117"/>
    </row>
    <row r="5044" ht="15.75" customHeight="1">
      <c r="A5044" s="122"/>
      <c r="B5044" s="133"/>
      <c r="C5044" s="120"/>
      <c r="D5044" s="120"/>
      <c r="E5044" s="120"/>
      <c r="F5044" s="120"/>
      <c r="G5044" s="120"/>
      <c r="H5044" s="120"/>
      <c r="I5044" s="121"/>
      <c r="J5044" s="121"/>
      <c r="K5044" s="117"/>
    </row>
    <row r="5045" ht="15.75" customHeight="1">
      <c r="A5045" s="122"/>
      <c r="B5045" s="133"/>
      <c r="C5045" s="120"/>
      <c r="D5045" s="120"/>
      <c r="E5045" s="120"/>
      <c r="F5045" s="120"/>
      <c r="G5045" s="120"/>
      <c r="H5045" s="120"/>
      <c r="I5045" s="121"/>
      <c r="J5045" s="121"/>
      <c r="K5045" s="117"/>
    </row>
    <row r="5046" ht="15.75" customHeight="1">
      <c r="A5046" s="122"/>
      <c r="B5046" s="133"/>
      <c r="C5046" s="120"/>
      <c r="D5046" s="120"/>
      <c r="E5046" s="120"/>
      <c r="F5046" s="120"/>
      <c r="G5046" s="120"/>
      <c r="H5046" s="120"/>
      <c r="I5046" s="121"/>
      <c r="J5046" s="121"/>
      <c r="K5046" s="117"/>
    </row>
    <row r="5047" ht="15.75" customHeight="1">
      <c r="A5047" s="122"/>
      <c r="B5047" s="133"/>
      <c r="C5047" s="120"/>
      <c r="D5047" s="120"/>
      <c r="E5047" s="120"/>
      <c r="F5047" s="120"/>
      <c r="G5047" s="120"/>
      <c r="H5047" s="120"/>
      <c r="I5047" s="121"/>
      <c r="J5047" s="121"/>
      <c r="K5047" s="117"/>
    </row>
    <row r="5048" ht="15.75" customHeight="1">
      <c r="A5048" s="122"/>
      <c r="B5048" s="133"/>
      <c r="C5048" s="120"/>
      <c r="D5048" s="120"/>
      <c r="E5048" s="120"/>
      <c r="F5048" s="120"/>
      <c r="G5048" s="120"/>
      <c r="H5048" s="120"/>
      <c r="I5048" s="121"/>
      <c r="J5048" s="121"/>
      <c r="K5048" s="117"/>
    </row>
    <row r="5049" ht="15.75" customHeight="1">
      <c r="A5049" s="122"/>
      <c r="B5049" s="133"/>
      <c r="C5049" s="120"/>
      <c r="D5049" s="120"/>
      <c r="E5049" s="120"/>
      <c r="F5049" s="120"/>
      <c r="G5049" s="120"/>
      <c r="H5049" s="120"/>
      <c r="I5049" s="121"/>
      <c r="J5049" s="121"/>
      <c r="K5049" s="117"/>
    </row>
    <row r="5050" ht="15.75" customHeight="1">
      <c r="A5050" s="122"/>
      <c r="B5050" s="133"/>
      <c r="C5050" s="120"/>
      <c r="D5050" s="120"/>
      <c r="E5050" s="120"/>
      <c r="F5050" s="120"/>
      <c r="G5050" s="120"/>
      <c r="H5050" s="120"/>
      <c r="I5050" s="121"/>
      <c r="J5050" s="121"/>
      <c r="K5050" s="117"/>
    </row>
    <row r="5051" ht="15.75" customHeight="1">
      <c r="A5051" s="122"/>
      <c r="B5051" s="133"/>
      <c r="C5051" s="120"/>
      <c r="D5051" s="120"/>
      <c r="E5051" s="120"/>
      <c r="F5051" s="120"/>
      <c r="G5051" s="120"/>
      <c r="H5051" s="120"/>
      <c r="I5051" s="121"/>
      <c r="J5051" s="121"/>
      <c r="K5051" s="117"/>
    </row>
    <row r="5052" ht="15.75" customHeight="1">
      <c r="A5052" s="122"/>
      <c r="B5052" s="133"/>
      <c r="C5052" s="120"/>
      <c r="D5052" s="120"/>
      <c r="E5052" s="120"/>
      <c r="F5052" s="120"/>
      <c r="G5052" s="120"/>
      <c r="H5052" s="120"/>
      <c r="I5052" s="121"/>
      <c r="J5052" s="121"/>
      <c r="K5052" s="117"/>
    </row>
    <row r="5053" ht="15.75" customHeight="1">
      <c r="A5053" s="122"/>
      <c r="B5053" s="133"/>
      <c r="C5053" s="120"/>
      <c r="D5053" s="120"/>
      <c r="E5053" s="120"/>
      <c r="F5053" s="120"/>
      <c r="G5053" s="120"/>
      <c r="H5053" s="120"/>
      <c r="I5053" s="121"/>
      <c r="J5053" s="121"/>
      <c r="K5053" s="117"/>
    </row>
    <row r="5054" ht="15.75" customHeight="1">
      <c r="A5054" s="122"/>
      <c r="B5054" s="133"/>
      <c r="C5054" s="120"/>
      <c r="D5054" s="120"/>
      <c r="E5054" s="120"/>
      <c r="F5054" s="120"/>
      <c r="G5054" s="120"/>
      <c r="H5054" s="120"/>
      <c r="I5054" s="121"/>
      <c r="J5054" s="121"/>
      <c r="K5054" s="117"/>
    </row>
    <row r="5055" ht="15.75" customHeight="1">
      <c r="A5055" s="122"/>
      <c r="B5055" s="133"/>
      <c r="C5055" s="120"/>
      <c r="D5055" s="120"/>
      <c r="E5055" s="120"/>
      <c r="F5055" s="120"/>
      <c r="G5055" s="120"/>
      <c r="H5055" s="120"/>
      <c r="I5055" s="121"/>
      <c r="J5055" s="121"/>
      <c r="K5055" s="117"/>
    </row>
    <row r="5056" ht="15.75" customHeight="1">
      <c r="A5056" s="122"/>
      <c r="B5056" s="133"/>
      <c r="C5056" s="120"/>
      <c r="D5056" s="120"/>
      <c r="E5056" s="120"/>
      <c r="F5056" s="120"/>
      <c r="G5056" s="120"/>
      <c r="H5056" s="120"/>
      <c r="I5056" s="121"/>
      <c r="J5056" s="121"/>
      <c r="K5056" s="117"/>
    </row>
    <row r="5057" ht="15.75" customHeight="1">
      <c r="A5057" s="122"/>
      <c r="B5057" s="133"/>
      <c r="C5057" s="120"/>
      <c r="D5057" s="120"/>
      <c r="E5057" s="120"/>
      <c r="F5057" s="120"/>
      <c r="G5057" s="120"/>
      <c r="H5057" s="120"/>
      <c r="I5057" s="121"/>
      <c r="J5057" s="121"/>
      <c r="K5057" s="117"/>
    </row>
    <row r="5058" ht="15.75" customHeight="1">
      <c r="A5058" s="122"/>
      <c r="B5058" s="133"/>
      <c r="C5058" s="120"/>
      <c r="D5058" s="120"/>
      <c r="E5058" s="120"/>
      <c r="F5058" s="120"/>
      <c r="G5058" s="120"/>
      <c r="H5058" s="120"/>
      <c r="I5058" s="121"/>
      <c r="J5058" s="121"/>
      <c r="K5058" s="117"/>
    </row>
    <row r="5059" ht="15.75" customHeight="1">
      <c r="A5059" s="122"/>
      <c r="B5059" s="133"/>
      <c r="C5059" s="120"/>
      <c r="D5059" s="120"/>
      <c r="E5059" s="120"/>
      <c r="F5059" s="120"/>
      <c r="G5059" s="120"/>
      <c r="H5059" s="120"/>
      <c r="I5059" s="121"/>
      <c r="J5059" s="121"/>
      <c r="K5059" s="117"/>
    </row>
    <row r="5060" ht="15.75" customHeight="1">
      <c r="A5060" s="122"/>
      <c r="B5060" s="133"/>
      <c r="C5060" s="120"/>
      <c r="D5060" s="120"/>
      <c r="E5060" s="120"/>
      <c r="F5060" s="120"/>
      <c r="G5060" s="120"/>
      <c r="H5060" s="120"/>
      <c r="I5060" s="121"/>
      <c r="J5060" s="121"/>
      <c r="K5060" s="117"/>
    </row>
    <row r="5061" ht="15.75" customHeight="1">
      <c r="A5061" s="122"/>
      <c r="B5061" s="133"/>
      <c r="C5061" s="120"/>
      <c r="D5061" s="120"/>
      <c r="E5061" s="120"/>
      <c r="F5061" s="120"/>
      <c r="G5061" s="120"/>
      <c r="H5061" s="120"/>
      <c r="I5061" s="121"/>
      <c r="J5061" s="121"/>
      <c r="K5061" s="117"/>
    </row>
    <row r="5062" ht="15.75" customHeight="1">
      <c r="A5062" s="122"/>
      <c r="B5062" s="133"/>
      <c r="C5062" s="120"/>
      <c r="D5062" s="120"/>
      <c r="E5062" s="120"/>
      <c r="F5062" s="120"/>
      <c r="G5062" s="120"/>
      <c r="H5062" s="120"/>
      <c r="I5062" s="121"/>
      <c r="J5062" s="121"/>
      <c r="K5062" s="117"/>
    </row>
    <row r="5063" ht="15.75" customHeight="1">
      <c r="A5063" s="122"/>
      <c r="B5063" s="133"/>
      <c r="C5063" s="120"/>
      <c r="D5063" s="120"/>
      <c r="E5063" s="120"/>
      <c r="F5063" s="120"/>
      <c r="G5063" s="120"/>
      <c r="H5063" s="120"/>
      <c r="I5063" s="121"/>
      <c r="J5063" s="121"/>
      <c r="K5063" s="117"/>
    </row>
    <row r="5064" ht="15.75" customHeight="1">
      <c r="A5064" s="122"/>
      <c r="B5064" s="133"/>
      <c r="C5064" s="120"/>
      <c r="D5064" s="120"/>
      <c r="E5064" s="120"/>
      <c r="F5064" s="120"/>
      <c r="G5064" s="120"/>
      <c r="H5064" s="120"/>
      <c r="I5064" s="121"/>
      <c r="J5064" s="121"/>
      <c r="K5064" s="117"/>
    </row>
    <row r="5065" ht="15.75" customHeight="1">
      <c r="A5065" s="122"/>
      <c r="B5065" s="133"/>
      <c r="C5065" s="120"/>
      <c r="D5065" s="120"/>
      <c r="E5065" s="120"/>
      <c r="F5065" s="120"/>
      <c r="G5065" s="120"/>
      <c r="H5065" s="120"/>
      <c r="I5065" s="121"/>
      <c r="J5065" s="121"/>
      <c r="K5065" s="117"/>
    </row>
    <row r="5066" ht="15.75" customHeight="1">
      <c r="A5066" s="122"/>
      <c r="B5066" s="133"/>
      <c r="C5066" s="120"/>
      <c r="D5066" s="120"/>
      <c r="E5066" s="120"/>
      <c r="F5066" s="120"/>
      <c r="G5066" s="120"/>
      <c r="H5066" s="120"/>
      <c r="I5066" s="121"/>
      <c r="J5066" s="121"/>
      <c r="K5066" s="117"/>
    </row>
    <row r="5067" ht="15.75" customHeight="1">
      <c r="A5067" s="122"/>
      <c r="B5067" s="133"/>
      <c r="C5067" s="120"/>
      <c r="D5067" s="120"/>
      <c r="E5067" s="120"/>
      <c r="F5067" s="120"/>
      <c r="G5067" s="120"/>
      <c r="H5067" s="120"/>
      <c r="I5067" s="121"/>
      <c r="J5067" s="121"/>
      <c r="K5067" s="117"/>
    </row>
    <row r="5068" ht="15.75" customHeight="1">
      <c r="A5068" s="122"/>
      <c r="B5068" s="133"/>
      <c r="C5068" s="120"/>
      <c r="D5068" s="120"/>
      <c r="E5068" s="120"/>
      <c r="F5068" s="120"/>
      <c r="G5068" s="120"/>
      <c r="H5068" s="120"/>
      <c r="I5068" s="121"/>
      <c r="J5068" s="121"/>
      <c r="K5068" s="117"/>
    </row>
    <row r="5069" ht="15.75" customHeight="1">
      <c r="A5069" s="122"/>
      <c r="B5069" s="133"/>
      <c r="C5069" s="120"/>
      <c r="D5069" s="120"/>
      <c r="E5069" s="120"/>
      <c r="F5069" s="120"/>
      <c r="G5069" s="120"/>
      <c r="H5069" s="120"/>
      <c r="I5069" s="121"/>
      <c r="J5069" s="121"/>
      <c r="K5069" s="117"/>
    </row>
    <row r="5070" ht="15.75" customHeight="1">
      <c r="A5070" s="122"/>
      <c r="B5070" s="133"/>
      <c r="C5070" s="120"/>
      <c r="D5070" s="120"/>
      <c r="E5070" s="120"/>
      <c r="F5070" s="120"/>
      <c r="G5070" s="120"/>
      <c r="H5070" s="120"/>
      <c r="I5070" s="121"/>
      <c r="J5070" s="121"/>
      <c r="K5070" s="117"/>
    </row>
    <row r="5071" ht="15.75" customHeight="1">
      <c r="A5071" s="122"/>
      <c r="B5071" s="133"/>
      <c r="C5071" s="120"/>
      <c r="D5071" s="120"/>
      <c r="E5071" s="120"/>
      <c r="F5071" s="120"/>
      <c r="G5071" s="120"/>
      <c r="H5071" s="120"/>
      <c r="I5071" s="121"/>
      <c r="J5071" s="121"/>
      <c r="K5071" s="117"/>
    </row>
    <row r="5072" ht="15.75" customHeight="1">
      <c r="A5072" s="122"/>
      <c r="B5072" s="133"/>
      <c r="C5072" s="120"/>
      <c r="D5072" s="120"/>
      <c r="E5072" s="120"/>
      <c r="F5072" s="120"/>
      <c r="G5072" s="120"/>
      <c r="H5072" s="120"/>
      <c r="I5072" s="121"/>
      <c r="J5072" s="121"/>
      <c r="K5072" s="117"/>
    </row>
    <row r="5073" ht="15.75" customHeight="1">
      <c r="A5073" s="122"/>
      <c r="B5073" s="133"/>
      <c r="C5073" s="120"/>
      <c r="D5073" s="120"/>
      <c r="E5073" s="120"/>
      <c r="F5073" s="120"/>
      <c r="G5073" s="120"/>
      <c r="H5073" s="120"/>
      <c r="I5073" s="121"/>
      <c r="J5073" s="121"/>
      <c r="K5073" s="117"/>
    </row>
    <row r="5074" ht="15.75" customHeight="1">
      <c r="A5074" s="122"/>
      <c r="B5074" s="133"/>
      <c r="C5074" s="120"/>
      <c r="D5074" s="120"/>
      <c r="E5074" s="120"/>
      <c r="F5074" s="120"/>
      <c r="G5074" s="120"/>
      <c r="H5074" s="120"/>
      <c r="I5074" s="121"/>
      <c r="J5074" s="121"/>
      <c r="K5074" s="117"/>
    </row>
    <row r="5075" ht="15.75" customHeight="1">
      <c r="A5075" s="122"/>
      <c r="B5075" s="133"/>
      <c r="C5075" s="120"/>
      <c r="D5075" s="120"/>
      <c r="E5075" s="120"/>
      <c r="F5075" s="120"/>
      <c r="G5075" s="120"/>
      <c r="H5075" s="120"/>
      <c r="I5075" s="121"/>
      <c r="J5075" s="121"/>
      <c r="K5075" s="117"/>
    </row>
    <row r="5076" ht="15.75" customHeight="1">
      <c r="A5076" s="122"/>
      <c r="B5076" s="133"/>
      <c r="C5076" s="120"/>
      <c r="D5076" s="120"/>
      <c r="E5076" s="120"/>
      <c r="F5076" s="120"/>
      <c r="G5076" s="120"/>
      <c r="H5076" s="120"/>
      <c r="I5076" s="121"/>
      <c r="J5076" s="121"/>
      <c r="K5076" s="117"/>
    </row>
    <row r="5077" ht="15.75" customHeight="1">
      <c r="A5077" s="122"/>
      <c r="B5077" s="133"/>
      <c r="C5077" s="120"/>
      <c r="D5077" s="120"/>
      <c r="E5077" s="120"/>
      <c r="F5077" s="120"/>
      <c r="G5077" s="120"/>
      <c r="H5077" s="120"/>
      <c r="I5077" s="121"/>
      <c r="J5077" s="121"/>
      <c r="K5077" s="117"/>
    </row>
    <row r="5078" ht="15.75" customHeight="1">
      <c r="A5078" s="122"/>
      <c r="B5078" s="133"/>
      <c r="C5078" s="120"/>
      <c r="D5078" s="120"/>
      <c r="E5078" s="120"/>
      <c r="F5078" s="120"/>
      <c r="G5078" s="120"/>
      <c r="H5078" s="120"/>
      <c r="I5078" s="121"/>
      <c r="J5078" s="121"/>
      <c r="K5078" s="117"/>
    </row>
    <row r="5079" ht="15.75" customHeight="1">
      <c r="A5079" s="122"/>
      <c r="B5079" s="133"/>
      <c r="C5079" s="120"/>
      <c r="D5079" s="120"/>
      <c r="E5079" s="120"/>
      <c r="F5079" s="120"/>
      <c r="G5079" s="120"/>
      <c r="H5079" s="120"/>
      <c r="I5079" s="121"/>
      <c r="J5079" s="121"/>
      <c r="K5079" s="117"/>
    </row>
    <row r="5080" ht="15.75" customHeight="1">
      <c r="A5080" s="122"/>
      <c r="B5080" s="133"/>
      <c r="C5080" s="120"/>
      <c r="D5080" s="120"/>
      <c r="E5080" s="120"/>
      <c r="F5080" s="120"/>
      <c r="G5080" s="120"/>
      <c r="H5080" s="120"/>
      <c r="I5080" s="121"/>
      <c r="J5080" s="121"/>
      <c r="K5080" s="117"/>
    </row>
    <row r="5081" ht="15.75" customHeight="1">
      <c r="A5081" s="122"/>
      <c r="B5081" s="133"/>
      <c r="C5081" s="120"/>
      <c r="D5081" s="120"/>
      <c r="E5081" s="120"/>
      <c r="F5081" s="120"/>
      <c r="G5081" s="120"/>
      <c r="H5081" s="120"/>
      <c r="I5081" s="121"/>
      <c r="J5081" s="121"/>
      <c r="K5081" s="117"/>
    </row>
    <row r="5082" ht="15.75" customHeight="1">
      <c r="A5082" s="122"/>
      <c r="B5082" s="133"/>
      <c r="C5082" s="120"/>
      <c r="D5082" s="120"/>
      <c r="E5082" s="120"/>
      <c r="F5082" s="120"/>
      <c r="G5082" s="120"/>
      <c r="H5082" s="120"/>
      <c r="I5082" s="121"/>
      <c r="J5082" s="121"/>
      <c r="K5082" s="117"/>
    </row>
    <row r="5083" ht="15.75" customHeight="1">
      <c r="A5083" s="122"/>
      <c r="B5083" s="133"/>
      <c r="C5083" s="120"/>
      <c r="D5083" s="120"/>
      <c r="E5083" s="120"/>
      <c r="F5083" s="120"/>
      <c r="G5083" s="120"/>
      <c r="H5083" s="120"/>
      <c r="I5083" s="121"/>
      <c r="J5083" s="121"/>
      <c r="K5083" s="117"/>
    </row>
    <row r="5084" ht="15.75" customHeight="1">
      <c r="A5084" s="122"/>
      <c r="B5084" s="133"/>
      <c r="C5084" s="120"/>
      <c r="D5084" s="120"/>
      <c r="E5084" s="120"/>
      <c r="F5084" s="120"/>
      <c r="G5084" s="120"/>
      <c r="H5084" s="120"/>
      <c r="I5084" s="121"/>
      <c r="J5084" s="121"/>
      <c r="K5084" s="117"/>
    </row>
    <row r="5085" ht="15.75" customHeight="1">
      <c r="A5085" s="122"/>
      <c r="B5085" s="133"/>
      <c r="C5085" s="120"/>
      <c r="D5085" s="120"/>
      <c r="E5085" s="120"/>
      <c r="F5085" s="120"/>
      <c r="G5085" s="120"/>
      <c r="H5085" s="120"/>
      <c r="I5085" s="121"/>
      <c r="J5085" s="121"/>
      <c r="K5085" s="117"/>
    </row>
    <row r="5086" ht="15.75" customHeight="1">
      <c r="A5086" s="122"/>
      <c r="B5086" s="133"/>
      <c r="C5086" s="120"/>
      <c r="D5086" s="120"/>
      <c r="E5086" s="120"/>
      <c r="F5086" s="120"/>
      <c r="G5086" s="120"/>
      <c r="H5086" s="120"/>
      <c r="I5086" s="121"/>
      <c r="J5086" s="121"/>
      <c r="K5086" s="117"/>
    </row>
    <row r="5087" ht="15.75" customHeight="1">
      <c r="A5087" s="122"/>
      <c r="B5087" s="133"/>
      <c r="C5087" s="120"/>
      <c r="D5087" s="120"/>
      <c r="E5087" s="120"/>
      <c r="F5087" s="120"/>
      <c r="G5087" s="120"/>
      <c r="H5087" s="120"/>
      <c r="I5087" s="121"/>
      <c r="J5087" s="121"/>
      <c r="K5087" s="117"/>
    </row>
    <row r="5088" ht="15.75" customHeight="1">
      <c r="A5088" s="122"/>
      <c r="B5088" s="133"/>
      <c r="C5088" s="120"/>
      <c r="D5088" s="120"/>
      <c r="E5088" s="120"/>
      <c r="F5088" s="120"/>
      <c r="G5088" s="120"/>
      <c r="H5088" s="120"/>
      <c r="I5088" s="121"/>
      <c r="J5088" s="121"/>
      <c r="K5088" s="117"/>
    </row>
    <row r="5089" ht="15.75" customHeight="1">
      <c r="A5089" s="122"/>
      <c r="B5089" s="133"/>
      <c r="C5089" s="120"/>
      <c r="D5089" s="120"/>
      <c r="E5089" s="120"/>
      <c r="F5089" s="120"/>
      <c r="G5089" s="120"/>
      <c r="H5089" s="120"/>
      <c r="I5089" s="121"/>
      <c r="J5089" s="121"/>
      <c r="K5089" s="117"/>
    </row>
    <row r="5090" ht="15.75" customHeight="1">
      <c r="A5090" s="122"/>
      <c r="B5090" s="133"/>
      <c r="C5090" s="120"/>
      <c r="D5090" s="120"/>
      <c r="E5090" s="120"/>
      <c r="F5090" s="120"/>
      <c r="G5090" s="120"/>
      <c r="H5090" s="120"/>
      <c r="I5090" s="121"/>
      <c r="J5090" s="121"/>
      <c r="K5090" s="117"/>
    </row>
    <row r="5091" ht="15.75" customHeight="1">
      <c r="A5091" s="122"/>
      <c r="B5091" s="133"/>
      <c r="C5091" s="120"/>
      <c r="D5091" s="120"/>
      <c r="E5091" s="120"/>
      <c r="F5091" s="120"/>
      <c r="G5091" s="120"/>
      <c r="H5091" s="120"/>
      <c r="I5091" s="121"/>
      <c r="J5091" s="121"/>
      <c r="K5091" s="117"/>
    </row>
    <row r="5092" ht="15.75" customHeight="1">
      <c r="A5092" s="122"/>
      <c r="B5092" s="133"/>
      <c r="C5092" s="120"/>
      <c r="D5092" s="120"/>
      <c r="E5092" s="120"/>
      <c r="F5092" s="120"/>
      <c r="G5092" s="120"/>
      <c r="H5092" s="120"/>
      <c r="I5092" s="121"/>
      <c r="J5092" s="121"/>
      <c r="K5092" s="117"/>
    </row>
    <row r="5093" ht="15.75" customHeight="1">
      <c r="A5093" s="122"/>
      <c r="B5093" s="133"/>
      <c r="C5093" s="120"/>
      <c r="D5093" s="120"/>
      <c r="E5093" s="120"/>
      <c r="F5093" s="120"/>
      <c r="G5093" s="120"/>
      <c r="H5093" s="120"/>
      <c r="I5093" s="121"/>
      <c r="J5093" s="121"/>
      <c r="K5093" s="117"/>
    </row>
    <row r="5094" ht="15.75" customHeight="1">
      <c r="A5094" s="122"/>
      <c r="B5094" s="133"/>
      <c r="C5094" s="120"/>
      <c r="D5094" s="120"/>
      <c r="E5094" s="120"/>
      <c r="F5094" s="120"/>
      <c r="G5094" s="120"/>
      <c r="H5094" s="120"/>
      <c r="I5094" s="121"/>
      <c r="J5094" s="121"/>
      <c r="K5094" s="117"/>
    </row>
    <row r="5095" ht="15.75" customHeight="1">
      <c r="A5095" s="122"/>
      <c r="B5095" s="133"/>
      <c r="C5095" s="120"/>
      <c r="D5095" s="120"/>
      <c r="E5095" s="120"/>
      <c r="F5095" s="120"/>
      <c r="G5095" s="120"/>
      <c r="H5095" s="120"/>
      <c r="I5095" s="121"/>
      <c r="J5095" s="121"/>
      <c r="K5095" s="117"/>
    </row>
    <row r="5096" ht="15.75" customHeight="1">
      <c r="A5096" s="122"/>
      <c r="B5096" s="133"/>
      <c r="C5096" s="120"/>
      <c r="D5096" s="120"/>
      <c r="E5096" s="120"/>
      <c r="F5096" s="120"/>
      <c r="G5096" s="120"/>
      <c r="H5096" s="120"/>
      <c r="I5096" s="121"/>
      <c r="J5096" s="121"/>
      <c r="K5096" s="117"/>
    </row>
    <row r="5097" ht="15.75" customHeight="1">
      <c r="A5097" s="122"/>
      <c r="B5097" s="133"/>
      <c r="C5097" s="120"/>
      <c r="D5097" s="120"/>
      <c r="E5097" s="120"/>
      <c r="F5097" s="120"/>
      <c r="G5097" s="120"/>
      <c r="H5097" s="120"/>
      <c r="I5097" s="121"/>
      <c r="J5097" s="121"/>
      <c r="K5097" s="117"/>
    </row>
    <row r="5098" ht="15.75" customHeight="1">
      <c r="A5098" s="122"/>
      <c r="B5098" s="133"/>
      <c r="C5098" s="120"/>
      <c r="D5098" s="120"/>
      <c r="E5098" s="120"/>
      <c r="F5098" s="120"/>
      <c r="G5098" s="120"/>
      <c r="H5098" s="120"/>
      <c r="I5098" s="121"/>
      <c r="J5098" s="121"/>
      <c r="K5098" s="117"/>
    </row>
    <row r="5099" ht="15.75" customHeight="1">
      <c r="A5099" s="122"/>
      <c r="B5099" s="133"/>
      <c r="C5099" s="120"/>
      <c r="D5099" s="120"/>
      <c r="E5099" s="120"/>
      <c r="F5099" s="120"/>
      <c r="G5099" s="120"/>
      <c r="H5099" s="120"/>
      <c r="I5099" s="121"/>
      <c r="J5099" s="121"/>
      <c r="K5099" s="117"/>
    </row>
    <row r="5100" ht="15.75" customHeight="1">
      <c r="A5100" s="122"/>
      <c r="B5100" s="133"/>
      <c r="C5100" s="120"/>
      <c r="D5100" s="120"/>
      <c r="E5100" s="120"/>
      <c r="F5100" s="120"/>
      <c r="G5100" s="120"/>
      <c r="H5100" s="120"/>
      <c r="I5100" s="121"/>
      <c r="J5100" s="121"/>
      <c r="K5100" s="117"/>
    </row>
    <row r="5101" ht="15.75" customHeight="1">
      <c r="A5101" s="122"/>
      <c r="B5101" s="133"/>
      <c r="C5101" s="120"/>
      <c r="D5101" s="120"/>
      <c r="E5101" s="120"/>
      <c r="F5101" s="120"/>
      <c r="G5101" s="120"/>
      <c r="H5101" s="120"/>
      <c r="I5101" s="121"/>
      <c r="J5101" s="121"/>
      <c r="K5101" s="117"/>
    </row>
    <row r="5102" ht="15.75" customHeight="1">
      <c r="A5102" s="122"/>
      <c r="B5102" s="133"/>
      <c r="C5102" s="120"/>
      <c r="D5102" s="120"/>
      <c r="E5102" s="120"/>
      <c r="F5102" s="120"/>
      <c r="G5102" s="120"/>
      <c r="H5102" s="120"/>
      <c r="I5102" s="121"/>
      <c r="J5102" s="121"/>
      <c r="K5102" s="117"/>
    </row>
    <row r="5103" ht="15.75" customHeight="1">
      <c r="A5103" s="122"/>
      <c r="B5103" s="133"/>
      <c r="C5103" s="120"/>
      <c r="D5103" s="120"/>
      <c r="E5103" s="120"/>
      <c r="F5103" s="120"/>
      <c r="G5103" s="120"/>
      <c r="H5103" s="120"/>
      <c r="I5103" s="121"/>
      <c r="J5103" s="121"/>
      <c r="K5103" s="117"/>
    </row>
    <row r="5104" ht="15.75" customHeight="1">
      <c r="A5104" s="122"/>
      <c r="B5104" s="133"/>
      <c r="C5104" s="120"/>
      <c r="D5104" s="120"/>
      <c r="E5104" s="120"/>
      <c r="F5104" s="120"/>
      <c r="G5104" s="120"/>
      <c r="H5104" s="120"/>
      <c r="I5104" s="121"/>
      <c r="J5104" s="121"/>
      <c r="K5104" s="117"/>
    </row>
    <row r="5105" ht="15.75" customHeight="1">
      <c r="A5105" s="122"/>
      <c r="B5105" s="133"/>
      <c r="C5105" s="120"/>
      <c r="D5105" s="120"/>
      <c r="E5105" s="120"/>
      <c r="F5105" s="120"/>
      <c r="G5105" s="120"/>
      <c r="H5105" s="120"/>
      <c r="I5105" s="121"/>
      <c r="J5105" s="121"/>
      <c r="K5105" s="117"/>
    </row>
    <row r="5106" ht="15.75" customHeight="1">
      <c r="A5106" s="122"/>
      <c r="B5106" s="133"/>
      <c r="C5106" s="120"/>
      <c r="D5106" s="120"/>
      <c r="E5106" s="120"/>
      <c r="F5106" s="120"/>
      <c r="G5106" s="120"/>
      <c r="H5106" s="120"/>
      <c r="I5106" s="121"/>
      <c r="J5106" s="121"/>
      <c r="K5106" s="117"/>
    </row>
    <row r="5107" ht="15.75" customHeight="1">
      <c r="A5107" s="122"/>
      <c r="B5107" s="133"/>
      <c r="C5107" s="120"/>
      <c r="D5107" s="120"/>
      <c r="E5107" s="120"/>
      <c r="F5107" s="120"/>
      <c r="G5107" s="120"/>
      <c r="H5107" s="120"/>
      <c r="I5107" s="121"/>
      <c r="J5107" s="121"/>
      <c r="K5107" s="117"/>
    </row>
    <row r="5108" ht="15.75" customHeight="1">
      <c r="A5108" s="122"/>
      <c r="B5108" s="133"/>
      <c r="C5108" s="120"/>
      <c r="D5108" s="120"/>
      <c r="E5108" s="120"/>
      <c r="F5108" s="120"/>
      <c r="G5108" s="120"/>
      <c r="H5108" s="120"/>
      <c r="I5108" s="121"/>
      <c r="J5108" s="121"/>
      <c r="K5108" s="117"/>
    </row>
    <row r="5109" ht="15.75" customHeight="1">
      <c r="A5109" s="122"/>
      <c r="B5109" s="133"/>
      <c r="C5109" s="120"/>
      <c r="D5109" s="120"/>
      <c r="E5109" s="120"/>
      <c r="F5109" s="120"/>
      <c r="G5109" s="120"/>
      <c r="H5109" s="120"/>
      <c r="I5109" s="121"/>
      <c r="J5109" s="121"/>
      <c r="K5109" s="117"/>
    </row>
    <row r="5110" ht="15.75" customHeight="1">
      <c r="A5110" s="122"/>
      <c r="B5110" s="133"/>
      <c r="C5110" s="120"/>
      <c r="D5110" s="120"/>
      <c r="E5110" s="120"/>
      <c r="F5110" s="120"/>
      <c r="G5110" s="120"/>
      <c r="H5110" s="120"/>
      <c r="I5110" s="121"/>
      <c r="J5110" s="121"/>
      <c r="K5110" s="117"/>
    </row>
    <row r="5111" ht="15.75" customHeight="1">
      <c r="A5111" s="122"/>
      <c r="B5111" s="133"/>
      <c r="C5111" s="120"/>
      <c r="D5111" s="120"/>
      <c r="E5111" s="120"/>
      <c r="F5111" s="120"/>
      <c r="G5111" s="120"/>
      <c r="H5111" s="120"/>
      <c r="I5111" s="121"/>
      <c r="J5111" s="121"/>
      <c r="K5111" s="117"/>
    </row>
    <row r="5112" ht="15.75" customHeight="1">
      <c r="A5112" s="122"/>
      <c r="B5112" s="133"/>
      <c r="C5112" s="120"/>
      <c r="D5112" s="120"/>
      <c r="E5112" s="120"/>
      <c r="F5112" s="120"/>
      <c r="G5112" s="120"/>
      <c r="H5112" s="120"/>
      <c r="I5112" s="121"/>
      <c r="J5112" s="121"/>
      <c r="K5112" s="117"/>
    </row>
    <row r="5113" ht="15.75" customHeight="1">
      <c r="A5113" s="122"/>
      <c r="B5113" s="133"/>
      <c r="C5113" s="120"/>
      <c r="D5113" s="120"/>
      <c r="E5113" s="120"/>
      <c r="F5113" s="120"/>
      <c r="G5113" s="120"/>
      <c r="H5113" s="120"/>
      <c r="I5113" s="121"/>
      <c r="J5113" s="121"/>
      <c r="K5113" s="117"/>
    </row>
    <row r="5114" ht="15.75" customHeight="1">
      <c r="A5114" s="122"/>
      <c r="B5114" s="133"/>
      <c r="C5114" s="120"/>
      <c r="D5114" s="120"/>
      <c r="E5114" s="120"/>
      <c r="F5114" s="120"/>
      <c r="G5114" s="120"/>
      <c r="H5114" s="120"/>
      <c r="I5114" s="121"/>
      <c r="J5114" s="121"/>
      <c r="K5114" s="117"/>
    </row>
    <row r="5115" ht="15.75" customHeight="1">
      <c r="A5115" s="122"/>
      <c r="B5115" s="133"/>
      <c r="C5115" s="120"/>
      <c r="D5115" s="120"/>
      <c r="E5115" s="120"/>
      <c r="F5115" s="120"/>
      <c r="G5115" s="120"/>
      <c r="H5115" s="120"/>
      <c r="I5115" s="121"/>
      <c r="J5115" s="121"/>
      <c r="K5115" s="117"/>
    </row>
    <row r="5116" ht="15.75" customHeight="1">
      <c r="A5116" s="122"/>
      <c r="B5116" s="133"/>
      <c r="C5116" s="120"/>
      <c r="D5116" s="120"/>
      <c r="E5116" s="120"/>
      <c r="F5116" s="120"/>
      <c r="G5116" s="120"/>
      <c r="H5116" s="120"/>
      <c r="I5116" s="121"/>
      <c r="J5116" s="121"/>
      <c r="K5116" s="117"/>
    </row>
    <row r="5117" ht="15.75" customHeight="1">
      <c r="A5117" s="122"/>
      <c r="B5117" s="133"/>
      <c r="C5117" s="120"/>
      <c r="D5117" s="120"/>
      <c r="E5117" s="120"/>
      <c r="F5117" s="120"/>
      <c r="G5117" s="120"/>
      <c r="H5117" s="120"/>
      <c r="I5117" s="121"/>
      <c r="J5117" s="121"/>
      <c r="K5117" s="117"/>
    </row>
    <row r="5118" ht="15.75" customHeight="1">
      <c r="A5118" s="122"/>
      <c r="B5118" s="133"/>
      <c r="C5118" s="120"/>
      <c r="D5118" s="120"/>
      <c r="E5118" s="120"/>
      <c r="F5118" s="120"/>
      <c r="G5118" s="120"/>
      <c r="H5118" s="120"/>
      <c r="I5118" s="121"/>
      <c r="J5118" s="121"/>
      <c r="K5118" s="117"/>
    </row>
    <row r="5119" ht="15.75" customHeight="1">
      <c r="A5119" s="122"/>
      <c r="B5119" s="133"/>
      <c r="C5119" s="120"/>
      <c r="D5119" s="120"/>
      <c r="E5119" s="120"/>
      <c r="F5119" s="120"/>
      <c r="G5119" s="120"/>
      <c r="H5119" s="120"/>
      <c r="I5119" s="121"/>
      <c r="J5119" s="121"/>
      <c r="K5119" s="117"/>
    </row>
    <row r="5120" ht="15.75" customHeight="1">
      <c r="A5120" s="122"/>
      <c r="B5120" s="133"/>
      <c r="C5120" s="120"/>
      <c r="D5120" s="120"/>
      <c r="E5120" s="120"/>
      <c r="F5120" s="120"/>
      <c r="G5120" s="120"/>
      <c r="H5120" s="120"/>
      <c r="I5120" s="121"/>
      <c r="J5120" s="121"/>
      <c r="K5120" s="117"/>
    </row>
    <row r="5121" ht="15.75" customHeight="1">
      <c r="A5121" s="122"/>
      <c r="B5121" s="133"/>
      <c r="C5121" s="120"/>
      <c r="D5121" s="120"/>
      <c r="E5121" s="120"/>
      <c r="F5121" s="120"/>
      <c r="G5121" s="120"/>
      <c r="H5121" s="120"/>
      <c r="I5121" s="121"/>
      <c r="J5121" s="121"/>
      <c r="K5121" s="117"/>
    </row>
    <row r="5122" ht="15.75" customHeight="1">
      <c r="A5122" s="122"/>
      <c r="B5122" s="133"/>
      <c r="C5122" s="120"/>
      <c r="D5122" s="120"/>
      <c r="E5122" s="120"/>
      <c r="F5122" s="120"/>
      <c r="G5122" s="120"/>
      <c r="H5122" s="120"/>
      <c r="I5122" s="121"/>
      <c r="J5122" s="121"/>
      <c r="K5122" s="117"/>
    </row>
    <row r="5123" ht="15.75" customHeight="1">
      <c r="A5123" s="122"/>
      <c r="B5123" s="133"/>
      <c r="C5123" s="120"/>
      <c r="D5123" s="120"/>
      <c r="E5123" s="120"/>
      <c r="F5123" s="120"/>
      <c r="G5123" s="120"/>
      <c r="H5123" s="120"/>
      <c r="I5123" s="121"/>
      <c r="J5123" s="121"/>
      <c r="K5123" s="117"/>
    </row>
    <row r="5124" ht="15.75" customHeight="1">
      <c r="A5124" s="122"/>
      <c r="B5124" s="133"/>
      <c r="C5124" s="120"/>
      <c r="D5124" s="120"/>
      <c r="E5124" s="120"/>
      <c r="F5124" s="120"/>
      <c r="G5124" s="120"/>
      <c r="H5124" s="120"/>
      <c r="I5124" s="121"/>
      <c r="J5124" s="121"/>
      <c r="K5124" s="117"/>
    </row>
    <row r="5125" ht="15.75" customHeight="1">
      <c r="A5125" s="122"/>
      <c r="B5125" s="133"/>
      <c r="C5125" s="120"/>
      <c r="D5125" s="120"/>
      <c r="E5125" s="120"/>
      <c r="F5125" s="120"/>
      <c r="G5125" s="120"/>
      <c r="H5125" s="120"/>
      <c r="I5125" s="121"/>
      <c r="J5125" s="121"/>
      <c r="K5125" s="117"/>
    </row>
    <row r="5126" ht="15.75" customHeight="1">
      <c r="A5126" s="122"/>
      <c r="B5126" s="133"/>
      <c r="C5126" s="120"/>
      <c r="D5126" s="120"/>
      <c r="E5126" s="120"/>
      <c r="F5126" s="120"/>
      <c r="G5126" s="120"/>
      <c r="H5126" s="120"/>
      <c r="I5126" s="121"/>
      <c r="J5126" s="121"/>
      <c r="K5126" s="117"/>
    </row>
    <row r="5127" ht="15.75" customHeight="1">
      <c r="A5127" s="122"/>
      <c r="B5127" s="133"/>
      <c r="C5127" s="120"/>
      <c r="D5127" s="120"/>
      <c r="E5127" s="120"/>
      <c r="F5127" s="120"/>
      <c r="G5127" s="120"/>
      <c r="H5127" s="120"/>
      <c r="I5127" s="121"/>
      <c r="J5127" s="121"/>
      <c r="K5127" s="117"/>
    </row>
    <row r="5128" ht="15.75" customHeight="1">
      <c r="A5128" s="122"/>
      <c r="B5128" s="133"/>
      <c r="C5128" s="120"/>
      <c r="D5128" s="120"/>
      <c r="E5128" s="120"/>
      <c r="F5128" s="120"/>
      <c r="G5128" s="120"/>
      <c r="H5128" s="120"/>
      <c r="I5128" s="121"/>
      <c r="J5128" s="121"/>
      <c r="K5128" s="117"/>
    </row>
    <row r="5129" ht="15.75" customHeight="1">
      <c r="A5129" s="122"/>
      <c r="B5129" s="133"/>
      <c r="C5129" s="120"/>
      <c r="D5129" s="120"/>
      <c r="E5129" s="120"/>
      <c r="F5129" s="120"/>
      <c r="G5129" s="120"/>
      <c r="H5129" s="120"/>
      <c r="I5129" s="121"/>
      <c r="J5129" s="121"/>
      <c r="K5129" s="117"/>
    </row>
    <row r="5130" ht="15.75" customHeight="1">
      <c r="A5130" s="122"/>
      <c r="B5130" s="133"/>
      <c r="C5130" s="120"/>
      <c r="D5130" s="120"/>
      <c r="E5130" s="120"/>
      <c r="F5130" s="120"/>
      <c r="G5130" s="120"/>
      <c r="H5130" s="120"/>
      <c r="I5130" s="121"/>
      <c r="J5130" s="121"/>
      <c r="K5130" s="117"/>
    </row>
    <row r="5131" ht="15.75" customHeight="1">
      <c r="A5131" s="122"/>
      <c r="B5131" s="133"/>
      <c r="C5131" s="120"/>
      <c r="D5131" s="120"/>
      <c r="E5131" s="120"/>
      <c r="F5131" s="120"/>
      <c r="G5131" s="120"/>
      <c r="H5131" s="120"/>
      <c r="I5131" s="121"/>
      <c r="J5131" s="121"/>
      <c r="K5131" s="117"/>
    </row>
    <row r="5132" ht="15.75" customHeight="1">
      <c r="A5132" s="122"/>
      <c r="B5132" s="133"/>
      <c r="C5132" s="120"/>
      <c r="D5132" s="120"/>
      <c r="E5132" s="120"/>
      <c r="F5132" s="120"/>
      <c r="G5132" s="120"/>
      <c r="H5132" s="120"/>
      <c r="I5132" s="121"/>
      <c r="J5132" s="121"/>
      <c r="K5132" s="117"/>
    </row>
    <row r="5133" ht="15.75" customHeight="1">
      <c r="A5133" s="122"/>
      <c r="B5133" s="133"/>
      <c r="C5133" s="120"/>
      <c r="D5133" s="120"/>
      <c r="E5133" s="120"/>
      <c r="F5133" s="120"/>
      <c r="G5133" s="120"/>
      <c r="H5133" s="120"/>
      <c r="I5133" s="121"/>
      <c r="J5133" s="121"/>
      <c r="K5133" s="117"/>
    </row>
    <row r="5134" ht="15.75" customHeight="1">
      <c r="A5134" s="122"/>
      <c r="B5134" s="133"/>
      <c r="C5134" s="120"/>
      <c r="D5134" s="120"/>
      <c r="E5134" s="120"/>
      <c r="F5134" s="120"/>
      <c r="G5134" s="120"/>
      <c r="H5134" s="120"/>
      <c r="I5134" s="121"/>
      <c r="J5134" s="121"/>
      <c r="K5134" s="117"/>
    </row>
    <row r="5135" ht="15.75" customHeight="1">
      <c r="A5135" s="122"/>
      <c r="B5135" s="133"/>
      <c r="C5135" s="120"/>
      <c r="D5135" s="120"/>
      <c r="E5135" s="120"/>
      <c r="F5135" s="120"/>
      <c r="G5135" s="120"/>
      <c r="H5135" s="120"/>
      <c r="I5135" s="121"/>
      <c r="J5135" s="121"/>
      <c r="K5135" s="117"/>
    </row>
    <row r="5136" ht="15.75" customHeight="1">
      <c r="A5136" s="122"/>
      <c r="B5136" s="133"/>
      <c r="C5136" s="120"/>
      <c r="D5136" s="120"/>
      <c r="E5136" s="120"/>
      <c r="F5136" s="120"/>
      <c r="G5136" s="120"/>
      <c r="H5136" s="120"/>
      <c r="I5136" s="121"/>
      <c r="J5136" s="121"/>
      <c r="K5136" s="117"/>
    </row>
    <row r="5137" ht="15.75" customHeight="1">
      <c r="A5137" s="122"/>
      <c r="B5137" s="133"/>
      <c r="C5137" s="120"/>
      <c r="D5137" s="120"/>
      <c r="E5137" s="120"/>
      <c r="F5137" s="120"/>
      <c r="G5137" s="120"/>
      <c r="H5137" s="120"/>
      <c r="I5137" s="121"/>
      <c r="J5137" s="121"/>
      <c r="K5137" s="117"/>
    </row>
    <row r="5138" ht="15.75" customHeight="1">
      <c r="A5138" s="122"/>
      <c r="B5138" s="133"/>
      <c r="C5138" s="120"/>
      <c r="D5138" s="120"/>
      <c r="E5138" s="120"/>
      <c r="F5138" s="120"/>
      <c r="G5138" s="120"/>
      <c r="H5138" s="120"/>
      <c r="I5138" s="121"/>
      <c r="J5138" s="121"/>
      <c r="K5138" s="117"/>
    </row>
    <row r="5139" ht="15.75" customHeight="1">
      <c r="A5139" s="122"/>
      <c r="B5139" s="133"/>
      <c r="C5139" s="120"/>
      <c r="D5139" s="120"/>
      <c r="E5139" s="120"/>
      <c r="F5139" s="120"/>
      <c r="G5139" s="120"/>
      <c r="H5139" s="120"/>
      <c r="I5139" s="121"/>
      <c r="J5139" s="121"/>
      <c r="K5139" s="117"/>
    </row>
    <row r="5140" ht="15.75" customHeight="1">
      <c r="A5140" s="122"/>
      <c r="B5140" s="133"/>
      <c r="C5140" s="120"/>
      <c r="D5140" s="120"/>
      <c r="E5140" s="120"/>
      <c r="F5140" s="120"/>
      <c r="G5140" s="120"/>
      <c r="H5140" s="120"/>
      <c r="I5140" s="121"/>
      <c r="J5140" s="121"/>
      <c r="K5140" s="117"/>
    </row>
    <row r="5141" ht="15.75" customHeight="1">
      <c r="A5141" s="122"/>
      <c r="B5141" s="133"/>
      <c r="C5141" s="120"/>
      <c r="D5141" s="120"/>
      <c r="E5141" s="120"/>
      <c r="F5141" s="120"/>
      <c r="G5141" s="120"/>
      <c r="H5141" s="120"/>
      <c r="I5141" s="121"/>
      <c r="J5141" s="121"/>
      <c r="K5141" s="117"/>
    </row>
    <row r="5142" ht="15.75" customHeight="1">
      <c r="A5142" s="122"/>
      <c r="B5142" s="133"/>
      <c r="C5142" s="120"/>
      <c r="D5142" s="120"/>
      <c r="E5142" s="120"/>
      <c r="F5142" s="120"/>
      <c r="G5142" s="120"/>
      <c r="H5142" s="120"/>
      <c r="I5142" s="121"/>
      <c r="J5142" s="121"/>
      <c r="K5142" s="117"/>
    </row>
    <row r="5143" ht="15.75" customHeight="1">
      <c r="A5143" s="122"/>
      <c r="B5143" s="133"/>
      <c r="C5143" s="120"/>
      <c r="D5143" s="120"/>
      <c r="E5143" s="120"/>
      <c r="F5143" s="120"/>
      <c r="G5143" s="120"/>
      <c r="H5143" s="120"/>
      <c r="I5143" s="121"/>
      <c r="J5143" s="121"/>
      <c r="K5143" s="117"/>
    </row>
    <row r="5144" ht="15.75" customHeight="1">
      <c r="A5144" s="122"/>
      <c r="B5144" s="133"/>
      <c r="C5144" s="120"/>
      <c r="D5144" s="120"/>
      <c r="E5144" s="120"/>
      <c r="F5144" s="120"/>
      <c r="G5144" s="120"/>
      <c r="H5144" s="120"/>
      <c r="I5144" s="121"/>
      <c r="J5144" s="121"/>
      <c r="K5144" s="117"/>
    </row>
    <row r="5145" ht="15.75" customHeight="1">
      <c r="A5145" s="122"/>
      <c r="B5145" s="133"/>
      <c r="C5145" s="120"/>
      <c r="D5145" s="120"/>
      <c r="E5145" s="120"/>
      <c r="F5145" s="120"/>
      <c r="G5145" s="120"/>
      <c r="H5145" s="120"/>
      <c r="I5145" s="121"/>
      <c r="J5145" s="121"/>
      <c r="K5145" s="117"/>
    </row>
    <row r="5146" ht="15.75" customHeight="1">
      <c r="A5146" s="122"/>
      <c r="B5146" s="133"/>
      <c r="C5146" s="120"/>
      <c r="D5146" s="120"/>
      <c r="E5146" s="120"/>
      <c r="F5146" s="120"/>
      <c r="G5146" s="120"/>
      <c r="H5146" s="120"/>
      <c r="I5146" s="121"/>
      <c r="J5146" s="121"/>
      <c r="K5146" s="117"/>
    </row>
    <row r="5147" ht="15.75" customHeight="1">
      <c r="A5147" s="122"/>
      <c r="B5147" s="133"/>
      <c r="C5147" s="120"/>
      <c r="D5147" s="120"/>
      <c r="E5147" s="120"/>
      <c r="F5147" s="120"/>
      <c r="G5147" s="120"/>
      <c r="H5147" s="120"/>
      <c r="I5147" s="121"/>
      <c r="J5147" s="121"/>
      <c r="K5147" s="117"/>
    </row>
    <row r="5148" ht="15.75" customHeight="1">
      <c r="A5148" s="122"/>
      <c r="B5148" s="133"/>
      <c r="C5148" s="120"/>
      <c r="D5148" s="120"/>
      <c r="E5148" s="120"/>
      <c r="F5148" s="120"/>
      <c r="G5148" s="120"/>
      <c r="H5148" s="120"/>
      <c r="I5148" s="121"/>
      <c r="J5148" s="121"/>
      <c r="K5148" s="117"/>
    </row>
    <row r="5149" ht="15.75" customHeight="1">
      <c r="A5149" s="122"/>
      <c r="B5149" s="133"/>
      <c r="C5149" s="120"/>
      <c r="D5149" s="120"/>
      <c r="E5149" s="120"/>
      <c r="F5149" s="120"/>
      <c r="G5149" s="120"/>
      <c r="H5149" s="120"/>
      <c r="I5149" s="121"/>
      <c r="J5149" s="121"/>
      <c r="K5149" s="117"/>
    </row>
    <row r="5150" ht="15.75" customHeight="1">
      <c r="A5150" s="122"/>
      <c r="B5150" s="133"/>
      <c r="C5150" s="120"/>
      <c r="D5150" s="120"/>
      <c r="E5150" s="120"/>
      <c r="F5150" s="120"/>
      <c r="G5150" s="120"/>
      <c r="H5150" s="120"/>
      <c r="I5150" s="121"/>
      <c r="J5150" s="121"/>
      <c r="K5150" s="117"/>
    </row>
    <row r="5151" ht="15.75" customHeight="1">
      <c r="A5151" s="122"/>
      <c r="B5151" s="133"/>
      <c r="C5151" s="120"/>
      <c r="D5151" s="120"/>
      <c r="E5151" s="120"/>
      <c r="F5151" s="120"/>
      <c r="G5151" s="120"/>
      <c r="H5151" s="120"/>
      <c r="I5151" s="121"/>
      <c r="J5151" s="121"/>
      <c r="K5151" s="117"/>
    </row>
    <row r="5152" ht="15.75" customHeight="1">
      <c r="A5152" s="122"/>
      <c r="B5152" s="133"/>
      <c r="C5152" s="120"/>
      <c r="D5152" s="120"/>
      <c r="E5152" s="120"/>
      <c r="F5152" s="120"/>
      <c r="G5152" s="120"/>
      <c r="H5152" s="120"/>
      <c r="I5152" s="121"/>
      <c r="J5152" s="121"/>
      <c r="K5152" s="117"/>
    </row>
    <row r="5153" ht="15.75" customHeight="1">
      <c r="A5153" s="122"/>
      <c r="B5153" s="133"/>
      <c r="C5153" s="120"/>
      <c r="D5153" s="120"/>
      <c r="E5153" s="120"/>
      <c r="F5153" s="120"/>
      <c r="G5153" s="120"/>
      <c r="H5153" s="120"/>
      <c r="I5153" s="121"/>
      <c r="J5153" s="121"/>
      <c r="K5153" s="117"/>
    </row>
    <row r="5154" ht="15.75" customHeight="1">
      <c r="A5154" s="122"/>
      <c r="B5154" s="133"/>
      <c r="C5154" s="120"/>
      <c r="D5154" s="120"/>
      <c r="E5154" s="120"/>
      <c r="F5154" s="120"/>
      <c r="G5154" s="120"/>
      <c r="H5154" s="120"/>
      <c r="I5154" s="121"/>
      <c r="J5154" s="121"/>
      <c r="K5154" s="117"/>
    </row>
    <row r="5155" ht="15.75" customHeight="1">
      <c r="A5155" s="122"/>
      <c r="B5155" s="133"/>
      <c r="C5155" s="120"/>
      <c r="D5155" s="120"/>
      <c r="E5155" s="120"/>
      <c r="F5155" s="120"/>
      <c r="G5155" s="120"/>
      <c r="H5155" s="120"/>
      <c r="I5155" s="121"/>
      <c r="J5155" s="121"/>
      <c r="K5155" s="117"/>
    </row>
    <row r="5156" ht="15.75" customHeight="1">
      <c r="A5156" s="122"/>
      <c r="B5156" s="133"/>
      <c r="C5156" s="120"/>
      <c r="D5156" s="120"/>
      <c r="E5156" s="120"/>
      <c r="F5156" s="120"/>
      <c r="G5156" s="120"/>
      <c r="H5156" s="120"/>
      <c r="I5156" s="121"/>
      <c r="J5156" s="121"/>
      <c r="K5156" s="117"/>
    </row>
    <row r="5157" ht="15.75" customHeight="1">
      <c r="A5157" s="122"/>
      <c r="B5157" s="133"/>
      <c r="C5157" s="120"/>
      <c r="D5157" s="120"/>
      <c r="E5157" s="120"/>
      <c r="F5157" s="120"/>
      <c r="G5157" s="120"/>
      <c r="H5157" s="120"/>
      <c r="I5157" s="121"/>
      <c r="J5157" s="121"/>
      <c r="K5157" s="117"/>
    </row>
    <row r="5158" ht="15.75" customHeight="1">
      <c r="A5158" s="122"/>
      <c r="B5158" s="133"/>
      <c r="C5158" s="120"/>
      <c r="D5158" s="120"/>
      <c r="E5158" s="120"/>
      <c r="F5158" s="120"/>
      <c r="G5158" s="120"/>
      <c r="H5158" s="120"/>
      <c r="I5158" s="121"/>
      <c r="J5158" s="121"/>
      <c r="K5158" s="117"/>
    </row>
    <row r="5159" ht="15.75" customHeight="1">
      <c r="A5159" s="122"/>
      <c r="B5159" s="133"/>
      <c r="C5159" s="120"/>
      <c r="D5159" s="120"/>
      <c r="E5159" s="120"/>
      <c r="F5159" s="120"/>
      <c r="G5159" s="120"/>
      <c r="H5159" s="120"/>
      <c r="I5159" s="121"/>
      <c r="J5159" s="121"/>
      <c r="K5159" s="117"/>
    </row>
    <row r="5160" ht="15.75" customHeight="1">
      <c r="A5160" s="122"/>
      <c r="B5160" s="133"/>
      <c r="C5160" s="120"/>
      <c r="D5160" s="120"/>
      <c r="E5160" s="120"/>
      <c r="F5160" s="120"/>
      <c r="G5160" s="120"/>
      <c r="H5160" s="120"/>
      <c r="I5160" s="121"/>
      <c r="J5160" s="121"/>
      <c r="K5160" s="117"/>
    </row>
    <row r="5161" ht="15.75" customHeight="1">
      <c r="A5161" s="122"/>
      <c r="B5161" s="133"/>
      <c r="C5161" s="120"/>
      <c r="D5161" s="120"/>
      <c r="E5161" s="120"/>
      <c r="F5161" s="120"/>
      <c r="G5161" s="120"/>
      <c r="H5161" s="120"/>
      <c r="I5161" s="121"/>
      <c r="J5161" s="121"/>
      <c r="K5161" s="117"/>
    </row>
    <row r="5162" ht="15.75" customHeight="1">
      <c r="A5162" s="122"/>
      <c r="B5162" s="133"/>
      <c r="C5162" s="120"/>
      <c r="D5162" s="120"/>
      <c r="E5162" s="120"/>
      <c r="F5162" s="120"/>
      <c r="G5162" s="120"/>
      <c r="H5162" s="120"/>
      <c r="I5162" s="121"/>
      <c r="J5162" s="121"/>
      <c r="K5162" s="117"/>
    </row>
    <row r="5163" ht="15.75" customHeight="1">
      <c r="A5163" s="122"/>
      <c r="B5163" s="133"/>
      <c r="C5163" s="120"/>
      <c r="D5163" s="120"/>
      <c r="E5163" s="120"/>
      <c r="F5163" s="120"/>
      <c r="G5163" s="120"/>
      <c r="H5163" s="120"/>
      <c r="I5163" s="121"/>
      <c r="J5163" s="121"/>
      <c r="K5163" s="117"/>
    </row>
    <row r="5164" ht="15.75" customHeight="1">
      <c r="A5164" s="122"/>
      <c r="B5164" s="133"/>
      <c r="C5164" s="120"/>
      <c r="D5164" s="120"/>
      <c r="E5164" s="120"/>
      <c r="F5164" s="120"/>
      <c r="G5164" s="120"/>
      <c r="H5164" s="120"/>
      <c r="I5164" s="121"/>
      <c r="J5164" s="121"/>
      <c r="K5164" s="117"/>
    </row>
    <row r="5165" ht="15.75" customHeight="1">
      <c r="A5165" s="122"/>
      <c r="B5165" s="133"/>
      <c r="C5165" s="120"/>
      <c r="D5165" s="120"/>
      <c r="E5165" s="120"/>
      <c r="F5165" s="120"/>
      <c r="G5165" s="120"/>
      <c r="H5165" s="120"/>
      <c r="I5165" s="121"/>
      <c r="J5165" s="121"/>
      <c r="K5165" s="117"/>
    </row>
    <row r="5166" ht="15.75" customHeight="1">
      <c r="A5166" s="122"/>
      <c r="B5166" s="133"/>
      <c r="C5166" s="120"/>
      <c r="D5166" s="120"/>
      <c r="E5166" s="120"/>
      <c r="F5166" s="120"/>
      <c r="G5166" s="120"/>
      <c r="H5166" s="120"/>
      <c r="I5166" s="121"/>
      <c r="J5166" s="121"/>
      <c r="K5166" s="117"/>
    </row>
    <row r="5167" ht="15.75" customHeight="1">
      <c r="A5167" s="122"/>
      <c r="B5167" s="133"/>
      <c r="C5167" s="120"/>
      <c r="D5167" s="120"/>
      <c r="E5167" s="120"/>
      <c r="F5167" s="120"/>
      <c r="G5167" s="120"/>
      <c r="H5167" s="120"/>
      <c r="I5167" s="121"/>
      <c r="J5167" s="121"/>
      <c r="K5167" s="117"/>
    </row>
    <row r="5168" ht="15.75" customHeight="1">
      <c r="A5168" s="122"/>
      <c r="B5168" s="133"/>
      <c r="C5168" s="120"/>
      <c r="D5168" s="120"/>
      <c r="E5168" s="120"/>
      <c r="F5168" s="120"/>
      <c r="G5168" s="120"/>
      <c r="H5168" s="120"/>
      <c r="I5168" s="121"/>
      <c r="J5168" s="121"/>
      <c r="K5168" s="117"/>
    </row>
    <row r="5169" ht="15.75" customHeight="1">
      <c r="A5169" s="122"/>
      <c r="B5169" s="133"/>
      <c r="C5169" s="120"/>
      <c r="D5169" s="120"/>
      <c r="E5169" s="120"/>
      <c r="F5169" s="120"/>
      <c r="G5169" s="120"/>
      <c r="H5169" s="120"/>
      <c r="I5169" s="121"/>
      <c r="J5169" s="121"/>
      <c r="K5169" s="117"/>
    </row>
    <row r="5170" ht="15.75" customHeight="1">
      <c r="A5170" s="122"/>
      <c r="B5170" s="133"/>
      <c r="C5170" s="120"/>
      <c r="D5170" s="120"/>
      <c r="E5170" s="120"/>
      <c r="F5170" s="120"/>
      <c r="G5170" s="120"/>
      <c r="H5170" s="120"/>
      <c r="I5170" s="121"/>
      <c r="J5170" s="121"/>
      <c r="K5170" s="117"/>
    </row>
    <row r="5171" ht="15.75" customHeight="1">
      <c r="A5171" s="122"/>
      <c r="B5171" s="133"/>
      <c r="C5171" s="120"/>
      <c r="D5171" s="120"/>
      <c r="E5171" s="120"/>
      <c r="F5171" s="120"/>
      <c r="G5171" s="120"/>
      <c r="H5171" s="120"/>
      <c r="I5171" s="121"/>
      <c r="J5171" s="121"/>
      <c r="K5171" s="117"/>
    </row>
    <row r="5172" ht="15.75" customHeight="1">
      <c r="A5172" s="122"/>
      <c r="B5172" s="133"/>
      <c r="C5172" s="120"/>
      <c r="D5172" s="120"/>
      <c r="E5172" s="120"/>
      <c r="F5172" s="120"/>
      <c r="G5172" s="120"/>
      <c r="H5172" s="120"/>
      <c r="I5172" s="121"/>
      <c r="J5172" s="121"/>
      <c r="K5172" s="117"/>
    </row>
    <row r="5173" ht="15.75" customHeight="1">
      <c r="A5173" s="122"/>
      <c r="B5173" s="133"/>
      <c r="C5173" s="120"/>
      <c r="D5173" s="120"/>
      <c r="E5173" s="120"/>
      <c r="F5173" s="120"/>
      <c r="G5173" s="120"/>
      <c r="H5173" s="120"/>
      <c r="I5173" s="121"/>
      <c r="J5173" s="121"/>
      <c r="K5173" s="117"/>
    </row>
    <row r="5174" ht="15.75" customHeight="1">
      <c r="A5174" s="122"/>
      <c r="B5174" s="133"/>
      <c r="C5174" s="120"/>
      <c r="D5174" s="120"/>
      <c r="E5174" s="120"/>
      <c r="F5174" s="120"/>
      <c r="G5174" s="120"/>
      <c r="H5174" s="120"/>
      <c r="I5174" s="121"/>
      <c r="J5174" s="121"/>
      <c r="K5174" s="117"/>
    </row>
    <row r="5175" ht="15.75" customHeight="1">
      <c r="A5175" s="122"/>
      <c r="B5175" s="133"/>
      <c r="C5175" s="120"/>
      <c r="D5175" s="120"/>
      <c r="E5175" s="120"/>
      <c r="F5175" s="120"/>
      <c r="G5175" s="120"/>
      <c r="H5175" s="120"/>
      <c r="I5175" s="121"/>
      <c r="J5175" s="121"/>
      <c r="K5175" s="117"/>
    </row>
    <row r="5176" ht="15.75" customHeight="1">
      <c r="A5176" s="122"/>
      <c r="B5176" s="133"/>
      <c r="C5176" s="120"/>
      <c r="D5176" s="120"/>
      <c r="E5176" s="120"/>
      <c r="F5176" s="120"/>
      <c r="G5176" s="120"/>
      <c r="H5176" s="120"/>
      <c r="I5176" s="121"/>
      <c r="J5176" s="121"/>
      <c r="K5176" s="117"/>
    </row>
    <row r="5177" ht="15.75" customHeight="1">
      <c r="A5177" s="122"/>
      <c r="B5177" s="133"/>
      <c r="C5177" s="120"/>
      <c r="D5177" s="120"/>
      <c r="E5177" s="120"/>
      <c r="F5177" s="120"/>
      <c r="G5177" s="120"/>
      <c r="H5177" s="120"/>
      <c r="I5177" s="121"/>
      <c r="J5177" s="121"/>
      <c r="K5177" s="117"/>
    </row>
    <row r="5178" ht="15.75" customHeight="1">
      <c r="A5178" s="122"/>
      <c r="B5178" s="133"/>
      <c r="C5178" s="120"/>
      <c r="D5178" s="120"/>
      <c r="E5178" s="120"/>
      <c r="F5178" s="120"/>
      <c r="G5178" s="120"/>
      <c r="H5178" s="120"/>
      <c r="I5178" s="121"/>
      <c r="J5178" s="121"/>
      <c r="K5178" s="117"/>
    </row>
    <row r="5179" ht="15.75" customHeight="1">
      <c r="A5179" s="122"/>
      <c r="B5179" s="133"/>
      <c r="C5179" s="120"/>
      <c r="D5179" s="120"/>
      <c r="E5179" s="120"/>
      <c r="F5179" s="120"/>
      <c r="G5179" s="120"/>
      <c r="H5179" s="120"/>
      <c r="I5179" s="121"/>
      <c r="J5179" s="121"/>
      <c r="K5179" s="117"/>
    </row>
    <row r="5180" ht="15.75" customHeight="1">
      <c r="A5180" s="122"/>
      <c r="B5180" s="133"/>
      <c r="C5180" s="120"/>
      <c r="D5180" s="120"/>
      <c r="E5180" s="120"/>
      <c r="F5180" s="120"/>
      <c r="G5180" s="120"/>
      <c r="H5180" s="120"/>
      <c r="I5180" s="121"/>
      <c r="J5180" s="121"/>
      <c r="K5180" s="117"/>
    </row>
    <row r="5181" ht="15.75" customHeight="1">
      <c r="A5181" s="122"/>
      <c r="B5181" s="133"/>
      <c r="C5181" s="120"/>
      <c r="D5181" s="120"/>
      <c r="E5181" s="120"/>
      <c r="F5181" s="120"/>
      <c r="G5181" s="120"/>
      <c r="H5181" s="120"/>
      <c r="I5181" s="121"/>
      <c r="J5181" s="121"/>
      <c r="K5181" s="117"/>
    </row>
    <row r="5182" ht="15.75" customHeight="1">
      <c r="A5182" s="122"/>
      <c r="B5182" s="133"/>
      <c r="C5182" s="120"/>
      <c r="D5182" s="120"/>
      <c r="E5182" s="120"/>
      <c r="F5182" s="120"/>
      <c r="G5182" s="120"/>
      <c r="H5182" s="120"/>
      <c r="I5182" s="121"/>
      <c r="J5182" s="121"/>
      <c r="K5182" s="117"/>
    </row>
    <row r="5183" ht="15.75" customHeight="1">
      <c r="A5183" s="122"/>
      <c r="B5183" s="133"/>
      <c r="C5183" s="120"/>
      <c r="D5183" s="120"/>
      <c r="E5183" s="120"/>
      <c r="F5183" s="120"/>
      <c r="G5183" s="120"/>
      <c r="H5183" s="120"/>
      <c r="I5183" s="121"/>
      <c r="J5183" s="121"/>
      <c r="K5183" s="117"/>
    </row>
    <row r="5184" ht="15.75" customHeight="1">
      <c r="A5184" s="122"/>
      <c r="B5184" s="133"/>
      <c r="C5184" s="120"/>
      <c r="D5184" s="120"/>
      <c r="E5184" s="120"/>
      <c r="F5184" s="120"/>
      <c r="G5184" s="120"/>
      <c r="H5184" s="120"/>
      <c r="I5184" s="121"/>
      <c r="J5184" s="121"/>
      <c r="K5184" s="117"/>
    </row>
    <row r="5185" ht="15.75" customHeight="1">
      <c r="A5185" s="122"/>
      <c r="B5185" s="133"/>
      <c r="C5185" s="120"/>
      <c r="D5185" s="120"/>
      <c r="E5185" s="120"/>
      <c r="F5185" s="120"/>
      <c r="G5185" s="120"/>
      <c r="H5185" s="120"/>
      <c r="I5185" s="121"/>
      <c r="J5185" s="121"/>
      <c r="K5185" s="117"/>
    </row>
    <row r="5186" ht="15.75" customHeight="1">
      <c r="A5186" s="122"/>
      <c r="B5186" s="133"/>
      <c r="C5186" s="120"/>
      <c r="D5186" s="120"/>
      <c r="E5186" s="120"/>
      <c r="F5186" s="120"/>
      <c r="G5186" s="120"/>
      <c r="H5186" s="120"/>
      <c r="I5186" s="121"/>
      <c r="J5186" s="121"/>
      <c r="K5186" s="117"/>
    </row>
    <row r="5187" ht="15.75" customHeight="1">
      <c r="A5187" s="122"/>
      <c r="B5187" s="133"/>
      <c r="C5187" s="120"/>
      <c r="D5187" s="120"/>
      <c r="E5187" s="120"/>
      <c r="F5187" s="120"/>
      <c r="G5187" s="120"/>
      <c r="H5187" s="120"/>
      <c r="I5187" s="121"/>
      <c r="J5187" s="121"/>
      <c r="K5187" s="117"/>
    </row>
    <row r="5188" ht="15.75" customHeight="1">
      <c r="A5188" s="122"/>
      <c r="B5188" s="133"/>
      <c r="C5188" s="120"/>
      <c r="D5188" s="120"/>
      <c r="E5188" s="120"/>
      <c r="F5188" s="120"/>
      <c r="G5188" s="120"/>
      <c r="H5188" s="120"/>
      <c r="I5188" s="121"/>
      <c r="J5188" s="121"/>
      <c r="K5188" s="117"/>
    </row>
    <row r="5189" ht="15.75" customHeight="1">
      <c r="A5189" s="122"/>
      <c r="B5189" s="133"/>
      <c r="C5189" s="120"/>
      <c r="D5189" s="120"/>
      <c r="E5189" s="120"/>
      <c r="F5189" s="120"/>
      <c r="G5189" s="120"/>
      <c r="H5189" s="120"/>
      <c r="I5189" s="121"/>
      <c r="J5189" s="121"/>
      <c r="K5189" s="117"/>
    </row>
    <row r="5190" ht="15.75" customHeight="1">
      <c r="A5190" s="122"/>
      <c r="B5190" s="133"/>
      <c r="C5190" s="120"/>
      <c r="D5190" s="120"/>
      <c r="E5190" s="120"/>
      <c r="F5190" s="120"/>
      <c r="G5190" s="120"/>
      <c r="H5190" s="120"/>
      <c r="I5190" s="121"/>
      <c r="J5190" s="121"/>
      <c r="K5190" s="117"/>
    </row>
    <row r="5191" ht="15.75" customHeight="1">
      <c r="A5191" s="122"/>
      <c r="B5191" s="133"/>
      <c r="C5191" s="120"/>
      <c r="D5191" s="120"/>
      <c r="E5191" s="120"/>
      <c r="F5191" s="120"/>
      <c r="G5191" s="120"/>
      <c r="H5191" s="120"/>
      <c r="I5191" s="121"/>
      <c r="J5191" s="121"/>
      <c r="K5191" s="117"/>
    </row>
    <row r="5192" ht="15.75" customHeight="1">
      <c r="A5192" s="122"/>
      <c r="B5192" s="133"/>
      <c r="C5192" s="120"/>
      <c r="D5192" s="120"/>
      <c r="E5192" s="120"/>
      <c r="F5192" s="120"/>
      <c r="G5192" s="120"/>
      <c r="H5192" s="120"/>
      <c r="I5192" s="121"/>
      <c r="J5192" s="121"/>
      <c r="K5192" s="117"/>
    </row>
    <row r="5193" ht="15.75" customHeight="1">
      <c r="A5193" s="122"/>
      <c r="B5193" s="133"/>
      <c r="C5193" s="120"/>
      <c r="D5193" s="120"/>
      <c r="E5193" s="120"/>
      <c r="F5193" s="120"/>
      <c r="G5193" s="120"/>
      <c r="H5193" s="120"/>
      <c r="I5193" s="121"/>
      <c r="J5193" s="121"/>
      <c r="K5193" s="117"/>
    </row>
    <row r="5194" ht="15.75" customHeight="1">
      <c r="A5194" s="122"/>
      <c r="B5194" s="133"/>
      <c r="C5194" s="120"/>
      <c r="D5194" s="120"/>
      <c r="E5194" s="120"/>
      <c r="F5194" s="120"/>
      <c r="G5194" s="120"/>
      <c r="H5194" s="120"/>
      <c r="I5194" s="121"/>
      <c r="J5194" s="121"/>
      <c r="K5194" s="117"/>
    </row>
    <row r="5195" ht="15.75" customHeight="1">
      <c r="A5195" s="122"/>
      <c r="B5195" s="133"/>
      <c r="C5195" s="120"/>
      <c r="D5195" s="120"/>
      <c r="E5195" s="120"/>
      <c r="F5195" s="120"/>
      <c r="G5195" s="120"/>
      <c r="H5195" s="120"/>
      <c r="I5195" s="121"/>
      <c r="J5195" s="121"/>
      <c r="K5195" s="117"/>
    </row>
    <row r="5196" ht="15.75" customHeight="1">
      <c r="A5196" s="122"/>
      <c r="B5196" s="133"/>
      <c r="C5196" s="120"/>
      <c r="D5196" s="120"/>
      <c r="E5196" s="120"/>
      <c r="F5196" s="120"/>
      <c r="G5196" s="120"/>
      <c r="H5196" s="120"/>
      <c r="I5196" s="121"/>
      <c r="J5196" s="121"/>
      <c r="K5196" s="117"/>
    </row>
    <row r="5197" ht="15.75" customHeight="1">
      <c r="A5197" s="122"/>
      <c r="B5197" s="133"/>
      <c r="C5197" s="120"/>
      <c r="D5197" s="120"/>
      <c r="E5197" s="120"/>
      <c r="F5197" s="120"/>
      <c r="G5197" s="120"/>
      <c r="H5197" s="120"/>
      <c r="I5197" s="121"/>
      <c r="J5197" s="121"/>
      <c r="K5197" s="117"/>
    </row>
    <row r="5198" ht="15.75" customHeight="1">
      <c r="A5198" s="122"/>
      <c r="B5198" s="133"/>
      <c r="C5198" s="120"/>
      <c r="D5198" s="120"/>
      <c r="E5198" s="120"/>
      <c r="F5198" s="120"/>
      <c r="G5198" s="120"/>
      <c r="H5198" s="120"/>
      <c r="I5198" s="121"/>
      <c r="J5198" s="121"/>
      <c r="K5198" s="117"/>
    </row>
    <row r="5199" ht="15.75" customHeight="1">
      <c r="A5199" s="122"/>
      <c r="B5199" s="133"/>
      <c r="C5199" s="120"/>
      <c r="D5199" s="120"/>
      <c r="E5199" s="120"/>
      <c r="F5199" s="120"/>
      <c r="G5199" s="120"/>
      <c r="H5199" s="120"/>
      <c r="I5199" s="121"/>
      <c r="J5199" s="121"/>
      <c r="K5199" s="117"/>
    </row>
    <row r="5200" ht="15.75" customHeight="1">
      <c r="A5200" s="122"/>
      <c r="B5200" s="133"/>
      <c r="C5200" s="120"/>
      <c r="D5200" s="120"/>
      <c r="E5200" s="120"/>
      <c r="F5200" s="120"/>
      <c r="G5200" s="120"/>
      <c r="H5200" s="120"/>
      <c r="I5200" s="121"/>
      <c r="J5200" s="121"/>
      <c r="K5200" s="117"/>
    </row>
    <row r="5201" ht="15.75" customHeight="1">
      <c r="A5201" s="122"/>
      <c r="B5201" s="133"/>
      <c r="C5201" s="120"/>
      <c r="D5201" s="120"/>
      <c r="E5201" s="120"/>
      <c r="F5201" s="120"/>
      <c r="G5201" s="120"/>
      <c r="H5201" s="120"/>
      <c r="I5201" s="121"/>
      <c r="J5201" s="121"/>
      <c r="K5201" s="117"/>
    </row>
    <row r="5202" ht="15.75" customHeight="1">
      <c r="A5202" s="122"/>
      <c r="B5202" s="133"/>
      <c r="C5202" s="120"/>
      <c r="D5202" s="120"/>
      <c r="E5202" s="120"/>
      <c r="F5202" s="120"/>
      <c r="G5202" s="120"/>
      <c r="H5202" s="120"/>
      <c r="I5202" s="121"/>
      <c r="J5202" s="121"/>
      <c r="K5202" s="117"/>
    </row>
    <row r="5203" ht="15.75" customHeight="1">
      <c r="A5203" s="122"/>
      <c r="B5203" s="133"/>
      <c r="C5203" s="120"/>
      <c r="D5203" s="120"/>
      <c r="E5203" s="120"/>
      <c r="F5203" s="120"/>
      <c r="G5203" s="120"/>
      <c r="H5203" s="120"/>
      <c r="I5203" s="121"/>
      <c r="J5203" s="121"/>
      <c r="K5203" s="117"/>
    </row>
    <row r="5204" ht="15.75" customHeight="1">
      <c r="A5204" s="122"/>
      <c r="B5204" s="133"/>
      <c r="C5204" s="120"/>
      <c r="D5204" s="120"/>
      <c r="E5204" s="120"/>
      <c r="F5204" s="120"/>
      <c r="G5204" s="120"/>
      <c r="H5204" s="120"/>
      <c r="I5204" s="121"/>
      <c r="J5204" s="121"/>
      <c r="K5204" s="117"/>
    </row>
    <row r="5205" ht="15.75" customHeight="1">
      <c r="A5205" s="122"/>
      <c r="B5205" s="133"/>
      <c r="C5205" s="120"/>
      <c r="D5205" s="120"/>
      <c r="E5205" s="120"/>
      <c r="F5205" s="120"/>
      <c r="G5205" s="120"/>
      <c r="H5205" s="120"/>
      <c r="I5205" s="121"/>
      <c r="J5205" s="121"/>
      <c r="K5205" s="117"/>
    </row>
    <row r="5206" ht="15.75" customHeight="1">
      <c r="A5206" s="122"/>
      <c r="B5206" s="133"/>
      <c r="C5206" s="120"/>
      <c r="D5206" s="120"/>
      <c r="E5206" s="120"/>
      <c r="F5206" s="120"/>
      <c r="G5206" s="120"/>
      <c r="H5206" s="120"/>
      <c r="I5206" s="121"/>
      <c r="J5206" s="121"/>
      <c r="K5206" s="117"/>
    </row>
    <row r="5207" ht="15.75" customHeight="1">
      <c r="A5207" s="122"/>
      <c r="B5207" s="133"/>
      <c r="C5207" s="120"/>
      <c r="D5207" s="120"/>
      <c r="E5207" s="120"/>
      <c r="F5207" s="120"/>
      <c r="G5207" s="120"/>
      <c r="H5207" s="120"/>
      <c r="I5207" s="121"/>
      <c r="J5207" s="121"/>
      <c r="K5207" s="117"/>
    </row>
    <row r="5208" ht="15.75" customHeight="1">
      <c r="A5208" s="122"/>
      <c r="B5208" s="133"/>
      <c r="C5208" s="120"/>
      <c r="D5208" s="120"/>
      <c r="E5208" s="120"/>
      <c r="F5208" s="120"/>
      <c r="G5208" s="120"/>
      <c r="H5208" s="120"/>
      <c r="I5208" s="121"/>
      <c r="J5208" s="121"/>
      <c r="K5208" s="117"/>
    </row>
    <row r="5209" ht="15.75" customHeight="1">
      <c r="A5209" s="122"/>
      <c r="B5209" s="133"/>
      <c r="C5209" s="120"/>
      <c r="D5209" s="120"/>
      <c r="E5209" s="120"/>
      <c r="F5209" s="120"/>
      <c r="G5209" s="120"/>
      <c r="H5209" s="120"/>
      <c r="I5209" s="121"/>
      <c r="J5209" s="121"/>
      <c r="K5209" s="117"/>
    </row>
    <row r="5210" ht="15.75" customHeight="1">
      <c r="A5210" s="122"/>
      <c r="B5210" s="133"/>
      <c r="C5210" s="120"/>
      <c r="D5210" s="120"/>
      <c r="E5210" s="120"/>
      <c r="F5210" s="120"/>
      <c r="G5210" s="120"/>
      <c r="H5210" s="120"/>
      <c r="I5210" s="121"/>
      <c r="J5210" s="121"/>
      <c r="K5210" s="117"/>
    </row>
    <row r="5211" ht="15.75" customHeight="1">
      <c r="A5211" s="122"/>
      <c r="B5211" s="133"/>
      <c r="C5211" s="120"/>
      <c r="D5211" s="120"/>
      <c r="E5211" s="120"/>
      <c r="F5211" s="120"/>
      <c r="G5211" s="120"/>
      <c r="H5211" s="120"/>
      <c r="I5211" s="121"/>
      <c r="J5211" s="121"/>
      <c r="K5211" s="117"/>
    </row>
    <row r="5212" ht="15.75" customHeight="1">
      <c r="A5212" s="122"/>
      <c r="B5212" s="133"/>
      <c r="C5212" s="120"/>
      <c r="D5212" s="120"/>
      <c r="E5212" s="120"/>
      <c r="F5212" s="120"/>
      <c r="G5212" s="120"/>
      <c r="H5212" s="120"/>
      <c r="I5212" s="121"/>
      <c r="J5212" s="121"/>
      <c r="K5212" s="117"/>
    </row>
    <row r="5213" ht="15.75" customHeight="1">
      <c r="A5213" s="122"/>
      <c r="B5213" s="133"/>
      <c r="C5213" s="120"/>
      <c r="D5213" s="120"/>
      <c r="E5213" s="120"/>
      <c r="F5213" s="120"/>
      <c r="G5213" s="120"/>
      <c r="H5213" s="120"/>
      <c r="I5213" s="121"/>
      <c r="J5213" s="121"/>
      <c r="K5213" s="117"/>
    </row>
    <row r="5214" ht="15.75" customHeight="1">
      <c r="A5214" s="122"/>
      <c r="B5214" s="133"/>
      <c r="C5214" s="120"/>
      <c r="D5214" s="120"/>
      <c r="E5214" s="120"/>
      <c r="F5214" s="120"/>
      <c r="G5214" s="120"/>
      <c r="H5214" s="120"/>
      <c r="I5214" s="121"/>
      <c r="J5214" s="121"/>
      <c r="K5214" s="117"/>
    </row>
    <row r="5215" ht="15.75" customHeight="1">
      <c r="A5215" s="122"/>
      <c r="B5215" s="133"/>
      <c r="C5215" s="120"/>
      <c r="D5215" s="120"/>
      <c r="E5215" s="120"/>
      <c r="F5215" s="120"/>
      <c r="G5215" s="120"/>
      <c r="H5215" s="120"/>
      <c r="I5215" s="121"/>
      <c r="J5215" s="121"/>
      <c r="K5215" s="117"/>
    </row>
    <row r="5216" ht="15.75" customHeight="1">
      <c r="A5216" s="122"/>
      <c r="B5216" s="133"/>
      <c r="C5216" s="120"/>
      <c r="D5216" s="120"/>
      <c r="E5216" s="120"/>
      <c r="F5216" s="120"/>
      <c r="G5216" s="120"/>
      <c r="H5216" s="120"/>
      <c r="I5216" s="121"/>
      <c r="J5216" s="121"/>
      <c r="K5216" s="117"/>
    </row>
    <row r="5217" ht="15.75" customHeight="1">
      <c r="A5217" s="122"/>
      <c r="B5217" s="133"/>
      <c r="C5217" s="120"/>
      <c r="D5217" s="120"/>
      <c r="E5217" s="120"/>
      <c r="F5217" s="120"/>
      <c r="G5217" s="120"/>
      <c r="H5217" s="120"/>
      <c r="I5217" s="121"/>
      <c r="J5217" s="121"/>
      <c r="K5217" s="117"/>
    </row>
    <row r="5218" ht="15.75" customHeight="1">
      <c r="A5218" s="122"/>
      <c r="B5218" s="133"/>
      <c r="C5218" s="120"/>
      <c r="D5218" s="120"/>
      <c r="E5218" s="120"/>
      <c r="F5218" s="120"/>
      <c r="G5218" s="120"/>
      <c r="H5218" s="120"/>
      <c r="I5218" s="121"/>
      <c r="J5218" s="121"/>
      <c r="K5218" s="117"/>
    </row>
    <row r="5219" ht="15.75" customHeight="1">
      <c r="A5219" s="122"/>
      <c r="B5219" s="133"/>
      <c r="C5219" s="120"/>
      <c r="D5219" s="120"/>
      <c r="E5219" s="120"/>
      <c r="F5219" s="120"/>
      <c r="G5219" s="120"/>
      <c r="H5219" s="120"/>
      <c r="I5219" s="121"/>
      <c r="J5219" s="121"/>
      <c r="K5219" s="117"/>
    </row>
    <row r="5220" ht="15.75" customHeight="1">
      <c r="A5220" s="122"/>
      <c r="B5220" s="133"/>
      <c r="C5220" s="120"/>
      <c r="D5220" s="120"/>
      <c r="E5220" s="120"/>
      <c r="F5220" s="120"/>
      <c r="G5220" s="120"/>
      <c r="H5220" s="120"/>
      <c r="I5220" s="121"/>
      <c r="J5220" s="121"/>
      <c r="K5220" s="117"/>
    </row>
    <row r="5221" ht="15.75" customHeight="1">
      <c r="A5221" s="122"/>
      <c r="B5221" s="133"/>
      <c r="C5221" s="120"/>
      <c r="D5221" s="120"/>
      <c r="E5221" s="120"/>
      <c r="F5221" s="120"/>
      <c r="G5221" s="120"/>
      <c r="H5221" s="120"/>
      <c r="I5221" s="121"/>
      <c r="J5221" s="121"/>
      <c r="K5221" s="117"/>
    </row>
    <row r="5222" ht="15.75" customHeight="1">
      <c r="A5222" s="122"/>
      <c r="B5222" s="133"/>
      <c r="C5222" s="120"/>
      <c r="D5222" s="120"/>
      <c r="E5222" s="120"/>
      <c r="F5222" s="120"/>
      <c r="G5222" s="120"/>
      <c r="H5222" s="120"/>
      <c r="I5222" s="121"/>
      <c r="J5222" s="121"/>
      <c r="K5222" s="117"/>
    </row>
    <row r="5223" ht="15.75" customHeight="1">
      <c r="A5223" s="122"/>
      <c r="B5223" s="133"/>
      <c r="C5223" s="120"/>
      <c r="D5223" s="120"/>
      <c r="E5223" s="120"/>
      <c r="F5223" s="120"/>
      <c r="G5223" s="120"/>
      <c r="H5223" s="120"/>
      <c r="I5223" s="121"/>
      <c r="J5223" s="121"/>
      <c r="K5223" s="117"/>
    </row>
    <row r="5224" ht="15.75" customHeight="1">
      <c r="A5224" s="122"/>
      <c r="B5224" s="133"/>
      <c r="C5224" s="120"/>
      <c r="D5224" s="120"/>
      <c r="E5224" s="120"/>
      <c r="F5224" s="120"/>
      <c r="G5224" s="120"/>
      <c r="H5224" s="120"/>
      <c r="I5224" s="121"/>
      <c r="J5224" s="121"/>
      <c r="K5224" s="117"/>
    </row>
    <row r="5225" ht="15.75" customHeight="1">
      <c r="A5225" s="122"/>
      <c r="B5225" s="133"/>
      <c r="C5225" s="120"/>
      <c r="D5225" s="120"/>
      <c r="E5225" s="120"/>
      <c r="F5225" s="120"/>
      <c r="G5225" s="120"/>
      <c r="H5225" s="120"/>
      <c r="I5225" s="121"/>
      <c r="J5225" s="121"/>
      <c r="K5225" s="117"/>
    </row>
    <row r="5226" ht="15.75" customHeight="1">
      <c r="A5226" s="122"/>
      <c r="B5226" s="133"/>
      <c r="C5226" s="120"/>
      <c r="D5226" s="120"/>
      <c r="E5226" s="120"/>
      <c r="F5226" s="120"/>
      <c r="G5226" s="120"/>
      <c r="H5226" s="120"/>
      <c r="I5226" s="121"/>
      <c r="J5226" s="121"/>
      <c r="K5226" s="117"/>
    </row>
    <row r="5227" ht="15.75" customHeight="1">
      <c r="A5227" s="122"/>
      <c r="B5227" s="133"/>
      <c r="C5227" s="120"/>
      <c r="D5227" s="120"/>
      <c r="E5227" s="120"/>
      <c r="F5227" s="120"/>
      <c r="G5227" s="120"/>
      <c r="H5227" s="120"/>
      <c r="I5227" s="121"/>
      <c r="J5227" s="121"/>
      <c r="K5227" s="117"/>
    </row>
    <row r="5228" ht="15.75" customHeight="1">
      <c r="A5228" s="122"/>
      <c r="B5228" s="133"/>
      <c r="C5228" s="120"/>
      <c r="D5228" s="120"/>
      <c r="E5228" s="120"/>
      <c r="F5228" s="120"/>
      <c r="G5228" s="120"/>
      <c r="H5228" s="120"/>
      <c r="I5228" s="121"/>
      <c r="J5228" s="121"/>
      <c r="K5228" s="117"/>
    </row>
    <row r="5229" ht="15.75" customHeight="1">
      <c r="A5229" s="122"/>
      <c r="B5229" s="133"/>
      <c r="C5229" s="120"/>
      <c r="D5229" s="120"/>
      <c r="E5229" s="120"/>
      <c r="F5229" s="120"/>
      <c r="G5229" s="120"/>
      <c r="H5229" s="120"/>
      <c r="I5229" s="121"/>
      <c r="J5229" s="121"/>
      <c r="K5229" s="117"/>
    </row>
    <row r="5230" ht="15.75" customHeight="1">
      <c r="A5230" s="122"/>
      <c r="B5230" s="133"/>
      <c r="C5230" s="120"/>
      <c r="D5230" s="120"/>
      <c r="E5230" s="120"/>
      <c r="F5230" s="120"/>
      <c r="G5230" s="120"/>
      <c r="H5230" s="120"/>
      <c r="I5230" s="121"/>
      <c r="J5230" s="121"/>
      <c r="K5230" s="117"/>
    </row>
    <row r="5231" ht="15.75" customHeight="1">
      <c r="A5231" s="122"/>
      <c r="B5231" s="133"/>
      <c r="C5231" s="120"/>
      <c r="D5231" s="120"/>
      <c r="E5231" s="120"/>
      <c r="F5231" s="120"/>
      <c r="G5231" s="120"/>
      <c r="H5231" s="120"/>
      <c r="I5231" s="121"/>
      <c r="J5231" s="121"/>
      <c r="K5231" s="117"/>
    </row>
    <row r="5232" ht="15.75" customHeight="1">
      <c r="A5232" s="122"/>
      <c r="B5232" s="133"/>
      <c r="C5232" s="120"/>
      <c r="D5232" s="120"/>
      <c r="E5232" s="120"/>
      <c r="F5232" s="120"/>
      <c r="G5232" s="120"/>
      <c r="H5232" s="120"/>
      <c r="I5232" s="121"/>
      <c r="J5232" s="121"/>
      <c r="K5232" s="117"/>
    </row>
    <row r="5233" ht="15.75" customHeight="1">
      <c r="A5233" s="122"/>
      <c r="B5233" s="133"/>
      <c r="C5233" s="120"/>
      <c r="D5233" s="120"/>
      <c r="E5233" s="120"/>
      <c r="F5233" s="120"/>
      <c r="G5233" s="120"/>
      <c r="H5233" s="120"/>
      <c r="I5233" s="121"/>
      <c r="J5233" s="121"/>
      <c r="K5233" s="117"/>
    </row>
    <row r="5234" ht="15.75" customHeight="1">
      <c r="A5234" s="122"/>
      <c r="B5234" s="133"/>
      <c r="C5234" s="120"/>
      <c r="D5234" s="120"/>
      <c r="E5234" s="120"/>
      <c r="F5234" s="120"/>
      <c r="G5234" s="120"/>
      <c r="H5234" s="120"/>
      <c r="I5234" s="121"/>
      <c r="J5234" s="121"/>
      <c r="K5234" s="117"/>
    </row>
    <row r="5235" ht="15.75" customHeight="1">
      <c r="A5235" s="122"/>
      <c r="B5235" s="133"/>
      <c r="C5235" s="120"/>
      <c r="D5235" s="120"/>
      <c r="E5235" s="120"/>
      <c r="F5235" s="120"/>
      <c r="G5235" s="120"/>
      <c r="H5235" s="120"/>
      <c r="I5235" s="121"/>
      <c r="J5235" s="121"/>
      <c r="K5235" s="117"/>
    </row>
    <row r="5236" ht="15.75" customHeight="1">
      <c r="A5236" s="122"/>
      <c r="B5236" s="133"/>
      <c r="C5236" s="120"/>
      <c r="D5236" s="120"/>
      <c r="E5236" s="120"/>
      <c r="F5236" s="120"/>
      <c r="G5236" s="120"/>
      <c r="H5236" s="120"/>
      <c r="I5236" s="121"/>
      <c r="J5236" s="121"/>
      <c r="K5236" s="117"/>
    </row>
    <row r="5237" ht="15.75" customHeight="1">
      <c r="A5237" s="122"/>
      <c r="B5237" s="133"/>
      <c r="C5237" s="120"/>
      <c r="D5237" s="120"/>
      <c r="E5237" s="120"/>
      <c r="F5237" s="120"/>
      <c r="G5237" s="120"/>
      <c r="H5237" s="120"/>
      <c r="I5237" s="121"/>
      <c r="J5237" s="121"/>
      <c r="K5237" s="117"/>
    </row>
    <row r="5238" ht="15.75" customHeight="1">
      <c r="A5238" s="122"/>
      <c r="B5238" s="133"/>
      <c r="C5238" s="120"/>
      <c r="D5238" s="120"/>
      <c r="E5238" s="120"/>
      <c r="F5238" s="120"/>
      <c r="G5238" s="120"/>
      <c r="H5238" s="120"/>
      <c r="I5238" s="121"/>
      <c r="J5238" s="121"/>
      <c r="K5238" s="117"/>
    </row>
    <row r="5239" ht="15.75" customHeight="1">
      <c r="A5239" s="122"/>
      <c r="B5239" s="133"/>
      <c r="C5239" s="120"/>
      <c r="D5239" s="120"/>
      <c r="E5239" s="120"/>
      <c r="F5239" s="120"/>
      <c r="G5239" s="120"/>
      <c r="H5239" s="120"/>
      <c r="I5239" s="121"/>
      <c r="J5239" s="121"/>
      <c r="K5239" s="117"/>
    </row>
    <row r="5240" ht="15.75" customHeight="1">
      <c r="A5240" s="122"/>
      <c r="B5240" s="133"/>
      <c r="C5240" s="120"/>
      <c r="D5240" s="120"/>
      <c r="E5240" s="120"/>
      <c r="F5240" s="120"/>
      <c r="G5240" s="120"/>
      <c r="H5240" s="120"/>
      <c r="I5240" s="121"/>
      <c r="J5240" s="121"/>
      <c r="K5240" s="117"/>
    </row>
    <row r="5241" ht="15.75" customHeight="1">
      <c r="A5241" s="122"/>
      <c r="B5241" s="133"/>
      <c r="C5241" s="120"/>
      <c r="D5241" s="120"/>
      <c r="E5241" s="120"/>
      <c r="F5241" s="120"/>
      <c r="G5241" s="120"/>
      <c r="H5241" s="120"/>
      <c r="I5241" s="121"/>
      <c r="J5241" s="121"/>
      <c r="K5241" s="117"/>
    </row>
    <row r="5242" ht="15.75" customHeight="1">
      <c r="A5242" s="122"/>
      <c r="B5242" s="133"/>
      <c r="C5242" s="120"/>
      <c r="D5242" s="120"/>
      <c r="E5242" s="120"/>
      <c r="F5242" s="120"/>
      <c r="G5242" s="120"/>
      <c r="H5242" s="120"/>
      <c r="I5242" s="121"/>
      <c r="J5242" s="121"/>
      <c r="K5242" s="117"/>
    </row>
    <row r="5243" ht="15.75" customHeight="1">
      <c r="A5243" s="122"/>
      <c r="B5243" s="133"/>
      <c r="C5243" s="120"/>
      <c r="D5243" s="120"/>
      <c r="E5243" s="120"/>
      <c r="F5243" s="120"/>
      <c r="G5243" s="120"/>
      <c r="H5243" s="120"/>
      <c r="I5243" s="121"/>
      <c r="J5243" s="121"/>
      <c r="K5243" s="117"/>
    </row>
    <row r="5244" ht="15.75" customHeight="1">
      <c r="A5244" s="122"/>
      <c r="B5244" s="133"/>
      <c r="C5244" s="120"/>
      <c r="D5244" s="120"/>
      <c r="E5244" s="120"/>
      <c r="F5244" s="120"/>
      <c r="G5244" s="120"/>
      <c r="H5244" s="120"/>
      <c r="I5244" s="121"/>
      <c r="J5244" s="121"/>
      <c r="K5244" s="117"/>
    </row>
    <row r="5245" ht="15.75" customHeight="1">
      <c r="A5245" s="122"/>
      <c r="B5245" s="133"/>
      <c r="C5245" s="120"/>
      <c r="D5245" s="120"/>
      <c r="E5245" s="120"/>
      <c r="F5245" s="120"/>
      <c r="G5245" s="120"/>
      <c r="H5245" s="120"/>
      <c r="I5245" s="121"/>
      <c r="J5245" s="121"/>
      <c r="K5245" s="117"/>
    </row>
    <row r="5246" ht="15.75" customHeight="1">
      <c r="A5246" s="122"/>
      <c r="B5246" s="133"/>
      <c r="C5246" s="120"/>
      <c r="D5246" s="120"/>
      <c r="E5246" s="120"/>
      <c r="F5246" s="120"/>
      <c r="G5246" s="120"/>
      <c r="H5246" s="120"/>
      <c r="I5246" s="121"/>
      <c r="J5246" s="121"/>
      <c r="K5246" s="117"/>
    </row>
    <row r="5247" ht="15.75" customHeight="1">
      <c r="A5247" s="122"/>
      <c r="B5247" s="133"/>
      <c r="C5247" s="120"/>
      <c r="D5247" s="120"/>
      <c r="E5247" s="120"/>
      <c r="F5247" s="120"/>
      <c r="G5247" s="120"/>
      <c r="H5247" s="120"/>
      <c r="I5247" s="121"/>
      <c r="J5247" s="121"/>
      <c r="K5247" s="117"/>
    </row>
    <row r="5248" ht="15.75" customHeight="1">
      <c r="A5248" s="122"/>
      <c r="B5248" s="133"/>
      <c r="C5248" s="120"/>
      <c r="D5248" s="120"/>
      <c r="E5248" s="120"/>
      <c r="F5248" s="120"/>
      <c r="G5248" s="120"/>
      <c r="H5248" s="120"/>
      <c r="I5248" s="121"/>
      <c r="J5248" s="121"/>
      <c r="K5248" s="117"/>
    </row>
    <row r="5249" ht="15.75" customHeight="1">
      <c r="A5249" s="122"/>
      <c r="B5249" s="133"/>
      <c r="C5249" s="120"/>
      <c r="D5249" s="120"/>
      <c r="E5249" s="120"/>
      <c r="F5249" s="120"/>
      <c r="G5249" s="120"/>
      <c r="H5249" s="120"/>
      <c r="I5249" s="121"/>
      <c r="J5249" s="121"/>
      <c r="K5249" s="117"/>
    </row>
    <row r="5250" ht="15.75" customHeight="1">
      <c r="A5250" s="122"/>
      <c r="B5250" s="133"/>
      <c r="C5250" s="120"/>
      <c r="D5250" s="120"/>
      <c r="E5250" s="120"/>
      <c r="F5250" s="120"/>
      <c r="G5250" s="120"/>
      <c r="H5250" s="120"/>
      <c r="I5250" s="121"/>
      <c r="J5250" s="121"/>
      <c r="K5250" s="117"/>
    </row>
    <row r="5251" ht="15.75" customHeight="1">
      <c r="A5251" s="122"/>
      <c r="B5251" s="133"/>
      <c r="C5251" s="120"/>
      <c r="D5251" s="120"/>
      <c r="E5251" s="120"/>
      <c r="F5251" s="120"/>
      <c r="G5251" s="120"/>
      <c r="H5251" s="120"/>
      <c r="I5251" s="121"/>
      <c r="J5251" s="121"/>
      <c r="K5251" s="117"/>
    </row>
    <row r="5252" ht="15.75" customHeight="1">
      <c r="A5252" s="122"/>
      <c r="B5252" s="133"/>
      <c r="C5252" s="120"/>
      <c r="D5252" s="120"/>
      <c r="E5252" s="120"/>
      <c r="F5252" s="120"/>
      <c r="G5252" s="120"/>
      <c r="H5252" s="120"/>
      <c r="I5252" s="121"/>
      <c r="J5252" s="121"/>
      <c r="K5252" s="117"/>
    </row>
    <row r="5253" ht="15.75" customHeight="1">
      <c r="A5253" s="122"/>
      <c r="B5253" s="133"/>
      <c r="C5253" s="120"/>
      <c r="D5253" s="120"/>
      <c r="E5253" s="120"/>
      <c r="F5253" s="120"/>
      <c r="G5253" s="120"/>
      <c r="H5253" s="120"/>
      <c r="I5253" s="121"/>
      <c r="J5253" s="121"/>
      <c r="K5253" s="117"/>
    </row>
    <row r="5254" ht="15.75" customHeight="1">
      <c r="A5254" s="122"/>
      <c r="B5254" s="133"/>
      <c r="C5254" s="120"/>
      <c r="D5254" s="120"/>
      <c r="E5254" s="120"/>
      <c r="F5254" s="120"/>
      <c r="G5254" s="120"/>
      <c r="H5254" s="120"/>
      <c r="I5254" s="121"/>
      <c r="J5254" s="121"/>
      <c r="K5254" s="117"/>
    </row>
    <row r="5255" ht="15.75" customHeight="1">
      <c r="A5255" s="122"/>
      <c r="B5255" s="133"/>
      <c r="C5255" s="120"/>
      <c r="D5255" s="120"/>
      <c r="E5255" s="120"/>
      <c r="F5255" s="120"/>
      <c r="G5255" s="120"/>
      <c r="H5255" s="120"/>
      <c r="I5255" s="121"/>
      <c r="J5255" s="121"/>
      <c r="K5255" s="117"/>
    </row>
    <row r="5256" ht="15.75" customHeight="1">
      <c r="A5256" s="122"/>
      <c r="B5256" s="133"/>
      <c r="C5256" s="120"/>
      <c r="D5256" s="120"/>
      <c r="E5256" s="120"/>
      <c r="F5256" s="120"/>
      <c r="G5256" s="120"/>
      <c r="H5256" s="120"/>
      <c r="I5256" s="121"/>
      <c r="J5256" s="121"/>
      <c r="K5256" s="117"/>
    </row>
    <row r="5257" ht="15.75" customHeight="1">
      <c r="A5257" s="122"/>
      <c r="B5257" s="133"/>
      <c r="C5257" s="120"/>
      <c r="D5257" s="120"/>
      <c r="E5257" s="120"/>
      <c r="F5257" s="120"/>
      <c r="G5257" s="120"/>
      <c r="H5257" s="120"/>
      <c r="I5257" s="121"/>
      <c r="J5257" s="121"/>
      <c r="K5257" s="117"/>
    </row>
    <row r="5258" ht="15.75" customHeight="1">
      <c r="A5258" s="122"/>
      <c r="B5258" s="133"/>
      <c r="C5258" s="120"/>
      <c r="D5258" s="120"/>
      <c r="E5258" s="120"/>
      <c r="F5258" s="120"/>
      <c r="G5258" s="120"/>
      <c r="H5258" s="120"/>
      <c r="I5258" s="121"/>
      <c r="J5258" s="121"/>
      <c r="K5258" s="117"/>
    </row>
    <row r="5259" ht="15.75" customHeight="1">
      <c r="A5259" s="122"/>
      <c r="B5259" s="133"/>
      <c r="C5259" s="120"/>
      <c r="D5259" s="120"/>
      <c r="E5259" s="120"/>
      <c r="F5259" s="120"/>
      <c r="G5259" s="120"/>
      <c r="H5259" s="120"/>
      <c r="I5259" s="121"/>
      <c r="J5259" s="121"/>
      <c r="K5259" s="117"/>
    </row>
    <row r="5260" ht="15.75" customHeight="1">
      <c r="A5260" s="122"/>
      <c r="B5260" s="133"/>
      <c r="C5260" s="120"/>
      <c r="D5260" s="120"/>
      <c r="E5260" s="120"/>
      <c r="F5260" s="120"/>
      <c r="G5260" s="120"/>
      <c r="H5260" s="120"/>
      <c r="I5260" s="121"/>
      <c r="J5260" s="121"/>
      <c r="K5260" s="117"/>
    </row>
    <row r="5261" ht="15.75" customHeight="1">
      <c r="A5261" s="122"/>
      <c r="B5261" s="133"/>
      <c r="C5261" s="120"/>
      <c r="D5261" s="120"/>
      <c r="E5261" s="120"/>
      <c r="F5261" s="120"/>
      <c r="G5261" s="120"/>
      <c r="H5261" s="120"/>
      <c r="I5261" s="121"/>
      <c r="J5261" s="121"/>
      <c r="K5261" s="117"/>
    </row>
    <row r="5262" ht="15.75" customHeight="1">
      <c r="A5262" s="122"/>
      <c r="B5262" s="133"/>
      <c r="C5262" s="120"/>
      <c r="D5262" s="120"/>
      <c r="E5262" s="120"/>
      <c r="F5262" s="120"/>
      <c r="G5262" s="120"/>
      <c r="H5262" s="120"/>
      <c r="I5262" s="121"/>
      <c r="J5262" s="121"/>
      <c r="K5262" s="117"/>
    </row>
    <row r="5263" ht="15.75" customHeight="1">
      <c r="A5263" s="122"/>
      <c r="B5263" s="133"/>
      <c r="C5263" s="120"/>
      <c r="D5263" s="120"/>
      <c r="E5263" s="120"/>
      <c r="F5263" s="120"/>
      <c r="G5263" s="120"/>
      <c r="H5263" s="120"/>
      <c r="I5263" s="121"/>
      <c r="J5263" s="121"/>
      <c r="K5263" s="117"/>
    </row>
    <row r="5264" ht="15.75" customHeight="1">
      <c r="A5264" s="122"/>
      <c r="B5264" s="133"/>
      <c r="C5264" s="120"/>
      <c r="D5264" s="120"/>
      <c r="E5264" s="120"/>
      <c r="F5264" s="120"/>
      <c r="G5264" s="120"/>
      <c r="H5264" s="120"/>
      <c r="I5264" s="121"/>
      <c r="J5264" s="121"/>
      <c r="K5264" s="117"/>
    </row>
    <row r="5265" ht="15.75" customHeight="1">
      <c r="A5265" s="122"/>
      <c r="B5265" s="133"/>
      <c r="C5265" s="120"/>
      <c r="D5265" s="120"/>
      <c r="E5265" s="120"/>
      <c r="F5265" s="120"/>
      <c r="G5265" s="120"/>
      <c r="H5265" s="120"/>
      <c r="I5265" s="121"/>
      <c r="J5265" s="121"/>
      <c r="K5265" s="117"/>
    </row>
    <row r="5266" ht="15.75" customHeight="1">
      <c r="A5266" s="122"/>
      <c r="B5266" s="133"/>
      <c r="C5266" s="120"/>
      <c r="D5266" s="120"/>
      <c r="E5266" s="120"/>
      <c r="F5266" s="120"/>
      <c r="G5266" s="120"/>
      <c r="H5266" s="120"/>
      <c r="I5266" s="121"/>
      <c r="J5266" s="121"/>
      <c r="K5266" s="117"/>
    </row>
    <row r="5267" ht="15.75" customHeight="1">
      <c r="A5267" s="122"/>
      <c r="B5267" s="133"/>
      <c r="C5267" s="120"/>
      <c r="D5267" s="120"/>
      <c r="E5267" s="120"/>
      <c r="F5267" s="120"/>
      <c r="G5267" s="120"/>
      <c r="H5267" s="120"/>
      <c r="I5267" s="121"/>
      <c r="J5267" s="121"/>
      <c r="K5267" s="117"/>
    </row>
    <row r="5268" ht="15.75" customHeight="1">
      <c r="A5268" s="122"/>
      <c r="B5268" s="133"/>
      <c r="C5268" s="120"/>
      <c r="D5268" s="120"/>
      <c r="E5268" s="120"/>
      <c r="F5268" s="120"/>
      <c r="G5268" s="120"/>
      <c r="H5268" s="120"/>
      <c r="I5268" s="121"/>
      <c r="J5268" s="121"/>
      <c r="K5268" s="117"/>
    </row>
    <row r="5269" ht="15.75" customHeight="1">
      <c r="A5269" s="122"/>
      <c r="B5269" s="133"/>
      <c r="C5269" s="120"/>
      <c r="D5269" s="120"/>
      <c r="E5269" s="120"/>
      <c r="F5269" s="120"/>
      <c r="G5269" s="120"/>
      <c r="H5269" s="120"/>
      <c r="I5269" s="121"/>
      <c r="J5269" s="121"/>
      <c r="K5269" s="117"/>
    </row>
    <row r="5270" ht="15.75" customHeight="1">
      <c r="A5270" s="122"/>
      <c r="B5270" s="133"/>
      <c r="C5270" s="120"/>
      <c r="D5270" s="120"/>
      <c r="E5270" s="120"/>
      <c r="F5270" s="120"/>
      <c r="G5270" s="120"/>
      <c r="H5270" s="120"/>
      <c r="I5270" s="121"/>
      <c r="J5270" s="121"/>
      <c r="K5270" s="117"/>
    </row>
    <row r="5271" ht="15.75" customHeight="1">
      <c r="A5271" s="122"/>
      <c r="B5271" s="133"/>
      <c r="C5271" s="120"/>
      <c r="D5271" s="120"/>
      <c r="E5271" s="120"/>
      <c r="F5271" s="120"/>
      <c r="G5271" s="120"/>
      <c r="H5271" s="120"/>
      <c r="I5271" s="121"/>
      <c r="J5271" s="121"/>
      <c r="K5271" s="117"/>
    </row>
    <row r="5272" ht="15.75" customHeight="1">
      <c r="A5272" s="122"/>
      <c r="B5272" s="133"/>
      <c r="C5272" s="120"/>
      <c r="D5272" s="120"/>
      <c r="E5272" s="120"/>
      <c r="F5272" s="120"/>
      <c r="G5272" s="120"/>
      <c r="H5272" s="120"/>
      <c r="I5272" s="121"/>
      <c r="J5272" s="121"/>
      <c r="K5272" s="117"/>
    </row>
    <row r="5273" ht="15.75" customHeight="1">
      <c r="A5273" s="122"/>
      <c r="B5273" s="133"/>
      <c r="C5273" s="120"/>
      <c r="D5273" s="120"/>
      <c r="E5273" s="120"/>
      <c r="F5273" s="120"/>
      <c r="G5273" s="120"/>
      <c r="H5273" s="120"/>
      <c r="I5273" s="121"/>
      <c r="J5273" s="121"/>
      <c r="K5273" s="117"/>
    </row>
    <row r="5274" ht="15.75" customHeight="1">
      <c r="A5274" s="122"/>
      <c r="B5274" s="133"/>
      <c r="C5274" s="120"/>
      <c r="D5274" s="120"/>
      <c r="E5274" s="120"/>
      <c r="F5274" s="120"/>
      <c r="G5274" s="120"/>
      <c r="H5274" s="120"/>
      <c r="I5274" s="121"/>
      <c r="J5274" s="121"/>
      <c r="K5274" s="117"/>
    </row>
    <row r="5275" ht="15.75" customHeight="1">
      <c r="A5275" s="122"/>
      <c r="B5275" s="133"/>
      <c r="C5275" s="120"/>
      <c r="D5275" s="120"/>
      <c r="E5275" s="120"/>
      <c r="F5275" s="120"/>
      <c r="G5275" s="120"/>
      <c r="H5275" s="120"/>
      <c r="I5275" s="121"/>
      <c r="J5275" s="121"/>
      <c r="K5275" s="117"/>
    </row>
    <row r="5276" ht="15.75" customHeight="1">
      <c r="A5276" s="122"/>
      <c r="B5276" s="133"/>
      <c r="C5276" s="120"/>
      <c r="D5276" s="120"/>
      <c r="E5276" s="120"/>
      <c r="F5276" s="120"/>
      <c r="G5276" s="120"/>
      <c r="H5276" s="120"/>
      <c r="I5276" s="121"/>
      <c r="J5276" s="121"/>
      <c r="K5276" s="117"/>
    </row>
    <row r="5277" ht="15.75" customHeight="1">
      <c r="A5277" s="122"/>
      <c r="B5277" s="133"/>
      <c r="C5277" s="120"/>
      <c r="D5277" s="120"/>
      <c r="E5277" s="120"/>
      <c r="F5277" s="120"/>
      <c r="G5277" s="120"/>
      <c r="H5277" s="120"/>
      <c r="I5277" s="121"/>
      <c r="J5277" s="121"/>
      <c r="K5277" s="117"/>
    </row>
    <row r="5278" ht="15.75" customHeight="1">
      <c r="A5278" s="122"/>
      <c r="B5278" s="133"/>
      <c r="C5278" s="120"/>
      <c r="D5278" s="120"/>
      <c r="E5278" s="120"/>
      <c r="F5278" s="120"/>
      <c r="G5278" s="120"/>
      <c r="H5278" s="120"/>
      <c r="I5278" s="121"/>
      <c r="J5278" s="121"/>
      <c r="K5278" s="117"/>
    </row>
    <row r="5279" ht="15.75" customHeight="1">
      <c r="A5279" s="122"/>
      <c r="B5279" s="133"/>
      <c r="C5279" s="120"/>
      <c r="D5279" s="120"/>
      <c r="E5279" s="120"/>
      <c r="F5279" s="120"/>
      <c r="G5279" s="120"/>
      <c r="H5279" s="120"/>
      <c r="I5279" s="121"/>
      <c r="J5279" s="121"/>
      <c r="K5279" s="117"/>
    </row>
    <row r="5280" ht="15.75" customHeight="1">
      <c r="A5280" s="122"/>
      <c r="B5280" s="133"/>
      <c r="C5280" s="120"/>
      <c r="D5280" s="120"/>
      <c r="E5280" s="120"/>
      <c r="F5280" s="120"/>
      <c r="G5280" s="120"/>
      <c r="H5280" s="120"/>
      <c r="I5280" s="121"/>
      <c r="J5280" s="121"/>
      <c r="K5280" s="117"/>
    </row>
    <row r="5281" ht="15.75" customHeight="1">
      <c r="A5281" s="122"/>
      <c r="B5281" s="133"/>
      <c r="C5281" s="120"/>
      <c r="D5281" s="120"/>
      <c r="E5281" s="120"/>
      <c r="F5281" s="120"/>
      <c r="G5281" s="120"/>
      <c r="H5281" s="120"/>
      <c r="I5281" s="121"/>
      <c r="J5281" s="121"/>
      <c r="K5281" s="117"/>
    </row>
    <row r="5282" ht="15.75" customHeight="1">
      <c r="A5282" s="122"/>
      <c r="B5282" s="133"/>
      <c r="C5282" s="120"/>
      <c r="D5282" s="120"/>
      <c r="E5282" s="120"/>
      <c r="F5282" s="120"/>
      <c r="G5282" s="120"/>
      <c r="H5282" s="120"/>
      <c r="I5282" s="121"/>
      <c r="J5282" s="121"/>
      <c r="K5282" s="117"/>
    </row>
    <row r="5283" ht="15.75" customHeight="1">
      <c r="A5283" s="122"/>
      <c r="B5283" s="133"/>
      <c r="C5283" s="120"/>
      <c r="D5283" s="120"/>
      <c r="E5283" s="120"/>
      <c r="F5283" s="120"/>
      <c r="G5283" s="120"/>
      <c r="H5283" s="120"/>
      <c r="I5283" s="121"/>
      <c r="J5283" s="121"/>
      <c r="K5283" s="117"/>
    </row>
    <row r="5284" ht="15.75" customHeight="1">
      <c r="A5284" s="122"/>
      <c r="B5284" s="133"/>
      <c r="C5284" s="120"/>
      <c r="D5284" s="120"/>
      <c r="E5284" s="120"/>
      <c r="F5284" s="120"/>
      <c r="G5284" s="120"/>
      <c r="H5284" s="120"/>
      <c r="I5284" s="121"/>
      <c r="J5284" s="121"/>
      <c r="K5284" s="117"/>
    </row>
    <row r="5285" ht="15.75" customHeight="1">
      <c r="A5285" s="122"/>
      <c r="B5285" s="133"/>
      <c r="C5285" s="120"/>
      <c r="D5285" s="120"/>
      <c r="E5285" s="120"/>
      <c r="F5285" s="120"/>
      <c r="G5285" s="120"/>
      <c r="H5285" s="120"/>
      <c r="I5285" s="121"/>
      <c r="J5285" s="121"/>
      <c r="K5285" s="117"/>
    </row>
    <row r="5286" ht="15.75" customHeight="1">
      <c r="A5286" s="122"/>
      <c r="B5286" s="133"/>
      <c r="C5286" s="120"/>
      <c r="D5286" s="120"/>
      <c r="E5286" s="120"/>
      <c r="F5286" s="120"/>
      <c r="G5286" s="120"/>
      <c r="H5286" s="120"/>
      <c r="I5286" s="121"/>
      <c r="J5286" s="121"/>
      <c r="K5286" s="117"/>
    </row>
    <row r="5287" ht="15.75" customHeight="1">
      <c r="A5287" s="122"/>
      <c r="B5287" s="133"/>
      <c r="C5287" s="120"/>
      <c r="D5287" s="120"/>
      <c r="E5287" s="120"/>
      <c r="F5287" s="120"/>
      <c r="G5287" s="120"/>
      <c r="H5287" s="120"/>
      <c r="I5287" s="121"/>
      <c r="J5287" s="121"/>
      <c r="K5287" s="117"/>
    </row>
    <row r="5288" ht="15.75" customHeight="1">
      <c r="A5288" s="122"/>
      <c r="B5288" s="133"/>
      <c r="C5288" s="120"/>
      <c r="D5288" s="120"/>
      <c r="E5288" s="120"/>
      <c r="F5288" s="120"/>
      <c r="G5288" s="120"/>
      <c r="H5288" s="120"/>
      <c r="I5288" s="121"/>
      <c r="J5288" s="121"/>
      <c r="K5288" s="117"/>
    </row>
    <row r="5289" ht="15.75" customHeight="1">
      <c r="A5289" s="122"/>
      <c r="B5289" s="133"/>
      <c r="C5289" s="120"/>
      <c r="D5289" s="120"/>
      <c r="E5289" s="120"/>
      <c r="F5289" s="120"/>
      <c r="G5289" s="120"/>
      <c r="H5289" s="120"/>
      <c r="I5289" s="121"/>
      <c r="J5289" s="121"/>
      <c r="K5289" s="117"/>
    </row>
    <row r="5290" ht="15.75" customHeight="1">
      <c r="A5290" s="122"/>
      <c r="B5290" s="133"/>
      <c r="C5290" s="120"/>
      <c r="D5290" s="120"/>
      <c r="E5290" s="120"/>
      <c r="F5290" s="120"/>
      <c r="G5290" s="120"/>
      <c r="H5290" s="120"/>
      <c r="I5290" s="121"/>
      <c r="J5290" s="121"/>
      <c r="K5290" s="117"/>
    </row>
    <row r="5291" ht="15.75" customHeight="1">
      <c r="A5291" s="122"/>
      <c r="B5291" s="133"/>
      <c r="C5291" s="120"/>
      <c r="D5291" s="120"/>
      <c r="E5291" s="120"/>
      <c r="F5291" s="120"/>
      <c r="G5291" s="120"/>
      <c r="H5291" s="120"/>
      <c r="I5291" s="121"/>
      <c r="J5291" s="121"/>
      <c r="K5291" s="117"/>
    </row>
    <row r="5292" ht="15.75" customHeight="1">
      <c r="A5292" s="122"/>
      <c r="B5292" s="133"/>
      <c r="C5292" s="120"/>
      <c r="D5292" s="120"/>
      <c r="E5292" s="120"/>
      <c r="F5292" s="120"/>
      <c r="G5292" s="120"/>
      <c r="H5292" s="120"/>
      <c r="I5292" s="121"/>
      <c r="J5292" s="121"/>
      <c r="K5292" s="117"/>
    </row>
    <row r="5293" ht="15.75" customHeight="1">
      <c r="A5293" s="122"/>
      <c r="B5293" s="133"/>
      <c r="C5293" s="120"/>
      <c r="D5293" s="120"/>
      <c r="E5293" s="120"/>
      <c r="F5293" s="120"/>
      <c r="G5293" s="120"/>
      <c r="H5293" s="120"/>
      <c r="I5293" s="121"/>
      <c r="J5293" s="121"/>
      <c r="K5293" s="117"/>
    </row>
    <row r="5294" ht="15.75" customHeight="1">
      <c r="A5294" s="122"/>
      <c r="B5294" s="133"/>
      <c r="C5294" s="120"/>
      <c r="D5294" s="120"/>
      <c r="E5294" s="120"/>
      <c r="F5294" s="120"/>
      <c r="G5294" s="120"/>
      <c r="H5294" s="120"/>
      <c r="I5294" s="121"/>
      <c r="J5294" s="121"/>
      <c r="K5294" s="117"/>
    </row>
    <row r="5295" ht="15.75" customHeight="1">
      <c r="A5295" s="122"/>
      <c r="B5295" s="133"/>
      <c r="C5295" s="120"/>
      <c r="D5295" s="120"/>
      <c r="E5295" s="120"/>
      <c r="F5295" s="120"/>
      <c r="G5295" s="120"/>
      <c r="H5295" s="120"/>
      <c r="I5295" s="121"/>
      <c r="J5295" s="121"/>
      <c r="K5295" s="117"/>
    </row>
    <row r="5296" ht="15.75" customHeight="1">
      <c r="A5296" s="122"/>
      <c r="B5296" s="133"/>
      <c r="C5296" s="120"/>
      <c r="D5296" s="120"/>
      <c r="E5296" s="120"/>
      <c r="F5296" s="120"/>
      <c r="G5296" s="120"/>
      <c r="H5296" s="120"/>
      <c r="I5296" s="121"/>
      <c r="J5296" s="121"/>
      <c r="K5296" s="117"/>
    </row>
    <row r="5297" ht="15.75" customHeight="1">
      <c r="A5297" s="122"/>
      <c r="B5297" s="133"/>
      <c r="C5297" s="120"/>
      <c r="D5297" s="120"/>
      <c r="E5297" s="120"/>
      <c r="F5297" s="120"/>
      <c r="G5297" s="120"/>
      <c r="H5297" s="120"/>
      <c r="I5297" s="121"/>
      <c r="J5297" s="121"/>
      <c r="K5297" s="117"/>
    </row>
    <row r="5298" ht="15.75" customHeight="1">
      <c r="A5298" s="122"/>
      <c r="B5298" s="133"/>
      <c r="C5298" s="120"/>
      <c r="D5298" s="120"/>
      <c r="E5298" s="120"/>
      <c r="F5298" s="120"/>
      <c r="G5298" s="120"/>
      <c r="H5298" s="120"/>
      <c r="I5298" s="121"/>
      <c r="J5298" s="121"/>
      <c r="K5298" s="117"/>
    </row>
    <row r="5299" ht="15.75" customHeight="1">
      <c r="A5299" s="122"/>
      <c r="B5299" s="133"/>
      <c r="C5299" s="120"/>
      <c r="D5299" s="120"/>
      <c r="E5299" s="120"/>
      <c r="F5299" s="120"/>
      <c r="G5299" s="120"/>
      <c r="H5299" s="120"/>
      <c r="I5299" s="121"/>
      <c r="J5299" s="121"/>
      <c r="K5299" s="117"/>
    </row>
    <row r="5300" ht="15.75" customHeight="1">
      <c r="A5300" s="122"/>
      <c r="B5300" s="133"/>
      <c r="C5300" s="120"/>
      <c r="D5300" s="120"/>
      <c r="E5300" s="120"/>
      <c r="F5300" s="120"/>
      <c r="G5300" s="120"/>
      <c r="H5300" s="120"/>
      <c r="I5300" s="121"/>
      <c r="J5300" s="121"/>
      <c r="K5300" s="117"/>
    </row>
    <row r="5301" ht="15.75" customHeight="1">
      <c r="A5301" s="122"/>
      <c r="B5301" s="133"/>
      <c r="C5301" s="120"/>
      <c r="D5301" s="120"/>
      <c r="E5301" s="120"/>
      <c r="F5301" s="120"/>
      <c r="G5301" s="120"/>
      <c r="H5301" s="120"/>
      <c r="I5301" s="121"/>
      <c r="J5301" s="121"/>
      <c r="K5301" s="117"/>
    </row>
    <row r="5302" ht="15.75" customHeight="1">
      <c r="A5302" s="122"/>
      <c r="B5302" s="133"/>
      <c r="C5302" s="120"/>
      <c r="D5302" s="120"/>
      <c r="E5302" s="120"/>
      <c r="F5302" s="120"/>
      <c r="G5302" s="120"/>
      <c r="H5302" s="120"/>
      <c r="I5302" s="121"/>
      <c r="J5302" s="121"/>
      <c r="K5302" s="117"/>
    </row>
    <row r="5303" ht="15.75" customHeight="1">
      <c r="A5303" s="122"/>
      <c r="B5303" s="133"/>
      <c r="C5303" s="120"/>
      <c r="D5303" s="120"/>
      <c r="E5303" s="120"/>
      <c r="F5303" s="120"/>
      <c r="G5303" s="120"/>
      <c r="H5303" s="120"/>
      <c r="I5303" s="121"/>
      <c r="J5303" s="121"/>
      <c r="K5303" s="117"/>
    </row>
    <row r="5304" ht="15.75" customHeight="1">
      <c r="A5304" s="122"/>
      <c r="B5304" s="133"/>
      <c r="C5304" s="120"/>
      <c r="D5304" s="120"/>
      <c r="E5304" s="120"/>
      <c r="F5304" s="120"/>
      <c r="G5304" s="120"/>
      <c r="H5304" s="120"/>
      <c r="I5304" s="121"/>
      <c r="J5304" s="121"/>
      <c r="K5304" s="117"/>
    </row>
    <row r="5305" ht="15.75" customHeight="1">
      <c r="A5305" s="122"/>
      <c r="B5305" s="133"/>
      <c r="C5305" s="120"/>
      <c r="D5305" s="120"/>
      <c r="E5305" s="120"/>
      <c r="F5305" s="120"/>
      <c r="G5305" s="120"/>
      <c r="H5305" s="120"/>
      <c r="I5305" s="121"/>
      <c r="J5305" s="121"/>
      <c r="K5305" s="117"/>
    </row>
    <row r="5306" ht="15.75" customHeight="1">
      <c r="A5306" s="122"/>
      <c r="B5306" s="133"/>
      <c r="C5306" s="120"/>
      <c r="D5306" s="120"/>
      <c r="E5306" s="120"/>
      <c r="F5306" s="120"/>
      <c r="G5306" s="120"/>
      <c r="H5306" s="120"/>
      <c r="I5306" s="121"/>
      <c r="J5306" s="121"/>
      <c r="K5306" s="117"/>
    </row>
    <row r="5307" ht="15.75" customHeight="1">
      <c r="A5307" s="122"/>
      <c r="B5307" s="133"/>
      <c r="C5307" s="120"/>
      <c r="D5307" s="120"/>
      <c r="E5307" s="120"/>
      <c r="F5307" s="120"/>
      <c r="G5307" s="120"/>
      <c r="H5307" s="120"/>
      <c r="I5307" s="121"/>
      <c r="J5307" s="121"/>
      <c r="K5307" s="117"/>
    </row>
    <row r="5308" ht="15.75" customHeight="1">
      <c r="A5308" s="122"/>
      <c r="B5308" s="133"/>
      <c r="C5308" s="120"/>
      <c r="D5308" s="120"/>
      <c r="E5308" s="120"/>
      <c r="F5308" s="120"/>
      <c r="G5308" s="120"/>
      <c r="H5308" s="120"/>
      <c r="I5308" s="121"/>
      <c r="J5308" s="121"/>
      <c r="K5308" s="117"/>
    </row>
    <row r="5309" ht="15.75" customHeight="1">
      <c r="A5309" s="122"/>
      <c r="B5309" s="133"/>
      <c r="C5309" s="120"/>
      <c r="D5309" s="120"/>
      <c r="E5309" s="120"/>
      <c r="F5309" s="120"/>
      <c r="G5309" s="120"/>
      <c r="H5309" s="120"/>
      <c r="I5309" s="121"/>
      <c r="J5309" s="121"/>
      <c r="K5309" s="117"/>
    </row>
    <row r="5310" ht="15.75" customHeight="1">
      <c r="A5310" s="122"/>
      <c r="B5310" s="133"/>
      <c r="C5310" s="120"/>
      <c r="D5310" s="120"/>
      <c r="E5310" s="120"/>
      <c r="F5310" s="120"/>
      <c r="G5310" s="120"/>
      <c r="H5310" s="120"/>
      <c r="I5310" s="121"/>
      <c r="J5310" s="121"/>
      <c r="K5310" s="117"/>
    </row>
    <row r="5311" ht="15.75" customHeight="1">
      <c r="A5311" s="122"/>
      <c r="B5311" s="133"/>
      <c r="C5311" s="120"/>
      <c r="D5311" s="120"/>
      <c r="E5311" s="120"/>
      <c r="F5311" s="120"/>
      <c r="G5311" s="120"/>
      <c r="H5311" s="120"/>
      <c r="I5311" s="121"/>
      <c r="J5311" s="121"/>
      <c r="K5311" s="117"/>
    </row>
    <row r="5312" ht="15.75" customHeight="1">
      <c r="A5312" s="122"/>
      <c r="B5312" s="133"/>
      <c r="C5312" s="120"/>
      <c r="D5312" s="120"/>
      <c r="E5312" s="120"/>
      <c r="F5312" s="120"/>
      <c r="G5312" s="120"/>
      <c r="H5312" s="120"/>
      <c r="I5312" s="121"/>
      <c r="J5312" s="121"/>
      <c r="K5312" s="117"/>
    </row>
    <row r="5313" ht="15.75" customHeight="1">
      <c r="A5313" s="122"/>
      <c r="B5313" s="133"/>
      <c r="C5313" s="120"/>
      <c r="D5313" s="120"/>
      <c r="E5313" s="120"/>
      <c r="F5313" s="120"/>
      <c r="G5313" s="120"/>
      <c r="H5313" s="120"/>
      <c r="I5313" s="121"/>
      <c r="J5313" s="121"/>
      <c r="K5313" s="117"/>
    </row>
    <row r="5314" ht="15.75" customHeight="1">
      <c r="A5314" s="122"/>
      <c r="B5314" s="133"/>
      <c r="C5314" s="120"/>
      <c r="D5314" s="120"/>
      <c r="E5314" s="120"/>
      <c r="F5314" s="120"/>
      <c r="G5314" s="120"/>
      <c r="H5314" s="120"/>
      <c r="I5314" s="121"/>
      <c r="J5314" s="121"/>
      <c r="K5314" s="117"/>
    </row>
    <row r="5315" ht="15.75" customHeight="1">
      <c r="A5315" s="122"/>
      <c r="B5315" s="133"/>
      <c r="C5315" s="120"/>
      <c r="D5315" s="120"/>
      <c r="E5315" s="120"/>
      <c r="F5315" s="120"/>
      <c r="G5315" s="120"/>
      <c r="H5315" s="120"/>
      <c r="I5315" s="121"/>
      <c r="J5315" s="121"/>
      <c r="K5315" s="117"/>
    </row>
    <row r="5316" ht="15.75" customHeight="1">
      <c r="A5316" s="122"/>
      <c r="B5316" s="133"/>
      <c r="C5316" s="120"/>
      <c r="D5316" s="120"/>
      <c r="E5316" s="120"/>
      <c r="F5316" s="120"/>
      <c r="G5316" s="120"/>
      <c r="H5316" s="120"/>
      <c r="I5316" s="121"/>
      <c r="J5316" s="121"/>
      <c r="K5316" s="117"/>
    </row>
    <row r="5317" ht="15.75" customHeight="1">
      <c r="A5317" s="122"/>
      <c r="B5317" s="133"/>
      <c r="C5317" s="120"/>
      <c r="D5317" s="120"/>
      <c r="E5317" s="120"/>
      <c r="F5317" s="120"/>
      <c r="G5317" s="120"/>
      <c r="H5317" s="120"/>
      <c r="I5317" s="121"/>
      <c r="J5317" s="121"/>
      <c r="K5317" s="117"/>
    </row>
    <row r="5318" ht="15.75" customHeight="1">
      <c r="A5318" s="122"/>
      <c r="B5318" s="133"/>
      <c r="C5318" s="120"/>
      <c r="D5318" s="120"/>
      <c r="E5318" s="120"/>
      <c r="F5318" s="120"/>
      <c r="G5318" s="120"/>
      <c r="H5318" s="120"/>
      <c r="I5318" s="121"/>
      <c r="J5318" s="121"/>
      <c r="K5318" s="117"/>
    </row>
    <row r="5319" ht="15.75" customHeight="1">
      <c r="A5319" s="122"/>
      <c r="B5319" s="133"/>
      <c r="C5319" s="120"/>
      <c r="D5319" s="120"/>
      <c r="E5319" s="120"/>
      <c r="F5319" s="120"/>
      <c r="G5319" s="120"/>
      <c r="H5319" s="120"/>
      <c r="I5319" s="121"/>
      <c r="J5319" s="121"/>
      <c r="K5319" s="117"/>
    </row>
    <row r="5320" ht="15.75" customHeight="1">
      <c r="A5320" s="122"/>
      <c r="B5320" s="133"/>
      <c r="C5320" s="120"/>
      <c r="D5320" s="120"/>
      <c r="E5320" s="120"/>
      <c r="F5320" s="120"/>
      <c r="G5320" s="120"/>
      <c r="H5320" s="120"/>
      <c r="I5320" s="121"/>
      <c r="J5320" s="121"/>
      <c r="K5320" s="117"/>
    </row>
    <row r="5321" ht="15.75" customHeight="1">
      <c r="A5321" s="122"/>
      <c r="B5321" s="133"/>
      <c r="C5321" s="120"/>
      <c r="D5321" s="120"/>
      <c r="E5321" s="120"/>
      <c r="F5321" s="120"/>
      <c r="G5321" s="120"/>
      <c r="H5321" s="120"/>
      <c r="I5321" s="121"/>
      <c r="J5321" s="121"/>
      <c r="K5321" s="117"/>
    </row>
    <row r="5322" ht="15.75" customHeight="1">
      <c r="A5322" s="122"/>
      <c r="B5322" s="133"/>
      <c r="C5322" s="120"/>
      <c r="D5322" s="120"/>
      <c r="E5322" s="120"/>
      <c r="F5322" s="120"/>
      <c r="G5322" s="120"/>
      <c r="H5322" s="120"/>
      <c r="I5322" s="121"/>
      <c r="J5322" s="121"/>
      <c r="K5322" s="117"/>
    </row>
    <row r="5323" ht="15.75" customHeight="1">
      <c r="A5323" s="122"/>
      <c r="B5323" s="133"/>
      <c r="C5323" s="120"/>
      <c r="D5323" s="120"/>
      <c r="E5323" s="120"/>
      <c r="F5323" s="120"/>
      <c r="G5323" s="120"/>
      <c r="H5323" s="120"/>
      <c r="I5323" s="121"/>
      <c r="J5323" s="121"/>
      <c r="K5323" s="117"/>
    </row>
    <row r="5324" ht="15.75" customHeight="1">
      <c r="A5324" s="122"/>
      <c r="B5324" s="133"/>
      <c r="C5324" s="120"/>
      <c r="D5324" s="120"/>
      <c r="E5324" s="120"/>
      <c r="F5324" s="120"/>
      <c r="G5324" s="120"/>
      <c r="H5324" s="120"/>
      <c r="I5324" s="121"/>
      <c r="J5324" s="121"/>
      <c r="K5324" s="117"/>
    </row>
    <row r="5325" ht="15.75" customHeight="1">
      <c r="A5325" s="122"/>
      <c r="B5325" s="133"/>
      <c r="C5325" s="120"/>
      <c r="D5325" s="120"/>
      <c r="E5325" s="120"/>
      <c r="F5325" s="120"/>
      <c r="G5325" s="120"/>
      <c r="H5325" s="120"/>
      <c r="I5325" s="121"/>
      <c r="J5325" s="121"/>
      <c r="K5325" s="117"/>
    </row>
    <row r="5326" ht="15.75" customHeight="1">
      <c r="A5326" s="122"/>
      <c r="B5326" s="133"/>
      <c r="C5326" s="120"/>
      <c r="D5326" s="120"/>
      <c r="E5326" s="120"/>
      <c r="F5326" s="120"/>
      <c r="G5326" s="120"/>
      <c r="H5326" s="120"/>
      <c r="I5326" s="121"/>
      <c r="J5326" s="121"/>
      <c r="K5326" s="117"/>
    </row>
    <row r="5327" ht="15.75" customHeight="1">
      <c r="A5327" s="122"/>
      <c r="B5327" s="133"/>
      <c r="C5327" s="120"/>
      <c r="D5327" s="120"/>
      <c r="E5327" s="120"/>
      <c r="F5327" s="120"/>
      <c r="G5327" s="120"/>
      <c r="H5327" s="120"/>
      <c r="I5327" s="121"/>
      <c r="J5327" s="121"/>
      <c r="K5327" s="117"/>
    </row>
    <row r="5328" ht="15.75" customHeight="1">
      <c r="A5328" s="122"/>
      <c r="B5328" s="133"/>
      <c r="C5328" s="120"/>
      <c r="D5328" s="120"/>
      <c r="E5328" s="120"/>
      <c r="F5328" s="120"/>
      <c r="G5328" s="120"/>
      <c r="H5328" s="120"/>
      <c r="I5328" s="121"/>
      <c r="J5328" s="121"/>
      <c r="K5328" s="117"/>
    </row>
    <row r="5329" ht="15.75" customHeight="1">
      <c r="A5329" s="122"/>
      <c r="B5329" s="133"/>
      <c r="C5329" s="120"/>
      <c r="D5329" s="120"/>
      <c r="E5329" s="120"/>
      <c r="F5329" s="120"/>
      <c r="G5329" s="120"/>
      <c r="H5329" s="120"/>
      <c r="I5329" s="121"/>
      <c r="J5329" s="121"/>
      <c r="K5329" s="117"/>
    </row>
    <row r="5330" ht="15.75" customHeight="1">
      <c r="A5330" s="122"/>
      <c r="B5330" s="133"/>
      <c r="C5330" s="120"/>
      <c r="D5330" s="120"/>
      <c r="E5330" s="120"/>
      <c r="F5330" s="120"/>
      <c r="G5330" s="120"/>
      <c r="H5330" s="120"/>
      <c r="I5330" s="121"/>
      <c r="J5330" s="121"/>
      <c r="K5330" s="117"/>
    </row>
    <row r="5331" ht="15.75" customHeight="1">
      <c r="A5331" s="122"/>
      <c r="B5331" s="133"/>
      <c r="C5331" s="120"/>
      <c r="D5331" s="120"/>
      <c r="E5331" s="120"/>
      <c r="F5331" s="120"/>
      <c r="G5331" s="120"/>
      <c r="H5331" s="120"/>
      <c r="I5331" s="121"/>
      <c r="J5331" s="121"/>
      <c r="K5331" s="117"/>
    </row>
    <row r="5332" ht="15.75" customHeight="1">
      <c r="A5332" s="122"/>
      <c r="B5332" s="133"/>
      <c r="C5332" s="120"/>
      <c r="D5332" s="120"/>
      <c r="E5332" s="120"/>
      <c r="F5332" s="120"/>
      <c r="G5332" s="120"/>
      <c r="H5332" s="120"/>
      <c r="I5332" s="121"/>
      <c r="J5332" s="121"/>
      <c r="K5332" s="117"/>
    </row>
    <row r="5333" ht="15.75" customHeight="1">
      <c r="A5333" s="122"/>
      <c r="B5333" s="133"/>
      <c r="C5333" s="120"/>
      <c r="D5333" s="120"/>
      <c r="E5333" s="120"/>
      <c r="F5333" s="120"/>
      <c r="G5333" s="120"/>
      <c r="H5333" s="120"/>
      <c r="I5333" s="121"/>
      <c r="J5333" s="121"/>
      <c r="K5333" s="117"/>
    </row>
    <row r="5334" ht="15.75" customHeight="1">
      <c r="A5334" s="122"/>
      <c r="B5334" s="133"/>
      <c r="C5334" s="120"/>
      <c r="D5334" s="120"/>
      <c r="E5334" s="120"/>
      <c r="F5334" s="120"/>
      <c r="G5334" s="120"/>
      <c r="H5334" s="120"/>
      <c r="I5334" s="121"/>
      <c r="J5334" s="121"/>
      <c r="K5334" s="117"/>
    </row>
    <row r="5335" ht="15.75" customHeight="1">
      <c r="A5335" s="122"/>
      <c r="B5335" s="133"/>
      <c r="C5335" s="120"/>
      <c r="D5335" s="120"/>
      <c r="E5335" s="120"/>
      <c r="F5335" s="120"/>
      <c r="G5335" s="120"/>
      <c r="H5335" s="120"/>
      <c r="I5335" s="121"/>
      <c r="J5335" s="121"/>
      <c r="K5335" s="117"/>
    </row>
    <row r="5336" ht="15.75" customHeight="1">
      <c r="A5336" s="122"/>
      <c r="B5336" s="133"/>
      <c r="C5336" s="120"/>
      <c r="D5336" s="120"/>
      <c r="E5336" s="120"/>
      <c r="F5336" s="120"/>
      <c r="G5336" s="120"/>
      <c r="H5336" s="120"/>
      <c r="I5336" s="121"/>
      <c r="J5336" s="121"/>
      <c r="K5336" s="117"/>
    </row>
    <row r="5337" ht="15.75" customHeight="1">
      <c r="A5337" s="122"/>
      <c r="B5337" s="133"/>
      <c r="C5337" s="120"/>
      <c r="D5337" s="120"/>
      <c r="E5337" s="120"/>
      <c r="F5337" s="120"/>
      <c r="G5337" s="120"/>
      <c r="H5337" s="120"/>
      <c r="I5337" s="121"/>
      <c r="J5337" s="121"/>
      <c r="K5337" s="117"/>
    </row>
    <row r="5338" ht="15.75" customHeight="1">
      <c r="A5338" s="122"/>
      <c r="B5338" s="133"/>
      <c r="C5338" s="120"/>
      <c r="D5338" s="120"/>
      <c r="E5338" s="120"/>
      <c r="F5338" s="120"/>
      <c r="G5338" s="120"/>
      <c r="H5338" s="120"/>
      <c r="I5338" s="121"/>
      <c r="J5338" s="121"/>
      <c r="K5338" s="117"/>
    </row>
    <row r="5339" ht="15.75" customHeight="1">
      <c r="A5339" s="122"/>
      <c r="B5339" s="133"/>
      <c r="C5339" s="120"/>
      <c r="D5339" s="120"/>
      <c r="E5339" s="120"/>
      <c r="F5339" s="120"/>
      <c r="G5339" s="120"/>
      <c r="H5339" s="120"/>
      <c r="I5339" s="121"/>
      <c r="J5339" s="121"/>
      <c r="K5339" s="117"/>
    </row>
    <row r="5340" ht="15.75" customHeight="1">
      <c r="A5340" s="122"/>
      <c r="B5340" s="133"/>
      <c r="C5340" s="120"/>
      <c r="D5340" s="120"/>
      <c r="E5340" s="120"/>
      <c r="F5340" s="120"/>
      <c r="G5340" s="120"/>
      <c r="H5340" s="120"/>
      <c r="I5340" s="121"/>
      <c r="J5340" s="121"/>
      <c r="K5340" s="117"/>
    </row>
    <row r="5341" ht="15.75" customHeight="1">
      <c r="A5341" s="122"/>
      <c r="B5341" s="133"/>
      <c r="C5341" s="120"/>
      <c r="D5341" s="120"/>
      <c r="E5341" s="120"/>
      <c r="F5341" s="120"/>
      <c r="G5341" s="120"/>
      <c r="H5341" s="120"/>
      <c r="I5341" s="121"/>
      <c r="J5341" s="121"/>
      <c r="K5341" s="117"/>
    </row>
    <row r="5342" ht="15.75" customHeight="1">
      <c r="A5342" s="122"/>
      <c r="B5342" s="133"/>
      <c r="C5342" s="120"/>
      <c r="D5342" s="120"/>
      <c r="E5342" s="120"/>
      <c r="F5342" s="120"/>
      <c r="G5342" s="120"/>
      <c r="H5342" s="120"/>
      <c r="I5342" s="121"/>
      <c r="J5342" s="121"/>
      <c r="K5342" s="117"/>
    </row>
    <row r="5343" ht="15.75" customHeight="1">
      <c r="A5343" s="122"/>
      <c r="B5343" s="133"/>
      <c r="C5343" s="120"/>
      <c r="D5343" s="120"/>
      <c r="E5343" s="120"/>
      <c r="F5343" s="120"/>
      <c r="G5343" s="120"/>
      <c r="H5343" s="120"/>
      <c r="I5343" s="121"/>
      <c r="J5343" s="121"/>
      <c r="K5343" s="117"/>
    </row>
    <row r="5344" ht="15.75" customHeight="1">
      <c r="A5344" s="122"/>
      <c r="B5344" s="133"/>
      <c r="C5344" s="120"/>
      <c r="D5344" s="120"/>
      <c r="E5344" s="120"/>
      <c r="F5344" s="120"/>
      <c r="G5344" s="120"/>
      <c r="H5344" s="120"/>
      <c r="I5344" s="121"/>
      <c r="J5344" s="121"/>
      <c r="K5344" s="117"/>
    </row>
    <row r="5345" ht="15.75" customHeight="1">
      <c r="A5345" s="122"/>
      <c r="B5345" s="133"/>
      <c r="C5345" s="120"/>
      <c r="D5345" s="120"/>
      <c r="E5345" s="120"/>
      <c r="F5345" s="120"/>
      <c r="G5345" s="120"/>
      <c r="H5345" s="120"/>
      <c r="I5345" s="121"/>
      <c r="J5345" s="121"/>
      <c r="K5345" s="117"/>
    </row>
    <row r="5346" ht="15.75" customHeight="1">
      <c r="A5346" s="122"/>
      <c r="B5346" s="133"/>
      <c r="C5346" s="120"/>
      <c r="D5346" s="120"/>
      <c r="E5346" s="120"/>
      <c r="F5346" s="120"/>
      <c r="G5346" s="120"/>
      <c r="H5346" s="120"/>
      <c r="I5346" s="121"/>
      <c r="J5346" s="121"/>
      <c r="K5346" s="117"/>
    </row>
    <row r="5347" ht="15.75" customHeight="1">
      <c r="A5347" s="122"/>
      <c r="B5347" s="133"/>
      <c r="C5347" s="120"/>
      <c r="D5347" s="120"/>
      <c r="E5347" s="120"/>
      <c r="F5347" s="120"/>
      <c r="G5347" s="120"/>
      <c r="H5347" s="120"/>
      <c r="I5347" s="121"/>
      <c r="J5347" s="121"/>
      <c r="K5347" s="117"/>
    </row>
    <row r="5348" ht="15.75" customHeight="1">
      <c r="A5348" s="122"/>
      <c r="B5348" s="133"/>
      <c r="C5348" s="120"/>
      <c r="D5348" s="120"/>
      <c r="E5348" s="120"/>
      <c r="F5348" s="120"/>
      <c r="G5348" s="120"/>
      <c r="H5348" s="120"/>
      <c r="I5348" s="121"/>
      <c r="J5348" s="121"/>
      <c r="K5348" s="117"/>
    </row>
    <row r="5349" ht="15.75" customHeight="1">
      <c r="A5349" s="122"/>
      <c r="B5349" s="133"/>
      <c r="C5349" s="120"/>
      <c r="D5349" s="120"/>
      <c r="E5349" s="120"/>
      <c r="F5349" s="120"/>
      <c r="G5349" s="120"/>
      <c r="H5349" s="120"/>
      <c r="I5349" s="121"/>
      <c r="J5349" s="121"/>
      <c r="K5349" s="117"/>
    </row>
    <row r="5350" ht="15.75" customHeight="1">
      <c r="A5350" s="122"/>
      <c r="B5350" s="133"/>
      <c r="C5350" s="120"/>
      <c r="D5350" s="120"/>
      <c r="E5350" s="120"/>
      <c r="F5350" s="120"/>
      <c r="G5350" s="120"/>
      <c r="H5350" s="120"/>
      <c r="I5350" s="121"/>
      <c r="J5350" s="121"/>
      <c r="K5350" s="117"/>
    </row>
    <row r="5351" ht="15.75" customHeight="1">
      <c r="A5351" s="122"/>
      <c r="B5351" s="133"/>
      <c r="C5351" s="120"/>
      <c r="D5351" s="120"/>
      <c r="E5351" s="120"/>
      <c r="F5351" s="120"/>
      <c r="G5351" s="120"/>
      <c r="H5351" s="120"/>
      <c r="I5351" s="121"/>
      <c r="J5351" s="121"/>
      <c r="K5351" s="117"/>
    </row>
    <row r="5352" ht="15.75" customHeight="1">
      <c r="A5352" s="122"/>
      <c r="B5352" s="133"/>
      <c r="C5352" s="120"/>
      <c r="D5352" s="120"/>
      <c r="E5352" s="120"/>
      <c r="F5352" s="120"/>
      <c r="G5352" s="120"/>
      <c r="H5352" s="120"/>
      <c r="I5352" s="121"/>
      <c r="J5352" s="121"/>
      <c r="K5352" s="117"/>
    </row>
    <row r="5353" ht="15.75" customHeight="1">
      <c r="A5353" s="122"/>
      <c r="B5353" s="133"/>
      <c r="C5353" s="120"/>
      <c r="D5353" s="120"/>
      <c r="E5353" s="120"/>
      <c r="F5353" s="120"/>
      <c r="G5353" s="120"/>
      <c r="H5353" s="120"/>
      <c r="I5353" s="121"/>
      <c r="J5353" s="121"/>
      <c r="K5353" s="117"/>
    </row>
    <row r="5354" ht="15.75" customHeight="1">
      <c r="A5354" s="122"/>
      <c r="B5354" s="133"/>
      <c r="C5354" s="120"/>
      <c r="D5354" s="120"/>
      <c r="E5354" s="120"/>
      <c r="F5354" s="120"/>
      <c r="G5354" s="120"/>
      <c r="H5354" s="120"/>
      <c r="I5354" s="121"/>
      <c r="J5354" s="121"/>
      <c r="K5354" s="117"/>
    </row>
    <row r="5355" ht="15.75" customHeight="1">
      <c r="A5355" s="122"/>
      <c r="B5355" s="133"/>
      <c r="C5355" s="120"/>
      <c r="D5355" s="120"/>
      <c r="E5355" s="120"/>
      <c r="F5355" s="120"/>
      <c r="G5355" s="120"/>
      <c r="H5355" s="120"/>
      <c r="I5355" s="121"/>
      <c r="J5355" s="121"/>
      <c r="K5355" s="117"/>
    </row>
    <row r="5356" ht="15.75" customHeight="1">
      <c r="A5356" s="122"/>
      <c r="B5356" s="133"/>
      <c r="C5356" s="120"/>
      <c r="D5356" s="120"/>
      <c r="E5356" s="120"/>
      <c r="F5356" s="120"/>
      <c r="G5356" s="120"/>
      <c r="H5356" s="120"/>
      <c r="I5356" s="121"/>
      <c r="J5356" s="121"/>
      <c r="K5356" s="117"/>
    </row>
    <row r="5357" ht="15.75" customHeight="1">
      <c r="A5357" s="122"/>
      <c r="B5357" s="133"/>
      <c r="C5357" s="120"/>
      <c r="D5357" s="120"/>
      <c r="E5357" s="120"/>
      <c r="F5357" s="120"/>
      <c r="G5357" s="120"/>
      <c r="H5357" s="120"/>
      <c r="I5357" s="121"/>
      <c r="J5357" s="121"/>
      <c r="K5357" s="117"/>
    </row>
    <row r="5358" ht="15.75" customHeight="1">
      <c r="A5358" s="122"/>
      <c r="B5358" s="133"/>
      <c r="C5358" s="120"/>
      <c r="D5358" s="120"/>
      <c r="E5358" s="120"/>
      <c r="F5358" s="120"/>
      <c r="G5358" s="120"/>
      <c r="H5358" s="120"/>
      <c r="I5358" s="121"/>
      <c r="J5358" s="121"/>
      <c r="K5358" s="117"/>
    </row>
    <row r="5359" ht="15.75" customHeight="1">
      <c r="A5359" s="122"/>
      <c r="B5359" s="133"/>
      <c r="C5359" s="120"/>
      <c r="D5359" s="120"/>
      <c r="E5359" s="120"/>
      <c r="F5359" s="120"/>
      <c r="G5359" s="120"/>
      <c r="H5359" s="120"/>
      <c r="I5359" s="121"/>
      <c r="J5359" s="121"/>
      <c r="K5359" s="117"/>
    </row>
    <row r="5360" ht="15.75" customHeight="1">
      <c r="A5360" s="122"/>
      <c r="B5360" s="133"/>
      <c r="C5360" s="120"/>
      <c r="D5360" s="120"/>
      <c r="E5360" s="120"/>
      <c r="F5360" s="120"/>
      <c r="G5360" s="120"/>
      <c r="H5360" s="120"/>
      <c r="I5360" s="121"/>
      <c r="J5360" s="121"/>
      <c r="K5360" s="117"/>
    </row>
    <row r="5361" ht="15.75" customHeight="1">
      <c r="A5361" s="122"/>
      <c r="B5361" s="133"/>
      <c r="C5361" s="120"/>
      <c r="D5361" s="120"/>
      <c r="E5361" s="120"/>
      <c r="F5361" s="120"/>
      <c r="G5361" s="120"/>
      <c r="H5361" s="120"/>
      <c r="I5361" s="121"/>
      <c r="J5361" s="121"/>
      <c r="K5361" s="117"/>
    </row>
    <row r="5362" ht="15.75" customHeight="1">
      <c r="A5362" s="122"/>
      <c r="B5362" s="133"/>
      <c r="C5362" s="120"/>
      <c r="D5362" s="120"/>
      <c r="E5362" s="120"/>
      <c r="F5362" s="120"/>
      <c r="G5362" s="120"/>
      <c r="H5362" s="120"/>
      <c r="I5362" s="121"/>
      <c r="J5362" s="121"/>
      <c r="K5362" s="117"/>
    </row>
    <row r="5363" ht="15.75" customHeight="1">
      <c r="A5363" s="122"/>
      <c r="B5363" s="133"/>
      <c r="C5363" s="120"/>
      <c r="D5363" s="120"/>
      <c r="E5363" s="120"/>
      <c r="F5363" s="120"/>
      <c r="G5363" s="120"/>
      <c r="H5363" s="120"/>
      <c r="I5363" s="121"/>
      <c r="J5363" s="121"/>
      <c r="K5363" s="117"/>
    </row>
    <row r="5364" ht="15.75" customHeight="1">
      <c r="A5364" s="122"/>
      <c r="B5364" s="133"/>
      <c r="C5364" s="120"/>
      <c r="D5364" s="120"/>
      <c r="E5364" s="120"/>
      <c r="F5364" s="120"/>
      <c r="G5364" s="120"/>
      <c r="H5364" s="120"/>
      <c r="I5364" s="121"/>
      <c r="J5364" s="121"/>
      <c r="K5364" s="117"/>
    </row>
    <row r="5365" ht="15.75" customHeight="1">
      <c r="A5365" s="122"/>
      <c r="B5365" s="133"/>
      <c r="C5365" s="120"/>
      <c r="D5365" s="120"/>
      <c r="E5365" s="120"/>
      <c r="F5365" s="120"/>
      <c r="G5365" s="120"/>
      <c r="H5365" s="120"/>
      <c r="I5365" s="121"/>
      <c r="J5365" s="121"/>
      <c r="K5365" s="117"/>
    </row>
    <row r="5366" ht="15.75" customHeight="1">
      <c r="A5366" s="122"/>
      <c r="B5366" s="133"/>
      <c r="C5366" s="120"/>
      <c r="D5366" s="120"/>
      <c r="E5366" s="120"/>
      <c r="F5366" s="120"/>
      <c r="G5366" s="120"/>
      <c r="H5366" s="120"/>
      <c r="I5366" s="121"/>
      <c r="J5366" s="121"/>
      <c r="K5366" s="117"/>
    </row>
    <row r="5367" ht="15.75" customHeight="1">
      <c r="A5367" s="122"/>
      <c r="B5367" s="133"/>
      <c r="C5367" s="120"/>
      <c r="D5367" s="120"/>
      <c r="E5367" s="120"/>
      <c r="F5367" s="120"/>
      <c r="G5367" s="120"/>
      <c r="H5367" s="120"/>
      <c r="I5367" s="121"/>
      <c r="J5367" s="121"/>
      <c r="K5367" s="117"/>
    </row>
    <row r="5368" ht="15.75" customHeight="1">
      <c r="A5368" s="122"/>
      <c r="B5368" s="133"/>
      <c r="C5368" s="120"/>
      <c r="D5368" s="120"/>
      <c r="E5368" s="120"/>
      <c r="F5368" s="120"/>
      <c r="G5368" s="120"/>
      <c r="H5368" s="120"/>
      <c r="I5368" s="121"/>
      <c r="J5368" s="121"/>
      <c r="K5368" s="117"/>
    </row>
    <row r="5369" ht="15.75" customHeight="1">
      <c r="A5369" s="122"/>
      <c r="B5369" s="133"/>
      <c r="C5369" s="120"/>
      <c r="D5369" s="120"/>
      <c r="E5369" s="120"/>
      <c r="F5369" s="120"/>
      <c r="G5369" s="120"/>
      <c r="H5369" s="120"/>
      <c r="I5369" s="121"/>
      <c r="J5369" s="121"/>
      <c r="K5369" s="117"/>
    </row>
    <row r="5370" ht="15.75" customHeight="1">
      <c r="A5370" s="122"/>
      <c r="B5370" s="133"/>
      <c r="C5370" s="120"/>
      <c r="D5370" s="120"/>
      <c r="E5370" s="120"/>
      <c r="F5370" s="120"/>
      <c r="G5370" s="120"/>
      <c r="H5370" s="120"/>
      <c r="I5370" s="121"/>
      <c r="J5370" s="121"/>
      <c r="K5370" s="117"/>
    </row>
    <row r="5371" ht="15.75" customHeight="1">
      <c r="A5371" s="122"/>
      <c r="B5371" s="133"/>
      <c r="C5371" s="120"/>
      <c r="D5371" s="120"/>
      <c r="E5371" s="120"/>
      <c r="F5371" s="120"/>
      <c r="G5371" s="120"/>
      <c r="H5371" s="120"/>
      <c r="I5371" s="121"/>
      <c r="J5371" s="121"/>
      <c r="K5371" s="117"/>
    </row>
    <row r="5372" ht="15.75" customHeight="1">
      <c r="A5372" s="122"/>
      <c r="B5372" s="133"/>
      <c r="C5372" s="120"/>
      <c r="D5372" s="120"/>
      <c r="E5372" s="120"/>
      <c r="F5372" s="120"/>
      <c r="G5372" s="120"/>
      <c r="H5372" s="120"/>
      <c r="I5372" s="121"/>
      <c r="J5372" s="121"/>
      <c r="K5372" s="117"/>
    </row>
    <row r="5373" ht="15.75" customHeight="1">
      <c r="A5373" s="122"/>
      <c r="B5373" s="133"/>
      <c r="C5373" s="120"/>
      <c r="D5373" s="120"/>
      <c r="E5373" s="120"/>
      <c r="F5373" s="120"/>
      <c r="G5373" s="120"/>
      <c r="H5373" s="120"/>
      <c r="I5373" s="121"/>
      <c r="J5373" s="121"/>
      <c r="K5373" s="117"/>
    </row>
    <row r="5374" ht="15.75" customHeight="1">
      <c r="A5374" s="122"/>
      <c r="B5374" s="133"/>
      <c r="C5374" s="120"/>
      <c r="D5374" s="120"/>
      <c r="E5374" s="120"/>
      <c r="F5374" s="120"/>
      <c r="G5374" s="120"/>
      <c r="H5374" s="120"/>
      <c r="I5374" s="121"/>
      <c r="J5374" s="121"/>
      <c r="K5374" s="117"/>
    </row>
    <row r="5375" ht="15.75" customHeight="1">
      <c r="A5375" s="122"/>
      <c r="B5375" s="133"/>
      <c r="C5375" s="120"/>
      <c r="D5375" s="120"/>
      <c r="E5375" s="120"/>
      <c r="F5375" s="120"/>
      <c r="G5375" s="120"/>
      <c r="H5375" s="120"/>
      <c r="I5375" s="121"/>
      <c r="J5375" s="121"/>
      <c r="K5375" s="117"/>
    </row>
    <row r="5376" ht="15.75" customHeight="1">
      <c r="A5376" s="122"/>
      <c r="B5376" s="133"/>
      <c r="C5376" s="120"/>
      <c r="D5376" s="120"/>
      <c r="E5376" s="120"/>
      <c r="F5376" s="120"/>
      <c r="G5376" s="120"/>
      <c r="H5376" s="120"/>
      <c r="I5376" s="121"/>
      <c r="J5376" s="121"/>
      <c r="K5376" s="117"/>
    </row>
    <row r="5377" ht="15.75" customHeight="1">
      <c r="A5377" s="122"/>
      <c r="B5377" s="133"/>
      <c r="C5377" s="120"/>
      <c r="D5377" s="120"/>
      <c r="E5377" s="120"/>
      <c r="F5377" s="120"/>
      <c r="G5377" s="120"/>
      <c r="H5377" s="120"/>
      <c r="I5377" s="121"/>
      <c r="J5377" s="121"/>
      <c r="K5377" s="117"/>
    </row>
    <row r="5378" ht="15.75" customHeight="1">
      <c r="A5378" s="122"/>
      <c r="B5378" s="133"/>
      <c r="C5378" s="120"/>
      <c r="D5378" s="120"/>
      <c r="E5378" s="120"/>
      <c r="F5378" s="120"/>
      <c r="G5378" s="120"/>
      <c r="H5378" s="120"/>
      <c r="I5378" s="121"/>
      <c r="J5378" s="121"/>
      <c r="K5378" s="117"/>
    </row>
    <row r="5379" ht="15.75" customHeight="1">
      <c r="A5379" s="122"/>
      <c r="B5379" s="133"/>
      <c r="C5379" s="120"/>
      <c r="D5379" s="120"/>
      <c r="E5379" s="120"/>
      <c r="F5379" s="120"/>
      <c r="G5379" s="120"/>
      <c r="H5379" s="120"/>
      <c r="I5379" s="121"/>
      <c r="J5379" s="121"/>
      <c r="K5379" s="117"/>
    </row>
    <row r="5380" ht="15.75" customHeight="1">
      <c r="A5380" s="122"/>
      <c r="B5380" s="133"/>
      <c r="C5380" s="120"/>
      <c r="D5380" s="120"/>
      <c r="E5380" s="120"/>
      <c r="F5380" s="120"/>
      <c r="G5380" s="120"/>
      <c r="H5380" s="120"/>
      <c r="I5380" s="121"/>
      <c r="J5380" s="121"/>
      <c r="K5380" s="117"/>
    </row>
    <row r="5381" ht="15.75" customHeight="1">
      <c r="A5381" s="122"/>
      <c r="B5381" s="133"/>
      <c r="C5381" s="120"/>
      <c r="D5381" s="120"/>
      <c r="E5381" s="120"/>
      <c r="F5381" s="120"/>
      <c r="G5381" s="120"/>
      <c r="H5381" s="120"/>
      <c r="I5381" s="121"/>
      <c r="J5381" s="121"/>
      <c r="K5381" s="117"/>
    </row>
    <row r="5382" ht="15.75" customHeight="1">
      <c r="A5382" s="122"/>
      <c r="B5382" s="133"/>
      <c r="C5382" s="120"/>
      <c r="D5382" s="120"/>
      <c r="E5382" s="120"/>
      <c r="F5382" s="120"/>
      <c r="G5382" s="120"/>
      <c r="H5382" s="120"/>
      <c r="I5382" s="121"/>
      <c r="J5382" s="121"/>
      <c r="K5382" s="117"/>
    </row>
    <row r="5383" ht="15.75" customHeight="1">
      <c r="A5383" s="122"/>
      <c r="B5383" s="133"/>
      <c r="C5383" s="120"/>
      <c r="D5383" s="120"/>
      <c r="E5383" s="120"/>
      <c r="F5383" s="120"/>
      <c r="G5383" s="120"/>
      <c r="H5383" s="120"/>
      <c r="I5383" s="121"/>
      <c r="J5383" s="121"/>
      <c r="K5383" s="117"/>
    </row>
    <row r="5384" ht="15.75" customHeight="1">
      <c r="A5384" s="122"/>
      <c r="B5384" s="133"/>
      <c r="C5384" s="120"/>
      <c r="D5384" s="120"/>
      <c r="E5384" s="120"/>
      <c r="F5384" s="120"/>
      <c r="G5384" s="120"/>
      <c r="H5384" s="120"/>
      <c r="I5384" s="121"/>
      <c r="J5384" s="121"/>
      <c r="K5384" s="117"/>
    </row>
    <row r="5385" ht="15.75" customHeight="1">
      <c r="A5385" s="122"/>
      <c r="B5385" s="133"/>
      <c r="C5385" s="120"/>
      <c r="D5385" s="120"/>
      <c r="E5385" s="120"/>
      <c r="F5385" s="120"/>
      <c r="G5385" s="120"/>
      <c r="H5385" s="120"/>
      <c r="I5385" s="121"/>
      <c r="J5385" s="121"/>
      <c r="K5385" s="117"/>
    </row>
    <row r="5386" ht="15.75" customHeight="1">
      <c r="A5386" s="122"/>
      <c r="B5386" s="133"/>
      <c r="C5386" s="120"/>
      <c r="D5386" s="120"/>
      <c r="E5386" s="120"/>
      <c r="F5386" s="120"/>
      <c r="G5386" s="120"/>
      <c r="H5386" s="120"/>
      <c r="I5386" s="121"/>
      <c r="J5386" s="121"/>
      <c r="K5386" s="117"/>
    </row>
    <row r="5387" ht="15.75" customHeight="1">
      <c r="A5387" s="122"/>
      <c r="B5387" s="133"/>
      <c r="C5387" s="120"/>
      <c r="D5387" s="120"/>
      <c r="E5387" s="120"/>
      <c r="F5387" s="120"/>
      <c r="G5387" s="120"/>
      <c r="H5387" s="120"/>
      <c r="I5387" s="121"/>
      <c r="J5387" s="121"/>
      <c r="K5387" s="117"/>
    </row>
    <row r="5388" ht="15.75" customHeight="1">
      <c r="A5388" s="122"/>
      <c r="B5388" s="133"/>
      <c r="C5388" s="120"/>
      <c r="D5388" s="120"/>
      <c r="E5388" s="120"/>
      <c r="F5388" s="120"/>
      <c r="G5388" s="120"/>
      <c r="H5388" s="120"/>
      <c r="I5388" s="121"/>
      <c r="J5388" s="121"/>
      <c r="K5388" s="117"/>
    </row>
    <row r="5389" ht="15.75" customHeight="1">
      <c r="A5389" s="122"/>
      <c r="B5389" s="133"/>
      <c r="C5389" s="120"/>
      <c r="D5389" s="120"/>
      <c r="E5389" s="120"/>
      <c r="F5389" s="120"/>
      <c r="G5389" s="120"/>
      <c r="H5389" s="120"/>
      <c r="I5389" s="121"/>
      <c r="J5389" s="121"/>
      <c r="K5389" s="117"/>
    </row>
    <row r="5390" ht="15.75" customHeight="1">
      <c r="A5390" s="122"/>
      <c r="B5390" s="133"/>
      <c r="C5390" s="120"/>
      <c r="D5390" s="120"/>
      <c r="E5390" s="120"/>
      <c r="F5390" s="120"/>
      <c r="G5390" s="120"/>
      <c r="H5390" s="120"/>
      <c r="I5390" s="121"/>
      <c r="J5390" s="121"/>
      <c r="K5390" s="117"/>
    </row>
    <row r="5391" ht="15.75" customHeight="1">
      <c r="A5391" s="122"/>
      <c r="B5391" s="133"/>
      <c r="C5391" s="120"/>
      <c r="D5391" s="120"/>
      <c r="E5391" s="120"/>
      <c r="F5391" s="120"/>
      <c r="G5391" s="120"/>
      <c r="H5391" s="120"/>
      <c r="I5391" s="121"/>
      <c r="J5391" s="121"/>
      <c r="K5391" s="117"/>
    </row>
    <row r="5392" ht="15.75" customHeight="1">
      <c r="A5392" s="122"/>
      <c r="B5392" s="133"/>
      <c r="C5392" s="120"/>
      <c r="D5392" s="120"/>
      <c r="E5392" s="120"/>
      <c r="F5392" s="120"/>
      <c r="G5392" s="120"/>
      <c r="H5392" s="120"/>
      <c r="I5392" s="121"/>
      <c r="J5392" s="121"/>
      <c r="K5392" s="117"/>
    </row>
    <row r="5393" ht="15.75" customHeight="1">
      <c r="A5393" s="122"/>
      <c r="B5393" s="133"/>
      <c r="C5393" s="120"/>
      <c r="D5393" s="120"/>
      <c r="E5393" s="120"/>
      <c r="F5393" s="120"/>
      <c r="G5393" s="120"/>
      <c r="H5393" s="120"/>
      <c r="I5393" s="121"/>
      <c r="J5393" s="121"/>
      <c r="K5393" s="117"/>
    </row>
    <row r="5394" ht="15.75" customHeight="1">
      <c r="A5394" s="122"/>
      <c r="B5394" s="133"/>
      <c r="C5394" s="120"/>
      <c r="D5394" s="120"/>
      <c r="E5394" s="120"/>
      <c r="F5394" s="120"/>
      <c r="G5394" s="120"/>
      <c r="H5394" s="120"/>
      <c r="I5394" s="121"/>
      <c r="J5394" s="121"/>
      <c r="K5394" s="117"/>
    </row>
    <row r="5395" ht="15.75" customHeight="1">
      <c r="A5395" s="122"/>
      <c r="B5395" s="133"/>
      <c r="C5395" s="120"/>
      <c r="D5395" s="120"/>
      <c r="E5395" s="120"/>
      <c r="F5395" s="120"/>
      <c r="G5395" s="120"/>
      <c r="H5395" s="120"/>
      <c r="I5395" s="121"/>
      <c r="J5395" s="121"/>
      <c r="K5395" s="117"/>
    </row>
    <row r="5396" ht="15.75" customHeight="1">
      <c r="A5396" s="122"/>
      <c r="B5396" s="133"/>
      <c r="C5396" s="120"/>
      <c r="D5396" s="120"/>
      <c r="E5396" s="120"/>
      <c r="F5396" s="120"/>
      <c r="G5396" s="120"/>
      <c r="H5396" s="120"/>
      <c r="I5396" s="121"/>
      <c r="J5396" s="121"/>
      <c r="K5396" s="117"/>
    </row>
    <row r="5397" ht="15.75" customHeight="1">
      <c r="A5397" s="122"/>
      <c r="B5397" s="133"/>
      <c r="C5397" s="120"/>
      <c r="D5397" s="120"/>
      <c r="E5397" s="120"/>
      <c r="F5397" s="120"/>
      <c r="G5397" s="120"/>
      <c r="H5397" s="120"/>
      <c r="I5397" s="121"/>
      <c r="J5397" s="121"/>
      <c r="K5397" s="117"/>
    </row>
    <row r="5398" ht="15.75" customHeight="1">
      <c r="A5398" s="122"/>
      <c r="B5398" s="133"/>
      <c r="C5398" s="120"/>
      <c r="D5398" s="120"/>
      <c r="E5398" s="120"/>
      <c r="F5398" s="120"/>
      <c r="G5398" s="120"/>
      <c r="H5398" s="120"/>
      <c r="I5398" s="121"/>
      <c r="J5398" s="121"/>
      <c r="K5398" s="117"/>
    </row>
    <row r="5399" ht="15.75" customHeight="1">
      <c r="A5399" s="122"/>
      <c r="B5399" s="133"/>
      <c r="C5399" s="120"/>
      <c r="D5399" s="120"/>
      <c r="E5399" s="120"/>
      <c r="F5399" s="120"/>
      <c r="G5399" s="120"/>
      <c r="H5399" s="120"/>
      <c r="I5399" s="121"/>
      <c r="J5399" s="121"/>
      <c r="K5399" s="117"/>
    </row>
    <row r="5400" ht="15.75" customHeight="1">
      <c r="A5400" s="122"/>
      <c r="B5400" s="133"/>
      <c r="C5400" s="120"/>
      <c r="D5400" s="120"/>
      <c r="E5400" s="120"/>
      <c r="F5400" s="120"/>
      <c r="G5400" s="120"/>
      <c r="H5400" s="120"/>
      <c r="I5400" s="121"/>
      <c r="J5400" s="121"/>
      <c r="K5400" s="117"/>
    </row>
    <row r="5401" ht="15.75" customHeight="1">
      <c r="A5401" s="122"/>
      <c r="B5401" s="133"/>
      <c r="C5401" s="120"/>
      <c r="D5401" s="120"/>
      <c r="E5401" s="120"/>
      <c r="F5401" s="120"/>
      <c r="G5401" s="120"/>
      <c r="H5401" s="120"/>
      <c r="I5401" s="121"/>
      <c r="J5401" s="121"/>
      <c r="K5401" s="117"/>
    </row>
    <row r="5402" ht="15.75" customHeight="1">
      <c r="A5402" s="122"/>
      <c r="B5402" s="133"/>
      <c r="C5402" s="120"/>
      <c r="D5402" s="120"/>
      <c r="E5402" s="120"/>
      <c r="F5402" s="120"/>
      <c r="G5402" s="120"/>
      <c r="H5402" s="120"/>
      <c r="I5402" s="121"/>
      <c r="J5402" s="121"/>
      <c r="K5402" s="117"/>
    </row>
    <row r="5403" ht="15.75" customHeight="1">
      <c r="A5403" s="122"/>
      <c r="B5403" s="133"/>
      <c r="C5403" s="120"/>
      <c r="D5403" s="120"/>
      <c r="E5403" s="120"/>
      <c r="F5403" s="120"/>
      <c r="G5403" s="120"/>
      <c r="H5403" s="120"/>
      <c r="I5403" s="121"/>
      <c r="J5403" s="121"/>
      <c r="K5403" s="117"/>
    </row>
    <row r="5404" ht="15.75" customHeight="1">
      <c r="A5404" s="122"/>
      <c r="B5404" s="133"/>
      <c r="C5404" s="120"/>
      <c r="D5404" s="120"/>
      <c r="E5404" s="120"/>
      <c r="F5404" s="120"/>
      <c r="G5404" s="120"/>
      <c r="H5404" s="120"/>
      <c r="I5404" s="121"/>
      <c r="J5404" s="121"/>
      <c r="K5404" s="117"/>
    </row>
    <row r="5405" ht="15.75" customHeight="1">
      <c r="A5405" s="122"/>
      <c r="B5405" s="133"/>
      <c r="C5405" s="120"/>
      <c r="D5405" s="120"/>
      <c r="E5405" s="120"/>
      <c r="F5405" s="120"/>
      <c r="G5405" s="120"/>
      <c r="H5405" s="120"/>
      <c r="I5405" s="121"/>
      <c r="J5405" s="121"/>
      <c r="K5405" s="117"/>
    </row>
    <row r="5406" ht="15.75" customHeight="1">
      <c r="A5406" s="122"/>
      <c r="B5406" s="133"/>
      <c r="C5406" s="120"/>
      <c r="D5406" s="120"/>
      <c r="E5406" s="120"/>
      <c r="F5406" s="120"/>
      <c r="G5406" s="120"/>
      <c r="H5406" s="120"/>
      <c r="I5406" s="121"/>
      <c r="J5406" s="121"/>
      <c r="K5406" s="117"/>
    </row>
    <row r="5407" ht="15.75" customHeight="1">
      <c r="A5407" s="122"/>
      <c r="B5407" s="133"/>
      <c r="C5407" s="120"/>
      <c r="D5407" s="120"/>
      <c r="E5407" s="120"/>
      <c r="F5407" s="120"/>
      <c r="G5407" s="120"/>
      <c r="H5407" s="120"/>
      <c r="I5407" s="121"/>
      <c r="J5407" s="121"/>
      <c r="K5407" s="117"/>
    </row>
    <row r="5408" ht="15.75" customHeight="1">
      <c r="A5408" s="122"/>
      <c r="B5408" s="133"/>
      <c r="C5408" s="120"/>
      <c r="D5408" s="120"/>
      <c r="E5408" s="120"/>
      <c r="F5408" s="120"/>
      <c r="G5408" s="120"/>
      <c r="H5408" s="120"/>
      <c r="I5408" s="121"/>
      <c r="J5408" s="121"/>
      <c r="K5408" s="117"/>
    </row>
    <row r="5409" ht="15.75" customHeight="1">
      <c r="A5409" s="122"/>
      <c r="B5409" s="133"/>
      <c r="C5409" s="120"/>
      <c r="D5409" s="120"/>
      <c r="E5409" s="120"/>
      <c r="F5409" s="120"/>
      <c r="G5409" s="120"/>
      <c r="H5409" s="120"/>
      <c r="I5409" s="121"/>
      <c r="J5409" s="121"/>
      <c r="K5409" s="117"/>
    </row>
    <row r="5410" ht="15.75" customHeight="1">
      <c r="A5410" s="122"/>
      <c r="B5410" s="133"/>
      <c r="C5410" s="120"/>
      <c r="D5410" s="120"/>
      <c r="E5410" s="120"/>
      <c r="F5410" s="120"/>
      <c r="G5410" s="120"/>
      <c r="H5410" s="120"/>
      <c r="I5410" s="121"/>
      <c r="J5410" s="121"/>
      <c r="K5410" s="117"/>
    </row>
    <row r="5411" ht="15.75" customHeight="1">
      <c r="A5411" s="122"/>
      <c r="B5411" s="133"/>
      <c r="C5411" s="120"/>
      <c r="D5411" s="120"/>
      <c r="E5411" s="120"/>
      <c r="F5411" s="120"/>
      <c r="G5411" s="120"/>
      <c r="H5411" s="120"/>
      <c r="I5411" s="121"/>
      <c r="J5411" s="121"/>
      <c r="K5411" s="117"/>
    </row>
    <row r="5412" ht="15.75" customHeight="1">
      <c r="A5412" s="122"/>
      <c r="B5412" s="133"/>
      <c r="C5412" s="120"/>
      <c r="D5412" s="120"/>
      <c r="E5412" s="120"/>
      <c r="F5412" s="120"/>
      <c r="G5412" s="120"/>
      <c r="H5412" s="120"/>
      <c r="I5412" s="121"/>
      <c r="J5412" s="121"/>
      <c r="K5412" s="117"/>
    </row>
    <row r="5413" ht="15.75" customHeight="1">
      <c r="A5413" s="122"/>
      <c r="B5413" s="133"/>
      <c r="C5413" s="120"/>
      <c r="D5413" s="120"/>
      <c r="E5413" s="120"/>
      <c r="F5413" s="120"/>
      <c r="G5413" s="120"/>
      <c r="H5413" s="120"/>
      <c r="I5413" s="121"/>
      <c r="J5413" s="121"/>
      <c r="K5413" s="117"/>
    </row>
    <row r="5414" ht="15.75" customHeight="1">
      <c r="A5414" s="122"/>
      <c r="B5414" s="133"/>
      <c r="C5414" s="120"/>
      <c r="D5414" s="120"/>
      <c r="E5414" s="120"/>
      <c r="F5414" s="120"/>
      <c r="G5414" s="120"/>
      <c r="H5414" s="120"/>
      <c r="I5414" s="121"/>
      <c r="J5414" s="121"/>
      <c r="K5414" s="117"/>
    </row>
    <row r="5415" ht="15.75" customHeight="1">
      <c r="A5415" s="122"/>
      <c r="B5415" s="133"/>
      <c r="C5415" s="120"/>
      <c r="D5415" s="120"/>
      <c r="E5415" s="120"/>
      <c r="F5415" s="120"/>
      <c r="G5415" s="120"/>
      <c r="H5415" s="120"/>
      <c r="I5415" s="121"/>
      <c r="J5415" s="121"/>
      <c r="K5415" s="117"/>
    </row>
    <row r="5416" ht="15.75" customHeight="1">
      <c r="A5416" s="122"/>
      <c r="B5416" s="133"/>
      <c r="C5416" s="120"/>
      <c r="D5416" s="120"/>
      <c r="E5416" s="120"/>
      <c r="F5416" s="120"/>
      <c r="G5416" s="120"/>
      <c r="H5416" s="120"/>
      <c r="I5416" s="121"/>
      <c r="J5416" s="121"/>
      <c r="K5416" s="117"/>
    </row>
    <row r="5417" ht="15.75" customHeight="1">
      <c r="A5417" s="122"/>
      <c r="B5417" s="133"/>
      <c r="C5417" s="120"/>
      <c r="D5417" s="120"/>
      <c r="E5417" s="120"/>
      <c r="F5417" s="120"/>
      <c r="G5417" s="120"/>
      <c r="H5417" s="120"/>
      <c r="I5417" s="121"/>
      <c r="J5417" s="121"/>
      <c r="K5417" s="117"/>
    </row>
    <row r="5418" ht="15.75" customHeight="1">
      <c r="A5418" s="122"/>
      <c r="B5418" s="133"/>
      <c r="C5418" s="120"/>
      <c r="D5418" s="120"/>
      <c r="E5418" s="120"/>
      <c r="F5418" s="120"/>
      <c r="G5418" s="120"/>
      <c r="H5418" s="120"/>
      <c r="I5418" s="121"/>
      <c r="J5418" s="121"/>
      <c r="K5418" s="117"/>
    </row>
    <row r="5419" ht="15.75" customHeight="1">
      <c r="A5419" s="122"/>
      <c r="B5419" s="133"/>
      <c r="C5419" s="120"/>
      <c r="D5419" s="120"/>
      <c r="E5419" s="120"/>
      <c r="F5419" s="120"/>
      <c r="G5419" s="120"/>
      <c r="H5419" s="120"/>
      <c r="I5419" s="121"/>
      <c r="J5419" s="121"/>
      <c r="K5419" s="117"/>
    </row>
    <row r="5420" ht="15.75" customHeight="1">
      <c r="A5420" s="122"/>
      <c r="B5420" s="133"/>
      <c r="C5420" s="120"/>
      <c r="D5420" s="120"/>
      <c r="E5420" s="120"/>
      <c r="F5420" s="120"/>
      <c r="G5420" s="120"/>
      <c r="H5420" s="120"/>
      <c r="I5420" s="121"/>
      <c r="J5420" s="121"/>
      <c r="K5420" s="117"/>
    </row>
    <row r="5421" ht="15.75" customHeight="1">
      <c r="A5421" s="122"/>
      <c r="B5421" s="133"/>
      <c r="C5421" s="120"/>
      <c r="D5421" s="120"/>
      <c r="E5421" s="120"/>
      <c r="F5421" s="120"/>
      <c r="G5421" s="120"/>
      <c r="H5421" s="120"/>
      <c r="I5421" s="121"/>
      <c r="J5421" s="121"/>
      <c r="K5421" s="117"/>
    </row>
    <row r="5422" ht="15.75" customHeight="1">
      <c r="A5422" s="122"/>
      <c r="B5422" s="133"/>
      <c r="C5422" s="120"/>
      <c r="D5422" s="120"/>
      <c r="E5422" s="120"/>
      <c r="F5422" s="120"/>
      <c r="G5422" s="120"/>
      <c r="H5422" s="120"/>
      <c r="I5422" s="121"/>
      <c r="J5422" s="121"/>
      <c r="K5422" s="117"/>
    </row>
    <row r="5423" ht="15.75" customHeight="1">
      <c r="A5423" s="122"/>
      <c r="B5423" s="133"/>
      <c r="C5423" s="120"/>
      <c r="D5423" s="120"/>
      <c r="E5423" s="120"/>
      <c r="F5423" s="120"/>
      <c r="G5423" s="120"/>
      <c r="H5423" s="120"/>
      <c r="I5423" s="121"/>
      <c r="J5423" s="121"/>
      <c r="K5423" s="117"/>
    </row>
    <row r="5424" ht="15.75" customHeight="1">
      <c r="A5424" s="122"/>
      <c r="B5424" s="133"/>
      <c r="C5424" s="120"/>
      <c r="D5424" s="120"/>
      <c r="E5424" s="120"/>
      <c r="F5424" s="120"/>
      <c r="G5424" s="120"/>
      <c r="H5424" s="120"/>
      <c r="I5424" s="121"/>
      <c r="J5424" s="121"/>
      <c r="K5424" s="117"/>
    </row>
    <row r="5425" ht="15.75" customHeight="1">
      <c r="A5425" s="122"/>
      <c r="B5425" s="133"/>
      <c r="C5425" s="120"/>
      <c r="D5425" s="120"/>
      <c r="E5425" s="120"/>
      <c r="F5425" s="120"/>
      <c r="G5425" s="120"/>
      <c r="H5425" s="120"/>
      <c r="I5425" s="121"/>
      <c r="J5425" s="121"/>
      <c r="K5425" s="117"/>
    </row>
    <row r="5426" ht="15.75" customHeight="1">
      <c r="A5426" s="122"/>
      <c r="B5426" s="133"/>
      <c r="C5426" s="120"/>
      <c r="D5426" s="120"/>
      <c r="E5426" s="120"/>
      <c r="F5426" s="120"/>
      <c r="G5426" s="120"/>
      <c r="H5426" s="120"/>
      <c r="I5426" s="121"/>
      <c r="J5426" s="121"/>
      <c r="K5426" s="117"/>
    </row>
    <row r="5427" ht="15.75" customHeight="1">
      <c r="A5427" s="122"/>
      <c r="B5427" s="133"/>
      <c r="C5427" s="120"/>
      <c r="D5427" s="120"/>
      <c r="E5427" s="120"/>
      <c r="F5427" s="120"/>
      <c r="G5427" s="120"/>
      <c r="H5427" s="120"/>
      <c r="I5427" s="121"/>
      <c r="J5427" s="121"/>
      <c r="K5427" s="117"/>
    </row>
    <row r="5428" ht="15.75" customHeight="1">
      <c r="A5428" s="122"/>
      <c r="B5428" s="133"/>
      <c r="C5428" s="120"/>
      <c r="D5428" s="120"/>
      <c r="E5428" s="120"/>
      <c r="F5428" s="120"/>
      <c r="G5428" s="120"/>
      <c r="H5428" s="120"/>
      <c r="I5428" s="121"/>
      <c r="J5428" s="121"/>
      <c r="K5428" s="117"/>
    </row>
    <row r="5429" ht="15.75" customHeight="1">
      <c r="A5429" s="122"/>
      <c r="B5429" s="133"/>
      <c r="C5429" s="120"/>
      <c r="D5429" s="120"/>
      <c r="E5429" s="120"/>
      <c r="F5429" s="120"/>
      <c r="G5429" s="120"/>
      <c r="H5429" s="120"/>
      <c r="I5429" s="121"/>
      <c r="J5429" s="121"/>
      <c r="K5429" s="117"/>
    </row>
    <row r="5430" ht="15.75" customHeight="1">
      <c r="A5430" s="122"/>
      <c r="B5430" s="133"/>
      <c r="C5430" s="120"/>
      <c r="D5430" s="120"/>
      <c r="E5430" s="120"/>
      <c r="F5430" s="120"/>
      <c r="G5430" s="120"/>
      <c r="H5430" s="120"/>
      <c r="I5430" s="121"/>
      <c r="J5430" s="121"/>
      <c r="K5430" s="117"/>
    </row>
    <row r="5431" ht="15.75" customHeight="1">
      <c r="A5431" s="122"/>
      <c r="B5431" s="133"/>
      <c r="C5431" s="120"/>
      <c r="D5431" s="120"/>
      <c r="E5431" s="120"/>
      <c r="F5431" s="120"/>
      <c r="G5431" s="120"/>
      <c r="H5431" s="120"/>
      <c r="I5431" s="121"/>
      <c r="J5431" s="121"/>
      <c r="K5431" s="117"/>
    </row>
    <row r="5432" ht="15.75" customHeight="1">
      <c r="A5432" s="122"/>
      <c r="B5432" s="133"/>
      <c r="C5432" s="120"/>
      <c r="D5432" s="120"/>
      <c r="E5432" s="120"/>
      <c r="F5432" s="120"/>
      <c r="G5432" s="120"/>
      <c r="H5432" s="120"/>
      <c r="I5432" s="121"/>
      <c r="J5432" s="121"/>
      <c r="K5432" s="117"/>
    </row>
    <row r="5433" ht="15.75" customHeight="1">
      <c r="A5433" s="122"/>
      <c r="B5433" s="133"/>
      <c r="C5433" s="120"/>
      <c r="D5433" s="120"/>
      <c r="E5433" s="120"/>
      <c r="F5433" s="120"/>
      <c r="G5433" s="120"/>
      <c r="H5433" s="120"/>
      <c r="I5433" s="121"/>
      <c r="J5433" s="121"/>
      <c r="K5433" s="117"/>
    </row>
    <row r="5434" ht="15.75" customHeight="1">
      <c r="A5434" s="122"/>
      <c r="B5434" s="133"/>
      <c r="C5434" s="120"/>
      <c r="D5434" s="120"/>
      <c r="E5434" s="120"/>
      <c r="F5434" s="120"/>
      <c r="G5434" s="120"/>
      <c r="H5434" s="120"/>
      <c r="I5434" s="121"/>
      <c r="J5434" s="121"/>
      <c r="K5434" s="117"/>
    </row>
    <row r="5435" ht="15.75" customHeight="1">
      <c r="A5435" s="122"/>
      <c r="B5435" s="133"/>
      <c r="C5435" s="120"/>
      <c r="D5435" s="120"/>
      <c r="E5435" s="120"/>
      <c r="F5435" s="120"/>
      <c r="G5435" s="120"/>
      <c r="H5435" s="120"/>
      <c r="I5435" s="121"/>
      <c r="J5435" s="121"/>
      <c r="K5435" s="117"/>
    </row>
    <row r="5436" ht="15.75" customHeight="1">
      <c r="A5436" s="122"/>
      <c r="B5436" s="133"/>
      <c r="C5436" s="120"/>
      <c r="D5436" s="120"/>
      <c r="E5436" s="120"/>
      <c r="F5436" s="120"/>
      <c r="G5436" s="120"/>
      <c r="H5436" s="120"/>
      <c r="I5436" s="121"/>
      <c r="J5436" s="121"/>
      <c r="K5436" s="117"/>
    </row>
    <row r="5437" ht="15.75" customHeight="1">
      <c r="A5437" s="122"/>
      <c r="B5437" s="133"/>
      <c r="C5437" s="120"/>
      <c r="D5437" s="120"/>
      <c r="E5437" s="120"/>
      <c r="F5437" s="120"/>
      <c r="G5437" s="120"/>
      <c r="H5437" s="120"/>
      <c r="I5437" s="121"/>
      <c r="J5437" s="121"/>
      <c r="K5437" s="117"/>
    </row>
    <row r="5438" ht="15.75" customHeight="1">
      <c r="A5438" s="122"/>
      <c r="B5438" s="133"/>
      <c r="C5438" s="120"/>
      <c r="D5438" s="120"/>
      <c r="E5438" s="120"/>
      <c r="F5438" s="120"/>
      <c r="G5438" s="120"/>
      <c r="H5438" s="120"/>
      <c r="I5438" s="121"/>
      <c r="J5438" s="121"/>
      <c r="K5438" s="117"/>
    </row>
    <row r="5439" ht="15.75" customHeight="1">
      <c r="A5439" s="122"/>
      <c r="B5439" s="133"/>
      <c r="C5439" s="120"/>
      <c r="D5439" s="120"/>
      <c r="E5439" s="120"/>
      <c r="F5439" s="120"/>
      <c r="G5439" s="120"/>
      <c r="H5439" s="120"/>
      <c r="I5439" s="121"/>
      <c r="J5439" s="121"/>
      <c r="K5439" s="117"/>
    </row>
    <row r="5440" ht="15.75" customHeight="1">
      <c r="A5440" s="122"/>
      <c r="B5440" s="133"/>
      <c r="C5440" s="120"/>
      <c r="D5440" s="120"/>
      <c r="E5440" s="120"/>
      <c r="F5440" s="120"/>
      <c r="G5440" s="120"/>
      <c r="H5440" s="120"/>
      <c r="I5440" s="121"/>
      <c r="J5440" s="121"/>
      <c r="K5440" s="117"/>
    </row>
    <row r="5441" ht="15.75" customHeight="1">
      <c r="A5441" s="122"/>
      <c r="B5441" s="133"/>
      <c r="C5441" s="120"/>
      <c r="D5441" s="120"/>
      <c r="E5441" s="120"/>
      <c r="F5441" s="120"/>
      <c r="G5441" s="120"/>
      <c r="H5441" s="120"/>
      <c r="I5441" s="121"/>
      <c r="J5441" s="121"/>
      <c r="K5441" s="117"/>
    </row>
    <row r="5442" ht="15.75" customHeight="1">
      <c r="A5442" s="122"/>
      <c r="B5442" s="133"/>
      <c r="C5442" s="120"/>
      <c r="D5442" s="120"/>
      <c r="E5442" s="120"/>
      <c r="F5442" s="120"/>
      <c r="G5442" s="120"/>
      <c r="H5442" s="120"/>
      <c r="I5442" s="121"/>
      <c r="J5442" s="121"/>
      <c r="K5442" s="117"/>
    </row>
    <row r="5443" ht="15.75" customHeight="1">
      <c r="A5443" s="122"/>
      <c r="B5443" s="133"/>
      <c r="C5443" s="120"/>
      <c r="D5443" s="120"/>
      <c r="E5443" s="120"/>
      <c r="F5443" s="120"/>
      <c r="G5443" s="120"/>
      <c r="H5443" s="120"/>
      <c r="I5443" s="121"/>
      <c r="J5443" s="121"/>
      <c r="K5443" s="117"/>
    </row>
    <row r="5444" ht="15.75" customHeight="1">
      <c r="A5444" s="122"/>
      <c r="B5444" s="133"/>
      <c r="C5444" s="120"/>
      <c r="D5444" s="120"/>
      <c r="E5444" s="120"/>
      <c r="F5444" s="120"/>
      <c r="G5444" s="120"/>
      <c r="H5444" s="120"/>
      <c r="I5444" s="121"/>
      <c r="J5444" s="121"/>
      <c r="K5444" s="117"/>
    </row>
    <row r="5445" ht="15.75" customHeight="1">
      <c r="A5445" s="122"/>
      <c r="B5445" s="133"/>
      <c r="C5445" s="120"/>
      <c r="D5445" s="120"/>
      <c r="E5445" s="120"/>
      <c r="F5445" s="120"/>
      <c r="G5445" s="120"/>
      <c r="H5445" s="120"/>
      <c r="I5445" s="121"/>
      <c r="J5445" s="121"/>
      <c r="K5445" s="117"/>
    </row>
    <row r="5446" ht="15.75" customHeight="1">
      <c r="A5446" s="122"/>
      <c r="B5446" s="133"/>
      <c r="C5446" s="120"/>
      <c r="D5446" s="120"/>
      <c r="E5446" s="120"/>
      <c r="F5446" s="120"/>
      <c r="G5446" s="120"/>
      <c r="H5446" s="120"/>
      <c r="I5446" s="121"/>
      <c r="J5446" s="121"/>
      <c r="K5446" s="117"/>
    </row>
    <row r="5447" ht="15.75" customHeight="1">
      <c r="A5447" s="122"/>
      <c r="B5447" s="133"/>
      <c r="C5447" s="120"/>
      <c r="D5447" s="120"/>
      <c r="E5447" s="120"/>
      <c r="F5447" s="120"/>
      <c r="G5447" s="120"/>
      <c r="H5447" s="120"/>
      <c r="I5447" s="121"/>
      <c r="J5447" s="121"/>
      <c r="K5447" s="117"/>
    </row>
    <row r="5448" ht="15.75" customHeight="1">
      <c r="A5448" s="122"/>
      <c r="B5448" s="133"/>
      <c r="C5448" s="120"/>
      <c r="D5448" s="120"/>
      <c r="E5448" s="120"/>
      <c r="F5448" s="120"/>
      <c r="G5448" s="120"/>
      <c r="H5448" s="120"/>
      <c r="I5448" s="121"/>
      <c r="J5448" s="121"/>
      <c r="K5448" s="117"/>
    </row>
    <row r="5449" ht="15.75" customHeight="1">
      <c r="A5449" s="122"/>
      <c r="B5449" s="133"/>
      <c r="C5449" s="120"/>
      <c r="D5449" s="120"/>
      <c r="E5449" s="120"/>
      <c r="F5449" s="120"/>
      <c r="G5449" s="120"/>
      <c r="H5449" s="120"/>
      <c r="I5449" s="121"/>
      <c r="J5449" s="121"/>
      <c r="K5449" s="117"/>
    </row>
    <row r="5450" ht="15.75" customHeight="1">
      <c r="A5450" s="122"/>
      <c r="B5450" s="133"/>
      <c r="C5450" s="120"/>
      <c r="D5450" s="120"/>
      <c r="E5450" s="120"/>
      <c r="F5450" s="120"/>
      <c r="G5450" s="120"/>
      <c r="H5450" s="120"/>
      <c r="I5450" s="121"/>
      <c r="J5450" s="121"/>
      <c r="K5450" s="117"/>
    </row>
    <row r="5451" ht="15.75" customHeight="1">
      <c r="A5451" s="122"/>
      <c r="B5451" s="133"/>
      <c r="C5451" s="120"/>
      <c r="D5451" s="120"/>
      <c r="E5451" s="120"/>
      <c r="F5451" s="120"/>
      <c r="G5451" s="120"/>
      <c r="H5451" s="120"/>
      <c r="I5451" s="121"/>
      <c r="J5451" s="121"/>
      <c r="K5451" s="117"/>
    </row>
    <row r="5452" ht="15.75" customHeight="1">
      <c r="A5452" s="122"/>
      <c r="B5452" s="133"/>
      <c r="C5452" s="120"/>
      <c r="D5452" s="120"/>
      <c r="E5452" s="120"/>
      <c r="F5452" s="120"/>
      <c r="G5452" s="120"/>
      <c r="H5452" s="120"/>
      <c r="I5452" s="121"/>
      <c r="J5452" s="121"/>
      <c r="K5452" s="117"/>
    </row>
    <row r="5453" ht="15.75" customHeight="1">
      <c r="A5453" s="122"/>
      <c r="B5453" s="133"/>
      <c r="C5453" s="120"/>
      <c r="D5453" s="120"/>
      <c r="E5453" s="120"/>
      <c r="F5453" s="120"/>
      <c r="G5453" s="120"/>
      <c r="H5453" s="120"/>
      <c r="I5453" s="121"/>
      <c r="J5453" s="121"/>
      <c r="K5453" s="117"/>
    </row>
    <row r="5454" ht="15.75" customHeight="1">
      <c r="A5454" s="122"/>
      <c r="B5454" s="133"/>
      <c r="C5454" s="120"/>
      <c r="D5454" s="120"/>
      <c r="E5454" s="120"/>
      <c r="F5454" s="120"/>
      <c r="G5454" s="120"/>
      <c r="H5454" s="120"/>
      <c r="I5454" s="121"/>
      <c r="J5454" s="121"/>
      <c r="K5454" s="117"/>
    </row>
    <row r="5455" ht="15.75" customHeight="1">
      <c r="A5455" s="122"/>
      <c r="B5455" s="133"/>
      <c r="C5455" s="120"/>
      <c r="D5455" s="120"/>
      <c r="E5455" s="120"/>
      <c r="F5455" s="120"/>
      <c r="G5455" s="120"/>
      <c r="H5455" s="120"/>
      <c r="I5455" s="121"/>
      <c r="J5455" s="121"/>
      <c r="K5455" s="117"/>
    </row>
    <row r="5456" ht="15.75" customHeight="1">
      <c r="A5456" s="122"/>
      <c r="B5456" s="133"/>
      <c r="C5456" s="120"/>
      <c r="D5456" s="120"/>
      <c r="E5456" s="120"/>
      <c r="F5456" s="120"/>
      <c r="G5456" s="120"/>
      <c r="H5456" s="120"/>
      <c r="I5456" s="121"/>
      <c r="J5456" s="121"/>
      <c r="K5456" s="117"/>
    </row>
    <row r="5457" ht="15.75" customHeight="1">
      <c r="A5457" s="122"/>
      <c r="B5457" s="133"/>
      <c r="C5457" s="120"/>
      <c r="D5457" s="120"/>
      <c r="E5457" s="120"/>
      <c r="F5457" s="120"/>
      <c r="G5457" s="120"/>
      <c r="H5457" s="120"/>
      <c r="I5457" s="121"/>
      <c r="J5457" s="121"/>
      <c r="K5457" s="117"/>
    </row>
    <row r="5458" ht="15.75" customHeight="1">
      <c r="A5458" s="122"/>
      <c r="B5458" s="133"/>
      <c r="C5458" s="120"/>
      <c r="D5458" s="120"/>
      <c r="E5458" s="120"/>
      <c r="F5458" s="120"/>
      <c r="G5458" s="120"/>
      <c r="H5458" s="120"/>
      <c r="I5458" s="121"/>
      <c r="J5458" s="121"/>
      <c r="K5458" s="117"/>
    </row>
    <row r="5459" ht="15.75" customHeight="1">
      <c r="A5459" s="122"/>
      <c r="B5459" s="133"/>
      <c r="C5459" s="120"/>
      <c r="D5459" s="120"/>
      <c r="E5459" s="120"/>
      <c r="F5459" s="120"/>
      <c r="G5459" s="120"/>
      <c r="H5459" s="120"/>
      <c r="I5459" s="121"/>
      <c r="J5459" s="121"/>
      <c r="K5459" s="117"/>
    </row>
    <row r="5460" ht="15.75" customHeight="1">
      <c r="A5460" s="122"/>
      <c r="B5460" s="133"/>
      <c r="C5460" s="120"/>
      <c r="D5460" s="120"/>
      <c r="E5460" s="120"/>
      <c r="F5460" s="120"/>
      <c r="G5460" s="120"/>
      <c r="H5460" s="120"/>
      <c r="I5460" s="121"/>
      <c r="J5460" s="121"/>
      <c r="K5460" s="117"/>
    </row>
    <row r="5461" ht="15.75" customHeight="1">
      <c r="A5461" s="122"/>
      <c r="B5461" s="133"/>
      <c r="C5461" s="120"/>
      <c r="D5461" s="120"/>
      <c r="E5461" s="120"/>
      <c r="F5461" s="120"/>
      <c r="G5461" s="120"/>
      <c r="H5461" s="120"/>
      <c r="I5461" s="121"/>
      <c r="J5461" s="121"/>
      <c r="K5461" s="117"/>
    </row>
    <row r="5462" ht="15.75" customHeight="1">
      <c r="A5462" s="122"/>
      <c r="B5462" s="133"/>
      <c r="C5462" s="120"/>
      <c r="D5462" s="120"/>
      <c r="E5462" s="120"/>
      <c r="F5462" s="120"/>
      <c r="G5462" s="120"/>
      <c r="H5462" s="120"/>
      <c r="I5462" s="121"/>
      <c r="J5462" s="121"/>
      <c r="K5462" s="117"/>
    </row>
    <row r="5463" ht="15.75" customHeight="1">
      <c r="A5463" s="122"/>
      <c r="B5463" s="133"/>
      <c r="C5463" s="120"/>
      <c r="D5463" s="120"/>
      <c r="E5463" s="120"/>
      <c r="F5463" s="120"/>
      <c r="G5463" s="120"/>
      <c r="H5463" s="120"/>
      <c r="I5463" s="121"/>
      <c r="J5463" s="121"/>
      <c r="K5463" s="117"/>
    </row>
    <row r="5464" ht="15.75" customHeight="1">
      <c r="A5464" s="122"/>
      <c r="B5464" s="133"/>
      <c r="C5464" s="120"/>
      <c r="D5464" s="120"/>
      <c r="E5464" s="120"/>
      <c r="F5464" s="120"/>
      <c r="G5464" s="120"/>
      <c r="H5464" s="120"/>
      <c r="I5464" s="121"/>
      <c r="J5464" s="121"/>
      <c r="K5464" s="117"/>
    </row>
    <row r="5465" ht="15.75" customHeight="1">
      <c r="A5465" s="122"/>
      <c r="B5465" s="133"/>
      <c r="C5465" s="120"/>
      <c r="D5465" s="120"/>
      <c r="E5465" s="120"/>
      <c r="F5465" s="120"/>
      <c r="G5465" s="120"/>
      <c r="H5465" s="120"/>
      <c r="I5465" s="121"/>
      <c r="J5465" s="121"/>
      <c r="K5465" s="117"/>
    </row>
    <row r="5466" ht="15.75" customHeight="1">
      <c r="A5466" s="122"/>
      <c r="B5466" s="133"/>
      <c r="C5466" s="120"/>
      <c r="D5466" s="120"/>
      <c r="E5466" s="120"/>
      <c r="F5466" s="120"/>
      <c r="G5466" s="120"/>
      <c r="H5466" s="120"/>
      <c r="I5466" s="121"/>
      <c r="J5466" s="121"/>
      <c r="K5466" s="117"/>
    </row>
    <row r="5467" ht="15.75" customHeight="1">
      <c r="A5467" s="122"/>
      <c r="B5467" s="133"/>
      <c r="C5467" s="120"/>
      <c r="D5467" s="120"/>
      <c r="E5467" s="120"/>
      <c r="F5467" s="120"/>
      <c r="G5467" s="120"/>
      <c r="H5467" s="120"/>
      <c r="I5467" s="121"/>
      <c r="J5467" s="121"/>
      <c r="K5467" s="117"/>
    </row>
    <row r="5468" ht="15.75" customHeight="1">
      <c r="A5468" s="122"/>
      <c r="B5468" s="133"/>
      <c r="C5468" s="120"/>
      <c r="D5468" s="120"/>
      <c r="E5468" s="120"/>
      <c r="F5468" s="120"/>
      <c r="G5468" s="120"/>
      <c r="H5468" s="120"/>
      <c r="I5468" s="121"/>
      <c r="J5468" s="121"/>
      <c r="K5468" s="117"/>
    </row>
    <row r="5469" ht="15.75" customHeight="1">
      <c r="A5469" s="122"/>
      <c r="B5469" s="133"/>
      <c r="C5469" s="120"/>
      <c r="D5469" s="120"/>
      <c r="E5469" s="120"/>
      <c r="F5469" s="120"/>
      <c r="G5469" s="120"/>
      <c r="H5469" s="120"/>
      <c r="I5469" s="121"/>
      <c r="J5469" s="121"/>
      <c r="K5469" s="117"/>
    </row>
    <row r="5470" ht="15.75" customHeight="1">
      <c r="A5470" s="122"/>
      <c r="B5470" s="133"/>
      <c r="C5470" s="120"/>
      <c r="D5470" s="120"/>
      <c r="E5470" s="120"/>
      <c r="F5470" s="120"/>
      <c r="G5470" s="120"/>
      <c r="H5470" s="120"/>
      <c r="I5470" s="121"/>
      <c r="J5470" s="121"/>
      <c r="K5470" s="117"/>
    </row>
    <row r="5471" ht="15.75" customHeight="1">
      <c r="A5471" s="122"/>
      <c r="B5471" s="133"/>
      <c r="C5471" s="120"/>
      <c r="D5471" s="120"/>
      <c r="E5471" s="120"/>
      <c r="F5471" s="120"/>
      <c r="G5471" s="120"/>
      <c r="H5471" s="120"/>
      <c r="I5471" s="121"/>
      <c r="J5471" s="121"/>
      <c r="K5471" s="117"/>
    </row>
    <row r="5472" ht="15.75" customHeight="1">
      <c r="A5472" s="122"/>
      <c r="B5472" s="133"/>
      <c r="C5472" s="120"/>
      <c r="D5472" s="120"/>
      <c r="E5472" s="120"/>
      <c r="F5472" s="120"/>
      <c r="G5472" s="120"/>
      <c r="H5472" s="120"/>
      <c r="I5472" s="121"/>
      <c r="J5472" s="121"/>
      <c r="K5472" s="117"/>
    </row>
    <row r="5473" ht="15.75" customHeight="1">
      <c r="A5473" s="122"/>
      <c r="B5473" s="133"/>
      <c r="C5473" s="120"/>
      <c r="D5473" s="120"/>
      <c r="E5473" s="120"/>
      <c r="F5473" s="120"/>
      <c r="G5473" s="120"/>
      <c r="H5473" s="120"/>
      <c r="I5473" s="121"/>
      <c r="J5473" s="121"/>
      <c r="K5473" s="117"/>
    </row>
    <row r="5474" ht="15.75" customHeight="1">
      <c r="A5474" s="122"/>
      <c r="B5474" s="133"/>
      <c r="C5474" s="120"/>
      <c r="D5474" s="120"/>
      <c r="E5474" s="120"/>
      <c r="F5474" s="120"/>
      <c r="G5474" s="120"/>
      <c r="H5474" s="120"/>
      <c r="I5474" s="121"/>
      <c r="J5474" s="121"/>
      <c r="K5474" s="117"/>
    </row>
    <row r="5475" ht="15.75" customHeight="1">
      <c r="A5475" s="122"/>
      <c r="B5475" s="133"/>
      <c r="C5475" s="120"/>
      <c r="D5475" s="120"/>
      <c r="E5475" s="120"/>
      <c r="F5475" s="120"/>
      <c r="G5475" s="120"/>
      <c r="H5475" s="120"/>
      <c r="I5475" s="121"/>
      <c r="J5475" s="121"/>
      <c r="K5475" s="117"/>
    </row>
    <row r="5476" ht="15.75" customHeight="1">
      <c r="A5476" s="122"/>
      <c r="B5476" s="133"/>
      <c r="C5476" s="120"/>
      <c r="D5476" s="120"/>
      <c r="E5476" s="120"/>
      <c r="F5476" s="120"/>
      <c r="G5476" s="120"/>
      <c r="H5476" s="120"/>
      <c r="I5476" s="121"/>
      <c r="J5476" s="121"/>
      <c r="K5476" s="117"/>
    </row>
    <row r="5477" ht="15.75" customHeight="1">
      <c r="A5477" s="122"/>
      <c r="B5477" s="133"/>
      <c r="C5477" s="120"/>
      <c r="D5477" s="120"/>
      <c r="E5477" s="120"/>
      <c r="F5477" s="120"/>
      <c r="G5477" s="120"/>
      <c r="H5477" s="120"/>
      <c r="I5477" s="121"/>
      <c r="J5477" s="121"/>
      <c r="K5477" s="117"/>
    </row>
    <row r="5478" ht="15.75" customHeight="1">
      <c r="A5478" s="122"/>
      <c r="B5478" s="133"/>
      <c r="C5478" s="120"/>
      <c r="D5478" s="120"/>
      <c r="E5478" s="120"/>
      <c r="F5478" s="120"/>
      <c r="G5478" s="120"/>
      <c r="H5478" s="120"/>
      <c r="I5478" s="121"/>
      <c r="J5478" s="121"/>
      <c r="K5478" s="117"/>
    </row>
    <row r="5479" ht="15.75" customHeight="1">
      <c r="A5479" s="122"/>
      <c r="B5479" s="133"/>
      <c r="C5479" s="120"/>
      <c r="D5479" s="120"/>
      <c r="E5479" s="120"/>
      <c r="F5479" s="120"/>
      <c r="G5479" s="120"/>
      <c r="H5479" s="120"/>
      <c r="I5479" s="121"/>
      <c r="J5479" s="121"/>
      <c r="K5479" s="117"/>
    </row>
    <row r="5480" ht="15.75" customHeight="1">
      <c r="A5480" s="122"/>
      <c r="B5480" s="133"/>
      <c r="C5480" s="120"/>
      <c r="D5480" s="120"/>
      <c r="E5480" s="120"/>
      <c r="F5480" s="120"/>
      <c r="G5480" s="120"/>
      <c r="H5480" s="120"/>
      <c r="I5480" s="121"/>
      <c r="J5480" s="121"/>
      <c r="K5480" s="117"/>
    </row>
    <row r="5481" ht="15.75" customHeight="1">
      <c r="A5481" s="122"/>
      <c r="B5481" s="133"/>
      <c r="C5481" s="120"/>
      <c r="D5481" s="120"/>
      <c r="E5481" s="120"/>
      <c r="F5481" s="120"/>
      <c r="G5481" s="120"/>
      <c r="H5481" s="120"/>
      <c r="I5481" s="121"/>
      <c r="J5481" s="121"/>
      <c r="K5481" s="117"/>
    </row>
    <row r="5482" ht="15.75" customHeight="1">
      <c r="A5482" s="122"/>
      <c r="B5482" s="133"/>
      <c r="C5482" s="120"/>
      <c r="D5482" s="120"/>
      <c r="E5482" s="120"/>
      <c r="F5482" s="120"/>
      <c r="G5482" s="120"/>
      <c r="H5482" s="120"/>
      <c r="I5482" s="121"/>
      <c r="J5482" s="121"/>
      <c r="K5482" s="117"/>
    </row>
    <row r="5483" ht="15.75" customHeight="1">
      <c r="A5483" s="122"/>
      <c r="B5483" s="133"/>
      <c r="C5483" s="120"/>
      <c r="D5483" s="120"/>
      <c r="E5483" s="120"/>
      <c r="F5483" s="120"/>
      <c r="G5483" s="120"/>
      <c r="H5483" s="120"/>
      <c r="I5483" s="121"/>
      <c r="J5483" s="121"/>
      <c r="K5483" s="117"/>
    </row>
    <row r="5484" ht="15.75" customHeight="1">
      <c r="A5484" s="122"/>
      <c r="B5484" s="133"/>
      <c r="C5484" s="120"/>
      <c r="D5484" s="120"/>
      <c r="E5484" s="120"/>
      <c r="F5484" s="120"/>
      <c r="G5484" s="120"/>
      <c r="H5484" s="120"/>
      <c r="I5484" s="121"/>
      <c r="J5484" s="121"/>
      <c r="K5484" s="117"/>
    </row>
    <row r="5485" ht="15.75" customHeight="1">
      <c r="A5485" s="122"/>
      <c r="B5485" s="133"/>
      <c r="C5485" s="120"/>
      <c r="D5485" s="120"/>
      <c r="E5485" s="120"/>
      <c r="F5485" s="120"/>
      <c r="G5485" s="120"/>
      <c r="H5485" s="120"/>
      <c r="I5485" s="121"/>
      <c r="J5485" s="121"/>
      <c r="K5485" s="117"/>
    </row>
    <row r="5486" ht="15.75" customHeight="1">
      <c r="A5486" s="122"/>
      <c r="B5486" s="133"/>
      <c r="C5486" s="120"/>
      <c r="D5486" s="120"/>
      <c r="E5486" s="120"/>
      <c r="F5486" s="120"/>
      <c r="G5486" s="120"/>
      <c r="H5486" s="120"/>
      <c r="I5486" s="121"/>
      <c r="J5486" s="121"/>
      <c r="K5486" s="117"/>
    </row>
    <row r="5487" ht="15.75" customHeight="1">
      <c r="A5487" s="122"/>
      <c r="B5487" s="133"/>
      <c r="C5487" s="120"/>
      <c r="D5487" s="120"/>
      <c r="E5487" s="120"/>
      <c r="F5487" s="120"/>
      <c r="G5487" s="120"/>
      <c r="H5487" s="120"/>
      <c r="I5487" s="121"/>
      <c r="J5487" s="121"/>
      <c r="K5487" s="117"/>
    </row>
    <row r="5488" ht="15.75" customHeight="1">
      <c r="A5488" s="122"/>
      <c r="B5488" s="133"/>
      <c r="C5488" s="120"/>
      <c r="D5488" s="120"/>
      <c r="E5488" s="120"/>
      <c r="F5488" s="120"/>
      <c r="G5488" s="120"/>
      <c r="H5488" s="120"/>
      <c r="I5488" s="121"/>
      <c r="J5488" s="121"/>
      <c r="K5488" s="117"/>
    </row>
    <row r="5489" ht="15.75" customHeight="1">
      <c r="A5489" s="122"/>
      <c r="B5489" s="133"/>
      <c r="C5489" s="120"/>
      <c r="D5489" s="120"/>
      <c r="E5489" s="120"/>
      <c r="F5489" s="120"/>
      <c r="G5489" s="120"/>
      <c r="H5489" s="120"/>
      <c r="I5489" s="121"/>
      <c r="J5489" s="121"/>
      <c r="K5489" s="117"/>
    </row>
    <row r="5490" ht="15.75" customHeight="1">
      <c r="A5490" s="122"/>
      <c r="B5490" s="133"/>
      <c r="C5490" s="120"/>
      <c r="D5490" s="120"/>
      <c r="E5490" s="120"/>
      <c r="F5490" s="120"/>
      <c r="G5490" s="120"/>
      <c r="H5490" s="120"/>
      <c r="I5490" s="121"/>
      <c r="J5490" s="121"/>
      <c r="K5490" s="117"/>
    </row>
    <row r="5491" ht="15.75" customHeight="1">
      <c r="A5491" s="122"/>
      <c r="B5491" s="133"/>
      <c r="C5491" s="120"/>
      <c r="D5491" s="120"/>
      <c r="E5491" s="120"/>
      <c r="F5491" s="120"/>
      <c r="G5491" s="120"/>
      <c r="H5491" s="120"/>
      <c r="I5491" s="121"/>
      <c r="J5491" s="121"/>
      <c r="K5491" s="117"/>
    </row>
    <row r="5492" ht="15.75" customHeight="1">
      <c r="A5492" s="122"/>
      <c r="B5492" s="133"/>
      <c r="C5492" s="120"/>
      <c r="D5492" s="120"/>
      <c r="E5492" s="120"/>
      <c r="F5492" s="120"/>
      <c r="G5492" s="120"/>
      <c r="H5492" s="120"/>
      <c r="I5492" s="121"/>
      <c r="J5492" s="121"/>
      <c r="K5492" s="117"/>
    </row>
    <row r="5493" ht="15.75" customHeight="1">
      <c r="A5493" s="122"/>
      <c r="B5493" s="133"/>
      <c r="C5493" s="120"/>
      <c r="D5493" s="120"/>
      <c r="E5493" s="120"/>
      <c r="F5493" s="120"/>
      <c r="G5493" s="120"/>
      <c r="H5493" s="120"/>
      <c r="I5493" s="121"/>
      <c r="J5493" s="121"/>
      <c r="K5493" s="117"/>
    </row>
    <row r="5494" ht="15.75" customHeight="1">
      <c r="A5494" s="122"/>
      <c r="B5494" s="133"/>
      <c r="C5494" s="120"/>
      <c r="D5494" s="120"/>
      <c r="E5494" s="120"/>
      <c r="F5494" s="120"/>
      <c r="G5494" s="120"/>
      <c r="H5494" s="120"/>
      <c r="I5494" s="121"/>
      <c r="J5494" s="121"/>
      <c r="K5494" s="117"/>
    </row>
    <row r="5495" ht="15.75" customHeight="1">
      <c r="A5495" s="122"/>
      <c r="B5495" s="133"/>
      <c r="C5495" s="120"/>
      <c r="D5495" s="120"/>
      <c r="E5495" s="120"/>
      <c r="F5495" s="120"/>
      <c r="G5495" s="120"/>
      <c r="H5495" s="120"/>
      <c r="I5495" s="121"/>
      <c r="J5495" s="121"/>
      <c r="K5495" s="117"/>
    </row>
    <row r="5496" ht="15.75" customHeight="1">
      <c r="A5496" s="122"/>
      <c r="B5496" s="133"/>
      <c r="C5496" s="120"/>
      <c r="D5496" s="120"/>
      <c r="E5496" s="120"/>
      <c r="F5496" s="120"/>
      <c r="G5496" s="120"/>
      <c r="H5496" s="120"/>
      <c r="I5496" s="121"/>
      <c r="J5496" s="121"/>
      <c r="K5496" s="117"/>
    </row>
    <row r="5497" ht="15.75" customHeight="1">
      <c r="A5497" s="122"/>
      <c r="B5497" s="133"/>
      <c r="C5497" s="120"/>
      <c r="D5497" s="120"/>
      <c r="E5497" s="120"/>
      <c r="F5497" s="120"/>
      <c r="G5497" s="120"/>
      <c r="H5497" s="120"/>
      <c r="I5497" s="121"/>
      <c r="J5497" s="121"/>
      <c r="K5497" s="117"/>
    </row>
    <row r="5498" ht="15.75" customHeight="1">
      <c r="A5498" s="122"/>
      <c r="B5498" s="133"/>
      <c r="C5498" s="120"/>
      <c r="D5498" s="120"/>
      <c r="E5498" s="120"/>
      <c r="F5498" s="120"/>
      <c r="G5498" s="120"/>
      <c r="H5498" s="120"/>
      <c r="I5498" s="121"/>
      <c r="J5498" s="121"/>
      <c r="K5498" s="117"/>
    </row>
    <row r="5499" ht="15.75" customHeight="1">
      <c r="A5499" s="122"/>
      <c r="B5499" s="133"/>
      <c r="C5499" s="120"/>
      <c r="D5499" s="120"/>
      <c r="E5499" s="120"/>
      <c r="F5499" s="120"/>
      <c r="G5499" s="120"/>
      <c r="H5499" s="120"/>
      <c r="I5499" s="121"/>
      <c r="J5499" s="121"/>
      <c r="K5499" s="117"/>
    </row>
    <row r="5500" ht="15.75" customHeight="1">
      <c r="A5500" s="122"/>
      <c r="B5500" s="133"/>
      <c r="C5500" s="120"/>
      <c r="D5500" s="120"/>
      <c r="E5500" s="120"/>
      <c r="F5500" s="120"/>
      <c r="G5500" s="120"/>
      <c r="H5500" s="120"/>
      <c r="I5500" s="121"/>
      <c r="J5500" s="121"/>
      <c r="K5500" s="117"/>
    </row>
    <row r="5501" ht="15.75" customHeight="1">
      <c r="A5501" s="122"/>
      <c r="B5501" s="133"/>
      <c r="C5501" s="120"/>
      <c r="D5501" s="120"/>
      <c r="E5501" s="120"/>
      <c r="F5501" s="120"/>
      <c r="G5501" s="120"/>
      <c r="H5501" s="120"/>
      <c r="I5501" s="121"/>
      <c r="J5501" s="121"/>
      <c r="K5501" s="117"/>
    </row>
    <row r="5502" ht="15.75" customHeight="1">
      <c r="A5502" s="122"/>
      <c r="B5502" s="133"/>
      <c r="C5502" s="120"/>
      <c r="D5502" s="120"/>
      <c r="E5502" s="120"/>
      <c r="F5502" s="120"/>
      <c r="G5502" s="120"/>
      <c r="H5502" s="120"/>
      <c r="I5502" s="121"/>
      <c r="J5502" s="121"/>
      <c r="K5502" s="117"/>
    </row>
    <row r="5503" ht="15.75" customHeight="1">
      <c r="A5503" s="122"/>
      <c r="B5503" s="133"/>
      <c r="C5503" s="120"/>
      <c r="D5503" s="120"/>
      <c r="E5503" s="120"/>
      <c r="F5503" s="120"/>
      <c r="G5503" s="120"/>
      <c r="H5503" s="120"/>
      <c r="I5503" s="121"/>
      <c r="J5503" s="121"/>
      <c r="K5503" s="117"/>
    </row>
    <row r="5504" ht="15.75" customHeight="1">
      <c r="A5504" s="122"/>
      <c r="B5504" s="133"/>
      <c r="C5504" s="120"/>
      <c r="D5504" s="120"/>
      <c r="E5504" s="120"/>
      <c r="F5504" s="120"/>
      <c r="G5504" s="120"/>
      <c r="H5504" s="120"/>
      <c r="I5504" s="121"/>
      <c r="J5504" s="121"/>
      <c r="K5504" s="117"/>
    </row>
    <row r="5505" ht="15.75" customHeight="1">
      <c r="A5505" s="122"/>
      <c r="B5505" s="133"/>
      <c r="C5505" s="120"/>
      <c r="D5505" s="120"/>
      <c r="E5505" s="120"/>
      <c r="F5505" s="120"/>
      <c r="G5505" s="120"/>
      <c r="H5505" s="120"/>
      <c r="I5505" s="121"/>
      <c r="J5505" s="121"/>
      <c r="K5505" s="117"/>
    </row>
    <row r="5506" ht="15.75" customHeight="1">
      <c r="A5506" s="122"/>
      <c r="B5506" s="133"/>
      <c r="C5506" s="120"/>
      <c r="D5506" s="120"/>
      <c r="E5506" s="120"/>
      <c r="F5506" s="120"/>
      <c r="G5506" s="120"/>
      <c r="H5506" s="120"/>
      <c r="I5506" s="121"/>
      <c r="J5506" s="121"/>
      <c r="K5506" s="117"/>
    </row>
    <row r="5507" ht="15.75" customHeight="1">
      <c r="A5507" s="122"/>
      <c r="B5507" s="133"/>
      <c r="C5507" s="120"/>
      <c r="D5507" s="120"/>
      <c r="E5507" s="120"/>
      <c r="F5507" s="120"/>
      <c r="G5507" s="120"/>
      <c r="H5507" s="120"/>
      <c r="I5507" s="121"/>
      <c r="J5507" s="121"/>
      <c r="K5507" s="117"/>
    </row>
    <row r="5508" ht="15.75" customHeight="1">
      <c r="A5508" s="122"/>
      <c r="B5508" s="133"/>
      <c r="C5508" s="120"/>
      <c r="D5508" s="120"/>
      <c r="E5508" s="120"/>
      <c r="F5508" s="120"/>
      <c r="G5508" s="120"/>
      <c r="H5508" s="120"/>
      <c r="I5508" s="121"/>
      <c r="J5508" s="121"/>
      <c r="K5508" s="117"/>
    </row>
    <row r="5509" ht="15.75" customHeight="1">
      <c r="A5509" s="122"/>
      <c r="B5509" s="133"/>
      <c r="C5509" s="120"/>
      <c r="D5509" s="120"/>
      <c r="E5509" s="120"/>
      <c r="F5509" s="120"/>
      <c r="G5509" s="120"/>
      <c r="H5509" s="120"/>
      <c r="I5509" s="121"/>
      <c r="J5509" s="121"/>
      <c r="K5509" s="117"/>
    </row>
    <row r="5510" ht="15.75" customHeight="1">
      <c r="A5510" s="122"/>
      <c r="B5510" s="133"/>
      <c r="C5510" s="120"/>
      <c r="D5510" s="120"/>
      <c r="E5510" s="120"/>
      <c r="F5510" s="120"/>
      <c r="G5510" s="120"/>
      <c r="H5510" s="120"/>
      <c r="I5510" s="121"/>
      <c r="J5510" s="121"/>
      <c r="K5510" s="117"/>
    </row>
    <row r="5511" ht="15.75" customHeight="1">
      <c r="A5511" s="122"/>
      <c r="B5511" s="133"/>
      <c r="C5511" s="120"/>
      <c r="D5511" s="120"/>
      <c r="E5511" s="120"/>
      <c r="F5511" s="120"/>
      <c r="G5511" s="120"/>
      <c r="H5511" s="120"/>
      <c r="I5511" s="121"/>
      <c r="J5511" s="121"/>
      <c r="K5511" s="117"/>
    </row>
    <row r="5512" ht="15.75" customHeight="1">
      <c r="A5512" s="122"/>
      <c r="B5512" s="133"/>
      <c r="C5512" s="120"/>
      <c r="D5512" s="120"/>
      <c r="E5512" s="120"/>
      <c r="F5512" s="120"/>
      <c r="G5512" s="120"/>
      <c r="H5512" s="120"/>
      <c r="I5512" s="121"/>
      <c r="J5512" s="121"/>
      <c r="K5512" s="117"/>
    </row>
    <row r="5513" ht="15.75" customHeight="1">
      <c r="A5513" s="122"/>
      <c r="B5513" s="133"/>
      <c r="C5513" s="120"/>
      <c r="D5513" s="120"/>
      <c r="E5513" s="120"/>
      <c r="F5513" s="120"/>
      <c r="G5513" s="120"/>
      <c r="H5513" s="120"/>
      <c r="I5513" s="121"/>
      <c r="J5513" s="121"/>
      <c r="K5513" s="117"/>
    </row>
    <row r="5514" ht="15.75" customHeight="1">
      <c r="A5514" s="122"/>
      <c r="B5514" s="133"/>
      <c r="C5514" s="120"/>
      <c r="D5514" s="120"/>
      <c r="E5514" s="120"/>
      <c r="F5514" s="120"/>
      <c r="G5514" s="120"/>
      <c r="H5514" s="120"/>
      <c r="I5514" s="121"/>
      <c r="J5514" s="121"/>
      <c r="K5514" s="117"/>
    </row>
    <row r="5515" ht="15.75" customHeight="1">
      <c r="A5515" s="122"/>
      <c r="B5515" s="133"/>
      <c r="C5515" s="120"/>
      <c r="D5515" s="120"/>
      <c r="E5515" s="120"/>
      <c r="F5515" s="120"/>
      <c r="G5515" s="120"/>
      <c r="H5515" s="120"/>
      <c r="I5515" s="121"/>
      <c r="J5515" s="121"/>
      <c r="K5515" s="117"/>
    </row>
    <row r="5516" ht="15.75" customHeight="1">
      <c r="A5516" s="122"/>
      <c r="B5516" s="133"/>
      <c r="C5516" s="120"/>
      <c r="D5516" s="120"/>
      <c r="E5516" s="120"/>
      <c r="F5516" s="120"/>
      <c r="G5516" s="120"/>
      <c r="H5516" s="120"/>
      <c r="I5516" s="121"/>
      <c r="J5516" s="121"/>
      <c r="K5516" s="117"/>
    </row>
    <row r="5517" ht="15.75" customHeight="1">
      <c r="A5517" s="122"/>
      <c r="B5517" s="133"/>
      <c r="C5517" s="120"/>
      <c r="D5517" s="120"/>
      <c r="E5517" s="120"/>
      <c r="F5517" s="120"/>
      <c r="G5517" s="120"/>
      <c r="H5517" s="120"/>
      <c r="I5517" s="121"/>
      <c r="J5517" s="121"/>
      <c r="K5517" s="117"/>
    </row>
    <row r="5518" ht="15.75" customHeight="1">
      <c r="A5518" s="122"/>
      <c r="B5518" s="133"/>
      <c r="C5518" s="120"/>
      <c r="D5518" s="120"/>
      <c r="E5518" s="120"/>
      <c r="F5518" s="120"/>
      <c r="G5518" s="120"/>
      <c r="H5518" s="120"/>
      <c r="I5518" s="121"/>
      <c r="J5518" s="121"/>
      <c r="K5518" s="117"/>
    </row>
    <row r="5519" ht="15.75" customHeight="1">
      <c r="A5519" s="122"/>
      <c r="B5519" s="133"/>
      <c r="C5519" s="120"/>
      <c r="D5519" s="120"/>
      <c r="E5519" s="120"/>
      <c r="F5519" s="120"/>
      <c r="G5519" s="120"/>
      <c r="H5519" s="120"/>
      <c r="I5519" s="121"/>
      <c r="J5519" s="121"/>
      <c r="K5519" s="117"/>
    </row>
    <row r="5520" ht="15.75" customHeight="1">
      <c r="A5520" s="122"/>
      <c r="B5520" s="133"/>
      <c r="C5520" s="120"/>
      <c r="D5520" s="120"/>
      <c r="E5520" s="120"/>
      <c r="F5520" s="120"/>
      <c r="G5520" s="120"/>
      <c r="H5520" s="120"/>
      <c r="I5520" s="121"/>
      <c r="J5520" s="121"/>
      <c r="K5520" s="117"/>
    </row>
    <row r="5521" ht="15.75" customHeight="1">
      <c r="A5521" s="122"/>
      <c r="B5521" s="133"/>
      <c r="C5521" s="120"/>
      <c r="D5521" s="120"/>
      <c r="E5521" s="120"/>
      <c r="F5521" s="120"/>
      <c r="G5521" s="120"/>
      <c r="H5521" s="120"/>
      <c r="I5521" s="121"/>
      <c r="J5521" s="121"/>
      <c r="K5521" s="117"/>
    </row>
    <row r="5522" ht="15.75" customHeight="1">
      <c r="A5522" s="122"/>
      <c r="B5522" s="133"/>
      <c r="C5522" s="120"/>
      <c r="D5522" s="120"/>
      <c r="E5522" s="120"/>
      <c r="F5522" s="120"/>
      <c r="G5522" s="120"/>
      <c r="H5522" s="120"/>
      <c r="I5522" s="121"/>
      <c r="J5522" s="121"/>
      <c r="K5522" s="117"/>
    </row>
    <row r="5523" ht="15.75" customHeight="1">
      <c r="A5523" s="122"/>
      <c r="B5523" s="133"/>
      <c r="C5523" s="120"/>
      <c r="D5523" s="120"/>
      <c r="E5523" s="120"/>
      <c r="F5523" s="120"/>
      <c r="G5523" s="120"/>
      <c r="H5523" s="120"/>
      <c r="I5523" s="121"/>
      <c r="J5523" s="121"/>
      <c r="K5523" s="117"/>
    </row>
    <row r="5524" ht="15.75" customHeight="1">
      <c r="A5524" s="122"/>
      <c r="B5524" s="133"/>
      <c r="C5524" s="120"/>
      <c r="D5524" s="120"/>
      <c r="E5524" s="120"/>
      <c r="F5524" s="120"/>
      <c r="G5524" s="120"/>
      <c r="H5524" s="120"/>
      <c r="I5524" s="121"/>
      <c r="J5524" s="121"/>
      <c r="K5524" s="117"/>
    </row>
    <row r="5525" ht="15.75" customHeight="1">
      <c r="A5525" s="122"/>
      <c r="B5525" s="133"/>
      <c r="C5525" s="120"/>
      <c r="D5525" s="120"/>
      <c r="E5525" s="120"/>
      <c r="F5525" s="120"/>
      <c r="G5525" s="120"/>
      <c r="H5525" s="120"/>
      <c r="I5525" s="121"/>
      <c r="J5525" s="121"/>
      <c r="K5525" s="117"/>
    </row>
    <row r="5526" ht="15.75" customHeight="1">
      <c r="A5526" s="122"/>
      <c r="B5526" s="133"/>
      <c r="C5526" s="120"/>
      <c r="D5526" s="120"/>
      <c r="E5526" s="120"/>
      <c r="F5526" s="120"/>
      <c r="G5526" s="120"/>
      <c r="H5526" s="120"/>
      <c r="I5526" s="121"/>
      <c r="J5526" s="121"/>
      <c r="K5526" s="117"/>
    </row>
    <row r="5527" ht="15.75" customHeight="1">
      <c r="A5527" s="122"/>
      <c r="B5527" s="133"/>
      <c r="C5527" s="120"/>
      <c r="D5527" s="120"/>
      <c r="E5527" s="120"/>
      <c r="F5527" s="120"/>
      <c r="G5527" s="120"/>
      <c r="H5527" s="120"/>
      <c r="I5527" s="121"/>
      <c r="J5527" s="121"/>
      <c r="K5527" s="117"/>
    </row>
    <row r="5528" ht="15.75" customHeight="1">
      <c r="A5528" s="122"/>
      <c r="B5528" s="133"/>
      <c r="C5528" s="120"/>
      <c r="D5528" s="120"/>
      <c r="E5528" s="120"/>
      <c r="F5528" s="120"/>
      <c r="G5528" s="120"/>
      <c r="H5528" s="120"/>
      <c r="I5528" s="121"/>
      <c r="J5528" s="121"/>
      <c r="K5528" s="117"/>
    </row>
    <row r="5529" ht="15.75" customHeight="1">
      <c r="A5529" s="122"/>
      <c r="B5529" s="133"/>
      <c r="C5529" s="120"/>
      <c r="D5529" s="120"/>
      <c r="E5529" s="120"/>
      <c r="F5529" s="120"/>
      <c r="G5529" s="120"/>
      <c r="H5529" s="120"/>
      <c r="I5529" s="121"/>
      <c r="J5529" s="121"/>
      <c r="K5529" s="117"/>
    </row>
    <row r="5530" ht="15.75" customHeight="1">
      <c r="A5530" s="122"/>
      <c r="B5530" s="133"/>
      <c r="C5530" s="120"/>
      <c r="D5530" s="120"/>
      <c r="E5530" s="120"/>
      <c r="F5530" s="120"/>
      <c r="G5530" s="120"/>
      <c r="H5530" s="120"/>
      <c r="I5530" s="121"/>
      <c r="J5530" s="121"/>
      <c r="K5530" s="117"/>
    </row>
    <row r="5531" ht="15.75" customHeight="1">
      <c r="A5531" s="122"/>
      <c r="B5531" s="133"/>
      <c r="C5531" s="120"/>
      <c r="D5531" s="120"/>
      <c r="E5531" s="120"/>
      <c r="F5531" s="120"/>
      <c r="G5531" s="120"/>
      <c r="H5531" s="120"/>
      <c r="I5531" s="121"/>
      <c r="J5531" s="121"/>
      <c r="K5531" s="117"/>
    </row>
    <row r="5532" ht="15.75" customHeight="1">
      <c r="A5532" s="122"/>
      <c r="B5532" s="133"/>
      <c r="C5532" s="120"/>
      <c r="D5532" s="120"/>
      <c r="E5532" s="120"/>
      <c r="F5532" s="120"/>
      <c r="G5532" s="120"/>
      <c r="H5532" s="120"/>
      <c r="I5532" s="121"/>
      <c r="J5532" s="121"/>
      <c r="K5532" s="117"/>
    </row>
    <row r="5533" ht="15.75" customHeight="1">
      <c r="A5533" s="122"/>
      <c r="B5533" s="133"/>
      <c r="C5533" s="120"/>
      <c r="D5533" s="120"/>
      <c r="E5533" s="120"/>
      <c r="F5533" s="120"/>
      <c r="G5533" s="120"/>
      <c r="H5533" s="120"/>
      <c r="I5533" s="121"/>
      <c r="J5533" s="121"/>
      <c r="K5533" s="117"/>
    </row>
    <row r="5534" ht="15.75" customHeight="1">
      <c r="A5534" s="122"/>
      <c r="B5534" s="133"/>
      <c r="C5534" s="120"/>
      <c r="D5534" s="120"/>
      <c r="E5534" s="120"/>
      <c r="F5534" s="120"/>
      <c r="G5534" s="120"/>
      <c r="H5534" s="120"/>
      <c r="I5534" s="121"/>
      <c r="J5534" s="121"/>
      <c r="K5534" s="117"/>
    </row>
    <row r="5535" ht="15.75" customHeight="1">
      <c r="A5535" s="122"/>
      <c r="B5535" s="133"/>
      <c r="C5535" s="120"/>
      <c r="D5535" s="120"/>
      <c r="E5535" s="120"/>
      <c r="F5535" s="120"/>
      <c r="G5535" s="120"/>
      <c r="H5535" s="120"/>
      <c r="I5535" s="121"/>
      <c r="J5535" s="121"/>
      <c r="K5535" s="117"/>
    </row>
    <row r="5536" ht="15.75" customHeight="1">
      <c r="A5536" s="122"/>
      <c r="B5536" s="133"/>
      <c r="C5536" s="120"/>
      <c r="D5536" s="120"/>
      <c r="E5536" s="120"/>
      <c r="F5536" s="120"/>
      <c r="G5536" s="120"/>
      <c r="H5536" s="120"/>
      <c r="I5536" s="121"/>
      <c r="J5536" s="121"/>
      <c r="K5536" s="117"/>
    </row>
    <row r="5537" ht="15.75" customHeight="1">
      <c r="A5537" s="122"/>
      <c r="B5537" s="133"/>
      <c r="C5537" s="120"/>
      <c r="D5537" s="120"/>
      <c r="E5537" s="120"/>
      <c r="F5537" s="120"/>
      <c r="G5537" s="120"/>
      <c r="H5537" s="120"/>
      <c r="I5537" s="121"/>
      <c r="J5537" s="121"/>
      <c r="K5537" s="117"/>
    </row>
    <row r="5538" ht="15.75" customHeight="1">
      <c r="A5538" s="122"/>
      <c r="B5538" s="133"/>
      <c r="C5538" s="120"/>
      <c r="D5538" s="120"/>
      <c r="E5538" s="120"/>
      <c r="F5538" s="120"/>
      <c r="G5538" s="120"/>
      <c r="H5538" s="120"/>
      <c r="I5538" s="121"/>
      <c r="J5538" s="121"/>
      <c r="K5538" s="117"/>
    </row>
    <row r="5539" ht="15.75" customHeight="1">
      <c r="A5539" s="122"/>
      <c r="B5539" s="133"/>
      <c r="C5539" s="120"/>
      <c r="D5539" s="120"/>
      <c r="E5539" s="120"/>
      <c r="F5539" s="120"/>
      <c r="G5539" s="120"/>
      <c r="H5539" s="120"/>
      <c r="I5539" s="121"/>
      <c r="J5539" s="121"/>
      <c r="K5539" s="117"/>
    </row>
    <row r="5540" ht="15.75" customHeight="1">
      <c r="A5540" s="122"/>
      <c r="B5540" s="133"/>
      <c r="C5540" s="120"/>
      <c r="D5540" s="120"/>
      <c r="E5540" s="120"/>
      <c r="F5540" s="120"/>
      <c r="G5540" s="120"/>
      <c r="H5540" s="120"/>
      <c r="I5540" s="121"/>
      <c r="J5540" s="121"/>
      <c r="K5540" s="117"/>
    </row>
    <row r="5541" ht="15.75" customHeight="1">
      <c r="A5541" s="122"/>
      <c r="B5541" s="133"/>
      <c r="C5541" s="120"/>
      <c r="D5541" s="120"/>
      <c r="E5541" s="120"/>
      <c r="F5541" s="120"/>
      <c r="G5541" s="120"/>
      <c r="H5541" s="120"/>
      <c r="I5541" s="121"/>
      <c r="J5541" s="121"/>
      <c r="K5541" s="117"/>
    </row>
    <row r="5542" ht="15.75" customHeight="1">
      <c r="A5542" s="122"/>
      <c r="B5542" s="133"/>
      <c r="C5542" s="120"/>
      <c r="D5542" s="120"/>
      <c r="E5542" s="120"/>
      <c r="F5542" s="120"/>
      <c r="G5542" s="120"/>
      <c r="H5542" s="120"/>
      <c r="I5542" s="121"/>
      <c r="J5542" s="121"/>
      <c r="K5542" s="117"/>
    </row>
    <row r="5543" ht="15.75" customHeight="1">
      <c r="A5543" s="122"/>
      <c r="B5543" s="133"/>
      <c r="C5543" s="120"/>
      <c r="D5543" s="120"/>
      <c r="E5543" s="120"/>
      <c r="F5543" s="120"/>
      <c r="G5543" s="120"/>
      <c r="H5543" s="120"/>
      <c r="I5543" s="121"/>
      <c r="J5543" s="121"/>
      <c r="K5543" s="117"/>
    </row>
    <row r="5544" ht="15.75" customHeight="1">
      <c r="A5544" s="122"/>
      <c r="B5544" s="133"/>
      <c r="C5544" s="120"/>
      <c r="D5544" s="120"/>
      <c r="E5544" s="120"/>
      <c r="F5544" s="120"/>
      <c r="G5544" s="120"/>
      <c r="H5544" s="120"/>
      <c r="I5544" s="121"/>
      <c r="J5544" s="121"/>
      <c r="K5544" s="117"/>
    </row>
    <row r="5545" ht="15.75" customHeight="1">
      <c r="A5545" s="122"/>
      <c r="B5545" s="133"/>
      <c r="C5545" s="120"/>
      <c r="D5545" s="120"/>
      <c r="E5545" s="120"/>
      <c r="F5545" s="120"/>
      <c r="G5545" s="120"/>
      <c r="H5545" s="120"/>
      <c r="I5545" s="121"/>
      <c r="J5545" s="121"/>
      <c r="K5545" s="117"/>
    </row>
    <row r="5546" ht="15.75" customHeight="1">
      <c r="A5546" s="122"/>
      <c r="B5546" s="133"/>
      <c r="C5546" s="120"/>
      <c r="D5546" s="120"/>
      <c r="E5546" s="120"/>
      <c r="F5546" s="120"/>
      <c r="G5546" s="120"/>
      <c r="H5546" s="120"/>
      <c r="I5546" s="121"/>
      <c r="J5546" s="121"/>
      <c r="K5546" s="117"/>
    </row>
    <row r="5547" ht="15.75" customHeight="1">
      <c r="A5547" s="122"/>
      <c r="B5547" s="133"/>
      <c r="C5547" s="120"/>
      <c r="D5547" s="120"/>
      <c r="E5547" s="120"/>
      <c r="F5547" s="120"/>
      <c r="G5547" s="120"/>
      <c r="H5547" s="120"/>
      <c r="I5547" s="121"/>
      <c r="J5547" s="121"/>
      <c r="K5547" s="117"/>
    </row>
    <row r="5548" ht="15.75" customHeight="1">
      <c r="A5548" s="122"/>
      <c r="B5548" s="133"/>
      <c r="C5548" s="120"/>
      <c r="D5548" s="120"/>
      <c r="E5548" s="120"/>
      <c r="F5548" s="120"/>
      <c r="G5548" s="120"/>
      <c r="H5548" s="120"/>
      <c r="I5548" s="121"/>
      <c r="J5548" s="121"/>
      <c r="K5548" s="117"/>
    </row>
    <row r="5549" ht="15.75" customHeight="1">
      <c r="A5549" s="122"/>
      <c r="B5549" s="133"/>
      <c r="C5549" s="120"/>
      <c r="D5549" s="120"/>
      <c r="E5549" s="120"/>
      <c r="F5549" s="120"/>
      <c r="G5549" s="120"/>
      <c r="H5549" s="120"/>
      <c r="I5549" s="121"/>
      <c r="J5549" s="121"/>
      <c r="K5549" s="117"/>
    </row>
    <row r="5550" ht="15.75" customHeight="1">
      <c r="A5550" s="122"/>
      <c r="B5550" s="133"/>
      <c r="C5550" s="120"/>
      <c r="D5550" s="120"/>
      <c r="E5550" s="120"/>
      <c r="F5550" s="120"/>
      <c r="G5550" s="120"/>
      <c r="H5550" s="120"/>
      <c r="I5550" s="121"/>
      <c r="J5550" s="121"/>
      <c r="K5550" s="117"/>
    </row>
    <row r="5551" ht="15.75" customHeight="1">
      <c r="A5551" s="122"/>
      <c r="B5551" s="133"/>
      <c r="C5551" s="120"/>
      <c r="D5551" s="120"/>
      <c r="E5551" s="120"/>
      <c r="F5551" s="120"/>
      <c r="G5551" s="120"/>
      <c r="H5551" s="120"/>
      <c r="I5551" s="121"/>
      <c r="J5551" s="121"/>
      <c r="K5551" s="117"/>
    </row>
    <row r="5552" ht="15.75" customHeight="1">
      <c r="A5552" s="122"/>
      <c r="B5552" s="133"/>
      <c r="C5552" s="120"/>
      <c r="D5552" s="120"/>
      <c r="E5552" s="120"/>
      <c r="F5552" s="120"/>
      <c r="G5552" s="120"/>
      <c r="H5552" s="120"/>
      <c r="I5552" s="121"/>
      <c r="J5552" s="121"/>
      <c r="K5552" s="117"/>
    </row>
    <row r="5553" ht="15.75" customHeight="1">
      <c r="A5553" s="122"/>
      <c r="B5553" s="133"/>
      <c r="C5553" s="120"/>
      <c r="D5553" s="120"/>
      <c r="E5553" s="120"/>
      <c r="F5553" s="120"/>
      <c r="G5553" s="120"/>
      <c r="H5553" s="120"/>
      <c r="I5553" s="121"/>
      <c r="J5553" s="121"/>
      <c r="K5553" s="117"/>
    </row>
    <row r="5554" ht="15.75" customHeight="1">
      <c r="A5554" s="122"/>
      <c r="B5554" s="133"/>
      <c r="C5554" s="120"/>
      <c r="D5554" s="120"/>
      <c r="E5554" s="120"/>
      <c r="F5554" s="120"/>
      <c r="G5554" s="120"/>
      <c r="H5554" s="120"/>
      <c r="I5554" s="121"/>
      <c r="J5554" s="121"/>
      <c r="K5554" s="117"/>
    </row>
    <row r="5555" ht="15.75" customHeight="1">
      <c r="A5555" s="122"/>
      <c r="B5555" s="133"/>
      <c r="C5555" s="120"/>
      <c r="D5555" s="120"/>
      <c r="E5555" s="120"/>
      <c r="F5555" s="120"/>
      <c r="G5555" s="120"/>
      <c r="H5555" s="120"/>
      <c r="I5555" s="121"/>
      <c r="J5555" s="121"/>
      <c r="K5555" s="117"/>
    </row>
    <row r="5556" ht="15.75" customHeight="1">
      <c r="A5556" s="122"/>
      <c r="B5556" s="133"/>
      <c r="C5556" s="120"/>
      <c r="D5556" s="120"/>
      <c r="E5556" s="120"/>
      <c r="F5556" s="120"/>
      <c r="G5556" s="120"/>
      <c r="H5556" s="120"/>
      <c r="I5556" s="121"/>
      <c r="J5556" s="121"/>
      <c r="K5556" s="117"/>
    </row>
    <row r="5557" ht="15.75" customHeight="1">
      <c r="A5557" s="122"/>
      <c r="B5557" s="133"/>
      <c r="C5557" s="120"/>
      <c r="D5557" s="120"/>
      <c r="E5557" s="120"/>
      <c r="F5557" s="120"/>
      <c r="G5557" s="120"/>
      <c r="H5557" s="120"/>
      <c r="I5557" s="121"/>
      <c r="J5557" s="121"/>
      <c r="K5557" s="117"/>
    </row>
    <row r="5558" ht="15.75" customHeight="1">
      <c r="A5558" s="122"/>
      <c r="B5558" s="133"/>
      <c r="C5558" s="120"/>
      <c r="D5558" s="120"/>
      <c r="E5558" s="120"/>
      <c r="F5558" s="120"/>
      <c r="G5558" s="120"/>
      <c r="H5558" s="120"/>
      <c r="I5558" s="121"/>
      <c r="J5558" s="121"/>
      <c r="K5558" s="117"/>
    </row>
    <row r="5559" ht="15.75" customHeight="1">
      <c r="A5559" s="122"/>
      <c r="B5559" s="133"/>
      <c r="C5559" s="120"/>
      <c r="D5559" s="120"/>
      <c r="E5559" s="120"/>
      <c r="F5559" s="120"/>
      <c r="G5559" s="120"/>
      <c r="H5559" s="120"/>
      <c r="I5559" s="121"/>
      <c r="J5559" s="121"/>
      <c r="K5559" s="117"/>
    </row>
    <row r="5560" ht="15.75" customHeight="1">
      <c r="A5560" s="122"/>
      <c r="B5560" s="133"/>
      <c r="C5560" s="120"/>
      <c r="D5560" s="120"/>
      <c r="E5560" s="120"/>
      <c r="F5560" s="120"/>
      <c r="G5560" s="120"/>
      <c r="H5560" s="120"/>
      <c r="I5560" s="121"/>
      <c r="J5560" s="121"/>
      <c r="K5560" s="117"/>
    </row>
    <row r="5561" ht="15.75" customHeight="1">
      <c r="A5561" s="122"/>
      <c r="B5561" s="133"/>
      <c r="C5561" s="120"/>
      <c r="D5561" s="120"/>
      <c r="E5561" s="120"/>
      <c r="F5561" s="120"/>
      <c r="G5561" s="120"/>
      <c r="H5561" s="120"/>
      <c r="I5561" s="121"/>
      <c r="J5561" s="121"/>
      <c r="K5561" s="117"/>
    </row>
    <row r="5562" ht="15.75" customHeight="1">
      <c r="A5562" s="122"/>
      <c r="B5562" s="133"/>
      <c r="C5562" s="120"/>
      <c r="D5562" s="120"/>
      <c r="E5562" s="120"/>
      <c r="F5562" s="120"/>
      <c r="G5562" s="120"/>
      <c r="H5562" s="120"/>
      <c r="I5562" s="121"/>
      <c r="J5562" s="121"/>
      <c r="K5562" s="117"/>
    </row>
    <row r="5563" ht="15.75" customHeight="1">
      <c r="A5563" s="122"/>
      <c r="B5563" s="133"/>
      <c r="C5563" s="120"/>
      <c r="D5563" s="120"/>
      <c r="E5563" s="120"/>
      <c r="F5563" s="120"/>
      <c r="G5563" s="120"/>
      <c r="H5563" s="120"/>
      <c r="I5563" s="121"/>
      <c r="J5563" s="121"/>
      <c r="K5563" s="117"/>
    </row>
    <row r="5564" ht="15.75" customHeight="1">
      <c r="A5564" s="122"/>
      <c r="B5564" s="133"/>
      <c r="C5564" s="120"/>
      <c r="D5564" s="120"/>
      <c r="E5564" s="120"/>
      <c r="F5564" s="120"/>
      <c r="G5564" s="120"/>
      <c r="H5564" s="120"/>
      <c r="I5564" s="121"/>
      <c r="J5564" s="121"/>
      <c r="K5564" s="117"/>
    </row>
    <row r="5565" ht="15.75" customHeight="1">
      <c r="A5565" s="122"/>
      <c r="B5565" s="133"/>
      <c r="C5565" s="120"/>
      <c r="D5565" s="120"/>
      <c r="E5565" s="120"/>
      <c r="F5565" s="120"/>
      <c r="G5565" s="120"/>
      <c r="H5565" s="120"/>
      <c r="I5565" s="121"/>
      <c r="J5565" s="121"/>
      <c r="K5565" s="117"/>
    </row>
    <row r="5566" ht="15.75" customHeight="1">
      <c r="A5566" s="122"/>
      <c r="B5566" s="133"/>
      <c r="C5566" s="120"/>
      <c r="D5566" s="120"/>
      <c r="E5566" s="120"/>
      <c r="F5566" s="120"/>
      <c r="G5566" s="120"/>
      <c r="H5566" s="120"/>
      <c r="I5566" s="121"/>
      <c r="J5566" s="121"/>
      <c r="K5566" s="117"/>
    </row>
    <row r="5567" ht="15.75" customHeight="1">
      <c r="A5567" s="122"/>
      <c r="B5567" s="133"/>
      <c r="C5567" s="120"/>
      <c r="D5567" s="120"/>
      <c r="E5567" s="120"/>
      <c r="F5567" s="120"/>
      <c r="G5567" s="120"/>
      <c r="H5567" s="120"/>
      <c r="I5567" s="121"/>
      <c r="J5567" s="121"/>
      <c r="K5567" s="117"/>
    </row>
    <row r="5568" ht="15.75" customHeight="1">
      <c r="A5568" s="122"/>
      <c r="B5568" s="133"/>
      <c r="C5568" s="120"/>
      <c r="D5568" s="120"/>
      <c r="E5568" s="120"/>
      <c r="F5568" s="120"/>
      <c r="G5568" s="120"/>
      <c r="H5568" s="120"/>
      <c r="I5568" s="121"/>
      <c r="J5568" s="121"/>
      <c r="K5568" s="117"/>
    </row>
    <row r="5569" ht="15.75" customHeight="1">
      <c r="A5569" s="122"/>
      <c r="B5569" s="133"/>
      <c r="C5569" s="120"/>
      <c r="D5569" s="120"/>
      <c r="E5569" s="120"/>
      <c r="F5569" s="120"/>
      <c r="G5569" s="120"/>
      <c r="H5569" s="120"/>
      <c r="I5569" s="121"/>
      <c r="J5569" s="121"/>
      <c r="K5569" s="117"/>
    </row>
    <row r="5570" ht="15.75" customHeight="1">
      <c r="A5570" s="122"/>
      <c r="B5570" s="133"/>
      <c r="C5570" s="120"/>
      <c r="D5570" s="120"/>
      <c r="E5570" s="120"/>
      <c r="F5570" s="120"/>
      <c r="G5570" s="120"/>
      <c r="H5570" s="120"/>
      <c r="I5570" s="121"/>
      <c r="J5570" s="121"/>
      <c r="K5570" s="117"/>
    </row>
    <row r="5571" ht="15.75" customHeight="1">
      <c r="A5571" s="122"/>
      <c r="B5571" s="133"/>
      <c r="C5571" s="120"/>
      <c r="D5571" s="120"/>
      <c r="E5571" s="120"/>
      <c r="F5571" s="120"/>
      <c r="G5571" s="120"/>
      <c r="H5571" s="120"/>
      <c r="I5571" s="121"/>
      <c r="J5571" s="121"/>
      <c r="K5571" s="117"/>
    </row>
    <row r="5572" ht="15.75" customHeight="1">
      <c r="A5572" s="122"/>
      <c r="B5572" s="133"/>
      <c r="C5572" s="120"/>
      <c r="D5572" s="120"/>
      <c r="E5572" s="120"/>
      <c r="F5572" s="120"/>
      <c r="G5572" s="120"/>
      <c r="H5572" s="120"/>
      <c r="I5572" s="121"/>
      <c r="J5572" s="121"/>
      <c r="K5572" s="117"/>
    </row>
    <row r="5573" ht="15.75" customHeight="1">
      <c r="A5573" s="122"/>
      <c r="B5573" s="133"/>
      <c r="C5573" s="120"/>
      <c r="D5573" s="120"/>
      <c r="E5573" s="120"/>
      <c r="F5573" s="120"/>
      <c r="G5573" s="120"/>
      <c r="H5573" s="120"/>
      <c r="I5573" s="121"/>
      <c r="J5573" s="121"/>
      <c r="K5573" s="117"/>
    </row>
    <row r="5574" ht="15.75" customHeight="1">
      <c r="A5574" s="122"/>
      <c r="B5574" s="133"/>
      <c r="C5574" s="120"/>
      <c r="D5574" s="120"/>
      <c r="E5574" s="120"/>
      <c r="F5574" s="120"/>
      <c r="G5574" s="120"/>
      <c r="H5574" s="120"/>
      <c r="I5574" s="121"/>
      <c r="J5574" s="121"/>
      <c r="K5574" s="117"/>
    </row>
    <row r="5575" ht="15.75" customHeight="1">
      <c r="A5575" s="122"/>
      <c r="B5575" s="133"/>
      <c r="C5575" s="120"/>
      <c r="D5575" s="120"/>
      <c r="E5575" s="120"/>
      <c r="F5575" s="120"/>
      <c r="G5575" s="120"/>
      <c r="H5575" s="120"/>
      <c r="I5575" s="121"/>
      <c r="J5575" s="121"/>
      <c r="K5575" s="117"/>
    </row>
    <row r="5576" ht="15.75" customHeight="1">
      <c r="A5576" s="122"/>
      <c r="B5576" s="133"/>
      <c r="C5576" s="120"/>
      <c r="D5576" s="120"/>
      <c r="E5576" s="120"/>
      <c r="F5576" s="120"/>
      <c r="G5576" s="120"/>
      <c r="H5576" s="120"/>
      <c r="I5576" s="121"/>
      <c r="J5576" s="121"/>
      <c r="K5576" s="117"/>
    </row>
    <row r="5577" ht="15.75" customHeight="1">
      <c r="A5577" s="122"/>
      <c r="B5577" s="133"/>
      <c r="C5577" s="120"/>
      <c r="D5577" s="120"/>
      <c r="E5577" s="120"/>
      <c r="F5577" s="120"/>
      <c r="G5577" s="120"/>
      <c r="H5577" s="120"/>
      <c r="I5577" s="121"/>
      <c r="J5577" s="121"/>
      <c r="K5577" s="117"/>
    </row>
    <row r="5578" ht="15.75" customHeight="1">
      <c r="A5578" s="122"/>
      <c r="B5578" s="133"/>
      <c r="C5578" s="120"/>
      <c r="D5578" s="120"/>
      <c r="E5578" s="120"/>
      <c r="F5578" s="120"/>
      <c r="G5578" s="120"/>
      <c r="H5578" s="120"/>
      <c r="I5578" s="121"/>
      <c r="J5578" s="121"/>
      <c r="K5578" s="117"/>
    </row>
    <row r="5579" ht="15.75" customHeight="1">
      <c r="A5579" s="122"/>
      <c r="B5579" s="133"/>
      <c r="C5579" s="120"/>
      <c r="D5579" s="120"/>
      <c r="E5579" s="120"/>
      <c r="F5579" s="120"/>
      <c r="G5579" s="120"/>
      <c r="H5579" s="120"/>
      <c r="I5579" s="121"/>
      <c r="J5579" s="121"/>
      <c r="K5579" s="117"/>
    </row>
    <row r="5580" ht="15.75" customHeight="1">
      <c r="A5580" s="122"/>
      <c r="B5580" s="133"/>
      <c r="C5580" s="120"/>
      <c r="D5580" s="120"/>
      <c r="E5580" s="120"/>
      <c r="F5580" s="120"/>
      <c r="G5580" s="120"/>
      <c r="H5580" s="120"/>
      <c r="I5580" s="121"/>
      <c r="J5580" s="121"/>
      <c r="K5580" s="117"/>
    </row>
    <row r="5581" ht="15.75" customHeight="1">
      <c r="A5581" s="122"/>
      <c r="B5581" s="133"/>
      <c r="C5581" s="120"/>
      <c r="D5581" s="120"/>
      <c r="E5581" s="120"/>
      <c r="F5581" s="120"/>
      <c r="G5581" s="120"/>
      <c r="H5581" s="120"/>
      <c r="I5581" s="121"/>
      <c r="J5581" s="121"/>
      <c r="K5581" s="117"/>
    </row>
    <row r="5582" ht="15.75" customHeight="1">
      <c r="A5582" s="122"/>
      <c r="B5582" s="133"/>
      <c r="C5582" s="120"/>
      <c r="D5582" s="120"/>
      <c r="E5582" s="120"/>
      <c r="F5582" s="120"/>
      <c r="G5582" s="120"/>
      <c r="H5582" s="120"/>
      <c r="I5582" s="121"/>
      <c r="J5582" s="121"/>
      <c r="K5582" s="117"/>
    </row>
    <row r="5583" ht="15.75" customHeight="1">
      <c r="A5583" s="122"/>
      <c r="B5583" s="133"/>
      <c r="C5583" s="120"/>
      <c r="D5583" s="120"/>
      <c r="E5583" s="120"/>
      <c r="F5583" s="120"/>
      <c r="G5583" s="120"/>
      <c r="H5583" s="120"/>
      <c r="I5583" s="121"/>
      <c r="J5583" s="121"/>
      <c r="K5583" s="117"/>
    </row>
    <row r="5584" ht="15.75" customHeight="1">
      <c r="A5584" s="122"/>
      <c r="B5584" s="133"/>
      <c r="C5584" s="120"/>
      <c r="D5584" s="120"/>
      <c r="E5584" s="120"/>
      <c r="F5584" s="120"/>
      <c r="G5584" s="120"/>
      <c r="H5584" s="120"/>
      <c r="I5584" s="121"/>
      <c r="J5584" s="121"/>
      <c r="K5584" s="117"/>
    </row>
    <row r="5585" ht="15.75" customHeight="1">
      <c r="A5585" s="122"/>
      <c r="B5585" s="133"/>
      <c r="C5585" s="120"/>
      <c r="D5585" s="120"/>
      <c r="E5585" s="120"/>
      <c r="F5585" s="120"/>
      <c r="G5585" s="120"/>
      <c r="H5585" s="120"/>
      <c r="I5585" s="121"/>
      <c r="J5585" s="121"/>
      <c r="K5585" s="117"/>
    </row>
    <row r="5586" ht="15.75" customHeight="1">
      <c r="A5586" s="122"/>
      <c r="B5586" s="133"/>
      <c r="C5586" s="120"/>
      <c r="D5586" s="120"/>
      <c r="E5586" s="120"/>
      <c r="F5586" s="120"/>
      <c r="G5586" s="120"/>
      <c r="H5586" s="120"/>
      <c r="I5586" s="121"/>
      <c r="J5586" s="121"/>
      <c r="K5586" s="117"/>
    </row>
    <row r="5587" ht="15.75" customHeight="1">
      <c r="A5587" s="122"/>
      <c r="B5587" s="133"/>
      <c r="C5587" s="120"/>
      <c r="D5587" s="120"/>
      <c r="E5587" s="120"/>
      <c r="F5587" s="120"/>
      <c r="G5587" s="120"/>
      <c r="H5587" s="120"/>
      <c r="I5587" s="121"/>
      <c r="J5587" s="121"/>
      <c r="K5587" s="117"/>
    </row>
    <row r="5588" ht="15.75" customHeight="1">
      <c r="A5588" s="122"/>
      <c r="B5588" s="133"/>
      <c r="C5588" s="120"/>
      <c r="D5588" s="120"/>
      <c r="E5588" s="120"/>
      <c r="F5588" s="120"/>
      <c r="G5588" s="120"/>
      <c r="H5588" s="120"/>
      <c r="I5588" s="121"/>
      <c r="J5588" s="121"/>
      <c r="K5588" s="117"/>
    </row>
    <row r="5589" ht="15.75" customHeight="1">
      <c r="A5589" s="122"/>
      <c r="B5589" s="133"/>
      <c r="C5589" s="120"/>
      <c r="D5589" s="120"/>
      <c r="E5589" s="120"/>
      <c r="F5589" s="120"/>
      <c r="G5589" s="120"/>
      <c r="H5589" s="120"/>
      <c r="I5589" s="121"/>
      <c r="J5589" s="121"/>
      <c r="K5589" s="117"/>
    </row>
    <row r="5590" ht="15.75" customHeight="1">
      <c r="A5590" s="122"/>
      <c r="B5590" s="133"/>
      <c r="C5590" s="120"/>
      <c r="D5590" s="120"/>
      <c r="E5590" s="120"/>
      <c r="F5590" s="120"/>
      <c r="G5590" s="120"/>
      <c r="H5590" s="120"/>
      <c r="I5590" s="121"/>
      <c r="J5590" s="121"/>
      <c r="K5590" s="117"/>
    </row>
    <row r="5591" ht="15.75" customHeight="1">
      <c r="A5591" s="122"/>
      <c r="B5591" s="133"/>
      <c r="C5591" s="120"/>
      <c r="D5591" s="120"/>
      <c r="E5591" s="120"/>
      <c r="F5591" s="120"/>
      <c r="G5591" s="120"/>
      <c r="H5591" s="120"/>
      <c r="I5591" s="121"/>
      <c r="J5591" s="121"/>
      <c r="K5591" s="117"/>
    </row>
    <row r="5592" ht="15.75" customHeight="1">
      <c r="A5592" s="122"/>
      <c r="B5592" s="133"/>
      <c r="C5592" s="120"/>
      <c r="D5592" s="120"/>
      <c r="E5592" s="120"/>
      <c r="F5592" s="120"/>
      <c r="G5592" s="120"/>
      <c r="H5592" s="120"/>
      <c r="I5592" s="121"/>
      <c r="J5592" s="121"/>
      <c r="K5592" s="117"/>
    </row>
    <row r="5593" ht="15.75" customHeight="1">
      <c r="A5593" s="122"/>
      <c r="B5593" s="133"/>
      <c r="C5593" s="120"/>
      <c r="D5593" s="120"/>
      <c r="E5593" s="120"/>
      <c r="F5593" s="120"/>
      <c r="G5593" s="120"/>
      <c r="H5593" s="120"/>
      <c r="I5593" s="121"/>
      <c r="J5593" s="121"/>
      <c r="K5593" s="117"/>
    </row>
    <row r="5594" ht="15.75" customHeight="1">
      <c r="A5594" s="122"/>
      <c r="B5594" s="133"/>
      <c r="C5594" s="120"/>
      <c r="D5594" s="120"/>
      <c r="E5594" s="120"/>
      <c r="F5594" s="120"/>
      <c r="G5594" s="120"/>
      <c r="H5594" s="120"/>
      <c r="I5594" s="121"/>
      <c r="J5594" s="121"/>
      <c r="K5594" s="117"/>
    </row>
    <row r="5595" ht="15.75" customHeight="1">
      <c r="A5595" s="122"/>
      <c r="B5595" s="133"/>
      <c r="C5595" s="120"/>
      <c r="D5595" s="120"/>
      <c r="E5595" s="120"/>
      <c r="F5595" s="120"/>
      <c r="G5595" s="120"/>
      <c r="H5595" s="120"/>
      <c r="I5595" s="121"/>
      <c r="J5595" s="121"/>
      <c r="K5595" s="117"/>
    </row>
    <row r="5596" ht="15.75" customHeight="1">
      <c r="A5596" s="122"/>
      <c r="B5596" s="133"/>
      <c r="C5596" s="120"/>
      <c r="D5596" s="120"/>
      <c r="E5596" s="120"/>
      <c r="F5596" s="120"/>
      <c r="G5596" s="120"/>
      <c r="H5596" s="120"/>
      <c r="I5596" s="121"/>
      <c r="J5596" s="121"/>
      <c r="K5596" s="117"/>
    </row>
    <row r="5597" ht="15.75" customHeight="1">
      <c r="A5597" s="122"/>
      <c r="B5597" s="133"/>
      <c r="C5597" s="120"/>
      <c r="D5597" s="120"/>
      <c r="E5597" s="120"/>
      <c r="F5597" s="120"/>
      <c r="G5597" s="120"/>
      <c r="H5597" s="120"/>
      <c r="I5597" s="121"/>
      <c r="J5597" s="121"/>
      <c r="K5597" s="117"/>
    </row>
    <row r="5598" ht="15.75" customHeight="1">
      <c r="A5598" s="122"/>
      <c r="B5598" s="133"/>
      <c r="C5598" s="120"/>
      <c r="D5598" s="120"/>
      <c r="E5598" s="120"/>
      <c r="F5598" s="120"/>
      <c r="G5598" s="120"/>
      <c r="H5598" s="120"/>
      <c r="I5598" s="121"/>
      <c r="J5598" s="121"/>
      <c r="K5598" s="117"/>
    </row>
    <row r="5599" ht="15.75" customHeight="1">
      <c r="A5599" s="122"/>
      <c r="B5599" s="133"/>
      <c r="C5599" s="120"/>
      <c r="D5599" s="120"/>
      <c r="E5599" s="120"/>
      <c r="F5599" s="120"/>
      <c r="G5599" s="120"/>
      <c r="H5599" s="120"/>
      <c r="I5599" s="121"/>
      <c r="J5599" s="121"/>
      <c r="K5599" s="117"/>
    </row>
    <row r="5600" ht="15.75" customHeight="1">
      <c r="A5600" s="122"/>
      <c r="B5600" s="133"/>
      <c r="C5600" s="120"/>
      <c r="D5600" s="120"/>
      <c r="E5600" s="120"/>
      <c r="F5600" s="120"/>
      <c r="G5600" s="120"/>
      <c r="H5600" s="120"/>
      <c r="I5600" s="121"/>
      <c r="J5600" s="121"/>
      <c r="K5600" s="117"/>
    </row>
    <row r="5601" ht="15.75" customHeight="1">
      <c r="A5601" s="122"/>
      <c r="B5601" s="133"/>
      <c r="C5601" s="120"/>
      <c r="D5601" s="120"/>
      <c r="E5601" s="120"/>
      <c r="F5601" s="120"/>
      <c r="G5601" s="120"/>
      <c r="H5601" s="120"/>
      <c r="I5601" s="121"/>
      <c r="J5601" s="121"/>
      <c r="K5601" s="117"/>
    </row>
    <row r="5602" ht="15.75" customHeight="1">
      <c r="A5602" s="122"/>
      <c r="B5602" s="133"/>
      <c r="C5602" s="120"/>
      <c r="D5602" s="120"/>
      <c r="E5602" s="120"/>
      <c r="F5602" s="120"/>
      <c r="G5602" s="120"/>
      <c r="H5602" s="120"/>
      <c r="I5602" s="121"/>
      <c r="J5602" s="121"/>
      <c r="K5602" s="117"/>
    </row>
    <row r="5603" ht="15.75" customHeight="1">
      <c r="A5603" s="122"/>
      <c r="B5603" s="133"/>
      <c r="C5603" s="120"/>
      <c r="D5603" s="120"/>
      <c r="E5603" s="120"/>
      <c r="F5603" s="120"/>
      <c r="G5603" s="120"/>
      <c r="H5603" s="120"/>
      <c r="I5603" s="121"/>
      <c r="J5603" s="121"/>
      <c r="K5603" s="117"/>
    </row>
    <row r="5604" ht="15.75" customHeight="1">
      <c r="A5604" s="122"/>
      <c r="B5604" s="133"/>
      <c r="C5604" s="120"/>
      <c r="D5604" s="120"/>
      <c r="E5604" s="120"/>
      <c r="F5604" s="120"/>
      <c r="G5604" s="120"/>
      <c r="H5604" s="120"/>
      <c r="I5604" s="121"/>
      <c r="J5604" s="121"/>
      <c r="K5604" s="117"/>
    </row>
    <row r="5605" ht="15.75" customHeight="1">
      <c r="A5605" s="122"/>
      <c r="B5605" s="133"/>
      <c r="C5605" s="120"/>
      <c r="D5605" s="120"/>
      <c r="E5605" s="120"/>
      <c r="F5605" s="120"/>
      <c r="G5605" s="120"/>
      <c r="H5605" s="120"/>
      <c r="I5605" s="121"/>
      <c r="J5605" s="121"/>
      <c r="K5605" s="117"/>
    </row>
    <row r="5606" ht="15.75" customHeight="1">
      <c r="A5606" s="122"/>
      <c r="B5606" s="133"/>
      <c r="C5606" s="120"/>
      <c r="D5606" s="120"/>
      <c r="E5606" s="120"/>
      <c r="F5606" s="120"/>
      <c r="G5606" s="120"/>
      <c r="H5606" s="120"/>
      <c r="I5606" s="121"/>
      <c r="J5606" s="121"/>
      <c r="K5606" s="117"/>
    </row>
    <row r="5607" ht="15.75" customHeight="1">
      <c r="A5607" s="122"/>
      <c r="B5607" s="133"/>
      <c r="C5607" s="120"/>
      <c r="D5607" s="120"/>
      <c r="E5607" s="120"/>
      <c r="F5607" s="120"/>
      <c r="G5607" s="120"/>
      <c r="H5607" s="120"/>
      <c r="I5607" s="121"/>
      <c r="J5607" s="121"/>
      <c r="K5607" s="117"/>
    </row>
    <row r="5608" ht="15.75" customHeight="1">
      <c r="A5608" s="122"/>
      <c r="B5608" s="133"/>
      <c r="C5608" s="120"/>
      <c r="D5608" s="120"/>
      <c r="E5608" s="120"/>
      <c r="F5608" s="120"/>
      <c r="G5608" s="120"/>
      <c r="H5608" s="120"/>
      <c r="I5608" s="121"/>
      <c r="J5608" s="121"/>
      <c r="K5608" s="117"/>
    </row>
    <row r="5609" ht="15.75" customHeight="1">
      <c r="A5609" s="122"/>
      <c r="B5609" s="133"/>
      <c r="C5609" s="120"/>
      <c r="D5609" s="120"/>
      <c r="E5609" s="120"/>
      <c r="F5609" s="120"/>
      <c r="G5609" s="120"/>
      <c r="H5609" s="120"/>
      <c r="I5609" s="121"/>
      <c r="J5609" s="121"/>
      <c r="K5609" s="117"/>
    </row>
    <row r="5610" ht="15.75" customHeight="1">
      <c r="A5610" s="122"/>
      <c r="B5610" s="133"/>
      <c r="C5610" s="120"/>
      <c r="D5610" s="120"/>
      <c r="E5610" s="120"/>
      <c r="F5610" s="120"/>
      <c r="G5610" s="120"/>
      <c r="H5610" s="120"/>
      <c r="I5610" s="121"/>
      <c r="J5610" s="121"/>
      <c r="K5610" s="117"/>
    </row>
    <row r="5611" ht="15.75" customHeight="1">
      <c r="A5611" s="122"/>
      <c r="B5611" s="133"/>
      <c r="C5611" s="120"/>
      <c r="D5611" s="120"/>
      <c r="E5611" s="120"/>
      <c r="F5611" s="120"/>
      <c r="G5611" s="120"/>
      <c r="H5611" s="120"/>
      <c r="I5611" s="121"/>
      <c r="J5611" s="121"/>
      <c r="K5611" s="117"/>
    </row>
    <row r="5612" ht="15.75" customHeight="1">
      <c r="A5612" s="122"/>
      <c r="B5612" s="133"/>
      <c r="C5612" s="120"/>
      <c r="D5612" s="120"/>
      <c r="E5612" s="120"/>
      <c r="F5612" s="120"/>
      <c r="G5612" s="120"/>
      <c r="H5612" s="120"/>
      <c r="I5612" s="121"/>
      <c r="J5612" s="121"/>
      <c r="K5612" s="117"/>
    </row>
    <row r="5613" ht="15.75" customHeight="1">
      <c r="A5613" s="122"/>
      <c r="B5613" s="133"/>
      <c r="C5613" s="120"/>
      <c r="D5613" s="120"/>
      <c r="E5613" s="120"/>
      <c r="F5613" s="120"/>
      <c r="G5613" s="120"/>
      <c r="H5613" s="120"/>
      <c r="I5613" s="121"/>
      <c r="J5613" s="121"/>
      <c r="K5613" s="117"/>
    </row>
    <row r="5614" ht="15.75" customHeight="1">
      <c r="A5614" s="122"/>
      <c r="B5614" s="133"/>
      <c r="C5614" s="120"/>
      <c r="D5614" s="120"/>
      <c r="E5614" s="120"/>
      <c r="F5614" s="120"/>
      <c r="G5614" s="120"/>
      <c r="H5614" s="120"/>
      <c r="I5614" s="121"/>
      <c r="J5614" s="121"/>
      <c r="K5614" s="117"/>
    </row>
    <row r="5615" ht="15.75" customHeight="1">
      <c r="A5615" s="122"/>
      <c r="B5615" s="133"/>
      <c r="C5615" s="120"/>
      <c r="D5615" s="120"/>
      <c r="E5615" s="120"/>
      <c r="F5615" s="120"/>
      <c r="G5615" s="120"/>
      <c r="H5615" s="120"/>
      <c r="I5615" s="121"/>
      <c r="J5615" s="121"/>
      <c r="K5615" s="117"/>
    </row>
    <row r="5616" ht="15.75" customHeight="1">
      <c r="A5616" s="122"/>
      <c r="B5616" s="133"/>
      <c r="C5616" s="120"/>
      <c r="D5616" s="120"/>
      <c r="E5616" s="120"/>
      <c r="F5616" s="120"/>
      <c r="G5616" s="120"/>
      <c r="H5616" s="120"/>
      <c r="I5616" s="121"/>
      <c r="J5616" s="121"/>
      <c r="K5616" s="117"/>
    </row>
    <row r="5617" ht="15.75" customHeight="1">
      <c r="A5617" s="122"/>
      <c r="B5617" s="133"/>
      <c r="C5617" s="120"/>
      <c r="D5617" s="120"/>
      <c r="E5617" s="120"/>
      <c r="F5617" s="120"/>
      <c r="G5617" s="120"/>
      <c r="H5617" s="120"/>
      <c r="I5617" s="121"/>
      <c r="J5617" s="121"/>
      <c r="K5617" s="117"/>
    </row>
    <row r="5618" ht="15.75" customHeight="1">
      <c r="A5618" s="122"/>
      <c r="B5618" s="133"/>
      <c r="C5618" s="120"/>
      <c r="D5618" s="120"/>
      <c r="E5618" s="120"/>
      <c r="F5618" s="120"/>
      <c r="G5618" s="120"/>
      <c r="H5618" s="120"/>
      <c r="I5618" s="121"/>
      <c r="J5618" s="121"/>
      <c r="K5618" s="117"/>
    </row>
    <row r="5619" ht="15.75" customHeight="1">
      <c r="A5619" s="122"/>
      <c r="B5619" s="133"/>
      <c r="C5619" s="120"/>
      <c r="D5619" s="120"/>
      <c r="E5619" s="120"/>
      <c r="F5619" s="120"/>
      <c r="G5619" s="120"/>
      <c r="H5619" s="120"/>
      <c r="I5619" s="121"/>
      <c r="J5619" s="121"/>
      <c r="K5619" s="117"/>
    </row>
    <row r="5620" ht="15.75" customHeight="1">
      <c r="A5620" s="122"/>
      <c r="B5620" s="133"/>
      <c r="C5620" s="120"/>
      <c r="D5620" s="120"/>
      <c r="E5620" s="120"/>
      <c r="F5620" s="120"/>
      <c r="G5620" s="120"/>
      <c r="H5620" s="120"/>
      <c r="I5620" s="121"/>
      <c r="J5620" s="121"/>
      <c r="K5620" s="117"/>
    </row>
    <row r="5621" ht="15.75" customHeight="1">
      <c r="A5621" s="122"/>
      <c r="B5621" s="133"/>
      <c r="C5621" s="120"/>
      <c r="D5621" s="120"/>
      <c r="E5621" s="120"/>
      <c r="F5621" s="120"/>
      <c r="G5621" s="120"/>
      <c r="H5621" s="120"/>
      <c r="I5621" s="121"/>
      <c r="J5621" s="121"/>
      <c r="K5621" s="117"/>
    </row>
    <row r="5622" ht="15.75" customHeight="1">
      <c r="A5622" s="122"/>
      <c r="B5622" s="133"/>
      <c r="C5622" s="120"/>
      <c r="D5622" s="120"/>
      <c r="E5622" s="120"/>
      <c r="F5622" s="120"/>
      <c r="G5622" s="120"/>
      <c r="H5622" s="120"/>
      <c r="I5622" s="121"/>
      <c r="J5622" s="121"/>
      <c r="K5622" s="117"/>
    </row>
    <row r="5623" ht="15.75" customHeight="1">
      <c r="A5623" s="122"/>
      <c r="B5623" s="133"/>
      <c r="C5623" s="120"/>
      <c r="D5623" s="120"/>
      <c r="E5623" s="120"/>
      <c r="F5623" s="120"/>
      <c r="G5623" s="120"/>
      <c r="H5623" s="120"/>
      <c r="I5623" s="121"/>
      <c r="J5623" s="121"/>
      <c r="K5623" s="117"/>
    </row>
    <row r="5624" ht="15.75" customHeight="1">
      <c r="A5624" s="122"/>
      <c r="B5624" s="133"/>
      <c r="C5624" s="120"/>
      <c r="D5624" s="120"/>
      <c r="E5624" s="120"/>
      <c r="F5624" s="120"/>
      <c r="G5624" s="120"/>
      <c r="H5624" s="120"/>
      <c r="I5624" s="121"/>
      <c r="J5624" s="121"/>
      <c r="K5624" s="117"/>
    </row>
    <row r="5625" ht="15.75" customHeight="1">
      <c r="A5625" s="122"/>
      <c r="B5625" s="133"/>
      <c r="C5625" s="120"/>
      <c r="D5625" s="120"/>
      <c r="E5625" s="120"/>
      <c r="F5625" s="120"/>
      <c r="G5625" s="120"/>
      <c r="H5625" s="120"/>
      <c r="I5625" s="121"/>
      <c r="J5625" s="121"/>
      <c r="K5625" s="117"/>
    </row>
    <row r="5626" ht="15.75" customHeight="1">
      <c r="A5626" s="122"/>
      <c r="B5626" s="133"/>
      <c r="C5626" s="120"/>
      <c r="D5626" s="120"/>
      <c r="E5626" s="120"/>
      <c r="F5626" s="120"/>
      <c r="G5626" s="120"/>
      <c r="H5626" s="120"/>
      <c r="I5626" s="121"/>
      <c r="J5626" s="121"/>
      <c r="K5626" s="117"/>
    </row>
    <row r="5627" ht="15.75" customHeight="1">
      <c r="A5627" s="122"/>
      <c r="B5627" s="133"/>
      <c r="C5627" s="120"/>
      <c r="D5627" s="120"/>
      <c r="E5627" s="120"/>
      <c r="F5627" s="120"/>
      <c r="G5627" s="120"/>
      <c r="H5627" s="120"/>
      <c r="I5627" s="121"/>
      <c r="J5627" s="121"/>
      <c r="K5627" s="117"/>
    </row>
    <row r="5628" ht="15.75" customHeight="1">
      <c r="A5628" s="122"/>
      <c r="B5628" s="133"/>
      <c r="C5628" s="120"/>
      <c r="D5628" s="120"/>
      <c r="E5628" s="120"/>
      <c r="F5628" s="120"/>
      <c r="G5628" s="120"/>
      <c r="H5628" s="120"/>
      <c r="I5628" s="121"/>
      <c r="J5628" s="121"/>
      <c r="K5628" s="117"/>
    </row>
    <row r="5629" ht="15.75" customHeight="1">
      <c r="A5629" s="122"/>
      <c r="B5629" s="133"/>
      <c r="C5629" s="120"/>
      <c r="D5629" s="120"/>
      <c r="E5629" s="120"/>
      <c r="F5629" s="120"/>
      <c r="G5629" s="120"/>
      <c r="H5629" s="120"/>
      <c r="I5629" s="121"/>
      <c r="J5629" s="121"/>
      <c r="K5629" s="117"/>
    </row>
    <row r="5630" ht="15.75" customHeight="1">
      <c r="A5630" s="122"/>
      <c r="B5630" s="133"/>
      <c r="C5630" s="120"/>
      <c r="D5630" s="120"/>
      <c r="E5630" s="120"/>
      <c r="F5630" s="120"/>
      <c r="G5630" s="120"/>
      <c r="H5630" s="120"/>
      <c r="I5630" s="121"/>
      <c r="J5630" s="121"/>
      <c r="K5630" s="117"/>
    </row>
    <row r="5631" ht="15.75" customHeight="1">
      <c r="A5631" s="122"/>
      <c r="B5631" s="133"/>
      <c r="C5631" s="120"/>
      <c r="D5631" s="120"/>
      <c r="E5631" s="120"/>
      <c r="F5631" s="120"/>
      <c r="G5631" s="120"/>
      <c r="H5631" s="120"/>
      <c r="I5631" s="121"/>
      <c r="J5631" s="121"/>
      <c r="K5631" s="117"/>
    </row>
    <row r="5632" ht="15.75" customHeight="1">
      <c r="A5632" s="122"/>
      <c r="B5632" s="133"/>
      <c r="C5632" s="120"/>
      <c r="D5632" s="120"/>
      <c r="E5632" s="120"/>
      <c r="F5632" s="120"/>
      <c r="G5632" s="120"/>
      <c r="H5632" s="120"/>
      <c r="I5632" s="121"/>
      <c r="J5632" s="121"/>
      <c r="K5632" s="117"/>
    </row>
    <row r="5633" ht="15.75" customHeight="1">
      <c r="A5633" s="122"/>
      <c r="B5633" s="133"/>
      <c r="C5633" s="120"/>
      <c r="D5633" s="120"/>
      <c r="E5633" s="120"/>
      <c r="F5633" s="120"/>
      <c r="G5633" s="120"/>
      <c r="H5633" s="120"/>
      <c r="I5633" s="121"/>
      <c r="J5633" s="121"/>
      <c r="K5633" s="117"/>
    </row>
    <row r="5634" ht="15.75" customHeight="1">
      <c r="A5634" s="122"/>
      <c r="B5634" s="133"/>
      <c r="C5634" s="120"/>
      <c r="D5634" s="120"/>
      <c r="E5634" s="120"/>
      <c r="F5634" s="120"/>
      <c r="G5634" s="120"/>
      <c r="H5634" s="120"/>
      <c r="I5634" s="121"/>
      <c r="J5634" s="121"/>
      <c r="K5634" s="117"/>
    </row>
    <row r="5635" ht="15.75" customHeight="1">
      <c r="A5635" s="122"/>
      <c r="B5635" s="133"/>
      <c r="C5635" s="120"/>
      <c r="D5635" s="120"/>
      <c r="E5635" s="120"/>
      <c r="F5635" s="120"/>
      <c r="G5635" s="120"/>
      <c r="H5635" s="120"/>
      <c r="I5635" s="121"/>
      <c r="J5635" s="121"/>
      <c r="K5635" s="117"/>
    </row>
    <row r="5636" ht="15.75" customHeight="1">
      <c r="A5636" s="122"/>
      <c r="B5636" s="133"/>
      <c r="C5636" s="120"/>
      <c r="D5636" s="120"/>
      <c r="E5636" s="120"/>
      <c r="F5636" s="120"/>
      <c r="G5636" s="120"/>
      <c r="H5636" s="120"/>
      <c r="I5636" s="121"/>
      <c r="J5636" s="121"/>
      <c r="K5636" s="117"/>
    </row>
    <row r="5637" ht="15.75" customHeight="1">
      <c r="A5637" s="122"/>
      <c r="B5637" s="133"/>
      <c r="C5637" s="120"/>
      <c r="D5637" s="120"/>
      <c r="E5637" s="120"/>
      <c r="F5637" s="120"/>
      <c r="G5637" s="120"/>
      <c r="H5637" s="120"/>
      <c r="I5637" s="121"/>
      <c r="J5637" s="121"/>
      <c r="K5637" s="117"/>
    </row>
    <row r="5638" ht="15.75" customHeight="1">
      <c r="A5638" s="122"/>
      <c r="B5638" s="133"/>
      <c r="C5638" s="120"/>
      <c r="D5638" s="120"/>
      <c r="E5638" s="120"/>
      <c r="F5638" s="120"/>
      <c r="G5638" s="120"/>
      <c r="H5638" s="120"/>
      <c r="I5638" s="121"/>
      <c r="J5638" s="121"/>
      <c r="K5638" s="117"/>
    </row>
    <row r="5639" ht="15.75" customHeight="1">
      <c r="A5639" s="122"/>
      <c r="B5639" s="133"/>
      <c r="C5639" s="120"/>
      <c r="D5639" s="120"/>
      <c r="E5639" s="120"/>
      <c r="F5639" s="120"/>
      <c r="G5639" s="120"/>
      <c r="H5639" s="120"/>
      <c r="I5639" s="121"/>
      <c r="J5639" s="121"/>
      <c r="K5639" s="117"/>
    </row>
    <row r="5640" ht="15.75" customHeight="1">
      <c r="A5640" s="122"/>
      <c r="B5640" s="133"/>
      <c r="C5640" s="120"/>
      <c r="D5640" s="120"/>
      <c r="E5640" s="120"/>
      <c r="F5640" s="120"/>
      <c r="G5640" s="120"/>
      <c r="H5640" s="120"/>
      <c r="I5640" s="121"/>
      <c r="J5640" s="121"/>
      <c r="K5640" s="117"/>
    </row>
    <row r="5641" ht="15.75" customHeight="1">
      <c r="A5641" s="122"/>
      <c r="B5641" s="133"/>
      <c r="C5641" s="120"/>
      <c r="D5641" s="120"/>
      <c r="E5641" s="120"/>
      <c r="F5641" s="120"/>
      <c r="G5641" s="120"/>
      <c r="H5641" s="120"/>
      <c r="I5641" s="121"/>
      <c r="J5641" s="121"/>
      <c r="K5641" s="117"/>
    </row>
    <row r="5642" ht="15.75" customHeight="1">
      <c r="A5642" s="122"/>
      <c r="B5642" s="133"/>
      <c r="C5642" s="120"/>
      <c r="D5642" s="120"/>
      <c r="E5642" s="120"/>
      <c r="F5642" s="120"/>
      <c r="G5642" s="120"/>
      <c r="H5642" s="120"/>
      <c r="I5642" s="121"/>
      <c r="J5642" s="121"/>
      <c r="K5642" s="117"/>
    </row>
    <row r="5643" ht="15.75" customHeight="1">
      <c r="A5643" s="122"/>
      <c r="B5643" s="133"/>
      <c r="C5643" s="120"/>
      <c r="D5643" s="120"/>
      <c r="E5643" s="120"/>
      <c r="F5643" s="120"/>
      <c r="G5643" s="120"/>
      <c r="H5643" s="120"/>
      <c r="I5643" s="121"/>
      <c r="J5643" s="121"/>
      <c r="K5643" s="117"/>
    </row>
    <row r="5644" ht="15.75" customHeight="1">
      <c r="A5644" s="122"/>
      <c r="B5644" s="133"/>
      <c r="C5644" s="120"/>
      <c r="D5644" s="120"/>
      <c r="E5644" s="120"/>
      <c r="F5644" s="120"/>
      <c r="G5644" s="120"/>
      <c r="H5644" s="120"/>
      <c r="I5644" s="121"/>
      <c r="J5644" s="121"/>
      <c r="K5644" s="117"/>
    </row>
    <row r="5645" ht="15.75" customHeight="1">
      <c r="A5645" s="122"/>
      <c r="B5645" s="133"/>
      <c r="C5645" s="120"/>
      <c r="D5645" s="120"/>
      <c r="E5645" s="120"/>
      <c r="F5645" s="120"/>
      <c r="G5645" s="120"/>
      <c r="H5645" s="120"/>
      <c r="I5645" s="121"/>
      <c r="J5645" s="121"/>
      <c r="K5645" s="117"/>
    </row>
    <row r="5646" ht="15.75" customHeight="1">
      <c r="A5646" s="122"/>
      <c r="B5646" s="133"/>
      <c r="C5646" s="120"/>
      <c r="D5646" s="120"/>
      <c r="E5646" s="120"/>
      <c r="F5646" s="120"/>
      <c r="G5646" s="120"/>
      <c r="H5646" s="120"/>
      <c r="I5646" s="121"/>
      <c r="J5646" s="121"/>
      <c r="K5646" s="117"/>
    </row>
    <row r="5647" ht="15.75" customHeight="1">
      <c r="A5647" s="122"/>
      <c r="B5647" s="133"/>
      <c r="C5647" s="120"/>
      <c r="D5647" s="120"/>
      <c r="E5647" s="120"/>
      <c r="F5647" s="120"/>
      <c r="G5647" s="120"/>
      <c r="H5647" s="120"/>
      <c r="I5647" s="121"/>
      <c r="J5647" s="121"/>
      <c r="K5647" s="117"/>
    </row>
    <row r="5648" ht="15.75" customHeight="1">
      <c r="A5648" s="122"/>
      <c r="B5648" s="133"/>
      <c r="C5648" s="120"/>
      <c r="D5648" s="120"/>
      <c r="E5648" s="120"/>
      <c r="F5648" s="120"/>
      <c r="G5648" s="120"/>
      <c r="H5648" s="120"/>
      <c r="I5648" s="121"/>
      <c r="J5648" s="121"/>
      <c r="K5648" s="117"/>
    </row>
    <row r="5649" ht="15.75" customHeight="1">
      <c r="A5649" s="122"/>
      <c r="B5649" s="133"/>
      <c r="C5649" s="120"/>
      <c r="D5649" s="120"/>
      <c r="E5649" s="120"/>
      <c r="F5649" s="120"/>
      <c r="G5649" s="120"/>
      <c r="H5649" s="120"/>
      <c r="I5649" s="121"/>
      <c r="J5649" s="121"/>
      <c r="K5649" s="117"/>
    </row>
    <row r="5650" ht="15.75" customHeight="1">
      <c r="A5650" s="122"/>
      <c r="B5650" s="133"/>
      <c r="C5650" s="120"/>
      <c r="D5650" s="120"/>
      <c r="E5650" s="120"/>
      <c r="F5650" s="120"/>
      <c r="G5650" s="120"/>
      <c r="H5650" s="120"/>
      <c r="I5650" s="121"/>
      <c r="J5650" s="121"/>
      <c r="K5650" s="117"/>
    </row>
    <row r="5651" ht="15.75" customHeight="1">
      <c r="A5651" s="122"/>
      <c r="B5651" s="133"/>
      <c r="C5651" s="120"/>
      <c r="D5651" s="120"/>
      <c r="E5651" s="120"/>
      <c r="F5651" s="120"/>
      <c r="G5651" s="120"/>
      <c r="H5651" s="120"/>
      <c r="I5651" s="121"/>
      <c r="J5651" s="121"/>
      <c r="K5651" s="117"/>
    </row>
    <row r="5652" ht="15.75" customHeight="1">
      <c r="A5652" s="122"/>
      <c r="B5652" s="133"/>
      <c r="C5652" s="120"/>
      <c r="D5652" s="120"/>
      <c r="E5652" s="120"/>
      <c r="F5652" s="120"/>
      <c r="G5652" s="120"/>
      <c r="H5652" s="120"/>
      <c r="I5652" s="121"/>
      <c r="J5652" s="121"/>
      <c r="K5652" s="117"/>
    </row>
    <row r="5653" ht="15.75" customHeight="1">
      <c r="A5653" s="122"/>
      <c r="B5653" s="133"/>
      <c r="C5653" s="120"/>
      <c r="D5653" s="120"/>
      <c r="E5653" s="120"/>
      <c r="F5653" s="120"/>
      <c r="G5653" s="120"/>
      <c r="H5653" s="120"/>
      <c r="I5653" s="121"/>
      <c r="J5653" s="121"/>
      <c r="K5653" s="117"/>
    </row>
    <row r="5654" ht="15.75" customHeight="1">
      <c r="A5654" s="122"/>
      <c r="B5654" s="133"/>
      <c r="C5654" s="120"/>
      <c r="D5654" s="120"/>
      <c r="E5654" s="120"/>
      <c r="F5654" s="120"/>
      <c r="G5654" s="120"/>
      <c r="H5654" s="120"/>
      <c r="I5654" s="121"/>
      <c r="J5654" s="121"/>
      <c r="K5654" s="117"/>
    </row>
    <row r="5655" ht="15.75" customHeight="1">
      <c r="A5655" s="122"/>
      <c r="B5655" s="133"/>
      <c r="C5655" s="120"/>
      <c r="D5655" s="120"/>
      <c r="E5655" s="120"/>
      <c r="F5655" s="120"/>
      <c r="G5655" s="120"/>
      <c r="H5655" s="120"/>
      <c r="I5655" s="121"/>
      <c r="J5655" s="121"/>
      <c r="K5655" s="117"/>
    </row>
    <row r="5656" ht="15.75" customHeight="1">
      <c r="A5656" s="122"/>
      <c r="B5656" s="133"/>
      <c r="C5656" s="120"/>
      <c r="D5656" s="120"/>
      <c r="E5656" s="120"/>
      <c r="F5656" s="120"/>
      <c r="G5656" s="120"/>
      <c r="H5656" s="120"/>
      <c r="I5656" s="121"/>
      <c r="J5656" s="121"/>
      <c r="K5656" s="117"/>
    </row>
    <row r="5657" ht="15.75" customHeight="1">
      <c r="A5657" s="122"/>
      <c r="B5657" s="133"/>
      <c r="C5657" s="120"/>
      <c r="D5657" s="120"/>
      <c r="E5657" s="120"/>
      <c r="F5657" s="120"/>
      <c r="G5657" s="120"/>
      <c r="H5657" s="120"/>
      <c r="I5657" s="121"/>
      <c r="J5657" s="121"/>
      <c r="K5657" s="117"/>
    </row>
    <row r="5658" ht="15.75" customHeight="1">
      <c r="A5658" s="122"/>
      <c r="B5658" s="133"/>
      <c r="C5658" s="120"/>
      <c r="D5658" s="120"/>
      <c r="E5658" s="120"/>
      <c r="F5658" s="120"/>
      <c r="G5658" s="120"/>
      <c r="H5658" s="120"/>
      <c r="I5658" s="121"/>
      <c r="J5658" s="121"/>
      <c r="K5658" s="117"/>
    </row>
    <row r="5659" ht="15.75" customHeight="1">
      <c r="A5659" s="122"/>
      <c r="B5659" s="133"/>
      <c r="C5659" s="120"/>
      <c r="D5659" s="120"/>
      <c r="E5659" s="120"/>
      <c r="F5659" s="120"/>
      <c r="G5659" s="120"/>
      <c r="H5659" s="120"/>
      <c r="I5659" s="121"/>
      <c r="J5659" s="121"/>
      <c r="K5659" s="117"/>
    </row>
    <row r="5660" ht="15.75" customHeight="1">
      <c r="A5660" s="122"/>
      <c r="B5660" s="133"/>
      <c r="C5660" s="120"/>
      <c r="D5660" s="120"/>
      <c r="E5660" s="120"/>
      <c r="F5660" s="120"/>
      <c r="G5660" s="120"/>
      <c r="H5660" s="120"/>
      <c r="I5660" s="121"/>
      <c r="J5660" s="121"/>
      <c r="K5660" s="117"/>
    </row>
    <row r="5661" ht="15.75" customHeight="1">
      <c r="A5661" s="122"/>
      <c r="B5661" s="133"/>
      <c r="C5661" s="120"/>
      <c r="D5661" s="120"/>
      <c r="E5661" s="120"/>
      <c r="F5661" s="120"/>
      <c r="G5661" s="120"/>
      <c r="H5661" s="120"/>
      <c r="I5661" s="121"/>
      <c r="J5661" s="121"/>
      <c r="K5661" s="117"/>
    </row>
    <row r="5662" ht="15.75" customHeight="1">
      <c r="A5662" s="122"/>
      <c r="B5662" s="133"/>
      <c r="C5662" s="120"/>
      <c r="D5662" s="120"/>
      <c r="E5662" s="120"/>
      <c r="F5662" s="120"/>
      <c r="G5662" s="120"/>
      <c r="H5662" s="120"/>
      <c r="I5662" s="121"/>
      <c r="J5662" s="121"/>
      <c r="K5662" s="117"/>
    </row>
    <row r="5663" ht="15.75" customHeight="1">
      <c r="A5663" s="122"/>
      <c r="B5663" s="133"/>
      <c r="C5663" s="120"/>
      <c r="D5663" s="120"/>
      <c r="E5663" s="120"/>
      <c r="F5663" s="120"/>
      <c r="G5663" s="120"/>
      <c r="H5663" s="120"/>
      <c r="I5663" s="121"/>
      <c r="J5663" s="121"/>
      <c r="K5663" s="117"/>
    </row>
    <row r="5664" ht="15.75" customHeight="1">
      <c r="A5664" s="122"/>
      <c r="B5664" s="133"/>
      <c r="C5664" s="120"/>
      <c r="D5664" s="120"/>
      <c r="E5664" s="120"/>
      <c r="F5664" s="120"/>
      <c r="G5664" s="120"/>
      <c r="H5664" s="120"/>
      <c r="I5664" s="121"/>
      <c r="J5664" s="121"/>
      <c r="K5664" s="117"/>
    </row>
    <row r="5665" ht="15.75" customHeight="1">
      <c r="A5665" s="122"/>
      <c r="B5665" s="133"/>
      <c r="C5665" s="120"/>
      <c r="D5665" s="120"/>
      <c r="E5665" s="120"/>
      <c r="F5665" s="120"/>
      <c r="G5665" s="120"/>
      <c r="H5665" s="120"/>
      <c r="I5665" s="121"/>
      <c r="J5665" s="121"/>
      <c r="K5665" s="117"/>
    </row>
    <row r="5666" ht="15.75" customHeight="1">
      <c r="A5666" s="122"/>
      <c r="B5666" s="133"/>
      <c r="C5666" s="120"/>
      <c r="D5666" s="120"/>
      <c r="E5666" s="120"/>
      <c r="F5666" s="120"/>
      <c r="G5666" s="120"/>
      <c r="H5666" s="120"/>
      <c r="I5666" s="121"/>
      <c r="J5666" s="121"/>
      <c r="K5666" s="117"/>
    </row>
    <row r="5667" ht="15.75" customHeight="1">
      <c r="A5667" s="122"/>
      <c r="B5667" s="133"/>
      <c r="C5667" s="120"/>
      <c r="D5667" s="120"/>
      <c r="E5667" s="120"/>
      <c r="F5667" s="120"/>
      <c r="G5667" s="120"/>
      <c r="H5667" s="120"/>
      <c r="I5667" s="121"/>
      <c r="J5667" s="121"/>
      <c r="K5667" s="117"/>
    </row>
    <row r="5668" ht="15.75" customHeight="1">
      <c r="A5668" s="122"/>
      <c r="B5668" s="133"/>
      <c r="C5668" s="120"/>
      <c r="D5668" s="120"/>
      <c r="E5668" s="120"/>
      <c r="F5668" s="120"/>
      <c r="G5668" s="120"/>
      <c r="H5668" s="120"/>
      <c r="I5668" s="121"/>
      <c r="J5668" s="121"/>
      <c r="K5668" s="117"/>
    </row>
    <row r="5669" ht="15.75" customHeight="1">
      <c r="A5669" s="122"/>
      <c r="B5669" s="133"/>
      <c r="C5669" s="120"/>
      <c r="D5669" s="120"/>
      <c r="E5669" s="120"/>
      <c r="F5669" s="120"/>
      <c r="G5669" s="120"/>
      <c r="H5669" s="120"/>
      <c r="I5669" s="121"/>
      <c r="J5669" s="121"/>
      <c r="K5669" s="117"/>
    </row>
    <row r="5670" ht="15.75" customHeight="1">
      <c r="A5670" s="122"/>
      <c r="B5670" s="133"/>
      <c r="C5670" s="120"/>
      <c r="D5670" s="120"/>
      <c r="E5670" s="120"/>
      <c r="F5670" s="120"/>
      <c r="G5670" s="120"/>
      <c r="H5670" s="120"/>
      <c r="I5670" s="121"/>
      <c r="J5670" s="121"/>
      <c r="K5670" s="117"/>
    </row>
    <row r="5671" ht="15.75" customHeight="1">
      <c r="A5671" s="122"/>
      <c r="B5671" s="133"/>
      <c r="C5671" s="120"/>
      <c r="D5671" s="120"/>
      <c r="E5671" s="120"/>
      <c r="F5671" s="120"/>
      <c r="G5671" s="120"/>
      <c r="H5671" s="120"/>
      <c r="I5671" s="121"/>
      <c r="J5671" s="121"/>
      <c r="K5671" s="117"/>
    </row>
    <row r="5672" ht="15.75" customHeight="1">
      <c r="A5672" s="122"/>
      <c r="B5672" s="133"/>
      <c r="C5672" s="120"/>
      <c r="D5672" s="120"/>
      <c r="E5672" s="120"/>
      <c r="F5672" s="120"/>
      <c r="G5672" s="120"/>
      <c r="H5672" s="120"/>
      <c r="I5672" s="121"/>
      <c r="J5672" s="121"/>
      <c r="K5672" s="117"/>
    </row>
    <row r="5673" ht="15.75" customHeight="1">
      <c r="A5673" s="122"/>
      <c r="B5673" s="133"/>
      <c r="C5673" s="120"/>
      <c r="D5673" s="120"/>
      <c r="E5673" s="120"/>
      <c r="F5673" s="120"/>
      <c r="G5673" s="120"/>
      <c r="H5673" s="120"/>
      <c r="I5673" s="121"/>
      <c r="J5673" s="121"/>
      <c r="K5673" s="117"/>
    </row>
    <row r="5674" ht="15.75" customHeight="1">
      <c r="A5674" s="122"/>
      <c r="B5674" s="133"/>
      <c r="C5674" s="120"/>
      <c r="D5674" s="120"/>
      <c r="E5674" s="120"/>
      <c r="F5674" s="120"/>
      <c r="G5674" s="120"/>
      <c r="H5674" s="120"/>
      <c r="I5674" s="121"/>
      <c r="J5674" s="121"/>
      <c r="K5674" s="117"/>
    </row>
    <row r="5675" ht="15.75" customHeight="1">
      <c r="A5675" s="122"/>
      <c r="B5675" s="133"/>
      <c r="C5675" s="120"/>
      <c r="D5675" s="120"/>
      <c r="E5675" s="120"/>
      <c r="F5675" s="120"/>
      <c r="G5675" s="120"/>
      <c r="H5675" s="120"/>
      <c r="I5675" s="121"/>
      <c r="J5675" s="121"/>
      <c r="K5675" s="117"/>
    </row>
    <row r="5676" ht="15.75" customHeight="1">
      <c r="A5676" s="122"/>
      <c r="B5676" s="133"/>
      <c r="C5676" s="120"/>
      <c r="D5676" s="120"/>
      <c r="E5676" s="120"/>
      <c r="F5676" s="120"/>
      <c r="G5676" s="120"/>
      <c r="H5676" s="120"/>
      <c r="I5676" s="121"/>
      <c r="J5676" s="121"/>
      <c r="K5676" s="117"/>
    </row>
    <row r="5677" ht="15.75" customHeight="1">
      <c r="A5677" s="122"/>
      <c r="B5677" s="133"/>
      <c r="C5677" s="120"/>
      <c r="D5677" s="120"/>
      <c r="E5677" s="120"/>
      <c r="F5677" s="120"/>
      <c r="G5677" s="120"/>
      <c r="H5677" s="120"/>
      <c r="I5677" s="121"/>
      <c r="J5677" s="121"/>
      <c r="K5677" s="117"/>
    </row>
    <row r="5678" ht="15.75" customHeight="1">
      <c r="A5678" s="122"/>
      <c r="B5678" s="133"/>
      <c r="C5678" s="120"/>
      <c r="D5678" s="120"/>
      <c r="E5678" s="120"/>
      <c r="F5678" s="120"/>
      <c r="G5678" s="120"/>
      <c r="H5678" s="120"/>
      <c r="I5678" s="121"/>
      <c r="J5678" s="121"/>
      <c r="K5678" s="117"/>
    </row>
    <row r="5679" ht="15.75" customHeight="1">
      <c r="A5679" s="122"/>
      <c r="B5679" s="133"/>
      <c r="C5679" s="120"/>
      <c r="D5679" s="120"/>
      <c r="E5679" s="120"/>
      <c r="F5679" s="120"/>
      <c r="G5679" s="120"/>
      <c r="H5679" s="120"/>
      <c r="I5679" s="121"/>
      <c r="J5679" s="121"/>
      <c r="K5679" s="117"/>
    </row>
    <row r="5680" ht="15.75" customHeight="1">
      <c r="A5680" s="122"/>
      <c r="B5680" s="133"/>
      <c r="C5680" s="120"/>
      <c r="D5680" s="120"/>
      <c r="E5680" s="120"/>
      <c r="F5680" s="120"/>
      <c r="G5680" s="120"/>
      <c r="H5680" s="120"/>
      <c r="I5680" s="121"/>
      <c r="J5680" s="121"/>
      <c r="K5680" s="117"/>
    </row>
    <row r="5681" ht="15.75" customHeight="1">
      <c r="A5681" s="122"/>
      <c r="B5681" s="133"/>
      <c r="C5681" s="120"/>
      <c r="D5681" s="120"/>
      <c r="E5681" s="120"/>
      <c r="F5681" s="120"/>
      <c r="G5681" s="120"/>
      <c r="H5681" s="120"/>
      <c r="I5681" s="121"/>
      <c r="J5681" s="121"/>
      <c r="K5681" s="117"/>
    </row>
    <row r="5682" ht="15.75" customHeight="1">
      <c r="A5682" s="122"/>
      <c r="B5682" s="133"/>
      <c r="C5682" s="120"/>
      <c r="D5682" s="120"/>
      <c r="E5682" s="120"/>
      <c r="F5682" s="120"/>
      <c r="G5682" s="120"/>
      <c r="H5682" s="120"/>
      <c r="I5682" s="121"/>
      <c r="J5682" s="121"/>
      <c r="K5682" s="117"/>
    </row>
    <row r="5683" ht="15.75" customHeight="1">
      <c r="A5683" s="122"/>
      <c r="B5683" s="133"/>
      <c r="C5683" s="120"/>
      <c r="D5683" s="120"/>
      <c r="E5683" s="120"/>
      <c r="F5683" s="120"/>
      <c r="G5683" s="120"/>
      <c r="H5683" s="120"/>
      <c r="I5683" s="121"/>
      <c r="J5683" s="121"/>
      <c r="K5683" s="117"/>
    </row>
    <row r="5684" ht="15.75" customHeight="1">
      <c r="A5684" s="122"/>
      <c r="B5684" s="133"/>
      <c r="C5684" s="120"/>
      <c r="D5684" s="120"/>
      <c r="E5684" s="120"/>
      <c r="F5684" s="120"/>
      <c r="G5684" s="120"/>
      <c r="H5684" s="120"/>
      <c r="I5684" s="121"/>
      <c r="J5684" s="121"/>
      <c r="K5684" s="117"/>
    </row>
    <row r="5685" ht="15.75" customHeight="1">
      <c r="A5685" s="122"/>
      <c r="B5685" s="133"/>
      <c r="C5685" s="120"/>
      <c r="D5685" s="120"/>
      <c r="E5685" s="120"/>
      <c r="F5685" s="120"/>
      <c r="G5685" s="120"/>
      <c r="H5685" s="120"/>
      <c r="I5685" s="121"/>
      <c r="J5685" s="121"/>
      <c r="K5685" s="117"/>
    </row>
    <row r="5686" ht="15.75" customHeight="1">
      <c r="A5686" s="122"/>
      <c r="B5686" s="133"/>
      <c r="C5686" s="120"/>
      <c r="D5686" s="120"/>
      <c r="E5686" s="120"/>
      <c r="F5686" s="120"/>
      <c r="G5686" s="120"/>
      <c r="H5686" s="120"/>
      <c r="I5686" s="121"/>
      <c r="J5686" s="121"/>
      <c r="K5686" s="117"/>
    </row>
    <row r="5687" ht="15.75" customHeight="1">
      <c r="A5687" s="122"/>
      <c r="B5687" s="133"/>
      <c r="C5687" s="120"/>
      <c r="D5687" s="120"/>
      <c r="E5687" s="120"/>
      <c r="F5687" s="120"/>
      <c r="G5687" s="120"/>
      <c r="H5687" s="120"/>
      <c r="I5687" s="121"/>
      <c r="J5687" s="121"/>
      <c r="K5687" s="117"/>
    </row>
    <row r="5688" ht="15.75" customHeight="1">
      <c r="A5688" s="122"/>
      <c r="B5688" s="133"/>
      <c r="C5688" s="120"/>
      <c r="D5688" s="120"/>
      <c r="E5688" s="120"/>
      <c r="F5688" s="120"/>
      <c r="G5688" s="120"/>
      <c r="H5688" s="120"/>
      <c r="I5688" s="121"/>
      <c r="J5688" s="121"/>
      <c r="K5688" s="117"/>
    </row>
    <row r="5689" ht="15.75" customHeight="1">
      <c r="A5689" s="122"/>
      <c r="B5689" s="133"/>
      <c r="C5689" s="120"/>
      <c r="D5689" s="120"/>
      <c r="E5689" s="120"/>
      <c r="F5689" s="120"/>
      <c r="G5689" s="120"/>
      <c r="H5689" s="120"/>
      <c r="I5689" s="121"/>
      <c r="J5689" s="121"/>
      <c r="K5689" s="117"/>
    </row>
    <row r="5690" ht="15.75" customHeight="1">
      <c r="A5690" s="122"/>
      <c r="B5690" s="133"/>
      <c r="C5690" s="120"/>
      <c r="D5690" s="120"/>
      <c r="E5690" s="120"/>
      <c r="F5690" s="120"/>
      <c r="G5690" s="120"/>
      <c r="H5690" s="120"/>
      <c r="I5690" s="121"/>
      <c r="J5690" s="121"/>
      <c r="K5690" s="117"/>
    </row>
    <row r="5691" ht="15.75" customHeight="1">
      <c r="A5691" s="122"/>
      <c r="B5691" s="133"/>
      <c r="C5691" s="120"/>
      <c r="D5691" s="120"/>
      <c r="E5691" s="120"/>
      <c r="F5691" s="120"/>
      <c r="G5691" s="120"/>
      <c r="H5691" s="120"/>
      <c r="I5691" s="121"/>
      <c r="J5691" s="121"/>
      <c r="K5691" s="117"/>
    </row>
    <row r="5692" ht="15.75" customHeight="1">
      <c r="A5692" s="122"/>
      <c r="B5692" s="133"/>
      <c r="C5692" s="120"/>
      <c r="D5692" s="120"/>
      <c r="E5692" s="120"/>
      <c r="F5692" s="120"/>
      <c r="G5692" s="120"/>
      <c r="H5692" s="120"/>
      <c r="I5692" s="121"/>
      <c r="J5692" s="121"/>
      <c r="K5692" s="117"/>
    </row>
    <row r="5693" ht="15.75" customHeight="1">
      <c r="A5693" s="122"/>
      <c r="B5693" s="133"/>
      <c r="C5693" s="120"/>
      <c r="D5693" s="120"/>
      <c r="E5693" s="120"/>
      <c r="F5693" s="120"/>
      <c r="G5693" s="120"/>
      <c r="H5693" s="120"/>
      <c r="I5693" s="121"/>
      <c r="J5693" s="121"/>
      <c r="K5693" s="117"/>
    </row>
    <row r="5694" ht="15.75" customHeight="1">
      <c r="A5694" s="122"/>
      <c r="B5694" s="133"/>
      <c r="C5694" s="120"/>
      <c r="D5694" s="120"/>
      <c r="E5694" s="120"/>
      <c r="F5694" s="120"/>
      <c r="G5694" s="120"/>
      <c r="H5694" s="120"/>
      <c r="I5694" s="121"/>
      <c r="J5694" s="121"/>
      <c r="K5694" s="117"/>
    </row>
    <row r="5695" ht="15.75" customHeight="1">
      <c r="A5695" s="122"/>
      <c r="B5695" s="133"/>
      <c r="C5695" s="120"/>
      <c r="D5695" s="120"/>
      <c r="E5695" s="120"/>
      <c r="F5695" s="120"/>
      <c r="G5695" s="120"/>
      <c r="H5695" s="120"/>
      <c r="I5695" s="121"/>
      <c r="J5695" s="121"/>
      <c r="K5695" s="117"/>
    </row>
    <row r="5696" ht="15.75" customHeight="1">
      <c r="A5696" s="122"/>
      <c r="B5696" s="133"/>
      <c r="C5696" s="120"/>
      <c r="D5696" s="120"/>
      <c r="E5696" s="120"/>
      <c r="F5696" s="120"/>
      <c r="G5696" s="120"/>
      <c r="H5696" s="120"/>
      <c r="I5696" s="121"/>
      <c r="J5696" s="121"/>
      <c r="K5696" s="117"/>
    </row>
    <row r="5697" ht="15.75" customHeight="1">
      <c r="A5697" s="122"/>
      <c r="B5697" s="133"/>
      <c r="C5697" s="120"/>
      <c r="D5697" s="120"/>
      <c r="E5697" s="120"/>
      <c r="F5697" s="120"/>
      <c r="G5697" s="120"/>
      <c r="H5697" s="120"/>
      <c r="I5697" s="121"/>
      <c r="J5697" s="121"/>
      <c r="K5697" s="117"/>
    </row>
    <row r="5698" ht="15.75" customHeight="1">
      <c r="A5698" s="122"/>
      <c r="B5698" s="133"/>
      <c r="C5698" s="120"/>
      <c r="D5698" s="120"/>
      <c r="E5698" s="120"/>
      <c r="F5698" s="120"/>
      <c r="G5698" s="120"/>
      <c r="H5698" s="120"/>
      <c r="I5698" s="121"/>
      <c r="J5698" s="121"/>
      <c r="K5698" s="117"/>
    </row>
    <row r="5699" ht="15.75" customHeight="1">
      <c r="A5699" s="122"/>
      <c r="B5699" s="133"/>
      <c r="C5699" s="120"/>
      <c r="D5699" s="120"/>
      <c r="E5699" s="120"/>
      <c r="F5699" s="120"/>
      <c r="G5699" s="120"/>
      <c r="H5699" s="120"/>
      <c r="I5699" s="121"/>
      <c r="J5699" s="121"/>
      <c r="K5699" s="117"/>
    </row>
    <row r="5700" ht="15.75" customHeight="1">
      <c r="A5700" s="122"/>
      <c r="B5700" s="133"/>
      <c r="C5700" s="120"/>
      <c r="D5700" s="120"/>
      <c r="E5700" s="120"/>
      <c r="F5700" s="120"/>
      <c r="G5700" s="120"/>
      <c r="H5700" s="120"/>
      <c r="I5700" s="121"/>
      <c r="J5700" s="121"/>
      <c r="K5700" s="117"/>
    </row>
    <row r="5701" ht="15.75" customHeight="1">
      <c r="A5701" s="122"/>
      <c r="B5701" s="133"/>
      <c r="C5701" s="120"/>
      <c r="D5701" s="120"/>
      <c r="E5701" s="120"/>
      <c r="F5701" s="120"/>
      <c r="G5701" s="120"/>
      <c r="H5701" s="120"/>
      <c r="I5701" s="121"/>
      <c r="J5701" s="121"/>
      <c r="K5701" s="117"/>
    </row>
    <row r="5702" ht="15.75" customHeight="1">
      <c r="A5702" s="122"/>
      <c r="B5702" s="133"/>
      <c r="C5702" s="120"/>
      <c r="D5702" s="120"/>
      <c r="E5702" s="120"/>
      <c r="F5702" s="120"/>
      <c r="G5702" s="120"/>
      <c r="H5702" s="120"/>
      <c r="I5702" s="121"/>
      <c r="J5702" s="121"/>
      <c r="K5702" s="117"/>
    </row>
    <row r="5703" ht="15.75" customHeight="1">
      <c r="A5703" s="122"/>
      <c r="B5703" s="133"/>
      <c r="C5703" s="120"/>
      <c r="D5703" s="120"/>
      <c r="E5703" s="120"/>
      <c r="F5703" s="120"/>
      <c r="G5703" s="120"/>
      <c r="H5703" s="120"/>
      <c r="I5703" s="121"/>
      <c r="J5703" s="121"/>
      <c r="K5703" s="117"/>
    </row>
    <row r="5704" ht="15.75" customHeight="1">
      <c r="A5704" s="122"/>
      <c r="B5704" s="133"/>
      <c r="C5704" s="120"/>
      <c r="D5704" s="120"/>
      <c r="E5704" s="120"/>
      <c r="F5704" s="120"/>
      <c r="G5704" s="120"/>
      <c r="H5704" s="120"/>
      <c r="I5704" s="121"/>
      <c r="J5704" s="121"/>
      <c r="K5704" s="117"/>
    </row>
    <row r="5705" ht="15.75" customHeight="1">
      <c r="A5705" s="122"/>
      <c r="B5705" s="133"/>
      <c r="C5705" s="120"/>
      <c r="D5705" s="120"/>
      <c r="E5705" s="120"/>
      <c r="F5705" s="120"/>
      <c r="G5705" s="120"/>
      <c r="H5705" s="120"/>
      <c r="I5705" s="121"/>
      <c r="J5705" s="121"/>
      <c r="K5705" s="117"/>
    </row>
    <row r="5706" ht="15.75" customHeight="1">
      <c r="A5706" s="122"/>
      <c r="B5706" s="133"/>
      <c r="C5706" s="120"/>
      <c r="D5706" s="120"/>
      <c r="E5706" s="120"/>
      <c r="F5706" s="120"/>
      <c r="G5706" s="120"/>
      <c r="H5706" s="120"/>
      <c r="I5706" s="121"/>
      <c r="J5706" s="121"/>
      <c r="K5706" s="117"/>
    </row>
    <row r="5707" ht="15.75" customHeight="1">
      <c r="A5707" s="122"/>
      <c r="B5707" s="133"/>
      <c r="C5707" s="120"/>
      <c r="D5707" s="120"/>
      <c r="E5707" s="120"/>
      <c r="F5707" s="120"/>
      <c r="G5707" s="120"/>
      <c r="H5707" s="120"/>
      <c r="I5707" s="121"/>
      <c r="J5707" s="121"/>
      <c r="K5707" s="117"/>
    </row>
    <row r="5708" ht="15.75" customHeight="1">
      <c r="A5708" s="122"/>
      <c r="B5708" s="133"/>
      <c r="C5708" s="120"/>
      <c r="D5708" s="120"/>
      <c r="E5708" s="120"/>
      <c r="F5708" s="120"/>
      <c r="G5708" s="120"/>
      <c r="H5708" s="120"/>
      <c r="I5708" s="121"/>
      <c r="J5708" s="121"/>
      <c r="K5708" s="117"/>
    </row>
    <row r="5709" ht="15.75" customHeight="1">
      <c r="A5709" s="122"/>
      <c r="B5709" s="133"/>
      <c r="C5709" s="120"/>
      <c r="D5709" s="120"/>
      <c r="E5709" s="120"/>
      <c r="F5709" s="120"/>
      <c r="G5709" s="120"/>
      <c r="H5709" s="120"/>
      <c r="I5709" s="121"/>
      <c r="J5709" s="121"/>
      <c r="K5709" s="117"/>
    </row>
    <row r="5710" ht="15.75" customHeight="1">
      <c r="A5710" s="122"/>
      <c r="B5710" s="133"/>
      <c r="C5710" s="120"/>
      <c r="D5710" s="120"/>
      <c r="E5710" s="120"/>
      <c r="F5710" s="120"/>
      <c r="G5710" s="120"/>
      <c r="H5710" s="120"/>
      <c r="I5710" s="121"/>
      <c r="J5710" s="121"/>
      <c r="K5710" s="117"/>
    </row>
    <row r="5711" ht="15.75" customHeight="1">
      <c r="A5711" s="122"/>
      <c r="B5711" s="133"/>
      <c r="C5711" s="120"/>
      <c r="D5711" s="120"/>
      <c r="E5711" s="120"/>
      <c r="F5711" s="120"/>
      <c r="G5711" s="120"/>
      <c r="H5711" s="120"/>
      <c r="I5711" s="121"/>
      <c r="J5711" s="121"/>
      <c r="K5711" s="117"/>
    </row>
    <row r="5712" ht="15.75" customHeight="1">
      <c r="A5712" s="122"/>
      <c r="B5712" s="133"/>
      <c r="C5712" s="120"/>
      <c r="D5712" s="120"/>
      <c r="E5712" s="120"/>
      <c r="F5712" s="120"/>
      <c r="G5712" s="120"/>
      <c r="H5712" s="120"/>
      <c r="I5712" s="121"/>
      <c r="J5712" s="121"/>
      <c r="K5712" s="117"/>
    </row>
    <row r="5713" ht="15.75" customHeight="1">
      <c r="A5713" s="122"/>
      <c r="B5713" s="133"/>
      <c r="C5713" s="120"/>
      <c r="D5713" s="120"/>
      <c r="E5713" s="120"/>
      <c r="F5713" s="120"/>
      <c r="G5713" s="120"/>
      <c r="H5713" s="120"/>
      <c r="I5713" s="121"/>
      <c r="J5713" s="121"/>
      <c r="K5713" s="117"/>
    </row>
    <row r="5714" ht="15.75" customHeight="1">
      <c r="A5714" s="122"/>
      <c r="B5714" s="133"/>
      <c r="C5714" s="120"/>
      <c r="D5714" s="120"/>
      <c r="E5714" s="120"/>
      <c r="F5714" s="120"/>
      <c r="G5714" s="120"/>
      <c r="H5714" s="120"/>
      <c r="I5714" s="121"/>
      <c r="J5714" s="121"/>
      <c r="K5714" s="117"/>
    </row>
    <row r="5715" ht="15.75" customHeight="1">
      <c r="A5715" s="122"/>
      <c r="B5715" s="133"/>
      <c r="C5715" s="120"/>
      <c r="D5715" s="120"/>
      <c r="E5715" s="120"/>
      <c r="F5715" s="120"/>
      <c r="G5715" s="120"/>
      <c r="H5715" s="120"/>
      <c r="I5715" s="121"/>
      <c r="J5715" s="121"/>
      <c r="K5715" s="117"/>
    </row>
    <row r="5716" ht="15.75" customHeight="1">
      <c r="A5716" s="122"/>
      <c r="B5716" s="133"/>
      <c r="C5716" s="120"/>
      <c r="D5716" s="120"/>
      <c r="E5716" s="120"/>
      <c r="F5716" s="120"/>
      <c r="G5716" s="120"/>
      <c r="H5716" s="120"/>
      <c r="I5716" s="121"/>
      <c r="J5716" s="121"/>
      <c r="K5716" s="117"/>
    </row>
    <row r="5717" ht="15.75" customHeight="1">
      <c r="A5717" s="122"/>
      <c r="B5717" s="133"/>
      <c r="C5717" s="120"/>
      <c r="D5717" s="120"/>
      <c r="E5717" s="120"/>
      <c r="F5717" s="120"/>
      <c r="G5717" s="120"/>
      <c r="H5717" s="120"/>
      <c r="I5717" s="121"/>
      <c r="J5717" s="121"/>
      <c r="K5717" s="117"/>
    </row>
    <row r="5718" ht="15.75" customHeight="1">
      <c r="A5718" s="122"/>
      <c r="B5718" s="133"/>
      <c r="C5718" s="120"/>
      <c r="D5718" s="120"/>
      <c r="E5718" s="120"/>
      <c r="F5718" s="120"/>
      <c r="G5718" s="120"/>
      <c r="H5718" s="120"/>
      <c r="I5718" s="121"/>
      <c r="J5718" s="121"/>
      <c r="K5718" s="117"/>
    </row>
    <row r="5719" ht="15.75" customHeight="1">
      <c r="A5719" s="122"/>
      <c r="B5719" s="133"/>
      <c r="C5719" s="120"/>
      <c r="D5719" s="120"/>
      <c r="E5719" s="120"/>
      <c r="F5719" s="120"/>
      <c r="G5719" s="120"/>
      <c r="H5719" s="120"/>
      <c r="I5719" s="121"/>
      <c r="J5719" s="121"/>
      <c r="K5719" s="117"/>
    </row>
    <row r="5720" ht="15.75" customHeight="1">
      <c r="A5720" s="122"/>
      <c r="B5720" s="133"/>
      <c r="C5720" s="120"/>
      <c r="D5720" s="120"/>
      <c r="E5720" s="120"/>
      <c r="F5720" s="120"/>
      <c r="G5720" s="120"/>
      <c r="H5720" s="120"/>
      <c r="I5720" s="121"/>
      <c r="J5720" s="121"/>
      <c r="K5720" s="117"/>
    </row>
    <row r="5721" ht="15.75" customHeight="1">
      <c r="A5721" s="122"/>
      <c r="B5721" s="133"/>
      <c r="C5721" s="120"/>
      <c r="D5721" s="120"/>
      <c r="E5721" s="120"/>
      <c r="F5721" s="120"/>
      <c r="G5721" s="120"/>
      <c r="H5721" s="120"/>
      <c r="I5721" s="121"/>
      <c r="J5721" s="121"/>
      <c r="K5721" s="117"/>
    </row>
    <row r="5722" ht="15.75" customHeight="1">
      <c r="A5722" s="122"/>
      <c r="B5722" s="133"/>
      <c r="C5722" s="120"/>
      <c r="D5722" s="120"/>
      <c r="E5722" s="120"/>
      <c r="F5722" s="120"/>
      <c r="G5722" s="120"/>
      <c r="H5722" s="120"/>
      <c r="I5722" s="121"/>
      <c r="J5722" s="121"/>
      <c r="K5722" s="117"/>
    </row>
    <row r="5723" ht="15.75" customHeight="1">
      <c r="A5723" s="122"/>
      <c r="B5723" s="133"/>
      <c r="C5723" s="120"/>
      <c r="D5723" s="120"/>
      <c r="E5723" s="120"/>
      <c r="F5723" s="120"/>
      <c r="G5723" s="120"/>
      <c r="H5723" s="120"/>
      <c r="I5723" s="121"/>
      <c r="J5723" s="121"/>
      <c r="K5723" s="117"/>
    </row>
    <row r="5724" ht="15.75" customHeight="1">
      <c r="A5724" s="122"/>
      <c r="B5724" s="133"/>
      <c r="C5724" s="120"/>
      <c r="D5724" s="120"/>
      <c r="E5724" s="120"/>
      <c r="F5724" s="120"/>
      <c r="G5724" s="120"/>
      <c r="H5724" s="120"/>
      <c r="I5724" s="121"/>
      <c r="J5724" s="121"/>
      <c r="K5724" s="117"/>
    </row>
    <row r="5725" ht="15.75" customHeight="1">
      <c r="A5725" s="122"/>
      <c r="B5725" s="133"/>
      <c r="C5725" s="120"/>
      <c r="D5725" s="120"/>
      <c r="E5725" s="120"/>
      <c r="F5725" s="120"/>
      <c r="G5725" s="120"/>
      <c r="H5725" s="120"/>
      <c r="I5725" s="121"/>
      <c r="J5725" s="121"/>
      <c r="K5725" s="117"/>
    </row>
    <row r="5726" ht="15.75" customHeight="1">
      <c r="A5726" s="122"/>
      <c r="B5726" s="133"/>
      <c r="C5726" s="120"/>
      <c r="D5726" s="120"/>
      <c r="E5726" s="120"/>
      <c r="F5726" s="120"/>
      <c r="G5726" s="120"/>
      <c r="H5726" s="120"/>
      <c r="I5726" s="121"/>
      <c r="J5726" s="121"/>
      <c r="K5726" s="117"/>
    </row>
    <row r="5727" ht="15.75" customHeight="1">
      <c r="A5727" s="122"/>
      <c r="B5727" s="133"/>
      <c r="C5727" s="120"/>
      <c r="D5727" s="120"/>
      <c r="E5727" s="120"/>
      <c r="F5727" s="120"/>
      <c r="G5727" s="120"/>
      <c r="H5727" s="120"/>
      <c r="I5727" s="121"/>
      <c r="J5727" s="121"/>
      <c r="K5727" s="117"/>
    </row>
    <row r="5728" ht="15.75" customHeight="1">
      <c r="A5728" s="122"/>
      <c r="B5728" s="133"/>
      <c r="C5728" s="120"/>
      <c r="D5728" s="120"/>
      <c r="E5728" s="120"/>
      <c r="F5728" s="120"/>
      <c r="G5728" s="120"/>
      <c r="H5728" s="120"/>
      <c r="I5728" s="121"/>
      <c r="J5728" s="121"/>
      <c r="K5728" s="117"/>
    </row>
    <row r="5729" ht="15.75" customHeight="1">
      <c r="A5729" s="122"/>
      <c r="B5729" s="133"/>
      <c r="C5729" s="120"/>
      <c r="D5729" s="120"/>
      <c r="E5729" s="120"/>
      <c r="F5729" s="120"/>
      <c r="G5729" s="120"/>
      <c r="H5729" s="120"/>
      <c r="I5729" s="121"/>
      <c r="J5729" s="121"/>
      <c r="K5729" s="117"/>
    </row>
    <row r="5730" ht="15.75" customHeight="1">
      <c r="A5730" s="122"/>
      <c r="B5730" s="133"/>
      <c r="C5730" s="120"/>
      <c r="D5730" s="120"/>
      <c r="E5730" s="120"/>
      <c r="F5730" s="120"/>
      <c r="G5730" s="120"/>
      <c r="H5730" s="120"/>
      <c r="I5730" s="121"/>
      <c r="J5730" s="121"/>
      <c r="K5730" s="117"/>
    </row>
    <row r="5731" ht="15.75" customHeight="1">
      <c r="A5731" s="122"/>
      <c r="B5731" s="133"/>
      <c r="C5731" s="120"/>
      <c r="D5731" s="120"/>
      <c r="E5731" s="120"/>
      <c r="F5731" s="120"/>
      <c r="G5731" s="120"/>
      <c r="H5731" s="120"/>
      <c r="I5731" s="121"/>
      <c r="J5731" s="121"/>
      <c r="K5731" s="117"/>
    </row>
    <row r="5732" ht="15.75" customHeight="1">
      <c r="A5732" s="122"/>
      <c r="B5732" s="133"/>
      <c r="C5732" s="120"/>
      <c r="D5732" s="120"/>
      <c r="E5732" s="120"/>
      <c r="F5732" s="120"/>
      <c r="G5732" s="120"/>
      <c r="H5732" s="120"/>
      <c r="I5732" s="121"/>
      <c r="J5732" s="121"/>
      <c r="K5732" s="117"/>
    </row>
    <row r="5733" ht="15.75" customHeight="1">
      <c r="A5733" s="122"/>
      <c r="B5733" s="133"/>
      <c r="C5733" s="120"/>
      <c r="D5733" s="120"/>
      <c r="E5733" s="120"/>
      <c r="F5733" s="120"/>
      <c r="G5733" s="120"/>
      <c r="H5733" s="120"/>
      <c r="I5733" s="121"/>
      <c r="J5733" s="121"/>
      <c r="K5733" s="117"/>
    </row>
    <row r="5734" ht="15.75" customHeight="1">
      <c r="A5734" s="122"/>
      <c r="B5734" s="133"/>
      <c r="C5734" s="120"/>
      <c r="D5734" s="120"/>
      <c r="E5734" s="120"/>
      <c r="F5734" s="120"/>
      <c r="G5734" s="120"/>
      <c r="H5734" s="120"/>
      <c r="I5734" s="121"/>
      <c r="J5734" s="121"/>
      <c r="K5734" s="117"/>
    </row>
    <row r="5735" ht="15.75" customHeight="1">
      <c r="A5735" s="122"/>
      <c r="B5735" s="133"/>
      <c r="C5735" s="120"/>
      <c r="D5735" s="120"/>
      <c r="E5735" s="120"/>
      <c r="F5735" s="120"/>
      <c r="G5735" s="120"/>
      <c r="H5735" s="120"/>
      <c r="I5735" s="121"/>
      <c r="J5735" s="121"/>
      <c r="K5735" s="117"/>
    </row>
    <row r="5736" ht="15.75" customHeight="1">
      <c r="A5736" s="122"/>
      <c r="B5736" s="133"/>
      <c r="C5736" s="120"/>
      <c r="D5736" s="120"/>
      <c r="E5736" s="120"/>
      <c r="F5736" s="120"/>
      <c r="G5736" s="120"/>
      <c r="H5736" s="120"/>
      <c r="I5736" s="121"/>
      <c r="J5736" s="121"/>
      <c r="K5736" s="117"/>
    </row>
    <row r="5737" ht="15.75" customHeight="1">
      <c r="A5737" s="122"/>
      <c r="B5737" s="133"/>
      <c r="C5737" s="120"/>
      <c r="D5737" s="120"/>
      <c r="E5737" s="120"/>
      <c r="F5737" s="120"/>
      <c r="G5737" s="120"/>
      <c r="H5737" s="120"/>
      <c r="I5737" s="121"/>
      <c r="J5737" s="121"/>
      <c r="K5737" s="117"/>
    </row>
    <row r="5738" ht="15.75" customHeight="1">
      <c r="A5738" s="122"/>
      <c r="B5738" s="133"/>
      <c r="C5738" s="120"/>
      <c r="D5738" s="120"/>
      <c r="E5738" s="120"/>
      <c r="F5738" s="120"/>
      <c r="G5738" s="120"/>
      <c r="H5738" s="120"/>
      <c r="I5738" s="121"/>
      <c r="J5738" s="121"/>
      <c r="K5738" s="117"/>
    </row>
    <row r="5739" ht="15.75" customHeight="1">
      <c r="A5739" s="122"/>
      <c r="B5739" s="133"/>
      <c r="C5739" s="120"/>
      <c r="D5739" s="120"/>
      <c r="E5739" s="120"/>
      <c r="F5739" s="120"/>
      <c r="G5739" s="120"/>
      <c r="H5739" s="120"/>
      <c r="I5739" s="121"/>
      <c r="J5739" s="121"/>
      <c r="K5739" s="117"/>
    </row>
    <row r="5740" ht="15.75" customHeight="1">
      <c r="A5740" s="122"/>
      <c r="B5740" s="133"/>
      <c r="C5740" s="120"/>
      <c r="D5740" s="120"/>
      <c r="E5740" s="120"/>
      <c r="F5740" s="120"/>
      <c r="G5740" s="120"/>
      <c r="H5740" s="120"/>
      <c r="I5740" s="121"/>
      <c r="J5740" s="121"/>
      <c r="K5740" s="117"/>
    </row>
    <row r="5741" ht="15.75" customHeight="1">
      <c r="A5741" s="122"/>
      <c r="B5741" s="133"/>
      <c r="C5741" s="120"/>
      <c r="D5741" s="120"/>
      <c r="E5741" s="120"/>
      <c r="F5741" s="120"/>
      <c r="G5741" s="120"/>
      <c r="H5741" s="120"/>
      <c r="I5741" s="121"/>
      <c r="J5741" s="121"/>
      <c r="K5741" s="117"/>
    </row>
    <row r="5742" ht="15.75" customHeight="1">
      <c r="A5742" s="122"/>
      <c r="B5742" s="133"/>
      <c r="C5742" s="120"/>
      <c r="D5742" s="120"/>
      <c r="E5742" s="120"/>
      <c r="F5742" s="120"/>
      <c r="G5742" s="120"/>
      <c r="H5742" s="120"/>
      <c r="I5742" s="121"/>
      <c r="J5742" s="121"/>
      <c r="K5742" s="117"/>
    </row>
    <row r="5743" ht="15.75" customHeight="1">
      <c r="A5743" s="122"/>
      <c r="B5743" s="133"/>
      <c r="C5743" s="120"/>
      <c r="D5743" s="120"/>
      <c r="E5743" s="120"/>
      <c r="F5743" s="120"/>
      <c r="G5743" s="120"/>
      <c r="H5743" s="120"/>
      <c r="I5743" s="121"/>
      <c r="J5743" s="121"/>
      <c r="K5743" s="117"/>
    </row>
    <row r="5744" ht="15.75" customHeight="1">
      <c r="A5744" s="122"/>
      <c r="B5744" s="133"/>
      <c r="C5744" s="120"/>
      <c r="D5744" s="120"/>
      <c r="E5744" s="120"/>
      <c r="F5744" s="120"/>
      <c r="G5744" s="120"/>
      <c r="H5744" s="120"/>
      <c r="I5744" s="121"/>
      <c r="J5744" s="121"/>
      <c r="K5744" s="117"/>
    </row>
    <row r="5745" ht="15.75" customHeight="1">
      <c r="A5745" s="122"/>
      <c r="B5745" s="133"/>
      <c r="C5745" s="120"/>
      <c r="D5745" s="120"/>
      <c r="E5745" s="120"/>
      <c r="F5745" s="120"/>
      <c r="G5745" s="120"/>
      <c r="H5745" s="120"/>
      <c r="I5745" s="121"/>
      <c r="J5745" s="121"/>
      <c r="K5745" s="117"/>
    </row>
    <row r="5746" ht="15.75" customHeight="1">
      <c r="A5746" s="122"/>
      <c r="B5746" s="133"/>
      <c r="C5746" s="120"/>
      <c r="D5746" s="120"/>
      <c r="E5746" s="120"/>
      <c r="F5746" s="120"/>
      <c r="G5746" s="120"/>
      <c r="H5746" s="120"/>
      <c r="I5746" s="121"/>
      <c r="J5746" s="121"/>
      <c r="K5746" s="117"/>
    </row>
    <row r="5747" ht="15.75" customHeight="1">
      <c r="A5747" s="122"/>
      <c r="B5747" s="133"/>
      <c r="C5747" s="120"/>
      <c r="D5747" s="120"/>
      <c r="E5747" s="120"/>
      <c r="F5747" s="120"/>
      <c r="G5747" s="120"/>
      <c r="H5747" s="120"/>
      <c r="I5747" s="121"/>
      <c r="J5747" s="121"/>
      <c r="K5747" s="117"/>
    </row>
    <row r="5748" ht="15.75" customHeight="1">
      <c r="A5748" s="122"/>
      <c r="B5748" s="133"/>
      <c r="C5748" s="120"/>
      <c r="D5748" s="120"/>
      <c r="E5748" s="120"/>
      <c r="F5748" s="120"/>
      <c r="G5748" s="120"/>
      <c r="H5748" s="120"/>
      <c r="I5748" s="121"/>
      <c r="J5748" s="121"/>
      <c r="K5748" s="117"/>
    </row>
    <row r="5749" ht="15.75" customHeight="1">
      <c r="A5749" s="122"/>
      <c r="B5749" s="133"/>
      <c r="C5749" s="120"/>
      <c r="D5749" s="120"/>
      <c r="E5749" s="120"/>
      <c r="F5749" s="120"/>
      <c r="G5749" s="120"/>
      <c r="H5749" s="120"/>
      <c r="I5749" s="121"/>
      <c r="J5749" s="121"/>
      <c r="K5749" s="117"/>
    </row>
    <row r="5750" ht="15.75" customHeight="1">
      <c r="A5750" s="122"/>
      <c r="B5750" s="133"/>
      <c r="C5750" s="120"/>
      <c r="D5750" s="120"/>
      <c r="E5750" s="120"/>
      <c r="F5750" s="120"/>
      <c r="G5750" s="120"/>
      <c r="H5750" s="120"/>
      <c r="I5750" s="121"/>
      <c r="J5750" s="121"/>
      <c r="K5750" s="117"/>
    </row>
    <row r="5751" ht="15.75" customHeight="1">
      <c r="A5751" s="122"/>
      <c r="B5751" s="133"/>
      <c r="C5751" s="120"/>
      <c r="D5751" s="120"/>
      <c r="E5751" s="120"/>
      <c r="F5751" s="120"/>
      <c r="G5751" s="120"/>
      <c r="H5751" s="120"/>
      <c r="I5751" s="121"/>
      <c r="J5751" s="121"/>
      <c r="K5751" s="117"/>
    </row>
    <row r="5752" ht="15.75" customHeight="1">
      <c r="A5752" s="122"/>
      <c r="B5752" s="133"/>
      <c r="C5752" s="120"/>
      <c r="D5752" s="120"/>
      <c r="E5752" s="120"/>
      <c r="F5752" s="120"/>
      <c r="G5752" s="120"/>
      <c r="H5752" s="120"/>
      <c r="I5752" s="121"/>
      <c r="J5752" s="121"/>
      <c r="K5752" s="117"/>
    </row>
    <row r="5753" ht="15.75" customHeight="1">
      <c r="A5753" s="122"/>
      <c r="B5753" s="133"/>
      <c r="C5753" s="120"/>
      <c r="D5753" s="120"/>
      <c r="E5753" s="120"/>
      <c r="F5753" s="120"/>
      <c r="G5753" s="120"/>
      <c r="H5753" s="120"/>
      <c r="I5753" s="121"/>
      <c r="J5753" s="121"/>
      <c r="K5753" s="117"/>
    </row>
    <row r="5754" ht="15.75" customHeight="1">
      <c r="A5754" s="122"/>
      <c r="B5754" s="133"/>
      <c r="C5754" s="120"/>
      <c r="D5754" s="120"/>
      <c r="E5754" s="120"/>
      <c r="F5754" s="120"/>
      <c r="G5754" s="120"/>
      <c r="H5754" s="120"/>
      <c r="I5754" s="121"/>
      <c r="J5754" s="121"/>
      <c r="K5754" s="117"/>
    </row>
    <row r="5755" ht="15.75" customHeight="1">
      <c r="A5755" s="122"/>
      <c r="B5755" s="133"/>
      <c r="C5755" s="120"/>
      <c r="D5755" s="120"/>
      <c r="E5755" s="120"/>
      <c r="F5755" s="120"/>
      <c r="G5755" s="120"/>
      <c r="H5755" s="120"/>
      <c r="I5755" s="121"/>
      <c r="J5755" s="121"/>
      <c r="K5755" s="117"/>
    </row>
    <row r="5756" ht="15.75" customHeight="1">
      <c r="A5756" s="122"/>
      <c r="B5756" s="133"/>
      <c r="C5756" s="120"/>
      <c r="D5756" s="120"/>
      <c r="E5756" s="120"/>
      <c r="F5756" s="120"/>
      <c r="G5756" s="120"/>
      <c r="H5756" s="120"/>
      <c r="I5756" s="121"/>
      <c r="J5756" s="121"/>
      <c r="K5756" s="117"/>
    </row>
    <row r="5757" ht="15.75" customHeight="1">
      <c r="A5757" s="122"/>
      <c r="B5757" s="133"/>
      <c r="C5757" s="120"/>
      <c r="D5757" s="120"/>
      <c r="E5757" s="120"/>
      <c r="F5757" s="120"/>
      <c r="G5757" s="120"/>
      <c r="H5757" s="120"/>
      <c r="I5757" s="121"/>
      <c r="J5757" s="121"/>
      <c r="K5757" s="117"/>
    </row>
    <row r="5758" ht="15.75" customHeight="1">
      <c r="A5758" s="122"/>
      <c r="B5758" s="133"/>
      <c r="C5758" s="120"/>
      <c r="D5758" s="120"/>
      <c r="E5758" s="120"/>
      <c r="F5758" s="120"/>
      <c r="G5758" s="120"/>
      <c r="H5758" s="120"/>
      <c r="I5758" s="121"/>
      <c r="J5758" s="121"/>
      <c r="K5758" s="117"/>
    </row>
    <row r="5759" ht="15.75" customHeight="1">
      <c r="A5759" s="122"/>
      <c r="B5759" s="133"/>
      <c r="C5759" s="120"/>
      <c r="D5759" s="120"/>
      <c r="E5759" s="120"/>
      <c r="F5759" s="120"/>
      <c r="G5759" s="120"/>
      <c r="H5759" s="120"/>
      <c r="I5759" s="121"/>
      <c r="J5759" s="121"/>
      <c r="K5759" s="117"/>
    </row>
    <row r="5760" ht="15.75" customHeight="1">
      <c r="A5760" s="122"/>
      <c r="B5760" s="133"/>
      <c r="C5760" s="120"/>
      <c r="D5760" s="120"/>
      <c r="E5760" s="120"/>
      <c r="F5760" s="120"/>
      <c r="G5760" s="120"/>
      <c r="H5760" s="120"/>
      <c r="I5760" s="121"/>
      <c r="J5760" s="121"/>
      <c r="K5760" s="117"/>
    </row>
    <row r="5761" ht="15.75" customHeight="1">
      <c r="A5761" s="122"/>
      <c r="B5761" s="133"/>
      <c r="C5761" s="120"/>
      <c r="D5761" s="120"/>
      <c r="E5761" s="120"/>
      <c r="F5761" s="120"/>
      <c r="G5761" s="120"/>
      <c r="H5761" s="120"/>
      <c r="I5761" s="121"/>
      <c r="J5761" s="121"/>
      <c r="K5761" s="117"/>
    </row>
    <row r="5762" ht="15.75" customHeight="1">
      <c r="A5762" s="122"/>
      <c r="B5762" s="133"/>
      <c r="C5762" s="120"/>
      <c r="D5762" s="120"/>
      <c r="E5762" s="120"/>
      <c r="F5762" s="120"/>
      <c r="G5762" s="120"/>
      <c r="H5762" s="120"/>
      <c r="I5762" s="121"/>
      <c r="J5762" s="121"/>
      <c r="K5762" s="117"/>
    </row>
    <row r="5763" ht="15.75" customHeight="1">
      <c r="A5763" s="122"/>
      <c r="B5763" s="133"/>
      <c r="C5763" s="120"/>
      <c r="D5763" s="120"/>
      <c r="E5763" s="120"/>
      <c r="F5763" s="120"/>
      <c r="G5763" s="120"/>
      <c r="H5763" s="120"/>
      <c r="I5763" s="121"/>
      <c r="J5763" s="121"/>
      <c r="K5763" s="117"/>
    </row>
    <row r="5764" ht="15.75" customHeight="1">
      <c r="A5764" s="122"/>
      <c r="B5764" s="133"/>
      <c r="C5764" s="120"/>
      <c r="D5764" s="120"/>
      <c r="E5764" s="120"/>
      <c r="F5764" s="120"/>
      <c r="G5764" s="120"/>
      <c r="H5764" s="120"/>
      <c r="I5764" s="121"/>
      <c r="J5764" s="121"/>
      <c r="K5764" s="117"/>
    </row>
    <row r="5765" ht="15.75" customHeight="1">
      <c r="A5765" s="122"/>
      <c r="B5765" s="133"/>
      <c r="C5765" s="120"/>
      <c r="D5765" s="120"/>
      <c r="E5765" s="120"/>
      <c r="F5765" s="120"/>
      <c r="G5765" s="120"/>
      <c r="H5765" s="120"/>
      <c r="I5765" s="121"/>
      <c r="J5765" s="121"/>
      <c r="K5765" s="117"/>
    </row>
    <row r="5766" ht="15.75" customHeight="1">
      <c r="A5766" s="122"/>
      <c r="B5766" s="133"/>
      <c r="C5766" s="120"/>
      <c r="D5766" s="120"/>
      <c r="E5766" s="120"/>
      <c r="F5766" s="120"/>
      <c r="G5766" s="120"/>
      <c r="H5766" s="120"/>
      <c r="I5766" s="121"/>
      <c r="J5766" s="121"/>
      <c r="K5766" s="117"/>
    </row>
    <row r="5767" ht="15.75" customHeight="1">
      <c r="A5767" s="122"/>
      <c r="B5767" s="133"/>
      <c r="C5767" s="120"/>
      <c r="D5767" s="120"/>
      <c r="E5767" s="120"/>
      <c r="F5767" s="120"/>
      <c r="G5767" s="120"/>
      <c r="H5767" s="120"/>
      <c r="I5767" s="121"/>
      <c r="J5767" s="121"/>
      <c r="K5767" s="117"/>
    </row>
    <row r="5768" ht="15.75" customHeight="1">
      <c r="A5768" s="122"/>
      <c r="B5768" s="133"/>
      <c r="C5768" s="120"/>
      <c r="D5768" s="120"/>
      <c r="E5768" s="120"/>
      <c r="F5768" s="120"/>
      <c r="G5768" s="120"/>
      <c r="H5768" s="120"/>
      <c r="I5768" s="121"/>
      <c r="J5768" s="121"/>
      <c r="K5768" s="117"/>
    </row>
    <row r="5769" ht="15.75" customHeight="1">
      <c r="A5769" s="122"/>
      <c r="B5769" s="133"/>
      <c r="C5769" s="120"/>
      <c r="D5769" s="120"/>
      <c r="E5769" s="120"/>
      <c r="F5769" s="120"/>
      <c r="G5769" s="120"/>
      <c r="H5769" s="120"/>
      <c r="I5769" s="121"/>
      <c r="J5769" s="121"/>
      <c r="K5769" s="117"/>
    </row>
    <row r="5770" ht="15.75" customHeight="1">
      <c r="A5770" s="122"/>
      <c r="B5770" s="133"/>
      <c r="C5770" s="120"/>
      <c r="D5770" s="120"/>
      <c r="E5770" s="120"/>
      <c r="F5770" s="120"/>
      <c r="G5770" s="120"/>
      <c r="H5770" s="120"/>
      <c r="I5770" s="121"/>
      <c r="J5770" s="121"/>
      <c r="K5770" s="117"/>
    </row>
    <row r="5771" ht="15.75" customHeight="1">
      <c r="A5771" s="122"/>
      <c r="B5771" s="133"/>
      <c r="C5771" s="120"/>
      <c r="D5771" s="120"/>
      <c r="E5771" s="120"/>
      <c r="F5771" s="120"/>
      <c r="G5771" s="120"/>
      <c r="H5771" s="120"/>
      <c r="I5771" s="121"/>
      <c r="J5771" s="121"/>
      <c r="K5771" s="117"/>
    </row>
    <row r="5772" ht="15.75" customHeight="1">
      <c r="A5772" s="122"/>
      <c r="B5772" s="133"/>
      <c r="C5772" s="120"/>
      <c r="D5772" s="120"/>
      <c r="E5772" s="120"/>
      <c r="F5772" s="120"/>
      <c r="G5772" s="120"/>
      <c r="H5772" s="120"/>
      <c r="I5772" s="121"/>
      <c r="J5772" s="121"/>
      <c r="K5772" s="117"/>
    </row>
    <row r="5773" ht="15.75" customHeight="1">
      <c r="A5773" s="122"/>
      <c r="B5773" s="133"/>
      <c r="C5773" s="120"/>
      <c r="D5773" s="120"/>
      <c r="E5773" s="120"/>
      <c r="F5773" s="120"/>
      <c r="G5773" s="120"/>
      <c r="H5773" s="120"/>
      <c r="I5773" s="121"/>
      <c r="J5773" s="121"/>
      <c r="K5773" s="117"/>
    </row>
    <row r="5774" ht="15.75" customHeight="1">
      <c r="A5774" s="122"/>
      <c r="B5774" s="133"/>
      <c r="C5774" s="120"/>
      <c r="D5774" s="120"/>
      <c r="E5774" s="120"/>
      <c r="F5774" s="120"/>
      <c r="G5774" s="120"/>
      <c r="H5774" s="120"/>
      <c r="I5774" s="121"/>
      <c r="J5774" s="121"/>
      <c r="K5774" s="117"/>
    </row>
    <row r="5775" ht="15.75" customHeight="1">
      <c r="A5775" s="122"/>
      <c r="B5775" s="133"/>
      <c r="C5775" s="120"/>
      <c r="D5775" s="120"/>
      <c r="E5775" s="120"/>
      <c r="F5775" s="120"/>
      <c r="G5775" s="120"/>
      <c r="H5775" s="120"/>
      <c r="I5775" s="121"/>
      <c r="J5775" s="121"/>
      <c r="K5775" s="117"/>
    </row>
    <row r="5776" ht="15.75" customHeight="1">
      <c r="A5776" s="122"/>
      <c r="B5776" s="133"/>
      <c r="C5776" s="120"/>
      <c r="D5776" s="120"/>
      <c r="E5776" s="120"/>
      <c r="F5776" s="120"/>
      <c r="G5776" s="120"/>
      <c r="H5776" s="120"/>
      <c r="I5776" s="121"/>
      <c r="J5776" s="121"/>
      <c r="K5776" s="117"/>
    </row>
    <row r="5777" ht="15.75" customHeight="1">
      <c r="A5777" s="122"/>
      <c r="B5777" s="133"/>
      <c r="C5777" s="120"/>
      <c r="D5777" s="120"/>
      <c r="E5777" s="120"/>
      <c r="F5777" s="120"/>
      <c r="G5777" s="120"/>
      <c r="H5777" s="120"/>
      <c r="I5777" s="121"/>
      <c r="J5777" s="121"/>
      <c r="K5777" s="117"/>
    </row>
    <row r="5778" ht="15.75" customHeight="1">
      <c r="A5778" s="122"/>
      <c r="B5778" s="133"/>
      <c r="C5778" s="120"/>
      <c r="D5778" s="120"/>
      <c r="E5778" s="120"/>
      <c r="F5778" s="120"/>
      <c r="G5778" s="120"/>
      <c r="H5778" s="120"/>
      <c r="I5778" s="121"/>
      <c r="J5778" s="121"/>
      <c r="K5778" s="117"/>
    </row>
    <row r="5779" ht="15.75" customHeight="1">
      <c r="A5779" s="122"/>
      <c r="B5779" s="133"/>
      <c r="C5779" s="120"/>
      <c r="D5779" s="120"/>
      <c r="E5779" s="120"/>
      <c r="F5779" s="120"/>
      <c r="G5779" s="120"/>
      <c r="H5779" s="120"/>
      <c r="I5779" s="121"/>
      <c r="J5779" s="121"/>
      <c r="K5779" s="117"/>
    </row>
    <row r="5780" ht="15.75" customHeight="1">
      <c r="A5780" s="122"/>
      <c r="B5780" s="133"/>
      <c r="C5780" s="120"/>
      <c r="D5780" s="120"/>
      <c r="E5780" s="120"/>
      <c r="F5780" s="120"/>
      <c r="G5780" s="120"/>
      <c r="H5780" s="120"/>
      <c r="I5780" s="121"/>
      <c r="J5780" s="121"/>
      <c r="K5780" s="117"/>
    </row>
    <row r="5781" ht="15.75" customHeight="1">
      <c r="A5781" s="122"/>
      <c r="B5781" s="133"/>
      <c r="C5781" s="120"/>
      <c r="D5781" s="120"/>
      <c r="E5781" s="120"/>
      <c r="F5781" s="120"/>
      <c r="G5781" s="120"/>
      <c r="H5781" s="120"/>
      <c r="I5781" s="121"/>
      <c r="J5781" s="121"/>
      <c r="K5781" s="117"/>
    </row>
    <row r="5782" ht="15.75" customHeight="1">
      <c r="A5782" s="122"/>
      <c r="B5782" s="133"/>
      <c r="C5782" s="120"/>
      <c r="D5782" s="120"/>
      <c r="E5782" s="120"/>
      <c r="F5782" s="120"/>
      <c r="G5782" s="120"/>
      <c r="H5782" s="120"/>
      <c r="I5782" s="121"/>
      <c r="J5782" s="121"/>
      <c r="K5782" s="117"/>
    </row>
    <row r="5783" ht="15.75" customHeight="1">
      <c r="A5783" s="122"/>
      <c r="B5783" s="133"/>
      <c r="C5783" s="120"/>
      <c r="D5783" s="120"/>
      <c r="E5783" s="120"/>
      <c r="F5783" s="120"/>
      <c r="G5783" s="120"/>
      <c r="H5783" s="120"/>
      <c r="I5783" s="121"/>
      <c r="J5783" s="121"/>
      <c r="K5783" s="117"/>
    </row>
    <row r="5784" ht="15.75" customHeight="1">
      <c r="A5784" s="122"/>
      <c r="B5784" s="133"/>
      <c r="C5784" s="120"/>
      <c r="D5784" s="120"/>
      <c r="E5784" s="120"/>
      <c r="F5784" s="120"/>
      <c r="G5784" s="120"/>
      <c r="H5784" s="120"/>
      <c r="I5784" s="121"/>
      <c r="J5784" s="121"/>
      <c r="K5784" s="117"/>
    </row>
    <row r="5785" ht="15.75" customHeight="1">
      <c r="A5785" s="122"/>
      <c r="B5785" s="133"/>
      <c r="C5785" s="120"/>
      <c r="D5785" s="120"/>
      <c r="E5785" s="120"/>
      <c r="F5785" s="120"/>
      <c r="G5785" s="120"/>
      <c r="H5785" s="120"/>
      <c r="I5785" s="121"/>
      <c r="J5785" s="121"/>
      <c r="K5785" s="117"/>
    </row>
    <row r="5786" ht="15.75" customHeight="1">
      <c r="A5786" s="122"/>
      <c r="B5786" s="133"/>
      <c r="C5786" s="120"/>
      <c r="D5786" s="120"/>
      <c r="E5786" s="120"/>
      <c r="F5786" s="120"/>
      <c r="G5786" s="120"/>
      <c r="H5786" s="120"/>
      <c r="I5786" s="121"/>
      <c r="J5786" s="121"/>
      <c r="K5786" s="117"/>
    </row>
    <row r="5787" ht="15.75" customHeight="1">
      <c r="A5787" s="122"/>
      <c r="B5787" s="133"/>
      <c r="C5787" s="120"/>
      <c r="D5787" s="120"/>
      <c r="E5787" s="120"/>
      <c r="F5787" s="120"/>
      <c r="G5787" s="120"/>
      <c r="H5787" s="120"/>
      <c r="I5787" s="121"/>
      <c r="J5787" s="121"/>
      <c r="K5787" s="117"/>
    </row>
    <row r="5788" ht="15.75" customHeight="1">
      <c r="A5788" s="122"/>
      <c r="B5788" s="133"/>
      <c r="C5788" s="120"/>
      <c r="D5788" s="120"/>
      <c r="E5788" s="120"/>
      <c r="F5788" s="120"/>
      <c r="G5788" s="120"/>
      <c r="H5788" s="120"/>
      <c r="I5788" s="121"/>
      <c r="J5788" s="121"/>
      <c r="K5788" s="117"/>
    </row>
    <row r="5789" ht="15.75" customHeight="1">
      <c r="A5789" s="122"/>
      <c r="B5789" s="133"/>
      <c r="C5789" s="120"/>
      <c r="D5789" s="120"/>
      <c r="E5789" s="120"/>
      <c r="F5789" s="120"/>
      <c r="G5789" s="120"/>
      <c r="H5789" s="120"/>
      <c r="I5789" s="121"/>
      <c r="J5789" s="121"/>
      <c r="K5789" s="117"/>
    </row>
    <row r="5790" ht="15.75" customHeight="1">
      <c r="A5790" s="122"/>
      <c r="B5790" s="133"/>
      <c r="C5790" s="120"/>
      <c r="D5790" s="120"/>
      <c r="E5790" s="120"/>
      <c r="F5790" s="120"/>
      <c r="G5790" s="120"/>
      <c r="H5790" s="120"/>
      <c r="I5790" s="121"/>
      <c r="J5790" s="121"/>
      <c r="K5790" s="117"/>
    </row>
    <row r="5791" ht="15.75" customHeight="1">
      <c r="A5791" s="122"/>
      <c r="B5791" s="133"/>
      <c r="C5791" s="120"/>
      <c r="D5791" s="120"/>
      <c r="E5791" s="120"/>
      <c r="F5791" s="120"/>
      <c r="G5791" s="120"/>
      <c r="H5791" s="120"/>
      <c r="I5791" s="121"/>
      <c r="J5791" s="121"/>
      <c r="K5791" s="117"/>
    </row>
    <row r="5792" ht="15.75" customHeight="1">
      <c r="A5792" s="122"/>
      <c r="B5792" s="133"/>
      <c r="C5792" s="120"/>
      <c r="D5792" s="120"/>
      <c r="E5792" s="120"/>
      <c r="F5792" s="120"/>
      <c r="G5792" s="120"/>
      <c r="H5792" s="120"/>
      <c r="I5792" s="121"/>
      <c r="J5792" s="121"/>
      <c r="K5792" s="117"/>
    </row>
    <row r="5793" ht="15.75" customHeight="1">
      <c r="A5793" s="122"/>
      <c r="B5793" s="133"/>
      <c r="C5793" s="120"/>
      <c r="D5793" s="120"/>
      <c r="E5793" s="120"/>
      <c r="F5793" s="120"/>
      <c r="G5793" s="120"/>
      <c r="H5793" s="120"/>
      <c r="I5793" s="121"/>
      <c r="J5793" s="121"/>
      <c r="K5793" s="117"/>
    </row>
    <row r="5794" ht="15.75" customHeight="1">
      <c r="A5794" s="122"/>
      <c r="B5794" s="133"/>
      <c r="C5794" s="120"/>
      <c r="D5794" s="120"/>
      <c r="E5794" s="120"/>
      <c r="F5794" s="120"/>
      <c r="G5794" s="120"/>
      <c r="H5794" s="120"/>
      <c r="I5794" s="121"/>
      <c r="J5794" s="121"/>
      <c r="K5794" s="117"/>
    </row>
    <row r="5795" ht="15.75" customHeight="1">
      <c r="A5795" s="122"/>
      <c r="B5795" s="133"/>
      <c r="C5795" s="120"/>
      <c r="D5795" s="120"/>
      <c r="E5795" s="120"/>
      <c r="F5795" s="120"/>
      <c r="G5795" s="120"/>
      <c r="H5795" s="120"/>
      <c r="I5795" s="121"/>
      <c r="J5795" s="121"/>
      <c r="K5795" s="117"/>
    </row>
    <row r="5796" ht="15.75" customHeight="1">
      <c r="A5796" s="122"/>
      <c r="B5796" s="133"/>
      <c r="C5796" s="120"/>
      <c r="D5796" s="120"/>
      <c r="E5796" s="120"/>
      <c r="F5796" s="120"/>
      <c r="G5796" s="120"/>
      <c r="H5796" s="120"/>
      <c r="I5796" s="121"/>
      <c r="J5796" s="121"/>
      <c r="K5796" s="117"/>
    </row>
    <row r="5797" ht="15.75" customHeight="1">
      <c r="A5797" s="122"/>
      <c r="B5797" s="133"/>
      <c r="C5797" s="120"/>
      <c r="D5797" s="120"/>
      <c r="E5797" s="120"/>
      <c r="F5797" s="120"/>
      <c r="G5797" s="120"/>
      <c r="H5797" s="120"/>
      <c r="I5797" s="121"/>
      <c r="J5797" s="121"/>
      <c r="K5797" s="117"/>
    </row>
    <row r="5798" ht="15.75" customHeight="1">
      <c r="A5798" s="122"/>
      <c r="B5798" s="133"/>
      <c r="C5798" s="120"/>
      <c r="D5798" s="120"/>
      <c r="E5798" s="120"/>
      <c r="F5798" s="120"/>
      <c r="G5798" s="120"/>
      <c r="H5798" s="120"/>
      <c r="I5798" s="121"/>
      <c r="J5798" s="121"/>
      <c r="K5798" s="117"/>
    </row>
    <row r="5799" ht="15.75" customHeight="1">
      <c r="A5799" s="122"/>
      <c r="B5799" s="133"/>
      <c r="C5799" s="120"/>
      <c r="D5799" s="120"/>
      <c r="E5799" s="120"/>
      <c r="F5799" s="120"/>
      <c r="G5799" s="120"/>
      <c r="H5799" s="120"/>
      <c r="I5799" s="121"/>
      <c r="J5799" s="121"/>
      <c r="K5799" s="117"/>
    </row>
    <row r="5800" ht="15.75" customHeight="1">
      <c r="A5800" s="122"/>
      <c r="B5800" s="133"/>
      <c r="C5800" s="120"/>
      <c r="D5800" s="120"/>
      <c r="E5800" s="120"/>
      <c r="F5800" s="120"/>
      <c r="G5800" s="120"/>
      <c r="H5800" s="120"/>
      <c r="I5800" s="121"/>
      <c r="J5800" s="121"/>
      <c r="K5800" s="117"/>
    </row>
    <row r="5801" ht="15.75" customHeight="1">
      <c r="A5801" s="122"/>
      <c r="B5801" s="133"/>
      <c r="C5801" s="120"/>
      <c r="D5801" s="120"/>
      <c r="E5801" s="120"/>
      <c r="F5801" s="120"/>
      <c r="G5801" s="120"/>
      <c r="H5801" s="120"/>
      <c r="I5801" s="121"/>
      <c r="J5801" s="121"/>
      <c r="K5801" s="117"/>
    </row>
    <row r="5802" ht="15.75" customHeight="1">
      <c r="A5802" s="122"/>
      <c r="B5802" s="133"/>
      <c r="C5802" s="120"/>
      <c r="D5802" s="120"/>
      <c r="E5802" s="120"/>
      <c r="F5802" s="120"/>
      <c r="G5802" s="120"/>
      <c r="H5802" s="120"/>
      <c r="I5802" s="121"/>
      <c r="J5802" s="121"/>
      <c r="K5802" s="117"/>
    </row>
    <row r="5803" ht="15.75" customHeight="1">
      <c r="A5803" s="122"/>
      <c r="B5803" s="133"/>
      <c r="C5803" s="120"/>
      <c r="D5803" s="120"/>
      <c r="E5803" s="120"/>
      <c r="F5803" s="120"/>
      <c r="G5803" s="120"/>
      <c r="H5803" s="120"/>
      <c r="I5803" s="121"/>
      <c r="J5803" s="121"/>
      <c r="K5803" s="117"/>
    </row>
    <row r="5804" ht="15.75" customHeight="1">
      <c r="A5804" s="122"/>
      <c r="B5804" s="133"/>
      <c r="C5804" s="120"/>
      <c r="D5804" s="120"/>
      <c r="E5804" s="120"/>
      <c r="F5804" s="120"/>
      <c r="G5804" s="120"/>
      <c r="H5804" s="120"/>
      <c r="I5804" s="121"/>
      <c r="J5804" s="121"/>
      <c r="K5804" s="117"/>
    </row>
    <row r="5805" ht="15.75" customHeight="1">
      <c r="A5805" s="122"/>
      <c r="B5805" s="133"/>
      <c r="C5805" s="120"/>
      <c r="D5805" s="120"/>
      <c r="E5805" s="120"/>
      <c r="F5805" s="120"/>
      <c r="G5805" s="120"/>
      <c r="H5805" s="120"/>
      <c r="I5805" s="121"/>
      <c r="J5805" s="121"/>
      <c r="K5805" s="117"/>
    </row>
    <row r="5806" ht="15.75" customHeight="1">
      <c r="A5806" s="122"/>
      <c r="B5806" s="133"/>
      <c r="C5806" s="120"/>
      <c r="D5806" s="120"/>
      <c r="E5806" s="120"/>
      <c r="F5806" s="120"/>
      <c r="G5806" s="120"/>
      <c r="H5806" s="120"/>
      <c r="I5806" s="121"/>
      <c r="J5806" s="121"/>
      <c r="K5806" s="117"/>
    </row>
    <row r="5807" ht="15.75" customHeight="1">
      <c r="A5807" s="122"/>
      <c r="B5807" s="133"/>
      <c r="C5807" s="120"/>
      <c r="D5807" s="120"/>
      <c r="E5807" s="120"/>
      <c r="F5807" s="120"/>
      <c r="G5807" s="120"/>
      <c r="H5807" s="120"/>
      <c r="I5807" s="121"/>
      <c r="J5807" s="121"/>
      <c r="K5807" s="117"/>
    </row>
    <row r="5808" ht="15.75" customHeight="1">
      <c r="A5808" s="122"/>
      <c r="B5808" s="133"/>
      <c r="C5808" s="120"/>
      <c r="D5808" s="120"/>
      <c r="E5808" s="120"/>
      <c r="F5808" s="120"/>
      <c r="G5808" s="120"/>
      <c r="H5808" s="120"/>
      <c r="I5808" s="121"/>
      <c r="J5808" s="121"/>
      <c r="K5808" s="117"/>
    </row>
    <row r="5809" ht="15.75" customHeight="1">
      <c r="A5809" s="122"/>
      <c r="B5809" s="133"/>
      <c r="C5809" s="120"/>
      <c r="D5809" s="120"/>
      <c r="E5809" s="120"/>
      <c r="F5809" s="120"/>
      <c r="G5809" s="120"/>
      <c r="H5809" s="120"/>
      <c r="I5809" s="121"/>
      <c r="J5809" s="121"/>
      <c r="K5809" s="117"/>
    </row>
    <row r="5810" ht="15.75" customHeight="1">
      <c r="A5810" s="122"/>
      <c r="B5810" s="133"/>
      <c r="C5810" s="120"/>
      <c r="D5810" s="120"/>
      <c r="E5810" s="120"/>
      <c r="F5810" s="120"/>
      <c r="G5810" s="120"/>
      <c r="H5810" s="120"/>
      <c r="I5810" s="121"/>
      <c r="J5810" s="121"/>
      <c r="K5810" s="117"/>
    </row>
    <row r="5811" ht="15.75" customHeight="1">
      <c r="A5811" s="122"/>
      <c r="B5811" s="133"/>
      <c r="C5811" s="120"/>
      <c r="D5811" s="120"/>
      <c r="E5811" s="120"/>
      <c r="F5811" s="120"/>
      <c r="G5811" s="120"/>
      <c r="H5811" s="120"/>
      <c r="I5811" s="121"/>
      <c r="J5811" s="121"/>
      <c r="K5811" s="117"/>
    </row>
    <row r="5812" ht="15.75" customHeight="1">
      <c r="A5812" s="122"/>
      <c r="B5812" s="133"/>
      <c r="C5812" s="120"/>
      <c r="D5812" s="120"/>
      <c r="E5812" s="120"/>
      <c r="F5812" s="120"/>
      <c r="G5812" s="120"/>
      <c r="H5812" s="120"/>
      <c r="I5812" s="121"/>
      <c r="J5812" s="121"/>
      <c r="K5812" s="117"/>
    </row>
    <row r="5813" ht="15.75" customHeight="1">
      <c r="A5813" s="122"/>
      <c r="B5813" s="133"/>
      <c r="C5813" s="120"/>
      <c r="D5813" s="120"/>
      <c r="E5813" s="120"/>
      <c r="F5813" s="120"/>
      <c r="G5813" s="120"/>
      <c r="H5813" s="120"/>
      <c r="I5813" s="121"/>
      <c r="J5813" s="121"/>
      <c r="K5813" s="117"/>
    </row>
    <row r="5814" ht="15.75" customHeight="1">
      <c r="A5814" s="122"/>
      <c r="B5814" s="133"/>
      <c r="C5814" s="120"/>
      <c r="D5814" s="120"/>
      <c r="E5814" s="120"/>
      <c r="F5814" s="120"/>
      <c r="G5814" s="120"/>
      <c r="H5814" s="120"/>
      <c r="I5814" s="121"/>
      <c r="J5814" s="121"/>
      <c r="K5814" s="117"/>
    </row>
    <row r="5815" ht="15.75" customHeight="1">
      <c r="A5815" s="122"/>
      <c r="B5815" s="133"/>
      <c r="C5815" s="120"/>
      <c r="D5815" s="120"/>
      <c r="E5815" s="120"/>
      <c r="F5815" s="120"/>
      <c r="G5815" s="120"/>
      <c r="H5815" s="120"/>
      <c r="I5815" s="121"/>
      <c r="J5815" s="121"/>
      <c r="K5815" s="117"/>
    </row>
    <row r="5816" ht="15.75" customHeight="1">
      <c r="A5816" s="122"/>
      <c r="B5816" s="133"/>
      <c r="C5816" s="120"/>
      <c r="D5816" s="120"/>
      <c r="E5816" s="120"/>
      <c r="F5816" s="120"/>
      <c r="G5816" s="120"/>
      <c r="H5816" s="120"/>
      <c r="I5816" s="121"/>
      <c r="J5816" s="121"/>
      <c r="K5816" s="117"/>
    </row>
    <row r="5817" ht="15.75" customHeight="1">
      <c r="A5817" s="122"/>
      <c r="B5817" s="133"/>
      <c r="C5817" s="120"/>
      <c r="D5817" s="120"/>
      <c r="E5817" s="120"/>
      <c r="F5817" s="120"/>
      <c r="G5817" s="120"/>
      <c r="H5817" s="120"/>
      <c r="I5817" s="121"/>
      <c r="J5817" s="121"/>
      <c r="K5817" s="117"/>
    </row>
    <row r="5818" ht="15.75" customHeight="1">
      <c r="A5818" s="122"/>
      <c r="B5818" s="133"/>
      <c r="C5818" s="120"/>
      <c r="D5818" s="120"/>
      <c r="E5818" s="120"/>
      <c r="F5818" s="120"/>
      <c r="G5818" s="120"/>
      <c r="H5818" s="120"/>
      <c r="I5818" s="121"/>
      <c r="J5818" s="121"/>
      <c r="K5818" s="117"/>
    </row>
    <row r="5819" ht="15.75" customHeight="1">
      <c r="A5819" s="122"/>
      <c r="B5819" s="133"/>
      <c r="C5819" s="120"/>
      <c r="D5819" s="120"/>
      <c r="E5819" s="120"/>
      <c r="F5819" s="120"/>
      <c r="G5819" s="120"/>
      <c r="H5819" s="120"/>
      <c r="I5819" s="121"/>
      <c r="J5819" s="121"/>
      <c r="K5819" s="117"/>
    </row>
    <row r="5820" ht="15.75" customHeight="1">
      <c r="A5820" s="122"/>
      <c r="B5820" s="133"/>
      <c r="C5820" s="120"/>
      <c r="D5820" s="120"/>
      <c r="E5820" s="120"/>
      <c r="F5820" s="120"/>
      <c r="G5820" s="120"/>
      <c r="H5820" s="120"/>
      <c r="I5820" s="121"/>
      <c r="J5820" s="121"/>
      <c r="K5820" s="117"/>
    </row>
    <row r="5821" ht="15.75" customHeight="1">
      <c r="A5821" s="122"/>
      <c r="B5821" s="133"/>
      <c r="C5821" s="120"/>
      <c r="D5821" s="120"/>
      <c r="E5821" s="120"/>
      <c r="F5821" s="120"/>
      <c r="G5821" s="120"/>
      <c r="H5821" s="120"/>
      <c r="I5821" s="121"/>
      <c r="J5821" s="121"/>
      <c r="K5821" s="117"/>
    </row>
    <row r="5822" ht="15.75" customHeight="1">
      <c r="A5822" s="122"/>
      <c r="B5822" s="133"/>
      <c r="C5822" s="120"/>
      <c r="D5822" s="120"/>
      <c r="E5822" s="120"/>
      <c r="F5822" s="120"/>
      <c r="G5822" s="120"/>
      <c r="H5822" s="120"/>
      <c r="I5822" s="121"/>
      <c r="J5822" s="121"/>
      <c r="K5822" s="117"/>
    </row>
    <row r="5823" ht="15.75" customHeight="1">
      <c r="A5823" s="122"/>
      <c r="B5823" s="133"/>
      <c r="C5823" s="120"/>
      <c r="D5823" s="120"/>
      <c r="E5823" s="120"/>
      <c r="F5823" s="120"/>
      <c r="G5823" s="120"/>
      <c r="H5823" s="120"/>
      <c r="I5823" s="121"/>
      <c r="J5823" s="121"/>
      <c r="K5823" s="117"/>
    </row>
    <row r="5824" ht="15.75" customHeight="1">
      <c r="A5824" s="122"/>
      <c r="B5824" s="133"/>
      <c r="C5824" s="120"/>
      <c r="D5824" s="120"/>
      <c r="E5824" s="120"/>
      <c r="F5824" s="120"/>
      <c r="G5824" s="120"/>
      <c r="H5824" s="120"/>
      <c r="I5824" s="121"/>
      <c r="J5824" s="121"/>
      <c r="K5824" s="117"/>
    </row>
    <row r="5825" ht="15.75" customHeight="1">
      <c r="A5825" s="122"/>
      <c r="B5825" s="133"/>
      <c r="C5825" s="120"/>
      <c r="D5825" s="120"/>
      <c r="E5825" s="120"/>
      <c r="F5825" s="120"/>
      <c r="G5825" s="120"/>
      <c r="H5825" s="120"/>
      <c r="I5825" s="121"/>
      <c r="J5825" s="121"/>
      <c r="K5825" s="117"/>
    </row>
    <row r="5826" ht="15.75" customHeight="1">
      <c r="A5826" s="122"/>
      <c r="B5826" s="133"/>
      <c r="C5826" s="120"/>
      <c r="D5826" s="120"/>
      <c r="E5826" s="120"/>
      <c r="F5826" s="120"/>
      <c r="G5826" s="120"/>
      <c r="H5826" s="120"/>
      <c r="I5826" s="121"/>
      <c r="J5826" s="121"/>
      <c r="K5826" s="117"/>
    </row>
    <row r="5827" ht="15.75" customHeight="1">
      <c r="A5827" s="122"/>
      <c r="B5827" s="133"/>
      <c r="C5827" s="120"/>
      <c r="D5827" s="120"/>
      <c r="E5827" s="120"/>
      <c r="F5827" s="120"/>
      <c r="G5827" s="120"/>
      <c r="H5827" s="120"/>
      <c r="I5827" s="121"/>
      <c r="J5827" s="121"/>
      <c r="K5827" s="117"/>
    </row>
    <row r="5828" ht="15.75" customHeight="1">
      <c r="A5828" s="122"/>
      <c r="B5828" s="133"/>
      <c r="C5828" s="120"/>
      <c r="D5828" s="120"/>
      <c r="E5828" s="120"/>
      <c r="F5828" s="120"/>
      <c r="G5828" s="120"/>
      <c r="H5828" s="120"/>
      <c r="I5828" s="121"/>
      <c r="J5828" s="121"/>
      <c r="K5828" s="117"/>
    </row>
    <row r="5829" ht="15.75" customHeight="1">
      <c r="A5829" s="122"/>
      <c r="B5829" s="133"/>
      <c r="C5829" s="120"/>
      <c r="D5829" s="120"/>
      <c r="E5829" s="120"/>
      <c r="F5829" s="120"/>
      <c r="G5829" s="120"/>
      <c r="H5829" s="120"/>
      <c r="I5829" s="121"/>
      <c r="J5829" s="121"/>
      <c r="K5829" s="117"/>
    </row>
    <row r="5830" ht="15.75" customHeight="1">
      <c r="A5830" s="122"/>
      <c r="B5830" s="133"/>
      <c r="C5830" s="120"/>
      <c r="D5830" s="120"/>
      <c r="E5830" s="120"/>
      <c r="F5830" s="120"/>
      <c r="G5830" s="120"/>
      <c r="H5830" s="120"/>
      <c r="I5830" s="121"/>
      <c r="J5830" s="121"/>
      <c r="K5830" s="117"/>
    </row>
    <row r="5831" ht="15.75" customHeight="1">
      <c r="A5831" s="122"/>
      <c r="B5831" s="133"/>
      <c r="C5831" s="120"/>
      <c r="D5831" s="120"/>
      <c r="E5831" s="120"/>
      <c r="F5831" s="120"/>
      <c r="G5831" s="120"/>
      <c r="H5831" s="120"/>
      <c r="I5831" s="121"/>
      <c r="J5831" s="121"/>
      <c r="K5831" s="117"/>
    </row>
    <row r="5832" ht="15.75" customHeight="1">
      <c r="A5832" s="122"/>
      <c r="B5832" s="133"/>
      <c r="C5832" s="120"/>
      <c r="D5832" s="120"/>
      <c r="E5832" s="120"/>
      <c r="F5832" s="120"/>
      <c r="G5832" s="120"/>
      <c r="H5832" s="120"/>
      <c r="I5832" s="121"/>
      <c r="J5832" s="121"/>
      <c r="K5832" s="117"/>
    </row>
    <row r="5833" ht="15.75" customHeight="1">
      <c r="A5833" s="122"/>
      <c r="B5833" s="133"/>
      <c r="C5833" s="120"/>
      <c r="D5833" s="120"/>
      <c r="E5833" s="120"/>
      <c r="F5833" s="120"/>
      <c r="G5833" s="120"/>
      <c r="H5833" s="120"/>
      <c r="I5833" s="121"/>
      <c r="J5833" s="121"/>
      <c r="K5833" s="117"/>
    </row>
    <row r="5834" ht="15.75" customHeight="1">
      <c r="A5834" s="122"/>
      <c r="B5834" s="133"/>
      <c r="C5834" s="120"/>
      <c r="D5834" s="120"/>
      <c r="E5834" s="120"/>
      <c r="F5834" s="120"/>
      <c r="G5834" s="120"/>
      <c r="H5834" s="120"/>
      <c r="I5834" s="121"/>
      <c r="J5834" s="121"/>
      <c r="K5834" s="117"/>
    </row>
    <row r="5835" ht="15.75" customHeight="1">
      <c r="A5835" s="122"/>
      <c r="B5835" s="133"/>
      <c r="C5835" s="120"/>
      <c r="D5835" s="120"/>
      <c r="E5835" s="120"/>
      <c r="F5835" s="120"/>
      <c r="G5835" s="120"/>
      <c r="H5835" s="120"/>
      <c r="I5835" s="121"/>
      <c r="J5835" s="121"/>
      <c r="K5835" s="117"/>
    </row>
    <row r="5836" ht="15.75" customHeight="1">
      <c r="A5836" s="122"/>
      <c r="B5836" s="133"/>
      <c r="C5836" s="120"/>
      <c r="D5836" s="120"/>
      <c r="E5836" s="120"/>
      <c r="F5836" s="120"/>
      <c r="G5836" s="120"/>
      <c r="H5836" s="120"/>
      <c r="I5836" s="121"/>
      <c r="J5836" s="121"/>
      <c r="K5836" s="117"/>
    </row>
    <row r="5837" ht="15.75" customHeight="1">
      <c r="A5837" s="122"/>
      <c r="B5837" s="133"/>
      <c r="C5837" s="120"/>
      <c r="D5837" s="120"/>
      <c r="E5837" s="120"/>
      <c r="F5837" s="120"/>
      <c r="G5837" s="120"/>
      <c r="H5837" s="120"/>
      <c r="I5837" s="121"/>
      <c r="J5837" s="121"/>
      <c r="K5837" s="117"/>
    </row>
    <row r="5838" ht="15.75" customHeight="1">
      <c r="A5838" s="122"/>
      <c r="B5838" s="133"/>
      <c r="C5838" s="120"/>
      <c r="D5838" s="120"/>
      <c r="E5838" s="120"/>
      <c r="F5838" s="120"/>
      <c r="G5838" s="120"/>
      <c r="H5838" s="120"/>
      <c r="I5838" s="121"/>
      <c r="J5838" s="121"/>
      <c r="K5838" s="117"/>
    </row>
    <row r="5839" ht="15.75" customHeight="1">
      <c r="A5839" s="122"/>
      <c r="B5839" s="133"/>
      <c r="C5839" s="120"/>
      <c r="D5839" s="120"/>
      <c r="E5839" s="120"/>
      <c r="F5839" s="120"/>
      <c r="G5839" s="120"/>
      <c r="H5839" s="120"/>
      <c r="I5839" s="121"/>
      <c r="J5839" s="121"/>
      <c r="K5839" s="117"/>
    </row>
    <row r="5840" ht="15.75" customHeight="1">
      <c r="A5840" s="122"/>
      <c r="B5840" s="133"/>
      <c r="C5840" s="120"/>
      <c r="D5840" s="120"/>
      <c r="E5840" s="120"/>
      <c r="F5840" s="120"/>
      <c r="G5840" s="120"/>
      <c r="H5840" s="120"/>
      <c r="I5840" s="121"/>
      <c r="J5840" s="121"/>
      <c r="K5840" s="117"/>
    </row>
    <row r="5841" ht="15.75" customHeight="1">
      <c r="A5841" s="122"/>
      <c r="B5841" s="133"/>
      <c r="C5841" s="120"/>
      <c r="D5841" s="120"/>
      <c r="E5841" s="120"/>
      <c r="F5841" s="120"/>
      <c r="G5841" s="120"/>
      <c r="H5841" s="120"/>
      <c r="I5841" s="121"/>
      <c r="J5841" s="121"/>
      <c r="K5841" s="117"/>
    </row>
    <row r="5842" ht="15.75" customHeight="1">
      <c r="A5842" s="122"/>
      <c r="B5842" s="133"/>
      <c r="C5842" s="120"/>
      <c r="D5842" s="120"/>
      <c r="E5842" s="120"/>
      <c r="F5842" s="120"/>
      <c r="G5842" s="120"/>
      <c r="H5842" s="120"/>
      <c r="I5842" s="121"/>
      <c r="J5842" s="121"/>
      <c r="K5842" s="117"/>
    </row>
    <row r="5843" ht="15.75" customHeight="1">
      <c r="A5843" s="122"/>
      <c r="B5843" s="133"/>
      <c r="C5843" s="120"/>
      <c r="D5843" s="120"/>
      <c r="E5843" s="120"/>
      <c r="F5843" s="120"/>
      <c r="G5843" s="120"/>
      <c r="H5843" s="120"/>
      <c r="I5843" s="121"/>
      <c r="J5843" s="121"/>
      <c r="K5843" s="117"/>
    </row>
    <row r="5844" ht="15.75" customHeight="1">
      <c r="A5844" s="122"/>
      <c r="B5844" s="133"/>
      <c r="C5844" s="120"/>
      <c r="D5844" s="120"/>
      <c r="E5844" s="120"/>
      <c r="F5844" s="120"/>
      <c r="G5844" s="120"/>
      <c r="H5844" s="120"/>
      <c r="I5844" s="121"/>
      <c r="J5844" s="121"/>
      <c r="K5844" s="117"/>
    </row>
    <row r="5845" ht="15.75" customHeight="1">
      <c r="A5845" s="122"/>
      <c r="B5845" s="133"/>
      <c r="C5845" s="120"/>
      <c r="D5845" s="120"/>
      <c r="E5845" s="120"/>
      <c r="F5845" s="120"/>
      <c r="G5845" s="120"/>
      <c r="H5845" s="120"/>
      <c r="I5845" s="121"/>
      <c r="J5845" s="121"/>
      <c r="K5845" s="117"/>
    </row>
    <row r="5846" ht="15.75" customHeight="1">
      <c r="A5846" s="122"/>
      <c r="B5846" s="133"/>
      <c r="C5846" s="120"/>
      <c r="D5846" s="120"/>
      <c r="E5846" s="120"/>
      <c r="F5846" s="120"/>
      <c r="G5846" s="120"/>
      <c r="H5846" s="120"/>
      <c r="I5846" s="121"/>
      <c r="J5846" s="121"/>
      <c r="K5846" s="117"/>
    </row>
    <row r="5847" ht="15.75" customHeight="1">
      <c r="A5847" s="122"/>
      <c r="B5847" s="133"/>
      <c r="C5847" s="120"/>
      <c r="D5847" s="120"/>
      <c r="E5847" s="120"/>
      <c r="F5847" s="120"/>
      <c r="G5847" s="120"/>
      <c r="H5847" s="120"/>
      <c r="I5847" s="121"/>
      <c r="J5847" s="121"/>
      <c r="K5847" s="117"/>
    </row>
    <row r="5848" ht="15.75" customHeight="1">
      <c r="A5848" s="122"/>
      <c r="B5848" s="133"/>
      <c r="C5848" s="120"/>
      <c r="D5848" s="120"/>
      <c r="E5848" s="120"/>
      <c r="F5848" s="120"/>
      <c r="G5848" s="120"/>
      <c r="H5848" s="120"/>
      <c r="I5848" s="121"/>
      <c r="J5848" s="121"/>
      <c r="K5848" s="117"/>
    </row>
    <row r="5849" ht="15.75" customHeight="1">
      <c r="A5849" s="122"/>
      <c r="B5849" s="133"/>
      <c r="C5849" s="120"/>
      <c r="D5849" s="120"/>
      <c r="E5849" s="120"/>
      <c r="F5849" s="120"/>
      <c r="G5849" s="120"/>
      <c r="H5849" s="120"/>
      <c r="I5849" s="121"/>
      <c r="J5849" s="121"/>
      <c r="K5849" s="117"/>
    </row>
    <row r="5850" ht="15.75" customHeight="1">
      <c r="A5850" s="122"/>
      <c r="B5850" s="133"/>
      <c r="C5850" s="120"/>
      <c r="D5850" s="120"/>
      <c r="E5850" s="120"/>
      <c r="F5850" s="120"/>
      <c r="G5850" s="120"/>
      <c r="H5850" s="120"/>
      <c r="I5850" s="121"/>
      <c r="J5850" s="121"/>
      <c r="K5850" s="117"/>
    </row>
    <row r="5851" ht="15.75" customHeight="1">
      <c r="A5851" s="122"/>
      <c r="B5851" s="133"/>
      <c r="C5851" s="120"/>
      <c r="D5851" s="120"/>
      <c r="E5851" s="120"/>
      <c r="F5851" s="120"/>
      <c r="G5851" s="120"/>
      <c r="H5851" s="120"/>
      <c r="I5851" s="121"/>
      <c r="J5851" s="121"/>
      <c r="K5851" s="117"/>
    </row>
    <row r="5852" ht="15.75" customHeight="1">
      <c r="A5852" s="122"/>
      <c r="B5852" s="133"/>
      <c r="C5852" s="120"/>
      <c r="D5852" s="120"/>
      <c r="E5852" s="120"/>
      <c r="F5852" s="120"/>
      <c r="G5852" s="120"/>
      <c r="H5852" s="120"/>
      <c r="I5852" s="121"/>
      <c r="J5852" s="121"/>
      <c r="K5852" s="117"/>
    </row>
    <row r="5853" ht="15.75" customHeight="1">
      <c r="A5853" s="122"/>
      <c r="B5853" s="133"/>
      <c r="C5853" s="120"/>
      <c r="D5853" s="120"/>
      <c r="E5853" s="120"/>
      <c r="F5853" s="120"/>
      <c r="G5853" s="120"/>
      <c r="H5853" s="120"/>
      <c r="I5853" s="121"/>
      <c r="J5853" s="121"/>
      <c r="K5853" s="117"/>
    </row>
    <row r="5854" ht="15.75" customHeight="1">
      <c r="A5854" s="122"/>
      <c r="B5854" s="133"/>
      <c r="C5854" s="120"/>
      <c r="D5854" s="120"/>
      <c r="E5854" s="120"/>
      <c r="F5854" s="120"/>
      <c r="G5854" s="120"/>
      <c r="H5854" s="120"/>
      <c r="I5854" s="121"/>
      <c r="J5854" s="121"/>
      <c r="K5854" s="117"/>
    </row>
    <row r="5855" ht="15.75" customHeight="1">
      <c r="A5855" s="122"/>
      <c r="B5855" s="133"/>
      <c r="C5855" s="120"/>
      <c r="D5855" s="120"/>
      <c r="E5855" s="120"/>
      <c r="F5855" s="120"/>
      <c r="G5855" s="120"/>
      <c r="H5855" s="120"/>
      <c r="I5855" s="121"/>
      <c r="J5855" s="121"/>
      <c r="K5855" s="117"/>
    </row>
    <row r="5856" ht="15.75" customHeight="1">
      <c r="A5856" s="122"/>
      <c r="B5856" s="133"/>
      <c r="C5856" s="120"/>
      <c r="D5856" s="120"/>
      <c r="E5856" s="120"/>
      <c r="F5856" s="120"/>
      <c r="G5856" s="120"/>
      <c r="H5856" s="120"/>
      <c r="I5856" s="121"/>
      <c r="J5856" s="121"/>
      <c r="K5856" s="117"/>
    </row>
    <row r="5857" ht="15.75" customHeight="1">
      <c r="A5857" s="122"/>
      <c r="B5857" s="133"/>
      <c r="C5857" s="120"/>
      <c r="D5857" s="120"/>
      <c r="E5857" s="120"/>
      <c r="F5857" s="120"/>
      <c r="G5857" s="120"/>
      <c r="H5857" s="120"/>
      <c r="I5857" s="121"/>
      <c r="J5857" s="121"/>
      <c r="K5857" s="117"/>
    </row>
    <row r="5858" ht="15.75" customHeight="1">
      <c r="A5858" s="122"/>
      <c r="B5858" s="133"/>
      <c r="C5858" s="120"/>
      <c r="D5858" s="120"/>
      <c r="E5858" s="120"/>
      <c r="F5858" s="120"/>
      <c r="G5858" s="120"/>
      <c r="H5858" s="120"/>
      <c r="I5858" s="121"/>
      <c r="J5858" s="121"/>
      <c r="K5858" s="117"/>
    </row>
    <row r="5859" ht="15.75" customHeight="1">
      <c r="A5859" s="122"/>
      <c r="B5859" s="133"/>
      <c r="C5859" s="120"/>
      <c r="D5859" s="120"/>
      <c r="E5859" s="120"/>
      <c r="F5859" s="120"/>
      <c r="G5859" s="120"/>
      <c r="H5859" s="120"/>
      <c r="I5859" s="121"/>
      <c r="J5859" s="121"/>
      <c r="K5859" s="117"/>
    </row>
    <row r="5860" ht="15.75" customHeight="1">
      <c r="A5860" s="122"/>
      <c r="B5860" s="133"/>
      <c r="C5860" s="120"/>
      <c r="D5860" s="120"/>
      <c r="E5860" s="120"/>
      <c r="F5860" s="120"/>
      <c r="G5860" s="120"/>
      <c r="H5860" s="120"/>
      <c r="I5860" s="121"/>
      <c r="J5860" s="121"/>
      <c r="K5860" s="117"/>
    </row>
    <row r="5861" ht="15.75" customHeight="1">
      <c r="A5861" s="122"/>
      <c r="B5861" s="133"/>
      <c r="C5861" s="120"/>
      <c r="D5861" s="120"/>
      <c r="E5861" s="120"/>
      <c r="F5861" s="120"/>
      <c r="G5861" s="120"/>
      <c r="H5861" s="120"/>
      <c r="I5861" s="121"/>
      <c r="J5861" s="121"/>
      <c r="K5861" s="117"/>
    </row>
    <row r="5862" ht="15.75" customHeight="1">
      <c r="A5862" s="122"/>
      <c r="B5862" s="133"/>
      <c r="C5862" s="120"/>
      <c r="D5862" s="120"/>
      <c r="E5862" s="120"/>
      <c r="F5862" s="120"/>
      <c r="G5862" s="120"/>
      <c r="H5862" s="120"/>
      <c r="I5862" s="121"/>
      <c r="J5862" s="121"/>
      <c r="K5862" s="117"/>
    </row>
    <row r="5863" ht="15.75" customHeight="1">
      <c r="A5863" s="122"/>
      <c r="B5863" s="133"/>
      <c r="C5863" s="120"/>
      <c r="D5863" s="120"/>
      <c r="E5863" s="120"/>
      <c r="F5863" s="120"/>
      <c r="G5863" s="120"/>
      <c r="H5863" s="120"/>
      <c r="I5863" s="121"/>
      <c r="J5863" s="121"/>
      <c r="K5863" s="117"/>
    </row>
    <row r="5864" ht="15.75" customHeight="1">
      <c r="A5864" s="122"/>
      <c r="B5864" s="133"/>
      <c r="C5864" s="120"/>
      <c r="D5864" s="120"/>
      <c r="E5864" s="120"/>
      <c r="F5864" s="120"/>
      <c r="G5864" s="120"/>
      <c r="H5864" s="120"/>
      <c r="I5864" s="121"/>
      <c r="J5864" s="121"/>
      <c r="K5864" s="117"/>
    </row>
    <row r="5865" ht="15.75" customHeight="1">
      <c r="A5865" s="122"/>
      <c r="B5865" s="133"/>
      <c r="C5865" s="120"/>
      <c r="D5865" s="120"/>
      <c r="E5865" s="120"/>
      <c r="F5865" s="120"/>
      <c r="G5865" s="120"/>
      <c r="H5865" s="120"/>
      <c r="I5865" s="121"/>
      <c r="J5865" s="121"/>
      <c r="K5865" s="117"/>
    </row>
    <row r="5866" ht="15.75" customHeight="1">
      <c r="A5866" s="122"/>
      <c r="B5866" s="133"/>
      <c r="C5866" s="120"/>
      <c r="D5866" s="120"/>
      <c r="E5866" s="120"/>
      <c r="F5866" s="120"/>
      <c r="G5866" s="120"/>
      <c r="H5866" s="120"/>
      <c r="I5866" s="121"/>
      <c r="J5866" s="121"/>
      <c r="K5866" s="117"/>
    </row>
    <row r="5867" ht="15.75" customHeight="1">
      <c r="A5867" s="122"/>
      <c r="B5867" s="133"/>
      <c r="C5867" s="120"/>
      <c r="D5867" s="120"/>
      <c r="E5867" s="120"/>
      <c r="F5867" s="120"/>
      <c r="G5867" s="120"/>
      <c r="H5867" s="120"/>
      <c r="I5867" s="121"/>
      <c r="J5867" s="121"/>
      <c r="K5867" s="117"/>
    </row>
    <row r="5868" ht="15.75" customHeight="1">
      <c r="A5868" s="122"/>
      <c r="B5868" s="133"/>
      <c r="C5868" s="120"/>
      <c r="D5868" s="120"/>
      <c r="E5868" s="120"/>
      <c r="F5868" s="120"/>
      <c r="G5868" s="120"/>
      <c r="H5868" s="120"/>
      <c r="I5868" s="121"/>
      <c r="J5868" s="121"/>
      <c r="K5868" s="117"/>
    </row>
    <row r="5869" ht="15.75" customHeight="1">
      <c r="A5869" s="122"/>
      <c r="B5869" s="133"/>
      <c r="C5869" s="120"/>
      <c r="D5869" s="120"/>
      <c r="E5869" s="120"/>
      <c r="F5869" s="120"/>
      <c r="G5869" s="120"/>
      <c r="H5869" s="120"/>
      <c r="I5869" s="121"/>
      <c r="J5869" s="121"/>
      <c r="K5869" s="117"/>
    </row>
    <row r="5870" ht="15.75" customHeight="1">
      <c r="A5870" s="122"/>
      <c r="B5870" s="133"/>
      <c r="C5870" s="120"/>
      <c r="D5870" s="120"/>
      <c r="E5870" s="120"/>
      <c r="F5870" s="120"/>
      <c r="G5870" s="120"/>
      <c r="H5870" s="120"/>
      <c r="I5870" s="121"/>
      <c r="J5870" s="121"/>
      <c r="K5870" s="117"/>
    </row>
    <row r="5871" ht="15.75" customHeight="1">
      <c r="A5871" s="122"/>
      <c r="B5871" s="133"/>
      <c r="C5871" s="120"/>
      <c r="D5871" s="120"/>
      <c r="E5871" s="120"/>
      <c r="F5871" s="120"/>
      <c r="G5871" s="120"/>
      <c r="H5871" s="120"/>
      <c r="I5871" s="121"/>
      <c r="J5871" s="121"/>
      <c r="K5871" s="117"/>
    </row>
    <row r="5872" ht="15.75" customHeight="1">
      <c r="A5872" s="122"/>
      <c r="B5872" s="133"/>
      <c r="C5872" s="120"/>
      <c r="D5872" s="120"/>
      <c r="E5872" s="120"/>
      <c r="F5872" s="120"/>
      <c r="G5872" s="120"/>
      <c r="H5872" s="120"/>
      <c r="I5872" s="121"/>
      <c r="J5872" s="121"/>
      <c r="K5872" s="117"/>
    </row>
    <row r="5873" ht="15.75" customHeight="1">
      <c r="A5873" s="122"/>
      <c r="B5873" s="133"/>
      <c r="C5873" s="120"/>
      <c r="D5873" s="120"/>
      <c r="E5873" s="120"/>
      <c r="F5873" s="120"/>
      <c r="G5873" s="120"/>
      <c r="H5873" s="120"/>
      <c r="I5873" s="121"/>
      <c r="J5873" s="121"/>
      <c r="K5873" s="117"/>
    </row>
    <row r="5874" ht="15.75" customHeight="1">
      <c r="A5874" s="122"/>
      <c r="B5874" s="133"/>
      <c r="C5874" s="120"/>
      <c r="D5874" s="120"/>
      <c r="E5874" s="120"/>
      <c r="F5874" s="120"/>
      <c r="G5874" s="120"/>
      <c r="H5874" s="120"/>
      <c r="I5874" s="121"/>
      <c r="J5874" s="121"/>
      <c r="K5874" s="117"/>
    </row>
    <row r="5875" ht="15.75" customHeight="1">
      <c r="A5875" s="122"/>
      <c r="B5875" s="133"/>
      <c r="C5875" s="120"/>
      <c r="D5875" s="120"/>
      <c r="E5875" s="120"/>
      <c r="F5875" s="120"/>
      <c r="G5875" s="120"/>
      <c r="H5875" s="120"/>
      <c r="I5875" s="121"/>
      <c r="J5875" s="121"/>
      <c r="K5875" s="117"/>
    </row>
    <row r="5876" ht="15.75" customHeight="1">
      <c r="A5876" s="122"/>
      <c r="B5876" s="133"/>
      <c r="C5876" s="120"/>
      <c r="D5876" s="120"/>
      <c r="E5876" s="120"/>
      <c r="F5876" s="120"/>
      <c r="G5876" s="120"/>
      <c r="H5876" s="120"/>
      <c r="I5876" s="121"/>
      <c r="J5876" s="121"/>
      <c r="K5876" s="117"/>
    </row>
    <row r="5877" ht="15.75" customHeight="1">
      <c r="A5877" s="122"/>
      <c r="B5877" s="133"/>
      <c r="C5877" s="120"/>
      <c r="D5877" s="120"/>
      <c r="E5877" s="120"/>
      <c r="F5877" s="120"/>
      <c r="G5877" s="120"/>
      <c r="H5877" s="120"/>
      <c r="I5877" s="121"/>
      <c r="J5877" s="121"/>
      <c r="K5877" s="117"/>
    </row>
    <row r="5878" ht="15.75" customHeight="1">
      <c r="A5878" s="122"/>
      <c r="B5878" s="133"/>
      <c r="C5878" s="120"/>
      <c r="D5878" s="120"/>
      <c r="E5878" s="120"/>
      <c r="F5878" s="120"/>
      <c r="G5878" s="120"/>
      <c r="H5878" s="120"/>
      <c r="I5878" s="121"/>
      <c r="J5878" s="121"/>
      <c r="K5878" s="117"/>
    </row>
    <row r="5879" ht="15.75" customHeight="1">
      <c r="A5879" s="122"/>
      <c r="B5879" s="133"/>
      <c r="C5879" s="120"/>
      <c r="D5879" s="120"/>
      <c r="E5879" s="120"/>
      <c r="F5879" s="120"/>
      <c r="G5879" s="120"/>
      <c r="H5879" s="120"/>
      <c r="I5879" s="121"/>
      <c r="J5879" s="121"/>
      <c r="K5879" s="117"/>
    </row>
    <row r="5880" ht="15.75" customHeight="1">
      <c r="A5880" s="122"/>
      <c r="B5880" s="133"/>
      <c r="C5880" s="120"/>
      <c r="D5880" s="120"/>
      <c r="E5880" s="120"/>
      <c r="F5880" s="120"/>
      <c r="G5880" s="120"/>
      <c r="H5880" s="120"/>
      <c r="I5880" s="121"/>
      <c r="J5880" s="121"/>
      <c r="K5880" s="117"/>
    </row>
    <row r="5881" ht="15.75" customHeight="1">
      <c r="A5881" s="122"/>
      <c r="B5881" s="133"/>
      <c r="C5881" s="120"/>
      <c r="D5881" s="120"/>
      <c r="E5881" s="120"/>
      <c r="F5881" s="120"/>
      <c r="G5881" s="120"/>
      <c r="H5881" s="120"/>
      <c r="I5881" s="121"/>
      <c r="J5881" s="121"/>
      <c r="K5881" s="117"/>
    </row>
    <row r="5882" ht="15.75" customHeight="1">
      <c r="A5882" s="122"/>
      <c r="B5882" s="133"/>
      <c r="C5882" s="120"/>
      <c r="D5882" s="120"/>
      <c r="E5882" s="120"/>
      <c r="F5882" s="120"/>
      <c r="G5882" s="120"/>
      <c r="H5882" s="120"/>
      <c r="I5882" s="121"/>
      <c r="J5882" s="121"/>
      <c r="K5882" s="117"/>
    </row>
    <row r="5883" ht="15.75" customHeight="1">
      <c r="A5883" s="122"/>
      <c r="B5883" s="133"/>
      <c r="C5883" s="120"/>
      <c r="D5883" s="120"/>
      <c r="E5883" s="120"/>
      <c r="F5883" s="120"/>
      <c r="G5883" s="120"/>
      <c r="H5883" s="120"/>
      <c r="I5883" s="121"/>
      <c r="J5883" s="121"/>
      <c r="K5883" s="117"/>
    </row>
    <row r="5884" ht="15.75" customHeight="1">
      <c r="A5884" s="122"/>
      <c r="B5884" s="133"/>
      <c r="C5884" s="120"/>
      <c r="D5884" s="120"/>
      <c r="E5884" s="120"/>
      <c r="F5884" s="120"/>
      <c r="G5884" s="120"/>
      <c r="H5884" s="120"/>
      <c r="I5884" s="121"/>
      <c r="J5884" s="121"/>
      <c r="K5884" s="117"/>
    </row>
    <row r="5885" ht="15.75" customHeight="1">
      <c r="A5885" s="122"/>
      <c r="B5885" s="133"/>
      <c r="C5885" s="120"/>
      <c r="D5885" s="120"/>
      <c r="E5885" s="120"/>
      <c r="F5885" s="120"/>
      <c r="G5885" s="120"/>
      <c r="H5885" s="120"/>
      <c r="I5885" s="121"/>
      <c r="J5885" s="121"/>
      <c r="K5885" s="117"/>
    </row>
    <row r="5886" ht="15.75" customHeight="1">
      <c r="A5886" s="122"/>
      <c r="B5886" s="133"/>
      <c r="C5886" s="120"/>
      <c r="D5886" s="120"/>
      <c r="E5886" s="120"/>
      <c r="F5886" s="120"/>
      <c r="G5886" s="120"/>
      <c r="H5886" s="120"/>
      <c r="I5886" s="121"/>
      <c r="J5886" s="121"/>
      <c r="K5886" s="117"/>
    </row>
    <row r="5887" ht="15.75" customHeight="1">
      <c r="A5887" s="122"/>
      <c r="B5887" s="133"/>
      <c r="C5887" s="120"/>
      <c r="D5887" s="120"/>
      <c r="E5887" s="120"/>
      <c r="F5887" s="120"/>
      <c r="G5887" s="120"/>
      <c r="H5887" s="120"/>
      <c r="I5887" s="121"/>
      <c r="J5887" s="121"/>
      <c r="K5887" s="117"/>
    </row>
    <row r="5888" ht="15.75" customHeight="1">
      <c r="A5888" s="122"/>
      <c r="B5888" s="133"/>
      <c r="C5888" s="120"/>
      <c r="D5888" s="120"/>
      <c r="E5888" s="120"/>
      <c r="F5888" s="120"/>
      <c r="G5888" s="120"/>
      <c r="H5888" s="120"/>
      <c r="I5888" s="121"/>
      <c r="J5888" s="121"/>
      <c r="K5888" s="117"/>
    </row>
    <row r="5889" ht="15.75" customHeight="1">
      <c r="A5889" s="122"/>
      <c r="B5889" s="133"/>
      <c r="C5889" s="120"/>
      <c r="D5889" s="120"/>
      <c r="E5889" s="120"/>
      <c r="F5889" s="120"/>
      <c r="G5889" s="120"/>
      <c r="H5889" s="120"/>
      <c r="I5889" s="121"/>
      <c r="J5889" s="121"/>
      <c r="K5889" s="117"/>
    </row>
    <row r="5890" ht="15.75" customHeight="1">
      <c r="A5890" s="122"/>
      <c r="B5890" s="133"/>
      <c r="C5890" s="120"/>
      <c r="D5890" s="120"/>
      <c r="E5890" s="120"/>
      <c r="F5890" s="120"/>
      <c r="G5890" s="120"/>
      <c r="H5890" s="120"/>
      <c r="I5890" s="121"/>
      <c r="J5890" s="121"/>
      <c r="K5890" s="117"/>
    </row>
    <row r="5891" ht="15.75" customHeight="1">
      <c r="A5891" s="122"/>
      <c r="B5891" s="133"/>
      <c r="C5891" s="120"/>
      <c r="D5891" s="120"/>
      <c r="E5891" s="120"/>
      <c r="F5891" s="120"/>
      <c r="G5891" s="120"/>
      <c r="H5891" s="120"/>
      <c r="I5891" s="121"/>
      <c r="J5891" s="121"/>
      <c r="K5891" s="117"/>
    </row>
    <row r="5892" ht="15.75" customHeight="1">
      <c r="A5892" s="122"/>
      <c r="B5892" s="133"/>
      <c r="C5892" s="120"/>
      <c r="D5892" s="120"/>
      <c r="E5892" s="120"/>
      <c r="F5892" s="120"/>
      <c r="G5892" s="120"/>
      <c r="H5892" s="120"/>
      <c r="I5892" s="121"/>
      <c r="J5892" s="121"/>
      <c r="K5892" s="117"/>
    </row>
    <row r="5893" ht="15.75" customHeight="1">
      <c r="A5893" s="122"/>
      <c r="B5893" s="133"/>
      <c r="C5893" s="120"/>
      <c r="D5893" s="120"/>
      <c r="E5893" s="120"/>
      <c r="F5893" s="120"/>
      <c r="G5893" s="120"/>
      <c r="H5893" s="120"/>
      <c r="I5893" s="121"/>
      <c r="J5893" s="121"/>
      <c r="K5893" s="117"/>
    </row>
    <row r="5894" ht="15.75" customHeight="1">
      <c r="A5894" s="122"/>
      <c r="B5894" s="133"/>
      <c r="C5894" s="120"/>
      <c r="D5894" s="120"/>
      <c r="E5894" s="120"/>
      <c r="F5894" s="120"/>
      <c r="G5894" s="120"/>
      <c r="H5894" s="120"/>
      <c r="I5894" s="121"/>
      <c r="J5894" s="121"/>
      <c r="K5894" s="117"/>
    </row>
    <row r="5895" ht="15.75" customHeight="1">
      <c r="A5895" s="122"/>
      <c r="B5895" s="133"/>
      <c r="C5895" s="120"/>
      <c r="D5895" s="120"/>
      <c r="E5895" s="120"/>
      <c r="F5895" s="120"/>
      <c r="G5895" s="120"/>
      <c r="H5895" s="120"/>
      <c r="I5895" s="121"/>
      <c r="J5895" s="121"/>
      <c r="K5895" s="117"/>
    </row>
    <row r="5896" ht="15.75" customHeight="1">
      <c r="A5896" s="122"/>
      <c r="B5896" s="133"/>
      <c r="C5896" s="120"/>
      <c r="D5896" s="120"/>
      <c r="E5896" s="120"/>
      <c r="F5896" s="120"/>
      <c r="G5896" s="120"/>
      <c r="H5896" s="120"/>
      <c r="I5896" s="121"/>
      <c r="J5896" s="121"/>
      <c r="K5896" s="117"/>
    </row>
    <row r="5897" ht="15.75" customHeight="1">
      <c r="A5897" s="122"/>
      <c r="B5897" s="133"/>
      <c r="C5897" s="120"/>
      <c r="D5897" s="120"/>
      <c r="E5897" s="120"/>
      <c r="F5897" s="120"/>
      <c r="G5897" s="120"/>
      <c r="H5897" s="120"/>
      <c r="I5897" s="121"/>
      <c r="J5897" s="121"/>
      <c r="K5897" s="117"/>
    </row>
    <row r="5898" ht="15.75" customHeight="1">
      <c r="A5898" s="122"/>
      <c r="B5898" s="133"/>
      <c r="C5898" s="120"/>
      <c r="D5898" s="120"/>
      <c r="E5898" s="120"/>
      <c r="F5898" s="120"/>
      <c r="G5898" s="120"/>
      <c r="H5898" s="120"/>
      <c r="I5898" s="121"/>
      <c r="J5898" s="121"/>
      <c r="K5898" s="117"/>
    </row>
    <row r="5899" ht="15.75" customHeight="1">
      <c r="A5899" s="122"/>
      <c r="B5899" s="133"/>
      <c r="C5899" s="120"/>
      <c r="D5899" s="120"/>
      <c r="E5899" s="120"/>
      <c r="F5899" s="120"/>
      <c r="G5899" s="120"/>
      <c r="H5899" s="120"/>
      <c r="I5899" s="121"/>
      <c r="J5899" s="121"/>
      <c r="K5899" s="117"/>
    </row>
    <row r="5900" ht="15.75" customHeight="1">
      <c r="A5900" s="122"/>
      <c r="B5900" s="133"/>
      <c r="C5900" s="120"/>
      <c r="D5900" s="120"/>
      <c r="E5900" s="120"/>
      <c r="F5900" s="120"/>
      <c r="G5900" s="120"/>
      <c r="H5900" s="120"/>
      <c r="I5900" s="121"/>
      <c r="J5900" s="121"/>
      <c r="K5900" s="117"/>
    </row>
    <row r="5901" ht="15.75" customHeight="1">
      <c r="A5901" s="122"/>
      <c r="B5901" s="133"/>
      <c r="C5901" s="120"/>
      <c r="D5901" s="120"/>
      <c r="E5901" s="120"/>
      <c r="F5901" s="120"/>
      <c r="G5901" s="120"/>
      <c r="H5901" s="120"/>
      <c r="I5901" s="121"/>
      <c r="J5901" s="121"/>
      <c r="K5901" s="117"/>
    </row>
    <row r="5902" ht="15.75" customHeight="1">
      <c r="A5902" s="122"/>
      <c r="B5902" s="133"/>
      <c r="C5902" s="120"/>
      <c r="D5902" s="120"/>
      <c r="E5902" s="120"/>
      <c r="F5902" s="120"/>
      <c r="G5902" s="120"/>
      <c r="H5902" s="120"/>
      <c r="I5902" s="121"/>
      <c r="J5902" s="121"/>
      <c r="K5902" s="117"/>
    </row>
    <row r="5903" ht="15.75" customHeight="1">
      <c r="A5903" s="122"/>
      <c r="B5903" s="133"/>
      <c r="C5903" s="120"/>
      <c r="D5903" s="120"/>
      <c r="E5903" s="120"/>
      <c r="F5903" s="120"/>
      <c r="G5903" s="120"/>
      <c r="H5903" s="120"/>
      <c r="I5903" s="121"/>
      <c r="J5903" s="121"/>
      <c r="K5903" s="117"/>
    </row>
    <row r="5904" ht="15.75" customHeight="1">
      <c r="A5904" s="122"/>
      <c r="B5904" s="133"/>
      <c r="C5904" s="120"/>
      <c r="D5904" s="120"/>
      <c r="E5904" s="120"/>
      <c r="F5904" s="120"/>
      <c r="G5904" s="120"/>
      <c r="H5904" s="120"/>
      <c r="I5904" s="121"/>
      <c r="J5904" s="121"/>
      <c r="K5904" s="117"/>
    </row>
    <row r="5905" ht="15.75" customHeight="1">
      <c r="A5905" s="122"/>
      <c r="B5905" s="133"/>
      <c r="C5905" s="120"/>
      <c r="D5905" s="120"/>
      <c r="E5905" s="120"/>
      <c r="F5905" s="120"/>
      <c r="G5905" s="120"/>
      <c r="H5905" s="120"/>
      <c r="I5905" s="121"/>
      <c r="J5905" s="121"/>
      <c r="K5905" s="117"/>
    </row>
    <row r="5906" ht="15.75" customHeight="1">
      <c r="A5906" s="122"/>
      <c r="B5906" s="133"/>
      <c r="C5906" s="120"/>
      <c r="D5906" s="120"/>
      <c r="E5906" s="120"/>
      <c r="F5906" s="120"/>
      <c r="G5906" s="120"/>
      <c r="H5906" s="120"/>
      <c r="I5906" s="121"/>
      <c r="J5906" s="121"/>
      <c r="K5906" s="117"/>
    </row>
    <row r="5907" ht="15.75" customHeight="1">
      <c r="A5907" s="122"/>
      <c r="B5907" s="133"/>
      <c r="C5907" s="120"/>
      <c r="D5907" s="120"/>
      <c r="E5907" s="120"/>
      <c r="F5907" s="120"/>
      <c r="G5907" s="120"/>
      <c r="H5907" s="120"/>
      <c r="I5907" s="121"/>
      <c r="J5907" s="121"/>
      <c r="K5907" s="117"/>
    </row>
    <row r="5908" ht="15.75" customHeight="1">
      <c r="A5908" s="122"/>
      <c r="B5908" s="133"/>
      <c r="C5908" s="120"/>
      <c r="D5908" s="120"/>
      <c r="E5908" s="120"/>
      <c r="F5908" s="120"/>
      <c r="G5908" s="120"/>
      <c r="H5908" s="120"/>
      <c r="I5908" s="121"/>
      <c r="J5908" s="121"/>
      <c r="K5908" s="117"/>
    </row>
    <row r="5909" ht="15.75" customHeight="1">
      <c r="A5909" s="122"/>
      <c r="B5909" s="133"/>
      <c r="C5909" s="120"/>
      <c r="D5909" s="120"/>
      <c r="E5909" s="120"/>
      <c r="F5909" s="120"/>
      <c r="G5909" s="120"/>
      <c r="H5909" s="120"/>
      <c r="I5909" s="121"/>
      <c r="J5909" s="121"/>
      <c r="K5909" s="117"/>
    </row>
    <row r="5910" ht="15.75" customHeight="1">
      <c r="A5910" s="122"/>
      <c r="B5910" s="133"/>
      <c r="C5910" s="120"/>
      <c r="D5910" s="120"/>
      <c r="E5910" s="120"/>
      <c r="F5910" s="120"/>
      <c r="G5910" s="120"/>
      <c r="H5910" s="120"/>
      <c r="I5910" s="121"/>
      <c r="J5910" s="121"/>
      <c r="K5910" s="117"/>
    </row>
    <row r="5911" ht="15.75" customHeight="1">
      <c r="A5911" s="122"/>
      <c r="B5911" s="133"/>
      <c r="C5911" s="120"/>
      <c r="D5911" s="120"/>
      <c r="E5911" s="120"/>
      <c r="F5911" s="120"/>
      <c r="G5911" s="120"/>
      <c r="H5911" s="120"/>
      <c r="I5911" s="121"/>
      <c r="J5911" s="121"/>
      <c r="K5911" s="117"/>
    </row>
    <row r="5912" ht="15.75" customHeight="1">
      <c r="A5912" s="122"/>
      <c r="B5912" s="133"/>
      <c r="C5912" s="120"/>
      <c r="D5912" s="120"/>
      <c r="E5912" s="120"/>
      <c r="F5912" s="120"/>
      <c r="G5912" s="120"/>
      <c r="H5912" s="120"/>
      <c r="I5912" s="121"/>
      <c r="J5912" s="121"/>
      <c r="K5912" s="117"/>
    </row>
    <row r="5913" ht="15.75" customHeight="1">
      <c r="A5913" s="122"/>
      <c r="B5913" s="133"/>
      <c r="C5913" s="120"/>
      <c r="D5913" s="120"/>
      <c r="E5913" s="120"/>
      <c r="F5913" s="120"/>
      <c r="G5913" s="120"/>
      <c r="H5913" s="120"/>
      <c r="I5913" s="121"/>
      <c r="J5913" s="121"/>
      <c r="K5913" s="117"/>
    </row>
    <row r="5914" ht="15.75" customHeight="1">
      <c r="A5914" s="122"/>
      <c r="B5914" s="133"/>
      <c r="C5914" s="120"/>
      <c r="D5914" s="120"/>
      <c r="E5914" s="120"/>
      <c r="F5914" s="120"/>
      <c r="G5914" s="120"/>
      <c r="H5914" s="120"/>
      <c r="I5914" s="121"/>
      <c r="J5914" s="121"/>
      <c r="K5914" s="117"/>
    </row>
    <row r="5915" ht="15.75" customHeight="1">
      <c r="A5915" s="122"/>
      <c r="B5915" s="133"/>
      <c r="C5915" s="120"/>
      <c r="D5915" s="120"/>
      <c r="E5915" s="120"/>
      <c r="F5915" s="120"/>
      <c r="G5915" s="120"/>
      <c r="H5915" s="120"/>
      <c r="I5915" s="121"/>
      <c r="J5915" s="121"/>
      <c r="K5915" s="117"/>
    </row>
    <row r="5916" ht="15.75" customHeight="1">
      <c r="A5916" s="122"/>
      <c r="B5916" s="133"/>
      <c r="C5916" s="120"/>
      <c r="D5916" s="120"/>
      <c r="E5916" s="120"/>
      <c r="F5916" s="120"/>
      <c r="G5916" s="120"/>
      <c r="H5916" s="120"/>
      <c r="I5916" s="121"/>
      <c r="J5916" s="121"/>
      <c r="K5916" s="117"/>
    </row>
    <row r="5917" ht="15.75" customHeight="1">
      <c r="A5917" s="122"/>
      <c r="B5917" s="133"/>
      <c r="C5917" s="120"/>
      <c r="D5917" s="120"/>
      <c r="E5917" s="120"/>
      <c r="F5917" s="120"/>
      <c r="G5917" s="120"/>
      <c r="H5917" s="120"/>
      <c r="I5917" s="121"/>
      <c r="J5917" s="121"/>
      <c r="K5917" s="117"/>
    </row>
    <row r="5918" ht="15.75" customHeight="1">
      <c r="A5918" s="122"/>
      <c r="B5918" s="133"/>
      <c r="C5918" s="120"/>
      <c r="D5918" s="120"/>
      <c r="E5918" s="120"/>
      <c r="F5918" s="120"/>
      <c r="G5918" s="120"/>
      <c r="H5918" s="120"/>
      <c r="I5918" s="121"/>
      <c r="J5918" s="121"/>
      <c r="K5918" s="117"/>
    </row>
    <row r="5919" ht="15.75" customHeight="1">
      <c r="A5919" s="122"/>
      <c r="B5919" s="133"/>
      <c r="C5919" s="120"/>
      <c r="D5919" s="120"/>
      <c r="E5919" s="120"/>
      <c r="F5919" s="120"/>
      <c r="G5919" s="120"/>
      <c r="H5919" s="120"/>
      <c r="I5919" s="121"/>
      <c r="J5919" s="121"/>
      <c r="K5919" s="117"/>
    </row>
    <row r="5920" ht="15.75" customHeight="1">
      <c r="A5920" s="122"/>
      <c r="B5920" s="133"/>
      <c r="C5920" s="120"/>
      <c r="D5920" s="120"/>
      <c r="E5920" s="120"/>
      <c r="F5920" s="120"/>
      <c r="G5920" s="120"/>
      <c r="H5920" s="120"/>
      <c r="I5920" s="121"/>
      <c r="J5920" s="121"/>
      <c r="K5920" s="117"/>
    </row>
    <row r="5921" ht="15.75" customHeight="1">
      <c r="A5921" s="122"/>
      <c r="B5921" s="133"/>
      <c r="C5921" s="120"/>
      <c r="D5921" s="120"/>
      <c r="E5921" s="120"/>
      <c r="F5921" s="120"/>
      <c r="G5921" s="120"/>
      <c r="H5921" s="120"/>
      <c r="I5921" s="121"/>
      <c r="J5921" s="121"/>
      <c r="K5921" s="117"/>
    </row>
    <row r="5922" ht="15.75" customHeight="1">
      <c r="A5922" s="122"/>
      <c r="B5922" s="133"/>
      <c r="C5922" s="120"/>
      <c r="D5922" s="120"/>
      <c r="E5922" s="120"/>
      <c r="F5922" s="120"/>
      <c r="G5922" s="120"/>
      <c r="H5922" s="120"/>
      <c r="I5922" s="121"/>
      <c r="J5922" s="121"/>
      <c r="K5922" s="117"/>
    </row>
    <row r="5923" ht="15.75" customHeight="1">
      <c r="A5923" s="122"/>
      <c r="B5923" s="133"/>
      <c r="C5923" s="120"/>
      <c r="D5923" s="120"/>
      <c r="E5923" s="120"/>
      <c r="F5923" s="120"/>
      <c r="G5923" s="120"/>
      <c r="H5923" s="120"/>
      <c r="I5923" s="121"/>
      <c r="J5923" s="121"/>
      <c r="K5923" s="117"/>
    </row>
    <row r="5924" ht="15.75" customHeight="1">
      <c r="A5924" s="122"/>
      <c r="B5924" s="133"/>
      <c r="C5924" s="120"/>
      <c r="D5924" s="120"/>
      <c r="E5924" s="120"/>
      <c r="F5924" s="120"/>
      <c r="G5924" s="120"/>
      <c r="H5924" s="120"/>
      <c r="I5924" s="121"/>
      <c r="J5924" s="121"/>
      <c r="K5924" s="117"/>
    </row>
    <row r="5925" ht="15.75" customHeight="1">
      <c r="A5925" s="122"/>
      <c r="B5925" s="133"/>
      <c r="C5925" s="120"/>
      <c r="D5925" s="120"/>
      <c r="E5925" s="120"/>
      <c r="F5925" s="120"/>
      <c r="G5925" s="120"/>
      <c r="H5925" s="120"/>
      <c r="I5925" s="121"/>
      <c r="J5925" s="121"/>
      <c r="K5925" s="117"/>
    </row>
    <row r="5926" ht="15.75" customHeight="1">
      <c r="A5926" s="122"/>
      <c r="B5926" s="133"/>
      <c r="C5926" s="120"/>
      <c r="D5926" s="120"/>
      <c r="E5926" s="120"/>
      <c r="F5926" s="120"/>
      <c r="G5926" s="120"/>
      <c r="H5926" s="120"/>
      <c r="I5926" s="121"/>
      <c r="J5926" s="121"/>
      <c r="K5926" s="117"/>
    </row>
    <row r="5927" ht="15.75" customHeight="1">
      <c r="A5927" s="122"/>
      <c r="B5927" s="133"/>
      <c r="C5927" s="120"/>
      <c r="D5927" s="120"/>
      <c r="E5927" s="120"/>
      <c r="F5927" s="120"/>
      <c r="G5927" s="120"/>
      <c r="H5927" s="120"/>
      <c r="I5927" s="121"/>
      <c r="J5927" s="121"/>
      <c r="K5927" s="117"/>
    </row>
    <row r="5928" ht="15.75" customHeight="1">
      <c r="A5928" s="122"/>
      <c r="B5928" s="133"/>
      <c r="C5928" s="120"/>
      <c r="D5928" s="120"/>
      <c r="E5928" s="120"/>
      <c r="F5928" s="120"/>
      <c r="G5928" s="120"/>
      <c r="H5928" s="120"/>
      <c r="I5928" s="121"/>
      <c r="J5928" s="121"/>
      <c r="K5928" s="117"/>
    </row>
    <row r="5929" ht="15.75" customHeight="1">
      <c r="A5929" s="122"/>
      <c r="B5929" s="133"/>
      <c r="C5929" s="120"/>
      <c r="D5929" s="120"/>
      <c r="E5929" s="120"/>
      <c r="F5929" s="120"/>
      <c r="G5929" s="120"/>
      <c r="H5929" s="120"/>
      <c r="I5929" s="121"/>
      <c r="J5929" s="121"/>
      <c r="K5929" s="117"/>
    </row>
    <row r="5930" ht="15.75" customHeight="1">
      <c r="A5930" s="122"/>
      <c r="B5930" s="133"/>
      <c r="C5930" s="120"/>
      <c r="D5930" s="120"/>
      <c r="E5930" s="120"/>
      <c r="F5930" s="120"/>
      <c r="G5930" s="120"/>
      <c r="H5930" s="120"/>
      <c r="I5930" s="121"/>
      <c r="J5930" s="121"/>
      <c r="K5930" s="117"/>
    </row>
    <row r="5931" ht="15.75" customHeight="1">
      <c r="A5931" s="122"/>
      <c r="B5931" s="133"/>
      <c r="C5931" s="120"/>
      <c r="D5931" s="120"/>
      <c r="E5931" s="120"/>
      <c r="F5931" s="120"/>
      <c r="G5931" s="120"/>
      <c r="H5931" s="120"/>
      <c r="I5931" s="121"/>
      <c r="J5931" s="121"/>
      <c r="K5931" s="117"/>
    </row>
    <row r="5932" ht="15.75" customHeight="1">
      <c r="A5932" s="122"/>
      <c r="B5932" s="133"/>
      <c r="C5932" s="120"/>
      <c r="D5932" s="120"/>
      <c r="E5932" s="120"/>
      <c r="F5932" s="120"/>
      <c r="G5932" s="120"/>
      <c r="H5932" s="120"/>
      <c r="I5932" s="121"/>
      <c r="J5932" s="121"/>
      <c r="K5932" s="117"/>
    </row>
    <row r="5933" ht="15.75" customHeight="1">
      <c r="A5933" s="122"/>
      <c r="B5933" s="133"/>
      <c r="C5933" s="120"/>
      <c r="D5933" s="120"/>
      <c r="E5933" s="120"/>
      <c r="F5933" s="120"/>
      <c r="G5933" s="120"/>
      <c r="H5933" s="120"/>
      <c r="I5933" s="121"/>
      <c r="J5933" s="121"/>
      <c r="K5933" s="117"/>
    </row>
    <row r="5934" ht="15.75" customHeight="1">
      <c r="A5934" s="122"/>
      <c r="B5934" s="133"/>
      <c r="C5934" s="120"/>
      <c r="D5934" s="120"/>
      <c r="E5934" s="120"/>
      <c r="F5934" s="120"/>
      <c r="G5934" s="120"/>
      <c r="H5934" s="120"/>
      <c r="I5934" s="121"/>
      <c r="J5934" s="121"/>
      <c r="K5934" s="117"/>
    </row>
    <row r="5935" ht="15.75" customHeight="1">
      <c r="A5935" s="122"/>
      <c r="B5935" s="133"/>
      <c r="C5935" s="120"/>
      <c r="D5935" s="120"/>
      <c r="E5935" s="120"/>
      <c r="F5935" s="120"/>
      <c r="G5935" s="120"/>
      <c r="H5935" s="120"/>
      <c r="I5935" s="121"/>
      <c r="J5935" s="121"/>
      <c r="K5935" s="117"/>
    </row>
    <row r="5936" ht="15.75" customHeight="1">
      <c r="A5936" s="122"/>
      <c r="B5936" s="133"/>
      <c r="C5936" s="120"/>
      <c r="D5936" s="120"/>
      <c r="E5936" s="120"/>
      <c r="F5936" s="120"/>
      <c r="G5936" s="120"/>
      <c r="H5936" s="120"/>
      <c r="I5936" s="121"/>
      <c r="J5936" s="121"/>
      <c r="K5936" s="117"/>
    </row>
    <row r="5937" ht="15.75" customHeight="1">
      <c r="A5937" s="122"/>
      <c r="B5937" s="133"/>
      <c r="C5937" s="120"/>
      <c r="D5937" s="120"/>
      <c r="E5937" s="120"/>
      <c r="F5937" s="120"/>
      <c r="G5937" s="120"/>
      <c r="H5937" s="120"/>
      <c r="I5937" s="121"/>
      <c r="J5937" s="121"/>
      <c r="K5937" s="117"/>
    </row>
    <row r="5938" ht="15.75" customHeight="1">
      <c r="A5938" s="122"/>
      <c r="B5938" s="133"/>
      <c r="C5938" s="120"/>
      <c r="D5938" s="120"/>
      <c r="E5938" s="120"/>
      <c r="F5938" s="120"/>
      <c r="G5938" s="120"/>
      <c r="H5938" s="120"/>
      <c r="I5938" s="121"/>
      <c r="J5938" s="121"/>
      <c r="K5938" s="117"/>
    </row>
    <row r="5939" ht="15.75" customHeight="1">
      <c r="A5939" s="122"/>
      <c r="B5939" s="133"/>
      <c r="C5939" s="120"/>
      <c r="D5939" s="120"/>
      <c r="E5939" s="120"/>
      <c r="F5939" s="120"/>
      <c r="G5939" s="120"/>
      <c r="H5939" s="120"/>
      <c r="I5939" s="121"/>
      <c r="J5939" s="121"/>
      <c r="K5939" s="117"/>
    </row>
    <row r="5940" ht="15.75" customHeight="1">
      <c r="A5940" s="122"/>
      <c r="B5940" s="133"/>
      <c r="C5940" s="120"/>
      <c r="D5940" s="120"/>
      <c r="E5940" s="120"/>
      <c r="F5940" s="120"/>
      <c r="G5940" s="120"/>
      <c r="H5940" s="120"/>
      <c r="I5940" s="121"/>
      <c r="J5940" s="121"/>
      <c r="K5940" s="117"/>
    </row>
    <row r="5941" ht="15.75" customHeight="1">
      <c r="A5941" s="122"/>
      <c r="B5941" s="133"/>
      <c r="C5941" s="120"/>
      <c r="D5941" s="120"/>
      <c r="E5941" s="120"/>
      <c r="F5941" s="120"/>
      <c r="G5941" s="120"/>
      <c r="H5941" s="120"/>
      <c r="I5941" s="121"/>
      <c r="J5941" s="121"/>
      <c r="K5941" s="117"/>
    </row>
    <row r="5942" ht="15.75" customHeight="1">
      <c r="A5942" s="122"/>
      <c r="B5942" s="133"/>
      <c r="C5942" s="120"/>
      <c r="D5942" s="120"/>
      <c r="E5942" s="120"/>
      <c r="F5942" s="120"/>
      <c r="G5942" s="120"/>
      <c r="H5942" s="120"/>
      <c r="I5942" s="121"/>
      <c r="J5942" s="121"/>
      <c r="K5942" s="117"/>
    </row>
    <row r="5943" ht="15.75" customHeight="1">
      <c r="A5943" s="122"/>
      <c r="B5943" s="133"/>
      <c r="C5943" s="120"/>
      <c r="D5943" s="120"/>
      <c r="E5943" s="120"/>
      <c r="F5943" s="120"/>
      <c r="G5943" s="120"/>
      <c r="H5943" s="120"/>
      <c r="I5943" s="121"/>
      <c r="J5943" s="121"/>
      <c r="K5943" s="117"/>
    </row>
    <row r="5944" ht="15.75" customHeight="1">
      <c r="A5944" s="122"/>
      <c r="B5944" s="133"/>
      <c r="C5944" s="120"/>
      <c r="D5944" s="120"/>
      <c r="E5944" s="120"/>
      <c r="F5944" s="120"/>
      <c r="G5944" s="120"/>
      <c r="H5944" s="120"/>
      <c r="I5944" s="121"/>
      <c r="J5944" s="121"/>
      <c r="K5944" s="117"/>
    </row>
    <row r="5945" ht="15.75" customHeight="1">
      <c r="A5945" s="122"/>
      <c r="B5945" s="133"/>
      <c r="C5945" s="120"/>
      <c r="D5945" s="120"/>
      <c r="E5945" s="120"/>
      <c r="F5945" s="120"/>
      <c r="G5945" s="120"/>
      <c r="H5945" s="120"/>
      <c r="I5945" s="121"/>
      <c r="J5945" s="121"/>
      <c r="K5945" s="117"/>
    </row>
    <row r="5946" ht="15.75" customHeight="1">
      <c r="A5946" s="122"/>
      <c r="B5946" s="133"/>
      <c r="C5946" s="120"/>
      <c r="D5946" s="120"/>
      <c r="E5946" s="120"/>
      <c r="F5946" s="120"/>
      <c r="G5946" s="120"/>
      <c r="H5946" s="120"/>
      <c r="I5946" s="121"/>
      <c r="J5946" s="121"/>
      <c r="K5946" s="117"/>
    </row>
    <row r="5947" ht="15.75" customHeight="1">
      <c r="A5947" s="122"/>
      <c r="B5947" s="133"/>
      <c r="C5947" s="120"/>
      <c r="D5947" s="120"/>
      <c r="E5947" s="120"/>
      <c r="F5947" s="120"/>
      <c r="G5947" s="120"/>
      <c r="H5947" s="120"/>
      <c r="I5947" s="121"/>
      <c r="J5947" s="121"/>
      <c r="K5947" s="117"/>
    </row>
    <row r="5948" ht="15.75" customHeight="1">
      <c r="A5948" s="122"/>
      <c r="B5948" s="133"/>
      <c r="C5948" s="120"/>
      <c r="D5948" s="120"/>
      <c r="E5948" s="120"/>
      <c r="F5948" s="120"/>
      <c r="G5948" s="120"/>
      <c r="H5948" s="120"/>
      <c r="I5948" s="121"/>
      <c r="J5948" s="121"/>
      <c r="K5948" s="117"/>
    </row>
    <row r="5949" ht="15.75" customHeight="1">
      <c r="A5949" s="122"/>
      <c r="B5949" s="133"/>
      <c r="C5949" s="120"/>
      <c r="D5949" s="120"/>
      <c r="E5949" s="120"/>
      <c r="F5949" s="120"/>
      <c r="G5949" s="120"/>
      <c r="H5949" s="120"/>
      <c r="I5949" s="121"/>
      <c r="J5949" s="121"/>
      <c r="K5949" s="117"/>
    </row>
    <row r="5950" ht="15.75" customHeight="1">
      <c r="A5950" s="122"/>
      <c r="B5950" s="133"/>
      <c r="C5950" s="120"/>
      <c r="D5950" s="120"/>
      <c r="E5950" s="120"/>
      <c r="F5950" s="120"/>
      <c r="G5950" s="120"/>
      <c r="H5950" s="120"/>
      <c r="I5950" s="121"/>
      <c r="J5950" s="121"/>
      <c r="K5950" s="117"/>
    </row>
    <row r="5951" ht="15.75" customHeight="1">
      <c r="A5951" s="122"/>
      <c r="B5951" s="133"/>
      <c r="C5951" s="120"/>
      <c r="D5951" s="120"/>
      <c r="E5951" s="120"/>
      <c r="F5951" s="120"/>
      <c r="G5951" s="120"/>
      <c r="H5951" s="120"/>
      <c r="I5951" s="121"/>
      <c r="J5951" s="121"/>
      <c r="K5951" s="117"/>
    </row>
    <row r="5952" ht="15.75" customHeight="1">
      <c r="A5952" s="122"/>
      <c r="B5952" s="133"/>
      <c r="C5952" s="120"/>
      <c r="D5952" s="120"/>
      <c r="E5952" s="120"/>
      <c r="F5952" s="120"/>
      <c r="G5952" s="120"/>
      <c r="H5952" s="120"/>
      <c r="I5952" s="121"/>
      <c r="J5952" s="121"/>
      <c r="K5952" s="117"/>
    </row>
    <row r="5953" ht="15.75" customHeight="1">
      <c r="A5953" s="122"/>
      <c r="B5953" s="133"/>
      <c r="C5953" s="120"/>
      <c r="D5953" s="120"/>
      <c r="E5953" s="120"/>
      <c r="F5953" s="120"/>
      <c r="G5953" s="120"/>
      <c r="H5953" s="120"/>
      <c r="I5953" s="121"/>
      <c r="J5953" s="121"/>
      <c r="K5953" s="117"/>
    </row>
    <row r="5954" ht="15.75" customHeight="1">
      <c r="A5954" s="122"/>
      <c r="B5954" s="133"/>
      <c r="C5954" s="120"/>
      <c r="D5954" s="120"/>
      <c r="E5954" s="120"/>
      <c r="F5954" s="120"/>
      <c r="G5954" s="120"/>
      <c r="H5954" s="120"/>
      <c r="I5954" s="121"/>
      <c r="J5954" s="121"/>
      <c r="K5954" s="117"/>
    </row>
    <row r="5955" ht="15.75" customHeight="1">
      <c r="A5955" s="122"/>
      <c r="B5955" s="133"/>
      <c r="C5955" s="120"/>
      <c r="D5955" s="120"/>
      <c r="E5955" s="120"/>
      <c r="F5955" s="120"/>
      <c r="G5955" s="120"/>
      <c r="H5955" s="120"/>
      <c r="I5955" s="121"/>
      <c r="J5955" s="121"/>
      <c r="K5955" s="117"/>
    </row>
    <row r="5956" ht="15.75" customHeight="1">
      <c r="A5956" s="122"/>
      <c r="B5956" s="133"/>
      <c r="C5956" s="120"/>
      <c r="D5956" s="120"/>
      <c r="E5956" s="120"/>
      <c r="F5956" s="120"/>
      <c r="G5956" s="120"/>
      <c r="H5956" s="120"/>
      <c r="I5956" s="121"/>
      <c r="J5956" s="121"/>
      <c r="K5956" s="117"/>
    </row>
    <row r="5957" ht="15.75" customHeight="1">
      <c r="A5957" s="122"/>
      <c r="B5957" s="133"/>
      <c r="C5957" s="120"/>
      <c r="D5957" s="120"/>
      <c r="E5957" s="120"/>
      <c r="F5957" s="120"/>
      <c r="G5957" s="120"/>
      <c r="H5957" s="120"/>
      <c r="I5957" s="121"/>
      <c r="J5957" s="121"/>
      <c r="K5957" s="117"/>
    </row>
    <row r="5958" ht="15.75" customHeight="1">
      <c r="A5958" s="122"/>
      <c r="B5958" s="133"/>
      <c r="C5958" s="120"/>
      <c r="D5958" s="120"/>
      <c r="E5958" s="120"/>
      <c r="F5958" s="120"/>
      <c r="G5958" s="120"/>
      <c r="H5958" s="120"/>
      <c r="I5958" s="121"/>
      <c r="J5958" s="121"/>
      <c r="K5958" s="117"/>
    </row>
    <row r="5959" ht="15.75" customHeight="1">
      <c r="A5959" s="122"/>
      <c r="B5959" s="133"/>
      <c r="C5959" s="120"/>
      <c r="D5959" s="120"/>
      <c r="E5959" s="120"/>
      <c r="F5959" s="120"/>
      <c r="G5959" s="120"/>
      <c r="H5959" s="120"/>
      <c r="I5959" s="121"/>
      <c r="J5959" s="121"/>
      <c r="K5959" s="117"/>
    </row>
    <row r="5960" ht="15.75" customHeight="1">
      <c r="A5960" s="122"/>
      <c r="B5960" s="133"/>
      <c r="C5960" s="120"/>
      <c r="D5960" s="120"/>
      <c r="E5960" s="120"/>
      <c r="F5960" s="120"/>
      <c r="G5960" s="120"/>
      <c r="H5960" s="120"/>
      <c r="I5960" s="121"/>
      <c r="J5960" s="121"/>
      <c r="K5960" s="117"/>
    </row>
    <row r="5961" ht="15.75" customHeight="1">
      <c r="A5961" s="122"/>
      <c r="B5961" s="133"/>
      <c r="C5961" s="120"/>
      <c r="D5961" s="120"/>
      <c r="E5961" s="120"/>
      <c r="F5961" s="120"/>
      <c r="G5961" s="120"/>
      <c r="H5961" s="120"/>
      <c r="I5961" s="121"/>
      <c r="J5961" s="121"/>
      <c r="K5961" s="117"/>
    </row>
    <row r="5962" ht="15.75" customHeight="1">
      <c r="A5962" s="122"/>
      <c r="B5962" s="133"/>
      <c r="C5962" s="120"/>
      <c r="D5962" s="120"/>
      <c r="E5962" s="120"/>
      <c r="F5962" s="120"/>
      <c r="G5962" s="120"/>
      <c r="H5962" s="120"/>
      <c r="I5962" s="121"/>
      <c r="J5962" s="121"/>
      <c r="K5962" s="117"/>
    </row>
    <row r="5963" ht="15.75" customHeight="1">
      <c r="A5963" s="122"/>
      <c r="B5963" s="133"/>
      <c r="C5963" s="120"/>
      <c r="D5963" s="120"/>
      <c r="E5963" s="120"/>
      <c r="F5963" s="120"/>
      <c r="G5963" s="120"/>
      <c r="H5963" s="120"/>
      <c r="I5963" s="121"/>
      <c r="J5963" s="121"/>
      <c r="K5963" s="117"/>
    </row>
    <row r="5964" ht="15.75" customHeight="1">
      <c r="A5964" s="122"/>
      <c r="B5964" s="133"/>
      <c r="C5964" s="120"/>
      <c r="D5964" s="120"/>
      <c r="E5964" s="120"/>
      <c r="F5964" s="120"/>
      <c r="G5964" s="120"/>
      <c r="H5964" s="120"/>
      <c r="I5964" s="121"/>
      <c r="J5964" s="121"/>
      <c r="K5964" s="117"/>
    </row>
    <row r="5965" ht="15.75" customHeight="1">
      <c r="A5965" s="122"/>
      <c r="B5965" s="133"/>
      <c r="C5965" s="120"/>
      <c r="D5965" s="120"/>
      <c r="E5965" s="120"/>
      <c r="F5965" s="120"/>
      <c r="G5965" s="120"/>
      <c r="H5965" s="120"/>
      <c r="I5965" s="121"/>
      <c r="J5965" s="121"/>
      <c r="K5965" s="117"/>
    </row>
    <row r="5966" ht="15.75" customHeight="1">
      <c r="A5966" s="122"/>
      <c r="B5966" s="133"/>
      <c r="C5966" s="120"/>
      <c r="D5966" s="120"/>
      <c r="E5966" s="120"/>
      <c r="F5966" s="120"/>
      <c r="G5966" s="120"/>
      <c r="H5966" s="120"/>
      <c r="I5966" s="121"/>
      <c r="J5966" s="121"/>
      <c r="K5966" s="117"/>
    </row>
    <row r="5967" ht="15.75" customHeight="1">
      <c r="A5967" s="122"/>
      <c r="B5967" s="133"/>
      <c r="C5967" s="120"/>
      <c r="D5967" s="120"/>
      <c r="E5967" s="120"/>
      <c r="F5967" s="120"/>
      <c r="G5967" s="120"/>
      <c r="H5967" s="120"/>
      <c r="I5967" s="121"/>
      <c r="J5967" s="121"/>
      <c r="K5967" s="117"/>
    </row>
    <row r="5968" ht="15.75" customHeight="1">
      <c r="A5968" s="122"/>
      <c r="B5968" s="133"/>
      <c r="C5968" s="120"/>
      <c r="D5968" s="120"/>
      <c r="E5968" s="120"/>
      <c r="F5968" s="120"/>
      <c r="G5968" s="120"/>
      <c r="H5968" s="120"/>
      <c r="I5968" s="121"/>
      <c r="J5968" s="121"/>
      <c r="K5968" s="117"/>
    </row>
    <row r="5969" ht="15.75" customHeight="1">
      <c r="A5969" s="122"/>
      <c r="B5969" s="133"/>
      <c r="C5969" s="120"/>
      <c r="D5969" s="120"/>
      <c r="E5969" s="120"/>
      <c r="F5969" s="120"/>
      <c r="G5969" s="120"/>
      <c r="H5969" s="120"/>
      <c r="I5969" s="121"/>
      <c r="J5969" s="121"/>
      <c r="K5969" s="117"/>
    </row>
    <row r="5970" ht="15.75" customHeight="1">
      <c r="A5970" s="122"/>
      <c r="B5970" s="133"/>
      <c r="C5970" s="120"/>
      <c r="D5970" s="120"/>
      <c r="E5970" s="120"/>
      <c r="F5970" s="120"/>
      <c r="G5970" s="120"/>
      <c r="H5970" s="120"/>
      <c r="I5970" s="121"/>
      <c r="J5970" s="121"/>
      <c r="K5970" s="117"/>
    </row>
    <row r="5971" ht="15.75" customHeight="1">
      <c r="A5971" s="122"/>
      <c r="B5971" s="133"/>
      <c r="C5971" s="120"/>
      <c r="D5971" s="120"/>
      <c r="E5971" s="120"/>
      <c r="F5971" s="120"/>
      <c r="G5971" s="120"/>
      <c r="H5971" s="120"/>
      <c r="I5971" s="121"/>
      <c r="J5971" s="121"/>
      <c r="K5971" s="117"/>
    </row>
    <row r="5972" ht="15.75" customHeight="1">
      <c r="A5972" s="122"/>
      <c r="B5972" s="133"/>
      <c r="C5972" s="120"/>
      <c r="D5972" s="120"/>
      <c r="E5972" s="120"/>
      <c r="F5972" s="120"/>
      <c r="G5972" s="120"/>
      <c r="H5972" s="120"/>
      <c r="I5972" s="121"/>
      <c r="J5972" s="121"/>
      <c r="K5972" s="117"/>
    </row>
    <row r="5973" ht="15.75" customHeight="1">
      <c r="A5973" s="122"/>
      <c r="B5973" s="133"/>
      <c r="C5973" s="120"/>
      <c r="D5973" s="120"/>
      <c r="E5973" s="120"/>
      <c r="F5973" s="120"/>
      <c r="G5973" s="120"/>
      <c r="H5973" s="120"/>
      <c r="I5973" s="121"/>
      <c r="J5973" s="121"/>
      <c r="K5973" s="117"/>
    </row>
    <row r="5974" ht="15.75" customHeight="1">
      <c r="A5974" s="122"/>
      <c r="B5974" s="133"/>
      <c r="C5974" s="120"/>
      <c r="D5974" s="120"/>
      <c r="E5974" s="120"/>
      <c r="F5974" s="120"/>
      <c r="G5974" s="120"/>
      <c r="H5974" s="120"/>
      <c r="I5974" s="121"/>
      <c r="J5974" s="121"/>
      <c r="K5974" s="117"/>
    </row>
    <row r="5975" ht="15.75" customHeight="1">
      <c r="A5975" s="122"/>
      <c r="B5975" s="133"/>
      <c r="C5975" s="120"/>
      <c r="D5975" s="120"/>
      <c r="E5975" s="120"/>
      <c r="F5975" s="120"/>
      <c r="G5975" s="120"/>
      <c r="H5975" s="120"/>
      <c r="I5975" s="121"/>
      <c r="J5975" s="121"/>
      <c r="K5975" s="117"/>
    </row>
    <row r="5976" ht="15.75" customHeight="1">
      <c r="A5976" s="122"/>
      <c r="B5976" s="133"/>
      <c r="C5976" s="120"/>
      <c r="D5976" s="120"/>
      <c r="E5976" s="120"/>
      <c r="F5976" s="120"/>
      <c r="G5976" s="120"/>
      <c r="H5976" s="120"/>
      <c r="I5976" s="121"/>
      <c r="J5976" s="121"/>
      <c r="K5976" s="117"/>
    </row>
    <row r="5977" ht="15.75" customHeight="1">
      <c r="A5977" s="122"/>
      <c r="B5977" s="133"/>
      <c r="C5977" s="120"/>
      <c r="D5977" s="120"/>
      <c r="E5977" s="120"/>
      <c r="F5977" s="120"/>
      <c r="G5977" s="120"/>
      <c r="H5977" s="120"/>
      <c r="I5977" s="121"/>
      <c r="J5977" s="121"/>
      <c r="K5977" s="117"/>
    </row>
    <row r="5978" ht="15.75" customHeight="1">
      <c r="A5978" s="122"/>
      <c r="B5978" s="133"/>
      <c r="C5978" s="120"/>
      <c r="D5978" s="120"/>
      <c r="E5978" s="120"/>
      <c r="F5978" s="120"/>
      <c r="G5978" s="120"/>
      <c r="H5978" s="120"/>
      <c r="I5978" s="121"/>
      <c r="J5978" s="121"/>
      <c r="K5978" s="117"/>
    </row>
    <row r="5979" ht="15.75" customHeight="1">
      <c r="A5979" s="122"/>
      <c r="B5979" s="133"/>
      <c r="C5979" s="120"/>
      <c r="D5979" s="120"/>
      <c r="E5979" s="120"/>
      <c r="F5979" s="120"/>
      <c r="G5979" s="120"/>
      <c r="H5979" s="120"/>
      <c r="I5979" s="121"/>
      <c r="J5979" s="121"/>
      <c r="K5979" s="117"/>
    </row>
    <row r="5980" ht="15.75" customHeight="1">
      <c r="A5980" s="122"/>
      <c r="B5980" s="133"/>
      <c r="C5980" s="120"/>
      <c r="D5980" s="120"/>
      <c r="E5980" s="120"/>
      <c r="F5980" s="120"/>
      <c r="G5980" s="120"/>
      <c r="H5980" s="120"/>
      <c r="I5980" s="121"/>
      <c r="J5980" s="121"/>
      <c r="K5980" s="117"/>
    </row>
    <row r="5981" ht="15.75" customHeight="1">
      <c r="A5981" s="122"/>
      <c r="B5981" s="133"/>
      <c r="C5981" s="120"/>
      <c r="D5981" s="120"/>
      <c r="E5981" s="120"/>
      <c r="F5981" s="120"/>
      <c r="G5981" s="120"/>
      <c r="H5981" s="120"/>
      <c r="I5981" s="121"/>
      <c r="J5981" s="121"/>
      <c r="K5981" s="117"/>
    </row>
    <row r="5982" ht="15.75" customHeight="1">
      <c r="A5982" s="122"/>
      <c r="B5982" s="133"/>
      <c r="C5982" s="120"/>
      <c r="D5982" s="120"/>
      <c r="E5982" s="120"/>
      <c r="F5982" s="120"/>
      <c r="G5982" s="120"/>
      <c r="H5982" s="120"/>
      <c r="I5982" s="121"/>
      <c r="J5982" s="121"/>
      <c r="K5982" s="117"/>
    </row>
    <row r="5983" ht="15.75" customHeight="1">
      <c r="A5983" s="122"/>
      <c r="B5983" s="133"/>
      <c r="C5983" s="120"/>
      <c r="D5983" s="120"/>
      <c r="E5983" s="120"/>
      <c r="F5983" s="120"/>
      <c r="G5983" s="120"/>
      <c r="H5983" s="120"/>
      <c r="I5983" s="121"/>
      <c r="J5983" s="121"/>
      <c r="K5983" s="117"/>
    </row>
    <row r="5984" ht="15.75" customHeight="1">
      <c r="A5984" s="122"/>
      <c r="B5984" s="133"/>
      <c r="C5984" s="120"/>
      <c r="D5984" s="120"/>
      <c r="E5984" s="120"/>
      <c r="F5984" s="120"/>
      <c r="G5984" s="120"/>
      <c r="H5984" s="120"/>
      <c r="I5984" s="121"/>
      <c r="J5984" s="121"/>
      <c r="K5984" s="117"/>
    </row>
    <row r="5985" ht="15.75" customHeight="1">
      <c r="A5985" s="122"/>
      <c r="B5985" s="133"/>
      <c r="C5985" s="120"/>
      <c r="D5985" s="120"/>
      <c r="E5985" s="120"/>
      <c r="F5985" s="120"/>
      <c r="G5985" s="120"/>
      <c r="H5985" s="120"/>
      <c r="I5985" s="121"/>
      <c r="J5985" s="121"/>
      <c r="K5985" s="117"/>
    </row>
    <row r="5986" ht="15.75" customHeight="1">
      <c r="A5986" s="122"/>
      <c r="B5986" s="133"/>
      <c r="C5986" s="120"/>
      <c r="D5986" s="120"/>
      <c r="E5986" s="120"/>
      <c r="F5986" s="120"/>
      <c r="G5986" s="120"/>
      <c r="H5986" s="120"/>
      <c r="I5986" s="121"/>
      <c r="J5986" s="121"/>
      <c r="K5986" s="117"/>
    </row>
    <row r="5987" ht="15.75" customHeight="1">
      <c r="A5987" s="122"/>
      <c r="B5987" s="133"/>
      <c r="C5987" s="120"/>
      <c r="D5987" s="120"/>
      <c r="E5987" s="120"/>
      <c r="F5987" s="120"/>
      <c r="G5987" s="120"/>
      <c r="H5987" s="120"/>
      <c r="I5987" s="121"/>
      <c r="J5987" s="121"/>
      <c r="K5987" s="117"/>
    </row>
    <row r="5988" ht="15.75" customHeight="1">
      <c r="A5988" s="122"/>
      <c r="B5988" s="133"/>
      <c r="C5988" s="120"/>
      <c r="D5988" s="120"/>
      <c r="E5988" s="120"/>
      <c r="F5988" s="120"/>
      <c r="G5988" s="120"/>
      <c r="H5988" s="120"/>
      <c r="I5988" s="121"/>
      <c r="J5988" s="121"/>
      <c r="K5988" s="117"/>
    </row>
    <row r="5989" ht="15.75" customHeight="1">
      <c r="A5989" s="122"/>
      <c r="B5989" s="133"/>
      <c r="C5989" s="120"/>
      <c r="D5989" s="120"/>
      <c r="E5989" s="120"/>
      <c r="F5989" s="120"/>
      <c r="G5989" s="120"/>
      <c r="H5989" s="120"/>
      <c r="I5989" s="121"/>
      <c r="J5989" s="121"/>
      <c r="K5989" s="117"/>
    </row>
    <row r="5990" ht="15.75" customHeight="1">
      <c r="A5990" s="122"/>
      <c r="B5990" s="133"/>
      <c r="C5990" s="120"/>
      <c r="D5990" s="120"/>
      <c r="E5990" s="120"/>
      <c r="F5990" s="120"/>
      <c r="G5990" s="120"/>
      <c r="H5990" s="120"/>
      <c r="I5990" s="121"/>
      <c r="J5990" s="121"/>
      <c r="K5990" s="117"/>
    </row>
    <row r="5991" ht="15.75" customHeight="1">
      <c r="A5991" s="122"/>
      <c r="B5991" s="133"/>
      <c r="C5991" s="120"/>
      <c r="D5991" s="120"/>
      <c r="E5991" s="120"/>
      <c r="F5991" s="120"/>
      <c r="G5991" s="120"/>
      <c r="H5991" s="120"/>
      <c r="I5991" s="121"/>
      <c r="J5991" s="121"/>
      <c r="K5991" s="117"/>
    </row>
    <row r="5992" ht="15.75" customHeight="1">
      <c r="A5992" s="122"/>
      <c r="B5992" s="133"/>
      <c r="C5992" s="120"/>
      <c r="D5992" s="120"/>
      <c r="E5992" s="120"/>
      <c r="F5992" s="120"/>
      <c r="G5992" s="120"/>
      <c r="H5992" s="120"/>
      <c r="I5992" s="121"/>
      <c r="J5992" s="121"/>
      <c r="K5992" s="117"/>
    </row>
    <row r="5993" ht="15.75" customHeight="1">
      <c r="A5993" s="122"/>
      <c r="B5993" s="133"/>
      <c r="C5993" s="120"/>
      <c r="D5993" s="120"/>
      <c r="E5993" s="120"/>
      <c r="F5993" s="120"/>
      <c r="G5993" s="120"/>
      <c r="H5993" s="120"/>
      <c r="I5993" s="121"/>
      <c r="J5993" s="121"/>
      <c r="K5993" s="117"/>
    </row>
    <row r="5994" ht="15.75" customHeight="1">
      <c r="A5994" s="122"/>
      <c r="B5994" s="133"/>
      <c r="C5994" s="120"/>
      <c r="D5994" s="120"/>
      <c r="E5994" s="120"/>
      <c r="F5994" s="120"/>
      <c r="G5994" s="120"/>
      <c r="H5994" s="120"/>
      <c r="I5994" s="121"/>
      <c r="J5994" s="121"/>
      <c r="K5994" s="117"/>
    </row>
    <row r="5995" ht="15.75" customHeight="1">
      <c r="A5995" s="122"/>
      <c r="B5995" s="133"/>
      <c r="C5995" s="120"/>
      <c r="D5995" s="120"/>
      <c r="E5995" s="120"/>
      <c r="F5995" s="120"/>
      <c r="G5995" s="120"/>
      <c r="H5995" s="120"/>
      <c r="I5995" s="121"/>
      <c r="J5995" s="121"/>
      <c r="K5995" s="117"/>
    </row>
    <row r="5996" ht="15.75" customHeight="1">
      <c r="A5996" s="122"/>
      <c r="B5996" s="133"/>
      <c r="C5996" s="120"/>
      <c r="D5996" s="120"/>
      <c r="E5996" s="120"/>
      <c r="F5996" s="120"/>
      <c r="G5996" s="120"/>
      <c r="H5996" s="120"/>
      <c r="I5996" s="121"/>
      <c r="J5996" s="121"/>
      <c r="K5996" s="117"/>
    </row>
    <row r="5997" ht="15.75" customHeight="1">
      <c r="A5997" s="122"/>
      <c r="B5997" s="133"/>
      <c r="C5997" s="120"/>
      <c r="D5997" s="120"/>
      <c r="E5997" s="120"/>
      <c r="F5997" s="120"/>
      <c r="G5997" s="120"/>
      <c r="H5997" s="120"/>
      <c r="I5997" s="121"/>
      <c r="J5997" s="121"/>
      <c r="K5997" s="117"/>
    </row>
    <row r="5998" ht="15.75" customHeight="1">
      <c r="A5998" s="122"/>
      <c r="B5998" s="133"/>
      <c r="C5998" s="120"/>
      <c r="D5998" s="120"/>
      <c r="E5998" s="120"/>
      <c r="F5998" s="120"/>
      <c r="G5998" s="120"/>
      <c r="H5998" s="120"/>
      <c r="I5998" s="121"/>
      <c r="J5998" s="121"/>
      <c r="K5998" s="117"/>
    </row>
    <row r="5999" ht="15.75" customHeight="1">
      <c r="A5999" s="122"/>
      <c r="B5999" s="133"/>
      <c r="C5999" s="120"/>
      <c r="D5999" s="120"/>
      <c r="E5999" s="120"/>
      <c r="F5999" s="120"/>
      <c r="G5999" s="120"/>
      <c r="H5999" s="120"/>
      <c r="I5999" s="121"/>
      <c r="J5999" s="121"/>
      <c r="K5999" s="117"/>
    </row>
    <row r="6000" ht="15.75" customHeight="1">
      <c r="A6000" s="122"/>
      <c r="B6000" s="133"/>
      <c r="C6000" s="120"/>
      <c r="D6000" s="120"/>
      <c r="E6000" s="120"/>
      <c r="F6000" s="120"/>
      <c r="G6000" s="120"/>
      <c r="H6000" s="120"/>
      <c r="I6000" s="121"/>
      <c r="J6000" s="121"/>
      <c r="K6000" s="117"/>
    </row>
    <row r="6001" ht="15.75" customHeight="1">
      <c r="A6001" s="122"/>
      <c r="B6001" s="133"/>
      <c r="C6001" s="120"/>
      <c r="D6001" s="120"/>
      <c r="E6001" s="120"/>
      <c r="F6001" s="120"/>
      <c r="G6001" s="120"/>
      <c r="H6001" s="120"/>
      <c r="I6001" s="121"/>
      <c r="J6001" s="121"/>
      <c r="K6001" s="117"/>
    </row>
    <row r="6002" ht="15.75" customHeight="1">
      <c r="A6002" s="122"/>
      <c r="B6002" s="133"/>
      <c r="C6002" s="120"/>
      <c r="D6002" s="120"/>
      <c r="E6002" s="120"/>
      <c r="F6002" s="120"/>
      <c r="G6002" s="120"/>
      <c r="H6002" s="120"/>
      <c r="I6002" s="121"/>
      <c r="J6002" s="121"/>
      <c r="K6002" s="117"/>
    </row>
    <row r="6003" ht="15.75" customHeight="1">
      <c r="A6003" s="122"/>
      <c r="B6003" s="133"/>
      <c r="C6003" s="120"/>
      <c r="D6003" s="120"/>
      <c r="E6003" s="120"/>
      <c r="F6003" s="120"/>
      <c r="G6003" s="120"/>
      <c r="H6003" s="120"/>
      <c r="I6003" s="121"/>
      <c r="J6003" s="121"/>
      <c r="K6003" s="117"/>
    </row>
    <row r="6004" ht="15.75" customHeight="1">
      <c r="A6004" s="122"/>
      <c r="B6004" s="133"/>
      <c r="C6004" s="120"/>
      <c r="D6004" s="120"/>
      <c r="E6004" s="120"/>
      <c r="F6004" s="120"/>
      <c r="G6004" s="120"/>
      <c r="H6004" s="120"/>
      <c r="I6004" s="121"/>
      <c r="J6004" s="121"/>
      <c r="K6004" s="117"/>
    </row>
    <row r="6005" ht="15.75" customHeight="1">
      <c r="A6005" s="122"/>
      <c r="B6005" s="133"/>
      <c r="C6005" s="120"/>
      <c r="D6005" s="120"/>
      <c r="E6005" s="120"/>
      <c r="F6005" s="120"/>
      <c r="G6005" s="120"/>
      <c r="H6005" s="120"/>
      <c r="I6005" s="121"/>
      <c r="J6005" s="121"/>
      <c r="K6005" s="117"/>
    </row>
    <row r="6006" ht="15.75" customHeight="1">
      <c r="A6006" s="122"/>
      <c r="B6006" s="133"/>
      <c r="C6006" s="120"/>
      <c r="D6006" s="120"/>
      <c r="E6006" s="120"/>
      <c r="F6006" s="120"/>
      <c r="G6006" s="120"/>
      <c r="H6006" s="120"/>
      <c r="I6006" s="121"/>
      <c r="J6006" s="121"/>
      <c r="K6006" s="117"/>
    </row>
    <row r="6007" ht="15.75" customHeight="1">
      <c r="A6007" s="122"/>
      <c r="B6007" s="133"/>
      <c r="C6007" s="120"/>
      <c r="D6007" s="120"/>
      <c r="E6007" s="120"/>
      <c r="F6007" s="120"/>
      <c r="G6007" s="120"/>
      <c r="H6007" s="120"/>
      <c r="I6007" s="121"/>
      <c r="J6007" s="121"/>
      <c r="K6007" s="117"/>
    </row>
    <row r="6008" ht="15.75" customHeight="1">
      <c r="A6008" s="122"/>
      <c r="B6008" s="133"/>
      <c r="C6008" s="120"/>
      <c r="D6008" s="120"/>
      <c r="E6008" s="120"/>
      <c r="F6008" s="120"/>
      <c r="G6008" s="120"/>
      <c r="H6008" s="120"/>
      <c r="I6008" s="121"/>
      <c r="J6008" s="121"/>
      <c r="K6008" s="117"/>
    </row>
    <row r="6009" ht="15.75" customHeight="1">
      <c r="A6009" s="122"/>
      <c r="B6009" s="133"/>
      <c r="C6009" s="120"/>
      <c r="D6009" s="120"/>
      <c r="E6009" s="120"/>
      <c r="F6009" s="120"/>
      <c r="G6009" s="120"/>
      <c r="H6009" s="120"/>
      <c r="I6009" s="121"/>
      <c r="J6009" s="121"/>
      <c r="K6009" s="117"/>
    </row>
    <row r="6010" ht="15.75" customHeight="1">
      <c r="A6010" s="122"/>
      <c r="B6010" s="133"/>
      <c r="C6010" s="120"/>
      <c r="D6010" s="120"/>
      <c r="E6010" s="120"/>
      <c r="F6010" s="120"/>
      <c r="G6010" s="120"/>
      <c r="H6010" s="120"/>
      <c r="I6010" s="121"/>
      <c r="J6010" s="121"/>
      <c r="K6010" s="117"/>
    </row>
    <row r="6011" ht="15.75" customHeight="1">
      <c r="A6011" s="122"/>
      <c r="B6011" s="133"/>
      <c r="C6011" s="120"/>
      <c r="D6011" s="120"/>
      <c r="E6011" s="120"/>
      <c r="F6011" s="120"/>
      <c r="G6011" s="120"/>
      <c r="H6011" s="120"/>
      <c r="I6011" s="121"/>
      <c r="J6011" s="121"/>
      <c r="K6011" s="117"/>
    </row>
    <row r="6012" ht="15.75" customHeight="1">
      <c r="A6012" s="122"/>
      <c r="B6012" s="133"/>
      <c r="C6012" s="120"/>
      <c r="D6012" s="120"/>
      <c r="E6012" s="120"/>
      <c r="F6012" s="120"/>
      <c r="G6012" s="120"/>
      <c r="H6012" s="120"/>
      <c r="I6012" s="121"/>
      <c r="J6012" s="121"/>
      <c r="K6012" s="117"/>
    </row>
    <row r="6013" ht="15.75" customHeight="1">
      <c r="A6013" s="122"/>
      <c r="B6013" s="133"/>
      <c r="C6013" s="120"/>
      <c r="D6013" s="120"/>
      <c r="E6013" s="120"/>
      <c r="F6013" s="120"/>
      <c r="G6013" s="120"/>
      <c r="H6013" s="120"/>
      <c r="I6013" s="121"/>
      <c r="J6013" s="121"/>
      <c r="K6013" s="117"/>
    </row>
    <row r="6014" ht="15.75" customHeight="1">
      <c r="A6014" s="122"/>
      <c r="B6014" s="133"/>
      <c r="C6014" s="120"/>
      <c r="D6014" s="120"/>
      <c r="E6014" s="120"/>
      <c r="F6014" s="120"/>
      <c r="G6014" s="120"/>
      <c r="H6014" s="120"/>
      <c r="I6014" s="121"/>
      <c r="J6014" s="121"/>
      <c r="K6014" s="117"/>
    </row>
    <row r="6015" ht="15.75" customHeight="1">
      <c r="A6015" s="122"/>
      <c r="B6015" s="133"/>
      <c r="C6015" s="120"/>
      <c r="D6015" s="120"/>
      <c r="E6015" s="120"/>
      <c r="F6015" s="120"/>
      <c r="G6015" s="120"/>
      <c r="H6015" s="120"/>
      <c r="I6015" s="121"/>
      <c r="J6015" s="121"/>
      <c r="K6015" s="117"/>
    </row>
    <row r="6016" ht="15.75" customHeight="1">
      <c r="A6016" s="122"/>
      <c r="B6016" s="133"/>
      <c r="C6016" s="120"/>
      <c r="D6016" s="120"/>
      <c r="E6016" s="120"/>
      <c r="F6016" s="120"/>
      <c r="G6016" s="120"/>
      <c r="H6016" s="120"/>
      <c r="I6016" s="121"/>
      <c r="J6016" s="121"/>
      <c r="K6016" s="117"/>
    </row>
    <row r="6017" ht="15.75" customHeight="1">
      <c r="A6017" s="122"/>
      <c r="B6017" s="133"/>
      <c r="C6017" s="120"/>
      <c r="D6017" s="120"/>
      <c r="E6017" s="120"/>
      <c r="F6017" s="120"/>
      <c r="G6017" s="120"/>
      <c r="H6017" s="120"/>
      <c r="I6017" s="121"/>
      <c r="J6017" s="121"/>
      <c r="K6017" s="117"/>
    </row>
    <row r="6018" ht="15.75" customHeight="1">
      <c r="A6018" s="122"/>
      <c r="B6018" s="133"/>
      <c r="C6018" s="120"/>
      <c r="D6018" s="120"/>
      <c r="E6018" s="120"/>
      <c r="F6018" s="120"/>
      <c r="G6018" s="120"/>
      <c r="H6018" s="120"/>
      <c r="I6018" s="121"/>
      <c r="J6018" s="121"/>
      <c r="K6018" s="117"/>
    </row>
    <row r="6019" ht="15.75" customHeight="1">
      <c r="A6019" s="122"/>
      <c r="B6019" s="133"/>
      <c r="C6019" s="120"/>
      <c r="D6019" s="120"/>
      <c r="E6019" s="120"/>
      <c r="F6019" s="120"/>
      <c r="G6019" s="120"/>
      <c r="H6019" s="120"/>
      <c r="I6019" s="121"/>
      <c r="J6019" s="121"/>
      <c r="K6019" s="117"/>
    </row>
    <row r="6020" ht="15.75" customHeight="1">
      <c r="A6020" s="122"/>
      <c r="B6020" s="133"/>
      <c r="C6020" s="120"/>
      <c r="D6020" s="120"/>
      <c r="E6020" s="120"/>
      <c r="F6020" s="120"/>
      <c r="G6020" s="120"/>
      <c r="H6020" s="120"/>
      <c r="I6020" s="121"/>
      <c r="J6020" s="121"/>
      <c r="K6020" s="117"/>
    </row>
    <row r="6021" ht="15.75" customHeight="1">
      <c r="A6021" s="122"/>
      <c r="B6021" s="133"/>
      <c r="C6021" s="120"/>
      <c r="D6021" s="120"/>
      <c r="E6021" s="120"/>
      <c r="F6021" s="120"/>
      <c r="G6021" s="120"/>
      <c r="H6021" s="120"/>
      <c r="I6021" s="121"/>
      <c r="J6021" s="121"/>
      <c r="K6021" s="117"/>
    </row>
    <row r="6022" ht="15.75" customHeight="1">
      <c r="A6022" s="122"/>
      <c r="B6022" s="133"/>
      <c r="C6022" s="120"/>
      <c r="D6022" s="120"/>
      <c r="E6022" s="120"/>
      <c r="F6022" s="120"/>
      <c r="G6022" s="120"/>
      <c r="H6022" s="120"/>
      <c r="I6022" s="121"/>
      <c r="J6022" s="121"/>
      <c r="K6022" s="117"/>
    </row>
    <row r="6023" ht="15.75" customHeight="1">
      <c r="A6023" s="122"/>
      <c r="B6023" s="133"/>
      <c r="C6023" s="120"/>
      <c r="D6023" s="120"/>
      <c r="E6023" s="120"/>
      <c r="F6023" s="120"/>
      <c r="G6023" s="120"/>
      <c r="H6023" s="120"/>
      <c r="I6023" s="121"/>
      <c r="J6023" s="121"/>
      <c r="K6023" s="117"/>
    </row>
    <row r="6024" ht="15.75" customHeight="1">
      <c r="A6024" s="122"/>
      <c r="B6024" s="133"/>
      <c r="C6024" s="120"/>
      <c r="D6024" s="120"/>
      <c r="E6024" s="120"/>
      <c r="F6024" s="120"/>
      <c r="G6024" s="120"/>
      <c r="H6024" s="120"/>
      <c r="I6024" s="121"/>
      <c r="J6024" s="121"/>
      <c r="K6024" s="117"/>
    </row>
    <row r="6025" ht="15.75" customHeight="1">
      <c r="A6025" s="122"/>
      <c r="B6025" s="133"/>
      <c r="C6025" s="120"/>
      <c r="D6025" s="120"/>
      <c r="E6025" s="120"/>
      <c r="F6025" s="120"/>
      <c r="G6025" s="120"/>
      <c r="H6025" s="120"/>
      <c r="I6025" s="121"/>
      <c r="J6025" s="121"/>
      <c r="K6025" s="117"/>
    </row>
    <row r="6026" ht="15.75" customHeight="1">
      <c r="A6026" s="122"/>
      <c r="B6026" s="133"/>
      <c r="C6026" s="120"/>
      <c r="D6026" s="120"/>
      <c r="E6026" s="120"/>
      <c r="F6026" s="120"/>
      <c r="G6026" s="120"/>
      <c r="H6026" s="120"/>
      <c r="I6026" s="121"/>
      <c r="J6026" s="121"/>
      <c r="K6026" s="117"/>
    </row>
    <row r="6027" ht="15.75" customHeight="1">
      <c r="A6027" s="122"/>
      <c r="B6027" s="133"/>
      <c r="C6027" s="120"/>
      <c r="D6027" s="120"/>
      <c r="E6027" s="120"/>
      <c r="F6027" s="120"/>
      <c r="G6027" s="120"/>
      <c r="H6027" s="120"/>
      <c r="I6027" s="121"/>
      <c r="J6027" s="121"/>
      <c r="K6027" s="117"/>
    </row>
    <row r="6028" ht="15.75" customHeight="1">
      <c r="A6028" s="122"/>
      <c r="B6028" s="133"/>
      <c r="C6028" s="120"/>
      <c r="D6028" s="120"/>
      <c r="E6028" s="120"/>
      <c r="F6028" s="120"/>
      <c r="G6028" s="120"/>
      <c r="H6028" s="120"/>
      <c r="I6028" s="121"/>
      <c r="J6028" s="121"/>
      <c r="K6028" s="117"/>
    </row>
    <row r="6029" ht="15.75" customHeight="1">
      <c r="A6029" s="122"/>
      <c r="B6029" s="133"/>
      <c r="C6029" s="120"/>
      <c r="D6029" s="120"/>
      <c r="E6029" s="120"/>
      <c r="F6029" s="120"/>
      <c r="G6029" s="120"/>
      <c r="H6029" s="120"/>
      <c r="I6029" s="121"/>
      <c r="J6029" s="121"/>
      <c r="K6029" s="117"/>
    </row>
    <row r="6030" ht="15.75" customHeight="1">
      <c r="A6030" s="122"/>
      <c r="B6030" s="133"/>
      <c r="C6030" s="120"/>
      <c r="D6030" s="120"/>
      <c r="E6030" s="120"/>
      <c r="F6030" s="120"/>
      <c r="G6030" s="120"/>
      <c r="H6030" s="120"/>
      <c r="I6030" s="121"/>
      <c r="J6030" s="121"/>
      <c r="K6030" s="117"/>
    </row>
    <row r="6031" ht="15.75" customHeight="1">
      <c r="A6031" s="122"/>
      <c r="B6031" s="133"/>
      <c r="C6031" s="120"/>
      <c r="D6031" s="120"/>
      <c r="E6031" s="120"/>
      <c r="F6031" s="120"/>
      <c r="G6031" s="120"/>
      <c r="H6031" s="120"/>
      <c r="I6031" s="121"/>
      <c r="J6031" s="121"/>
      <c r="K6031" s="117"/>
    </row>
    <row r="6032" ht="15.75" customHeight="1">
      <c r="A6032" s="122"/>
      <c r="B6032" s="133"/>
      <c r="C6032" s="120"/>
      <c r="D6032" s="120"/>
      <c r="E6032" s="120"/>
      <c r="F6032" s="120"/>
      <c r="G6032" s="120"/>
      <c r="H6032" s="120"/>
      <c r="I6032" s="121"/>
      <c r="J6032" s="121"/>
      <c r="K6032" s="117"/>
    </row>
    <row r="6033" ht="15.75" customHeight="1">
      <c r="A6033" s="122"/>
      <c r="B6033" s="133"/>
      <c r="C6033" s="120"/>
      <c r="D6033" s="120"/>
      <c r="E6033" s="120"/>
      <c r="F6033" s="120"/>
      <c r="G6033" s="120"/>
      <c r="H6033" s="120"/>
      <c r="I6033" s="121"/>
      <c r="J6033" s="121"/>
      <c r="K6033" s="117"/>
    </row>
    <row r="6034" ht="15.75" customHeight="1">
      <c r="A6034" s="122"/>
      <c r="B6034" s="133"/>
      <c r="C6034" s="120"/>
      <c r="D6034" s="120"/>
      <c r="E6034" s="120"/>
      <c r="F6034" s="120"/>
      <c r="G6034" s="120"/>
      <c r="H6034" s="120"/>
      <c r="I6034" s="121"/>
      <c r="J6034" s="121"/>
      <c r="K6034" s="117"/>
    </row>
    <row r="6035" ht="15.75" customHeight="1">
      <c r="A6035" s="122"/>
      <c r="B6035" s="133"/>
      <c r="C6035" s="120"/>
      <c r="D6035" s="120"/>
      <c r="E6035" s="120"/>
      <c r="F6035" s="120"/>
      <c r="G6035" s="120"/>
      <c r="H6035" s="120"/>
      <c r="I6035" s="121"/>
      <c r="J6035" s="121"/>
      <c r="K6035" s="117"/>
    </row>
    <row r="6036" ht="15.75" customHeight="1">
      <c r="A6036" s="122"/>
      <c r="B6036" s="133"/>
      <c r="C6036" s="120"/>
      <c r="D6036" s="120"/>
      <c r="E6036" s="120"/>
      <c r="F6036" s="120"/>
      <c r="G6036" s="120"/>
      <c r="H6036" s="120"/>
      <c r="I6036" s="121"/>
      <c r="J6036" s="121"/>
      <c r="K6036" s="117"/>
    </row>
    <row r="6037" ht="15.75" customHeight="1">
      <c r="A6037" s="122"/>
      <c r="B6037" s="133"/>
      <c r="C6037" s="120"/>
      <c r="D6037" s="120"/>
      <c r="E6037" s="120"/>
      <c r="F6037" s="120"/>
      <c r="G6037" s="120"/>
      <c r="H6037" s="120"/>
      <c r="I6037" s="121"/>
      <c r="J6037" s="121"/>
      <c r="K6037" s="117"/>
    </row>
    <row r="6038" ht="15.75" customHeight="1">
      <c r="A6038" s="122"/>
      <c r="B6038" s="133"/>
      <c r="C6038" s="120"/>
      <c r="D6038" s="120"/>
      <c r="E6038" s="120"/>
      <c r="F6038" s="120"/>
      <c r="G6038" s="120"/>
      <c r="H6038" s="120"/>
      <c r="I6038" s="121"/>
      <c r="J6038" s="121"/>
      <c r="K6038" s="117"/>
    </row>
    <row r="6039" ht="15.75" customHeight="1">
      <c r="A6039" s="122"/>
      <c r="B6039" s="133"/>
      <c r="C6039" s="120"/>
      <c r="D6039" s="120"/>
      <c r="E6039" s="120"/>
      <c r="F6039" s="120"/>
      <c r="G6039" s="120"/>
      <c r="H6039" s="120"/>
      <c r="I6039" s="121"/>
      <c r="J6039" s="121"/>
      <c r="K6039" s="117"/>
    </row>
    <row r="6040" ht="15.75" customHeight="1">
      <c r="A6040" s="122"/>
      <c r="B6040" s="133"/>
      <c r="C6040" s="120"/>
      <c r="D6040" s="120"/>
      <c r="E6040" s="120"/>
      <c r="F6040" s="120"/>
      <c r="G6040" s="120"/>
      <c r="H6040" s="120"/>
      <c r="I6040" s="121"/>
      <c r="J6040" s="121"/>
      <c r="K6040" s="117"/>
    </row>
    <row r="6041" ht="15.75" customHeight="1">
      <c r="A6041" s="122"/>
      <c r="B6041" s="133"/>
      <c r="C6041" s="120"/>
      <c r="D6041" s="120"/>
      <c r="E6041" s="120"/>
      <c r="F6041" s="120"/>
      <c r="G6041" s="120"/>
      <c r="H6041" s="120"/>
      <c r="I6041" s="121"/>
      <c r="J6041" s="121"/>
      <c r="K6041" s="117"/>
    </row>
    <row r="6042" ht="15.75" customHeight="1">
      <c r="A6042" s="122"/>
      <c r="B6042" s="133"/>
      <c r="C6042" s="120"/>
      <c r="D6042" s="120"/>
      <c r="E6042" s="120"/>
      <c r="F6042" s="120"/>
      <c r="G6042" s="120"/>
      <c r="H6042" s="120"/>
      <c r="I6042" s="121"/>
      <c r="J6042" s="121"/>
      <c r="K6042" s="117"/>
    </row>
    <row r="6043" ht="15.75" customHeight="1">
      <c r="A6043" s="122"/>
      <c r="B6043" s="133"/>
      <c r="C6043" s="120"/>
      <c r="D6043" s="120"/>
      <c r="E6043" s="120"/>
      <c r="F6043" s="120"/>
      <c r="G6043" s="120"/>
      <c r="H6043" s="120"/>
      <c r="I6043" s="121"/>
      <c r="J6043" s="121"/>
      <c r="K6043" s="117"/>
    </row>
    <row r="6044" ht="15.75" customHeight="1">
      <c r="A6044" s="122"/>
      <c r="B6044" s="133"/>
      <c r="C6044" s="120"/>
      <c r="D6044" s="120"/>
      <c r="E6044" s="120"/>
      <c r="F6044" s="120"/>
      <c r="G6044" s="120"/>
      <c r="H6044" s="120"/>
      <c r="I6044" s="121"/>
      <c r="J6044" s="121"/>
      <c r="K6044" s="117"/>
    </row>
    <row r="6045" ht="15.75" customHeight="1">
      <c r="A6045" s="122"/>
      <c r="B6045" s="133"/>
      <c r="C6045" s="120"/>
      <c r="D6045" s="120"/>
      <c r="E6045" s="120"/>
      <c r="F6045" s="120"/>
      <c r="G6045" s="120"/>
      <c r="H6045" s="120"/>
      <c r="I6045" s="121"/>
      <c r="J6045" s="121"/>
      <c r="K6045" s="117"/>
    </row>
    <row r="6046" ht="15.75" customHeight="1">
      <c r="A6046" s="122"/>
      <c r="B6046" s="133"/>
      <c r="C6046" s="120"/>
      <c r="D6046" s="120"/>
      <c r="E6046" s="120"/>
      <c r="F6046" s="120"/>
      <c r="G6046" s="120"/>
      <c r="H6046" s="120"/>
      <c r="I6046" s="121"/>
      <c r="J6046" s="121"/>
      <c r="K6046" s="117"/>
    </row>
    <row r="6047" ht="15.75" customHeight="1">
      <c r="A6047" s="122"/>
      <c r="B6047" s="133"/>
      <c r="C6047" s="120"/>
      <c r="D6047" s="120"/>
      <c r="E6047" s="120"/>
      <c r="F6047" s="120"/>
      <c r="G6047" s="120"/>
      <c r="H6047" s="120"/>
      <c r="I6047" s="121"/>
      <c r="J6047" s="121"/>
      <c r="K6047" s="117"/>
    </row>
    <row r="6048" ht="15.75" customHeight="1">
      <c r="A6048" s="122"/>
      <c r="B6048" s="133"/>
      <c r="C6048" s="120"/>
      <c r="D6048" s="120"/>
      <c r="E6048" s="120"/>
      <c r="F6048" s="120"/>
      <c r="G6048" s="120"/>
      <c r="H6048" s="120"/>
      <c r="I6048" s="121"/>
      <c r="J6048" s="121"/>
      <c r="K6048" s="117"/>
    </row>
    <row r="6049" ht="15.75" customHeight="1">
      <c r="A6049" s="122"/>
      <c r="B6049" s="133"/>
      <c r="C6049" s="120"/>
      <c r="D6049" s="120"/>
      <c r="E6049" s="120"/>
      <c r="F6049" s="120"/>
      <c r="G6049" s="120"/>
      <c r="H6049" s="120"/>
      <c r="I6049" s="121"/>
      <c r="J6049" s="121"/>
      <c r="K6049" s="117"/>
    </row>
    <row r="6050" ht="15.75" customHeight="1">
      <c r="A6050" s="122"/>
      <c r="B6050" s="133"/>
      <c r="C6050" s="120"/>
      <c r="D6050" s="120"/>
      <c r="E6050" s="120"/>
      <c r="F6050" s="120"/>
      <c r="G6050" s="120"/>
      <c r="H6050" s="120"/>
      <c r="I6050" s="121"/>
      <c r="J6050" s="121"/>
      <c r="K6050" s="117"/>
    </row>
    <row r="6051" ht="15.75" customHeight="1">
      <c r="A6051" s="122"/>
      <c r="B6051" s="133"/>
      <c r="C6051" s="120"/>
      <c r="D6051" s="120"/>
      <c r="E6051" s="120"/>
      <c r="F6051" s="120"/>
      <c r="G6051" s="120"/>
      <c r="H6051" s="120"/>
      <c r="I6051" s="121"/>
      <c r="J6051" s="121"/>
      <c r="K6051" s="117"/>
    </row>
    <row r="6052" ht="15.75" customHeight="1">
      <c r="A6052" s="122"/>
      <c r="B6052" s="133"/>
      <c r="C6052" s="120"/>
      <c r="D6052" s="120"/>
      <c r="E6052" s="120"/>
      <c r="F6052" s="120"/>
      <c r="G6052" s="120"/>
      <c r="H6052" s="120"/>
      <c r="I6052" s="121"/>
      <c r="J6052" s="121"/>
      <c r="K6052" s="117"/>
    </row>
    <row r="6053" ht="15.75" customHeight="1">
      <c r="A6053" s="122"/>
      <c r="B6053" s="133"/>
      <c r="C6053" s="120"/>
      <c r="D6053" s="120"/>
      <c r="E6053" s="120"/>
      <c r="F6053" s="120"/>
      <c r="G6053" s="120"/>
      <c r="H6053" s="120"/>
      <c r="I6053" s="121"/>
      <c r="J6053" s="121"/>
      <c r="K6053" s="117"/>
    </row>
    <row r="6054" ht="15.75" customHeight="1">
      <c r="A6054" s="122"/>
      <c r="B6054" s="133"/>
      <c r="C6054" s="120"/>
      <c r="D6054" s="120"/>
      <c r="E6054" s="120"/>
      <c r="F6054" s="120"/>
      <c r="G6054" s="120"/>
      <c r="H6054" s="120"/>
      <c r="I6054" s="121"/>
      <c r="J6054" s="121"/>
      <c r="K6054" s="117"/>
    </row>
    <row r="6055" ht="15.75" customHeight="1">
      <c r="A6055" s="122"/>
      <c r="B6055" s="133"/>
      <c r="C6055" s="120"/>
      <c r="D6055" s="120"/>
      <c r="E6055" s="120"/>
      <c r="F6055" s="120"/>
      <c r="G6055" s="120"/>
      <c r="H6055" s="120"/>
      <c r="I6055" s="121"/>
      <c r="J6055" s="121"/>
      <c r="K6055" s="117"/>
    </row>
    <row r="6056" ht="15.75" customHeight="1">
      <c r="A6056" s="122"/>
      <c r="B6056" s="133"/>
      <c r="C6056" s="120"/>
      <c r="D6056" s="120"/>
      <c r="E6056" s="120"/>
      <c r="F6056" s="120"/>
      <c r="G6056" s="120"/>
      <c r="H6056" s="120"/>
      <c r="I6056" s="121"/>
      <c r="J6056" s="121"/>
      <c r="K6056" s="117"/>
    </row>
    <row r="6057" ht="15.75" customHeight="1">
      <c r="A6057" s="122"/>
      <c r="B6057" s="133"/>
      <c r="C6057" s="120"/>
      <c r="D6057" s="120"/>
      <c r="E6057" s="120"/>
      <c r="F6057" s="120"/>
      <c r="G6057" s="120"/>
      <c r="H6057" s="120"/>
      <c r="I6057" s="121"/>
      <c r="J6057" s="121"/>
      <c r="K6057" s="117"/>
    </row>
    <row r="6058" ht="15.75" customHeight="1">
      <c r="A6058" s="122"/>
      <c r="B6058" s="133"/>
      <c r="C6058" s="120"/>
      <c r="D6058" s="120"/>
      <c r="E6058" s="120"/>
      <c r="F6058" s="120"/>
      <c r="G6058" s="120"/>
      <c r="H6058" s="120"/>
      <c r="I6058" s="121"/>
      <c r="J6058" s="121"/>
      <c r="K6058" s="117"/>
    </row>
    <row r="6059" ht="15.75" customHeight="1">
      <c r="A6059" s="122"/>
      <c r="B6059" s="133"/>
      <c r="C6059" s="120"/>
      <c r="D6059" s="120"/>
      <c r="E6059" s="120"/>
      <c r="F6059" s="120"/>
      <c r="G6059" s="120"/>
      <c r="H6059" s="120"/>
      <c r="I6059" s="121"/>
      <c r="J6059" s="121"/>
      <c r="K6059" s="117"/>
    </row>
    <row r="6060" ht="15.75" customHeight="1">
      <c r="A6060" s="122"/>
      <c r="B6060" s="133"/>
      <c r="C6060" s="120"/>
      <c r="D6060" s="120"/>
      <c r="E6060" s="120"/>
      <c r="F6060" s="120"/>
      <c r="G6060" s="120"/>
      <c r="H6060" s="120"/>
      <c r="I6060" s="121"/>
      <c r="J6060" s="121"/>
      <c r="K6060" s="117"/>
    </row>
    <row r="6061" ht="15.75" customHeight="1">
      <c r="A6061" s="122"/>
      <c r="B6061" s="133"/>
      <c r="C6061" s="120"/>
      <c r="D6061" s="120"/>
      <c r="E6061" s="120"/>
      <c r="F6061" s="120"/>
      <c r="G6061" s="120"/>
      <c r="H6061" s="120"/>
      <c r="I6061" s="121"/>
      <c r="J6061" s="121"/>
      <c r="K6061" s="117"/>
    </row>
    <row r="6062" ht="15.75" customHeight="1">
      <c r="A6062" s="122"/>
      <c r="B6062" s="133"/>
      <c r="C6062" s="120"/>
      <c r="D6062" s="120"/>
      <c r="E6062" s="120"/>
      <c r="F6062" s="120"/>
      <c r="G6062" s="120"/>
      <c r="H6062" s="120"/>
      <c r="I6062" s="121"/>
      <c r="J6062" s="121"/>
      <c r="K6062" s="117"/>
    </row>
    <row r="6063" ht="15.75" customHeight="1">
      <c r="A6063" s="122"/>
      <c r="B6063" s="133"/>
      <c r="C6063" s="120"/>
      <c r="D6063" s="120"/>
      <c r="E6063" s="120"/>
      <c r="F6063" s="120"/>
      <c r="G6063" s="120"/>
      <c r="H6063" s="120"/>
      <c r="I6063" s="121"/>
      <c r="J6063" s="121"/>
      <c r="K6063" s="117"/>
    </row>
    <row r="6064" ht="15.75" customHeight="1">
      <c r="A6064" s="122"/>
      <c r="B6064" s="133"/>
      <c r="C6064" s="120"/>
      <c r="D6064" s="120"/>
      <c r="E6064" s="120"/>
      <c r="F6064" s="120"/>
      <c r="G6064" s="120"/>
      <c r="H6064" s="120"/>
      <c r="I6064" s="121"/>
      <c r="J6064" s="121"/>
      <c r="K6064" s="117"/>
    </row>
    <row r="6065" ht="15.75" customHeight="1">
      <c r="A6065" s="122"/>
      <c r="B6065" s="133"/>
      <c r="C6065" s="120"/>
      <c r="D6065" s="120"/>
      <c r="E6065" s="120"/>
      <c r="F6065" s="120"/>
      <c r="G6065" s="120"/>
      <c r="H6065" s="120"/>
      <c r="I6065" s="121"/>
      <c r="J6065" s="121"/>
      <c r="K6065" s="117"/>
    </row>
    <row r="6066" ht="15.75" customHeight="1">
      <c r="A6066" s="122"/>
      <c r="B6066" s="133"/>
      <c r="C6066" s="120"/>
      <c r="D6066" s="120"/>
      <c r="E6066" s="120"/>
      <c r="F6066" s="120"/>
      <c r="G6066" s="120"/>
      <c r="H6066" s="120"/>
      <c r="I6066" s="121"/>
      <c r="J6066" s="121"/>
      <c r="K6066" s="117"/>
    </row>
    <row r="6067" ht="15.75" customHeight="1">
      <c r="A6067" s="122"/>
      <c r="B6067" s="133"/>
      <c r="C6067" s="120"/>
      <c r="D6067" s="120"/>
      <c r="E6067" s="120"/>
      <c r="F6067" s="120"/>
      <c r="G6067" s="120"/>
      <c r="H6067" s="120"/>
      <c r="I6067" s="121"/>
      <c r="J6067" s="121"/>
      <c r="K6067" s="117"/>
    </row>
    <row r="6068" ht="15.75" customHeight="1">
      <c r="A6068" s="122"/>
      <c r="B6068" s="133"/>
      <c r="C6068" s="120"/>
      <c r="D6068" s="120"/>
      <c r="E6068" s="120"/>
      <c r="F6068" s="120"/>
      <c r="G6068" s="120"/>
      <c r="H6068" s="120"/>
      <c r="I6068" s="121"/>
      <c r="J6068" s="121"/>
      <c r="K6068" s="117"/>
    </row>
    <row r="6069" ht="15.75" customHeight="1">
      <c r="A6069" s="122"/>
      <c r="B6069" s="133"/>
      <c r="C6069" s="120"/>
      <c r="D6069" s="120"/>
      <c r="E6069" s="120"/>
      <c r="F6069" s="120"/>
      <c r="G6069" s="120"/>
      <c r="H6069" s="120"/>
      <c r="I6069" s="121"/>
      <c r="J6069" s="121"/>
      <c r="K6069" s="117"/>
    </row>
    <row r="6070" ht="15.75" customHeight="1">
      <c r="A6070" s="122"/>
      <c r="B6070" s="133"/>
      <c r="C6070" s="120"/>
      <c r="D6070" s="120"/>
      <c r="E6070" s="120"/>
      <c r="F6070" s="120"/>
      <c r="G6070" s="120"/>
      <c r="H6070" s="120"/>
      <c r="I6070" s="121"/>
      <c r="J6070" s="121"/>
      <c r="K6070" s="117"/>
    </row>
    <row r="6071" ht="15.75" customHeight="1">
      <c r="A6071" s="122"/>
      <c r="B6071" s="133"/>
      <c r="C6071" s="120"/>
      <c r="D6071" s="120"/>
      <c r="E6071" s="120"/>
      <c r="F6071" s="120"/>
      <c r="G6071" s="120"/>
      <c r="H6071" s="120"/>
      <c r="I6071" s="121"/>
      <c r="J6071" s="121"/>
      <c r="K6071" s="117"/>
    </row>
    <row r="6072" ht="15.75" customHeight="1">
      <c r="A6072" s="122"/>
      <c r="B6072" s="133"/>
      <c r="C6072" s="120"/>
      <c r="D6072" s="120"/>
      <c r="E6072" s="120"/>
      <c r="F6072" s="120"/>
      <c r="G6072" s="120"/>
      <c r="H6072" s="120"/>
      <c r="I6072" s="121"/>
      <c r="J6072" s="121"/>
      <c r="K6072" s="117"/>
    </row>
    <row r="6073" ht="15.75" customHeight="1">
      <c r="A6073" s="122"/>
      <c r="B6073" s="133"/>
      <c r="C6073" s="120"/>
      <c r="D6073" s="120"/>
      <c r="E6073" s="120"/>
      <c r="F6073" s="120"/>
      <c r="G6073" s="120"/>
      <c r="H6073" s="120"/>
      <c r="I6073" s="121"/>
      <c r="J6073" s="121"/>
      <c r="K6073" s="117"/>
    </row>
    <row r="6074" ht="15.75" customHeight="1">
      <c r="A6074" s="122"/>
      <c r="B6074" s="133"/>
      <c r="C6074" s="120"/>
      <c r="D6074" s="120"/>
      <c r="E6074" s="120"/>
      <c r="F6074" s="120"/>
      <c r="G6074" s="120"/>
      <c r="H6074" s="120"/>
      <c r="I6074" s="121"/>
      <c r="J6074" s="121"/>
      <c r="K6074" s="117"/>
    </row>
    <row r="6075" ht="15.75" customHeight="1">
      <c r="A6075" s="122"/>
      <c r="B6075" s="133"/>
      <c r="C6075" s="120"/>
      <c r="D6075" s="120"/>
      <c r="E6075" s="120"/>
      <c r="F6075" s="120"/>
      <c r="G6075" s="120"/>
      <c r="H6075" s="120"/>
      <c r="I6075" s="121"/>
      <c r="J6075" s="121"/>
      <c r="K6075" s="117"/>
    </row>
    <row r="6076" ht="15.75" customHeight="1">
      <c r="A6076" s="122"/>
      <c r="B6076" s="133"/>
      <c r="C6076" s="120"/>
      <c r="D6076" s="120"/>
      <c r="E6076" s="120"/>
      <c r="F6076" s="120"/>
      <c r="G6076" s="120"/>
      <c r="H6076" s="120"/>
      <c r="I6076" s="121"/>
      <c r="J6076" s="121"/>
      <c r="K6076" s="117"/>
    </row>
    <row r="6077" ht="15.75" customHeight="1">
      <c r="A6077" s="122"/>
      <c r="B6077" s="133"/>
      <c r="C6077" s="120"/>
      <c r="D6077" s="120"/>
      <c r="E6077" s="120"/>
      <c r="F6077" s="120"/>
      <c r="G6077" s="120"/>
      <c r="H6077" s="120"/>
      <c r="I6077" s="121"/>
      <c r="J6077" s="121"/>
      <c r="K6077" s="117"/>
    </row>
    <row r="6078" ht="15.75" customHeight="1">
      <c r="A6078" s="122"/>
      <c r="B6078" s="133"/>
      <c r="C6078" s="120"/>
      <c r="D6078" s="120"/>
      <c r="E6078" s="120"/>
      <c r="F6078" s="120"/>
      <c r="G6078" s="120"/>
      <c r="H6078" s="120"/>
      <c r="I6078" s="121"/>
      <c r="J6078" s="121"/>
      <c r="K6078" s="117"/>
    </row>
    <row r="6079" ht="15.75" customHeight="1">
      <c r="A6079" s="122"/>
      <c r="B6079" s="133"/>
      <c r="C6079" s="120"/>
      <c r="D6079" s="120"/>
      <c r="E6079" s="120"/>
      <c r="F6079" s="120"/>
      <c r="G6079" s="120"/>
      <c r="H6079" s="120"/>
      <c r="I6079" s="121"/>
      <c r="J6079" s="121"/>
      <c r="K6079" s="117"/>
    </row>
    <row r="6080" ht="15.75" customHeight="1">
      <c r="A6080" s="122"/>
      <c r="B6080" s="133"/>
      <c r="C6080" s="120"/>
      <c r="D6080" s="120"/>
      <c r="E6080" s="120"/>
      <c r="F6080" s="120"/>
      <c r="G6080" s="120"/>
      <c r="H6080" s="120"/>
      <c r="I6080" s="121"/>
      <c r="J6080" s="121"/>
      <c r="K6080" s="117"/>
    </row>
    <row r="6081" ht="15.75" customHeight="1">
      <c r="A6081" s="122"/>
      <c r="B6081" s="133"/>
      <c r="C6081" s="120"/>
      <c r="D6081" s="120"/>
      <c r="E6081" s="120"/>
      <c r="F6081" s="120"/>
      <c r="G6081" s="120"/>
      <c r="H6081" s="120"/>
      <c r="I6081" s="121"/>
      <c r="J6081" s="121"/>
      <c r="K6081" s="117"/>
    </row>
    <row r="6082" ht="15.75" customHeight="1">
      <c r="A6082" s="122"/>
      <c r="B6082" s="133"/>
      <c r="C6082" s="120"/>
      <c r="D6082" s="120"/>
      <c r="E6082" s="120"/>
      <c r="F6082" s="120"/>
      <c r="G6082" s="120"/>
      <c r="H6082" s="120"/>
      <c r="I6082" s="121"/>
      <c r="J6082" s="121"/>
      <c r="K6082" s="117"/>
    </row>
    <row r="6083" ht="15.75" customHeight="1">
      <c r="A6083" s="122"/>
      <c r="B6083" s="133"/>
      <c r="C6083" s="120"/>
      <c r="D6083" s="120"/>
      <c r="E6083" s="120"/>
      <c r="F6083" s="120"/>
      <c r="G6083" s="120"/>
      <c r="H6083" s="120"/>
      <c r="I6083" s="121"/>
      <c r="J6083" s="121"/>
      <c r="K6083" s="117"/>
    </row>
    <row r="6084" ht="15.75" customHeight="1">
      <c r="A6084" s="122"/>
      <c r="B6084" s="133"/>
      <c r="C6084" s="120"/>
      <c r="D6084" s="120"/>
      <c r="E6084" s="120"/>
      <c r="F6084" s="120"/>
      <c r="G6084" s="120"/>
      <c r="H6084" s="120"/>
      <c r="I6084" s="121"/>
      <c r="J6084" s="121"/>
      <c r="K6084" s="117"/>
    </row>
    <row r="6085" ht="15.75" customHeight="1">
      <c r="A6085" s="122"/>
      <c r="B6085" s="133"/>
      <c r="C6085" s="120"/>
      <c r="D6085" s="120"/>
      <c r="E6085" s="120"/>
      <c r="F6085" s="120"/>
      <c r="G6085" s="120"/>
      <c r="H6085" s="120"/>
      <c r="I6085" s="121"/>
      <c r="J6085" s="121"/>
      <c r="K6085" s="117"/>
    </row>
    <row r="6086" ht="15.75" customHeight="1">
      <c r="A6086" s="122"/>
      <c r="B6086" s="133"/>
      <c r="C6086" s="120"/>
      <c r="D6086" s="120"/>
      <c r="E6086" s="120"/>
      <c r="F6086" s="120"/>
      <c r="G6086" s="120"/>
      <c r="H6086" s="120"/>
      <c r="I6086" s="121"/>
      <c r="J6086" s="121"/>
      <c r="K6086" s="117"/>
    </row>
    <row r="6087" ht="15.75" customHeight="1">
      <c r="A6087" s="122"/>
      <c r="B6087" s="133"/>
      <c r="C6087" s="120"/>
      <c r="D6087" s="120"/>
      <c r="E6087" s="120"/>
      <c r="F6087" s="120"/>
      <c r="G6087" s="120"/>
      <c r="H6087" s="120"/>
      <c r="I6087" s="121"/>
      <c r="J6087" s="121"/>
      <c r="K6087" s="117"/>
    </row>
    <row r="6088" ht="15.75" customHeight="1">
      <c r="A6088" s="122"/>
      <c r="B6088" s="133"/>
      <c r="C6088" s="120"/>
      <c r="D6088" s="120"/>
      <c r="E6088" s="120"/>
      <c r="F6088" s="120"/>
      <c r="G6088" s="120"/>
      <c r="H6088" s="120"/>
      <c r="I6088" s="121"/>
      <c r="J6088" s="121"/>
      <c r="K6088" s="117"/>
    </row>
    <row r="6089" ht="15.75" customHeight="1">
      <c r="A6089" s="122"/>
      <c r="B6089" s="133"/>
      <c r="C6089" s="120"/>
      <c r="D6089" s="120"/>
      <c r="E6089" s="120"/>
      <c r="F6089" s="120"/>
      <c r="G6089" s="120"/>
      <c r="H6089" s="120"/>
      <c r="I6089" s="121"/>
      <c r="J6089" s="121"/>
      <c r="K6089" s="117"/>
    </row>
    <row r="6090" ht="15.75" customHeight="1">
      <c r="A6090" s="122"/>
      <c r="B6090" s="133"/>
      <c r="C6090" s="120"/>
      <c r="D6090" s="120"/>
      <c r="E6090" s="120"/>
      <c r="F6090" s="120"/>
      <c r="G6090" s="120"/>
      <c r="H6090" s="120"/>
      <c r="I6090" s="121"/>
      <c r="J6090" s="121"/>
      <c r="K6090" s="117"/>
    </row>
    <row r="6091" ht="15.75" customHeight="1">
      <c r="A6091" s="122"/>
      <c r="B6091" s="133"/>
      <c r="C6091" s="120"/>
      <c r="D6091" s="120"/>
      <c r="E6091" s="120"/>
      <c r="F6091" s="120"/>
      <c r="G6091" s="120"/>
      <c r="H6091" s="120"/>
      <c r="I6091" s="121"/>
      <c r="J6091" s="121"/>
      <c r="K6091" s="117"/>
    </row>
    <row r="6092" ht="15.75" customHeight="1">
      <c r="A6092" s="122"/>
      <c r="B6092" s="133"/>
      <c r="C6092" s="120"/>
      <c r="D6092" s="120"/>
      <c r="E6092" s="120"/>
      <c r="F6092" s="120"/>
      <c r="G6092" s="120"/>
      <c r="H6092" s="120"/>
      <c r="I6092" s="121"/>
      <c r="J6092" s="121"/>
      <c r="K6092" s="117"/>
    </row>
    <row r="6093" ht="15.75" customHeight="1">
      <c r="A6093" s="122"/>
      <c r="B6093" s="133"/>
      <c r="C6093" s="120"/>
      <c r="D6093" s="120"/>
      <c r="E6093" s="120"/>
      <c r="F6093" s="120"/>
      <c r="G6093" s="120"/>
      <c r="H6093" s="120"/>
      <c r="I6093" s="121"/>
      <c r="J6093" s="121"/>
      <c r="K6093" s="117"/>
    </row>
    <row r="6094" ht="15.75" customHeight="1">
      <c r="A6094" s="122"/>
      <c r="B6094" s="133"/>
      <c r="C6094" s="120"/>
      <c r="D6094" s="120"/>
      <c r="E6094" s="120"/>
      <c r="F6094" s="120"/>
      <c r="G6094" s="120"/>
      <c r="H6094" s="120"/>
      <c r="I6094" s="121"/>
      <c r="J6094" s="121"/>
      <c r="K6094" s="117"/>
    </row>
    <row r="6095" ht="15.75" customHeight="1">
      <c r="A6095" s="122"/>
      <c r="B6095" s="133"/>
      <c r="C6095" s="120"/>
      <c r="D6095" s="120"/>
      <c r="E6095" s="120"/>
      <c r="F6095" s="120"/>
      <c r="G6095" s="120"/>
      <c r="H6095" s="120"/>
      <c r="I6095" s="121"/>
      <c r="J6095" s="121"/>
      <c r="K6095" s="117"/>
    </row>
    <row r="6096" ht="15.75" customHeight="1">
      <c r="A6096" s="122"/>
      <c r="B6096" s="133"/>
      <c r="C6096" s="120"/>
      <c r="D6096" s="120"/>
      <c r="E6096" s="120"/>
      <c r="F6096" s="120"/>
      <c r="G6096" s="120"/>
      <c r="H6096" s="120"/>
      <c r="I6096" s="121"/>
      <c r="J6096" s="121"/>
      <c r="K6096" s="117"/>
    </row>
    <row r="6097" ht="15.75" customHeight="1">
      <c r="A6097" s="122"/>
      <c r="B6097" s="133"/>
      <c r="C6097" s="120"/>
      <c r="D6097" s="120"/>
      <c r="E6097" s="120"/>
      <c r="F6097" s="120"/>
      <c r="G6097" s="120"/>
      <c r="H6097" s="120"/>
      <c r="I6097" s="121"/>
      <c r="J6097" s="121"/>
      <c r="K6097" s="117"/>
    </row>
    <row r="6098" ht="15.75" customHeight="1">
      <c r="A6098" s="122"/>
      <c r="B6098" s="133"/>
      <c r="C6098" s="120"/>
      <c r="D6098" s="120"/>
      <c r="E6098" s="120"/>
      <c r="F6098" s="120"/>
      <c r="G6098" s="120"/>
      <c r="H6098" s="120"/>
      <c r="I6098" s="121"/>
      <c r="J6098" s="121"/>
      <c r="K6098" s="117"/>
    </row>
    <row r="6099" ht="15.75" customHeight="1">
      <c r="A6099" s="122"/>
      <c r="B6099" s="133"/>
      <c r="C6099" s="120"/>
      <c r="D6099" s="120"/>
      <c r="E6099" s="120"/>
      <c r="F6099" s="120"/>
      <c r="G6099" s="120"/>
      <c r="H6099" s="120"/>
      <c r="I6099" s="121"/>
      <c r="J6099" s="121"/>
      <c r="K6099" s="117"/>
    </row>
    <row r="6100" ht="15.75" customHeight="1">
      <c r="A6100" s="122"/>
      <c r="B6100" s="133"/>
      <c r="C6100" s="120"/>
      <c r="D6100" s="120"/>
      <c r="E6100" s="120"/>
      <c r="F6100" s="120"/>
      <c r="G6100" s="120"/>
      <c r="H6100" s="120"/>
      <c r="I6100" s="121"/>
      <c r="J6100" s="121"/>
      <c r="K6100" s="117"/>
    </row>
    <row r="6101" ht="15.75" customHeight="1">
      <c r="A6101" s="122"/>
      <c r="B6101" s="133"/>
      <c r="C6101" s="120"/>
      <c r="D6101" s="120"/>
      <c r="E6101" s="120"/>
      <c r="F6101" s="120"/>
      <c r="G6101" s="120"/>
      <c r="H6101" s="120"/>
      <c r="I6101" s="121"/>
      <c r="J6101" s="121"/>
      <c r="K6101" s="117"/>
    </row>
    <row r="6102" ht="15.75" customHeight="1">
      <c r="A6102" s="122"/>
      <c r="B6102" s="133"/>
      <c r="C6102" s="120"/>
      <c r="D6102" s="120"/>
      <c r="E6102" s="120"/>
      <c r="F6102" s="120"/>
      <c r="G6102" s="120"/>
      <c r="H6102" s="120"/>
      <c r="I6102" s="121"/>
      <c r="J6102" s="121"/>
      <c r="K6102" s="117"/>
    </row>
    <row r="6103" ht="15.75" customHeight="1">
      <c r="A6103" s="122"/>
      <c r="B6103" s="133"/>
      <c r="C6103" s="120"/>
      <c r="D6103" s="120"/>
      <c r="E6103" s="120"/>
      <c r="F6103" s="120"/>
      <c r="G6103" s="120"/>
      <c r="H6103" s="120"/>
      <c r="I6103" s="121"/>
      <c r="J6103" s="121"/>
      <c r="K6103" s="117"/>
    </row>
    <row r="6104" ht="15.75" customHeight="1">
      <c r="A6104" s="122"/>
      <c r="B6104" s="133"/>
      <c r="C6104" s="120"/>
      <c r="D6104" s="120"/>
      <c r="E6104" s="120"/>
      <c r="F6104" s="120"/>
      <c r="G6104" s="120"/>
      <c r="H6104" s="120"/>
      <c r="I6104" s="121"/>
      <c r="J6104" s="121"/>
      <c r="K6104" s="117"/>
    </row>
    <row r="6105" ht="15.75" customHeight="1">
      <c r="A6105" s="122"/>
      <c r="B6105" s="133"/>
      <c r="C6105" s="120"/>
      <c r="D6105" s="120"/>
      <c r="E6105" s="120"/>
      <c r="F6105" s="120"/>
      <c r="G6105" s="120"/>
      <c r="H6105" s="120"/>
      <c r="I6105" s="121"/>
      <c r="J6105" s="121"/>
      <c r="K6105" s="117"/>
    </row>
    <row r="6106" ht="15.75" customHeight="1">
      <c r="A6106" s="122"/>
      <c r="B6106" s="133"/>
      <c r="C6106" s="120"/>
      <c r="D6106" s="120"/>
      <c r="E6106" s="120"/>
      <c r="F6106" s="120"/>
      <c r="G6106" s="120"/>
      <c r="H6106" s="120"/>
      <c r="I6106" s="121"/>
      <c r="J6106" s="121"/>
      <c r="K6106" s="117"/>
    </row>
    <row r="6107" ht="15.75" customHeight="1">
      <c r="A6107" s="122"/>
      <c r="B6107" s="133"/>
      <c r="C6107" s="120"/>
      <c r="D6107" s="120"/>
      <c r="E6107" s="120"/>
      <c r="F6107" s="120"/>
      <c r="G6107" s="120"/>
      <c r="H6107" s="120"/>
      <c r="I6107" s="121"/>
      <c r="J6107" s="121"/>
      <c r="K6107" s="117"/>
    </row>
    <row r="6108" ht="15.75" customHeight="1">
      <c r="A6108" s="122"/>
      <c r="B6108" s="133"/>
      <c r="C6108" s="120"/>
      <c r="D6108" s="120"/>
      <c r="E6108" s="120"/>
      <c r="F6108" s="120"/>
      <c r="G6108" s="120"/>
      <c r="H6108" s="120"/>
      <c r="I6108" s="121"/>
      <c r="J6108" s="121"/>
      <c r="K6108" s="117"/>
    </row>
    <row r="6109" ht="15.75" customHeight="1">
      <c r="A6109" s="122"/>
      <c r="B6109" s="133"/>
      <c r="C6109" s="120"/>
      <c r="D6109" s="120"/>
      <c r="E6109" s="120"/>
      <c r="F6109" s="120"/>
      <c r="G6109" s="120"/>
      <c r="H6109" s="120"/>
      <c r="I6109" s="121"/>
      <c r="J6109" s="121"/>
      <c r="K6109" s="117"/>
    </row>
    <row r="6110" ht="15.75" customHeight="1">
      <c r="A6110" s="122"/>
      <c r="B6110" s="133"/>
      <c r="C6110" s="120"/>
      <c r="D6110" s="120"/>
      <c r="E6110" s="120"/>
      <c r="F6110" s="120"/>
      <c r="G6110" s="120"/>
      <c r="H6110" s="120"/>
      <c r="I6110" s="121"/>
      <c r="J6110" s="121"/>
      <c r="K6110" s="117"/>
    </row>
    <row r="6111" ht="15.75" customHeight="1">
      <c r="A6111" s="122"/>
      <c r="B6111" s="133"/>
      <c r="C6111" s="120"/>
      <c r="D6111" s="120"/>
      <c r="E6111" s="120"/>
      <c r="F6111" s="120"/>
      <c r="G6111" s="120"/>
      <c r="H6111" s="120"/>
      <c r="I6111" s="121"/>
      <c r="J6111" s="121"/>
      <c r="K6111" s="117"/>
    </row>
    <row r="6112" ht="15.75" customHeight="1">
      <c r="A6112" s="122"/>
      <c r="B6112" s="133"/>
      <c r="C6112" s="120"/>
      <c r="D6112" s="120"/>
      <c r="E6112" s="120"/>
      <c r="F6112" s="120"/>
      <c r="G6112" s="120"/>
      <c r="H6112" s="120"/>
      <c r="I6112" s="121"/>
      <c r="J6112" s="121"/>
      <c r="K6112" s="117"/>
    </row>
    <row r="6113" ht="15.75" customHeight="1">
      <c r="A6113" s="122"/>
      <c r="B6113" s="133"/>
      <c r="C6113" s="120"/>
      <c r="D6113" s="120"/>
      <c r="E6113" s="120"/>
      <c r="F6113" s="120"/>
      <c r="G6113" s="120"/>
      <c r="H6113" s="120"/>
      <c r="I6113" s="121"/>
      <c r="J6113" s="121"/>
      <c r="K6113" s="117"/>
    </row>
    <row r="6114" ht="15.75" customHeight="1">
      <c r="A6114" s="122"/>
      <c r="B6114" s="133"/>
      <c r="C6114" s="120"/>
      <c r="D6114" s="120"/>
      <c r="E6114" s="120"/>
      <c r="F6114" s="120"/>
      <c r="G6114" s="120"/>
      <c r="H6114" s="120"/>
      <c r="I6114" s="121"/>
      <c r="J6114" s="121"/>
      <c r="K6114" s="117"/>
    </row>
    <row r="6115" ht="15.75" customHeight="1">
      <c r="A6115" s="122"/>
      <c r="B6115" s="133"/>
      <c r="C6115" s="120"/>
      <c r="D6115" s="120"/>
      <c r="E6115" s="120"/>
      <c r="F6115" s="120"/>
      <c r="G6115" s="120"/>
      <c r="H6115" s="120"/>
      <c r="I6115" s="121"/>
      <c r="J6115" s="121"/>
      <c r="K6115" s="117"/>
    </row>
    <row r="6116" ht="15.75" customHeight="1">
      <c r="A6116" s="122"/>
      <c r="B6116" s="133"/>
      <c r="C6116" s="120"/>
      <c r="D6116" s="120"/>
      <c r="E6116" s="120"/>
      <c r="F6116" s="120"/>
      <c r="G6116" s="120"/>
      <c r="H6116" s="120"/>
      <c r="I6116" s="121"/>
      <c r="J6116" s="121"/>
      <c r="K6116" s="117"/>
    </row>
    <row r="6117" ht="15.75" customHeight="1">
      <c r="A6117" s="122"/>
      <c r="B6117" s="133"/>
      <c r="C6117" s="120"/>
      <c r="D6117" s="120"/>
      <c r="E6117" s="120"/>
      <c r="F6117" s="120"/>
      <c r="G6117" s="120"/>
      <c r="H6117" s="120"/>
      <c r="I6117" s="121"/>
      <c r="J6117" s="121"/>
      <c r="K6117" s="117"/>
    </row>
    <row r="6118" ht="15.75" customHeight="1">
      <c r="A6118" s="122"/>
      <c r="B6118" s="133"/>
      <c r="C6118" s="120"/>
      <c r="D6118" s="120"/>
      <c r="E6118" s="120"/>
      <c r="F6118" s="120"/>
      <c r="G6118" s="120"/>
      <c r="H6118" s="120"/>
      <c r="I6118" s="121"/>
      <c r="J6118" s="121"/>
      <c r="K6118" s="117"/>
    </row>
    <row r="6119" ht="15.75" customHeight="1">
      <c r="A6119" s="122"/>
      <c r="B6119" s="133"/>
      <c r="C6119" s="120"/>
      <c r="D6119" s="120"/>
      <c r="E6119" s="120"/>
      <c r="F6119" s="120"/>
      <c r="G6119" s="120"/>
      <c r="H6119" s="120"/>
      <c r="I6119" s="121"/>
      <c r="J6119" s="121"/>
      <c r="K6119" s="117"/>
    </row>
    <row r="6120" ht="15.75" customHeight="1">
      <c r="A6120" s="122"/>
      <c r="B6120" s="133"/>
      <c r="C6120" s="120"/>
      <c r="D6120" s="120"/>
      <c r="E6120" s="120"/>
      <c r="F6120" s="120"/>
      <c r="G6120" s="120"/>
      <c r="H6120" s="120"/>
      <c r="I6120" s="121"/>
      <c r="J6120" s="121"/>
      <c r="K6120" s="117"/>
    </row>
    <row r="6121" ht="15.75" customHeight="1">
      <c r="A6121" s="122"/>
      <c r="B6121" s="133"/>
      <c r="C6121" s="120"/>
      <c r="D6121" s="120"/>
      <c r="E6121" s="120"/>
      <c r="F6121" s="120"/>
      <c r="G6121" s="120"/>
      <c r="H6121" s="120"/>
      <c r="I6121" s="121"/>
      <c r="J6121" s="121"/>
      <c r="K6121" s="117"/>
    </row>
    <row r="6122" ht="15.75" customHeight="1">
      <c r="A6122" s="122"/>
      <c r="B6122" s="133"/>
      <c r="C6122" s="120"/>
      <c r="D6122" s="120"/>
      <c r="E6122" s="120"/>
      <c r="F6122" s="120"/>
      <c r="G6122" s="120"/>
      <c r="H6122" s="120"/>
      <c r="I6122" s="121"/>
      <c r="J6122" s="121"/>
      <c r="K6122" s="117"/>
    </row>
    <row r="6123" ht="15.75" customHeight="1">
      <c r="A6123" s="122"/>
      <c r="B6123" s="133"/>
      <c r="C6123" s="120"/>
      <c r="D6123" s="120"/>
      <c r="E6123" s="120"/>
      <c r="F6123" s="120"/>
      <c r="G6123" s="120"/>
      <c r="H6123" s="120"/>
      <c r="I6123" s="121"/>
      <c r="J6123" s="121"/>
      <c r="K6123" s="117"/>
    </row>
    <row r="6124" ht="15.75" customHeight="1">
      <c r="A6124" s="122"/>
      <c r="B6124" s="133"/>
      <c r="C6124" s="120"/>
      <c r="D6124" s="120"/>
      <c r="E6124" s="120"/>
      <c r="F6124" s="120"/>
      <c r="G6124" s="120"/>
      <c r="H6124" s="120"/>
      <c r="I6124" s="121"/>
      <c r="J6124" s="121"/>
      <c r="K6124" s="117"/>
    </row>
    <row r="6125" ht="15.75" customHeight="1">
      <c r="A6125" s="122"/>
      <c r="B6125" s="133"/>
      <c r="C6125" s="120"/>
      <c r="D6125" s="120"/>
      <c r="E6125" s="120"/>
      <c r="F6125" s="120"/>
      <c r="G6125" s="120"/>
      <c r="H6125" s="120"/>
      <c r="I6125" s="121"/>
      <c r="J6125" s="121"/>
      <c r="K6125" s="117"/>
    </row>
    <row r="6126" ht="15.75" customHeight="1">
      <c r="A6126" s="122"/>
      <c r="B6126" s="133"/>
      <c r="C6126" s="120"/>
      <c r="D6126" s="120"/>
      <c r="E6126" s="120"/>
      <c r="F6126" s="120"/>
      <c r="G6126" s="120"/>
      <c r="H6126" s="120"/>
      <c r="I6126" s="121"/>
      <c r="J6126" s="121"/>
      <c r="K6126" s="117"/>
    </row>
    <row r="6127" ht="15.75" customHeight="1">
      <c r="A6127" s="122"/>
      <c r="B6127" s="133"/>
      <c r="C6127" s="120"/>
      <c r="D6127" s="120"/>
      <c r="E6127" s="120"/>
      <c r="F6127" s="120"/>
      <c r="G6127" s="120"/>
      <c r="H6127" s="120"/>
      <c r="I6127" s="121"/>
      <c r="J6127" s="121"/>
      <c r="K6127" s="117"/>
    </row>
    <row r="6128" ht="15.75" customHeight="1">
      <c r="A6128" s="122"/>
      <c r="B6128" s="133"/>
      <c r="C6128" s="120"/>
      <c r="D6128" s="120"/>
      <c r="E6128" s="120"/>
      <c r="F6128" s="120"/>
      <c r="G6128" s="120"/>
      <c r="H6128" s="120"/>
      <c r="I6128" s="121"/>
      <c r="J6128" s="121"/>
      <c r="K6128" s="117"/>
    </row>
    <row r="6129" ht="15.75" customHeight="1">
      <c r="A6129" s="122"/>
      <c r="B6129" s="133"/>
      <c r="C6129" s="120"/>
      <c r="D6129" s="120"/>
      <c r="E6129" s="120"/>
      <c r="F6129" s="120"/>
      <c r="G6129" s="120"/>
      <c r="H6129" s="120"/>
      <c r="I6129" s="121"/>
      <c r="J6129" s="121"/>
      <c r="K6129" s="117"/>
    </row>
    <row r="6130" ht="15.75" customHeight="1">
      <c r="A6130" s="122"/>
      <c r="B6130" s="133"/>
      <c r="C6130" s="120"/>
      <c r="D6130" s="120"/>
      <c r="E6130" s="120"/>
      <c r="F6130" s="120"/>
      <c r="G6130" s="120"/>
      <c r="H6130" s="120"/>
      <c r="I6130" s="121"/>
      <c r="J6130" s="121"/>
      <c r="K6130" s="117"/>
    </row>
    <row r="6131" ht="15.75" customHeight="1">
      <c r="A6131" s="122"/>
      <c r="B6131" s="133"/>
      <c r="C6131" s="120"/>
      <c r="D6131" s="120"/>
      <c r="E6131" s="120"/>
      <c r="F6131" s="120"/>
      <c r="G6131" s="120"/>
      <c r="H6131" s="120"/>
      <c r="I6131" s="121"/>
      <c r="J6131" s="121"/>
      <c r="K6131" s="117"/>
    </row>
    <row r="6132" ht="15.75" customHeight="1">
      <c r="A6132" s="122"/>
      <c r="B6132" s="133"/>
      <c r="C6132" s="120"/>
      <c r="D6132" s="120"/>
      <c r="E6132" s="120"/>
      <c r="F6132" s="120"/>
      <c r="G6132" s="120"/>
      <c r="H6132" s="120"/>
      <c r="I6132" s="121"/>
      <c r="J6132" s="121"/>
      <c r="K6132" s="117"/>
    </row>
    <row r="6133" ht="15.75" customHeight="1">
      <c r="A6133" s="122"/>
      <c r="B6133" s="133"/>
      <c r="C6133" s="120"/>
      <c r="D6133" s="120"/>
      <c r="E6133" s="120"/>
      <c r="F6133" s="120"/>
      <c r="G6133" s="120"/>
      <c r="H6133" s="120"/>
      <c r="I6133" s="121"/>
      <c r="J6133" s="121"/>
      <c r="K6133" s="117"/>
    </row>
    <row r="6134" ht="15.75" customHeight="1">
      <c r="A6134" s="122"/>
      <c r="B6134" s="133"/>
      <c r="C6134" s="120"/>
      <c r="D6134" s="120"/>
      <c r="E6134" s="120"/>
      <c r="F6134" s="120"/>
      <c r="G6134" s="120"/>
      <c r="H6134" s="120"/>
      <c r="I6134" s="121"/>
      <c r="J6134" s="121"/>
      <c r="K6134" s="117"/>
    </row>
    <row r="6135" ht="15.75" customHeight="1">
      <c r="A6135" s="122"/>
      <c r="B6135" s="133"/>
      <c r="C6135" s="120"/>
      <c r="D6135" s="120"/>
      <c r="E6135" s="120"/>
      <c r="F6135" s="120"/>
      <c r="G6135" s="120"/>
      <c r="H6135" s="120"/>
      <c r="I6135" s="121"/>
      <c r="J6135" s="121"/>
      <c r="K6135" s="117"/>
    </row>
    <row r="6136" ht="15.75" customHeight="1">
      <c r="A6136" s="122"/>
      <c r="B6136" s="133"/>
      <c r="C6136" s="120"/>
      <c r="D6136" s="120"/>
      <c r="E6136" s="120"/>
      <c r="F6136" s="120"/>
      <c r="G6136" s="120"/>
      <c r="H6136" s="120"/>
      <c r="I6136" s="121"/>
      <c r="J6136" s="121"/>
      <c r="K6136" s="117"/>
    </row>
    <row r="6137" ht="15.75" customHeight="1">
      <c r="A6137" s="122"/>
      <c r="B6137" s="133"/>
      <c r="C6137" s="120"/>
      <c r="D6137" s="120"/>
      <c r="E6137" s="120"/>
      <c r="F6137" s="120"/>
      <c r="G6137" s="120"/>
      <c r="H6137" s="120"/>
      <c r="I6137" s="121"/>
      <c r="J6137" s="121"/>
      <c r="K6137" s="117"/>
    </row>
    <row r="6138" ht="15.75" customHeight="1">
      <c r="A6138" s="122"/>
      <c r="B6138" s="133"/>
      <c r="C6138" s="120"/>
      <c r="D6138" s="120"/>
      <c r="E6138" s="120"/>
      <c r="F6138" s="120"/>
      <c r="G6138" s="120"/>
      <c r="H6138" s="120"/>
      <c r="I6138" s="121"/>
      <c r="J6138" s="121"/>
      <c r="K6138" s="117"/>
    </row>
    <row r="6139" ht="15.75" customHeight="1">
      <c r="A6139" s="122"/>
      <c r="B6139" s="133"/>
      <c r="C6139" s="120"/>
      <c r="D6139" s="120"/>
      <c r="E6139" s="120"/>
      <c r="F6139" s="120"/>
      <c r="G6139" s="120"/>
      <c r="H6139" s="120"/>
      <c r="I6139" s="121"/>
      <c r="J6139" s="121"/>
      <c r="K6139" s="117"/>
    </row>
    <row r="6140" ht="15.75" customHeight="1">
      <c r="A6140" s="122"/>
      <c r="B6140" s="133"/>
      <c r="C6140" s="120"/>
      <c r="D6140" s="120"/>
      <c r="E6140" s="120"/>
      <c r="F6140" s="120"/>
      <c r="G6140" s="120"/>
      <c r="H6140" s="120"/>
      <c r="I6140" s="121"/>
      <c r="J6140" s="121"/>
      <c r="K6140" s="117"/>
    </row>
    <row r="6141" ht="15.75" customHeight="1">
      <c r="A6141" s="122"/>
      <c r="B6141" s="133"/>
      <c r="C6141" s="120"/>
      <c r="D6141" s="120"/>
      <c r="E6141" s="120"/>
      <c r="F6141" s="120"/>
      <c r="G6141" s="120"/>
      <c r="H6141" s="120"/>
      <c r="I6141" s="121"/>
      <c r="J6141" s="121"/>
      <c r="K6141" s="117"/>
    </row>
    <row r="6142" ht="15.75" customHeight="1">
      <c r="A6142" s="122"/>
      <c r="B6142" s="133"/>
      <c r="C6142" s="120"/>
      <c r="D6142" s="120"/>
      <c r="E6142" s="120"/>
      <c r="F6142" s="120"/>
      <c r="G6142" s="120"/>
      <c r="H6142" s="120"/>
      <c r="I6142" s="121"/>
      <c r="J6142" s="121"/>
      <c r="K6142" s="117"/>
    </row>
    <row r="6143" ht="15.75" customHeight="1">
      <c r="A6143" s="122"/>
      <c r="B6143" s="133"/>
      <c r="C6143" s="120"/>
      <c r="D6143" s="120"/>
      <c r="E6143" s="120"/>
      <c r="F6143" s="120"/>
      <c r="G6143" s="120"/>
      <c r="H6143" s="120"/>
      <c r="I6143" s="121"/>
      <c r="J6143" s="121"/>
      <c r="K6143" s="117"/>
    </row>
    <row r="6144" ht="15.75" customHeight="1">
      <c r="A6144" s="122"/>
      <c r="B6144" s="133"/>
      <c r="C6144" s="120"/>
      <c r="D6144" s="120"/>
      <c r="E6144" s="120"/>
      <c r="F6144" s="120"/>
      <c r="G6144" s="120"/>
      <c r="H6144" s="120"/>
      <c r="I6144" s="121"/>
      <c r="J6144" s="121"/>
      <c r="K6144" s="117"/>
    </row>
    <row r="6145" ht="15.75" customHeight="1">
      <c r="A6145" s="122"/>
      <c r="B6145" s="133"/>
      <c r="C6145" s="120"/>
      <c r="D6145" s="120"/>
      <c r="E6145" s="120"/>
      <c r="F6145" s="120"/>
      <c r="G6145" s="120"/>
      <c r="H6145" s="120"/>
      <c r="I6145" s="121"/>
      <c r="J6145" s="121"/>
      <c r="K6145" s="117"/>
    </row>
    <row r="6146" ht="15.75" customHeight="1">
      <c r="A6146" s="122"/>
      <c r="B6146" s="133"/>
      <c r="C6146" s="120"/>
      <c r="D6146" s="120"/>
      <c r="E6146" s="120"/>
      <c r="F6146" s="120"/>
      <c r="G6146" s="120"/>
      <c r="H6146" s="120"/>
      <c r="I6146" s="121"/>
      <c r="J6146" s="121"/>
      <c r="K6146" s="117"/>
    </row>
    <row r="6147" ht="15.75" customHeight="1">
      <c r="A6147" s="122"/>
      <c r="B6147" s="133"/>
      <c r="C6147" s="120"/>
      <c r="D6147" s="120"/>
      <c r="E6147" s="120"/>
      <c r="F6147" s="120"/>
      <c r="G6147" s="120"/>
      <c r="H6147" s="120"/>
      <c r="I6147" s="121"/>
      <c r="J6147" s="121"/>
      <c r="K6147" s="117"/>
    </row>
    <row r="6148" ht="15.75" customHeight="1">
      <c r="A6148" s="122"/>
      <c r="B6148" s="133"/>
      <c r="C6148" s="120"/>
      <c r="D6148" s="120"/>
      <c r="E6148" s="120"/>
      <c r="F6148" s="120"/>
      <c r="G6148" s="120"/>
      <c r="H6148" s="120"/>
      <c r="I6148" s="121"/>
      <c r="J6148" s="121"/>
      <c r="K6148" s="117"/>
    </row>
    <row r="6149" ht="15.75" customHeight="1">
      <c r="A6149" s="122"/>
      <c r="B6149" s="133"/>
      <c r="C6149" s="120"/>
      <c r="D6149" s="120"/>
      <c r="E6149" s="120"/>
      <c r="F6149" s="120"/>
      <c r="G6149" s="120"/>
      <c r="H6149" s="120"/>
      <c r="I6149" s="121"/>
      <c r="J6149" s="121"/>
      <c r="K6149" s="117"/>
    </row>
    <row r="6150" ht="15.75" customHeight="1">
      <c r="A6150" s="122"/>
      <c r="B6150" s="133"/>
      <c r="C6150" s="120"/>
      <c r="D6150" s="120"/>
      <c r="E6150" s="120"/>
      <c r="F6150" s="120"/>
      <c r="G6150" s="120"/>
      <c r="H6150" s="120"/>
      <c r="I6150" s="121"/>
      <c r="J6150" s="121"/>
      <c r="K6150" s="117"/>
    </row>
    <row r="6151" ht="15.75" customHeight="1">
      <c r="A6151" s="122"/>
      <c r="B6151" s="133"/>
      <c r="C6151" s="120"/>
      <c r="D6151" s="120"/>
      <c r="E6151" s="120"/>
      <c r="F6151" s="120"/>
      <c r="G6151" s="120"/>
      <c r="H6151" s="120"/>
      <c r="I6151" s="121"/>
      <c r="J6151" s="121"/>
      <c r="K6151" s="117"/>
    </row>
    <row r="6152" ht="15.75" customHeight="1">
      <c r="A6152" s="122"/>
      <c r="B6152" s="133"/>
      <c r="C6152" s="120"/>
      <c r="D6152" s="120"/>
      <c r="E6152" s="120"/>
      <c r="F6152" s="120"/>
      <c r="G6152" s="120"/>
      <c r="H6152" s="120"/>
      <c r="I6152" s="121"/>
      <c r="J6152" s="121"/>
      <c r="K6152" s="117"/>
    </row>
    <row r="6153" ht="15.75" customHeight="1">
      <c r="A6153" s="122"/>
      <c r="B6153" s="133"/>
      <c r="C6153" s="120"/>
      <c r="D6153" s="120"/>
      <c r="E6153" s="120"/>
      <c r="F6153" s="120"/>
      <c r="G6153" s="120"/>
      <c r="H6153" s="120"/>
      <c r="I6153" s="121"/>
      <c r="J6153" s="121"/>
      <c r="K6153" s="117"/>
    </row>
    <row r="6154" ht="15.75" customHeight="1">
      <c r="A6154" s="122"/>
      <c r="B6154" s="133"/>
      <c r="C6154" s="120"/>
      <c r="D6154" s="120"/>
      <c r="E6154" s="120"/>
      <c r="F6154" s="120"/>
      <c r="G6154" s="120"/>
      <c r="H6154" s="120"/>
      <c r="I6154" s="121"/>
      <c r="J6154" s="121"/>
      <c r="K6154" s="117"/>
    </row>
    <row r="6155" ht="15.75" customHeight="1">
      <c r="A6155" s="122"/>
      <c r="B6155" s="133"/>
      <c r="C6155" s="120"/>
      <c r="D6155" s="120"/>
      <c r="E6155" s="120"/>
      <c r="F6155" s="120"/>
      <c r="G6155" s="120"/>
      <c r="H6155" s="120"/>
      <c r="I6155" s="121"/>
      <c r="J6155" s="121"/>
      <c r="K6155" s="117"/>
    </row>
    <row r="6156" ht="15.75" customHeight="1">
      <c r="A6156" s="122"/>
      <c r="B6156" s="133"/>
      <c r="C6156" s="120"/>
      <c r="D6156" s="120"/>
      <c r="E6156" s="120"/>
      <c r="F6156" s="120"/>
      <c r="G6156" s="120"/>
      <c r="H6156" s="120"/>
      <c r="I6156" s="121"/>
      <c r="J6156" s="121"/>
      <c r="K6156" s="117"/>
    </row>
    <row r="6157" ht="15.75" customHeight="1">
      <c r="A6157" s="122"/>
      <c r="B6157" s="133"/>
      <c r="C6157" s="120"/>
      <c r="D6157" s="120"/>
      <c r="E6157" s="120"/>
      <c r="F6157" s="120"/>
      <c r="G6157" s="120"/>
      <c r="H6157" s="120"/>
      <c r="I6157" s="121"/>
      <c r="J6157" s="121"/>
      <c r="K6157" s="117"/>
    </row>
    <row r="6158" ht="15.75" customHeight="1">
      <c r="A6158" s="122"/>
      <c r="B6158" s="133"/>
      <c r="C6158" s="120"/>
      <c r="D6158" s="120"/>
      <c r="E6158" s="120"/>
      <c r="F6158" s="120"/>
      <c r="G6158" s="120"/>
      <c r="H6158" s="120"/>
      <c r="I6158" s="121"/>
      <c r="J6158" s="121"/>
      <c r="K6158" s="117"/>
    </row>
    <row r="6159" ht="15.75" customHeight="1">
      <c r="A6159" s="122"/>
      <c r="B6159" s="133"/>
      <c r="C6159" s="120"/>
      <c r="D6159" s="120"/>
      <c r="E6159" s="120"/>
      <c r="F6159" s="120"/>
      <c r="G6159" s="120"/>
      <c r="H6159" s="120"/>
      <c r="I6159" s="121"/>
      <c r="J6159" s="121"/>
      <c r="K6159" s="117"/>
    </row>
    <row r="6160" ht="15.75" customHeight="1">
      <c r="A6160" s="122"/>
      <c r="B6160" s="133"/>
      <c r="C6160" s="120"/>
      <c r="D6160" s="120"/>
      <c r="E6160" s="120"/>
      <c r="F6160" s="120"/>
      <c r="G6160" s="120"/>
      <c r="H6160" s="120"/>
      <c r="I6160" s="121"/>
      <c r="J6160" s="121"/>
      <c r="K6160" s="117"/>
    </row>
    <row r="6161" ht="15.75" customHeight="1">
      <c r="A6161" s="122"/>
      <c r="B6161" s="133"/>
      <c r="C6161" s="120"/>
      <c r="D6161" s="120"/>
      <c r="E6161" s="120"/>
      <c r="F6161" s="120"/>
      <c r="G6161" s="120"/>
      <c r="H6161" s="120"/>
      <c r="I6161" s="121"/>
      <c r="J6161" s="121"/>
      <c r="K6161" s="117"/>
    </row>
    <row r="6162" ht="15.75" customHeight="1">
      <c r="A6162" s="122"/>
      <c r="B6162" s="133"/>
      <c r="C6162" s="120"/>
      <c r="D6162" s="120"/>
      <c r="E6162" s="120"/>
      <c r="F6162" s="120"/>
      <c r="G6162" s="120"/>
      <c r="H6162" s="120"/>
      <c r="I6162" s="121"/>
      <c r="J6162" s="121"/>
      <c r="K6162" s="117"/>
    </row>
    <row r="6163" ht="15.75" customHeight="1">
      <c r="A6163" s="122"/>
      <c r="B6163" s="133"/>
      <c r="C6163" s="120"/>
      <c r="D6163" s="120"/>
      <c r="E6163" s="120"/>
      <c r="F6163" s="120"/>
      <c r="G6163" s="120"/>
      <c r="H6163" s="120"/>
      <c r="I6163" s="121"/>
      <c r="J6163" s="121"/>
      <c r="K6163" s="117"/>
    </row>
    <row r="6164" ht="15.75" customHeight="1">
      <c r="A6164" s="122"/>
      <c r="B6164" s="133"/>
      <c r="C6164" s="120"/>
      <c r="D6164" s="120"/>
      <c r="E6164" s="120"/>
      <c r="F6164" s="120"/>
      <c r="G6164" s="120"/>
      <c r="H6164" s="120"/>
      <c r="I6164" s="121"/>
      <c r="J6164" s="121"/>
      <c r="K6164" s="117"/>
    </row>
    <row r="6165" ht="15.75" customHeight="1">
      <c r="A6165" s="122"/>
      <c r="B6165" s="133"/>
      <c r="C6165" s="120"/>
      <c r="D6165" s="120"/>
      <c r="E6165" s="120"/>
      <c r="F6165" s="120"/>
      <c r="G6165" s="120"/>
      <c r="H6165" s="120"/>
      <c r="I6165" s="121"/>
      <c r="J6165" s="121"/>
      <c r="K6165" s="117"/>
    </row>
    <row r="6166" ht="15.75" customHeight="1">
      <c r="A6166" s="122"/>
      <c r="B6166" s="133"/>
      <c r="C6166" s="120"/>
      <c r="D6166" s="120"/>
      <c r="E6166" s="120"/>
      <c r="F6166" s="120"/>
      <c r="G6166" s="120"/>
      <c r="H6166" s="120"/>
      <c r="I6166" s="121"/>
      <c r="J6166" s="121"/>
      <c r="K6166" s="117"/>
    </row>
    <row r="6167" ht="15.75" customHeight="1">
      <c r="A6167" s="122"/>
      <c r="B6167" s="133"/>
      <c r="C6167" s="120"/>
      <c r="D6167" s="120"/>
      <c r="E6167" s="120"/>
      <c r="F6167" s="120"/>
      <c r="G6167" s="120"/>
      <c r="H6167" s="120"/>
      <c r="I6167" s="121"/>
      <c r="J6167" s="121"/>
      <c r="K6167" s="117"/>
    </row>
    <row r="6168" ht="15.75" customHeight="1">
      <c r="A6168" s="122"/>
      <c r="B6168" s="133"/>
      <c r="C6168" s="120"/>
      <c r="D6168" s="120"/>
      <c r="E6168" s="120"/>
      <c r="F6168" s="120"/>
      <c r="G6168" s="120"/>
      <c r="H6168" s="120"/>
      <c r="I6168" s="121"/>
      <c r="J6168" s="121"/>
      <c r="K6168" s="117"/>
    </row>
    <row r="6169" ht="15.75" customHeight="1">
      <c r="A6169" s="122"/>
      <c r="B6169" s="133"/>
      <c r="C6169" s="120"/>
      <c r="D6169" s="120"/>
      <c r="E6169" s="120"/>
      <c r="F6169" s="120"/>
      <c r="G6169" s="120"/>
      <c r="H6169" s="120"/>
      <c r="I6169" s="121"/>
      <c r="J6169" s="121"/>
      <c r="K6169" s="117"/>
    </row>
    <row r="6170" ht="15.75" customHeight="1">
      <c r="A6170" s="122"/>
      <c r="B6170" s="133"/>
      <c r="C6170" s="120"/>
      <c r="D6170" s="120"/>
      <c r="E6170" s="120"/>
      <c r="F6170" s="120"/>
      <c r="G6170" s="120"/>
      <c r="H6170" s="120"/>
      <c r="I6170" s="121"/>
      <c r="J6170" s="121"/>
      <c r="K6170" s="117"/>
    </row>
    <row r="6171" ht="15.75" customHeight="1">
      <c r="A6171" s="122"/>
      <c r="B6171" s="133"/>
      <c r="C6171" s="120"/>
      <c r="D6171" s="120"/>
      <c r="E6171" s="120"/>
      <c r="F6171" s="120"/>
      <c r="G6171" s="120"/>
      <c r="H6171" s="120"/>
      <c r="I6171" s="121"/>
      <c r="J6171" s="121"/>
      <c r="K6171" s="117"/>
    </row>
    <row r="6172" ht="15.75" customHeight="1">
      <c r="A6172" s="122"/>
      <c r="B6172" s="133"/>
      <c r="C6172" s="120"/>
      <c r="D6172" s="120"/>
      <c r="E6172" s="120"/>
      <c r="F6172" s="120"/>
      <c r="G6172" s="120"/>
      <c r="H6172" s="120"/>
      <c r="I6172" s="121"/>
      <c r="J6172" s="121"/>
      <c r="K6172" s="117"/>
    </row>
    <row r="6173" ht="15.75" customHeight="1">
      <c r="A6173" s="122"/>
      <c r="B6173" s="133"/>
      <c r="C6173" s="120"/>
      <c r="D6173" s="120"/>
      <c r="E6173" s="120"/>
      <c r="F6173" s="120"/>
      <c r="G6173" s="120"/>
      <c r="H6173" s="120"/>
      <c r="I6173" s="121"/>
      <c r="J6173" s="121"/>
      <c r="K6173" s="117"/>
    </row>
    <row r="6174" ht="15.75" customHeight="1">
      <c r="A6174" s="122"/>
      <c r="B6174" s="133"/>
      <c r="C6174" s="120"/>
      <c r="D6174" s="120"/>
      <c r="E6174" s="120"/>
      <c r="F6174" s="120"/>
      <c r="G6174" s="120"/>
      <c r="H6174" s="120"/>
      <c r="I6174" s="121"/>
      <c r="J6174" s="121"/>
      <c r="K6174" s="117"/>
    </row>
    <row r="6175" ht="15.75" customHeight="1">
      <c r="A6175" s="122"/>
      <c r="B6175" s="133"/>
      <c r="C6175" s="120"/>
      <c r="D6175" s="120"/>
      <c r="E6175" s="120"/>
      <c r="F6175" s="120"/>
      <c r="G6175" s="120"/>
      <c r="H6175" s="120"/>
      <c r="I6175" s="121"/>
      <c r="J6175" s="121"/>
      <c r="K6175" s="117"/>
    </row>
    <row r="6176" ht="15.75" customHeight="1">
      <c r="A6176" s="122"/>
      <c r="B6176" s="133"/>
      <c r="C6176" s="120"/>
      <c r="D6176" s="120"/>
      <c r="E6176" s="120"/>
      <c r="F6176" s="120"/>
      <c r="G6176" s="120"/>
      <c r="H6176" s="120"/>
      <c r="I6176" s="121"/>
      <c r="J6176" s="121"/>
      <c r="K6176" s="117"/>
    </row>
    <row r="6177" ht="15.75" customHeight="1">
      <c r="A6177" s="122"/>
      <c r="B6177" s="133"/>
      <c r="C6177" s="120"/>
      <c r="D6177" s="120"/>
      <c r="E6177" s="120"/>
      <c r="F6177" s="120"/>
      <c r="G6177" s="120"/>
      <c r="H6177" s="120"/>
      <c r="I6177" s="121"/>
      <c r="J6177" s="121"/>
      <c r="K6177" s="117"/>
    </row>
    <row r="6178" ht="15.75" customHeight="1">
      <c r="A6178" s="122"/>
      <c r="B6178" s="133"/>
      <c r="C6178" s="120"/>
      <c r="D6178" s="120"/>
      <c r="E6178" s="120"/>
      <c r="F6178" s="120"/>
      <c r="G6178" s="120"/>
      <c r="H6178" s="120"/>
      <c r="I6178" s="121"/>
      <c r="J6178" s="121"/>
      <c r="K6178" s="117"/>
    </row>
    <row r="6179" ht="15.75" customHeight="1">
      <c r="A6179" s="122"/>
      <c r="B6179" s="133"/>
      <c r="C6179" s="120"/>
      <c r="D6179" s="120"/>
      <c r="E6179" s="120"/>
      <c r="F6179" s="120"/>
      <c r="G6179" s="120"/>
      <c r="H6179" s="120"/>
      <c r="I6179" s="121"/>
      <c r="J6179" s="121"/>
      <c r="K6179" s="117"/>
    </row>
    <row r="6180" ht="15.75" customHeight="1">
      <c r="A6180" s="122"/>
      <c r="B6180" s="133"/>
      <c r="C6180" s="120"/>
      <c r="D6180" s="120"/>
      <c r="E6180" s="120"/>
      <c r="F6180" s="120"/>
      <c r="G6180" s="120"/>
      <c r="H6180" s="120"/>
      <c r="I6180" s="121"/>
      <c r="J6180" s="121"/>
      <c r="K6180" s="117"/>
    </row>
    <row r="6181" ht="15.75" customHeight="1">
      <c r="A6181" s="122"/>
      <c r="B6181" s="133"/>
      <c r="C6181" s="120"/>
      <c r="D6181" s="120"/>
      <c r="E6181" s="120"/>
      <c r="F6181" s="120"/>
      <c r="G6181" s="120"/>
      <c r="H6181" s="120"/>
      <c r="I6181" s="121"/>
      <c r="J6181" s="121"/>
      <c r="K6181" s="117"/>
    </row>
    <row r="6182" ht="15.75" customHeight="1">
      <c r="A6182" s="122"/>
      <c r="B6182" s="133"/>
      <c r="C6182" s="120"/>
      <c r="D6182" s="120"/>
      <c r="E6182" s="120"/>
      <c r="F6182" s="120"/>
      <c r="G6182" s="120"/>
      <c r="H6182" s="120"/>
      <c r="I6182" s="121"/>
      <c r="J6182" s="121"/>
      <c r="K6182" s="117"/>
    </row>
    <row r="6183" ht="15.75" customHeight="1">
      <c r="A6183" s="122"/>
      <c r="B6183" s="133"/>
      <c r="C6183" s="120"/>
      <c r="D6183" s="120"/>
      <c r="E6183" s="120"/>
      <c r="F6183" s="120"/>
      <c r="G6183" s="120"/>
      <c r="H6183" s="120"/>
      <c r="I6183" s="121"/>
      <c r="J6183" s="121"/>
      <c r="K6183" s="117"/>
    </row>
    <row r="6184" ht="15.75" customHeight="1">
      <c r="A6184" s="122"/>
      <c r="B6184" s="133"/>
      <c r="C6184" s="120"/>
      <c r="D6184" s="120"/>
      <c r="E6184" s="120"/>
      <c r="F6184" s="120"/>
      <c r="G6184" s="120"/>
      <c r="H6184" s="120"/>
      <c r="I6184" s="121"/>
      <c r="J6184" s="121"/>
      <c r="K6184" s="117"/>
    </row>
    <row r="6185" ht="15.75" customHeight="1">
      <c r="A6185" s="122"/>
      <c r="B6185" s="133"/>
      <c r="C6185" s="120"/>
      <c r="D6185" s="120"/>
      <c r="E6185" s="120"/>
      <c r="F6185" s="120"/>
      <c r="G6185" s="120"/>
      <c r="H6185" s="120"/>
      <c r="I6185" s="121"/>
      <c r="J6185" s="121"/>
      <c r="K6185" s="117"/>
    </row>
    <row r="6186" ht="15.75" customHeight="1">
      <c r="A6186" s="122"/>
      <c r="B6186" s="133"/>
      <c r="C6186" s="120"/>
      <c r="D6186" s="120"/>
      <c r="E6186" s="120"/>
      <c r="F6186" s="120"/>
      <c r="G6186" s="120"/>
      <c r="H6186" s="120"/>
      <c r="I6186" s="121"/>
      <c r="J6186" s="121"/>
      <c r="K6186" s="117"/>
    </row>
    <row r="6187" ht="15.75" customHeight="1">
      <c r="A6187" s="122"/>
      <c r="B6187" s="133"/>
      <c r="C6187" s="120"/>
      <c r="D6187" s="120"/>
      <c r="E6187" s="120"/>
      <c r="F6187" s="120"/>
      <c r="G6187" s="120"/>
      <c r="H6187" s="120"/>
      <c r="I6187" s="121"/>
      <c r="J6187" s="121"/>
      <c r="K6187" s="117"/>
    </row>
    <row r="6188" ht="15.75" customHeight="1">
      <c r="A6188" s="122"/>
      <c r="B6188" s="133"/>
      <c r="C6188" s="120"/>
      <c r="D6188" s="120"/>
      <c r="E6188" s="120"/>
      <c r="F6188" s="120"/>
      <c r="G6188" s="120"/>
      <c r="H6188" s="120"/>
      <c r="I6188" s="121"/>
      <c r="J6188" s="121"/>
      <c r="K6188" s="117"/>
    </row>
    <row r="6189" ht="15.75" customHeight="1">
      <c r="A6189" s="122"/>
      <c r="B6189" s="133"/>
      <c r="C6189" s="120"/>
      <c r="D6189" s="120"/>
      <c r="E6189" s="120"/>
      <c r="F6189" s="120"/>
      <c r="G6189" s="120"/>
      <c r="H6189" s="120"/>
      <c r="I6189" s="121"/>
      <c r="J6189" s="121"/>
      <c r="K6189" s="117"/>
    </row>
    <row r="6190" ht="15.75" customHeight="1">
      <c r="A6190" s="122"/>
      <c r="B6190" s="133"/>
      <c r="C6190" s="120"/>
      <c r="D6190" s="120"/>
      <c r="E6190" s="120"/>
      <c r="F6190" s="120"/>
      <c r="G6190" s="120"/>
      <c r="H6190" s="120"/>
      <c r="I6190" s="121"/>
      <c r="J6190" s="121"/>
      <c r="K6190" s="117"/>
    </row>
    <row r="6191" ht="15.75" customHeight="1">
      <c r="A6191" s="122"/>
      <c r="B6191" s="133"/>
      <c r="C6191" s="120"/>
      <c r="D6191" s="120"/>
      <c r="E6191" s="120"/>
      <c r="F6191" s="120"/>
      <c r="G6191" s="120"/>
      <c r="H6191" s="120"/>
      <c r="I6191" s="121"/>
      <c r="J6191" s="121"/>
      <c r="K6191" s="117"/>
    </row>
    <row r="6192" ht="15.75" customHeight="1">
      <c r="A6192" s="122"/>
      <c r="B6192" s="133"/>
      <c r="C6192" s="120"/>
      <c r="D6192" s="120"/>
      <c r="E6192" s="120"/>
      <c r="F6192" s="120"/>
      <c r="G6192" s="120"/>
      <c r="H6192" s="120"/>
      <c r="I6192" s="121"/>
      <c r="J6192" s="121"/>
      <c r="K6192" s="117"/>
    </row>
    <row r="6193" ht="15.75" customHeight="1">
      <c r="A6193" s="122"/>
      <c r="B6193" s="133"/>
      <c r="C6193" s="120"/>
      <c r="D6193" s="120"/>
      <c r="E6193" s="120"/>
      <c r="F6193" s="120"/>
      <c r="G6193" s="120"/>
      <c r="H6193" s="120"/>
      <c r="I6193" s="121"/>
      <c r="J6193" s="121"/>
      <c r="K6193" s="117"/>
    </row>
    <row r="6194" ht="15.75" customHeight="1">
      <c r="A6194" s="122"/>
      <c r="B6194" s="133"/>
      <c r="C6194" s="120"/>
      <c r="D6194" s="120"/>
      <c r="E6194" s="120"/>
      <c r="F6194" s="120"/>
      <c r="G6194" s="120"/>
      <c r="H6194" s="120"/>
      <c r="I6194" s="121"/>
      <c r="J6194" s="121"/>
      <c r="K6194" s="117"/>
    </row>
    <row r="6195" ht="15.75" customHeight="1">
      <c r="A6195" s="122"/>
      <c r="B6195" s="133"/>
      <c r="C6195" s="120"/>
      <c r="D6195" s="120"/>
      <c r="E6195" s="120"/>
      <c r="F6195" s="120"/>
      <c r="G6195" s="120"/>
      <c r="H6195" s="120"/>
      <c r="I6195" s="121"/>
      <c r="J6195" s="121"/>
      <c r="K6195" s="117"/>
    </row>
    <row r="6196" ht="15.75" customHeight="1">
      <c r="A6196" s="122"/>
      <c r="B6196" s="133"/>
      <c r="C6196" s="120"/>
      <c r="D6196" s="120"/>
      <c r="E6196" s="120"/>
      <c r="F6196" s="120"/>
      <c r="G6196" s="120"/>
      <c r="H6196" s="120"/>
      <c r="I6196" s="121"/>
      <c r="J6196" s="121"/>
      <c r="K6196" s="117"/>
    </row>
    <row r="6197" ht="15.75" customHeight="1">
      <c r="A6197" s="122"/>
      <c r="B6197" s="133"/>
      <c r="C6197" s="120"/>
      <c r="D6197" s="120"/>
      <c r="E6197" s="120"/>
      <c r="F6197" s="120"/>
      <c r="G6197" s="120"/>
      <c r="H6197" s="120"/>
      <c r="I6197" s="121"/>
      <c r="J6197" s="121"/>
      <c r="K6197" s="117"/>
    </row>
    <row r="6198" ht="15.75" customHeight="1">
      <c r="A6198" s="122"/>
      <c r="B6198" s="133"/>
      <c r="C6198" s="120"/>
      <c r="D6198" s="120"/>
      <c r="E6198" s="120"/>
      <c r="F6198" s="120"/>
      <c r="G6198" s="120"/>
      <c r="H6198" s="120"/>
      <c r="I6198" s="121"/>
      <c r="J6198" s="121"/>
      <c r="K6198" s="117"/>
    </row>
    <row r="6199" ht="15.75" customHeight="1">
      <c r="A6199" s="122"/>
      <c r="B6199" s="133"/>
      <c r="C6199" s="120"/>
      <c r="D6199" s="120"/>
      <c r="E6199" s="120"/>
      <c r="F6199" s="120"/>
      <c r="G6199" s="120"/>
      <c r="H6199" s="120"/>
      <c r="I6199" s="121"/>
      <c r="J6199" s="121"/>
      <c r="K6199" s="117"/>
    </row>
    <row r="6200" ht="15.75" customHeight="1">
      <c r="A6200" s="122"/>
      <c r="B6200" s="133"/>
      <c r="C6200" s="120"/>
      <c r="D6200" s="120"/>
      <c r="E6200" s="120"/>
      <c r="F6200" s="120"/>
      <c r="G6200" s="120"/>
      <c r="H6200" s="120"/>
      <c r="I6200" s="121"/>
      <c r="J6200" s="121"/>
      <c r="K6200" s="117"/>
    </row>
    <row r="6201" ht="15.75" customHeight="1">
      <c r="A6201" s="122"/>
      <c r="B6201" s="133"/>
      <c r="C6201" s="120"/>
      <c r="D6201" s="120"/>
      <c r="E6201" s="120"/>
      <c r="F6201" s="120"/>
      <c r="G6201" s="120"/>
      <c r="H6201" s="120"/>
      <c r="I6201" s="121"/>
      <c r="J6201" s="121"/>
      <c r="K6201" s="117"/>
    </row>
    <row r="6202" ht="15.75" customHeight="1">
      <c r="A6202" s="122"/>
      <c r="B6202" s="133"/>
      <c r="C6202" s="120"/>
      <c r="D6202" s="120"/>
      <c r="E6202" s="120"/>
      <c r="F6202" s="120"/>
      <c r="G6202" s="120"/>
      <c r="H6202" s="120"/>
      <c r="I6202" s="121"/>
      <c r="J6202" s="121"/>
      <c r="K6202" s="117"/>
    </row>
    <row r="6203" ht="15.75" customHeight="1">
      <c r="A6203" s="122"/>
      <c r="B6203" s="133"/>
      <c r="C6203" s="120"/>
      <c r="D6203" s="120"/>
      <c r="E6203" s="120"/>
      <c r="F6203" s="120"/>
      <c r="G6203" s="120"/>
      <c r="H6203" s="120"/>
      <c r="I6203" s="121"/>
      <c r="J6203" s="121"/>
      <c r="K6203" s="117"/>
    </row>
    <row r="6204" ht="15.75" customHeight="1">
      <c r="A6204" s="122"/>
      <c r="B6204" s="133"/>
      <c r="C6204" s="120"/>
      <c r="D6204" s="120"/>
      <c r="E6204" s="120"/>
      <c r="F6204" s="120"/>
      <c r="G6204" s="120"/>
      <c r="H6204" s="120"/>
      <c r="I6204" s="121"/>
      <c r="J6204" s="121"/>
      <c r="K6204" s="117"/>
    </row>
    <row r="6205" ht="15.75" customHeight="1">
      <c r="A6205" s="122"/>
      <c r="B6205" s="133"/>
      <c r="C6205" s="120"/>
      <c r="D6205" s="120"/>
      <c r="E6205" s="120"/>
      <c r="F6205" s="120"/>
      <c r="G6205" s="120"/>
      <c r="H6205" s="120"/>
      <c r="I6205" s="121"/>
      <c r="J6205" s="121"/>
      <c r="K6205" s="117"/>
    </row>
    <row r="6206" ht="15.75" customHeight="1">
      <c r="A6206" s="122"/>
      <c r="B6206" s="133"/>
      <c r="C6206" s="120"/>
      <c r="D6206" s="120"/>
      <c r="E6206" s="120"/>
      <c r="F6206" s="120"/>
      <c r="G6206" s="120"/>
      <c r="H6206" s="120"/>
      <c r="I6206" s="121"/>
      <c r="J6206" s="121"/>
      <c r="K6206" s="117"/>
    </row>
    <row r="6207" ht="15.75" customHeight="1">
      <c r="A6207" s="122"/>
      <c r="B6207" s="133"/>
      <c r="C6207" s="120"/>
      <c r="D6207" s="120"/>
      <c r="E6207" s="120"/>
      <c r="F6207" s="120"/>
      <c r="G6207" s="120"/>
      <c r="H6207" s="120"/>
      <c r="I6207" s="121"/>
      <c r="J6207" s="121"/>
      <c r="K6207" s="117"/>
    </row>
    <row r="6208" ht="15.75" customHeight="1">
      <c r="A6208" s="122"/>
      <c r="B6208" s="133"/>
      <c r="C6208" s="120"/>
      <c r="D6208" s="120"/>
      <c r="E6208" s="120"/>
      <c r="F6208" s="120"/>
      <c r="G6208" s="120"/>
      <c r="H6208" s="120"/>
      <c r="I6208" s="121"/>
      <c r="J6208" s="121"/>
      <c r="K6208" s="117"/>
    </row>
    <row r="6209" ht="15.75" customHeight="1">
      <c r="A6209" s="122"/>
      <c r="B6209" s="133"/>
      <c r="C6209" s="120"/>
      <c r="D6209" s="120"/>
      <c r="E6209" s="120"/>
      <c r="F6209" s="120"/>
      <c r="G6209" s="120"/>
      <c r="H6209" s="120"/>
      <c r="I6209" s="121"/>
      <c r="J6209" s="121"/>
      <c r="K6209" s="117"/>
    </row>
    <row r="6210" ht="15.75" customHeight="1">
      <c r="A6210" s="122"/>
      <c r="B6210" s="133"/>
      <c r="C6210" s="120"/>
      <c r="D6210" s="120"/>
      <c r="E6210" s="120"/>
      <c r="F6210" s="120"/>
      <c r="G6210" s="120"/>
      <c r="H6210" s="120"/>
      <c r="I6210" s="121"/>
      <c r="J6210" s="121"/>
      <c r="K6210" s="117"/>
    </row>
    <row r="6211" ht="15.75" customHeight="1">
      <c r="A6211" s="122"/>
      <c r="B6211" s="133"/>
      <c r="C6211" s="120"/>
      <c r="D6211" s="120"/>
      <c r="E6211" s="120"/>
      <c r="F6211" s="120"/>
      <c r="G6211" s="120"/>
      <c r="H6211" s="120"/>
      <c r="I6211" s="121"/>
      <c r="J6211" s="121"/>
      <c r="K6211" s="117"/>
    </row>
    <row r="6212" ht="15.75" customHeight="1">
      <c r="A6212" s="122"/>
      <c r="B6212" s="133"/>
      <c r="C6212" s="120"/>
      <c r="D6212" s="120"/>
      <c r="E6212" s="120"/>
      <c r="F6212" s="120"/>
      <c r="G6212" s="120"/>
      <c r="H6212" s="120"/>
      <c r="I6212" s="121"/>
      <c r="J6212" s="121"/>
      <c r="K6212" s="117"/>
    </row>
    <row r="6213" ht="15.75" customHeight="1">
      <c r="A6213" s="122"/>
      <c r="B6213" s="133"/>
      <c r="C6213" s="120"/>
      <c r="D6213" s="120"/>
      <c r="E6213" s="120"/>
      <c r="F6213" s="120"/>
      <c r="G6213" s="120"/>
      <c r="H6213" s="120"/>
      <c r="I6213" s="121"/>
      <c r="J6213" s="121"/>
      <c r="K6213" s="117"/>
    </row>
    <row r="6214" ht="15.75" customHeight="1">
      <c r="A6214" s="122"/>
      <c r="B6214" s="133"/>
      <c r="C6214" s="120"/>
      <c r="D6214" s="120"/>
      <c r="E6214" s="120"/>
      <c r="F6214" s="120"/>
      <c r="G6214" s="120"/>
      <c r="H6214" s="120"/>
      <c r="I6214" s="121"/>
      <c r="J6214" s="121"/>
      <c r="K6214" s="117"/>
    </row>
    <row r="6215" ht="15.75" customHeight="1">
      <c r="A6215" s="122"/>
      <c r="B6215" s="133"/>
      <c r="C6215" s="120"/>
      <c r="D6215" s="120"/>
      <c r="E6215" s="120"/>
      <c r="F6215" s="120"/>
      <c r="G6215" s="120"/>
      <c r="H6215" s="120"/>
      <c r="I6215" s="121"/>
      <c r="J6215" s="121"/>
      <c r="K6215" s="117"/>
    </row>
    <row r="6216" ht="15.75" customHeight="1">
      <c r="A6216" s="122"/>
      <c r="B6216" s="133"/>
      <c r="C6216" s="120"/>
      <c r="D6216" s="120"/>
      <c r="E6216" s="120"/>
      <c r="F6216" s="120"/>
      <c r="G6216" s="120"/>
      <c r="H6216" s="120"/>
      <c r="I6216" s="121"/>
      <c r="J6216" s="121"/>
      <c r="K6216" s="117"/>
    </row>
    <row r="6217" ht="15.75" customHeight="1">
      <c r="A6217" s="122"/>
      <c r="B6217" s="133"/>
      <c r="C6217" s="120"/>
      <c r="D6217" s="120"/>
      <c r="E6217" s="120"/>
      <c r="F6217" s="120"/>
      <c r="G6217" s="120"/>
      <c r="H6217" s="120"/>
      <c r="I6217" s="121"/>
      <c r="J6217" s="121"/>
      <c r="K6217" s="117"/>
    </row>
    <row r="6218" ht="15.75" customHeight="1">
      <c r="A6218" s="122"/>
      <c r="B6218" s="133"/>
      <c r="C6218" s="120"/>
      <c r="D6218" s="120"/>
      <c r="E6218" s="120"/>
      <c r="F6218" s="120"/>
      <c r="G6218" s="120"/>
      <c r="H6218" s="120"/>
      <c r="I6218" s="121"/>
      <c r="J6218" s="121"/>
      <c r="K6218" s="117"/>
    </row>
    <row r="6219" ht="15.75" customHeight="1">
      <c r="A6219" s="122"/>
      <c r="B6219" s="133"/>
      <c r="C6219" s="120"/>
      <c r="D6219" s="120"/>
      <c r="E6219" s="120"/>
      <c r="F6219" s="120"/>
      <c r="G6219" s="120"/>
      <c r="H6219" s="120"/>
      <c r="I6219" s="121"/>
      <c r="J6219" s="121"/>
      <c r="K6219" s="117"/>
    </row>
    <row r="6220" ht="15.75" customHeight="1">
      <c r="A6220" s="122"/>
      <c r="B6220" s="133"/>
      <c r="C6220" s="120"/>
      <c r="D6220" s="120"/>
      <c r="E6220" s="120"/>
      <c r="F6220" s="120"/>
      <c r="G6220" s="120"/>
      <c r="H6220" s="120"/>
      <c r="I6220" s="121"/>
      <c r="J6220" s="121"/>
      <c r="K6220" s="117"/>
    </row>
    <row r="6221" ht="15.75" customHeight="1">
      <c r="A6221" s="122"/>
      <c r="B6221" s="133"/>
      <c r="C6221" s="120"/>
      <c r="D6221" s="120"/>
      <c r="E6221" s="120"/>
      <c r="F6221" s="120"/>
      <c r="G6221" s="120"/>
      <c r="H6221" s="120"/>
      <c r="I6221" s="121"/>
      <c r="J6221" s="121"/>
      <c r="K6221" s="117"/>
    </row>
    <row r="6222" ht="15.75" customHeight="1">
      <c r="A6222" s="122"/>
      <c r="B6222" s="133"/>
      <c r="C6222" s="120"/>
      <c r="D6222" s="120"/>
      <c r="E6222" s="120"/>
      <c r="F6222" s="120"/>
      <c r="G6222" s="120"/>
      <c r="H6222" s="120"/>
      <c r="I6222" s="121"/>
      <c r="J6222" s="121"/>
      <c r="K6222" s="117"/>
    </row>
    <row r="6223" ht="15.75" customHeight="1">
      <c r="A6223" s="122"/>
      <c r="B6223" s="133"/>
      <c r="C6223" s="120"/>
      <c r="D6223" s="120"/>
      <c r="E6223" s="120"/>
      <c r="F6223" s="120"/>
      <c r="G6223" s="120"/>
      <c r="H6223" s="120"/>
      <c r="I6223" s="121"/>
      <c r="J6223" s="121"/>
      <c r="K6223" s="117"/>
    </row>
    <row r="6224" ht="15.75" customHeight="1">
      <c r="A6224" s="122"/>
      <c r="B6224" s="133"/>
      <c r="C6224" s="120"/>
      <c r="D6224" s="120"/>
      <c r="E6224" s="120"/>
      <c r="F6224" s="120"/>
      <c r="G6224" s="120"/>
      <c r="H6224" s="120"/>
      <c r="I6224" s="121"/>
      <c r="J6224" s="121"/>
      <c r="K6224" s="117"/>
    </row>
    <row r="6225" ht="15.75" customHeight="1">
      <c r="A6225" s="122"/>
      <c r="B6225" s="133"/>
      <c r="C6225" s="120"/>
      <c r="D6225" s="120"/>
      <c r="E6225" s="120"/>
      <c r="F6225" s="120"/>
      <c r="G6225" s="120"/>
      <c r="H6225" s="120"/>
      <c r="I6225" s="121"/>
      <c r="J6225" s="121"/>
      <c r="K6225" s="117"/>
    </row>
    <row r="6226" ht="15.75" customHeight="1">
      <c r="A6226" s="122"/>
      <c r="B6226" s="133"/>
      <c r="C6226" s="120"/>
      <c r="D6226" s="120"/>
      <c r="E6226" s="120"/>
      <c r="F6226" s="120"/>
      <c r="G6226" s="120"/>
      <c r="H6226" s="120"/>
      <c r="I6226" s="121"/>
      <c r="J6226" s="121"/>
      <c r="K6226" s="117"/>
    </row>
    <row r="6227" ht="15.75" customHeight="1">
      <c r="A6227" s="122"/>
      <c r="B6227" s="133"/>
      <c r="C6227" s="120"/>
      <c r="D6227" s="120"/>
      <c r="E6227" s="120"/>
      <c r="F6227" s="120"/>
      <c r="G6227" s="120"/>
      <c r="H6227" s="120"/>
      <c r="I6227" s="121"/>
      <c r="J6227" s="121"/>
      <c r="K6227" s="117"/>
    </row>
    <row r="6228" ht="15.75" customHeight="1">
      <c r="A6228" s="122"/>
      <c r="B6228" s="133"/>
      <c r="C6228" s="120"/>
      <c r="D6228" s="120"/>
      <c r="E6228" s="120"/>
      <c r="F6228" s="120"/>
      <c r="G6228" s="120"/>
      <c r="H6228" s="120"/>
      <c r="I6228" s="121"/>
      <c r="J6228" s="121"/>
      <c r="K6228" s="117"/>
    </row>
    <row r="6229" ht="15.75" customHeight="1">
      <c r="A6229" s="122"/>
      <c r="B6229" s="133"/>
      <c r="C6229" s="120"/>
      <c r="D6229" s="120"/>
      <c r="E6229" s="120"/>
      <c r="F6229" s="120"/>
      <c r="G6229" s="120"/>
      <c r="H6229" s="120"/>
      <c r="I6229" s="121"/>
      <c r="J6229" s="121"/>
      <c r="K6229" s="117"/>
    </row>
    <row r="6230" ht="15.75" customHeight="1">
      <c r="A6230" s="122"/>
      <c r="B6230" s="133"/>
      <c r="C6230" s="120"/>
      <c r="D6230" s="120"/>
      <c r="E6230" s="120"/>
      <c r="F6230" s="120"/>
      <c r="G6230" s="120"/>
      <c r="H6230" s="120"/>
      <c r="I6230" s="121"/>
      <c r="J6230" s="121"/>
      <c r="K6230" s="117"/>
    </row>
    <row r="6231" ht="15.75" customHeight="1">
      <c r="A6231" s="122"/>
      <c r="B6231" s="133"/>
      <c r="C6231" s="120"/>
      <c r="D6231" s="120"/>
      <c r="E6231" s="120"/>
      <c r="F6231" s="120"/>
      <c r="G6231" s="120"/>
      <c r="H6231" s="120"/>
      <c r="I6231" s="121"/>
      <c r="J6231" s="121"/>
      <c r="K6231" s="117"/>
    </row>
    <row r="6232" ht="15.75" customHeight="1">
      <c r="A6232" s="122"/>
      <c r="B6232" s="133"/>
      <c r="C6232" s="120"/>
      <c r="D6232" s="120"/>
      <c r="E6232" s="120"/>
      <c r="F6232" s="120"/>
      <c r="G6232" s="120"/>
      <c r="H6232" s="120"/>
      <c r="I6232" s="121"/>
      <c r="J6232" s="121"/>
      <c r="K6232" s="117"/>
    </row>
    <row r="6233" ht="15.75" customHeight="1">
      <c r="A6233" s="122"/>
      <c r="B6233" s="133"/>
      <c r="C6233" s="120"/>
      <c r="D6233" s="120"/>
      <c r="E6233" s="120"/>
      <c r="F6233" s="120"/>
      <c r="G6233" s="120"/>
      <c r="H6233" s="120"/>
      <c r="I6233" s="121"/>
      <c r="J6233" s="121"/>
      <c r="K6233" s="117"/>
    </row>
    <row r="6234" ht="15.75" customHeight="1">
      <c r="A6234" s="122"/>
      <c r="B6234" s="133"/>
      <c r="C6234" s="120"/>
      <c r="D6234" s="120"/>
      <c r="E6234" s="120"/>
      <c r="F6234" s="120"/>
      <c r="G6234" s="120"/>
      <c r="H6234" s="120"/>
      <c r="I6234" s="121"/>
      <c r="J6234" s="121"/>
      <c r="K6234" s="117"/>
    </row>
    <row r="6235" ht="15.75" customHeight="1">
      <c r="A6235" s="122"/>
      <c r="B6235" s="133"/>
      <c r="C6235" s="120"/>
      <c r="D6235" s="120"/>
      <c r="E6235" s="120"/>
      <c r="F6235" s="120"/>
      <c r="G6235" s="120"/>
      <c r="H6235" s="120"/>
      <c r="I6235" s="121"/>
      <c r="J6235" s="121"/>
      <c r="K6235" s="117"/>
    </row>
    <row r="6236" ht="15.75" customHeight="1">
      <c r="A6236" s="122"/>
      <c r="B6236" s="133"/>
      <c r="C6236" s="120"/>
      <c r="D6236" s="120"/>
      <c r="E6236" s="120"/>
      <c r="F6236" s="120"/>
      <c r="G6236" s="120"/>
      <c r="H6236" s="120"/>
      <c r="I6236" s="121"/>
      <c r="J6236" s="121"/>
      <c r="K6236" s="117"/>
    </row>
    <row r="6237" ht="15.75" customHeight="1">
      <c r="A6237" s="122"/>
      <c r="B6237" s="133"/>
      <c r="C6237" s="120"/>
      <c r="D6237" s="120"/>
      <c r="E6237" s="120"/>
      <c r="F6237" s="120"/>
      <c r="G6237" s="120"/>
      <c r="H6237" s="120"/>
      <c r="I6237" s="121"/>
      <c r="J6237" s="121"/>
      <c r="K6237" s="117"/>
    </row>
    <row r="6238" ht="15.75" customHeight="1">
      <c r="A6238" s="122"/>
      <c r="B6238" s="133"/>
      <c r="C6238" s="120"/>
      <c r="D6238" s="120"/>
      <c r="E6238" s="120"/>
      <c r="F6238" s="120"/>
      <c r="G6238" s="120"/>
      <c r="H6238" s="120"/>
      <c r="I6238" s="121"/>
      <c r="J6238" s="121"/>
      <c r="K6238" s="117"/>
    </row>
    <row r="6239" ht="15.75" customHeight="1">
      <c r="A6239" s="122"/>
      <c r="B6239" s="133"/>
      <c r="C6239" s="120"/>
      <c r="D6239" s="120"/>
      <c r="E6239" s="120"/>
      <c r="F6239" s="120"/>
      <c r="G6239" s="120"/>
      <c r="H6239" s="120"/>
      <c r="I6239" s="121"/>
      <c r="J6239" s="121"/>
      <c r="K6239" s="117"/>
    </row>
    <row r="6240" ht="15.75" customHeight="1">
      <c r="A6240" s="122"/>
      <c r="B6240" s="133"/>
      <c r="C6240" s="120"/>
      <c r="D6240" s="120"/>
      <c r="E6240" s="120"/>
      <c r="F6240" s="120"/>
      <c r="G6240" s="120"/>
      <c r="H6240" s="120"/>
      <c r="I6240" s="121"/>
      <c r="J6240" s="121"/>
      <c r="K6240" s="117"/>
    </row>
    <row r="6241" ht="15.75" customHeight="1">
      <c r="A6241" s="122"/>
      <c r="B6241" s="133"/>
      <c r="C6241" s="120"/>
      <c r="D6241" s="120"/>
      <c r="E6241" s="120"/>
      <c r="F6241" s="120"/>
      <c r="G6241" s="120"/>
      <c r="H6241" s="120"/>
      <c r="I6241" s="121"/>
      <c r="J6241" s="121"/>
      <c r="K6241" s="117"/>
    </row>
    <row r="6242" ht="15.75" customHeight="1">
      <c r="A6242" s="122"/>
      <c r="B6242" s="133"/>
      <c r="C6242" s="120"/>
      <c r="D6242" s="120"/>
      <c r="E6242" s="120"/>
      <c r="F6242" s="120"/>
      <c r="G6242" s="120"/>
      <c r="H6242" s="120"/>
      <c r="I6242" s="121"/>
      <c r="J6242" s="121"/>
      <c r="K6242" s="117"/>
    </row>
    <row r="6243" ht="15.75" customHeight="1">
      <c r="A6243" s="122"/>
      <c r="B6243" s="133"/>
      <c r="C6243" s="120"/>
      <c r="D6243" s="120"/>
      <c r="E6243" s="120"/>
      <c r="F6243" s="120"/>
      <c r="G6243" s="120"/>
      <c r="H6243" s="120"/>
      <c r="I6243" s="121"/>
      <c r="J6243" s="121"/>
      <c r="K6243" s="117"/>
    </row>
    <row r="6244" ht="15.75" customHeight="1">
      <c r="A6244" s="122"/>
      <c r="B6244" s="133"/>
      <c r="C6244" s="120"/>
      <c r="D6244" s="120"/>
      <c r="E6244" s="120"/>
      <c r="F6244" s="120"/>
      <c r="G6244" s="120"/>
      <c r="H6244" s="120"/>
      <c r="I6244" s="121"/>
      <c r="J6244" s="121"/>
      <c r="K6244" s="117"/>
    </row>
    <row r="6245" ht="15.75" customHeight="1">
      <c r="A6245" s="122"/>
      <c r="B6245" s="133"/>
      <c r="C6245" s="120"/>
      <c r="D6245" s="120"/>
      <c r="E6245" s="120"/>
      <c r="F6245" s="120"/>
      <c r="G6245" s="120"/>
      <c r="H6245" s="120"/>
      <c r="I6245" s="121"/>
      <c r="J6245" s="121"/>
      <c r="K6245" s="117"/>
    </row>
    <row r="6246" ht="15.75" customHeight="1">
      <c r="A6246" s="122"/>
      <c r="B6246" s="133"/>
      <c r="C6246" s="120"/>
      <c r="D6246" s="120"/>
      <c r="E6246" s="120"/>
      <c r="F6246" s="120"/>
      <c r="G6246" s="120"/>
      <c r="H6246" s="120"/>
      <c r="I6246" s="121"/>
      <c r="J6246" s="121"/>
      <c r="K6246" s="117"/>
    </row>
    <row r="6247" ht="15.75" customHeight="1">
      <c r="A6247" s="122"/>
      <c r="B6247" s="133"/>
      <c r="C6247" s="120"/>
      <c r="D6247" s="120"/>
      <c r="E6247" s="120"/>
      <c r="F6247" s="120"/>
      <c r="G6247" s="120"/>
      <c r="H6247" s="120"/>
      <c r="I6247" s="121"/>
      <c r="J6247" s="121"/>
      <c r="K6247" s="117"/>
    </row>
    <row r="6248" ht="15.75" customHeight="1">
      <c r="A6248" s="122"/>
      <c r="B6248" s="133"/>
      <c r="C6248" s="120"/>
      <c r="D6248" s="120"/>
      <c r="E6248" s="120"/>
      <c r="F6248" s="120"/>
      <c r="G6248" s="120"/>
      <c r="H6248" s="120"/>
      <c r="I6248" s="121"/>
      <c r="J6248" s="121"/>
      <c r="K6248" s="117"/>
    </row>
    <row r="6249" ht="15.75" customHeight="1">
      <c r="A6249" s="122"/>
      <c r="B6249" s="133"/>
      <c r="C6249" s="120"/>
      <c r="D6249" s="120"/>
      <c r="E6249" s="120"/>
      <c r="F6249" s="120"/>
      <c r="G6249" s="120"/>
      <c r="H6249" s="120"/>
      <c r="I6249" s="121"/>
      <c r="J6249" s="121"/>
      <c r="K6249" s="117"/>
    </row>
    <row r="6250" ht="15.75" customHeight="1">
      <c r="A6250" s="122"/>
      <c r="B6250" s="133"/>
      <c r="C6250" s="120"/>
      <c r="D6250" s="120"/>
      <c r="E6250" s="120"/>
      <c r="F6250" s="120"/>
      <c r="G6250" s="120"/>
      <c r="H6250" s="120"/>
      <c r="I6250" s="121"/>
      <c r="J6250" s="121"/>
      <c r="K6250" s="117"/>
    </row>
    <row r="6251" ht="15.75" customHeight="1">
      <c r="A6251" s="122"/>
      <c r="B6251" s="133"/>
      <c r="C6251" s="120"/>
      <c r="D6251" s="120"/>
      <c r="E6251" s="120"/>
      <c r="F6251" s="120"/>
      <c r="G6251" s="120"/>
      <c r="H6251" s="120"/>
      <c r="I6251" s="121"/>
      <c r="J6251" s="121"/>
      <c r="K6251" s="117"/>
    </row>
    <row r="6252" ht="15.75" customHeight="1">
      <c r="A6252" s="122"/>
      <c r="B6252" s="133"/>
      <c r="C6252" s="120"/>
      <c r="D6252" s="120"/>
      <c r="E6252" s="120"/>
      <c r="F6252" s="120"/>
      <c r="G6252" s="120"/>
      <c r="H6252" s="120"/>
      <c r="I6252" s="121"/>
      <c r="J6252" s="121"/>
      <c r="K6252" s="117"/>
    </row>
    <row r="6253" ht="15.75" customHeight="1">
      <c r="A6253" s="122"/>
      <c r="B6253" s="133"/>
      <c r="C6253" s="120"/>
      <c r="D6253" s="120"/>
      <c r="E6253" s="120"/>
      <c r="F6253" s="120"/>
      <c r="G6253" s="120"/>
      <c r="H6253" s="120"/>
      <c r="I6253" s="121"/>
      <c r="J6253" s="121"/>
      <c r="K6253" s="117"/>
    </row>
    <row r="6254" ht="15.75" customHeight="1">
      <c r="A6254" s="122"/>
      <c r="B6254" s="133"/>
      <c r="C6254" s="120"/>
      <c r="D6254" s="120"/>
      <c r="E6254" s="120"/>
      <c r="F6254" s="120"/>
      <c r="G6254" s="120"/>
      <c r="H6254" s="120"/>
      <c r="I6254" s="121"/>
      <c r="J6254" s="121"/>
      <c r="K6254" s="117"/>
    </row>
    <row r="6255" ht="15.75" customHeight="1">
      <c r="A6255" s="122"/>
      <c r="B6255" s="133"/>
      <c r="C6255" s="120"/>
      <c r="D6255" s="120"/>
      <c r="E6255" s="120"/>
      <c r="F6255" s="120"/>
      <c r="G6255" s="120"/>
      <c r="H6255" s="120"/>
      <c r="I6255" s="121"/>
      <c r="J6255" s="121"/>
      <c r="K6255" s="117"/>
    </row>
    <row r="6256" ht="15.75" customHeight="1">
      <c r="A6256" s="122"/>
      <c r="B6256" s="133"/>
      <c r="C6256" s="120"/>
      <c r="D6256" s="120"/>
      <c r="E6256" s="120"/>
      <c r="F6256" s="120"/>
      <c r="G6256" s="120"/>
      <c r="H6256" s="120"/>
      <c r="I6256" s="121"/>
      <c r="J6256" s="121"/>
      <c r="K6256" s="117"/>
    </row>
    <row r="6257" ht="15.75" customHeight="1">
      <c r="A6257" s="122"/>
      <c r="B6257" s="133"/>
      <c r="C6257" s="120"/>
      <c r="D6257" s="120"/>
      <c r="E6257" s="120"/>
      <c r="F6257" s="120"/>
      <c r="G6257" s="120"/>
      <c r="H6257" s="120"/>
      <c r="I6257" s="121"/>
      <c r="J6257" s="121"/>
      <c r="K6257" s="117"/>
    </row>
    <row r="6258" ht="15.75" customHeight="1">
      <c r="A6258" s="122"/>
      <c r="B6258" s="133"/>
      <c r="C6258" s="120"/>
      <c r="D6258" s="120"/>
      <c r="E6258" s="120"/>
      <c r="F6258" s="120"/>
      <c r="G6258" s="120"/>
      <c r="H6258" s="120"/>
      <c r="I6258" s="121"/>
      <c r="J6258" s="121"/>
      <c r="K6258" s="117"/>
    </row>
    <row r="6259" ht="15.75" customHeight="1">
      <c r="A6259" s="122"/>
      <c r="B6259" s="133"/>
      <c r="C6259" s="120"/>
      <c r="D6259" s="120"/>
      <c r="E6259" s="120"/>
      <c r="F6259" s="120"/>
      <c r="G6259" s="120"/>
      <c r="H6259" s="120"/>
      <c r="I6259" s="121"/>
      <c r="J6259" s="121"/>
      <c r="K6259" s="117"/>
    </row>
    <row r="6260" ht="15.75" customHeight="1">
      <c r="A6260" s="122"/>
      <c r="B6260" s="133"/>
      <c r="C6260" s="120"/>
      <c r="D6260" s="120"/>
      <c r="E6260" s="120"/>
      <c r="F6260" s="120"/>
      <c r="G6260" s="120"/>
      <c r="H6260" s="120"/>
      <c r="I6260" s="121"/>
      <c r="J6260" s="121"/>
      <c r="K6260" s="117"/>
    </row>
    <row r="6261" ht="15.75" customHeight="1">
      <c r="A6261" s="122"/>
      <c r="B6261" s="133"/>
      <c r="C6261" s="120"/>
      <c r="D6261" s="120"/>
      <c r="E6261" s="120"/>
      <c r="F6261" s="120"/>
      <c r="G6261" s="120"/>
      <c r="H6261" s="120"/>
      <c r="I6261" s="121"/>
      <c r="J6261" s="121"/>
      <c r="K6261" s="117"/>
    </row>
    <row r="6262" ht="15.75" customHeight="1">
      <c r="A6262" s="122"/>
      <c r="B6262" s="133"/>
      <c r="C6262" s="120"/>
      <c r="D6262" s="120"/>
      <c r="E6262" s="120"/>
      <c r="F6262" s="120"/>
      <c r="G6262" s="120"/>
      <c r="H6262" s="120"/>
      <c r="I6262" s="121"/>
      <c r="J6262" s="121"/>
      <c r="K6262" s="117"/>
    </row>
    <row r="6263" ht="15.75" customHeight="1">
      <c r="A6263" s="122"/>
      <c r="B6263" s="133"/>
      <c r="C6263" s="120"/>
      <c r="D6263" s="120"/>
      <c r="E6263" s="120"/>
      <c r="F6263" s="120"/>
      <c r="G6263" s="120"/>
      <c r="H6263" s="120"/>
      <c r="I6263" s="121"/>
      <c r="J6263" s="121"/>
      <c r="K6263" s="117"/>
    </row>
    <row r="6264" ht="15.75" customHeight="1">
      <c r="A6264" s="122"/>
      <c r="B6264" s="133"/>
      <c r="C6264" s="120"/>
      <c r="D6264" s="120"/>
      <c r="E6264" s="120"/>
      <c r="F6264" s="120"/>
      <c r="G6264" s="120"/>
      <c r="H6264" s="120"/>
      <c r="I6264" s="121"/>
      <c r="J6264" s="121"/>
      <c r="K6264" s="117"/>
    </row>
    <row r="6265" ht="15.75" customHeight="1">
      <c r="A6265" s="122"/>
      <c r="B6265" s="133"/>
      <c r="C6265" s="120"/>
      <c r="D6265" s="120"/>
      <c r="E6265" s="120"/>
      <c r="F6265" s="120"/>
      <c r="G6265" s="120"/>
      <c r="H6265" s="120"/>
      <c r="I6265" s="121"/>
      <c r="J6265" s="121"/>
      <c r="K6265" s="117"/>
    </row>
    <row r="6266" ht="15.75" customHeight="1">
      <c r="A6266" s="122"/>
      <c r="B6266" s="133"/>
      <c r="C6266" s="120"/>
      <c r="D6266" s="120"/>
      <c r="E6266" s="120"/>
      <c r="F6266" s="120"/>
      <c r="G6266" s="120"/>
      <c r="H6266" s="120"/>
      <c r="I6266" s="121"/>
      <c r="J6266" s="121"/>
      <c r="K6266" s="117"/>
    </row>
    <row r="6267" ht="15.75" customHeight="1">
      <c r="A6267" s="122"/>
      <c r="B6267" s="133"/>
      <c r="C6267" s="120"/>
      <c r="D6267" s="120"/>
      <c r="E6267" s="120"/>
      <c r="F6267" s="120"/>
      <c r="G6267" s="120"/>
      <c r="H6267" s="120"/>
      <c r="I6267" s="121"/>
      <c r="J6267" s="121"/>
      <c r="K6267" s="117"/>
    </row>
    <row r="6268" ht="15.75" customHeight="1">
      <c r="A6268" s="122"/>
      <c r="B6268" s="133"/>
      <c r="C6268" s="120"/>
      <c r="D6268" s="120"/>
      <c r="E6268" s="120"/>
      <c r="F6268" s="120"/>
      <c r="G6268" s="120"/>
      <c r="H6268" s="120"/>
      <c r="I6268" s="121"/>
      <c r="J6268" s="121"/>
      <c r="K6268" s="117"/>
    </row>
    <row r="6269" ht="15.75" customHeight="1">
      <c r="A6269" s="122"/>
      <c r="B6269" s="133"/>
      <c r="C6269" s="120"/>
      <c r="D6269" s="120"/>
      <c r="E6269" s="120"/>
      <c r="F6269" s="120"/>
      <c r="G6269" s="120"/>
      <c r="H6269" s="120"/>
      <c r="I6269" s="121"/>
      <c r="J6269" s="121"/>
      <c r="K6269" s="117"/>
    </row>
    <row r="6270" ht="15.75" customHeight="1">
      <c r="A6270" s="122"/>
      <c r="B6270" s="133"/>
      <c r="C6270" s="120"/>
      <c r="D6270" s="120"/>
      <c r="E6270" s="120"/>
      <c r="F6270" s="120"/>
      <c r="G6270" s="120"/>
      <c r="H6270" s="120"/>
      <c r="I6270" s="121"/>
      <c r="J6270" s="121"/>
      <c r="K6270" s="117"/>
    </row>
    <row r="6271" ht="15.75" customHeight="1">
      <c r="A6271" s="122"/>
      <c r="B6271" s="133"/>
      <c r="C6271" s="120"/>
      <c r="D6271" s="120"/>
      <c r="E6271" s="120"/>
      <c r="F6271" s="120"/>
      <c r="G6271" s="120"/>
      <c r="H6271" s="120"/>
      <c r="I6271" s="121"/>
      <c r="J6271" s="121"/>
      <c r="K6271" s="117"/>
    </row>
    <row r="6272" ht="15.75" customHeight="1">
      <c r="A6272" s="122"/>
      <c r="B6272" s="133"/>
      <c r="C6272" s="120"/>
      <c r="D6272" s="120"/>
      <c r="E6272" s="120"/>
      <c r="F6272" s="120"/>
      <c r="G6272" s="120"/>
      <c r="H6272" s="120"/>
      <c r="I6272" s="121"/>
      <c r="J6272" s="121"/>
      <c r="K6272" s="117"/>
    </row>
    <row r="6273" ht="15.75" customHeight="1">
      <c r="A6273" s="122"/>
      <c r="B6273" s="133"/>
      <c r="C6273" s="120"/>
      <c r="D6273" s="120"/>
      <c r="E6273" s="120"/>
      <c r="F6273" s="120"/>
      <c r="G6273" s="120"/>
      <c r="H6273" s="120"/>
      <c r="I6273" s="121"/>
      <c r="J6273" s="121"/>
      <c r="K6273" s="117"/>
    </row>
    <row r="6274" ht="15.75" customHeight="1">
      <c r="A6274" s="122"/>
      <c r="B6274" s="133"/>
      <c r="C6274" s="120"/>
      <c r="D6274" s="120"/>
      <c r="E6274" s="120"/>
      <c r="F6274" s="120"/>
      <c r="G6274" s="120"/>
      <c r="H6274" s="120"/>
      <c r="I6274" s="121"/>
      <c r="J6274" s="121"/>
      <c r="K6274" s="117"/>
    </row>
    <row r="6275" ht="15.75" customHeight="1">
      <c r="A6275" s="122"/>
      <c r="B6275" s="133"/>
      <c r="C6275" s="120"/>
      <c r="D6275" s="120"/>
      <c r="E6275" s="120"/>
      <c r="F6275" s="120"/>
      <c r="G6275" s="120"/>
      <c r="H6275" s="120"/>
      <c r="I6275" s="121"/>
      <c r="J6275" s="121"/>
      <c r="K6275" s="117"/>
    </row>
    <row r="6276" ht="15.75" customHeight="1">
      <c r="A6276" s="122"/>
      <c r="B6276" s="133"/>
      <c r="C6276" s="120"/>
      <c r="D6276" s="120"/>
      <c r="E6276" s="120"/>
      <c r="F6276" s="120"/>
      <c r="G6276" s="120"/>
      <c r="H6276" s="120"/>
      <c r="I6276" s="121"/>
      <c r="J6276" s="121"/>
      <c r="K6276" s="117"/>
    </row>
    <row r="6277" ht="15.75" customHeight="1">
      <c r="A6277" s="122"/>
      <c r="B6277" s="133"/>
      <c r="C6277" s="120"/>
      <c r="D6277" s="120"/>
      <c r="E6277" s="120"/>
      <c r="F6277" s="120"/>
      <c r="G6277" s="120"/>
      <c r="H6277" s="120"/>
      <c r="I6277" s="121"/>
      <c r="J6277" s="121"/>
      <c r="K6277" s="117"/>
    </row>
    <row r="6278" ht="15.75" customHeight="1">
      <c r="A6278" s="122"/>
      <c r="B6278" s="133"/>
      <c r="C6278" s="120"/>
      <c r="D6278" s="120"/>
      <c r="E6278" s="120"/>
      <c r="F6278" s="120"/>
      <c r="G6278" s="120"/>
      <c r="H6278" s="120"/>
      <c r="I6278" s="121"/>
      <c r="J6278" s="121"/>
      <c r="K6278" s="117"/>
    </row>
    <row r="6279" ht="15.75" customHeight="1">
      <c r="A6279" s="122"/>
      <c r="B6279" s="133"/>
      <c r="C6279" s="120"/>
      <c r="D6279" s="120"/>
      <c r="E6279" s="120"/>
      <c r="F6279" s="120"/>
      <c r="G6279" s="120"/>
      <c r="H6279" s="120"/>
      <c r="I6279" s="121"/>
      <c r="J6279" s="121"/>
      <c r="K6279" s="117"/>
    </row>
    <row r="6280" ht="15.75" customHeight="1">
      <c r="A6280" s="122"/>
      <c r="B6280" s="133"/>
      <c r="C6280" s="120"/>
      <c r="D6280" s="120"/>
      <c r="E6280" s="120"/>
      <c r="F6280" s="120"/>
      <c r="G6280" s="120"/>
      <c r="H6280" s="120"/>
      <c r="I6280" s="121"/>
      <c r="J6280" s="121"/>
      <c r="K6280" s="117"/>
    </row>
    <row r="6281" ht="15.75" customHeight="1">
      <c r="A6281" s="122"/>
      <c r="B6281" s="133"/>
      <c r="C6281" s="120"/>
      <c r="D6281" s="120"/>
      <c r="E6281" s="120"/>
      <c r="F6281" s="120"/>
      <c r="G6281" s="120"/>
      <c r="H6281" s="120"/>
      <c r="I6281" s="121"/>
      <c r="J6281" s="121"/>
      <c r="K6281" s="117"/>
    </row>
    <row r="6282" ht="15.75" customHeight="1">
      <c r="A6282" s="122"/>
      <c r="B6282" s="133"/>
      <c r="C6282" s="120"/>
      <c r="D6282" s="120"/>
      <c r="E6282" s="120"/>
      <c r="F6282" s="120"/>
      <c r="G6282" s="120"/>
      <c r="H6282" s="120"/>
      <c r="I6282" s="121"/>
      <c r="J6282" s="121"/>
      <c r="K6282" s="117"/>
    </row>
    <row r="6283" ht="15.75" customHeight="1">
      <c r="A6283" s="122"/>
      <c r="B6283" s="133"/>
      <c r="C6283" s="120"/>
      <c r="D6283" s="120"/>
      <c r="E6283" s="120"/>
      <c r="F6283" s="120"/>
      <c r="G6283" s="120"/>
      <c r="H6283" s="120"/>
      <c r="I6283" s="121"/>
      <c r="J6283" s="121"/>
      <c r="K6283" s="117"/>
    </row>
    <row r="6284" ht="15.75" customHeight="1">
      <c r="A6284" s="122"/>
      <c r="B6284" s="133"/>
      <c r="C6284" s="120"/>
      <c r="D6284" s="120"/>
      <c r="E6284" s="120"/>
      <c r="F6284" s="120"/>
      <c r="G6284" s="120"/>
      <c r="H6284" s="120"/>
      <c r="I6284" s="121"/>
      <c r="J6284" s="121"/>
      <c r="K6284" s="117"/>
    </row>
    <row r="6285" ht="15.75" customHeight="1">
      <c r="A6285" s="122"/>
      <c r="B6285" s="133"/>
      <c r="C6285" s="120"/>
      <c r="D6285" s="120"/>
      <c r="E6285" s="120"/>
      <c r="F6285" s="120"/>
      <c r="G6285" s="120"/>
      <c r="H6285" s="120"/>
      <c r="I6285" s="121"/>
      <c r="J6285" s="121"/>
      <c r="K6285" s="117"/>
    </row>
    <row r="6286" ht="15.75" customHeight="1">
      <c r="A6286" s="122"/>
      <c r="B6286" s="133"/>
      <c r="C6286" s="120"/>
      <c r="D6286" s="120"/>
      <c r="E6286" s="120"/>
      <c r="F6286" s="120"/>
      <c r="G6286" s="120"/>
      <c r="H6286" s="120"/>
      <c r="I6286" s="121"/>
      <c r="J6286" s="121"/>
      <c r="K6286" s="117"/>
    </row>
    <row r="6287" ht="15.75" customHeight="1">
      <c r="A6287" s="122"/>
      <c r="B6287" s="133"/>
      <c r="C6287" s="120"/>
      <c r="D6287" s="120"/>
      <c r="E6287" s="120"/>
      <c r="F6287" s="120"/>
      <c r="G6287" s="120"/>
      <c r="H6287" s="120"/>
      <c r="I6287" s="121"/>
      <c r="J6287" s="121"/>
      <c r="K6287" s="117"/>
    </row>
    <row r="6288" ht="15.75" customHeight="1">
      <c r="A6288" s="122"/>
      <c r="B6288" s="133"/>
      <c r="C6288" s="120"/>
      <c r="D6288" s="120"/>
      <c r="E6288" s="120"/>
      <c r="F6288" s="120"/>
      <c r="G6288" s="120"/>
      <c r="H6288" s="120"/>
      <c r="I6288" s="121"/>
      <c r="J6288" s="121"/>
      <c r="K6288" s="117"/>
    </row>
    <row r="6289" ht="15.75" customHeight="1">
      <c r="A6289" s="122"/>
      <c r="B6289" s="133"/>
      <c r="C6289" s="120"/>
      <c r="D6289" s="120"/>
      <c r="E6289" s="120"/>
      <c r="F6289" s="120"/>
      <c r="G6289" s="120"/>
      <c r="H6289" s="120"/>
      <c r="I6289" s="121"/>
      <c r="J6289" s="121"/>
      <c r="K6289" s="117"/>
    </row>
    <row r="6290" ht="15.75" customHeight="1">
      <c r="A6290" s="122"/>
      <c r="B6290" s="133"/>
      <c r="C6290" s="120"/>
      <c r="D6290" s="120"/>
      <c r="E6290" s="120"/>
      <c r="F6290" s="120"/>
      <c r="G6290" s="120"/>
      <c r="H6290" s="120"/>
      <c r="I6290" s="121"/>
      <c r="J6290" s="121"/>
      <c r="K6290" s="117"/>
    </row>
    <row r="6291" ht="15.75" customHeight="1">
      <c r="A6291" s="122"/>
      <c r="B6291" s="133"/>
      <c r="C6291" s="120"/>
      <c r="D6291" s="120"/>
      <c r="E6291" s="120"/>
      <c r="F6291" s="120"/>
      <c r="G6291" s="120"/>
      <c r="H6291" s="120"/>
      <c r="I6291" s="121"/>
      <c r="J6291" s="121"/>
      <c r="K6291" s="117"/>
    </row>
    <row r="6292" ht="15.75" customHeight="1">
      <c r="A6292" s="122"/>
      <c r="B6292" s="133"/>
      <c r="C6292" s="120"/>
      <c r="D6292" s="120"/>
      <c r="E6292" s="120"/>
      <c r="F6292" s="120"/>
      <c r="G6292" s="120"/>
      <c r="H6292" s="120"/>
      <c r="I6292" s="121"/>
      <c r="J6292" s="121"/>
      <c r="K6292" s="117"/>
    </row>
    <row r="6293" ht="15.75" customHeight="1">
      <c r="A6293" s="122"/>
      <c r="B6293" s="133"/>
      <c r="C6293" s="120"/>
      <c r="D6293" s="120"/>
      <c r="E6293" s="120"/>
      <c r="F6293" s="120"/>
      <c r="G6293" s="120"/>
      <c r="H6293" s="120"/>
      <c r="I6293" s="121"/>
      <c r="J6293" s="121"/>
      <c r="K6293" s="117"/>
    </row>
    <row r="6294" ht="15.75" customHeight="1">
      <c r="A6294" s="122"/>
      <c r="B6294" s="133"/>
      <c r="C6294" s="120"/>
      <c r="D6294" s="120"/>
      <c r="E6294" s="120"/>
      <c r="F6294" s="120"/>
      <c r="G6294" s="120"/>
      <c r="H6294" s="120"/>
      <c r="I6294" s="121"/>
      <c r="J6294" s="121"/>
      <c r="K6294" s="117"/>
    </row>
    <row r="6295" ht="15.75" customHeight="1">
      <c r="A6295" s="122"/>
      <c r="B6295" s="133"/>
      <c r="C6295" s="120"/>
      <c r="D6295" s="120"/>
      <c r="E6295" s="120"/>
      <c r="F6295" s="120"/>
      <c r="G6295" s="120"/>
      <c r="H6295" s="120"/>
      <c r="I6295" s="121"/>
      <c r="J6295" s="121"/>
      <c r="K6295" s="117"/>
    </row>
    <row r="6296" ht="15.75" customHeight="1">
      <c r="A6296" s="122"/>
      <c r="B6296" s="133"/>
      <c r="C6296" s="120"/>
      <c r="D6296" s="120"/>
      <c r="E6296" s="120"/>
      <c r="F6296" s="120"/>
      <c r="G6296" s="120"/>
      <c r="H6296" s="120"/>
      <c r="I6296" s="121"/>
      <c r="J6296" s="121"/>
      <c r="K6296" s="117"/>
    </row>
    <row r="6297" ht="15.75" customHeight="1">
      <c r="A6297" s="122"/>
      <c r="B6297" s="133"/>
      <c r="C6297" s="120"/>
      <c r="D6297" s="120"/>
      <c r="E6297" s="120"/>
      <c r="F6297" s="120"/>
      <c r="G6297" s="120"/>
      <c r="H6297" s="120"/>
      <c r="I6297" s="121"/>
      <c r="J6297" s="121"/>
      <c r="K6297" s="117"/>
    </row>
    <row r="6298" ht="15.75" customHeight="1">
      <c r="A6298" s="122"/>
      <c r="B6298" s="133"/>
      <c r="C6298" s="120"/>
      <c r="D6298" s="120"/>
      <c r="E6298" s="120"/>
      <c r="F6298" s="120"/>
      <c r="G6298" s="120"/>
      <c r="H6298" s="120"/>
      <c r="I6298" s="121"/>
      <c r="J6298" s="121"/>
      <c r="K6298" s="117"/>
    </row>
    <row r="6299" ht="15.75" customHeight="1">
      <c r="A6299" s="122"/>
      <c r="B6299" s="133"/>
      <c r="C6299" s="120"/>
      <c r="D6299" s="120"/>
      <c r="E6299" s="120"/>
      <c r="F6299" s="120"/>
      <c r="G6299" s="120"/>
      <c r="H6299" s="120"/>
      <c r="I6299" s="121"/>
      <c r="J6299" s="121"/>
      <c r="K6299" s="117"/>
    </row>
    <row r="6300" ht="15.75" customHeight="1">
      <c r="A6300" s="122"/>
      <c r="B6300" s="133"/>
      <c r="C6300" s="120"/>
      <c r="D6300" s="120"/>
      <c r="E6300" s="120"/>
      <c r="F6300" s="120"/>
      <c r="G6300" s="120"/>
      <c r="H6300" s="120"/>
      <c r="I6300" s="121"/>
      <c r="J6300" s="121"/>
      <c r="K6300" s="117"/>
    </row>
    <row r="6301" ht="15.75" customHeight="1">
      <c r="A6301" s="122"/>
      <c r="B6301" s="133"/>
      <c r="C6301" s="120"/>
      <c r="D6301" s="120"/>
      <c r="E6301" s="120"/>
      <c r="F6301" s="120"/>
      <c r="G6301" s="120"/>
      <c r="H6301" s="120"/>
      <c r="I6301" s="121"/>
      <c r="J6301" s="121"/>
      <c r="K6301" s="117"/>
    </row>
    <row r="6302" ht="15.75" customHeight="1">
      <c r="A6302" s="122"/>
      <c r="B6302" s="133"/>
      <c r="C6302" s="120"/>
      <c r="D6302" s="120"/>
      <c r="E6302" s="120"/>
      <c r="F6302" s="120"/>
      <c r="G6302" s="120"/>
      <c r="H6302" s="120"/>
      <c r="I6302" s="121"/>
      <c r="J6302" s="121"/>
      <c r="K6302" s="117"/>
    </row>
    <row r="6303" ht="15.75" customHeight="1">
      <c r="A6303" s="122"/>
      <c r="B6303" s="133"/>
      <c r="C6303" s="120"/>
      <c r="D6303" s="120"/>
      <c r="E6303" s="120"/>
      <c r="F6303" s="120"/>
      <c r="G6303" s="120"/>
      <c r="H6303" s="120"/>
      <c r="I6303" s="121"/>
      <c r="J6303" s="121"/>
      <c r="K6303" s="117"/>
    </row>
    <row r="6304" ht="15.75" customHeight="1">
      <c r="A6304" s="122"/>
      <c r="B6304" s="133"/>
      <c r="C6304" s="120"/>
      <c r="D6304" s="120"/>
      <c r="E6304" s="120"/>
      <c r="F6304" s="120"/>
      <c r="G6304" s="120"/>
      <c r="H6304" s="120"/>
      <c r="I6304" s="121"/>
      <c r="J6304" s="121"/>
      <c r="K6304" s="117"/>
    </row>
    <row r="6305" ht="15.75" customHeight="1">
      <c r="A6305" s="122"/>
      <c r="B6305" s="133"/>
      <c r="C6305" s="120"/>
      <c r="D6305" s="120"/>
      <c r="E6305" s="120"/>
      <c r="F6305" s="120"/>
      <c r="G6305" s="120"/>
      <c r="H6305" s="120"/>
      <c r="I6305" s="121"/>
      <c r="J6305" s="121"/>
      <c r="K6305" s="117"/>
    </row>
    <row r="6306" ht="15.75" customHeight="1">
      <c r="A6306" s="122"/>
      <c r="B6306" s="133"/>
      <c r="C6306" s="120"/>
      <c r="D6306" s="120"/>
      <c r="E6306" s="120"/>
      <c r="F6306" s="120"/>
      <c r="G6306" s="120"/>
      <c r="H6306" s="120"/>
      <c r="I6306" s="121"/>
      <c r="J6306" s="121"/>
      <c r="K6306" s="117"/>
    </row>
    <row r="6307" ht="15.75" customHeight="1">
      <c r="A6307" s="122"/>
      <c r="B6307" s="133"/>
      <c r="C6307" s="120"/>
      <c r="D6307" s="120"/>
      <c r="E6307" s="120"/>
      <c r="F6307" s="120"/>
      <c r="G6307" s="120"/>
      <c r="H6307" s="120"/>
      <c r="I6307" s="121"/>
      <c r="J6307" s="121"/>
      <c r="K6307" s="117"/>
    </row>
    <row r="6308" ht="15.75" customHeight="1">
      <c r="A6308" s="122"/>
      <c r="B6308" s="133"/>
      <c r="C6308" s="120"/>
      <c r="D6308" s="120"/>
      <c r="E6308" s="120"/>
      <c r="F6308" s="120"/>
      <c r="G6308" s="120"/>
      <c r="H6308" s="120"/>
      <c r="I6308" s="121"/>
      <c r="J6308" s="121"/>
      <c r="K6308" s="117"/>
    </row>
    <row r="6309" ht="15.75" customHeight="1">
      <c r="A6309" s="122"/>
      <c r="B6309" s="133"/>
      <c r="C6309" s="120"/>
      <c r="D6309" s="120"/>
      <c r="E6309" s="120"/>
      <c r="F6309" s="120"/>
      <c r="G6309" s="120"/>
      <c r="H6309" s="120"/>
      <c r="I6309" s="121"/>
      <c r="J6309" s="121"/>
      <c r="K6309" s="117"/>
    </row>
    <row r="6310" ht="15.75" customHeight="1">
      <c r="A6310" s="122"/>
      <c r="B6310" s="133"/>
      <c r="C6310" s="120"/>
      <c r="D6310" s="120"/>
      <c r="E6310" s="120"/>
      <c r="F6310" s="120"/>
      <c r="G6310" s="120"/>
      <c r="H6310" s="120"/>
      <c r="I6310" s="121"/>
      <c r="J6310" s="121"/>
      <c r="K6310" s="117"/>
    </row>
    <row r="6311" ht="15.75" customHeight="1">
      <c r="A6311" s="122"/>
      <c r="B6311" s="133"/>
      <c r="C6311" s="120"/>
      <c r="D6311" s="120"/>
      <c r="E6311" s="120"/>
      <c r="F6311" s="120"/>
      <c r="G6311" s="120"/>
      <c r="H6311" s="120"/>
      <c r="I6311" s="121"/>
      <c r="J6311" s="121"/>
      <c r="K6311" s="117"/>
    </row>
    <row r="6312" ht="15.75" customHeight="1">
      <c r="A6312" s="122"/>
      <c r="B6312" s="133"/>
      <c r="C6312" s="120"/>
      <c r="D6312" s="120"/>
      <c r="E6312" s="120"/>
      <c r="F6312" s="120"/>
      <c r="G6312" s="120"/>
      <c r="H6312" s="120"/>
      <c r="I6312" s="121"/>
      <c r="J6312" s="121"/>
      <c r="K6312" s="117"/>
    </row>
    <row r="6313" ht="15.75" customHeight="1">
      <c r="A6313" s="122"/>
      <c r="B6313" s="133"/>
      <c r="C6313" s="120"/>
      <c r="D6313" s="120"/>
      <c r="E6313" s="120"/>
      <c r="F6313" s="120"/>
      <c r="G6313" s="120"/>
      <c r="H6313" s="120"/>
      <c r="I6313" s="121"/>
      <c r="J6313" s="121"/>
      <c r="K6313" s="117"/>
    </row>
    <row r="6314" ht="15.75" customHeight="1">
      <c r="A6314" s="122"/>
      <c r="B6314" s="133"/>
      <c r="C6314" s="120"/>
      <c r="D6314" s="120"/>
      <c r="E6314" s="120"/>
      <c r="F6314" s="120"/>
      <c r="G6314" s="120"/>
      <c r="H6314" s="120"/>
      <c r="I6314" s="121"/>
      <c r="J6314" s="121"/>
      <c r="K6314" s="117"/>
    </row>
    <row r="6315" ht="15.75" customHeight="1">
      <c r="A6315" s="122"/>
      <c r="B6315" s="133"/>
      <c r="C6315" s="120"/>
      <c r="D6315" s="120"/>
      <c r="E6315" s="120"/>
      <c r="F6315" s="120"/>
      <c r="G6315" s="120"/>
      <c r="H6315" s="120"/>
      <c r="I6315" s="121"/>
      <c r="J6315" s="121"/>
      <c r="K6315" s="117"/>
    </row>
    <row r="6316" ht="15.75" customHeight="1">
      <c r="A6316" s="122"/>
      <c r="B6316" s="133"/>
      <c r="C6316" s="120"/>
      <c r="D6316" s="120"/>
      <c r="E6316" s="120"/>
      <c r="F6316" s="120"/>
      <c r="G6316" s="120"/>
      <c r="H6316" s="120"/>
      <c r="I6316" s="121"/>
      <c r="J6316" s="121"/>
      <c r="K6316" s="117"/>
    </row>
    <row r="6317" ht="15.75" customHeight="1">
      <c r="A6317" s="122"/>
      <c r="B6317" s="133"/>
      <c r="C6317" s="120"/>
      <c r="D6317" s="120"/>
      <c r="E6317" s="120"/>
      <c r="F6317" s="120"/>
      <c r="G6317" s="120"/>
      <c r="H6317" s="120"/>
      <c r="I6317" s="121"/>
      <c r="J6317" s="121"/>
      <c r="K6317" s="117"/>
    </row>
    <row r="6318" ht="15.75" customHeight="1">
      <c r="A6318" s="122"/>
      <c r="B6318" s="133"/>
      <c r="C6318" s="120"/>
      <c r="D6318" s="120"/>
      <c r="E6318" s="120"/>
      <c r="F6318" s="120"/>
      <c r="G6318" s="120"/>
      <c r="H6318" s="120"/>
      <c r="I6318" s="121"/>
      <c r="J6318" s="121"/>
      <c r="K6318" s="117"/>
    </row>
    <row r="6319" ht="15.75" customHeight="1">
      <c r="A6319" s="122"/>
      <c r="B6319" s="133"/>
      <c r="C6319" s="120"/>
      <c r="D6319" s="120"/>
      <c r="E6319" s="120"/>
      <c r="F6319" s="120"/>
      <c r="G6319" s="120"/>
      <c r="H6319" s="120"/>
      <c r="I6319" s="121"/>
      <c r="J6319" s="121"/>
      <c r="K6319" s="117"/>
    </row>
    <row r="6320" ht="15.75" customHeight="1">
      <c r="A6320" s="122"/>
      <c r="B6320" s="133"/>
      <c r="C6320" s="120"/>
      <c r="D6320" s="120"/>
      <c r="E6320" s="120"/>
      <c r="F6320" s="120"/>
      <c r="G6320" s="120"/>
      <c r="H6320" s="120"/>
      <c r="I6320" s="121"/>
      <c r="J6320" s="121"/>
      <c r="K6320" s="117"/>
    </row>
    <row r="6321" ht="15.75" customHeight="1">
      <c r="A6321" s="122"/>
      <c r="B6321" s="133"/>
      <c r="C6321" s="120"/>
      <c r="D6321" s="120"/>
      <c r="E6321" s="120"/>
      <c r="F6321" s="120"/>
      <c r="G6321" s="120"/>
      <c r="H6321" s="120"/>
      <c r="I6321" s="121"/>
      <c r="J6321" s="121"/>
      <c r="K6321" s="117"/>
    </row>
    <row r="6322" ht="15.75" customHeight="1">
      <c r="A6322" s="122"/>
      <c r="B6322" s="133"/>
      <c r="C6322" s="120"/>
      <c r="D6322" s="120"/>
      <c r="E6322" s="120"/>
      <c r="F6322" s="120"/>
      <c r="G6322" s="120"/>
      <c r="H6322" s="120"/>
      <c r="I6322" s="121"/>
      <c r="J6322" s="121"/>
      <c r="K6322" s="117"/>
    </row>
    <row r="6323" ht="15.75" customHeight="1">
      <c r="A6323" s="122"/>
      <c r="B6323" s="133"/>
      <c r="C6323" s="120"/>
      <c r="D6323" s="120"/>
      <c r="E6323" s="120"/>
      <c r="F6323" s="120"/>
      <c r="G6323" s="120"/>
      <c r="H6323" s="120"/>
      <c r="I6323" s="121"/>
      <c r="J6323" s="121"/>
      <c r="K6323" s="117"/>
    </row>
    <row r="6324" ht="15.75" customHeight="1">
      <c r="A6324" s="122"/>
      <c r="B6324" s="133"/>
      <c r="C6324" s="120"/>
      <c r="D6324" s="120"/>
      <c r="E6324" s="120"/>
      <c r="F6324" s="120"/>
      <c r="G6324" s="120"/>
      <c r="H6324" s="120"/>
      <c r="I6324" s="121"/>
      <c r="J6324" s="121"/>
      <c r="K6324" s="117"/>
    </row>
    <row r="6325" ht="15.75" customHeight="1">
      <c r="A6325" s="122"/>
      <c r="B6325" s="133"/>
      <c r="C6325" s="120"/>
      <c r="D6325" s="120"/>
      <c r="E6325" s="120"/>
      <c r="F6325" s="120"/>
      <c r="G6325" s="120"/>
      <c r="H6325" s="120"/>
      <c r="I6325" s="121"/>
      <c r="J6325" s="121"/>
      <c r="K6325" s="117"/>
    </row>
    <row r="6326" ht="15.75" customHeight="1">
      <c r="A6326" s="122"/>
      <c r="B6326" s="133"/>
      <c r="C6326" s="120"/>
      <c r="D6326" s="120"/>
      <c r="E6326" s="120"/>
      <c r="F6326" s="120"/>
      <c r="G6326" s="120"/>
      <c r="H6326" s="120"/>
      <c r="I6326" s="121"/>
      <c r="J6326" s="121"/>
      <c r="K6326" s="117"/>
    </row>
    <row r="6327" ht="15.75" customHeight="1">
      <c r="A6327" s="122"/>
      <c r="B6327" s="133"/>
      <c r="C6327" s="120"/>
      <c r="D6327" s="120"/>
      <c r="E6327" s="120"/>
      <c r="F6327" s="120"/>
      <c r="G6327" s="120"/>
      <c r="H6327" s="120"/>
      <c r="I6327" s="121"/>
      <c r="J6327" s="121"/>
      <c r="K6327" s="117"/>
    </row>
    <row r="6328" ht="15.75" customHeight="1">
      <c r="A6328" s="122"/>
      <c r="B6328" s="133"/>
      <c r="C6328" s="120"/>
      <c r="D6328" s="120"/>
      <c r="E6328" s="120"/>
      <c r="F6328" s="120"/>
      <c r="G6328" s="120"/>
      <c r="H6328" s="120"/>
      <c r="I6328" s="121"/>
      <c r="J6328" s="121"/>
      <c r="K6328" s="117"/>
    </row>
    <row r="6329" ht="15.75" customHeight="1">
      <c r="A6329" s="122"/>
      <c r="B6329" s="133"/>
      <c r="C6329" s="120"/>
      <c r="D6329" s="120"/>
      <c r="E6329" s="120"/>
      <c r="F6329" s="120"/>
      <c r="G6329" s="120"/>
      <c r="H6329" s="120"/>
      <c r="I6329" s="121"/>
      <c r="J6329" s="121"/>
      <c r="K6329" s="117"/>
    </row>
    <row r="6330" ht="15.75" customHeight="1">
      <c r="A6330" s="122"/>
      <c r="B6330" s="133"/>
      <c r="C6330" s="120"/>
      <c r="D6330" s="120"/>
      <c r="E6330" s="120"/>
      <c r="F6330" s="120"/>
      <c r="G6330" s="120"/>
      <c r="H6330" s="120"/>
      <c r="I6330" s="121"/>
      <c r="J6330" s="121"/>
      <c r="K6330" s="117"/>
    </row>
    <row r="6331" ht="15.75" customHeight="1">
      <c r="A6331" s="122"/>
      <c r="B6331" s="133"/>
      <c r="C6331" s="120"/>
      <c r="D6331" s="120"/>
      <c r="E6331" s="120"/>
      <c r="F6331" s="120"/>
      <c r="G6331" s="120"/>
      <c r="H6331" s="120"/>
      <c r="I6331" s="121"/>
      <c r="J6331" s="121"/>
      <c r="K6331" s="117"/>
    </row>
    <row r="6332" ht="15.75" customHeight="1">
      <c r="A6332" s="122"/>
      <c r="B6332" s="133"/>
      <c r="C6332" s="120"/>
      <c r="D6332" s="120"/>
      <c r="E6332" s="120"/>
      <c r="F6332" s="120"/>
      <c r="G6332" s="120"/>
      <c r="H6332" s="120"/>
      <c r="I6332" s="121"/>
      <c r="J6332" s="121"/>
      <c r="K6332" s="117"/>
    </row>
    <row r="6333" ht="15.75" customHeight="1">
      <c r="A6333" s="122"/>
      <c r="B6333" s="133"/>
      <c r="C6333" s="120"/>
      <c r="D6333" s="120"/>
      <c r="E6333" s="120"/>
      <c r="F6333" s="120"/>
      <c r="G6333" s="120"/>
      <c r="H6333" s="120"/>
      <c r="I6333" s="121"/>
      <c r="J6333" s="121"/>
      <c r="K6333" s="117"/>
    </row>
    <row r="6334" ht="15.75" customHeight="1">
      <c r="A6334" s="122"/>
      <c r="B6334" s="133"/>
      <c r="C6334" s="120"/>
      <c r="D6334" s="120"/>
      <c r="E6334" s="120"/>
      <c r="F6334" s="120"/>
      <c r="G6334" s="120"/>
      <c r="H6334" s="120"/>
      <c r="I6334" s="121"/>
      <c r="J6334" s="121"/>
      <c r="K6334" s="117"/>
    </row>
    <row r="6335" ht="15.75" customHeight="1">
      <c r="A6335" s="122"/>
      <c r="B6335" s="133"/>
      <c r="C6335" s="120"/>
      <c r="D6335" s="120"/>
      <c r="E6335" s="120"/>
      <c r="F6335" s="120"/>
      <c r="G6335" s="120"/>
      <c r="H6335" s="120"/>
      <c r="I6335" s="121"/>
      <c r="J6335" s="121"/>
      <c r="K6335" s="117"/>
    </row>
    <row r="6336" ht="15.75" customHeight="1">
      <c r="A6336" s="122"/>
      <c r="B6336" s="133"/>
      <c r="C6336" s="120"/>
      <c r="D6336" s="120"/>
      <c r="E6336" s="120"/>
      <c r="F6336" s="120"/>
      <c r="G6336" s="120"/>
      <c r="H6336" s="120"/>
      <c r="I6336" s="121"/>
      <c r="J6336" s="121"/>
      <c r="K6336" s="117"/>
    </row>
    <row r="6337" ht="15.75" customHeight="1">
      <c r="A6337" s="122"/>
      <c r="B6337" s="133"/>
      <c r="C6337" s="120"/>
      <c r="D6337" s="120"/>
      <c r="E6337" s="120"/>
      <c r="F6337" s="120"/>
      <c r="G6337" s="120"/>
      <c r="H6337" s="120"/>
      <c r="I6337" s="121"/>
      <c r="J6337" s="121"/>
      <c r="K6337" s="117"/>
    </row>
    <row r="6338" ht="15.75" customHeight="1">
      <c r="A6338" s="122"/>
      <c r="B6338" s="133"/>
      <c r="C6338" s="120"/>
      <c r="D6338" s="120"/>
      <c r="E6338" s="120"/>
      <c r="F6338" s="120"/>
      <c r="G6338" s="120"/>
      <c r="H6338" s="120"/>
      <c r="I6338" s="121"/>
      <c r="J6338" s="121"/>
      <c r="K6338" s="117"/>
    </row>
    <row r="6339" ht="15.75" customHeight="1">
      <c r="A6339" s="122"/>
      <c r="B6339" s="133"/>
      <c r="C6339" s="120"/>
      <c r="D6339" s="120"/>
      <c r="E6339" s="120"/>
      <c r="F6339" s="120"/>
      <c r="G6339" s="120"/>
      <c r="H6339" s="120"/>
      <c r="I6339" s="121"/>
      <c r="J6339" s="121"/>
      <c r="K6339" s="117"/>
    </row>
    <row r="6340" ht="15.75" customHeight="1">
      <c r="A6340" s="122"/>
      <c r="B6340" s="133"/>
      <c r="C6340" s="120"/>
      <c r="D6340" s="120"/>
      <c r="E6340" s="120"/>
      <c r="F6340" s="120"/>
      <c r="G6340" s="120"/>
      <c r="H6340" s="120"/>
      <c r="I6340" s="121"/>
      <c r="J6340" s="121"/>
      <c r="K6340" s="117"/>
    </row>
    <row r="6341" ht="15.75" customHeight="1">
      <c r="A6341" s="122"/>
      <c r="B6341" s="133"/>
      <c r="C6341" s="120"/>
      <c r="D6341" s="120"/>
      <c r="E6341" s="120"/>
      <c r="F6341" s="120"/>
      <c r="G6341" s="120"/>
      <c r="H6341" s="120"/>
      <c r="I6341" s="121"/>
      <c r="J6341" s="121"/>
      <c r="K6341" s="117"/>
    </row>
    <row r="6342" ht="15.75" customHeight="1">
      <c r="A6342" s="122"/>
      <c r="B6342" s="133"/>
      <c r="C6342" s="120"/>
      <c r="D6342" s="120"/>
      <c r="E6342" s="120"/>
      <c r="F6342" s="120"/>
      <c r="G6342" s="120"/>
      <c r="H6342" s="120"/>
      <c r="I6342" s="121"/>
      <c r="J6342" s="121"/>
      <c r="K6342" s="117"/>
    </row>
    <row r="6343" ht="15.75" customHeight="1">
      <c r="A6343" s="122"/>
      <c r="B6343" s="133"/>
      <c r="C6343" s="120"/>
      <c r="D6343" s="120"/>
      <c r="E6343" s="120"/>
      <c r="F6343" s="120"/>
      <c r="G6343" s="120"/>
      <c r="H6343" s="120"/>
      <c r="I6343" s="121"/>
      <c r="J6343" s="121"/>
      <c r="K6343" s="117"/>
    </row>
    <row r="6344" ht="15.75" customHeight="1">
      <c r="A6344" s="122"/>
      <c r="B6344" s="133"/>
      <c r="C6344" s="120"/>
      <c r="D6344" s="120"/>
      <c r="E6344" s="120"/>
      <c r="F6344" s="120"/>
      <c r="G6344" s="120"/>
      <c r="H6344" s="120"/>
      <c r="I6344" s="121"/>
      <c r="J6344" s="121"/>
      <c r="K6344" s="117"/>
    </row>
    <row r="6345" ht="15.75" customHeight="1">
      <c r="A6345" s="122"/>
      <c r="B6345" s="133"/>
      <c r="C6345" s="120"/>
      <c r="D6345" s="120"/>
      <c r="E6345" s="120"/>
      <c r="F6345" s="120"/>
      <c r="G6345" s="120"/>
      <c r="H6345" s="120"/>
      <c r="I6345" s="121"/>
      <c r="J6345" s="121"/>
      <c r="K6345" s="117"/>
    </row>
    <row r="6346" ht="15.75" customHeight="1">
      <c r="A6346" s="122"/>
      <c r="B6346" s="133"/>
      <c r="C6346" s="120"/>
      <c r="D6346" s="120"/>
      <c r="E6346" s="120"/>
      <c r="F6346" s="120"/>
      <c r="G6346" s="120"/>
      <c r="H6346" s="120"/>
      <c r="I6346" s="121"/>
      <c r="J6346" s="121"/>
      <c r="K6346" s="117"/>
    </row>
    <row r="6347" ht="15.75" customHeight="1">
      <c r="A6347" s="122"/>
      <c r="B6347" s="133"/>
      <c r="C6347" s="120"/>
      <c r="D6347" s="120"/>
      <c r="E6347" s="120"/>
      <c r="F6347" s="120"/>
      <c r="G6347" s="120"/>
      <c r="H6347" s="120"/>
      <c r="I6347" s="121"/>
      <c r="J6347" s="121"/>
      <c r="K6347" s="117"/>
    </row>
    <row r="6348" ht="15.75" customHeight="1">
      <c r="A6348" s="122"/>
      <c r="B6348" s="133"/>
      <c r="C6348" s="120"/>
      <c r="D6348" s="120"/>
      <c r="E6348" s="120"/>
      <c r="F6348" s="120"/>
      <c r="G6348" s="120"/>
      <c r="H6348" s="120"/>
      <c r="I6348" s="121"/>
      <c r="J6348" s="121"/>
      <c r="K6348" s="117"/>
    </row>
    <row r="6349" ht="15.75" customHeight="1">
      <c r="A6349" s="122"/>
      <c r="B6349" s="133"/>
      <c r="C6349" s="120"/>
      <c r="D6349" s="120"/>
      <c r="E6349" s="120"/>
      <c r="F6349" s="120"/>
      <c r="G6349" s="120"/>
      <c r="H6349" s="120"/>
      <c r="I6349" s="121"/>
      <c r="J6349" s="121"/>
      <c r="K6349" s="117"/>
    </row>
    <row r="6350" ht="15.75" customHeight="1">
      <c r="A6350" s="122"/>
      <c r="B6350" s="133"/>
      <c r="C6350" s="120"/>
      <c r="D6350" s="120"/>
      <c r="E6350" s="120"/>
      <c r="F6350" s="120"/>
      <c r="G6350" s="120"/>
      <c r="H6350" s="120"/>
      <c r="I6350" s="121"/>
      <c r="J6350" s="121"/>
      <c r="K6350" s="117"/>
    </row>
    <row r="6351" ht="15.75" customHeight="1">
      <c r="A6351" s="122"/>
      <c r="B6351" s="133"/>
      <c r="C6351" s="120"/>
      <c r="D6351" s="120"/>
      <c r="E6351" s="120"/>
      <c r="F6351" s="120"/>
      <c r="G6351" s="120"/>
      <c r="H6351" s="120"/>
      <c r="I6351" s="121"/>
      <c r="J6351" s="121"/>
      <c r="K6351" s="117"/>
    </row>
    <row r="6352" ht="15.75" customHeight="1">
      <c r="A6352" s="122"/>
      <c r="B6352" s="133"/>
      <c r="C6352" s="120"/>
      <c r="D6352" s="120"/>
      <c r="E6352" s="120"/>
      <c r="F6352" s="120"/>
      <c r="G6352" s="120"/>
      <c r="H6352" s="120"/>
      <c r="I6352" s="121"/>
      <c r="J6352" s="121"/>
      <c r="K6352" s="117"/>
    </row>
    <row r="6353" ht="15.75" customHeight="1">
      <c r="A6353" s="122"/>
      <c r="B6353" s="133"/>
      <c r="C6353" s="120"/>
      <c r="D6353" s="120"/>
      <c r="E6353" s="120"/>
      <c r="F6353" s="120"/>
      <c r="G6353" s="120"/>
      <c r="H6353" s="120"/>
      <c r="I6353" s="121"/>
      <c r="J6353" s="121"/>
      <c r="K6353" s="117"/>
    </row>
    <row r="6354" ht="15.75" customHeight="1">
      <c r="A6354" s="122"/>
      <c r="B6354" s="133"/>
      <c r="C6354" s="120"/>
      <c r="D6354" s="120"/>
      <c r="E6354" s="120"/>
      <c r="F6354" s="120"/>
      <c r="G6354" s="120"/>
      <c r="H6354" s="120"/>
      <c r="I6354" s="121"/>
      <c r="J6354" s="121"/>
      <c r="K6354" s="117"/>
    </row>
    <row r="6355" ht="15.75" customHeight="1">
      <c r="A6355" s="122"/>
      <c r="B6355" s="133"/>
      <c r="C6355" s="120"/>
      <c r="D6355" s="120"/>
      <c r="E6355" s="120"/>
      <c r="F6355" s="120"/>
      <c r="G6355" s="120"/>
      <c r="H6355" s="120"/>
      <c r="I6355" s="121"/>
      <c r="J6355" s="121"/>
      <c r="K6355" s="117"/>
    </row>
    <row r="6356" ht="15.75" customHeight="1">
      <c r="A6356" s="122"/>
      <c r="B6356" s="133"/>
      <c r="C6356" s="120"/>
      <c r="D6356" s="120"/>
      <c r="E6356" s="120"/>
      <c r="F6356" s="120"/>
      <c r="G6356" s="120"/>
      <c r="H6356" s="120"/>
      <c r="I6356" s="121"/>
      <c r="J6356" s="121"/>
      <c r="K6356" s="117"/>
    </row>
    <row r="6357" ht="15.75" customHeight="1">
      <c r="A6357" s="122"/>
      <c r="B6357" s="133"/>
      <c r="C6357" s="120"/>
      <c r="D6357" s="120"/>
      <c r="E6357" s="120"/>
      <c r="F6357" s="120"/>
      <c r="G6357" s="120"/>
      <c r="H6357" s="120"/>
      <c r="I6357" s="121"/>
      <c r="J6357" s="121"/>
      <c r="K6357" s="117"/>
    </row>
    <row r="6358" ht="15.75" customHeight="1">
      <c r="A6358" s="122"/>
      <c r="B6358" s="133"/>
      <c r="C6358" s="120"/>
      <c r="D6358" s="120"/>
      <c r="E6358" s="120"/>
      <c r="F6358" s="120"/>
      <c r="G6358" s="120"/>
      <c r="H6358" s="120"/>
      <c r="I6358" s="121"/>
      <c r="J6358" s="121"/>
      <c r="K6358" s="117"/>
    </row>
    <row r="6359" ht="15.75" customHeight="1">
      <c r="A6359" s="122"/>
      <c r="B6359" s="133"/>
      <c r="C6359" s="120"/>
      <c r="D6359" s="120"/>
      <c r="E6359" s="120"/>
      <c r="F6359" s="120"/>
      <c r="G6359" s="120"/>
      <c r="H6359" s="120"/>
      <c r="I6359" s="121"/>
      <c r="J6359" s="121"/>
      <c r="K6359" s="117"/>
    </row>
    <row r="6360" ht="15.75" customHeight="1">
      <c r="A6360" s="122"/>
      <c r="B6360" s="133"/>
      <c r="C6360" s="120"/>
      <c r="D6360" s="120"/>
      <c r="E6360" s="120"/>
      <c r="F6360" s="120"/>
      <c r="G6360" s="120"/>
      <c r="H6360" s="120"/>
      <c r="I6360" s="121"/>
      <c r="J6360" s="121"/>
      <c r="K6360" s="117"/>
    </row>
    <row r="6361" ht="15.75" customHeight="1">
      <c r="A6361" s="122"/>
      <c r="B6361" s="133"/>
      <c r="C6361" s="120"/>
      <c r="D6361" s="120"/>
      <c r="E6361" s="120"/>
      <c r="F6361" s="120"/>
      <c r="G6361" s="120"/>
      <c r="H6361" s="120"/>
      <c r="I6361" s="121"/>
      <c r="J6361" s="121"/>
      <c r="K6361" s="117"/>
    </row>
    <row r="6362" ht="15.75" customHeight="1">
      <c r="A6362" s="122"/>
      <c r="B6362" s="133"/>
      <c r="C6362" s="120"/>
      <c r="D6362" s="120"/>
      <c r="E6362" s="120"/>
      <c r="F6362" s="120"/>
      <c r="G6362" s="120"/>
      <c r="H6362" s="120"/>
      <c r="I6362" s="121"/>
      <c r="J6362" s="121"/>
      <c r="K6362" s="117"/>
    </row>
    <row r="6363" ht="15.75" customHeight="1">
      <c r="A6363" s="122"/>
      <c r="B6363" s="133"/>
      <c r="C6363" s="120"/>
      <c r="D6363" s="120"/>
      <c r="E6363" s="120"/>
      <c r="F6363" s="120"/>
      <c r="G6363" s="120"/>
      <c r="H6363" s="120"/>
      <c r="I6363" s="121"/>
      <c r="J6363" s="121"/>
      <c r="K6363" s="117"/>
    </row>
    <row r="6364" ht="15.75" customHeight="1">
      <c r="A6364" s="122"/>
      <c r="B6364" s="133"/>
      <c r="C6364" s="120"/>
      <c r="D6364" s="120"/>
      <c r="E6364" s="120"/>
      <c r="F6364" s="120"/>
      <c r="G6364" s="120"/>
      <c r="H6364" s="120"/>
      <c r="I6364" s="121"/>
      <c r="J6364" s="121"/>
      <c r="K6364" s="117"/>
    </row>
    <row r="6365" ht="15.75" customHeight="1">
      <c r="A6365" s="122"/>
      <c r="B6365" s="133"/>
      <c r="C6365" s="120"/>
      <c r="D6365" s="120"/>
      <c r="E6365" s="120"/>
      <c r="F6365" s="120"/>
      <c r="G6365" s="120"/>
      <c r="H6365" s="120"/>
      <c r="I6365" s="121"/>
      <c r="J6365" s="121"/>
      <c r="K6365" s="117"/>
    </row>
    <row r="6366" ht="15.75" customHeight="1">
      <c r="A6366" s="122"/>
      <c r="B6366" s="133"/>
      <c r="C6366" s="120"/>
      <c r="D6366" s="120"/>
      <c r="E6366" s="120"/>
      <c r="F6366" s="120"/>
      <c r="G6366" s="120"/>
      <c r="H6366" s="120"/>
      <c r="I6366" s="121"/>
      <c r="J6366" s="121"/>
      <c r="K6366" s="117"/>
    </row>
    <row r="6367" ht="15.75" customHeight="1">
      <c r="A6367" s="122"/>
      <c r="B6367" s="133"/>
      <c r="C6367" s="120"/>
      <c r="D6367" s="120"/>
      <c r="E6367" s="120"/>
      <c r="F6367" s="120"/>
      <c r="G6367" s="120"/>
      <c r="H6367" s="120"/>
      <c r="I6367" s="121"/>
      <c r="J6367" s="121"/>
      <c r="K6367" s="117"/>
    </row>
    <row r="6368" ht="15.75" customHeight="1">
      <c r="A6368" s="122"/>
      <c r="B6368" s="133"/>
      <c r="C6368" s="120"/>
      <c r="D6368" s="120"/>
      <c r="E6368" s="120"/>
      <c r="F6368" s="120"/>
      <c r="G6368" s="120"/>
      <c r="H6368" s="120"/>
      <c r="I6368" s="121"/>
      <c r="J6368" s="121"/>
      <c r="K6368" s="117"/>
    </row>
    <row r="6369" ht="15.75" customHeight="1">
      <c r="A6369" s="122"/>
      <c r="B6369" s="133"/>
      <c r="C6369" s="120"/>
      <c r="D6369" s="120"/>
      <c r="E6369" s="120"/>
      <c r="F6369" s="120"/>
      <c r="G6369" s="120"/>
      <c r="H6369" s="120"/>
      <c r="I6369" s="121"/>
      <c r="J6369" s="121"/>
      <c r="K6369" s="117"/>
    </row>
    <row r="6370" ht="15.75" customHeight="1">
      <c r="A6370" s="122"/>
      <c r="B6370" s="133"/>
      <c r="C6370" s="120"/>
      <c r="D6370" s="120"/>
      <c r="E6370" s="120"/>
      <c r="F6370" s="120"/>
      <c r="G6370" s="120"/>
      <c r="H6370" s="120"/>
      <c r="I6370" s="121"/>
      <c r="J6370" s="121"/>
      <c r="K6370" s="117"/>
    </row>
    <row r="6371" ht="15.75" customHeight="1">
      <c r="A6371" s="122"/>
      <c r="B6371" s="133"/>
      <c r="C6371" s="120"/>
      <c r="D6371" s="120"/>
      <c r="E6371" s="120"/>
      <c r="F6371" s="120"/>
      <c r="G6371" s="120"/>
      <c r="H6371" s="120"/>
      <c r="I6371" s="121"/>
      <c r="J6371" s="121"/>
      <c r="K6371" s="117"/>
    </row>
    <row r="6372" ht="15.75" customHeight="1">
      <c r="A6372" s="122"/>
      <c r="B6372" s="133"/>
      <c r="C6372" s="120"/>
      <c r="D6372" s="120"/>
      <c r="E6372" s="120"/>
      <c r="F6372" s="120"/>
      <c r="G6372" s="120"/>
      <c r="H6372" s="120"/>
      <c r="I6372" s="121"/>
      <c r="J6372" s="121"/>
      <c r="K6372" s="117"/>
    </row>
    <row r="6373" ht="15.75" customHeight="1">
      <c r="A6373" s="122"/>
      <c r="B6373" s="133"/>
      <c r="C6373" s="120"/>
      <c r="D6373" s="120"/>
      <c r="E6373" s="120"/>
      <c r="F6373" s="120"/>
      <c r="G6373" s="120"/>
      <c r="H6373" s="120"/>
      <c r="I6373" s="121"/>
      <c r="J6373" s="121"/>
      <c r="K6373" s="117"/>
    </row>
    <row r="6374" ht="15.75" customHeight="1">
      <c r="A6374" s="122"/>
      <c r="B6374" s="133"/>
      <c r="C6374" s="120"/>
      <c r="D6374" s="120"/>
      <c r="E6374" s="120"/>
      <c r="F6374" s="120"/>
      <c r="G6374" s="120"/>
      <c r="H6374" s="120"/>
      <c r="I6374" s="121"/>
      <c r="J6374" s="121"/>
      <c r="K6374" s="117"/>
    </row>
    <row r="6375" ht="15.75" customHeight="1">
      <c r="A6375" s="122"/>
      <c r="B6375" s="133"/>
      <c r="C6375" s="120"/>
      <c r="D6375" s="120"/>
      <c r="E6375" s="120"/>
      <c r="F6375" s="120"/>
      <c r="G6375" s="120"/>
      <c r="H6375" s="120"/>
      <c r="I6375" s="121"/>
      <c r="J6375" s="121"/>
      <c r="K6375" s="117"/>
    </row>
    <row r="6376" ht="15.75" customHeight="1">
      <c r="A6376" s="122"/>
      <c r="B6376" s="133"/>
      <c r="C6376" s="120"/>
      <c r="D6376" s="120"/>
      <c r="E6376" s="120"/>
      <c r="F6376" s="120"/>
      <c r="G6376" s="120"/>
      <c r="H6376" s="120"/>
      <c r="I6376" s="121"/>
      <c r="J6376" s="121"/>
      <c r="K6376" s="117"/>
    </row>
    <row r="6377" ht="15.75" customHeight="1">
      <c r="A6377" s="122"/>
      <c r="B6377" s="133"/>
      <c r="C6377" s="120"/>
      <c r="D6377" s="120"/>
      <c r="E6377" s="120"/>
      <c r="F6377" s="120"/>
      <c r="G6377" s="120"/>
      <c r="H6377" s="120"/>
      <c r="I6377" s="121"/>
      <c r="J6377" s="121"/>
      <c r="K6377" s="117"/>
    </row>
    <row r="6378" ht="15.75" customHeight="1">
      <c r="A6378" s="122"/>
      <c r="B6378" s="133"/>
      <c r="C6378" s="120"/>
      <c r="D6378" s="120"/>
      <c r="E6378" s="120"/>
      <c r="F6378" s="120"/>
      <c r="G6378" s="120"/>
      <c r="H6378" s="120"/>
      <c r="I6378" s="121"/>
      <c r="J6378" s="121"/>
      <c r="K6378" s="117"/>
    </row>
    <row r="6379" ht="15.75" customHeight="1">
      <c r="A6379" s="122"/>
      <c r="B6379" s="133"/>
      <c r="C6379" s="120"/>
      <c r="D6379" s="120"/>
      <c r="E6379" s="120"/>
      <c r="F6379" s="120"/>
      <c r="G6379" s="120"/>
      <c r="H6379" s="120"/>
      <c r="I6379" s="121"/>
      <c r="J6379" s="121"/>
      <c r="K6379" s="117"/>
    </row>
    <row r="6380" ht="15.75" customHeight="1">
      <c r="A6380" s="122"/>
      <c r="B6380" s="133"/>
      <c r="C6380" s="120"/>
      <c r="D6380" s="120"/>
      <c r="E6380" s="120"/>
      <c r="F6380" s="120"/>
      <c r="G6380" s="120"/>
      <c r="H6380" s="120"/>
      <c r="I6380" s="121"/>
      <c r="J6380" s="121"/>
      <c r="K6380" s="117"/>
    </row>
    <row r="6381" ht="15.75" customHeight="1">
      <c r="A6381" s="122"/>
      <c r="B6381" s="133"/>
      <c r="C6381" s="120"/>
      <c r="D6381" s="120"/>
      <c r="E6381" s="120"/>
      <c r="F6381" s="120"/>
      <c r="G6381" s="120"/>
      <c r="H6381" s="120"/>
      <c r="I6381" s="121"/>
      <c r="J6381" s="121"/>
      <c r="K6381" s="117"/>
    </row>
    <row r="6382" ht="15.75" customHeight="1">
      <c r="A6382" s="122"/>
      <c r="B6382" s="133"/>
      <c r="C6382" s="120"/>
      <c r="D6382" s="120"/>
      <c r="E6382" s="120"/>
      <c r="F6382" s="120"/>
      <c r="G6382" s="120"/>
      <c r="H6382" s="120"/>
      <c r="I6382" s="121"/>
      <c r="J6382" s="121"/>
      <c r="K6382" s="117"/>
    </row>
    <row r="6383" ht="15.75" customHeight="1">
      <c r="A6383" s="122"/>
      <c r="B6383" s="133"/>
      <c r="C6383" s="120"/>
      <c r="D6383" s="120"/>
      <c r="E6383" s="120"/>
      <c r="F6383" s="120"/>
      <c r="G6383" s="120"/>
      <c r="H6383" s="120"/>
      <c r="I6383" s="121"/>
      <c r="J6383" s="121"/>
      <c r="K6383" s="117"/>
    </row>
    <row r="6384" ht="15.75" customHeight="1">
      <c r="A6384" s="122"/>
      <c r="B6384" s="133"/>
      <c r="C6384" s="120"/>
      <c r="D6384" s="120"/>
      <c r="E6384" s="120"/>
      <c r="F6384" s="120"/>
      <c r="G6384" s="120"/>
      <c r="H6384" s="120"/>
      <c r="I6384" s="121"/>
      <c r="J6384" s="121"/>
      <c r="K6384" s="117"/>
    </row>
    <row r="6385" ht="15.75" customHeight="1">
      <c r="A6385" s="122"/>
      <c r="B6385" s="133"/>
      <c r="C6385" s="120"/>
      <c r="D6385" s="120"/>
      <c r="E6385" s="120"/>
      <c r="F6385" s="120"/>
      <c r="G6385" s="120"/>
      <c r="H6385" s="120"/>
      <c r="I6385" s="121"/>
      <c r="J6385" s="121"/>
      <c r="K6385" s="117"/>
    </row>
    <row r="6386" ht="15.75" customHeight="1">
      <c r="A6386" s="122"/>
      <c r="B6386" s="133"/>
      <c r="C6386" s="120"/>
      <c r="D6386" s="120"/>
      <c r="E6386" s="120"/>
      <c r="F6386" s="120"/>
      <c r="G6386" s="120"/>
      <c r="H6386" s="120"/>
      <c r="I6386" s="121"/>
      <c r="J6386" s="121"/>
      <c r="K6386" s="117"/>
    </row>
    <row r="6387" ht="15.75" customHeight="1">
      <c r="A6387" s="122"/>
      <c r="B6387" s="133"/>
      <c r="C6387" s="120"/>
      <c r="D6387" s="120"/>
      <c r="E6387" s="120"/>
      <c r="F6387" s="120"/>
      <c r="G6387" s="120"/>
      <c r="H6387" s="120"/>
      <c r="I6387" s="121"/>
      <c r="J6387" s="121"/>
      <c r="K6387" s="117"/>
    </row>
    <row r="6388" ht="15.75" customHeight="1">
      <c r="A6388" s="122"/>
      <c r="B6388" s="133"/>
      <c r="C6388" s="120"/>
      <c r="D6388" s="120"/>
      <c r="E6388" s="120"/>
      <c r="F6388" s="120"/>
      <c r="G6388" s="120"/>
      <c r="H6388" s="120"/>
      <c r="I6388" s="121"/>
      <c r="J6388" s="121"/>
      <c r="K6388" s="117"/>
    </row>
    <row r="6389" ht="15.75" customHeight="1">
      <c r="A6389" s="122"/>
      <c r="B6389" s="133"/>
      <c r="C6389" s="120"/>
      <c r="D6389" s="120"/>
      <c r="E6389" s="120"/>
      <c r="F6389" s="120"/>
      <c r="G6389" s="120"/>
      <c r="H6389" s="120"/>
      <c r="I6389" s="121"/>
      <c r="J6389" s="121"/>
      <c r="K6389" s="117"/>
    </row>
    <row r="6390" ht="15.75" customHeight="1">
      <c r="A6390" s="122"/>
      <c r="B6390" s="133"/>
      <c r="C6390" s="120"/>
      <c r="D6390" s="120"/>
      <c r="E6390" s="120"/>
      <c r="F6390" s="120"/>
      <c r="G6390" s="120"/>
      <c r="H6390" s="120"/>
      <c r="I6390" s="121"/>
      <c r="J6390" s="121"/>
      <c r="K6390" s="117"/>
    </row>
    <row r="6391" ht="15.75" customHeight="1">
      <c r="A6391" s="122"/>
      <c r="B6391" s="133"/>
      <c r="C6391" s="120"/>
      <c r="D6391" s="120"/>
      <c r="E6391" s="120"/>
      <c r="F6391" s="120"/>
      <c r="G6391" s="120"/>
      <c r="H6391" s="120"/>
      <c r="I6391" s="121"/>
      <c r="J6391" s="121"/>
      <c r="K6391" s="117"/>
    </row>
    <row r="6392" ht="15.75" customHeight="1">
      <c r="A6392" s="122"/>
      <c r="B6392" s="133"/>
      <c r="C6392" s="120"/>
      <c r="D6392" s="120"/>
      <c r="E6392" s="120"/>
      <c r="F6392" s="120"/>
      <c r="G6392" s="120"/>
      <c r="H6392" s="120"/>
      <c r="I6392" s="121"/>
      <c r="J6392" s="121"/>
      <c r="K6392" s="117"/>
    </row>
    <row r="6393" ht="15.75" customHeight="1">
      <c r="A6393" s="122"/>
      <c r="B6393" s="133"/>
      <c r="C6393" s="120"/>
      <c r="D6393" s="120"/>
      <c r="E6393" s="120"/>
      <c r="F6393" s="120"/>
      <c r="G6393" s="120"/>
      <c r="H6393" s="120"/>
      <c r="I6393" s="121"/>
      <c r="J6393" s="121"/>
      <c r="K6393" s="117"/>
    </row>
    <row r="6394" ht="15.75" customHeight="1">
      <c r="A6394" s="122"/>
      <c r="B6394" s="133"/>
      <c r="C6394" s="120"/>
      <c r="D6394" s="120"/>
      <c r="E6394" s="120"/>
      <c r="F6394" s="120"/>
      <c r="G6394" s="120"/>
      <c r="H6394" s="120"/>
      <c r="I6394" s="121"/>
      <c r="J6394" s="121"/>
      <c r="K6394" s="117"/>
    </row>
    <row r="6395" ht="15.75" customHeight="1">
      <c r="A6395" s="122"/>
      <c r="B6395" s="133"/>
      <c r="C6395" s="120"/>
      <c r="D6395" s="120"/>
      <c r="E6395" s="120"/>
      <c r="F6395" s="120"/>
      <c r="G6395" s="120"/>
      <c r="H6395" s="120"/>
      <c r="I6395" s="121"/>
      <c r="J6395" s="121"/>
      <c r="K6395" s="117"/>
    </row>
    <row r="6396" ht="15.75" customHeight="1">
      <c r="A6396" s="122"/>
      <c r="B6396" s="133"/>
      <c r="C6396" s="120"/>
      <c r="D6396" s="120"/>
      <c r="E6396" s="120"/>
      <c r="F6396" s="120"/>
      <c r="G6396" s="120"/>
      <c r="H6396" s="120"/>
      <c r="I6396" s="121"/>
      <c r="J6396" s="121"/>
      <c r="K6396" s="117"/>
    </row>
    <row r="6397" ht="15.75" customHeight="1">
      <c r="A6397" s="122"/>
      <c r="B6397" s="133"/>
      <c r="C6397" s="120"/>
      <c r="D6397" s="120"/>
      <c r="E6397" s="120"/>
      <c r="F6397" s="120"/>
      <c r="G6397" s="120"/>
      <c r="H6397" s="120"/>
      <c r="I6397" s="121"/>
      <c r="J6397" s="121"/>
      <c r="K6397" s="117"/>
    </row>
    <row r="6398" ht="15.75" customHeight="1">
      <c r="A6398" s="122"/>
      <c r="B6398" s="133"/>
      <c r="C6398" s="120"/>
      <c r="D6398" s="120"/>
      <c r="E6398" s="120"/>
      <c r="F6398" s="120"/>
      <c r="G6398" s="120"/>
      <c r="H6398" s="120"/>
      <c r="I6398" s="121"/>
      <c r="J6398" s="121"/>
      <c r="K6398" s="117"/>
    </row>
    <row r="6399" ht="15.75" customHeight="1">
      <c r="A6399" s="122"/>
      <c r="B6399" s="133"/>
      <c r="C6399" s="120"/>
      <c r="D6399" s="120"/>
      <c r="E6399" s="120"/>
      <c r="F6399" s="120"/>
      <c r="G6399" s="120"/>
      <c r="H6399" s="120"/>
      <c r="I6399" s="121"/>
      <c r="J6399" s="121"/>
      <c r="K6399" s="117"/>
    </row>
    <row r="6400" ht="15.75" customHeight="1">
      <c r="A6400" s="122"/>
      <c r="B6400" s="133"/>
      <c r="C6400" s="120"/>
      <c r="D6400" s="120"/>
      <c r="E6400" s="120"/>
      <c r="F6400" s="120"/>
      <c r="G6400" s="120"/>
      <c r="H6400" s="120"/>
      <c r="I6400" s="121"/>
      <c r="J6400" s="121"/>
      <c r="K6400" s="117"/>
    </row>
    <row r="6401" ht="15.75" customHeight="1">
      <c r="A6401" s="122"/>
      <c r="B6401" s="133"/>
      <c r="C6401" s="120"/>
      <c r="D6401" s="120"/>
      <c r="E6401" s="120"/>
      <c r="F6401" s="120"/>
      <c r="G6401" s="120"/>
      <c r="H6401" s="120"/>
      <c r="I6401" s="121"/>
      <c r="J6401" s="121"/>
      <c r="K6401" s="117"/>
    </row>
    <row r="6402" ht="15.75" customHeight="1">
      <c r="A6402" s="122"/>
      <c r="B6402" s="133"/>
      <c r="C6402" s="120"/>
      <c r="D6402" s="120"/>
      <c r="E6402" s="120"/>
      <c r="F6402" s="120"/>
      <c r="G6402" s="120"/>
      <c r="H6402" s="120"/>
      <c r="I6402" s="121"/>
      <c r="J6402" s="121"/>
      <c r="K6402" s="117"/>
    </row>
    <row r="6403" ht="15.75" customHeight="1">
      <c r="A6403" s="122"/>
      <c r="B6403" s="133"/>
      <c r="C6403" s="120"/>
      <c r="D6403" s="120"/>
      <c r="E6403" s="120"/>
      <c r="F6403" s="120"/>
      <c r="G6403" s="120"/>
      <c r="H6403" s="120"/>
      <c r="I6403" s="121"/>
      <c r="J6403" s="121"/>
      <c r="K6403" s="117"/>
    </row>
    <row r="6404" ht="15.75" customHeight="1">
      <c r="A6404" s="122"/>
      <c r="B6404" s="133"/>
      <c r="C6404" s="120"/>
      <c r="D6404" s="120"/>
      <c r="E6404" s="120"/>
      <c r="F6404" s="120"/>
      <c r="G6404" s="120"/>
      <c r="H6404" s="120"/>
      <c r="I6404" s="121"/>
      <c r="J6404" s="121"/>
      <c r="K6404" s="117"/>
    </row>
    <row r="6405" ht="15.75" customHeight="1">
      <c r="A6405" s="122"/>
      <c r="B6405" s="133"/>
      <c r="C6405" s="120"/>
      <c r="D6405" s="120"/>
      <c r="E6405" s="120"/>
      <c r="F6405" s="120"/>
      <c r="G6405" s="120"/>
      <c r="H6405" s="120"/>
      <c r="I6405" s="121"/>
      <c r="J6405" s="121"/>
      <c r="K6405" s="117"/>
    </row>
    <row r="6406" ht="15.75" customHeight="1">
      <c r="A6406" s="122"/>
      <c r="B6406" s="133"/>
      <c r="C6406" s="120"/>
      <c r="D6406" s="120"/>
      <c r="E6406" s="120"/>
      <c r="F6406" s="120"/>
      <c r="G6406" s="120"/>
      <c r="H6406" s="120"/>
      <c r="I6406" s="121"/>
      <c r="J6406" s="121"/>
      <c r="K6406" s="117"/>
    </row>
    <row r="6407" ht="15.75" customHeight="1">
      <c r="A6407" s="122"/>
      <c r="B6407" s="133"/>
      <c r="C6407" s="120"/>
      <c r="D6407" s="120"/>
      <c r="E6407" s="120"/>
      <c r="F6407" s="120"/>
      <c r="G6407" s="120"/>
      <c r="H6407" s="120"/>
      <c r="I6407" s="121"/>
      <c r="J6407" s="121"/>
      <c r="K6407" s="117"/>
    </row>
    <row r="6408" ht="15.75" customHeight="1">
      <c r="A6408" s="122"/>
      <c r="B6408" s="133"/>
      <c r="C6408" s="120"/>
      <c r="D6408" s="120"/>
      <c r="E6408" s="120"/>
      <c r="F6408" s="120"/>
      <c r="G6408" s="120"/>
      <c r="H6408" s="120"/>
      <c r="I6408" s="121"/>
      <c r="J6408" s="121"/>
      <c r="K6408" s="117"/>
    </row>
    <row r="6409" ht="15.75" customHeight="1">
      <c r="A6409" s="122"/>
      <c r="B6409" s="133"/>
      <c r="C6409" s="120"/>
      <c r="D6409" s="120"/>
      <c r="E6409" s="120"/>
      <c r="F6409" s="120"/>
      <c r="G6409" s="120"/>
      <c r="H6409" s="120"/>
      <c r="I6409" s="121"/>
      <c r="J6409" s="121"/>
      <c r="K6409" s="117"/>
    </row>
    <row r="6410" ht="15.75" customHeight="1">
      <c r="A6410" s="122"/>
      <c r="B6410" s="133"/>
      <c r="C6410" s="120"/>
      <c r="D6410" s="120"/>
      <c r="E6410" s="120"/>
      <c r="F6410" s="120"/>
      <c r="G6410" s="120"/>
      <c r="H6410" s="120"/>
      <c r="I6410" s="121"/>
      <c r="J6410" s="121"/>
      <c r="K6410" s="117"/>
    </row>
    <row r="6411" ht="15.75" customHeight="1">
      <c r="A6411" s="122"/>
      <c r="B6411" s="133"/>
      <c r="C6411" s="120"/>
      <c r="D6411" s="120"/>
      <c r="E6411" s="120"/>
      <c r="F6411" s="120"/>
      <c r="G6411" s="120"/>
      <c r="H6411" s="120"/>
      <c r="I6411" s="121"/>
      <c r="J6411" s="121"/>
      <c r="K6411" s="117"/>
    </row>
    <row r="6412" ht="15.75" customHeight="1">
      <c r="A6412" s="122"/>
      <c r="B6412" s="133"/>
      <c r="C6412" s="120"/>
      <c r="D6412" s="120"/>
      <c r="E6412" s="120"/>
      <c r="F6412" s="120"/>
      <c r="G6412" s="120"/>
      <c r="H6412" s="120"/>
      <c r="I6412" s="121"/>
      <c r="J6412" s="121"/>
      <c r="K6412" s="117"/>
    </row>
    <row r="6413" ht="15.75" customHeight="1">
      <c r="A6413" s="122"/>
      <c r="B6413" s="133"/>
      <c r="C6413" s="120"/>
      <c r="D6413" s="120"/>
      <c r="E6413" s="120"/>
      <c r="F6413" s="120"/>
      <c r="G6413" s="120"/>
      <c r="H6413" s="120"/>
      <c r="I6413" s="121"/>
      <c r="J6413" s="121"/>
      <c r="K6413" s="117"/>
    </row>
    <row r="6414" ht="15.75" customHeight="1">
      <c r="A6414" s="122"/>
      <c r="B6414" s="133"/>
      <c r="C6414" s="120"/>
      <c r="D6414" s="120"/>
      <c r="E6414" s="120"/>
      <c r="F6414" s="120"/>
      <c r="G6414" s="120"/>
      <c r="H6414" s="120"/>
      <c r="I6414" s="121"/>
      <c r="J6414" s="121"/>
      <c r="K6414" s="117"/>
    </row>
    <row r="6415" ht="15.75" customHeight="1">
      <c r="A6415" s="122"/>
      <c r="B6415" s="133"/>
      <c r="C6415" s="120"/>
      <c r="D6415" s="120"/>
      <c r="E6415" s="120"/>
      <c r="F6415" s="120"/>
      <c r="G6415" s="120"/>
      <c r="H6415" s="120"/>
      <c r="I6415" s="121"/>
      <c r="J6415" s="121"/>
      <c r="K6415" s="117"/>
    </row>
    <row r="6416" ht="15.75" customHeight="1">
      <c r="A6416" s="122"/>
      <c r="B6416" s="133"/>
      <c r="C6416" s="120"/>
      <c r="D6416" s="120"/>
      <c r="E6416" s="120"/>
      <c r="F6416" s="120"/>
      <c r="G6416" s="120"/>
      <c r="H6416" s="120"/>
      <c r="I6416" s="121"/>
      <c r="J6416" s="121"/>
      <c r="K6416" s="117"/>
    </row>
    <row r="6417" ht="15.75" customHeight="1">
      <c r="A6417" s="122"/>
      <c r="B6417" s="133"/>
      <c r="C6417" s="120"/>
      <c r="D6417" s="120"/>
      <c r="E6417" s="120"/>
      <c r="F6417" s="120"/>
      <c r="G6417" s="120"/>
      <c r="H6417" s="120"/>
      <c r="I6417" s="121"/>
      <c r="J6417" s="121"/>
      <c r="K6417" s="117"/>
    </row>
    <row r="6418" ht="15.75" customHeight="1">
      <c r="A6418" s="122"/>
      <c r="B6418" s="133"/>
      <c r="C6418" s="120"/>
      <c r="D6418" s="120"/>
      <c r="E6418" s="120"/>
      <c r="F6418" s="120"/>
      <c r="G6418" s="120"/>
      <c r="H6418" s="120"/>
      <c r="I6418" s="121"/>
      <c r="J6418" s="121"/>
      <c r="K6418" s="117"/>
    </row>
    <row r="6419" ht="15.75" customHeight="1">
      <c r="A6419" s="122"/>
      <c r="B6419" s="133"/>
      <c r="C6419" s="120"/>
      <c r="D6419" s="120"/>
      <c r="E6419" s="120"/>
      <c r="F6419" s="120"/>
      <c r="G6419" s="120"/>
      <c r="H6419" s="120"/>
      <c r="I6419" s="121"/>
      <c r="J6419" s="121"/>
      <c r="K6419" s="117"/>
    </row>
    <row r="6420" ht="15.75" customHeight="1">
      <c r="A6420" s="122"/>
      <c r="B6420" s="133"/>
      <c r="C6420" s="120"/>
      <c r="D6420" s="120"/>
      <c r="E6420" s="120"/>
      <c r="F6420" s="120"/>
      <c r="G6420" s="120"/>
      <c r="H6420" s="120"/>
      <c r="I6420" s="121"/>
      <c r="J6420" s="121"/>
      <c r="K6420" s="117"/>
    </row>
    <row r="6421" ht="15.75" customHeight="1">
      <c r="A6421" s="122"/>
      <c r="B6421" s="133"/>
      <c r="C6421" s="120"/>
      <c r="D6421" s="120"/>
      <c r="E6421" s="120"/>
      <c r="F6421" s="120"/>
      <c r="G6421" s="120"/>
      <c r="H6421" s="120"/>
      <c r="I6421" s="121"/>
      <c r="J6421" s="121"/>
      <c r="K6421" s="117"/>
    </row>
    <row r="6422" ht="15.75" customHeight="1">
      <c r="A6422" s="122"/>
      <c r="B6422" s="133"/>
      <c r="C6422" s="120"/>
      <c r="D6422" s="120"/>
      <c r="E6422" s="120"/>
      <c r="F6422" s="120"/>
      <c r="G6422" s="120"/>
      <c r="H6422" s="120"/>
      <c r="I6422" s="121"/>
      <c r="J6422" s="121"/>
      <c r="K6422" s="117"/>
    </row>
    <row r="6423" ht="15.75" customHeight="1">
      <c r="A6423" s="122"/>
      <c r="B6423" s="133"/>
      <c r="C6423" s="120"/>
      <c r="D6423" s="120"/>
      <c r="E6423" s="120"/>
      <c r="F6423" s="120"/>
      <c r="G6423" s="120"/>
      <c r="H6423" s="120"/>
      <c r="I6423" s="121"/>
      <c r="J6423" s="121"/>
      <c r="K6423" s="117"/>
    </row>
    <row r="6424" ht="15.75" customHeight="1">
      <c r="A6424" s="122"/>
      <c r="B6424" s="133"/>
      <c r="C6424" s="120"/>
      <c r="D6424" s="120"/>
      <c r="E6424" s="120"/>
      <c r="F6424" s="120"/>
      <c r="G6424" s="120"/>
      <c r="H6424" s="120"/>
      <c r="I6424" s="121"/>
      <c r="J6424" s="121"/>
      <c r="K6424" s="117"/>
    </row>
    <row r="6425" ht="15.75" customHeight="1">
      <c r="A6425" s="122"/>
      <c r="B6425" s="133"/>
      <c r="C6425" s="120"/>
      <c r="D6425" s="120"/>
      <c r="E6425" s="120"/>
      <c r="F6425" s="120"/>
      <c r="G6425" s="120"/>
      <c r="H6425" s="120"/>
      <c r="I6425" s="121"/>
      <c r="J6425" s="121"/>
      <c r="K6425" s="117"/>
    </row>
    <row r="6426" ht="15.75" customHeight="1">
      <c r="A6426" s="122"/>
      <c r="B6426" s="133"/>
      <c r="C6426" s="120"/>
      <c r="D6426" s="120"/>
      <c r="E6426" s="120"/>
      <c r="F6426" s="120"/>
      <c r="G6426" s="120"/>
      <c r="H6426" s="120"/>
      <c r="I6426" s="121"/>
      <c r="J6426" s="121"/>
      <c r="K6426" s="117"/>
    </row>
    <row r="6427" ht="15.75" customHeight="1">
      <c r="A6427" s="122"/>
      <c r="B6427" s="133"/>
      <c r="C6427" s="120"/>
      <c r="D6427" s="120"/>
      <c r="E6427" s="120"/>
      <c r="F6427" s="120"/>
      <c r="G6427" s="120"/>
      <c r="H6427" s="120"/>
      <c r="I6427" s="121"/>
      <c r="J6427" s="121"/>
      <c r="K6427" s="117"/>
    </row>
    <row r="6428" ht="15.75" customHeight="1">
      <c r="A6428" s="122"/>
      <c r="B6428" s="133"/>
      <c r="C6428" s="120"/>
      <c r="D6428" s="120"/>
      <c r="E6428" s="120"/>
      <c r="F6428" s="120"/>
      <c r="G6428" s="120"/>
      <c r="H6428" s="120"/>
      <c r="I6428" s="121"/>
      <c r="J6428" s="121"/>
      <c r="K6428" s="117"/>
    </row>
    <row r="6429" ht="15.75" customHeight="1">
      <c r="A6429" s="122"/>
      <c r="B6429" s="133"/>
      <c r="C6429" s="120"/>
      <c r="D6429" s="120"/>
      <c r="E6429" s="120"/>
      <c r="F6429" s="120"/>
      <c r="G6429" s="120"/>
      <c r="H6429" s="120"/>
      <c r="I6429" s="121"/>
      <c r="J6429" s="121"/>
      <c r="K6429" s="117"/>
    </row>
    <row r="6430" ht="15.75" customHeight="1">
      <c r="A6430" s="122"/>
      <c r="B6430" s="133"/>
      <c r="C6430" s="120"/>
      <c r="D6430" s="120"/>
      <c r="E6430" s="120"/>
      <c r="F6430" s="120"/>
      <c r="G6430" s="120"/>
      <c r="H6430" s="120"/>
      <c r="I6430" s="121"/>
      <c r="J6430" s="121"/>
      <c r="K6430" s="117"/>
    </row>
    <row r="6431" ht="15.75" customHeight="1">
      <c r="A6431" s="122"/>
      <c r="B6431" s="133"/>
      <c r="C6431" s="120"/>
      <c r="D6431" s="120"/>
      <c r="E6431" s="120"/>
      <c r="F6431" s="120"/>
      <c r="G6431" s="120"/>
      <c r="H6431" s="120"/>
      <c r="I6431" s="121"/>
      <c r="J6431" s="121"/>
      <c r="K6431" s="117"/>
    </row>
    <row r="6432" ht="15.75" customHeight="1">
      <c r="A6432" s="122"/>
      <c r="B6432" s="133"/>
      <c r="C6432" s="120"/>
      <c r="D6432" s="120"/>
      <c r="E6432" s="120"/>
      <c r="F6432" s="120"/>
      <c r="G6432" s="120"/>
      <c r="H6432" s="120"/>
      <c r="I6432" s="121"/>
      <c r="J6432" s="121"/>
      <c r="K6432" s="117"/>
    </row>
    <row r="6433" ht="15.75" customHeight="1">
      <c r="A6433" s="122"/>
      <c r="B6433" s="133"/>
      <c r="C6433" s="120"/>
      <c r="D6433" s="120"/>
      <c r="E6433" s="120"/>
      <c r="F6433" s="120"/>
      <c r="G6433" s="120"/>
      <c r="H6433" s="120"/>
      <c r="I6433" s="121"/>
      <c r="J6433" s="121"/>
      <c r="K6433" s="117"/>
    </row>
    <row r="6434" ht="15.75" customHeight="1">
      <c r="A6434" s="122"/>
      <c r="B6434" s="133"/>
      <c r="C6434" s="120"/>
      <c r="D6434" s="120"/>
      <c r="E6434" s="120"/>
      <c r="F6434" s="120"/>
      <c r="G6434" s="120"/>
      <c r="H6434" s="120"/>
      <c r="I6434" s="121"/>
      <c r="J6434" s="121"/>
      <c r="K6434" s="117"/>
    </row>
    <row r="6435" ht="15.75" customHeight="1">
      <c r="A6435" s="122"/>
      <c r="B6435" s="133"/>
      <c r="C6435" s="120"/>
      <c r="D6435" s="120"/>
      <c r="E6435" s="120"/>
      <c r="F6435" s="120"/>
      <c r="G6435" s="120"/>
      <c r="H6435" s="120"/>
      <c r="I6435" s="121"/>
      <c r="J6435" s="121"/>
      <c r="K6435" s="117"/>
    </row>
    <row r="6436" ht="15.75" customHeight="1">
      <c r="A6436" s="122"/>
      <c r="B6436" s="133"/>
      <c r="C6436" s="120"/>
      <c r="D6436" s="120"/>
      <c r="E6436" s="120"/>
      <c r="F6436" s="120"/>
      <c r="G6436" s="120"/>
      <c r="H6436" s="120"/>
      <c r="I6436" s="121"/>
      <c r="J6436" s="121"/>
      <c r="K6436" s="117"/>
    </row>
    <row r="6437" ht="15.75" customHeight="1">
      <c r="A6437" s="122"/>
      <c r="B6437" s="133"/>
      <c r="C6437" s="120"/>
      <c r="D6437" s="120"/>
      <c r="E6437" s="120"/>
      <c r="F6437" s="120"/>
      <c r="G6437" s="120"/>
      <c r="H6437" s="120"/>
      <c r="I6437" s="121"/>
      <c r="J6437" s="121"/>
      <c r="K6437" s="117"/>
    </row>
    <row r="6438" ht="15.75" customHeight="1">
      <c r="A6438" s="122"/>
      <c r="B6438" s="133"/>
      <c r="C6438" s="120"/>
      <c r="D6438" s="120"/>
      <c r="E6438" s="120"/>
      <c r="F6438" s="120"/>
      <c r="G6438" s="120"/>
      <c r="H6438" s="120"/>
      <c r="I6438" s="121"/>
      <c r="J6438" s="121"/>
      <c r="K6438" s="117"/>
    </row>
    <row r="6439" ht="15.75" customHeight="1">
      <c r="A6439" s="122"/>
      <c r="B6439" s="133"/>
      <c r="C6439" s="120"/>
      <c r="D6439" s="120"/>
      <c r="E6439" s="120"/>
      <c r="F6439" s="120"/>
      <c r="G6439" s="120"/>
      <c r="H6439" s="120"/>
      <c r="I6439" s="121"/>
      <c r="J6439" s="121"/>
      <c r="K6439" s="117"/>
    </row>
    <row r="6440" ht="15.75" customHeight="1">
      <c r="A6440" s="122"/>
      <c r="B6440" s="133"/>
      <c r="C6440" s="120"/>
      <c r="D6440" s="120"/>
      <c r="E6440" s="120"/>
      <c r="F6440" s="120"/>
      <c r="G6440" s="120"/>
      <c r="H6440" s="120"/>
      <c r="I6440" s="121"/>
      <c r="J6440" s="121"/>
      <c r="K6440" s="117"/>
    </row>
    <row r="6441" ht="15.75" customHeight="1">
      <c r="A6441" s="122"/>
      <c r="B6441" s="133"/>
      <c r="C6441" s="120"/>
      <c r="D6441" s="120"/>
      <c r="E6441" s="120"/>
      <c r="F6441" s="120"/>
      <c r="G6441" s="120"/>
      <c r="H6441" s="120"/>
      <c r="I6441" s="121"/>
      <c r="J6441" s="121"/>
      <c r="K6441" s="117"/>
    </row>
    <row r="6442" ht="15.75" customHeight="1">
      <c r="A6442" s="122"/>
      <c r="B6442" s="133"/>
      <c r="C6442" s="120"/>
      <c r="D6442" s="120"/>
      <c r="E6442" s="120"/>
      <c r="F6442" s="120"/>
      <c r="G6442" s="120"/>
      <c r="H6442" s="120"/>
      <c r="I6442" s="121"/>
      <c r="J6442" s="121"/>
      <c r="K6442" s="117"/>
    </row>
    <row r="6443" ht="15.75" customHeight="1">
      <c r="A6443" s="122"/>
      <c r="B6443" s="133"/>
      <c r="C6443" s="120"/>
      <c r="D6443" s="120"/>
      <c r="E6443" s="120"/>
      <c r="F6443" s="120"/>
      <c r="G6443" s="120"/>
      <c r="H6443" s="120"/>
      <c r="I6443" s="121"/>
      <c r="J6443" s="121"/>
      <c r="K6443" s="117"/>
    </row>
    <row r="6444" ht="15.75" customHeight="1">
      <c r="A6444" s="122"/>
      <c r="B6444" s="133"/>
      <c r="C6444" s="120"/>
      <c r="D6444" s="120"/>
      <c r="E6444" s="120"/>
      <c r="F6444" s="120"/>
      <c r="G6444" s="120"/>
      <c r="H6444" s="120"/>
      <c r="I6444" s="121"/>
      <c r="J6444" s="121"/>
      <c r="K6444" s="117"/>
    </row>
    <row r="6445" ht="15.75" customHeight="1">
      <c r="A6445" s="122"/>
      <c r="B6445" s="133"/>
      <c r="C6445" s="120"/>
      <c r="D6445" s="120"/>
      <c r="E6445" s="120"/>
      <c r="F6445" s="120"/>
      <c r="G6445" s="120"/>
      <c r="H6445" s="120"/>
      <c r="I6445" s="121"/>
      <c r="J6445" s="121"/>
      <c r="K6445" s="117"/>
    </row>
    <row r="6446" ht="15.75" customHeight="1">
      <c r="A6446" s="122"/>
      <c r="B6446" s="133"/>
      <c r="C6446" s="120"/>
      <c r="D6446" s="120"/>
      <c r="E6446" s="120"/>
      <c r="F6446" s="120"/>
      <c r="G6446" s="120"/>
      <c r="H6446" s="120"/>
      <c r="I6446" s="121"/>
      <c r="J6446" s="121"/>
      <c r="K6446" s="117"/>
    </row>
    <row r="6447" ht="15.75" customHeight="1">
      <c r="A6447" s="122"/>
      <c r="B6447" s="133"/>
      <c r="C6447" s="120"/>
      <c r="D6447" s="120"/>
      <c r="E6447" s="120"/>
      <c r="F6447" s="120"/>
      <c r="G6447" s="120"/>
      <c r="H6447" s="120"/>
      <c r="I6447" s="121"/>
      <c r="J6447" s="121"/>
      <c r="K6447" s="117"/>
    </row>
    <row r="6448" ht="15.75" customHeight="1">
      <c r="A6448" s="122"/>
      <c r="B6448" s="133"/>
      <c r="C6448" s="120"/>
      <c r="D6448" s="120"/>
      <c r="E6448" s="120"/>
      <c r="F6448" s="120"/>
      <c r="G6448" s="120"/>
      <c r="H6448" s="120"/>
      <c r="I6448" s="121"/>
      <c r="J6448" s="121"/>
      <c r="K6448" s="117"/>
    </row>
    <row r="6449" ht="15.75" customHeight="1">
      <c r="A6449" s="122"/>
      <c r="B6449" s="133"/>
      <c r="C6449" s="120"/>
      <c r="D6449" s="120"/>
      <c r="E6449" s="120"/>
      <c r="F6449" s="120"/>
      <c r="G6449" s="120"/>
      <c r="H6449" s="120"/>
      <c r="I6449" s="121"/>
      <c r="J6449" s="121"/>
      <c r="K6449" s="117"/>
    </row>
    <row r="6450" ht="15.75" customHeight="1">
      <c r="A6450" s="122"/>
      <c r="B6450" s="133"/>
      <c r="C6450" s="120"/>
      <c r="D6450" s="120"/>
      <c r="E6450" s="120"/>
      <c r="F6450" s="120"/>
      <c r="G6450" s="120"/>
      <c r="H6450" s="120"/>
      <c r="I6450" s="121"/>
      <c r="J6450" s="121"/>
      <c r="K6450" s="117"/>
    </row>
    <row r="6451" ht="15.75" customHeight="1">
      <c r="A6451" s="122"/>
      <c r="B6451" s="133"/>
      <c r="C6451" s="120"/>
      <c r="D6451" s="120"/>
      <c r="E6451" s="120"/>
      <c r="F6451" s="120"/>
      <c r="G6451" s="120"/>
      <c r="H6451" s="120"/>
      <c r="I6451" s="121"/>
      <c r="J6451" s="121"/>
      <c r="K6451" s="117"/>
    </row>
    <row r="6452" ht="15.75" customHeight="1">
      <c r="A6452" s="122"/>
      <c r="B6452" s="133"/>
      <c r="C6452" s="120"/>
      <c r="D6452" s="120"/>
      <c r="E6452" s="120"/>
      <c r="F6452" s="120"/>
      <c r="G6452" s="120"/>
      <c r="H6452" s="120"/>
      <c r="I6452" s="121"/>
      <c r="J6452" s="121"/>
      <c r="K6452" s="117"/>
    </row>
    <row r="6453" ht="15.75" customHeight="1">
      <c r="A6453" s="122"/>
      <c r="B6453" s="133"/>
      <c r="C6453" s="120"/>
      <c r="D6453" s="120"/>
      <c r="E6453" s="120"/>
      <c r="F6453" s="120"/>
      <c r="G6453" s="120"/>
      <c r="H6453" s="120"/>
      <c r="I6453" s="121"/>
      <c r="J6453" s="121"/>
      <c r="K6453" s="117"/>
    </row>
    <row r="6454" ht="15.75" customHeight="1">
      <c r="A6454" s="122"/>
      <c r="B6454" s="133"/>
      <c r="C6454" s="120"/>
      <c r="D6454" s="120"/>
      <c r="E6454" s="120"/>
      <c r="F6454" s="120"/>
      <c r="G6454" s="120"/>
      <c r="H6454" s="120"/>
      <c r="I6454" s="121"/>
      <c r="J6454" s="121"/>
      <c r="K6454" s="117"/>
    </row>
    <row r="6455" ht="15.75" customHeight="1">
      <c r="A6455" s="122"/>
      <c r="B6455" s="133"/>
      <c r="C6455" s="120"/>
      <c r="D6455" s="120"/>
      <c r="E6455" s="120"/>
      <c r="F6455" s="120"/>
      <c r="G6455" s="120"/>
      <c r="H6455" s="120"/>
      <c r="I6455" s="121"/>
      <c r="J6455" s="121"/>
      <c r="K6455" s="117"/>
    </row>
    <row r="6456" ht="15.75" customHeight="1">
      <c r="A6456" s="122"/>
      <c r="B6456" s="133"/>
      <c r="C6456" s="120"/>
      <c r="D6456" s="120"/>
      <c r="E6456" s="120"/>
      <c r="F6456" s="120"/>
      <c r="G6456" s="120"/>
      <c r="H6456" s="120"/>
      <c r="I6456" s="121"/>
      <c r="J6456" s="121"/>
      <c r="K6456" s="117"/>
    </row>
    <row r="6457" ht="15.75" customHeight="1">
      <c r="A6457" s="122"/>
      <c r="B6457" s="133"/>
      <c r="C6457" s="120"/>
      <c r="D6457" s="120"/>
      <c r="E6457" s="120"/>
      <c r="F6457" s="120"/>
      <c r="G6457" s="120"/>
      <c r="H6457" s="120"/>
      <c r="I6457" s="121"/>
      <c r="J6457" s="121"/>
      <c r="K6457" s="117"/>
    </row>
    <row r="6458" ht="15.75" customHeight="1">
      <c r="A6458" s="122"/>
      <c r="B6458" s="133"/>
      <c r="C6458" s="120"/>
      <c r="D6458" s="120"/>
      <c r="E6458" s="120"/>
      <c r="F6458" s="120"/>
      <c r="G6458" s="120"/>
      <c r="H6458" s="120"/>
      <c r="I6458" s="121"/>
      <c r="J6458" s="121"/>
      <c r="K6458" s="117"/>
    </row>
    <row r="6459" ht="15.75" customHeight="1">
      <c r="A6459" s="122"/>
      <c r="B6459" s="133"/>
      <c r="C6459" s="120"/>
      <c r="D6459" s="120"/>
      <c r="E6459" s="120"/>
      <c r="F6459" s="120"/>
      <c r="G6459" s="120"/>
      <c r="H6459" s="120"/>
      <c r="I6459" s="121"/>
      <c r="J6459" s="121"/>
      <c r="K6459" s="117"/>
    </row>
    <row r="6460" ht="15.75" customHeight="1">
      <c r="A6460" s="122"/>
      <c r="B6460" s="133"/>
      <c r="C6460" s="120"/>
      <c r="D6460" s="120"/>
      <c r="E6460" s="120"/>
      <c r="F6460" s="120"/>
      <c r="G6460" s="120"/>
      <c r="H6460" s="120"/>
      <c r="I6460" s="121"/>
      <c r="J6460" s="121"/>
      <c r="K6460" s="117"/>
    </row>
    <row r="6461" ht="15.75" customHeight="1">
      <c r="A6461" s="122"/>
      <c r="B6461" s="133"/>
      <c r="C6461" s="120"/>
      <c r="D6461" s="120"/>
      <c r="E6461" s="120"/>
      <c r="F6461" s="120"/>
      <c r="G6461" s="120"/>
      <c r="H6461" s="120"/>
      <c r="I6461" s="121"/>
      <c r="J6461" s="121"/>
      <c r="K6461" s="117"/>
    </row>
    <row r="6462" ht="15.75" customHeight="1">
      <c r="A6462" s="122"/>
      <c r="B6462" s="133"/>
      <c r="C6462" s="120"/>
      <c r="D6462" s="120"/>
      <c r="E6462" s="120"/>
      <c r="F6462" s="120"/>
      <c r="G6462" s="120"/>
      <c r="H6462" s="120"/>
      <c r="I6462" s="121"/>
      <c r="J6462" s="121"/>
      <c r="K6462" s="117"/>
    </row>
    <row r="6463" ht="15.75" customHeight="1">
      <c r="A6463" s="122"/>
      <c r="B6463" s="133"/>
      <c r="C6463" s="120"/>
      <c r="D6463" s="120"/>
      <c r="E6463" s="120"/>
      <c r="F6463" s="120"/>
      <c r="G6463" s="120"/>
      <c r="H6463" s="120"/>
      <c r="I6463" s="121"/>
      <c r="J6463" s="121"/>
      <c r="K6463" s="117"/>
    </row>
    <row r="6464" ht="15.75" customHeight="1">
      <c r="A6464" s="122"/>
      <c r="B6464" s="133"/>
      <c r="C6464" s="120"/>
      <c r="D6464" s="120"/>
      <c r="E6464" s="120"/>
      <c r="F6464" s="120"/>
      <c r="G6464" s="120"/>
      <c r="H6464" s="120"/>
      <c r="I6464" s="121"/>
      <c r="J6464" s="121"/>
      <c r="K6464" s="117"/>
    </row>
    <row r="6465" ht="15.75" customHeight="1">
      <c r="A6465" s="122"/>
      <c r="B6465" s="133"/>
      <c r="C6465" s="120"/>
      <c r="D6465" s="120"/>
      <c r="E6465" s="120"/>
      <c r="F6465" s="120"/>
      <c r="G6465" s="120"/>
      <c r="H6465" s="120"/>
      <c r="I6465" s="121"/>
      <c r="J6465" s="121"/>
      <c r="K6465" s="117"/>
    </row>
    <row r="6466" ht="15.75" customHeight="1">
      <c r="A6466" s="122"/>
      <c r="B6466" s="133"/>
      <c r="C6466" s="120"/>
      <c r="D6466" s="120"/>
      <c r="E6466" s="120"/>
      <c r="F6466" s="120"/>
      <c r="G6466" s="120"/>
      <c r="H6466" s="120"/>
      <c r="I6466" s="121"/>
      <c r="J6466" s="121"/>
      <c r="K6466" s="117"/>
    </row>
    <row r="6467" ht="15.75" customHeight="1">
      <c r="A6467" s="122"/>
      <c r="B6467" s="133"/>
      <c r="C6467" s="120"/>
      <c r="D6467" s="120"/>
      <c r="E6467" s="120"/>
      <c r="F6467" s="120"/>
      <c r="G6467" s="120"/>
      <c r="H6467" s="120"/>
      <c r="I6467" s="121"/>
      <c r="J6467" s="121"/>
      <c r="K6467" s="117"/>
    </row>
    <row r="6468" ht="15.75" customHeight="1">
      <c r="A6468" s="122"/>
      <c r="B6468" s="133"/>
      <c r="C6468" s="120"/>
      <c r="D6468" s="120"/>
      <c r="E6468" s="120"/>
      <c r="F6468" s="120"/>
      <c r="G6468" s="120"/>
      <c r="H6468" s="120"/>
      <c r="I6468" s="121"/>
      <c r="J6468" s="121"/>
      <c r="K6468" s="117"/>
    </row>
    <row r="6469" ht="15.75" customHeight="1">
      <c r="A6469" s="122"/>
      <c r="B6469" s="133"/>
      <c r="C6469" s="120"/>
      <c r="D6469" s="120"/>
      <c r="E6469" s="120"/>
      <c r="F6469" s="120"/>
      <c r="G6469" s="120"/>
      <c r="H6469" s="120"/>
      <c r="I6469" s="121"/>
      <c r="J6469" s="121"/>
      <c r="K6469" s="117"/>
    </row>
    <row r="6470" ht="15.75" customHeight="1">
      <c r="A6470" s="122"/>
      <c r="B6470" s="133"/>
      <c r="C6470" s="120"/>
      <c r="D6470" s="120"/>
      <c r="E6470" s="120"/>
      <c r="F6470" s="120"/>
      <c r="G6470" s="120"/>
      <c r="H6470" s="120"/>
      <c r="I6470" s="121"/>
      <c r="J6470" s="121"/>
      <c r="K6470" s="117"/>
    </row>
    <row r="6471" ht="15.75" customHeight="1">
      <c r="A6471" s="122"/>
      <c r="B6471" s="133"/>
      <c r="C6471" s="120"/>
      <c r="D6471" s="120"/>
      <c r="E6471" s="120"/>
      <c r="F6471" s="120"/>
      <c r="G6471" s="120"/>
      <c r="H6471" s="120"/>
      <c r="I6471" s="121"/>
      <c r="J6471" s="121"/>
      <c r="K6471" s="117"/>
    </row>
    <row r="6472" ht="15.75" customHeight="1">
      <c r="A6472" s="122"/>
      <c r="B6472" s="133"/>
      <c r="C6472" s="120"/>
      <c r="D6472" s="120"/>
      <c r="E6472" s="120"/>
      <c r="F6472" s="120"/>
      <c r="G6472" s="120"/>
      <c r="H6472" s="120"/>
      <c r="I6472" s="121"/>
      <c r="J6472" s="121"/>
      <c r="K6472" s="117"/>
    </row>
    <row r="6473" ht="15.75" customHeight="1">
      <c r="A6473" s="122"/>
      <c r="B6473" s="133"/>
      <c r="C6473" s="120"/>
      <c r="D6473" s="120"/>
      <c r="E6473" s="120"/>
      <c r="F6473" s="120"/>
      <c r="G6473" s="120"/>
      <c r="H6473" s="120"/>
      <c r="I6473" s="121"/>
      <c r="J6473" s="121"/>
      <c r="K6473" s="117"/>
    </row>
    <row r="6474" ht="15.75" customHeight="1">
      <c r="A6474" s="122"/>
      <c r="B6474" s="133"/>
      <c r="C6474" s="120"/>
      <c r="D6474" s="120"/>
      <c r="E6474" s="120"/>
      <c r="F6474" s="120"/>
      <c r="G6474" s="120"/>
      <c r="H6474" s="120"/>
      <c r="I6474" s="121"/>
      <c r="J6474" s="121"/>
      <c r="K6474" s="117"/>
    </row>
    <row r="6475" ht="15.75" customHeight="1">
      <c r="A6475" s="122"/>
      <c r="B6475" s="133"/>
      <c r="C6475" s="120"/>
      <c r="D6475" s="120"/>
      <c r="E6475" s="120"/>
      <c r="F6475" s="120"/>
      <c r="G6475" s="120"/>
      <c r="H6475" s="120"/>
      <c r="I6475" s="121"/>
      <c r="J6475" s="121"/>
      <c r="K6475" s="117"/>
    </row>
    <row r="6476" ht="15.75" customHeight="1">
      <c r="A6476" s="122"/>
      <c r="B6476" s="133"/>
      <c r="C6476" s="120"/>
      <c r="D6476" s="120"/>
      <c r="E6476" s="120"/>
      <c r="F6476" s="120"/>
      <c r="G6476" s="120"/>
      <c r="H6476" s="120"/>
      <c r="I6476" s="121"/>
      <c r="J6476" s="121"/>
      <c r="K6476" s="117"/>
    </row>
    <row r="6477" ht="15.75" customHeight="1">
      <c r="A6477" s="122"/>
      <c r="B6477" s="133"/>
      <c r="C6477" s="120"/>
      <c r="D6477" s="120"/>
      <c r="E6477" s="120"/>
      <c r="F6477" s="120"/>
      <c r="G6477" s="120"/>
      <c r="H6477" s="120"/>
      <c r="I6477" s="121"/>
      <c r="J6477" s="121"/>
      <c r="K6477" s="117"/>
    </row>
    <row r="6478" ht="15.75" customHeight="1">
      <c r="A6478" s="122"/>
      <c r="B6478" s="133"/>
      <c r="C6478" s="120"/>
      <c r="D6478" s="120"/>
      <c r="E6478" s="120"/>
      <c r="F6478" s="120"/>
      <c r="G6478" s="120"/>
      <c r="H6478" s="120"/>
      <c r="I6478" s="121"/>
      <c r="J6478" s="121"/>
      <c r="K6478" s="117"/>
    </row>
    <row r="6479" ht="15.75" customHeight="1">
      <c r="A6479" s="122"/>
      <c r="B6479" s="133"/>
      <c r="C6479" s="120"/>
      <c r="D6479" s="120"/>
      <c r="E6479" s="120"/>
      <c r="F6479" s="120"/>
      <c r="G6479" s="120"/>
      <c r="H6479" s="120"/>
      <c r="I6479" s="121"/>
      <c r="J6479" s="121"/>
      <c r="K6479" s="117"/>
    </row>
    <row r="6480" ht="15.75" customHeight="1">
      <c r="A6480" s="122"/>
      <c r="B6480" s="133"/>
      <c r="C6480" s="120"/>
      <c r="D6480" s="120"/>
      <c r="E6480" s="120"/>
      <c r="F6480" s="120"/>
      <c r="G6480" s="120"/>
      <c r="H6480" s="120"/>
      <c r="I6480" s="121"/>
      <c r="J6480" s="121"/>
      <c r="K6480" s="117"/>
    </row>
    <row r="6481" ht="15.75" customHeight="1">
      <c r="A6481" s="122"/>
      <c r="B6481" s="133"/>
      <c r="C6481" s="120"/>
      <c r="D6481" s="120"/>
      <c r="E6481" s="120"/>
      <c r="F6481" s="120"/>
      <c r="G6481" s="120"/>
      <c r="H6481" s="120"/>
      <c r="I6481" s="121"/>
      <c r="J6481" s="121"/>
      <c r="K6481" s="117"/>
    </row>
    <row r="6482" ht="15.75" customHeight="1">
      <c r="A6482" s="122"/>
      <c r="B6482" s="133"/>
      <c r="C6482" s="120"/>
      <c r="D6482" s="120"/>
      <c r="E6482" s="120"/>
      <c r="F6482" s="120"/>
      <c r="G6482" s="120"/>
      <c r="H6482" s="120"/>
      <c r="I6482" s="121"/>
      <c r="J6482" s="121"/>
      <c r="K6482" s="117"/>
    </row>
    <row r="6483" ht="15.75" customHeight="1">
      <c r="A6483" s="122"/>
      <c r="B6483" s="133"/>
      <c r="C6483" s="120"/>
      <c r="D6483" s="120"/>
      <c r="E6483" s="120"/>
      <c r="F6483" s="120"/>
      <c r="G6483" s="120"/>
      <c r="H6483" s="120"/>
      <c r="I6483" s="121"/>
      <c r="J6483" s="121"/>
      <c r="K6483" s="117"/>
    </row>
    <row r="6484" ht="15.75" customHeight="1">
      <c r="A6484" s="122"/>
      <c r="B6484" s="133"/>
      <c r="C6484" s="120"/>
      <c r="D6484" s="120"/>
      <c r="E6484" s="120"/>
      <c r="F6484" s="120"/>
      <c r="G6484" s="120"/>
      <c r="H6484" s="120"/>
      <c r="I6484" s="121"/>
      <c r="J6484" s="121"/>
      <c r="K6484" s="117"/>
    </row>
    <row r="6485" ht="15.75" customHeight="1">
      <c r="A6485" s="122"/>
      <c r="B6485" s="133"/>
      <c r="C6485" s="120"/>
      <c r="D6485" s="120"/>
      <c r="E6485" s="120"/>
      <c r="F6485" s="120"/>
      <c r="G6485" s="120"/>
      <c r="H6485" s="120"/>
      <c r="I6485" s="121"/>
      <c r="J6485" s="121"/>
      <c r="K6485" s="117"/>
    </row>
    <row r="6486" ht="15.75" customHeight="1">
      <c r="A6486" s="122"/>
      <c r="B6486" s="133"/>
      <c r="C6486" s="120"/>
      <c r="D6486" s="120"/>
      <c r="E6486" s="120"/>
      <c r="F6486" s="120"/>
      <c r="G6486" s="120"/>
      <c r="H6486" s="120"/>
      <c r="I6486" s="121"/>
      <c r="J6486" s="121"/>
      <c r="K6486" s="117"/>
    </row>
    <row r="6487" ht="15.75" customHeight="1">
      <c r="A6487" s="122"/>
      <c r="B6487" s="133"/>
      <c r="C6487" s="120"/>
      <c r="D6487" s="120"/>
      <c r="E6487" s="120"/>
      <c r="F6487" s="120"/>
      <c r="G6487" s="120"/>
      <c r="H6487" s="120"/>
      <c r="I6487" s="121"/>
      <c r="J6487" s="121"/>
      <c r="K6487" s="117"/>
    </row>
    <row r="6488" ht="15.75" customHeight="1">
      <c r="A6488" s="122"/>
      <c r="B6488" s="133"/>
      <c r="C6488" s="120"/>
      <c r="D6488" s="120"/>
      <c r="E6488" s="120"/>
      <c r="F6488" s="120"/>
      <c r="G6488" s="120"/>
      <c r="H6488" s="120"/>
      <c r="I6488" s="121"/>
      <c r="J6488" s="121"/>
      <c r="K6488" s="117"/>
    </row>
    <row r="6489" ht="15.75" customHeight="1">
      <c r="A6489" s="122"/>
      <c r="B6489" s="133"/>
      <c r="C6489" s="120"/>
      <c r="D6489" s="120"/>
      <c r="E6489" s="120"/>
      <c r="F6489" s="120"/>
      <c r="G6489" s="120"/>
      <c r="H6489" s="120"/>
      <c r="I6489" s="121"/>
      <c r="J6489" s="121"/>
      <c r="K6489" s="117"/>
    </row>
    <row r="6490" ht="15.75" customHeight="1">
      <c r="A6490" s="122"/>
      <c r="B6490" s="133"/>
      <c r="C6490" s="120"/>
      <c r="D6490" s="120"/>
      <c r="E6490" s="120"/>
      <c r="F6490" s="120"/>
      <c r="G6490" s="120"/>
      <c r="H6490" s="120"/>
      <c r="I6490" s="121"/>
      <c r="J6490" s="121"/>
      <c r="K6490" s="117"/>
    </row>
    <row r="6491" ht="15.75" customHeight="1">
      <c r="A6491" s="122"/>
      <c r="B6491" s="133"/>
      <c r="C6491" s="120"/>
      <c r="D6491" s="120"/>
      <c r="E6491" s="120"/>
      <c r="F6491" s="120"/>
      <c r="G6491" s="120"/>
      <c r="H6491" s="120"/>
      <c r="I6491" s="121"/>
      <c r="J6491" s="121"/>
      <c r="K6491" s="117"/>
    </row>
    <row r="6492" ht="15.75" customHeight="1">
      <c r="A6492" s="122"/>
      <c r="B6492" s="133"/>
      <c r="C6492" s="120"/>
      <c r="D6492" s="120"/>
      <c r="E6492" s="120"/>
      <c r="F6492" s="120"/>
      <c r="G6492" s="120"/>
      <c r="H6492" s="120"/>
      <c r="I6492" s="121"/>
      <c r="J6492" s="121"/>
      <c r="K6492" s="117"/>
    </row>
    <row r="6493" ht="15.75" customHeight="1">
      <c r="A6493" s="122"/>
      <c r="B6493" s="133"/>
      <c r="C6493" s="120"/>
      <c r="D6493" s="120"/>
      <c r="E6493" s="120"/>
      <c r="F6493" s="120"/>
      <c r="G6493" s="120"/>
      <c r="H6493" s="120"/>
      <c r="I6493" s="121"/>
      <c r="J6493" s="121"/>
      <c r="K6493" s="117"/>
    </row>
    <row r="6494" ht="15.75" customHeight="1">
      <c r="A6494" s="122"/>
      <c r="B6494" s="133"/>
      <c r="C6494" s="120"/>
      <c r="D6494" s="120"/>
      <c r="E6494" s="120"/>
      <c r="F6494" s="120"/>
      <c r="G6494" s="120"/>
      <c r="H6494" s="120"/>
      <c r="I6494" s="121"/>
      <c r="J6494" s="121"/>
      <c r="K6494" s="117"/>
    </row>
    <row r="6495" ht="15.75" customHeight="1">
      <c r="A6495" s="122"/>
      <c r="B6495" s="133"/>
      <c r="C6495" s="120"/>
      <c r="D6495" s="120"/>
      <c r="E6495" s="120"/>
      <c r="F6495" s="120"/>
      <c r="G6495" s="120"/>
      <c r="H6495" s="120"/>
      <c r="I6495" s="121"/>
      <c r="J6495" s="121"/>
      <c r="K6495" s="117"/>
    </row>
    <row r="6496" ht="15.75" customHeight="1">
      <c r="A6496" s="122"/>
      <c r="B6496" s="133"/>
      <c r="C6496" s="120"/>
      <c r="D6496" s="120"/>
      <c r="E6496" s="120"/>
      <c r="F6496" s="120"/>
      <c r="G6496" s="120"/>
      <c r="H6496" s="120"/>
      <c r="I6496" s="121"/>
      <c r="J6496" s="121"/>
      <c r="K6496" s="117"/>
    </row>
    <row r="6497" ht="15.75" customHeight="1">
      <c r="A6497" s="122"/>
      <c r="B6497" s="133"/>
      <c r="C6497" s="120"/>
      <c r="D6497" s="120"/>
      <c r="E6497" s="120"/>
      <c r="F6497" s="120"/>
      <c r="G6497" s="120"/>
      <c r="H6497" s="120"/>
      <c r="I6497" s="121"/>
      <c r="J6497" s="121"/>
      <c r="K6497" s="117"/>
    </row>
    <row r="6498" ht="15.75" customHeight="1">
      <c r="A6498" s="122"/>
      <c r="B6498" s="133"/>
      <c r="C6498" s="120"/>
      <c r="D6498" s="120"/>
      <c r="E6498" s="120"/>
      <c r="F6498" s="120"/>
      <c r="G6498" s="120"/>
      <c r="H6498" s="120"/>
      <c r="I6498" s="121"/>
      <c r="J6498" s="121"/>
      <c r="K6498" s="117"/>
    </row>
    <row r="6499" ht="15.75" customHeight="1">
      <c r="A6499" s="122"/>
      <c r="B6499" s="133"/>
      <c r="C6499" s="120"/>
      <c r="D6499" s="120"/>
      <c r="E6499" s="120"/>
      <c r="F6499" s="120"/>
      <c r="G6499" s="120"/>
      <c r="H6499" s="120"/>
      <c r="I6499" s="121"/>
      <c r="J6499" s="121"/>
      <c r="K6499" s="117"/>
    </row>
    <row r="6500" ht="15.75" customHeight="1">
      <c r="A6500" s="122"/>
      <c r="B6500" s="133"/>
      <c r="C6500" s="120"/>
      <c r="D6500" s="120"/>
      <c r="E6500" s="120"/>
      <c r="F6500" s="120"/>
      <c r="G6500" s="120"/>
      <c r="H6500" s="120"/>
      <c r="I6500" s="121"/>
      <c r="J6500" s="121"/>
      <c r="K6500" s="117"/>
    </row>
    <row r="6501" ht="15.75" customHeight="1">
      <c r="A6501" s="122"/>
      <c r="B6501" s="133"/>
      <c r="C6501" s="120"/>
      <c r="D6501" s="120"/>
      <c r="E6501" s="120"/>
      <c r="F6501" s="120"/>
      <c r="G6501" s="120"/>
      <c r="H6501" s="120"/>
      <c r="I6501" s="121"/>
      <c r="J6501" s="121"/>
      <c r="K6501" s="117"/>
    </row>
    <row r="6502" ht="15.75" customHeight="1">
      <c r="A6502" s="122"/>
      <c r="B6502" s="133"/>
      <c r="C6502" s="120"/>
      <c r="D6502" s="120"/>
      <c r="E6502" s="120"/>
      <c r="F6502" s="120"/>
      <c r="G6502" s="120"/>
      <c r="H6502" s="120"/>
      <c r="I6502" s="121"/>
      <c r="J6502" s="121"/>
      <c r="K6502" s="117"/>
    </row>
    <row r="6503" ht="15.75" customHeight="1">
      <c r="A6503" s="122"/>
      <c r="B6503" s="133"/>
      <c r="C6503" s="120"/>
      <c r="D6503" s="120"/>
      <c r="E6503" s="120"/>
      <c r="F6503" s="120"/>
      <c r="G6503" s="120"/>
      <c r="H6503" s="120"/>
      <c r="I6503" s="121"/>
      <c r="J6503" s="121"/>
      <c r="K6503" s="117"/>
    </row>
    <row r="6504" ht="15.75" customHeight="1">
      <c r="A6504" s="122"/>
      <c r="B6504" s="133"/>
      <c r="C6504" s="120"/>
      <c r="D6504" s="120"/>
      <c r="E6504" s="120"/>
      <c r="F6504" s="120"/>
      <c r="G6504" s="120"/>
      <c r="H6504" s="120"/>
      <c r="I6504" s="121"/>
      <c r="J6504" s="121"/>
      <c r="K6504" s="117"/>
    </row>
    <row r="6505" ht="15.75" customHeight="1">
      <c r="A6505" s="122"/>
      <c r="B6505" s="133"/>
      <c r="C6505" s="120"/>
      <c r="D6505" s="120"/>
      <c r="E6505" s="120"/>
      <c r="F6505" s="120"/>
      <c r="G6505" s="120"/>
      <c r="H6505" s="120"/>
      <c r="I6505" s="121"/>
      <c r="J6505" s="121"/>
      <c r="K6505" s="117"/>
    </row>
    <row r="6506" ht="15.75" customHeight="1">
      <c r="A6506" s="122"/>
      <c r="B6506" s="133"/>
      <c r="C6506" s="120"/>
      <c r="D6506" s="120"/>
      <c r="E6506" s="120"/>
      <c r="F6506" s="120"/>
      <c r="G6506" s="120"/>
      <c r="H6506" s="120"/>
      <c r="I6506" s="121"/>
      <c r="J6506" s="121"/>
      <c r="K6506" s="117"/>
    </row>
    <row r="6507" ht="15.75" customHeight="1">
      <c r="A6507" s="122"/>
      <c r="B6507" s="133"/>
      <c r="C6507" s="120"/>
      <c r="D6507" s="120"/>
      <c r="E6507" s="120"/>
      <c r="F6507" s="120"/>
      <c r="G6507" s="120"/>
      <c r="H6507" s="120"/>
      <c r="I6507" s="121"/>
      <c r="J6507" s="121"/>
      <c r="K6507" s="117"/>
    </row>
    <row r="6508" ht="15.75" customHeight="1">
      <c r="A6508" s="122"/>
      <c r="B6508" s="133"/>
      <c r="C6508" s="120"/>
      <c r="D6508" s="120"/>
      <c r="E6508" s="120"/>
      <c r="F6508" s="120"/>
      <c r="G6508" s="120"/>
      <c r="H6508" s="120"/>
      <c r="I6508" s="121"/>
      <c r="J6508" s="121"/>
      <c r="K6508" s="117"/>
    </row>
    <row r="6509" ht="15.75" customHeight="1">
      <c r="A6509" s="122"/>
      <c r="B6509" s="133"/>
      <c r="C6509" s="120"/>
      <c r="D6509" s="120"/>
      <c r="E6509" s="120"/>
      <c r="F6509" s="120"/>
      <c r="G6509" s="120"/>
      <c r="H6509" s="120"/>
      <c r="I6509" s="121"/>
      <c r="J6509" s="121"/>
      <c r="K6509" s="117"/>
    </row>
    <row r="6510" ht="15.75" customHeight="1">
      <c r="A6510" s="122"/>
      <c r="B6510" s="133"/>
      <c r="C6510" s="120"/>
      <c r="D6510" s="120"/>
      <c r="E6510" s="120"/>
      <c r="F6510" s="120"/>
      <c r="G6510" s="120"/>
      <c r="H6510" s="120"/>
      <c r="I6510" s="121"/>
      <c r="J6510" s="121"/>
      <c r="K6510" s="117"/>
    </row>
    <row r="6511" ht="15.75" customHeight="1">
      <c r="A6511" s="122"/>
      <c r="B6511" s="133"/>
      <c r="C6511" s="120"/>
      <c r="D6511" s="120"/>
      <c r="E6511" s="120"/>
      <c r="F6511" s="120"/>
      <c r="G6511" s="120"/>
      <c r="H6511" s="120"/>
      <c r="I6511" s="121"/>
      <c r="J6511" s="121"/>
      <c r="K6511" s="117"/>
    </row>
    <row r="6512" ht="15.75" customHeight="1">
      <c r="A6512" s="122"/>
      <c r="B6512" s="133"/>
      <c r="C6512" s="120"/>
      <c r="D6512" s="120"/>
      <c r="E6512" s="120"/>
      <c r="F6512" s="120"/>
      <c r="G6512" s="120"/>
      <c r="H6512" s="120"/>
      <c r="I6512" s="121"/>
      <c r="J6512" s="121"/>
      <c r="K6512" s="117"/>
    </row>
    <row r="6513" ht="15.75" customHeight="1">
      <c r="A6513" s="122"/>
      <c r="B6513" s="133"/>
      <c r="C6513" s="120"/>
      <c r="D6513" s="120"/>
      <c r="E6513" s="120"/>
      <c r="F6513" s="120"/>
      <c r="G6513" s="120"/>
      <c r="H6513" s="120"/>
      <c r="I6513" s="121"/>
      <c r="J6513" s="121"/>
      <c r="K6513" s="117"/>
    </row>
    <row r="6514" ht="15.75" customHeight="1">
      <c r="A6514" s="122"/>
      <c r="B6514" s="133"/>
      <c r="C6514" s="120"/>
      <c r="D6514" s="120"/>
      <c r="E6514" s="120"/>
      <c r="F6514" s="120"/>
      <c r="G6514" s="120"/>
      <c r="H6514" s="120"/>
      <c r="I6514" s="121"/>
      <c r="J6514" s="121"/>
      <c r="K6514" s="117"/>
    </row>
    <row r="6515" ht="15.75" customHeight="1">
      <c r="A6515" s="122"/>
      <c r="B6515" s="133"/>
      <c r="C6515" s="120"/>
      <c r="D6515" s="120"/>
      <c r="E6515" s="120"/>
      <c r="F6515" s="120"/>
      <c r="G6515" s="120"/>
      <c r="H6515" s="120"/>
      <c r="I6515" s="121"/>
      <c r="J6515" s="121"/>
      <c r="K6515" s="117"/>
    </row>
    <row r="6516" ht="15.75" customHeight="1">
      <c r="A6516" s="122"/>
      <c r="B6516" s="133"/>
      <c r="C6516" s="120"/>
      <c r="D6516" s="120"/>
      <c r="E6516" s="120"/>
      <c r="F6516" s="120"/>
      <c r="G6516" s="120"/>
      <c r="H6516" s="120"/>
      <c r="I6516" s="121"/>
      <c r="J6516" s="121"/>
      <c r="K6516" s="117"/>
    </row>
    <row r="6517" ht="15.75" customHeight="1">
      <c r="A6517" s="122"/>
      <c r="B6517" s="133"/>
      <c r="C6517" s="120"/>
      <c r="D6517" s="120"/>
      <c r="E6517" s="120"/>
      <c r="F6517" s="120"/>
      <c r="G6517" s="120"/>
      <c r="H6517" s="120"/>
      <c r="I6517" s="121"/>
      <c r="J6517" s="121"/>
      <c r="K6517" s="117"/>
    </row>
    <row r="6518" ht="15.75" customHeight="1">
      <c r="A6518" s="122"/>
      <c r="B6518" s="133"/>
      <c r="C6518" s="120"/>
      <c r="D6518" s="120"/>
      <c r="E6518" s="120"/>
      <c r="F6518" s="120"/>
      <c r="G6518" s="120"/>
      <c r="H6518" s="120"/>
      <c r="I6518" s="121"/>
      <c r="J6518" s="121"/>
      <c r="K6518" s="117"/>
    </row>
    <row r="6519" ht="15.75" customHeight="1">
      <c r="A6519" s="122"/>
      <c r="B6519" s="133"/>
      <c r="C6519" s="120"/>
      <c r="D6519" s="120"/>
      <c r="E6519" s="120"/>
      <c r="F6519" s="120"/>
      <c r="G6519" s="120"/>
      <c r="H6519" s="120"/>
      <c r="I6519" s="121"/>
      <c r="J6519" s="121"/>
      <c r="K6519" s="117"/>
    </row>
    <row r="6520" ht="15.75" customHeight="1">
      <c r="A6520" s="122"/>
      <c r="B6520" s="133"/>
      <c r="C6520" s="120"/>
      <c r="D6520" s="120"/>
      <c r="E6520" s="120"/>
      <c r="F6520" s="120"/>
      <c r="G6520" s="120"/>
      <c r="H6520" s="120"/>
      <c r="I6520" s="121"/>
      <c r="J6520" s="121"/>
      <c r="K6520" s="117"/>
    </row>
    <row r="6521" ht="15.75" customHeight="1">
      <c r="A6521" s="122"/>
      <c r="B6521" s="133"/>
      <c r="C6521" s="120"/>
      <c r="D6521" s="120"/>
      <c r="E6521" s="120"/>
      <c r="F6521" s="120"/>
      <c r="G6521" s="120"/>
      <c r="H6521" s="120"/>
      <c r="I6521" s="121"/>
      <c r="J6521" s="121"/>
      <c r="K6521" s="117"/>
    </row>
    <row r="6522" ht="15.75" customHeight="1">
      <c r="A6522" s="122"/>
      <c r="B6522" s="133"/>
      <c r="C6522" s="120"/>
      <c r="D6522" s="120"/>
      <c r="E6522" s="120"/>
      <c r="F6522" s="120"/>
      <c r="G6522" s="120"/>
      <c r="H6522" s="120"/>
      <c r="I6522" s="121"/>
      <c r="J6522" s="121"/>
      <c r="K6522" s="117"/>
    </row>
    <row r="6523" ht="15.75" customHeight="1">
      <c r="A6523" s="122"/>
      <c r="B6523" s="133"/>
      <c r="C6523" s="120"/>
      <c r="D6523" s="120"/>
      <c r="E6523" s="120"/>
      <c r="F6523" s="120"/>
      <c r="G6523" s="120"/>
      <c r="H6523" s="120"/>
      <c r="I6523" s="121"/>
      <c r="J6523" s="121"/>
      <c r="K6523" s="117"/>
    </row>
    <row r="6524" ht="15.75" customHeight="1">
      <c r="A6524" s="122"/>
      <c r="B6524" s="133"/>
      <c r="C6524" s="120"/>
      <c r="D6524" s="120"/>
      <c r="E6524" s="120"/>
      <c r="F6524" s="120"/>
      <c r="G6524" s="120"/>
      <c r="H6524" s="120"/>
      <c r="I6524" s="121"/>
      <c r="J6524" s="121"/>
      <c r="K6524" s="117"/>
    </row>
    <row r="6525" ht="15.75" customHeight="1">
      <c r="A6525" s="122"/>
      <c r="B6525" s="133"/>
      <c r="C6525" s="120"/>
      <c r="D6525" s="120"/>
      <c r="E6525" s="120"/>
      <c r="F6525" s="120"/>
      <c r="G6525" s="120"/>
      <c r="H6525" s="120"/>
      <c r="I6525" s="121"/>
      <c r="J6525" s="121"/>
      <c r="K6525" s="117"/>
    </row>
    <row r="6526" ht="15.75" customHeight="1">
      <c r="A6526" s="122"/>
      <c r="B6526" s="133"/>
      <c r="C6526" s="120"/>
      <c r="D6526" s="120"/>
      <c r="E6526" s="120"/>
      <c r="F6526" s="120"/>
      <c r="G6526" s="120"/>
      <c r="H6526" s="120"/>
      <c r="I6526" s="121"/>
      <c r="J6526" s="121"/>
      <c r="K6526" s="117"/>
    </row>
    <row r="6527" ht="15.75" customHeight="1">
      <c r="A6527" s="122"/>
      <c r="B6527" s="133"/>
      <c r="C6527" s="120"/>
      <c r="D6527" s="120"/>
      <c r="E6527" s="120"/>
      <c r="F6527" s="120"/>
      <c r="G6527" s="120"/>
      <c r="H6527" s="120"/>
      <c r="I6527" s="121"/>
      <c r="J6527" s="121"/>
      <c r="K6527" s="117"/>
    </row>
    <row r="6528" ht="15.75" customHeight="1">
      <c r="A6528" s="122"/>
      <c r="B6528" s="133"/>
      <c r="C6528" s="120"/>
      <c r="D6528" s="120"/>
      <c r="E6528" s="120"/>
      <c r="F6528" s="120"/>
      <c r="G6528" s="120"/>
      <c r="H6528" s="120"/>
      <c r="I6528" s="121"/>
      <c r="J6528" s="121"/>
      <c r="K6528" s="117"/>
    </row>
    <row r="6529" ht="15.75" customHeight="1">
      <c r="A6529" s="122"/>
      <c r="B6529" s="133"/>
      <c r="C6529" s="120"/>
      <c r="D6529" s="120"/>
      <c r="E6529" s="120"/>
      <c r="F6529" s="120"/>
      <c r="G6529" s="120"/>
      <c r="H6529" s="120"/>
      <c r="I6529" s="121"/>
      <c r="J6529" s="121"/>
      <c r="K6529" s="117"/>
    </row>
    <row r="6530" ht="15.75" customHeight="1">
      <c r="A6530" s="122"/>
      <c r="B6530" s="133"/>
      <c r="C6530" s="120"/>
      <c r="D6530" s="120"/>
      <c r="E6530" s="120"/>
      <c r="F6530" s="120"/>
      <c r="G6530" s="120"/>
      <c r="H6530" s="120"/>
      <c r="I6530" s="121"/>
      <c r="J6530" s="121"/>
      <c r="K6530" s="117"/>
    </row>
    <row r="6531" ht="15.75" customHeight="1">
      <c r="A6531" s="122"/>
      <c r="B6531" s="133"/>
      <c r="C6531" s="120"/>
      <c r="D6531" s="120"/>
      <c r="E6531" s="120"/>
      <c r="F6531" s="120"/>
      <c r="G6531" s="120"/>
      <c r="H6531" s="120"/>
      <c r="I6531" s="121"/>
      <c r="J6531" s="121"/>
      <c r="K6531" s="117"/>
    </row>
    <row r="6532" ht="15.75" customHeight="1">
      <c r="A6532" s="122"/>
      <c r="B6532" s="133"/>
      <c r="C6532" s="120"/>
      <c r="D6532" s="120"/>
      <c r="E6532" s="120"/>
      <c r="F6532" s="120"/>
      <c r="G6532" s="120"/>
      <c r="H6532" s="120"/>
      <c r="I6532" s="121"/>
      <c r="J6532" s="121"/>
      <c r="K6532" s="117"/>
    </row>
    <row r="6533" ht="15.75" customHeight="1">
      <c r="A6533" s="122"/>
      <c r="B6533" s="133"/>
      <c r="C6533" s="120"/>
      <c r="D6533" s="120"/>
      <c r="E6533" s="120"/>
      <c r="F6533" s="120"/>
      <c r="G6533" s="120"/>
      <c r="H6533" s="120"/>
      <c r="I6533" s="121"/>
      <c r="J6533" s="121"/>
      <c r="K6533" s="117"/>
    </row>
    <row r="6534" ht="15.75" customHeight="1">
      <c r="A6534" s="122"/>
      <c r="B6534" s="133"/>
      <c r="C6534" s="120"/>
      <c r="D6534" s="120"/>
      <c r="E6534" s="120"/>
      <c r="F6534" s="120"/>
      <c r="G6534" s="120"/>
      <c r="H6534" s="120"/>
      <c r="I6534" s="121"/>
      <c r="J6534" s="121"/>
      <c r="K6534" s="117"/>
    </row>
    <row r="6535" ht="15.75" customHeight="1">
      <c r="A6535" s="122"/>
      <c r="B6535" s="133"/>
      <c r="C6535" s="120"/>
      <c r="D6535" s="120"/>
      <c r="E6535" s="120"/>
      <c r="F6535" s="120"/>
      <c r="G6535" s="120"/>
      <c r="H6535" s="120"/>
      <c r="I6535" s="121"/>
      <c r="J6535" s="121"/>
      <c r="K6535" s="117"/>
    </row>
    <row r="6536" ht="15.75" customHeight="1">
      <c r="A6536" s="122"/>
      <c r="B6536" s="133"/>
      <c r="C6536" s="120"/>
      <c r="D6536" s="120"/>
      <c r="E6536" s="120"/>
      <c r="F6536" s="120"/>
      <c r="G6536" s="120"/>
      <c r="H6536" s="120"/>
      <c r="I6536" s="121"/>
      <c r="J6536" s="121"/>
      <c r="K6536" s="117"/>
    </row>
    <row r="6537" ht="15.75" customHeight="1">
      <c r="A6537" s="122"/>
      <c r="B6537" s="133"/>
      <c r="C6537" s="120"/>
      <c r="D6537" s="120"/>
      <c r="E6537" s="120"/>
      <c r="F6537" s="120"/>
      <c r="G6537" s="120"/>
      <c r="H6537" s="120"/>
      <c r="I6537" s="121"/>
      <c r="J6537" s="121"/>
      <c r="K6537" s="117"/>
    </row>
    <row r="6538" ht="15.75" customHeight="1">
      <c r="A6538" s="122"/>
      <c r="B6538" s="133"/>
      <c r="C6538" s="120"/>
      <c r="D6538" s="120"/>
      <c r="E6538" s="120"/>
      <c r="F6538" s="120"/>
      <c r="G6538" s="120"/>
      <c r="H6538" s="120"/>
      <c r="I6538" s="121"/>
      <c r="J6538" s="121"/>
      <c r="K6538" s="117"/>
    </row>
    <row r="6539" ht="15.75" customHeight="1">
      <c r="A6539" s="122"/>
      <c r="B6539" s="133"/>
      <c r="C6539" s="120"/>
      <c r="D6539" s="120"/>
      <c r="E6539" s="120"/>
      <c r="F6539" s="120"/>
      <c r="G6539" s="120"/>
      <c r="H6539" s="120"/>
      <c r="I6539" s="121"/>
      <c r="J6539" s="121"/>
      <c r="K6539" s="117"/>
    </row>
    <row r="6540" ht="15.75" customHeight="1">
      <c r="A6540" s="122"/>
      <c r="B6540" s="133"/>
      <c r="C6540" s="120"/>
      <c r="D6540" s="120"/>
      <c r="E6540" s="120"/>
      <c r="F6540" s="120"/>
      <c r="G6540" s="120"/>
      <c r="H6540" s="120"/>
      <c r="I6540" s="121"/>
      <c r="J6540" s="121"/>
      <c r="K6540" s="117"/>
    </row>
    <row r="6541" ht="15.75" customHeight="1">
      <c r="A6541" s="122"/>
      <c r="B6541" s="133"/>
      <c r="C6541" s="120"/>
      <c r="D6541" s="120"/>
      <c r="E6541" s="120"/>
      <c r="F6541" s="120"/>
      <c r="G6541" s="120"/>
      <c r="H6541" s="120"/>
      <c r="I6541" s="121"/>
      <c r="J6541" s="121"/>
      <c r="K6541" s="117"/>
    </row>
    <row r="6542" ht="15.75" customHeight="1">
      <c r="A6542" s="122"/>
      <c r="B6542" s="133"/>
      <c r="C6542" s="120"/>
      <c r="D6542" s="120"/>
      <c r="E6542" s="120"/>
      <c r="F6542" s="120"/>
      <c r="G6542" s="120"/>
      <c r="H6542" s="120"/>
      <c r="I6542" s="121"/>
      <c r="J6542" s="121"/>
      <c r="K6542" s="117"/>
    </row>
    <row r="6543" ht="15.75" customHeight="1">
      <c r="A6543" s="122"/>
      <c r="B6543" s="133"/>
      <c r="C6543" s="120"/>
      <c r="D6543" s="120"/>
      <c r="E6543" s="120"/>
      <c r="F6543" s="120"/>
      <c r="G6543" s="120"/>
      <c r="H6543" s="120"/>
      <c r="I6543" s="121"/>
      <c r="J6543" s="121"/>
      <c r="K6543" s="117"/>
    </row>
    <row r="6544" ht="15.75" customHeight="1">
      <c r="A6544" s="122"/>
      <c r="B6544" s="133"/>
      <c r="C6544" s="120"/>
      <c r="D6544" s="120"/>
      <c r="E6544" s="120"/>
      <c r="F6544" s="120"/>
      <c r="G6544" s="120"/>
      <c r="H6544" s="120"/>
      <c r="I6544" s="121"/>
      <c r="J6544" s="121"/>
      <c r="K6544" s="117"/>
    </row>
    <row r="6545" ht="15.75" customHeight="1">
      <c r="A6545" s="122"/>
      <c r="B6545" s="133"/>
      <c r="C6545" s="120"/>
      <c r="D6545" s="120"/>
      <c r="E6545" s="120"/>
      <c r="F6545" s="120"/>
      <c r="G6545" s="120"/>
      <c r="H6545" s="120"/>
      <c r="I6545" s="121"/>
      <c r="J6545" s="121"/>
      <c r="K6545" s="117"/>
    </row>
    <row r="6546" ht="15.75" customHeight="1">
      <c r="A6546" s="122"/>
      <c r="B6546" s="133"/>
      <c r="C6546" s="120"/>
      <c r="D6546" s="120"/>
      <c r="E6546" s="120"/>
      <c r="F6546" s="120"/>
      <c r="G6546" s="120"/>
      <c r="H6546" s="120"/>
      <c r="I6546" s="121"/>
      <c r="J6546" s="121"/>
      <c r="K6546" s="117"/>
    </row>
    <row r="6547" ht="15.75" customHeight="1">
      <c r="A6547" s="122"/>
      <c r="B6547" s="133"/>
      <c r="C6547" s="120"/>
      <c r="D6547" s="120"/>
      <c r="E6547" s="120"/>
      <c r="F6547" s="120"/>
      <c r="G6547" s="120"/>
      <c r="H6547" s="120"/>
      <c r="I6547" s="121"/>
      <c r="J6547" s="121"/>
      <c r="K6547" s="117"/>
    </row>
    <row r="6548" ht="15.75" customHeight="1">
      <c r="A6548" s="122"/>
      <c r="B6548" s="133"/>
      <c r="C6548" s="120"/>
      <c r="D6548" s="120"/>
      <c r="E6548" s="120"/>
      <c r="F6548" s="120"/>
      <c r="G6548" s="120"/>
      <c r="H6548" s="120"/>
      <c r="I6548" s="121"/>
      <c r="J6548" s="121"/>
      <c r="K6548" s="117"/>
    </row>
    <row r="6549" ht="15.75" customHeight="1">
      <c r="A6549" s="122"/>
      <c r="B6549" s="133"/>
      <c r="C6549" s="120"/>
      <c r="D6549" s="120"/>
      <c r="E6549" s="120"/>
      <c r="F6549" s="120"/>
      <c r="G6549" s="120"/>
      <c r="H6549" s="120"/>
      <c r="I6549" s="121"/>
      <c r="J6549" s="121"/>
      <c r="K6549" s="117"/>
    </row>
    <row r="6550" ht="15.75" customHeight="1">
      <c r="A6550" s="122"/>
      <c r="B6550" s="133"/>
      <c r="C6550" s="120"/>
      <c r="D6550" s="120"/>
      <c r="E6550" s="120"/>
      <c r="F6550" s="120"/>
      <c r="G6550" s="120"/>
      <c r="H6550" s="120"/>
      <c r="I6550" s="121"/>
      <c r="J6550" s="121"/>
      <c r="K6550" s="117"/>
    </row>
    <row r="6551" ht="15.75" customHeight="1">
      <c r="A6551" s="122"/>
      <c r="B6551" s="133"/>
      <c r="C6551" s="120"/>
      <c r="D6551" s="120"/>
      <c r="E6551" s="120"/>
      <c r="F6551" s="120"/>
      <c r="G6551" s="120"/>
      <c r="H6551" s="120"/>
      <c r="I6551" s="121"/>
      <c r="J6551" s="121"/>
      <c r="K6551" s="117"/>
    </row>
    <row r="6552" ht="15.75" customHeight="1">
      <c r="A6552" s="122"/>
      <c r="B6552" s="133"/>
      <c r="C6552" s="120"/>
      <c r="D6552" s="120"/>
      <c r="E6552" s="120"/>
      <c r="F6552" s="120"/>
      <c r="G6552" s="120"/>
      <c r="H6552" s="120"/>
      <c r="I6552" s="121"/>
      <c r="J6552" s="121"/>
      <c r="K6552" s="117"/>
    </row>
    <row r="6553" ht="15.75" customHeight="1">
      <c r="A6553" s="122"/>
      <c r="B6553" s="133"/>
      <c r="C6553" s="120"/>
      <c r="D6553" s="120"/>
      <c r="E6553" s="120"/>
      <c r="F6553" s="120"/>
      <c r="G6553" s="120"/>
      <c r="H6553" s="120"/>
      <c r="I6553" s="121"/>
      <c r="J6553" s="121"/>
      <c r="K6553" s="117"/>
    </row>
    <row r="6554" ht="15.75" customHeight="1">
      <c r="A6554" s="122"/>
      <c r="B6554" s="133"/>
      <c r="C6554" s="120"/>
      <c r="D6554" s="120"/>
      <c r="E6554" s="120"/>
      <c r="F6554" s="120"/>
      <c r="G6554" s="120"/>
      <c r="H6554" s="120"/>
      <c r="I6554" s="121"/>
      <c r="J6554" s="121"/>
      <c r="K6554" s="117"/>
    </row>
    <row r="6555" ht="15.75" customHeight="1">
      <c r="A6555" s="122"/>
      <c r="B6555" s="133"/>
      <c r="C6555" s="120"/>
      <c r="D6555" s="120"/>
      <c r="E6555" s="120"/>
      <c r="F6555" s="120"/>
      <c r="G6555" s="120"/>
      <c r="H6555" s="120"/>
      <c r="I6555" s="121"/>
      <c r="J6555" s="121"/>
      <c r="K6555" s="117"/>
    </row>
    <row r="6556" ht="15.75" customHeight="1">
      <c r="A6556" s="122"/>
      <c r="B6556" s="133"/>
      <c r="C6556" s="120"/>
      <c r="D6556" s="120"/>
      <c r="E6556" s="120"/>
      <c r="F6556" s="120"/>
      <c r="G6556" s="120"/>
      <c r="H6556" s="120"/>
      <c r="I6556" s="121"/>
      <c r="J6556" s="121"/>
      <c r="K6556" s="117"/>
    </row>
    <row r="6557" ht="15.75" customHeight="1">
      <c r="A6557" s="122"/>
      <c r="B6557" s="133"/>
      <c r="C6557" s="120"/>
      <c r="D6557" s="120"/>
      <c r="E6557" s="120"/>
      <c r="F6557" s="120"/>
      <c r="G6557" s="120"/>
      <c r="H6557" s="120"/>
      <c r="I6557" s="121"/>
      <c r="J6557" s="121"/>
      <c r="K6557" s="117"/>
    </row>
    <row r="6558" ht="15.75" customHeight="1">
      <c r="A6558" s="122"/>
      <c r="B6558" s="133"/>
      <c r="C6558" s="120"/>
      <c r="D6558" s="120"/>
      <c r="E6558" s="120"/>
      <c r="F6558" s="120"/>
      <c r="G6558" s="120"/>
      <c r="H6558" s="120"/>
      <c r="I6558" s="121"/>
      <c r="J6558" s="121"/>
      <c r="K6558" s="117"/>
    </row>
    <row r="6559" ht="15.75" customHeight="1">
      <c r="A6559" s="122"/>
      <c r="B6559" s="133"/>
      <c r="C6559" s="120"/>
      <c r="D6559" s="120"/>
      <c r="E6559" s="120"/>
      <c r="F6559" s="120"/>
      <c r="G6559" s="120"/>
      <c r="H6559" s="120"/>
      <c r="I6559" s="121"/>
      <c r="J6559" s="121"/>
      <c r="K6559" s="117"/>
    </row>
    <row r="6560" ht="15.75" customHeight="1">
      <c r="A6560" s="122"/>
      <c r="B6560" s="133"/>
      <c r="C6560" s="120"/>
      <c r="D6560" s="120"/>
      <c r="E6560" s="120"/>
      <c r="F6560" s="120"/>
      <c r="G6560" s="120"/>
      <c r="H6560" s="120"/>
      <c r="I6560" s="121"/>
      <c r="J6560" s="121"/>
      <c r="K6560" s="117"/>
    </row>
    <row r="6561" ht="15.75" customHeight="1">
      <c r="A6561" s="122"/>
      <c r="B6561" s="133"/>
      <c r="C6561" s="120"/>
      <c r="D6561" s="120"/>
      <c r="E6561" s="120"/>
      <c r="F6561" s="120"/>
      <c r="G6561" s="120"/>
      <c r="H6561" s="120"/>
      <c r="I6561" s="121"/>
      <c r="J6561" s="121"/>
      <c r="K6561" s="117"/>
    </row>
    <row r="6562" ht="15.75" customHeight="1">
      <c r="A6562" s="122"/>
      <c r="B6562" s="133"/>
      <c r="C6562" s="120"/>
      <c r="D6562" s="120"/>
      <c r="E6562" s="120"/>
      <c r="F6562" s="120"/>
      <c r="G6562" s="120"/>
      <c r="H6562" s="120"/>
      <c r="I6562" s="121"/>
      <c r="J6562" s="121"/>
      <c r="K6562" s="117"/>
    </row>
    <row r="6563" ht="15.75" customHeight="1">
      <c r="A6563" s="122"/>
      <c r="B6563" s="133"/>
      <c r="C6563" s="120"/>
      <c r="D6563" s="120"/>
      <c r="E6563" s="120"/>
      <c r="F6563" s="120"/>
      <c r="G6563" s="120"/>
      <c r="H6563" s="120"/>
      <c r="I6563" s="121"/>
      <c r="J6563" s="121"/>
      <c r="K6563" s="117"/>
    </row>
    <row r="6564" ht="15.75" customHeight="1">
      <c r="A6564" s="122"/>
      <c r="B6564" s="133"/>
      <c r="C6564" s="120"/>
      <c r="D6564" s="120"/>
      <c r="E6564" s="120"/>
      <c r="F6564" s="120"/>
      <c r="G6564" s="120"/>
      <c r="H6564" s="120"/>
      <c r="I6564" s="121"/>
      <c r="J6564" s="121"/>
      <c r="K6564" s="117"/>
    </row>
    <row r="6565" ht="15.75" customHeight="1">
      <c r="A6565" s="122"/>
      <c r="B6565" s="133"/>
      <c r="C6565" s="120"/>
      <c r="D6565" s="120"/>
      <c r="E6565" s="120"/>
      <c r="F6565" s="120"/>
      <c r="G6565" s="120"/>
      <c r="H6565" s="120"/>
      <c r="I6565" s="121"/>
      <c r="J6565" s="121"/>
      <c r="K6565" s="117"/>
    </row>
    <row r="6566" ht="15.75" customHeight="1">
      <c r="A6566" s="122"/>
      <c r="B6566" s="133"/>
      <c r="C6566" s="120"/>
      <c r="D6566" s="120"/>
      <c r="E6566" s="120"/>
      <c r="F6566" s="120"/>
      <c r="G6566" s="120"/>
      <c r="H6566" s="120"/>
      <c r="I6566" s="121"/>
      <c r="J6566" s="121"/>
      <c r="K6566" s="117"/>
    </row>
    <row r="6567" ht="15.75" customHeight="1">
      <c r="A6567" s="122"/>
      <c r="B6567" s="133"/>
      <c r="C6567" s="120"/>
      <c r="D6567" s="120"/>
      <c r="E6567" s="120"/>
      <c r="F6567" s="120"/>
      <c r="G6567" s="120"/>
      <c r="H6567" s="120"/>
      <c r="I6567" s="121"/>
      <c r="J6567" s="121"/>
      <c r="K6567" s="117"/>
    </row>
    <row r="6568" ht="15.75" customHeight="1">
      <c r="A6568" s="122"/>
      <c r="B6568" s="133"/>
      <c r="C6568" s="120"/>
      <c r="D6568" s="120"/>
      <c r="E6568" s="120"/>
      <c r="F6568" s="120"/>
      <c r="G6568" s="120"/>
      <c r="H6568" s="120"/>
      <c r="I6568" s="121"/>
      <c r="J6568" s="121"/>
      <c r="K6568" s="117"/>
    </row>
    <row r="6569" ht="15.75" customHeight="1">
      <c r="A6569" s="122"/>
      <c r="B6569" s="133"/>
      <c r="C6569" s="120"/>
      <c r="D6569" s="120"/>
      <c r="E6569" s="120"/>
      <c r="F6569" s="120"/>
      <c r="G6569" s="120"/>
      <c r="H6569" s="120"/>
      <c r="I6569" s="121"/>
      <c r="J6569" s="121"/>
      <c r="K6569" s="117"/>
    </row>
    <row r="6570" ht="15.75" customHeight="1">
      <c r="A6570" s="122"/>
      <c r="B6570" s="133"/>
      <c r="C6570" s="120"/>
      <c r="D6570" s="120"/>
      <c r="E6570" s="120"/>
      <c r="F6570" s="120"/>
      <c r="G6570" s="120"/>
      <c r="H6570" s="120"/>
      <c r="I6570" s="121"/>
      <c r="J6570" s="121"/>
      <c r="K6570" s="117"/>
    </row>
    <row r="6571" ht="15.75" customHeight="1">
      <c r="A6571" s="122"/>
      <c r="B6571" s="133"/>
      <c r="C6571" s="120"/>
      <c r="D6571" s="120"/>
      <c r="E6571" s="120"/>
      <c r="F6571" s="120"/>
      <c r="G6571" s="120"/>
      <c r="H6571" s="120"/>
      <c r="I6571" s="121"/>
      <c r="J6571" s="121"/>
      <c r="K6571" s="117"/>
    </row>
    <row r="6572" ht="15.75" customHeight="1">
      <c r="A6572" s="122"/>
      <c r="B6572" s="133"/>
      <c r="C6572" s="120"/>
      <c r="D6572" s="120"/>
      <c r="E6572" s="120"/>
      <c r="F6572" s="120"/>
      <c r="G6572" s="120"/>
      <c r="H6572" s="120"/>
      <c r="I6572" s="121"/>
      <c r="J6572" s="121"/>
      <c r="K6572" s="117"/>
    </row>
    <row r="6573" ht="15.75" customHeight="1">
      <c r="A6573" s="122"/>
      <c r="B6573" s="133"/>
      <c r="C6573" s="120"/>
      <c r="D6573" s="120"/>
      <c r="E6573" s="120"/>
      <c r="F6573" s="120"/>
      <c r="G6573" s="120"/>
      <c r="H6573" s="120"/>
      <c r="I6573" s="121"/>
      <c r="J6573" s="121"/>
      <c r="K6573" s="117"/>
    </row>
    <row r="6574" ht="15.75" customHeight="1">
      <c r="A6574" s="122"/>
      <c r="B6574" s="133"/>
      <c r="C6574" s="120"/>
      <c r="D6574" s="120"/>
      <c r="E6574" s="120"/>
      <c r="F6574" s="120"/>
      <c r="G6574" s="120"/>
      <c r="H6574" s="120"/>
      <c r="I6574" s="121"/>
      <c r="J6574" s="121"/>
      <c r="K6574" s="117"/>
    </row>
    <row r="6575" ht="15.75" customHeight="1">
      <c r="A6575" s="122"/>
      <c r="B6575" s="133"/>
      <c r="C6575" s="120"/>
      <c r="D6575" s="120"/>
      <c r="E6575" s="120"/>
      <c r="F6575" s="120"/>
      <c r="G6575" s="120"/>
      <c r="H6575" s="120"/>
      <c r="I6575" s="121"/>
      <c r="J6575" s="121"/>
      <c r="K6575" s="117"/>
    </row>
    <row r="6576" ht="15.75" customHeight="1">
      <c r="A6576" s="122"/>
      <c r="B6576" s="133"/>
      <c r="C6576" s="120"/>
      <c r="D6576" s="120"/>
      <c r="E6576" s="120"/>
      <c r="F6576" s="120"/>
      <c r="G6576" s="120"/>
      <c r="H6576" s="120"/>
      <c r="I6576" s="121"/>
      <c r="J6576" s="121"/>
      <c r="K6576" s="117"/>
    </row>
    <row r="6577" ht="15.75" customHeight="1">
      <c r="A6577" s="122"/>
      <c r="B6577" s="133"/>
      <c r="C6577" s="120"/>
      <c r="D6577" s="120"/>
      <c r="E6577" s="120"/>
      <c r="F6577" s="120"/>
      <c r="G6577" s="120"/>
      <c r="H6577" s="120"/>
      <c r="I6577" s="121"/>
      <c r="J6577" s="121"/>
      <c r="K6577" s="117"/>
    </row>
    <row r="6578" ht="15.75" customHeight="1">
      <c r="A6578" s="122"/>
      <c r="B6578" s="133"/>
      <c r="C6578" s="120"/>
      <c r="D6578" s="120"/>
      <c r="E6578" s="120"/>
      <c r="F6578" s="120"/>
      <c r="G6578" s="120"/>
      <c r="H6578" s="120"/>
      <c r="I6578" s="121"/>
      <c r="J6578" s="121"/>
      <c r="K6578" s="117"/>
    </row>
    <row r="6579" ht="15.75" customHeight="1">
      <c r="A6579" s="122"/>
      <c r="B6579" s="133"/>
      <c r="C6579" s="120"/>
      <c r="D6579" s="120"/>
      <c r="E6579" s="120"/>
      <c r="F6579" s="120"/>
      <c r="G6579" s="120"/>
      <c r="H6579" s="120"/>
      <c r="I6579" s="121"/>
      <c r="J6579" s="121"/>
      <c r="K6579" s="117"/>
    </row>
    <row r="6580" ht="15.75" customHeight="1">
      <c r="A6580" s="122"/>
      <c r="B6580" s="133"/>
      <c r="C6580" s="120"/>
      <c r="D6580" s="120"/>
      <c r="E6580" s="120"/>
      <c r="F6580" s="120"/>
      <c r="G6580" s="120"/>
      <c r="H6580" s="120"/>
      <c r="I6580" s="121"/>
      <c r="J6580" s="121"/>
      <c r="K6580" s="117"/>
    </row>
    <row r="6581" ht="15.75" customHeight="1">
      <c r="A6581" s="122"/>
      <c r="B6581" s="133"/>
      <c r="C6581" s="120"/>
      <c r="D6581" s="120"/>
      <c r="E6581" s="120"/>
      <c r="F6581" s="120"/>
      <c r="G6581" s="120"/>
      <c r="H6581" s="120"/>
      <c r="I6581" s="121"/>
      <c r="J6581" s="121"/>
      <c r="K6581" s="117"/>
    </row>
    <row r="6582" ht="15.75" customHeight="1">
      <c r="A6582" s="122"/>
      <c r="B6582" s="133"/>
      <c r="C6582" s="120"/>
      <c r="D6582" s="120"/>
      <c r="E6582" s="120"/>
      <c r="F6582" s="120"/>
      <c r="G6582" s="120"/>
      <c r="H6582" s="120"/>
      <c r="I6582" s="121"/>
      <c r="J6582" s="121"/>
      <c r="K6582" s="117"/>
    </row>
    <row r="6583" ht="15.75" customHeight="1">
      <c r="A6583" s="122"/>
      <c r="B6583" s="133"/>
      <c r="C6583" s="120"/>
      <c r="D6583" s="120"/>
      <c r="E6583" s="120"/>
      <c r="F6583" s="120"/>
      <c r="G6583" s="120"/>
      <c r="H6583" s="120"/>
      <c r="I6583" s="121"/>
      <c r="J6583" s="121"/>
      <c r="K6583" s="117"/>
    </row>
    <row r="6584" ht="15.75" customHeight="1">
      <c r="A6584" s="122"/>
      <c r="B6584" s="133"/>
      <c r="C6584" s="120"/>
      <c r="D6584" s="120"/>
      <c r="E6584" s="120"/>
      <c r="F6584" s="120"/>
      <c r="G6584" s="120"/>
      <c r="H6584" s="120"/>
      <c r="I6584" s="121"/>
      <c r="J6584" s="121"/>
      <c r="K6584" s="117"/>
    </row>
    <row r="6585" ht="15.75" customHeight="1">
      <c r="A6585" s="122"/>
      <c r="B6585" s="133"/>
      <c r="C6585" s="120"/>
      <c r="D6585" s="120"/>
      <c r="E6585" s="120"/>
      <c r="F6585" s="120"/>
      <c r="G6585" s="120"/>
      <c r="H6585" s="120"/>
      <c r="I6585" s="121"/>
      <c r="J6585" s="121"/>
      <c r="K6585" s="117"/>
    </row>
    <row r="6586" ht="15.75" customHeight="1">
      <c r="A6586" s="122"/>
      <c r="B6586" s="133"/>
      <c r="C6586" s="120"/>
      <c r="D6586" s="120"/>
      <c r="E6586" s="120"/>
      <c r="F6586" s="120"/>
      <c r="G6586" s="120"/>
      <c r="H6586" s="120"/>
      <c r="I6586" s="121"/>
      <c r="J6586" s="121"/>
      <c r="K6586" s="117"/>
    </row>
    <row r="6587" ht="15.75" customHeight="1">
      <c r="A6587" s="122"/>
      <c r="B6587" s="133"/>
      <c r="C6587" s="120"/>
      <c r="D6587" s="120"/>
      <c r="E6587" s="120"/>
      <c r="F6587" s="120"/>
      <c r="G6587" s="120"/>
      <c r="H6587" s="120"/>
      <c r="I6587" s="121"/>
      <c r="J6587" s="121"/>
      <c r="K6587" s="117"/>
    </row>
    <row r="6588" ht="15.75" customHeight="1">
      <c r="A6588" s="122"/>
      <c r="B6588" s="133"/>
      <c r="C6588" s="120"/>
      <c r="D6588" s="120"/>
      <c r="E6588" s="120"/>
      <c r="F6588" s="120"/>
      <c r="G6588" s="120"/>
      <c r="H6588" s="120"/>
      <c r="I6588" s="121"/>
      <c r="J6588" s="121"/>
      <c r="K6588" s="117"/>
    </row>
    <row r="6589" ht="15.75" customHeight="1">
      <c r="A6589" s="122"/>
      <c r="B6589" s="133"/>
      <c r="C6589" s="120"/>
      <c r="D6589" s="120"/>
      <c r="E6589" s="120"/>
      <c r="F6589" s="120"/>
      <c r="G6589" s="120"/>
      <c r="H6589" s="120"/>
      <c r="I6589" s="121"/>
      <c r="J6589" s="121"/>
      <c r="K6589" s="117"/>
    </row>
    <row r="6590" ht="15.75" customHeight="1">
      <c r="A6590" s="122"/>
      <c r="B6590" s="133"/>
      <c r="C6590" s="120"/>
      <c r="D6590" s="120"/>
      <c r="E6590" s="120"/>
      <c r="F6590" s="120"/>
      <c r="G6590" s="120"/>
      <c r="H6590" s="120"/>
      <c r="I6590" s="121"/>
      <c r="J6590" s="121"/>
      <c r="K6590" s="117"/>
    </row>
    <row r="6591" ht="15.75" customHeight="1">
      <c r="A6591" s="122"/>
      <c r="B6591" s="133"/>
      <c r="C6591" s="120"/>
      <c r="D6591" s="120"/>
      <c r="E6591" s="120"/>
      <c r="F6591" s="120"/>
      <c r="G6591" s="120"/>
      <c r="H6591" s="120"/>
      <c r="I6591" s="121"/>
      <c r="J6591" s="121"/>
      <c r="K6591" s="117"/>
    </row>
    <row r="6592" ht="15.75" customHeight="1">
      <c r="A6592" s="122"/>
      <c r="B6592" s="133"/>
      <c r="C6592" s="120"/>
      <c r="D6592" s="120"/>
      <c r="E6592" s="120"/>
      <c r="F6592" s="120"/>
      <c r="G6592" s="120"/>
      <c r="H6592" s="120"/>
      <c r="I6592" s="121"/>
      <c r="J6592" s="121"/>
      <c r="K6592" s="117"/>
    </row>
    <row r="6593" ht="15.75" customHeight="1">
      <c r="A6593" s="122"/>
      <c r="B6593" s="133"/>
      <c r="C6593" s="120"/>
      <c r="D6593" s="120"/>
      <c r="E6593" s="120"/>
      <c r="F6593" s="120"/>
      <c r="G6593" s="120"/>
      <c r="H6593" s="120"/>
      <c r="I6593" s="121"/>
      <c r="J6593" s="121"/>
      <c r="K6593" s="117"/>
    </row>
    <row r="6594" ht="15.75" customHeight="1">
      <c r="A6594" s="122"/>
      <c r="B6594" s="133"/>
      <c r="C6594" s="120"/>
      <c r="D6594" s="120"/>
      <c r="E6594" s="120"/>
      <c r="F6594" s="120"/>
      <c r="G6594" s="120"/>
      <c r="H6594" s="120"/>
      <c r="I6594" s="121"/>
      <c r="J6594" s="121"/>
      <c r="K6594" s="117"/>
    </row>
    <row r="6595" ht="15.75" customHeight="1">
      <c r="A6595" s="122"/>
      <c r="B6595" s="133"/>
      <c r="C6595" s="120"/>
      <c r="D6595" s="120"/>
      <c r="E6595" s="120"/>
      <c r="F6595" s="120"/>
      <c r="G6595" s="120"/>
      <c r="H6595" s="120"/>
      <c r="I6595" s="121"/>
      <c r="J6595" s="121"/>
      <c r="K6595" s="117"/>
    </row>
    <row r="6596" ht="15.75" customHeight="1">
      <c r="A6596" s="122"/>
      <c r="B6596" s="133"/>
      <c r="C6596" s="120"/>
      <c r="D6596" s="120"/>
      <c r="E6596" s="120"/>
      <c r="F6596" s="120"/>
      <c r="G6596" s="120"/>
      <c r="H6596" s="120"/>
      <c r="I6596" s="121"/>
      <c r="J6596" s="121"/>
      <c r="K6596" s="117"/>
    </row>
    <row r="6597" ht="15.75" customHeight="1">
      <c r="A6597" s="122"/>
      <c r="B6597" s="133"/>
      <c r="C6597" s="120"/>
      <c r="D6597" s="120"/>
      <c r="E6597" s="120"/>
      <c r="F6597" s="120"/>
      <c r="G6597" s="120"/>
      <c r="H6597" s="120"/>
      <c r="I6597" s="121"/>
      <c r="J6597" s="121"/>
      <c r="K6597" s="117"/>
    </row>
    <row r="6598" ht="15.75" customHeight="1">
      <c r="A6598" s="122"/>
      <c r="B6598" s="133"/>
      <c r="C6598" s="120"/>
      <c r="D6598" s="120"/>
      <c r="E6598" s="120"/>
      <c r="F6598" s="120"/>
      <c r="G6598" s="120"/>
      <c r="H6598" s="120"/>
      <c r="I6598" s="121"/>
      <c r="J6598" s="121"/>
      <c r="K6598" s="117"/>
    </row>
    <row r="6599" ht="15.75" customHeight="1">
      <c r="A6599" s="122"/>
      <c r="B6599" s="133"/>
      <c r="C6599" s="120"/>
      <c r="D6599" s="120"/>
      <c r="E6599" s="120"/>
      <c r="F6599" s="120"/>
      <c r="G6599" s="120"/>
      <c r="H6599" s="120"/>
      <c r="I6599" s="121"/>
      <c r="J6599" s="121"/>
      <c r="K6599" s="117"/>
    </row>
    <row r="6600" ht="15.75" customHeight="1">
      <c r="A6600" s="122"/>
      <c r="B6600" s="133"/>
      <c r="C6600" s="120"/>
      <c r="D6600" s="120"/>
      <c r="E6600" s="120"/>
      <c r="F6600" s="120"/>
      <c r="G6600" s="120"/>
      <c r="H6600" s="120"/>
      <c r="I6600" s="121"/>
      <c r="J6600" s="121"/>
      <c r="K6600" s="117"/>
    </row>
    <row r="6601" ht="15.75" customHeight="1">
      <c r="A6601" s="122"/>
      <c r="B6601" s="133"/>
      <c r="C6601" s="120"/>
      <c r="D6601" s="120"/>
      <c r="E6601" s="120"/>
      <c r="F6601" s="120"/>
      <c r="G6601" s="120"/>
      <c r="H6601" s="120"/>
      <c r="I6601" s="121"/>
      <c r="J6601" s="121"/>
      <c r="K6601" s="117"/>
    </row>
    <row r="6602" ht="15.75" customHeight="1">
      <c r="A6602" s="122"/>
      <c r="B6602" s="133"/>
      <c r="C6602" s="120"/>
      <c r="D6602" s="120"/>
      <c r="E6602" s="120"/>
      <c r="F6602" s="120"/>
      <c r="G6602" s="120"/>
      <c r="H6602" s="120"/>
      <c r="I6602" s="121"/>
      <c r="J6602" s="121"/>
      <c r="K6602" s="117"/>
    </row>
    <row r="6603" ht="15.75" customHeight="1">
      <c r="A6603" s="122"/>
      <c r="B6603" s="133"/>
      <c r="C6603" s="120"/>
      <c r="D6603" s="120"/>
      <c r="E6603" s="120"/>
      <c r="F6603" s="120"/>
      <c r="G6603" s="120"/>
      <c r="H6603" s="120"/>
      <c r="I6603" s="121"/>
      <c r="J6603" s="121"/>
      <c r="K6603" s="117"/>
    </row>
    <row r="6604" ht="15.75" customHeight="1">
      <c r="A6604" s="122"/>
      <c r="B6604" s="133"/>
      <c r="C6604" s="120"/>
      <c r="D6604" s="120"/>
      <c r="E6604" s="120"/>
      <c r="F6604" s="120"/>
      <c r="G6604" s="120"/>
      <c r="H6604" s="120"/>
      <c r="I6604" s="121"/>
      <c r="J6604" s="121"/>
      <c r="K6604" s="117"/>
    </row>
    <row r="6605" ht="15.75" customHeight="1">
      <c r="A6605" s="122"/>
      <c r="B6605" s="133"/>
      <c r="C6605" s="120"/>
      <c r="D6605" s="120"/>
      <c r="E6605" s="120"/>
      <c r="F6605" s="120"/>
      <c r="G6605" s="120"/>
      <c r="H6605" s="120"/>
      <c r="I6605" s="121"/>
      <c r="J6605" s="121"/>
      <c r="K6605" s="117"/>
    </row>
    <row r="6606" ht="15.75" customHeight="1">
      <c r="A6606" s="122"/>
      <c r="B6606" s="133"/>
      <c r="C6606" s="120"/>
      <c r="D6606" s="120"/>
      <c r="E6606" s="120"/>
      <c r="F6606" s="120"/>
      <c r="G6606" s="120"/>
      <c r="H6606" s="120"/>
      <c r="I6606" s="121"/>
      <c r="J6606" s="121"/>
      <c r="K6606" s="117"/>
    </row>
    <row r="6607" ht="15.75" customHeight="1">
      <c r="A6607" s="122"/>
      <c r="B6607" s="133"/>
      <c r="C6607" s="120"/>
      <c r="D6607" s="120"/>
      <c r="E6607" s="120"/>
      <c r="F6607" s="120"/>
      <c r="G6607" s="120"/>
      <c r="H6607" s="120"/>
      <c r="I6607" s="121"/>
      <c r="J6607" s="121"/>
      <c r="K6607" s="117"/>
    </row>
    <row r="6608" ht="15.75" customHeight="1">
      <c r="A6608" s="122"/>
      <c r="B6608" s="133"/>
      <c r="C6608" s="120"/>
      <c r="D6608" s="120"/>
      <c r="E6608" s="120"/>
      <c r="F6608" s="120"/>
      <c r="G6608" s="120"/>
      <c r="H6608" s="120"/>
      <c r="I6608" s="121"/>
      <c r="J6608" s="121"/>
      <c r="K6608" s="117"/>
    </row>
    <row r="6609" ht="15.75" customHeight="1">
      <c r="A6609" s="122"/>
      <c r="B6609" s="133"/>
      <c r="C6609" s="120"/>
      <c r="D6609" s="120"/>
      <c r="E6609" s="120"/>
      <c r="F6609" s="120"/>
      <c r="G6609" s="120"/>
      <c r="H6609" s="120"/>
      <c r="I6609" s="121"/>
      <c r="J6609" s="121"/>
      <c r="K6609" s="117"/>
    </row>
    <row r="6610" ht="15.75" customHeight="1">
      <c r="A6610" s="122"/>
      <c r="B6610" s="133"/>
      <c r="C6610" s="120"/>
      <c r="D6610" s="120"/>
      <c r="E6610" s="120"/>
      <c r="F6610" s="120"/>
      <c r="G6610" s="120"/>
      <c r="H6610" s="120"/>
      <c r="I6610" s="121"/>
      <c r="J6610" s="121"/>
      <c r="K6610" s="117"/>
    </row>
    <row r="6611" ht="15.75" customHeight="1">
      <c r="A6611" s="122"/>
      <c r="B6611" s="133"/>
      <c r="C6611" s="120"/>
      <c r="D6611" s="120"/>
      <c r="E6611" s="120"/>
      <c r="F6611" s="120"/>
      <c r="G6611" s="120"/>
      <c r="H6611" s="120"/>
      <c r="I6611" s="121"/>
      <c r="J6611" s="121"/>
      <c r="K6611" s="117"/>
    </row>
    <row r="6612" ht="15.75" customHeight="1">
      <c r="A6612" s="122"/>
      <c r="B6612" s="133"/>
      <c r="C6612" s="120"/>
      <c r="D6612" s="120"/>
      <c r="E6612" s="120"/>
      <c r="F6612" s="120"/>
      <c r="G6612" s="120"/>
      <c r="H6612" s="120"/>
      <c r="I6612" s="121"/>
      <c r="J6612" s="121"/>
      <c r="K6612" s="117"/>
    </row>
    <row r="6613" ht="15.75" customHeight="1">
      <c r="A6613" s="122"/>
      <c r="B6613" s="133"/>
      <c r="C6613" s="120"/>
      <c r="D6613" s="120"/>
      <c r="E6613" s="120"/>
      <c r="F6613" s="120"/>
      <c r="G6613" s="120"/>
      <c r="H6613" s="120"/>
      <c r="I6613" s="121"/>
      <c r="J6613" s="121"/>
      <c r="K6613" s="117"/>
    </row>
    <row r="6614" ht="15.75" customHeight="1">
      <c r="A6614" s="122"/>
      <c r="B6614" s="133"/>
      <c r="C6614" s="120"/>
      <c r="D6614" s="120"/>
      <c r="E6614" s="120"/>
      <c r="F6614" s="120"/>
      <c r="G6614" s="120"/>
      <c r="H6614" s="120"/>
      <c r="I6614" s="121"/>
      <c r="J6614" s="121"/>
      <c r="K6614" s="117"/>
    </row>
    <row r="6615" ht="15.75" customHeight="1">
      <c r="A6615" s="122"/>
      <c r="B6615" s="133"/>
      <c r="C6615" s="120"/>
      <c r="D6615" s="120"/>
      <c r="E6615" s="120"/>
      <c r="F6615" s="120"/>
      <c r="G6615" s="120"/>
      <c r="H6615" s="120"/>
      <c r="I6615" s="121"/>
      <c r="J6615" s="121"/>
      <c r="K6615" s="117"/>
    </row>
    <row r="6616" ht="15.75" customHeight="1">
      <c r="A6616" s="122"/>
      <c r="B6616" s="133"/>
      <c r="C6616" s="120"/>
      <c r="D6616" s="120"/>
      <c r="E6616" s="120"/>
      <c r="F6616" s="120"/>
      <c r="G6616" s="120"/>
      <c r="H6616" s="120"/>
      <c r="I6616" s="121"/>
      <c r="J6616" s="121"/>
      <c r="K6616" s="117"/>
    </row>
    <row r="6617" ht="15.75" customHeight="1">
      <c r="A6617" s="122"/>
      <c r="B6617" s="133"/>
      <c r="C6617" s="120"/>
      <c r="D6617" s="120"/>
      <c r="E6617" s="120"/>
      <c r="F6617" s="120"/>
      <c r="G6617" s="120"/>
      <c r="H6617" s="120"/>
      <c r="I6617" s="121"/>
      <c r="J6617" s="121"/>
      <c r="K6617" s="117"/>
    </row>
    <row r="6618" ht="15.75" customHeight="1">
      <c r="A6618" s="122"/>
      <c r="B6618" s="133"/>
      <c r="C6618" s="120"/>
      <c r="D6618" s="120"/>
      <c r="E6618" s="120"/>
      <c r="F6618" s="120"/>
      <c r="G6618" s="120"/>
      <c r="H6618" s="120"/>
      <c r="I6618" s="121"/>
      <c r="J6618" s="121"/>
      <c r="K6618" s="117"/>
    </row>
    <row r="6619" ht="15.75" customHeight="1">
      <c r="A6619" s="122"/>
      <c r="B6619" s="133"/>
      <c r="C6619" s="120"/>
      <c r="D6619" s="120"/>
      <c r="E6619" s="120"/>
      <c r="F6619" s="120"/>
      <c r="G6619" s="120"/>
      <c r="H6619" s="120"/>
      <c r="I6619" s="121"/>
      <c r="J6619" s="121"/>
      <c r="K6619" s="117"/>
    </row>
    <row r="6620" ht="15.75" customHeight="1">
      <c r="A6620" s="122"/>
      <c r="B6620" s="133"/>
      <c r="C6620" s="120"/>
      <c r="D6620" s="120"/>
      <c r="E6620" s="120"/>
      <c r="F6620" s="120"/>
      <c r="G6620" s="120"/>
      <c r="H6620" s="120"/>
      <c r="I6620" s="121"/>
      <c r="J6620" s="121"/>
      <c r="K6620" s="117"/>
    </row>
    <row r="6621" ht="15.75" customHeight="1">
      <c r="A6621" s="122"/>
      <c r="B6621" s="133"/>
      <c r="C6621" s="120"/>
      <c r="D6621" s="120"/>
      <c r="E6621" s="120"/>
      <c r="F6621" s="120"/>
      <c r="G6621" s="120"/>
      <c r="H6621" s="120"/>
      <c r="I6621" s="121"/>
      <c r="J6621" s="121"/>
      <c r="K6621" s="117"/>
    </row>
    <row r="6622" ht="15.75" customHeight="1">
      <c r="A6622" s="122"/>
      <c r="B6622" s="133"/>
      <c r="C6622" s="120"/>
      <c r="D6622" s="120"/>
      <c r="E6622" s="120"/>
      <c r="F6622" s="120"/>
      <c r="G6622" s="120"/>
      <c r="H6622" s="120"/>
      <c r="I6622" s="121"/>
      <c r="J6622" s="121"/>
      <c r="K6622" s="117"/>
    </row>
    <row r="6623" ht="15.75" customHeight="1">
      <c r="A6623" s="122"/>
      <c r="B6623" s="133"/>
      <c r="C6623" s="120"/>
      <c r="D6623" s="120"/>
      <c r="E6623" s="120"/>
      <c r="F6623" s="120"/>
      <c r="G6623" s="120"/>
      <c r="H6623" s="120"/>
      <c r="I6623" s="121"/>
      <c r="J6623" s="121"/>
      <c r="K6623" s="117"/>
    </row>
    <row r="6624" ht="15.75" customHeight="1">
      <c r="A6624" s="122"/>
      <c r="B6624" s="133"/>
      <c r="C6624" s="120"/>
      <c r="D6624" s="120"/>
      <c r="E6624" s="120"/>
      <c r="F6624" s="120"/>
      <c r="G6624" s="120"/>
      <c r="H6624" s="120"/>
      <c r="I6624" s="121"/>
      <c r="J6624" s="121"/>
      <c r="K6624" s="117"/>
    </row>
    <row r="6625" ht="15.75" customHeight="1">
      <c r="A6625" s="122"/>
      <c r="B6625" s="133"/>
      <c r="C6625" s="120"/>
      <c r="D6625" s="120"/>
      <c r="E6625" s="120"/>
      <c r="F6625" s="120"/>
      <c r="G6625" s="120"/>
      <c r="H6625" s="120"/>
      <c r="I6625" s="121"/>
      <c r="J6625" s="121"/>
      <c r="K6625" s="117"/>
    </row>
    <row r="6626" ht="15.75" customHeight="1">
      <c r="A6626" s="122"/>
      <c r="B6626" s="133"/>
      <c r="C6626" s="120"/>
      <c r="D6626" s="120"/>
      <c r="E6626" s="120"/>
      <c r="F6626" s="120"/>
      <c r="G6626" s="120"/>
      <c r="H6626" s="120"/>
      <c r="I6626" s="121"/>
      <c r="J6626" s="121"/>
      <c r="K6626" s="117"/>
    </row>
    <row r="6627" ht="15.75" customHeight="1">
      <c r="A6627" s="122"/>
      <c r="B6627" s="133"/>
      <c r="C6627" s="120"/>
      <c r="D6627" s="120"/>
      <c r="E6627" s="120"/>
      <c r="F6627" s="120"/>
      <c r="G6627" s="120"/>
      <c r="H6627" s="120"/>
      <c r="I6627" s="121"/>
      <c r="J6627" s="121"/>
      <c r="K6627" s="117"/>
    </row>
    <row r="6628" ht="15.75" customHeight="1">
      <c r="A6628" s="122"/>
      <c r="B6628" s="133"/>
      <c r="C6628" s="120"/>
      <c r="D6628" s="120"/>
      <c r="E6628" s="120"/>
      <c r="F6628" s="120"/>
      <c r="G6628" s="120"/>
      <c r="H6628" s="120"/>
      <c r="I6628" s="121"/>
      <c r="J6628" s="121"/>
      <c r="K6628" s="117"/>
    </row>
    <row r="6629" ht="15.75" customHeight="1">
      <c r="A6629" s="122"/>
      <c r="B6629" s="133"/>
      <c r="C6629" s="120"/>
      <c r="D6629" s="120"/>
      <c r="E6629" s="120"/>
      <c r="F6629" s="120"/>
      <c r="G6629" s="120"/>
      <c r="H6629" s="120"/>
      <c r="I6629" s="121"/>
      <c r="J6629" s="121"/>
      <c r="K6629" s="117"/>
    </row>
    <row r="6630" ht="15.75" customHeight="1">
      <c r="A6630" s="122"/>
      <c r="B6630" s="133"/>
      <c r="C6630" s="120"/>
      <c r="D6630" s="120"/>
      <c r="E6630" s="120"/>
      <c r="F6630" s="120"/>
      <c r="G6630" s="120"/>
      <c r="H6630" s="120"/>
      <c r="I6630" s="121"/>
      <c r="J6630" s="121"/>
      <c r="K6630" s="117"/>
    </row>
    <row r="6631" ht="15.75" customHeight="1">
      <c r="A6631" s="122"/>
      <c r="B6631" s="133"/>
      <c r="C6631" s="120"/>
      <c r="D6631" s="120"/>
      <c r="E6631" s="120"/>
      <c r="F6631" s="120"/>
      <c r="G6631" s="120"/>
      <c r="H6631" s="120"/>
      <c r="I6631" s="121"/>
      <c r="J6631" s="121"/>
      <c r="K6631" s="117"/>
    </row>
    <row r="6632" ht="15.75" customHeight="1">
      <c r="A6632" s="122"/>
      <c r="B6632" s="133"/>
      <c r="C6632" s="120"/>
      <c r="D6632" s="120"/>
      <c r="E6632" s="120"/>
      <c r="F6632" s="120"/>
      <c r="G6632" s="120"/>
      <c r="H6632" s="120"/>
      <c r="I6632" s="121"/>
      <c r="J6632" s="121"/>
      <c r="K6632" s="117"/>
    </row>
    <row r="6633" ht="15.75" customHeight="1">
      <c r="A6633" s="122"/>
      <c r="B6633" s="133"/>
      <c r="C6633" s="120"/>
      <c r="D6633" s="120"/>
      <c r="E6633" s="120"/>
      <c r="F6633" s="120"/>
      <c r="G6633" s="120"/>
      <c r="H6633" s="120"/>
      <c r="I6633" s="121"/>
      <c r="J6633" s="121"/>
      <c r="K6633" s="117"/>
    </row>
    <row r="6634" ht="15.75" customHeight="1">
      <c r="A6634" s="122"/>
      <c r="B6634" s="133"/>
      <c r="C6634" s="120"/>
      <c r="D6634" s="120"/>
      <c r="E6634" s="120"/>
      <c r="F6634" s="120"/>
      <c r="G6634" s="120"/>
      <c r="H6634" s="120"/>
      <c r="I6634" s="121"/>
      <c r="J6634" s="121"/>
      <c r="K6634" s="117"/>
    </row>
    <row r="6635" ht="15.75" customHeight="1">
      <c r="A6635" s="122"/>
      <c r="B6635" s="133"/>
      <c r="C6635" s="120"/>
      <c r="D6635" s="120"/>
      <c r="E6635" s="120"/>
      <c r="F6635" s="120"/>
      <c r="G6635" s="120"/>
      <c r="H6635" s="120"/>
      <c r="I6635" s="121"/>
      <c r="J6635" s="121"/>
      <c r="K6635" s="117"/>
    </row>
    <row r="6636" ht="15.75" customHeight="1">
      <c r="A6636" s="122"/>
      <c r="B6636" s="133"/>
      <c r="C6636" s="120"/>
      <c r="D6636" s="120"/>
      <c r="E6636" s="120"/>
      <c r="F6636" s="120"/>
      <c r="G6636" s="120"/>
      <c r="H6636" s="120"/>
      <c r="I6636" s="121"/>
      <c r="J6636" s="121"/>
      <c r="K6636" s="117"/>
    </row>
    <row r="6637" ht="15.75" customHeight="1">
      <c r="A6637" s="122"/>
      <c r="B6637" s="133"/>
      <c r="C6637" s="120"/>
      <c r="D6637" s="120"/>
      <c r="E6637" s="120"/>
      <c r="F6637" s="120"/>
      <c r="G6637" s="120"/>
      <c r="H6637" s="120"/>
      <c r="I6637" s="121"/>
      <c r="J6637" s="121"/>
      <c r="K6637" s="117"/>
    </row>
    <row r="6638" ht="15.75" customHeight="1">
      <c r="A6638" s="122"/>
      <c r="B6638" s="133"/>
      <c r="C6638" s="120"/>
      <c r="D6638" s="120"/>
      <c r="E6638" s="120"/>
      <c r="F6638" s="120"/>
      <c r="G6638" s="120"/>
      <c r="H6638" s="120"/>
      <c r="I6638" s="121"/>
      <c r="J6638" s="121"/>
      <c r="K6638" s="117"/>
    </row>
    <row r="6639" ht="15.75" customHeight="1">
      <c r="A6639" s="122"/>
      <c r="B6639" s="133"/>
      <c r="C6639" s="120"/>
      <c r="D6639" s="120"/>
      <c r="E6639" s="120"/>
      <c r="F6639" s="120"/>
      <c r="G6639" s="120"/>
      <c r="H6639" s="120"/>
      <c r="I6639" s="121"/>
      <c r="J6639" s="121"/>
      <c r="K6639" s="117"/>
    </row>
    <row r="6640" ht="15.75" customHeight="1">
      <c r="A6640" s="122"/>
      <c r="B6640" s="133"/>
      <c r="C6640" s="120"/>
      <c r="D6640" s="120"/>
      <c r="E6640" s="120"/>
      <c r="F6640" s="120"/>
      <c r="G6640" s="120"/>
      <c r="H6640" s="120"/>
      <c r="I6640" s="121"/>
      <c r="J6640" s="121"/>
      <c r="K6640" s="117"/>
    </row>
    <row r="6641" ht="15.75" customHeight="1">
      <c r="A6641" s="122"/>
      <c r="B6641" s="133"/>
      <c r="C6641" s="120"/>
      <c r="D6641" s="120"/>
      <c r="E6641" s="120"/>
      <c r="F6641" s="120"/>
      <c r="G6641" s="120"/>
      <c r="H6641" s="120"/>
      <c r="I6641" s="121"/>
      <c r="J6641" s="121"/>
      <c r="K6641" s="117"/>
    </row>
    <row r="6642" ht="15.75" customHeight="1">
      <c r="A6642" s="122"/>
      <c r="B6642" s="133"/>
      <c r="C6642" s="120"/>
      <c r="D6642" s="120"/>
      <c r="E6642" s="120"/>
      <c r="F6642" s="120"/>
      <c r="G6642" s="120"/>
      <c r="H6642" s="120"/>
      <c r="I6642" s="121"/>
      <c r="J6642" s="121"/>
      <c r="K6642" s="117"/>
    </row>
    <row r="6643" ht="15.75" customHeight="1">
      <c r="A6643" s="122"/>
      <c r="B6643" s="133"/>
      <c r="C6643" s="120"/>
      <c r="D6643" s="120"/>
      <c r="E6643" s="120"/>
      <c r="F6643" s="120"/>
      <c r="G6643" s="120"/>
      <c r="H6643" s="120"/>
      <c r="I6643" s="121"/>
      <c r="J6643" s="121"/>
      <c r="K6643" s="117"/>
    </row>
    <row r="6644" ht="15.75" customHeight="1">
      <c r="A6644" s="122"/>
      <c r="B6644" s="133"/>
      <c r="C6644" s="120"/>
      <c r="D6644" s="120"/>
      <c r="E6644" s="120"/>
      <c r="F6644" s="120"/>
      <c r="G6644" s="120"/>
      <c r="H6644" s="120"/>
      <c r="I6644" s="121"/>
      <c r="J6644" s="121"/>
      <c r="K6644" s="117"/>
    </row>
    <row r="6645" ht="15.75" customHeight="1">
      <c r="A6645" s="122"/>
      <c r="B6645" s="133"/>
      <c r="C6645" s="120"/>
      <c r="D6645" s="120"/>
      <c r="E6645" s="120"/>
      <c r="F6645" s="120"/>
      <c r="G6645" s="120"/>
      <c r="H6645" s="120"/>
      <c r="I6645" s="121"/>
      <c r="J6645" s="121"/>
      <c r="K6645" s="117"/>
    </row>
    <row r="6646" ht="15.75" customHeight="1">
      <c r="A6646" s="122"/>
      <c r="B6646" s="133"/>
      <c r="C6646" s="120"/>
      <c r="D6646" s="120"/>
      <c r="E6646" s="120"/>
      <c r="F6646" s="120"/>
      <c r="G6646" s="120"/>
      <c r="H6646" s="120"/>
      <c r="I6646" s="121"/>
      <c r="J6646" s="121"/>
      <c r="K6646" s="117"/>
    </row>
    <row r="6647" ht="15.75" customHeight="1">
      <c r="A6647" s="122"/>
      <c r="B6647" s="133"/>
      <c r="C6647" s="120"/>
      <c r="D6647" s="120"/>
      <c r="E6647" s="120"/>
      <c r="F6647" s="120"/>
      <c r="G6647" s="120"/>
      <c r="H6647" s="120"/>
      <c r="I6647" s="121"/>
      <c r="J6647" s="121"/>
      <c r="K6647" s="117"/>
    </row>
    <row r="6648" ht="15.75" customHeight="1">
      <c r="A6648" s="122"/>
      <c r="B6648" s="133"/>
      <c r="C6648" s="120"/>
      <c r="D6648" s="120"/>
      <c r="E6648" s="120"/>
      <c r="F6648" s="120"/>
      <c r="G6648" s="120"/>
      <c r="H6648" s="120"/>
      <c r="I6648" s="121"/>
      <c r="J6648" s="121"/>
      <c r="K6648" s="117"/>
    </row>
    <row r="6649" ht="15.75" customHeight="1">
      <c r="A6649" s="122"/>
      <c r="B6649" s="133"/>
      <c r="C6649" s="120"/>
      <c r="D6649" s="120"/>
      <c r="E6649" s="120"/>
      <c r="F6649" s="120"/>
      <c r="G6649" s="120"/>
      <c r="H6649" s="120"/>
      <c r="I6649" s="121"/>
      <c r="J6649" s="121"/>
      <c r="K6649" s="117"/>
    </row>
    <row r="6650" ht="15.75" customHeight="1">
      <c r="A6650" s="122"/>
      <c r="B6650" s="133"/>
      <c r="C6650" s="120"/>
      <c r="D6650" s="120"/>
      <c r="E6650" s="120"/>
      <c r="F6650" s="120"/>
      <c r="G6650" s="120"/>
      <c r="H6650" s="120"/>
      <c r="I6650" s="121"/>
      <c r="J6650" s="121"/>
      <c r="K6650" s="117"/>
    </row>
    <row r="6651" ht="15.75" customHeight="1">
      <c r="A6651" s="122"/>
      <c r="B6651" s="133"/>
      <c r="C6651" s="120"/>
      <c r="D6651" s="120"/>
      <c r="E6651" s="120"/>
      <c r="F6651" s="120"/>
      <c r="G6651" s="120"/>
      <c r="H6651" s="120"/>
      <c r="I6651" s="121"/>
      <c r="J6651" s="121"/>
      <c r="K6651" s="117"/>
    </row>
    <row r="6652" ht="15.75" customHeight="1">
      <c r="A6652" s="122"/>
      <c r="B6652" s="133"/>
      <c r="C6652" s="120"/>
      <c r="D6652" s="120"/>
      <c r="E6652" s="120"/>
      <c r="F6652" s="120"/>
      <c r="G6652" s="120"/>
      <c r="H6652" s="120"/>
      <c r="I6652" s="121"/>
      <c r="J6652" s="121"/>
      <c r="K6652" s="117"/>
    </row>
    <row r="6653" ht="15.75" customHeight="1">
      <c r="A6653" s="122"/>
      <c r="B6653" s="133"/>
      <c r="C6653" s="120"/>
      <c r="D6653" s="120"/>
      <c r="E6653" s="120"/>
      <c r="F6653" s="120"/>
      <c r="G6653" s="120"/>
      <c r="H6653" s="120"/>
      <c r="I6653" s="121"/>
      <c r="J6653" s="121"/>
      <c r="K6653" s="117"/>
    </row>
    <row r="6654" ht="15.75" customHeight="1">
      <c r="A6654" s="122"/>
      <c r="B6654" s="133"/>
      <c r="C6654" s="120"/>
      <c r="D6654" s="120"/>
      <c r="E6654" s="120"/>
      <c r="F6654" s="120"/>
      <c r="G6654" s="120"/>
      <c r="H6654" s="120"/>
      <c r="I6654" s="121"/>
      <c r="J6654" s="121"/>
      <c r="K6654" s="117"/>
    </row>
    <row r="6655" ht="15.75" customHeight="1">
      <c r="A6655" s="122"/>
      <c r="B6655" s="133"/>
      <c r="C6655" s="120"/>
      <c r="D6655" s="120"/>
      <c r="E6655" s="120"/>
      <c r="F6655" s="120"/>
      <c r="G6655" s="120"/>
      <c r="H6655" s="120"/>
      <c r="I6655" s="121"/>
      <c r="J6655" s="121"/>
      <c r="K6655" s="117"/>
    </row>
    <row r="6656" ht="15.75" customHeight="1">
      <c r="A6656" s="122"/>
      <c r="B6656" s="133"/>
      <c r="C6656" s="120"/>
      <c r="D6656" s="120"/>
      <c r="E6656" s="120"/>
      <c r="F6656" s="120"/>
      <c r="G6656" s="120"/>
      <c r="H6656" s="120"/>
      <c r="I6656" s="121"/>
      <c r="J6656" s="121"/>
      <c r="K6656" s="117"/>
    </row>
    <row r="6657" ht="15.75" customHeight="1">
      <c r="A6657" s="122"/>
      <c r="B6657" s="133"/>
      <c r="C6657" s="120"/>
      <c r="D6657" s="120"/>
      <c r="E6657" s="120"/>
      <c r="F6657" s="120"/>
      <c r="G6657" s="120"/>
      <c r="H6657" s="120"/>
      <c r="I6657" s="121"/>
      <c r="J6657" s="121"/>
      <c r="K6657" s="117"/>
    </row>
    <row r="6658" ht="15.75" customHeight="1">
      <c r="A6658" s="122"/>
      <c r="B6658" s="133"/>
      <c r="C6658" s="120"/>
      <c r="D6658" s="120"/>
      <c r="E6658" s="120"/>
      <c r="F6658" s="120"/>
      <c r="G6658" s="120"/>
      <c r="H6658" s="120"/>
      <c r="I6658" s="121"/>
      <c r="J6658" s="121"/>
      <c r="K6658" s="117"/>
    </row>
    <row r="6659" ht="15.75" customHeight="1">
      <c r="A6659" s="122"/>
      <c r="B6659" s="133"/>
      <c r="C6659" s="120"/>
      <c r="D6659" s="120"/>
      <c r="E6659" s="120"/>
      <c r="F6659" s="120"/>
      <c r="G6659" s="120"/>
      <c r="H6659" s="120"/>
      <c r="I6659" s="121"/>
      <c r="J6659" s="121"/>
      <c r="K6659" s="117"/>
    </row>
    <row r="6660" ht="15.75" customHeight="1">
      <c r="A6660" s="122"/>
      <c r="B6660" s="133"/>
      <c r="C6660" s="120"/>
      <c r="D6660" s="120"/>
      <c r="E6660" s="120"/>
      <c r="F6660" s="120"/>
      <c r="G6660" s="120"/>
      <c r="H6660" s="120"/>
      <c r="I6660" s="121"/>
      <c r="J6660" s="121"/>
      <c r="K6660" s="117"/>
    </row>
    <row r="6661" ht="15.75" customHeight="1">
      <c r="A6661" s="122"/>
      <c r="B6661" s="133"/>
      <c r="C6661" s="120"/>
      <c r="D6661" s="120"/>
      <c r="E6661" s="120"/>
      <c r="F6661" s="120"/>
      <c r="G6661" s="120"/>
      <c r="H6661" s="120"/>
      <c r="I6661" s="121"/>
      <c r="J6661" s="121"/>
      <c r="K6661" s="117"/>
    </row>
    <row r="6662" ht="15.75" customHeight="1">
      <c r="A6662" s="122"/>
      <c r="B6662" s="133"/>
      <c r="C6662" s="120"/>
      <c r="D6662" s="120"/>
      <c r="E6662" s="120"/>
      <c r="F6662" s="120"/>
      <c r="G6662" s="120"/>
      <c r="H6662" s="120"/>
      <c r="I6662" s="121"/>
      <c r="J6662" s="121"/>
      <c r="K6662" s="117"/>
    </row>
    <row r="6663" ht="15.75" customHeight="1">
      <c r="A6663" s="122"/>
      <c r="B6663" s="133"/>
      <c r="C6663" s="120"/>
      <c r="D6663" s="120"/>
      <c r="E6663" s="120"/>
      <c r="F6663" s="120"/>
      <c r="G6663" s="120"/>
      <c r="H6663" s="120"/>
      <c r="I6663" s="121"/>
      <c r="J6663" s="121"/>
      <c r="K6663" s="117"/>
    </row>
    <row r="6664" ht="15.75" customHeight="1">
      <c r="A6664" s="122"/>
      <c r="B6664" s="133"/>
      <c r="C6664" s="120"/>
      <c r="D6664" s="120"/>
      <c r="E6664" s="120"/>
      <c r="F6664" s="120"/>
      <c r="G6664" s="120"/>
      <c r="H6664" s="120"/>
      <c r="I6664" s="121"/>
      <c r="J6664" s="121"/>
      <c r="K6664" s="117"/>
    </row>
    <row r="6665" ht="15.75" customHeight="1">
      <c r="A6665" s="122"/>
      <c r="B6665" s="133"/>
      <c r="C6665" s="120"/>
      <c r="D6665" s="120"/>
      <c r="E6665" s="120"/>
      <c r="F6665" s="120"/>
      <c r="G6665" s="120"/>
      <c r="H6665" s="120"/>
      <c r="I6665" s="121"/>
      <c r="J6665" s="121"/>
      <c r="K6665" s="117"/>
    </row>
    <row r="6666" ht="15.75" customHeight="1">
      <c r="A6666" s="122"/>
      <c r="B6666" s="133"/>
      <c r="C6666" s="120"/>
      <c r="D6666" s="120"/>
      <c r="E6666" s="120"/>
      <c r="F6666" s="120"/>
      <c r="G6666" s="120"/>
      <c r="H6666" s="120"/>
      <c r="I6666" s="121"/>
      <c r="J6666" s="121"/>
      <c r="K6666" s="117"/>
    </row>
    <row r="6667" ht="15.75" customHeight="1">
      <c r="A6667" s="122"/>
      <c r="B6667" s="133"/>
      <c r="C6667" s="120"/>
      <c r="D6667" s="120"/>
      <c r="E6667" s="120"/>
      <c r="F6667" s="120"/>
      <c r="G6667" s="120"/>
      <c r="H6667" s="120"/>
      <c r="I6667" s="121"/>
      <c r="J6667" s="121"/>
      <c r="K6667" s="117"/>
    </row>
    <row r="6668" ht="15.75" customHeight="1">
      <c r="A6668" s="122"/>
      <c r="B6668" s="133"/>
      <c r="C6668" s="120"/>
      <c r="D6668" s="120"/>
      <c r="E6668" s="120"/>
      <c r="F6668" s="120"/>
      <c r="G6668" s="120"/>
      <c r="H6668" s="120"/>
      <c r="I6668" s="121"/>
      <c r="J6668" s="121"/>
      <c r="K6668" s="117"/>
    </row>
    <row r="6669" ht="15.75" customHeight="1">
      <c r="A6669" s="122"/>
      <c r="B6669" s="133"/>
      <c r="C6669" s="120"/>
      <c r="D6669" s="120"/>
      <c r="E6669" s="120"/>
      <c r="F6669" s="120"/>
      <c r="G6669" s="120"/>
      <c r="H6669" s="120"/>
      <c r="I6669" s="121"/>
      <c r="J6669" s="121"/>
      <c r="K6669" s="117"/>
    </row>
    <row r="6670" ht="15.75" customHeight="1">
      <c r="A6670" s="122"/>
      <c r="B6670" s="133"/>
      <c r="C6670" s="120"/>
      <c r="D6670" s="120"/>
      <c r="E6670" s="120"/>
      <c r="F6670" s="120"/>
      <c r="G6670" s="120"/>
      <c r="H6670" s="120"/>
      <c r="I6670" s="121"/>
      <c r="J6670" s="121"/>
      <c r="K6670" s="117"/>
    </row>
    <row r="6671" ht="15.75" customHeight="1">
      <c r="A6671" s="122"/>
      <c r="B6671" s="133"/>
      <c r="C6671" s="120"/>
      <c r="D6671" s="120"/>
      <c r="E6671" s="120"/>
      <c r="F6671" s="120"/>
      <c r="G6671" s="120"/>
      <c r="H6671" s="120"/>
      <c r="I6671" s="121"/>
      <c r="J6671" s="121"/>
      <c r="K6671" s="117"/>
    </row>
    <row r="6672" ht="15.75" customHeight="1">
      <c r="A6672" s="122"/>
      <c r="B6672" s="133"/>
      <c r="C6672" s="120"/>
      <c r="D6672" s="120"/>
      <c r="E6672" s="120"/>
      <c r="F6672" s="120"/>
      <c r="G6672" s="120"/>
      <c r="H6672" s="120"/>
      <c r="I6672" s="121"/>
      <c r="J6672" s="121"/>
      <c r="K6672" s="117"/>
    </row>
    <row r="6673" ht="15.75" customHeight="1">
      <c r="A6673" s="122"/>
      <c r="B6673" s="133"/>
      <c r="C6673" s="120"/>
      <c r="D6673" s="120"/>
      <c r="E6673" s="120"/>
      <c r="F6673" s="120"/>
      <c r="G6673" s="120"/>
      <c r="H6673" s="120"/>
      <c r="I6673" s="121"/>
      <c r="J6673" s="121"/>
      <c r="K6673" s="117"/>
    </row>
    <row r="6674" ht="15.75" customHeight="1">
      <c r="A6674" s="122"/>
      <c r="B6674" s="133"/>
      <c r="C6674" s="120"/>
      <c r="D6674" s="120"/>
      <c r="E6674" s="120"/>
      <c r="F6674" s="120"/>
      <c r="G6674" s="120"/>
      <c r="H6674" s="120"/>
      <c r="I6674" s="121"/>
      <c r="J6674" s="121"/>
      <c r="K6674" s="117"/>
    </row>
    <row r="6675" ht="15.75" customHeight="1">
      <c r="A6675" s="122"/>
      <c r="B6675" s="133"/>
      <c r="C6675" s="120"/>
      <c r="D6675" s="120"/>
      <c r="E6675" s="120"/>
      <c r="F6675" s="120"/>
      <c r="G6675" s="120"/>
      <c r="H6675" s="120"/>
      <c r="I6675" s="121"/>
      <c r="J6675" s="121"/>
      <c r="K6675" s="117"/>
    </row>
    <row r="6676" ht="15.75" customHeight="1">
      <c r="A6676" s="122"/>
      <c r="B6676" s="133"/>
      <c r="C6676" s="120"/>
      <c r="D6676" s="120"/>
      <c r="E6676" s="120"/>
      <c r="F6676" s="120"/>
      <c r="G6676" s="120"/>
      <c r="H6676" s="120"/>
      <c r="I6676" s="121"/>
      <c r="J6676" s="121"/>
      <c r="K6676" s="117"/>
    </row>
    <row r="6677" ht="15.75" customHeight="1">
      <c r="A6677" s="122"/>
      <c r="B6677" s="133"/>
      <c r="C6677" s="120"/>
      <c r="D6677" s="120"/>
      <c r="E6677" s="120"/>
      <c r="F6677" s="120"/>
      <c r="G6677" s="120"/>
      <c r="H6677" s="120"/>
      <c r="I6677" s="121"/>
      <c r="J6677" s="121"/>
      <c r="K6677" s="117"/>
    </row>
    <row r="6678" ht="15.75" customHeight="1">
      <c r="A6678" s="122"/>
      <c r="B6678" s="133"/>
      <c r="C6678" s="120"/>
      <c r="D6678" s="120"/>
      <c r="E6678" s="120"/>
      <c r="F6678" s="120"/>
      <c r="G6678" s="120"/>
      <c r="H6678" s="120"/>
      <c r="I6678" s="121"/>
      <c r="J6678" s="121"/>
      <c r="K6678" s="117"/>
    </row>
    <row r="6679" ht="15.75" customHeight="1">
      <c r="A6679" s="122"/>
      <c r="B6679" s="133"/>
      <c r="C6679" s="120"/>
      <c r="D6679" s="120"/>
      <c r="E6679" s="120"/>
      <c r="F6679" s="120"/>
      <c r="G6679" s="120"/>
      <c r="H6679" s="120"/>
      <c r="I6679" s="121"/>
      <c r="J6679" s="121"/>
      <c r="K6679" s="117"/>
    </row>
    <row r="6680" ht="15.75" customHeight="1">
      <c r="A6680" s="122"/>
      <c r="B6680" s="133"/>
      <c r="C6680" s="120"/>
      <c r="D6680" s="120"/>
      <c r="E6680" s="120"/>
      <c r="F6680" s="120"/>
      <c r="G6680" s="120"/>
      <c r="H6680" s="120"/>
      <c r="I6680" s="121"/>
      <c r="J6680" s="121"/>
      <c r="K6680" s="117"/>
    </row>
    <row r="6681" ht="15.75" customHeight="1">
      <c r="A6681" s="122"/>
      <c r="B6681" s="133"/>
      <c r="C6681" s="120"/>
      <c r="D6681" s="120"/>
      <c r="E6681" s="120"/>
      <c r="F6681" s="120"/>
      <c r="G6681" s="120"/>
      <c r="H6681" s="120"/>
      <c r="I6681" s="121"/>
      <c r="J6681" s="121"/>
      <c r="K6681" s="117"/>
    </row>
    <row r="6682" ht="15.75" customHeight="1">
      <c r="A6682" s="122"/>
      <c r="B6682" s="133"/>
      <c r="C6682" s="120"/>
      <c r="D6682" s="120"/>
      <c r="E6682" s="120"/>
      <c r="F6682" s="120"/>
      <c r="G6682" s="120"/>
      <c r="H6682" s="120"/>
      <c r="I6682" s="121"/>
      <c r="J6682" s="121"/>
      <c r="K6682" s="117"/>
    </row>
    <row r="6683" ht="15.75" customHeight="1">
      <c r="A6683" s="122"/>
      <c r="B6683" s="133"/>
      <c r="C6683" s="120"/>
      <c r="D6683" s="120"/>
      <c r="E6683" s="120"/>
      <c r="F6683" s="120"/>
      <c r="G6683" s="120"/>
      <c r="H6683" s="120"/>
      <c r="I6683" s="121"/>
      <c r="J6683" s="121"/>
      <c r="K6683" s="117"/>
    </row>
    <row r="6684" ht="15.75" customHeight="1">
      <c r="A6684" s="122"/>
      <c r="B6684" s="133"/>
      <c r="C6684" s="120"/>
      <c r="D6684" s="120"/>
      <c r="E6684" s="120"/>
      <c r="F6684" s="120"/>
      <c r="G6684" s="120"/>
      <c r="H6684" s="120"/>
      <c r="I6684" s="121"/>
      <c r="J6684" s="121"/>
      <c r="K6684" s="117"/>
    </row>
    <row r="6685" ht="15.75" customHeight="1">
      <c r="A6685" s="122"/>
      <c r="B6685" s="133"/>
      <c r="C6685" s="120"/>
      <c r="D6685" s="120"/>
      <c r="E6685" s="120"/>
      <c r="F6685" s="120"/>
      <c r="G6685" s="120"/>
      <c r="H6685" s="120"/>
      <c r="I6685" s="121"/>
      <c r="J6685" s="121"/>
      <c r="K6685" s="117"/>
    </row>
    <row r="6686" ht="15.75" customHeight="1">
      <c r="A6686" s="122"/>
      <c r="B6686" s="133"/>
      <c r="C6686" s="120"/>
      <c r="D6686" s="120"/>
      <c r="E6686" s="120"/>
      <c r="F6686" s="120"/>
      <c r="G6686" s="120"/>
      <c r="H6686" s="120"/>
      <c r="I6686" s="121"/>
      <c r="J6686" s="121"/>
      <c r="K6686" s="117"/>
    </row>
    <row r="6687" ht="15.75" customHeight="1">
      <c r="A6687" s="122"/>
      <c r="B6687" s="133"/>
      <c r="C6687" s="120"/>
      <c r="D6687" s="120"/>
      <c r="E6687" s="120"/>
      <c r="F6687" s="120"/>
      <c r="G6687" s="120"/>
      <c r="H6687" s="120"/>
      <c r="I6687" s="121"/>
      <c r="J6687" s="121"/>
      <c r="K6687" s="117"/>
    </row>
    <row r="6688" ht="15.75" customHeight="1">
      <c r="A6688" s="122"/>
      <c r="B6688" s="133"/>
      <c r="C6688" s="120"/>
      <c r="D6688" s="120"/>
      <c r="E6688" s="120"/>
      <c r="F6688" s="120"/>
      <c r="G6688" s="120"/>
      <c r="H6688" s="120"/>
      <c r="I6688" s="121"/>
      <c r="J6688" s="121"/>
      <c r="K6688" s="117"/>
    </row>
    <row r="6689" ht="15.75" customHeight="1">
      <c r="A6689" s="122"/>
      <c r="B6689" s="133"/>
      <c r="C6689" s="120"/>
      <c r="D6689" s="120"/>
      <c r="E6689" s="120"/>
      <c r="F6689" s="120"/>
      <c r="G6689" s="120"/>
      <c r="H6689" s="120"/>
      <c r="I6689" s="121"/>
      <c r="J6689" s="121"/>
      <c r="K6689" s="117"/>
    </row>
    <row r="6690" ht="15.75" customHeight="1">
      <c r="A6690" s="122"/>
      <c r="B6690" s="133"/>
      <c r="C6690" s="120"/>
      <c r="D6690" s="120"/>
      <c r="E6690" s="120"/>
      <c r="F6690" s="120"/>
      <c r="G6690" s="120"/>
      <c r="H6690" s="120"/>
      <c r="I6690" s="121"/>
      <c r="J6690" s="121"/>
      <c r="K6690" s="117"/>
    </row>
    <row r="6691" ht="15.75" customHeight="1">
      <c r="A6691" s="122"/>
      <c r="B6691" s="133"/>
      <c r="C6691" s="120"/>
      <c r="D6691" s="120"/>
      <c r="E6691" s="120"/>
      <c r="F6691" s="120"/>
      <c r="G6691" s="120"/>
      <c r="H6691" s="120"/>
      <c r="I6691" s="121"/>
      <c r="J6691" s="121"/>
      <c r="K6691" s="117"/>
    </row>
    <row r="6692" ht="15.75" customHeight="1">
      <c r="A6692" s="122"/>
      <c r="B6692" s="133"/>
      <c r="C6692" s="120"/>
      <c r="D6692" s="120"/>
      <c r="E6692" s="120"/>
      <c r="F6692" s="120"/>
      <c r="G6692" s="120"/>
      <c r="H6692" s="120"/>
      <c r="I6692" s="121"/>
      <c r="J6692" s="121"/>
      <c r="K6692" s="117"/>
    </row>
    <row r="6693" ht="15.75" customHeight="1">
      <c r="A6693" s="122"/>
      <c r="B6693" s="133"/>
      <c r="C6693" s="120"/>
      <c r="D6693" s="120"/>
      <c r="E6693" s="120"/>
      <c r="F6693" s="120"/>
      <c r="G6693" s="120"/>
      <c r="H6693" s="120"/>
      <c r="I6693" s="121"/>
      <c r="J6693" s="121"/>
      <c r="K6693" s="117"/>
    </row>
    <row r="6694" ht="15.75" customHeight="1">
      <c r="A6694" s="122"/>
      <c r="B6694" s="133"/>
      <c r="C6694" s="120"/>
      <c r="D6694" s="120"/>
      <c r="E6694" s="120"/>
      <c r="F6694" s="120"/>
      <c r="G6694" s="120"/>
      <c r="H6694" s="120"/>
      <c r="I6694" s="121"/>
      <c r="J6694" s="121"/>
      <c r="K6694" s="117"/>
    </row>
    <row r="6695" ht="15.75" customHeight="1">
      <c r="A6695" s="122"/>
      <c r="B6695" s="133"/>
      <c r="C6695" s="120"/>
      <c r="D6695" s="120"/>
      <c r="E6695" s="120"/>
      <c r="F6695" s="120"/>
      <c r="G6695" s="120"/>
      <c r="H6695" s="120"/>
      <c r="I6695" s="121"/>
      <c r="J6695" s="121"/>
      <c r="K6695" s="117"/>
    </row>
    <row r="6696" ht="15.75" customHeight="1">
      <c r="A6696" s="122"/>
      <c r="B6696" s="133"/>
      <c r="C6696" s="120"/>
      <c r="D6696" s="120"/>
      <c r="E6696" s="120"/>
      <c r="F6696" s="120"/>
      <c r="G6696" s="120"/>
      <c r="H6696" s="120"/>
      <c r="I6696" s="121"/>
      <c r="J6696" s="121"/>
      <c r="K6696" s="117"/>
    </row>
    <row r="6697" ht="15.75" customHeight="1">
      <c r="A6697" s="122"/>
      <c r="B6697" s="133"/>
      <c r="C6697" s="120"/>
      <c r="D6697" s="120"/>
      <c r="E6697" s="120"/>
      <c r="F6697" s="120"/>
      <c r="G6697" s="120"/>
      <c r="H6697" s="120"/>
      <c r="I6697" s="121"/>
      <c r="J6697" s="121"/>
      <c r="K6697" s="117"/>
    </row>
    <row r="6698" ht="15.75" customHeight="1">
      <c r="A6698" s="122"/>
      <c r="B6698" s="133"/>
      <c r="C6698" s="120"/>
      <c r="D6698" s="120"/>
      <c r="E6698" s="120"/>
      <c r="F6698" s="120"/>
      <c r="G6698" s="120"/>
      <c r="H6698" s="120"/>
      <c r="I6698" s="121"/>
      <c r="J6698" s="121"/>
      <c r="K6698" s="117"/>
    </row>
    <row r="6699" ht="15.75" customHeight="1">
      <c r="A6699" s="122"/>
      <c r="B6699" s="133"/>
      <c r="C6699" s="120"/>
      <c r="D6699" s="120"/>
      <c r="E6699" s="120"/>
      <c r="F6699" s="120"/>
      <c r="G6699" s="120"/>
      <c r="H6699" s="120"/>
      <c r="I6699" s="121"/>
      <c r="J6699" s="121"/>
      <c r="K6699" s="117"/>
    </row>
    <row r="6700" ht="15.75" customHeight="1">
      <c r="A6700" s="122"/>
      <c r="B6700" s="133"/>
      <c r="C6700" s="120"/>
      <c r="D6700" s="120"/>
      <c r="E6700" s="120"/>
      <c r="F6700" s="120"/>
      <c r="G6700" s="120"/>
      <c r="H6700" s="120"/>
      <c r="I6700" s="121"/>
      <c r="J6700" s="121"/>
      <c r="K6700" s="117"/>
    </row>
    <row r="6701" ht="15.75" customHeight="1">
      <c r="A6701" s="122"/>
      <c r="B6701" s="133"/>
      <c r="C6701" s="120"/>
      <c r="D6701" s="120"/>
      <c r="E6701" s="120"/>
      <c r="F6701" s="120"/>
      <c r="G6701" s="120"/>
      <c r="H6701" s="120"/>
      <c r="I6701" s="121"/>
      <c r="J6701" s="121"/>
      <c r="K6701" s="117"/>
    </row>
    <row r="6702" ht="15.75" customHeight="1">
      <c r="A6702" s="122"/>
      <c r="B6702" s="133"/>
      <c r="C6702" s="120"/>
      <c r="D6702" s="120"/>
      <c r="E6702" s="120"/>
      <c r="F6702" s="120"/>
      <c r="G6702" s="120"/>
      <c r="H6702" s="120"/>
      <c r="I6702" s="121"/>
      <c r="J6702" s="121"/>
      <c r="K6702" s="117"/>
    </row>
    <row r="6703" ht="15.75" customHeight="1">
      <c r="A6703" s="122"/>
      <c r="B6703" s="133"/>
      <c r="C6703" s="120"/>
      <c r="D6703" s="120"/>
      <c r="E6703" s="120"/>
      <c r="F6703" s="120"/>
      <c r="G6703" s="120"/>
      <c r="H6703" s="120"/>
      <c r="I6703" s="121"/>
      <c r="J6703" s="121"/>
      <c r="K6703" s="117"/>
    </row>
    <row r="6704" ht="15.75" customHeight="1">
      <c r="A6704" s="122"/>
      <c r="B6704" s="133"/>
      <c r="C6704" s="120"/>
      <c r="D6704" s="120"/>
      <c r="E6704" s="120"/>
      <c r="F6704" s="120"/>
      <c r="G6704" s="120"/>
      <c r="H6704" s="120"/>
      <c r="I6704" s="121"/>
      <c r="J6704" s="121"/>
      <c r="K6704" s="117"/>
    </row>
    <row r="6705" ht="15.75" customHeight="1">
      <c r="A6705" s="122"/>
      <c r="B6705" s="133"/>
      <c r="C6705" s="120"/>
      <c r="D6705" s="120"/>
      <c r="E6705" s="120"/>
      <c r="F6705" s="120"/>
      <c r="G6705" s="120"/>
      <c r="H6705" s="120"/>
      <c r="I6705" s="121"/>
      <c r="J6705" s="121"/>
      <c r="K6705" s="117"/>
    </row>
    <row r="6706" ht="15.75" customHeight="1">
      <c r="A6706" s="122"/>
      <c r="B6706" s="133"/>
      <c r="C6706" s="120"/>
      <c r="D6706" s="120"/>
      <c r="E6706" s="120"/>
      <c r="F6706" s="120"/>
      <c r="G6706" s="120"/>
      <c r="H6706" s="120"/>
      <c r="I6706" s="121"/>
      <c r="J6706" s="121"/>
      <c r="K6706" s="117"/>
    </row>
    <row r="6707" ht="15.75" customHeight="1">
      <c r="A6707" s="122"/>
      <c r="B6707" s="133"/>
      <c r="C6707" s="120"/>
      <c r="D6707" s="120"/>
      <c r="E6707" s="120"/>
      <c r="F6707" s="120"/>
      <c r="G6707" s="120"/>
      <c r="H6707" s="120"/>
      <c r="I6707" s="121"/>
      <c r="J6707" s="121"/>
      <c r="K6707" s="117"/>
    </row>
    <row r="6708" ht="15.75" customHeight="1">
      <c r="A6708" s="122"/>
      <c r="B6708" s="133"/>
      <c r="C6708" s="120"/>
      <c r="D6708" s="120"/>
      <c r="E6708" s="120"/>
      <c r="F6708" s="120"/>
      <c r="G6708" s="120"/>
      <c r="H6708" s="120"/>
      <c r="I6708" s="121"/>
      <c r="J6708" s="121"/>
      <c r="K6708" s="117"/>
    </row>
    <row r="6709" ht="15.75" customHeight="1">
      <c r="A6709" s="122"/>
      <c r="B6709" s="133"/>
      <c r="C6709" s="120"/>
      <c r="D6709" s="120"/>
      <c r="E6709" s="120"/>
      <c r="F6709" s="120"/>
      <c r="G6709" s="120"/>
      <c r="H6709" s="120"/>
      <c r="I6709" s="121"/>
      <c r="J6709" s="121"/>
      <c r="K6709" s="117"/>
    </row>
    <row r="6710" ht="15.75" customHeight="1">
      <c r="A6710" s="122"/>
      <c r="B6710" s="133"/>
      <c r="C6710" s="120"/>
      <c r="D6710" s="120"/>
      <c r="E6710" s="120"/>
      <c r="F6710" s="120"/>
      <c r="G6710" s="120"/>
      <c r="H6710" s="120"/>
      <c r="I6710" s="121"/>
      <c r="J6710" s="121"/>
      <c r="K6710" s="117"/>
    </row>
    <row r="6711" ht="15.75" customHeight="1">
      <c r="A6711" s="122"/>
      <c r="B6711" s="133"/>
      <c r="C6711" s="120"/>
      <c r="D6711" s="120"/>
      <c r="E6711" s="120"/>
      <c r="F6711" s="120"/>
      <c r="G6711" s="120"/>
      <c r="H6711" s="120"/>
      <c r="I6711" s="121"/>
      <c r="J6711" s="121"/>
      <c r="K6711" s="117"/>
    </row>
    <row r="6712" ht="15.75" customHeight="1">
      <c r="A6712" s="122"/>
      <c r="B6712" s="133"/>
      <c r="C6712" s="120"/>
      <c r="D6712" s="120"/>
      <c r="E6712" s="120"/>
      <c r="F6712" s="120"/>
      <c r="G6712" s="120"/>
      <c r="H6712" s="120"/>
      <c r="I6712" s="121"/>
      <c r="J6712" s="121"/>
      <c r="K6712" s="117"/>
    </row>
    <row r="6713" ht="15.75" customHeight="1">
      <c r="A6713" s="122"/>
      <c r="B6713" s="133"/>
      <c r="C6713" s="120"/>
      <c r="D6713" s="120"/>
      <c r="E6713" s="120"/>
      <c r="F6713" s="120"/>
      <c r="G6713" s="120"/>
      <c r="H6713" s="120"/>
      <c r="I6713" s="121"/>
      <c r="J6713" s="121"/>
      <c r="K6713" s="117"/>
    </row>
    <row r="6714" ht="15.75" customHeight="1">
      <c r="A6714" s="122"/>
      <c r="B6714" s="133"/>
      <c r="C6714" s="120"/>
      <c r="D6714" s="120"/>
      <c r="E6714" s="120"/>
      <c r="F6714" s="120"/>
      <c r="G6714" s="120"/>
      <c r="H6714" s="120"/>
      <c r="I6714" s="121"/>
      <c r="J6714" s="121"/>
      <c r="K6714" s="117"/>
    </row>
    <row r="6715" ht="15.75" customHeight="1">
      <c r="A6715" s="122"/>
      <c r="B6715" s="133"/>
      <c r="C6715" s="120"/>
      <c r="D6715" s="120"/>
      <c r="E6715" s="120"/>
      <c r="F6715" s="120"/>
      <c r="G6715" s="120"/>
      <c r="H6715" s="120"/>
      <c r="I6715" s="121"/>
      <c r="J6715" s="121"/>
      <c r="K6715" s="117"/>
    </row>
    <row r="6716" ht="15.75" customHeight="1">
      <c r="A6716" s="122"/>
      <c r="B6716" s="133"/>
      <c r="C6716" s="120"/>
      <c r="D6716" s="120"/>
      <c r="E6716" s="120"/>
      <c r="F6716" s="120"/>
      <c r="G6716" s="120"/>
      <c r="H6716" s="120"/>
      <c r="I6716" s="121"/>
      <c r="J6716" s="121"/>
      <c r="K6716" s="117"/>
    </row>
    <row r="6717" ht="15.75" customHeight="1">
      <c r="A6717" s="122"/>
      <c r="B6717" s="133"/>
      <c r="C6717" s="120"/>
      <c r="D6717" s="120"/>
      <c r="E6717" s="120"/>
      <c r="F6717" s="120"/>
      <c r="G6717" s="120"/>
      <c r="H6717" s="120"/>
      <c r="I6717" s="121"/>
      <c r="J6717" s="121"/>
      <c r="K6717" s="117"/>
    </row>
    <row r="6718" ht="15.75" customHeight="1">
      <c r="A6718" s="122"/>
      <c r="B6718" s="133"/>
      <c r="C6718" s="120"/>
      <c r="D6718" s="120"/>
      <c r="E6718" s="120"/>
      <c r="F6718" s="120"/>
      <c r="G6718" s="120"/>
      <c r="H6718" s="120"/>
      <c r="I6718" s="121"/>
      <c r="J6718" s="121"/>
      <c r="K6718" s="117"/>
    </row>
    <row r="6719" ht="15.75" customHeight="1">
      <c r="A6719" s="122"/>
      <c r="B6719" s="133"/>
      <c r="C6719" s="120"/>
      <c r="D6719" s="120"/>
      <c r="E6719" s="120"/>
      <c r="F6719" s="120"/>
      <c r="G6719" s="120"/>
      <c r="H6719" s="120"/>
      <c r="I6719" s="121"/>
      <c r="J6719" s="121"/>
      <c r="K6719" s="117"/>
    </row>
    <row r="6720" ht="15.75" customHeight="1">
      <c r="A6720" s="122"/>
      <c r="B6720" s="133"/>
      <c r="C6720" s="120"/>
      <c r="D6720" s="120"/>
      <c r="E6720" s="120"/>
      <c r="F6720" s="120"/>
      <c r="G6720" s="120"/>
      <c r="H6720" s="120"/>
      <c r="I6720" s="121"/>
      <c r="J6720" s="121"/>
      <c r="K6720" s="117"/>
    </row>
    <row r="6721" ht="15.75" customHeight="1">
      <c r="A6721" s="122"/>
      <c r="B6721" s="133"/>
      <c r="C6721" s="120"/>
      <c r="D6721" s="120"/>
      <c r="E6721" s="120"/>
      <c r="F6721" s="120"/>
      <c r="G6721" s="120"/>
      <c r="H6721" s="120"/>
      <c r="I6721" s="121"/>
      <c r="J6721" s="121"/>
      <c r="K6721" s="117"/>
    </row>
    <row r="6722" ht="15.75" customHeight="1">
      <c r="A6722" s="122"/>
      <c r="B6722" s="133"/>
      <c r="C6722" s="120"/>
      <c r="D6722" s="120"/>
      <c r="E6722" s="120"/>
      <c r="F6722" s="120"/>
      <c r="G6722" s="120"/>
      <c r="H6722" s="120"/>
      <c r="I6722" s="121"/>
      <c r="J6722" s="121"/>
      <c r="K6722" s="117"/>
    </row>
    <row r="6723" ht="15.75" customHeight="1">
      <c r="A6723" s="122"/>
      <c r="B6723" s="133"/>
      <c r="C6723" s="120"/>
      <c r="D6723" s="120"/>
      <c r="E6723" s="120"/>
      <c r="F6723" s="120"/>
      <c r="G6723" s="120"/>
      <c r="H6723" s="120"/>
      <c r="I6723" s="121"/>
      <c r="J6723" s="121"/>
      <c r="K6723" s="117"/>
    </row>
    <row r="6724" ht="15.75" customHeight="1">
      <c r="A6724" s="122"/>
      <c r="B6724" s="133"/>
      <c r="C6724" s="120"/>
      <c r="D6724" s="120"/>
      <c r="E6724" s="120"/>
      <c r="F6724" s="120"/>
      <c r="G6724" s="120"/>
      <c r="H6724" s="120"/>
      <c r="I6724" s="121"/>
      <c r="J6724" s="121"/>
      <c r="K6724" s="117"/>
    </row>
    <row r="6725" ht="15.75" customHeight="1">
      <c r="A6725" s="122"/>
      <c r="B6725" s="133"/>
      <c r="C6725" s="120"/>
      <c r="D6725" s="120"/>
      <c r="E6725" s="120"/>
      <c r="F6725" s="120"/>
      <c r="G6725" s="120"/>
      <c r="H6725" s="120"/>
      <c r="I6725" s="121"/>
      <c r="J6725" s="121"/>
      <c r="K6725" s="117"/>
    </row>
    <row r="6726" ht="15.75" customHeight="1">
      <c r="A6726" s="122"/>
      <c r="B6726" s="133"/>
      <c r="C6726" s="120"/>
      <c r="D6726" s="120"/>
      <c r="E6726" s="120"/>
      <c r="F6726" s="120"/>
      <c r="G6726" s="120"/>
      <c r="H6726" s="120"/>
      <c r="I6726" s="121"/>
      <c r="J6726" s="121"/>
      <c r="K6726" s="117"/>
    </row>
    <row r="6727" ht="15.75" customHeight="1">
      <c r="A6727" s="122"/>
      <c r="B6727" s="133"/>
      <c r="C6727" s="120"/>
      <c r="D6727" s="120"/>
      <c r="E6727" s="120"/>
      <c r="F6727" s="120"/>
      <c r="G6727" s="120"/>
      <c r="H6727" s="120"/>
      <c r="I6727" s="121"/>
      <c r="J6727" s="121"/>
      <c r="K6727" s="117"/>
    </row>
    <row r="6728" ht="15.75" customHeight="1">
      <c r="A6728" s="122"/>
      <c r="B6728" s="133"/>
      <c r="C6728" s="120"/>
      <c r="D6728" s="120"/>
      <c r="E6728" s="120"/>
      <c r="F6728" s="120"/>
      <c r="G6728" s="120"/>
      <c r="H6728" s="120"/>
      <c r="I6728" s="121"/>
      <c r="J6728" s="121"/>
      <c r="K6728" s="117"/>
    </row>
    <row r="6729" ht="15.75" customHeight="1">
      <c r="A6729" s="122"/>
      <c r="B6729" s="133"/>
      <c r="C6729" s="120"/>
      <c r="D6729" s="120"/>
      <c r="E6729" s="120"/>
      <c r="F6729" s="120"/>
      <c r="G6729" s="120"/>
      <c r="H6729" s="120"/>
      <c r="I6729" s="121"/>
      <c r="J6729" s="121"/>
      <c r="K6729" s="117"/>
    </row>
    <row r="6730" ht="15.75" customHeight="1">
      <c r="A6730" s="122"/>
      <c r="B6730" s="133"/>
      <c r="C6730" s="120"/>
      <c r="D6730" s="120"/>
      <c r="E6730" s="120"/>
      <c r="F6730" s="120"/>
      <c r="G6730" s="120"/>
      <c r="H6730" s="120"/>
      <c r="I6730" s="121"/>
      <c r="J6730" s="121"/>
      <c r="K6730" s="117"/>
    </row>
    <row r="6731" ht="15.75" customHeight="1">
      <c r="A6731" s="122"/>
      <c r="B6731" s="133"/>
      <c r="C6731" s="120"/>
      <c r="D6731" s="120"/>
      <c r="E6731" s="120"/>
      <c r="F6731" s="120"/>
      <c r="G6731" s="120"/>
      <c r="H6731" s="120"/>
      <c r="I6731" s="121"/>
      <c r="J6731" s="121"/>
      <c r="K6731" s="117"/>
    </row>
    <row r="6732" ht="15.75" customHeight="1">
      <c r="A6732" s="122"/>
      <c r="B6732" s="133"/>
      <c r="C6732" s="120"/>
      <c r="D6732" s="120"/>
      <c r="E6732" s="120"/>
      <c r="F6732" s="120"/>
      <c r="G6732" s="120"/>
      <c r="H6732" s="120"/>
      <c r="I6732" s="121"/>
      <c r="J6732" s="121"/>
      <c r="K6732" s="117"/>
    </row>
    <row r="6733" ht="15.75" customHeight="1">
      <c r="A6733" s="122"/>
      <c r="B6733" s="133"/>
      <c r="C6733" s="120"/>
      <c r="D6733" s="120"/>
      <c r="E6733" s="120"/>
      <c r="F6733" s="120"/>
      <c r="G6733" s="120"/>
      <c r="H6733" s="120"/>
      <c r="I6733" s="121"/>
      <c r="J6733" s="121"/>
      <c r="K6733" s="117"/>
    </row>
    <row r="6734" ht="15.75" customHeight="1">
      <c r="A6734" s="122"/>
      <c r="B6734" s="133"/>
      <c r="C6734" s="120"/>
      <c r="D6734" s="120"/>
      <c r="E6734" s="120"/>
      <c r="F6734" s="120"/>
      <c r="G6734" s="120"/>
      <c r="H6734" s="120"/>
      <c r="I6734" s="121"/>
      <c r="J6734" s="121"/>
      <c r="K6734" s="117"/>
    </row>
    <row r="6735" ht="15.75" customHeight="1">
      <c r="A6735" s="122"/>
      <c r="B6735" s="133"/>
      <c r="C6735" s="120"/>
      <c r="D6735" s="120"/>
      <c r="E6735" s="120"/>
      <c r="F6735" s="120"/>
      <c r="G6735" s="120"/>
      <c r="H6735" s="120"/>
      <c r="I6735" s="121"/>
      <c r="J6735" s="121"/>
      <c r="K6735" s="117"/>
    </row>
    <row r="6736" ht="15.75" customHeight="1">
      <c r="A6736" s="122"/>
      <c r="B6736" s="133"/>
      <c r="C6736" s="120"/>
      <c r="D6736" s="120"/>
      <c r="E6736" s="120"/>
      <c r="F6736" s="120"/>
      <c r="G6736" s="120"/>
      <c r="H6736" s="120"/>
      <c r="I6736" s="121"/>
      <c r="J6736" s="121"/>
      <c r="K6736" s="117"/>
    </row>
    <row r="6737" ht="15.75" customHeight="1">
      <c r="A6737" s="122"/>
      <c r="B6737" s="133"/>
      <c r="C6737" s="120"/>
      <c r="D6737" s="120"/>
      <c r="E6737" s="120"/>
      <c r="F6737" s="120"/>
      <c r="G6737" s="120"/>
      <c r="H6737" s="120"/>
      <c r="I6737" s="121"/>
      <c r="J6737" s="121"/>
      <c r="K6737" s="117"/>
    </row>
    <row r="6738" ht="15.75" customHeight="1">
      <c r="A6738" s="122"/>
      <c r="B6738" s="133"/>
      <c r="C6738" s="120"/>
      <c r="D6738" s="120"/>
      <c r="E6738" s="120"/>
      <c r="F6738" s="120"/>
      <c r="G6738" s="120"/>
      <c r="H6738" s="120"/>
      <c r="I6738" s="121"/>
      <c r="J6738" s="121"/>
      <c r="K6738" s="117"/>
    </row>
    <row r="6739" ht="15.75" customHeight="1">
      <c r="A6739" s="122"/>
      <c r="B6739" s="133"/>
      <c r="C6739" s="120"/>
      <c r="D6739" s="120"/>
      <c r="E6739" s="120"/>
      <c r="F6739" s="120"/>
      <c r="G6739" s="120"/>
      <c r="H6739" s="120"/>
      <c r="I6739" s="121"/>
      <c r="J6739" s="121"/>
      <c r="K6739" s="117"/>
    </row>
    <row r="6740" ht="15.75" customHeight="1">
      <c r="A6740" s="122"/>
      <c r="B6740" s="133"/>
      <c r="C6740" s="120"/>
      <c r="D6740" s="120"/>
      <c r="E6740" s="120"/>
      <c r="F6740" s="120"/>
      <c r="G6740" s="120"/>
      <c r="H6740" s="120"/>
      <c r="I6740" s="121"/>
      <c r="J6740" s="121"/>
      <c r="K6740" s="117"/>
    </row>
    <row r="6741" ht="15.75" customHeight="1">
      <c r="A6741" s="122"/>
      <c r="B6741" s="133"/>
      <c r="C6741" s="120"/>
      <c r="D6741" s="120"/>
      <c r="E6741" s="120"/>
      <c r="F6741" s="120"/>
      <c r="G6741" s="120"/>
      <c r="H6741" s="120"/>
      <c r="I6741" s="121"/>
      <c r="J6741" s="121"/>
      <c r="K6741" s="117"/>
    </row>
    <row r="6742" ht="15.75" customHeight="1">
      <c r="A6742" s="122"/>
      <c r="B6742" s="133"/>
      <c r="C6742" s="120"/>
      <c r="D6742" s="120"/>
      <c r="E6742" s="120"/>
      <c r="F6742" s="120"/>
      <c r="G6742" s="120"/>
      <c r="H6742" s="120"/>
      <c r="I6742" s="121"/>
      <c r="J6742" s="121"/>
      <c r="K6742" s="117"/>
    </row>
    <row r="6743" ht="15.75" customHeight="1">
      <c r="A6743" s="122"/>
      <c r="B6743" s="133"/>
      <c r="C6743" s="120"/>
      <c r="D6743" s="120"/>
      <c r="E6743" s="120"/>
      <c r="F6743" s="120"/>
      <c r="G6743" s="120"/>
      <c r="H6743" s="120"/>
      <c r="I6743" s="121"/>
      <c r="J6743" s="121"/>
      <c r="K6743" s="117"/>
    </row>
    <row r="6744" ht="15.75" customHeight="1">
      <c r="A6744" s="122"/>
      <c r="B6744" s="133"/>
      <c r="C6744" s="120"/>
      <c r="D6744" s="120"/>
      <c r="E6744" s="120"/>
      <c r="F6744" s="120"/>
      <c r="G6744" s="120"/>
      <c r="H6744" s="120"/>
      <c r="I6744" s="121"/>
      <c r="J6744" s="121"/>
      <c r="K6744" s="117"/>
    </row>
    <row r="6745" ht="15.75" customHeight="1">
      <c r="A6745" s="122"/>
      <c r="B6745" s="133"/>
      <c r="C6745" s="120"/>
      <c r="D6745" s="120"/>
      <c r="E6745" s="120"/>
      <c r="F6745" s="120"/>
      <c r="G6745" s="120"/>
      <c r="H6745" s="120"/>
      <c r="I6745" s="121"/>
      <c r="J6745" s="121"/>
      <c r="K6745" s="117"/>
    </row>
    <row r="6746" ht="15.75" customHeight="1">
      <c r="A6746" s="122"/>
      <c r="B6746" s="133"/>
      <c r="C6746" s="120"/>
      <c r="D6746" s="120"/>
      <c r="E6746" s="120"/>
      <c r="F6746" s="120"/>
      <c r="G6746" s="120"/>
      <c r="H6746" s="120"/>
      <c r="I6746" s="121"/>
      <c r="J6746" s="121"/>
      <c r="K6746" s="117"/>
    </row>
    <row r="6747" ht="15.75" customHeight="1">
      <c r="A6747" s="122"/>
      <c r="B6747" s="133"/>
      <c r="C6747" s="120"/>
      <c r="D6747" s="120"/>
      <c r="E6747" s="120"/>
      <c r="F6747" s="120"/>
      <c r="G6747" s="120"/>
      <c r="H6747" s="120"/>
      <c r="I6747" s="121"/>
      <c r="J6747" s="121"/>
      <c r="K6747" s="117"/>
    </row>
    <row r="6748" ht="15.75" customHeight="1">
      <c r="A6748" s="122"/>
      <c r="B6748" s="133"/>
      <c r="C6748" s="120"/>
      <c r="D6748" s="120"/>
      <c r="E6748" s="120"/>
      <c r="F6748" s="120"/>
      <c r="G6748" s="120"/>
      <c r="H6748" s="120"/>
      <c r="I6748" s="121"/>
      <c r="J6748" s="121"/>
      <c r="K6748" s="117"/>
    </row>
    <row r="6749" ht="15.75" customHeight="1">
      <c r="A6749" s="122"/>
      <c r="B6749" s="133"/>
      <c r="C6749" s="120"/>
      <c r="D6749" s="120"/>
      <c r="E6749" s="120"/>
      <c r="F6749" s="120"/>
      <c r="G6749" s="120"/>
      <c r="H6749" s="120"/>
      <c r="I6749" s="121"/>
      <c r="J6749" s="121"/>
      <c r="K6749" s="117"/>
    </row>
    <row r="6750" ht="15.75" customHeight="1">
      <c r="A6750" s="122"/>
      <c r="B6750" s="133"/>
      <c r="C6750" s="120"/>
      <c r="D6750" s="120"/>
      <c r="E6750" s="120"/>
      <c r="F6750" s="120"/>
      <c r="G6750" s="120"/>
      <c r="H6750" s="120"/>
      <c r="I6750" s="121"/>
      <c r="J6750" s="121"/>
      <c r="K6750" s="117"/>
    </row>
    <row r="6751" ht="15.75" customHeight="1">
      <c r="A6751" s="122"/>
      <c r="B6751" s="133"/>
      <c r="C6751" s="120"/>
      <c r="D6751" s="120"/>
      <c r="E6751" s="120"/>
      <c r="F6751" s="120"/>
      <c r="G6751" s="120"/>
      <c r="H6751" s="120"/>
      <c r="I6751" s="121"/>
      <c r="J6751" s="121"/>
      <c r="K6751" s="117"/>
    </row>
    <row r="6752" ht="15.75" customHeight="1">
      <c r="A6752" s="122"/>
      <c r="B6752" s="133"/>
      <c r="C6752" s="120"/>
      <c r="D6752" s="120"/>
      <c r="E6752" s="120"/>
      <c r="F6752" s="120"/>
      <c r="G6752" s="120"/>
      <c r="H6752" s="120"/>
      <c r="I6752" s="121"/>
      <c r="J6752" s="121"/>
      <c r="K6752" s="117"/>
    </row>
    <row r="6753" ht="15.75" customHeight="1">
      <c r="A6753" s="122"/>
      <c r="B6753" s="133"/>
      <c r="C6753" s="120"/>
      <c r="D6753" s="120"/>
      <c r="E6753" s="120"/>
      <c r="F6753" s="120"/>
      <c r="G6753" s="120"/>
      <c r="H6753" s="120"/>
      <c r="I6753" s="121"/>
      <c r="J6753" s="121"/>
      <c r="K6753" s="117"/>
    </row>
    <row r="6754" ht="15.75" customHeight="1">
      <c r="A6754" s="122"/>
      <c r="B6754" s="133"/>
      <c r="C6754" s="120"/>
      <c r="D6754" s="120"/>
      <c r="E6754" s="120"/>
      <c r="F6754" s="120"/>
      <c r="G6754" s="120"/>
      <c r="H6754" s="120"/>
      <c r="I6754" s="121"/>
      <c r="J6754" s="121"/>
      <c r="K6754" s="117"/>
    </row>
    <row r="6755" ht="15.75" customHeight="1">
      <c r="A6755" s="122"/>
      <c r="B6755" s="133"/>
      <c r="C6755" s="120"/>
      <c r="D6755" s="120"/>
      <c r="E6755" s="120"/>
      <c r="F6755" s="120"/>
      <c r="G6755" s="120"/>
      <c r="H6755" s="120"/>
      <c r="I6755" s="121"/>
      <c r="J6755" s="121"/>
      <c r="K6755" s="117"/>
    </row>
    <row r="6756" ht="15.75" customHeight="1">
      <c r="A6756" s="122"/>
      <c r="B6756" s="133"/>
      <c r="C6756" s="120"/>
      <c r="D6756" s="120"/>
      <c r="E6756" s="120"/>
      <c r="F6756" s="120"/>
      <c r="G6756" s="120"/>
      <c r="H6756" s="120"/>
      <c r="I6756" s="121"/>
      <c r="J6756" s="121"/>
      <c r="K6756" s="117"/>
    </row>
    <row r="6757" ht="15.75" customHeight="1">
      <c r="A6757" s="122"/>
      <c r="B6757" s="133"/>
      <c r="C6757" s="120"/>
      <c r="D6757" s="120"/>
      <c r="E6757" s="120"/>
      <c r="F6757" s="120"/>
      <c r="G6757" s="120"/>
      <c r="H6757" s="120"/>
      <c r="I6757" s="121"/>
      <c r="J6757" s="121"/>
      <c r="K6757" s="117"/>
    </row>
    <row r="6758" ht="15.75" customHeight="1">
      <c r="A6758" s="122"/>
      <c r="B6758" s="133"/>
      <c r="C6758" s="120"/>
      <c r="D6758" s="120"/>
      <c r="E6758" s="120"/>
      <c r="F6758" s="120"/>
      <c r="G6758" s="120"/>
      <c r="H6758" s="120"/>
      <c r="I6758" s="121"/>
      <c r="J6758" s="121"/>
      <c r="K6758" s="117"/>
    </row>
    <row r="6759" ht="15.75" customHeight="1">
      <c r="A6759" s="122"/>
      <c r="B6759" s="133"/>
      <c r="C6759" s="120"/>
      <c r="D6759" s="120"/>
      <c r="E6759" s="120"/>
      <c r="F6759" s="120"/>
      <c r="G6759" s="120"/>
      <c r="H6759" s="120"/>
      <c r="I6759" s="121"/>
      <c r="J6759" s="121"/>
      <c r="K6759" s="117"/>
    </row>
    <row r="6760" ht="15.75" customHeight="1">
      <c r="A6760" s="122"/>
      <c r="B6760" s="133"/>
      <c r="C6760" s="120"/>
      <c r="D6760" s="120"/>
      <c r="E6760" s="120"/>
      <c r="F6760" s="120"/>
      <c r="G6760" s="120"/>
      <c r="H6760" s="120"/>
      <c r="I6760" s="121"/>
      <c r="J6760" s="121"/>
      <c r="K6760" s="117"/>
    </row>
    <row r="6761" ht="15.75" customHeight="1">
      <c r="A6761" s="122"/>
      <c r="B6761" s="133"/>
      <c r="C6761" s="120"/>
      <c r="D6761" s="120"/>
      <c r="E6761" s="120"/>
      <c r="F6761" s="120"/>
      <c r="G6761" s="120"/>
      <c r="H6761" s="120"/>
      <c r="I6761" s="121"/>
      <c r="J6761" s="121"/>
      <c r="K6761" s="117"/>
    </row>
    <row r="6762" ht="15.75" customHeight="1">
      <c r="A6762" s="122"/>
      <c r="B6762" s="133"/>
      <c r="C6762" s="120"/>
      <c r="D6762" s="120"/>
      <c r="E6762" s="120"/>
      <c r="F6762" s="120"/>
      <c r="G6762" s="120"/>
      <c r="H6762" s="120"/>
      <c r="I6762" s="121"/>
      <c r="J6762" s="121"/>
      <c r="K6762" s="117"/>
    </row>
    <row r="6763" ht="15.75" customHeight="1">
      <c r="A6763" s="122"/>
      <c r="B6763" s="133"/>
      <c r="C6763" s="120"/>
      <c r="D6763" s="120"/>
      <c r="E6763" s="120"/>
      <c r="F6763" s="120"/>
      <c r="G6763" s="120"/>
      <c r="H6763" s="120"/>
      <c r="I6763" s="121"/>
      <c r="J6763" s="121"/>
      <c r="K6763" s="117"/>
    </row>
    <row r="6764" ht="15.75" customHeight="1">
      <c r="A6764" s="122"/>
      <c r="B6764" s="133"/>
      <c r="C6764" s="120"/>
      <c r="D6764" s="120"/>
      <c r="E6764" s="120"/>
      <c r="F6764" s="120"/>
      <c r="G6764" s="120"/>
      <c r="H6764" s="120"/>
      <c r="I6764" s="121"/>
      <c r="J6764" s="121"/>
      <c r="K6764" s="117"/>
    </row>
    <row r="6765" ht="15.75" customHeight="1">
      <c r="A6765" s="122"/>
      <c r="B6765" s="133"/>
      <c r="C6765" s="120"/>
      <c r="D6765" s="120"/>
      <c r="E6765" s="120"/>
      <c r="F6765" s="120"/>
      <c r="G6765" s="120"/>
      <c r="H6765" s="120"/>
      <c r="I6765" s="121"/>
      <c r="J6765" s="121"/>
      <c r="K6765" s="117"/>
    </row>
    <row r="6766" ht="15.75" customHeight="1">
      <c r="A6766" s="122"/>
      <c r="B6766" s="133"/>
      <c r="C6766" s="120"/>
      <c r="D6766" s="120"/>
      <c r="E6766" s="120"/>
      <c r="F6766" s="120"/>
      <c r="G6766" s="120"/>
      <c r="H6766" s="120"/>
      <c r="I6766" s="121"/>
      <c r="J6766" s="121"/>
      <c r="K6766" s="117"/>
    </row>
    <row r="6767" ht="15.75" customHeight="1">
      <c r="A6767" s="122"/>
      <c r="B6767" s="133"/>
      <c r="C6767" s="120"/>
      <c r="D6767" s="120"/>
      <c r="E6767" s="120"/>
      <c r="F6767" s="120"/>
      <c r="G6767" s="120"/>
      <c r="H6767" s="120"/>
      <c r="I6767" s="121"/>
      <c r="J6767" s="121"/>
      <c r="K6767" s="117"/>
    </row>
    <row r="6768" ht="15.75" customHeight="1">
      <c r="A6768" s="122"/>
      <c r="B6768" s="133"/>
      <c r="C6768" s="120"/>
      <c r="D6768" s="120"/>
      <c r="E6768" s="120"/>
      <c r="F6768" s="120"/>
      <c r="G6768" s="120"/>
      <c r="H6768" s="120"/>
      <c r="I6768" s="121"/>
      <c r="J6768" s="121"/>
      <c r="K6768" s="117"/>
    </row>
    <row r="6769" ht="15.75" customHeight="1">
      <c r="A6769" s="122"/>
      <c r="B6769" s="133"/>
      <c r="C6769" s="120"/>
      <c r="D6769" s="120"/>
      <c r="E6769" s="120"/>
      <c r="F6769" s="120"/>
      <c r="G6769" s="120"/>
      <c r="H6769" s="120"/>
      <c r="I6769" s="121"/>
      <c r="J6769" s="121"/>
      <c r="K6769" s="117"/>
    </row>
    <row r="6770" ht="15.75" customHeight="1">
      <c r="A6770" s="122"/>
      <c r="B6770" s="133"/>
      <c r="C6770" s="120"/>
      <c r="D6770" s="120"/>
      <c r="E6770" s="120"/>
      <c r="F6770" s="120"/>
      <c r="G6770" s="120"/>
      <c r="H6770" s="120"/>
      <c r="I6770" s="121"/>
      <c r="J6770" s="121"/>
      <c r="K6770" s="117"/>
    </row>
    <row r="6771" ht="15.75" customHeight="1">
      <c r="A6771" s="122"/>
      <c r="B6771" s="133"/>
      <c r="C6771" s="120"/>
      <c r="D6771" s="120"/>
      <c r="E6771" s="120"/>
      <c r="F6771" s="120"/>
      <c r="G6771" s="120"/>
      <c r="H6771" s="120"/>
      <c r="I6771" s="121"/>
      <c r="J6771" s="121"/>
      <c r="K6771" s="117"/>
    </row>
    <row r="6772" ht="15.75" customHeight="1">
      <c r="A6772" s="122"/>
      <c r="B6772" s="133"/>
      <c r="C6772" s="120"/>
      <c r="D6772" s="120"/>
      <c r="E6772" s="120"/>
      <c r="F6772" s="120"/>
      <c r="G6772" s="120"/>
      <c r="H6772" s="120"/>
      <c r="I6772" s="121"/>
      <c r="J6772" s="121"/>
      <c r="K6772" s="117"/>
    </row>
    <row r="6773" ht="15.75" customHeight="1">
      <c r="A6773" s="122"/>
      <c r="B6773" s="133"/>
      <c r="C6773" s="120"/>
      <c r="D6773" s="120"/>
      <c r="E6773" s="120"/>
      <c r="F6773" s="120"/>
      <c r="G6773" s="120"/>
      <c r="H6773" s="120"/>
      <c r="I6773" s="121"/>
      <c r="J6773" s="121"/>
      <c r="K6773" s="117"/>
    </row>
    <row r="6774" ht="15.75" customHeight="1">
      <c r="A6774" s="122"/>
      <c r="B6774" s="133"/>
      <c r="C6774" s="120"/>
      <c r="D6774" s="120"/>
      <c r="E6774" s="120"/>
      <c r="F6774" s="120"/>
      <c r="G6774" s="120"/>
      <c r="H6774" s="120"/>
      <c r="I6774" s="121"/>
      <c r="J6774" s="121"/>
      <c r="K6774" s="117"/>
    </row>
    <row r="6775" ht="15.75" customHeight="1">
      <c r="A6775" s="122"/>
      <c r="B6775" s="133"/>
      <c r="C6775" s="120"/>
      <c r="D6775" s="120"/>
      <c r="E6775" s="120"/>
      <c r="F6775" s="120"/>
      <c r="G6775" s="120"/>
      <c r="H6775" s="120"/>
      <c r="I6775" s="121"/>
      <c r="J6775" s="121"/>
      <c r="K6775" s="117"/>
    </row>
    <row r="6776" ht="15.75" customHeight="1">
      <c r="A6776" s="122"/>
      <c r="B6776" s="133"/>
      <c r="C6776" s="120"/>
      <c r="D6776" s="120"/>
      <c r="E6776" s="120"/>
      <c r="F6776" s="120"/>
      <c r="G6776" s="120"/>
      <c r="H6776" s="120"/>
      <c r="I6776" s="121"/>
      <c r="J6776" s="121"/>
      <c r="K6776" s="117"/>
    </row>
    <row r="6777" ht="15.75" customHeight="1">
      <c r="A6777" s="122"/>
      <c r="B6777" s="133"/>
      <c r="C6777" s="120"/>
      <c r="D6777" s="120"/>
      <c r="E6777" s="120"/>
      <c r="F6777" s="120"/>
      <c r="G6777" s="120"/>
      <c r="H6777" s="120"/>
      <c r="I6777" s="121"/>
      <c r="J6777" s="121"/>
      <c r="K6777" s="117"/>
    </row>
    <row r="6778" ht="15.75" customHeight="1">
      <c r="A6778" s="122"/>
      <c r="B6778" s="133"/>
      <c r="C6778" s="120"/>
      <c r="D6778" s="120"/>
      <c r="E6778" s="120"/>
      <c r="F6778" s="120"/>
      <c r="G6778" s="120"/>
      <c r="H6778" s="120"/>
      <c r="I6778" s="121"/>
      <c r="J6778" s="121"/>
      <c r="K6778" s="117"/>
    </row>
    <row r="6779" ht="15.75" customHeight="1">
      <c r="A6779" s="122"/>
      <c r="B6779" s="133"/>
      <c r="C6779" s="120"/>
      <c r="D6779" s="120"/>
      <c r="E6779" s="120"/>
      <c r="F6779" s="120"/>
      <c r="G6779" s="120"/>
      <c r="H6779" s="120"/>
      <c r="I6779" s="121"/>
      <c r="J6779" s="121"/>
      <c r="K6779" s="117"/>
    </row>
    <row r="6780" ht="15.75" customHeight="1">
      <c r="A6780" s="122"/>
      <c r="B6780" s="133"/>
      <c r="C6780" s="120"/>
      <c r="D6780" s="120"/>
      <c r="E6780" s="120"/>
      <c r="F6780" s="120"/>
      <c r="G6780" s="120"/>
      <c r="H6780" s="120"/>
      <c r="I6780" s="121"/>
      <c r="J6780" s="121"/>
      <c r="K6780" s="117"/>
    </row>
    <row r="6781" ht="15.75" customHeight="1">
      <c r="A6781" s="122"/>
      <c r="B6781" s="133"/>
      <c r="C6781" s="120"/>
      <c r="D6781" s="120"/>
      <c r="E6781" s="120"/>
      <c r="F6781" s="120"/>
      <c r="G6781" s="120"/>
      <c r="H6781" s="120"/>
      <c r="I6781" s="121"/>
      <c r="J6781" s="121"/>
      <c r="K6781" s="117"/>
    </row>
    <row r="6782" ht="15.75" customHeight="1">
      <c r="A6782" s="122"/>
      <c r="B6782" s="133"/>
      <c r="C6782" s="120"/>
      <c r="D6782" s="120"/>
      <c r="E6782" s="120"/>
      <c r="F6782" s="120"/>
      <c r="G6782" s="120"/>
      <c r="H6782" s="120"/>
      <c r="I6782" s="121"/>
      <c r="J6782" s="121"/>
      <c r="K6782" s="117"/>
    </row>
    <row r="6783" ht="15.75" customHeight="1">
      <c r="A6783" s="122"/>
      <c r="B6783" s="133"/>
      <c r="C6783" s="120"/>
      <c r="D6783" s="120"/>
      <c r="E6783" s="120"/>
      <c r="F6783" s="120"/>
      <c r="G6783" s="120"/>
      <c r="H6783" s="120"/>
      <c r="I6783" s="121"/>
      <c r="J6783" s="121"/>
      <c r="K6783" s="117"/>
    </row>
    <row r="6784" ht="15.75" customHeight="1">
      <c r="A6784" s="122"/>
      <c r="B6784" s="133"/>
      <c r="C6784" s="120"/>
      <c r="D6784" s="120"/>
      <c r="E6784" s="120"/>
      <c r="F6784" s="120"/>
      <c r="G6784" s="120"/>
      <c r="H6784" s="120"/>
      <c r="I6784" s="121"/>
      <c r="J6784" s="121"/>
      <c r="K6784" s="117"/>
    </row>
    <row r="6785" ht="15.75" customHeight="1">
      <c r="A6785" s="122"/>
      <c r="B6785" s="133"/>
      <c r="C6785" s="120"/>
      <c r="D6785" s="120"/>
      <c r="E6785" s="120"/>
      <c r="F6785" s="120"/>
      <c r="G6785" s="120"/>
      <c r="H6785" s="120"/>
      <c r="I6785" s="121"/>
      <c r="J6785" s="121"/>
      <c r="K6785" s="117"/>
    </row>
    <row r="6786" ht="15.75" customHeight="1">
      <c r="A6786" s="122"/>
      <c r="B6786" s="133"/>
      <c r="C6786" s="120"/>
      <c r="D6786" s="120"/>
      <c r="E6786" s="120"/>
      <c r="F6786" s="120"/>
      <c r="G6786" s="120"/>
      <c r="H6786" s="120"/>
      <c r="I6786" s="121"/>
      <c r="J6786" s="121"/>
      <c r="K6786" s="117"/>
    </row>
    <row r="6787" ht="15.75" customHeight="1">
      <c r="A6787" s="122"/>
      <c r="B6787" s="133"/>
      <c r="C6787" s="120"/>
      <c r="D6787" s="120"/>
      <c r="E6787" s="120"/>
      <c r="F6787" s="120"/>
      <c r="G6787" s="120"/>
      <c r="H6787" s="120"/>
      <c r="I6787" s="121"/>
      <c r="J6787" s="121"/>
      <c r="K6787" s="117"/>
    </row>
    <row r="6788" ht="15.75" customHeight="1">
      <c r="A6788" s="122"/>
      <c r="B6788" s="133"/>
      <c r="C6788" s="120"/>
      <c r="D6788" s="120"/>
      <c r="E6788" s="120"/>
      <c r="F6788" s="120"/>
      <c r="G6788" s="120"/>
      <c r="H6788" s="120"/>
      <c r="I6788" s="121"/>
      <c r="J6788" s="121"/>
      <c r="K6788" s="117"/>
    </row>
    <row r="6789" ht="15.75" customHeight="1">
      <c r="A6789" s="122"/>
      <c r="B6789" s="133"/>
      <c r="C6789" s="120"/>
      <c r="D6789" s="120"/>
      <c r="E6789" s="120"/>
      <c r="F6789" s="120"/>
      <c r="G6789" s="120"/>
      <c r="H6789" s="120"/>
      <c r="I6789" s="121"/>
      <c r="J6789" s="121"/>
      <c r="K6789" s="117"/>
    </row>
    <row r="6790" ht="15.75" customHeight="1">
      <c r="A6790" s="122"/>
      <c r="B6790" s="133"/>
      <c r="C6790" s="120"/>
      <c r="D6790" s="120"/>
      <c r="E6790" s="120"/>
      <c r="F6790" s="120"/>
      <c r="G6790" s="120"/>
      <c r="H6790" s="120"/>
      <c r="I6790" s="121"/>
      <c r="J6790" s="121"/>
      <c r="K6790" s="117"/>
    </row>
    <row r="6791" ht="15.75" customHeight="1">
      <c r="A6791" s="122"/>
      <c r="B6791" s="133"/>
      <c r="C6791" s="120"/>
      <c r="D6791" s="120"/>
      <c r="E6791" s="120"/>
      <c r="F6791" s="120"/>
      <c r="G6791" s="120"/>
      <c r="H6791" s="120"/>
      <c r="I6791" s="121"/>
      <c r="J6791" s="121"/>
      <c r="K6791" s="117"/>
    </row>
    <row r="6792" ht="15.75" customHeight="1">
      <c r="A6792" s="122"/>
      <c r="B6792" s="133"/>
      <c r="C6792" s="120"/>
      <c r="D6792" s="120"/>
      <c r="E6792" s="120"/>
      <c r="F6792" s="120"/>
      <c r="G6792" s="120"/>
      <c r="H6792" s="120"/>
      <c r="I6792" s="121"/>
      <c r="J6792" s="121"/>
      <c r="K6792" s="117"/>
    </row>
    <row r="6793" ht="15.75" customHeight="1">
      <c r="A6793" s="122"/>
      <c r="B6793" s="133"/>
      <c r="C6793" s="120"/>
      <c r="D6793" s="120"/>
      <c r="E6793" s="120"/>
      <c r="F6793" s="120"/>
      <c r="G6793" s="120"/>
      <c r="H6793" s="120"/>
      <c r="I6793" s="121"/>
      <c r="J6793" s="121"/>
      <c r="K6793" s="117"/>
    </row>
    <row r="6794" ht="15.75" customHeight="1">
      <c r="A6794" s="122"/>
      <c r="B6794" s="133"/>
      <c r="C6794" s="120"/>
      <c r="D6794" s="120"/>
      <c r="E6794" s="120"/>
      <c r="F6794" s="120"/>
      <c r="G6794" s="120"/>
      <c r="H6794" s="120"/>
      <c r="I6794" s="121"/>
      <c r="J6794" s="121"/>
      <c r="K6794" s="117"/>
    </row>
    <row r="6795" ht="15.75" customHeight="1">
      <c r="A6795" s="122"/>
      <c r="B6795" s="133"/>
      <c r="C6795" s="120"/>
      <c r="D6795" s="120"/>
      <c r="E6795" s="120"/>
      <c r="F6795" s="120"/>
      <c r="G6795" s="120"/>
      <c r="H6795" s="120"/>
      <c r="I6795" s="121"/>
      <c r="J6795" s="121"/>
      <c r="K6795" s="117"/>
    </row>
    <row r="6796" ht="15.75" customHeight="1">
      <c r="A6796" s="122"/>
      <c r="B6796" s="133"/>
      <c r="C6796" s="120"/>
      <c r="D6796" s="120"/>
      <c r="E6796" s="120"/>
      <c r="F6796" s="120"/>
      <c r="G6796" s="120"/>
      <c r="H6796" s="120"/>
      <c r="I6796" s="121"/>
      <c r="J6796" s="121"/>
      <c r="K6796" s="117"/>
    </row>
    <row r="6797" ht="15.75" customHeight="1">
      <c r="A6797" s="122"/>
      <c r="B6797" s="133"/>
      <c r="C6797" s="120"/>
      <c r="D6797" s="120"/>
      <c r="E6797" s="120"/>
      <c r="F6797" s="120"/>
      <c r="G6797" s="120"/>
      <c r="H6797" s="120"/>
      <c r="I6797" s="121"/>
      <c r="J6797" s="121"/>
      <c r="K6797" s="117"/>
    </row>
    <row r="6798" ht="15.75" customHeight="1">
      <c r="A6798" s="122"/>
      <c r="B6798" s="133"/>
      <c r="C6798" s="120"/>
      <c r="D6798" s="120"/>
      <c r="E6798" s="120"/>
      <c r="F6798" s="120"/>
      <c r="G6798" s="120"/>
      <c r="H6798" s="120"/>
      <c r="I6798" s="121"/>
      <c r="J6798" s="121"/>
      <c r="K6798" s="117"/>
    </row>
    <row r="6799" ht="15.75" customHeight="1">
      <c r="A6799" s="122"/>
      <c r="B6799" s="133"/>
      <c r="C6799" s="120"/>
      <c r="D6799" s="120"/>
      <c r="E6799" s="120"/>
      <c r="F6799" s="120"/>
      <c r="G6799" s="120"/>
      <c r="H6799" s="120"/>
      <c r="I6799" s="121"/>
      <c r="J6799" s="121"/>
      <c r="K6799" s="117"/>
    </row>
    <row r="6800" ht="15.75" customHeight="1">
      <c r="A6800" s="122"/>
      <c r="B6800" s="133"/>
      <c r="C6800" s="120"/>
      <c r="D6800" s="120"/>
      <c r="E6800" s="120"/>
      <c r="F6800" s="120"/>
      <c r="G6800" s="120"/>
      <c r="H6800" s="120"/>
      <c r="I6800" s="121"/>
      <c r="J6800" s="121"/>
      <c r="K6800" s="117"/>
    </row>
    <row r="6801" ht="15.75" customHeight="1">
      <c r="A6801" s="122"/>
      <c r="B6801" s="133"/>
      <c r="C6801" s="120"/>
      <c r="D6801" s="120"/>
      <c r="E6801" s="120"/>
      <c r="F6801" s="120"/>
      <c r="G6801" s="120"/>
      <c r="H6801" s="120"/>
      <c r="I6801" s="121"/>
      <c r="J6801" s="121"/>
      <c r="K6801" s="117"/>
    </row>
    <row r="6802" ht="15.75" customHeight="1">
      <c r="A6802" s="122"/>
      <c r="B6802" s="133"/>
      <c r="C6802" s="120"/>
      <c r="D6802" s="120"/>
      <c r="E6802" s="120"/>
      <c r="F6802" s="120"/>
      <c r="G6802" s="120"/>
      <c r="H6802" s="120"/>
      <c r="I6802" s="121"/>
      <c r="J6802" s="121"/>
      <c r="K6802" s="117"/>
    </row>
    <row r="6803" ht="15.75" customHeight="1">
      <c r="A6803" s="122"/>
      <c r="B6803" s="133"/>
      <c r="C6803" s="120"/>
      <c r="D6803" s="120"/>
      <c r="E6803" s="120"/>
      <c r="F6803" s="120"/>
      <c r="G6803" s="120"/>
      <c r="H6803" s="120"/>
      <c r="I6803" s="121"/>
      <c r="J6803" s="121"/>
      <c r="K6803" s="117"/>
    </row>
    <row r="6804" ht="15.75" customHeight="1">
      <c r="A6804" s="122"/>
      <c r="B6804" s="133"/>
      <c r="C6804" s="120"/>
      <c r="D6804" s="120"/>
      <c r="E6804" s="120"/>
      <c r="F6804" s="120"/>
      <c r="G6804" s="120"/>
      <c r="H6804" s="120"/>
      <c r="I6804" s="121"/>
      <c r="J6804" s="121"/>
      <c r="K6804" s="117"/>
    </row>
    <row r="6805" ht="15.75" customHeight="1">
      <c r="A6805" s="122"/>
      <c r="B6805" s="133"/>
      <c r="C6805" s="120"/>
      <c r="D6805" s="120"/>
      <c r="E6805" s="120"/>
      <c r="F6805" s="120"/>
      <c r="G6805" s="120"/>
      <c r="H6805" s="120"/>
      <c r="I6805" s="121"/>
      <c r="J6805" s="121"/>
      <c r="K6805" s="117"/>
    </row>
    <row r="6806" ht="15.75" customHeight="1">
      <c r="A6806" s="122"/>
      <c r="B6806" s="133"/>
      <c r="C6806" s="120"/>
      <c r="D6806" s="120"/>
      <c r="E6806" s="120"/>
      <c r="F6806" s="120"/>
      <c r="G6806" s="120"/>
      <c r="H6806" s="120"/>
      <c r="I6806" s="121"/>
      <c r="J6806" s="121"/>
      <c r="K6806" s="117"/>
    </row>
    <row r="6807" ht="15.75" customHeight="1">
      <c r="A6807" s="122"/>
      <c r="B6807" s="133"/>
      <c r="C6807" s="120"/>
      <c r="D6807" s="120"/>
      <c r="E6807" s="120"/>
      <c r="F6807" s="120"/>
      <c r="G6807" s="120"/>
      <c r="H6807" s="120"/>
      <c r="I6807" s="121"/>
      <c r="J6807" s="121"/>
      <c r="K6807" s="117"/>
    </row>
    <row r="6808" ht="15.75" customHeight="1">
      <c r="A6808" s="122"/>
      <c r="B6808" s="133"/>
      <c r="C6808" s="120"/>
      <c r="D6808" s="120"/>
      <c r="E6808" s="120"/>
      <c r="F6808" s="120"/>
      <c r="G6808" s="120"/>
      <c r="H6808" s="120"/>
      <c r="I6808" s="121"/>
      <c r="J6808" s="121"/>
      <c r="K6808" s="117"/>
    </row>
    <row r="6809" ht="15.75" customHeight="1">
      <c r="A6809" s="122"/>
      <c r="B6809" s="133"/>
      <c r="C6809" s="120"/>
      <c r="D6809" s="120"/>
      <c r="E6809" s="120"/>
      <c r="F6809" s="120"/>
      <c r="G6809" s="120"/>
      <c r="H6809" s="120"/>
      <c r="I6809" s="121"/>
      <c r="J6809" s="121"/>
      <c r="K6809" s="117"/>
    </row>
    <row r="6810" ht="15.75" customHeight="1">
      <c r="A6810" s="122"/>
      <c r="B6810" s="133"/>
      <c r="C6810" s="120"/>
      <c r="D6810" s="120"/>
      <c r="E6810" s="120"/>
      <c r="F6810" s="120"/>
      <c r="G6810" s="120"/>
      <c r="H6810" s="120"/>
      <c r="I6810" s="121"/>
      <c r="J6810" s="121"/>
      <c r="K6810" s="117"/>
    </row>
    <row r="6811" ht="15.75" customHeight="1">
      <c r="A6811" s="122"/>
      <c r="B6811" s="133"/>
      <c r="C6811" s="120"/>
      <c r="D6811" s="120"/>
      <c r="E6811" s="120"/>
      <c r="F6811" s="120"/>
      <c r="G6811" s="120"/>
      <c r="H6811" s="120"/>
      <c r="I6811" s="121"/>
      <c r="J6811" s="121"/>
      <c r="K6811" s="117"/>
    </row>
    <row r="6812" ht="15.75" customHeight="1">
      <c r="A6812" s="122"/>
      <c r="B6812" s="133"/>
      <c r="C6812" s="120"/>
      <c r="D6812" s="120"/>
      <c r="E6812" s="120"/>
      <c r="F6812" s="120"/>
      <c r="G6812" s="120"/>
      <c r="H6812" s="120"/>
      <c r="I6812" s="121"/>
      <c r="J6812" s="121"/>
      <c r="K6812" s="117"/>
    </row>
    <row r="6813" ht="15.75" customHeight="1">
      <c r="A6813" s="122"/>
      <c r="B6813" s="133"/>
      <c r="C6813" s="120"/>
      <c r="D6813" s="120"/>
      <c r="E6813" s="120"/>
      <c r="F6813" s="120"/>
      <c r="G6813" s="120"/>
      <c r="H6813" s="120"/>
      <c r="I6813" s="121"/>
      <c r="J6813" s="121"/>
      <c r="K6813" s="117"/>
    </row>
    <row r="6814" ht="15.75" customHeight="1">
      <c r="A6814" s="122"/>
      <c r="B6814" s="133"/>
      <c r="C6814" s="120"/>
      <c r="D6814" s="120"/>
      <c r="E6814" s="120"/>
      <c r="F6814" s="120"/>
      <c r="G6814" s="120"/>
      <c r="H6814" s="120"/>
      <c r="I6814" s="121"/>
      <c r="J6814" s="121"/>
      <c r="K6814" s="117"/>
    </row>
    <row r="6815" ht="15.75" customHeight="1">
      <c r="A6815" s="122"/>
      <c r="B6815" s="133"/>
      <c r="C6815" s="120"/>
      <c r="D6815" s="120"/>
      <c r="E6815" s="120"/>
      <c r="F6815" s="120"/>
      <c r="G6815" s="120"/>
      <c r="H6815" s="120"/>
      <c r="I6815" s="121"/>
      <c r="J6815" s="121"/>
      <c r="K6815" s="117"/>
    </row>
    <row r="6816" ht="15.75" customHeight="1">
      <c r="A6816" s="122"/>
      <c r="B6816" s="133"/>
      <c r="C6816" s="120"/>
      <c r="D6816" s="120"/>
      <c r="E6816" s="120"/>
      <c r="F6816" s="120"/>
      <c r="G6816" s="120"/>
      <c r="H6816" s="120"/>
      <c r="I6816" s="121"/>
      <c r="J6816" s="121"/>
      <c r="K6816" s="117"/>
    </row>
    <row r="6817" ht="15.75" customHeight="1">
      <c r="A6817" s="122"/>
      <c r="B6817" s="133"/>
      <c r="C6817" s="120"/>
      <c r="D6817" s="120"/>
      <c r="E6817" s="120"/>
      <c r="F6817" s="120"/>
      <c r="G6817" s="120"/>
      <c r="H6817" s="120"/>
      <c r="I6817" s="121"/>
      <c r="J6817" s="121"/>
      <c r="K6817" s="117"/>
    </row>
    <row r="6818" ht="15.75" customHeight="1">
      <c r="A6818" s="122"/>
      <c r="B6818" s="133"/>
      <c r="C6818" s="120"/>
      <c r="D6818" s="120"/>
      <c r="E6818" s="120"/>
      <c r="F6818" s="120"/>
      <c r="G6818" s="120"/>
      <c r="H6818" s="120"/>
      <c r="I6818" s="121"/>
      <c r="J6818" s="121"/>
      <c r="K6818" s="117"/>
    </row>
    <row r="6819" ht="15.75" customHeight="1">
      <c r="A6819" s="122"/>
      <c r="B6819" s="133"/>
      <c r="C6819" s="120"/>
      <c r="D6819" s="120"/>
      <c r="E6819" s="120"/>
      <c r="F6819" s="120"/>
      <c r="G6819" s="120"/>
      <c r="H6819" s="120"/>
      <c r="I6819" s="121"/>
      <c r="J6819" s="121"/>
      <c r="K6819" s="117"/>
    </row>
    <row r="6820" ht="15.75" customHeight="1">
      <c r="A6820" s="122"/>
      <c r="B6820" s="133"/>
      <c r="C6820" s="120"/>
      <c r="D6820" s="120"/>
      <c r="E6820" s="120"/>
      <c r="F6820" s="120"/>
      <c r="G6820" s="120"/>
      <c r="H6820" s="120"/>
      <c r="I6820" s="121"/>
      <c r="J6820" s="121"/>
      <c r="K6820" s="117"/>
    </row>
    <row r="6821" ht="15.75" customHeight="1">
      <c r="A6821" s="122"/>
      <c r="B6821" s="133"/>
      <c r="C6821" s="120"/>
      <c r="D6821" s="120"/>
      <c r="E6821" s="120"/>
      <c r="F6821" s="120"/>
      <c r="G6821" s="120"/>
      <c r="H6821" s="120"/>
      <c r="I6821" s="121"/>
      <c r="J6821" s="121"/>
      <c r="K6821" s="117"/>
    </row>
    <row r="6822" ht="15.75" customHeight="1">
      <c r="A6822" s="122"/>
      <c r="B6822" s="133"/>
      <c r="C6822" s="120"/>
      <c r="D6822" s="120"/>
      <c r="E6822" s="120"/>
      <c r="F6822" s="120"/>
      <c r="G6822" s="120"/>
      <c r="H6822" s="120"/>
      <c r="I6822" s="121"/>
      <c r="J6822" s="121"/>
      <c r="K6822" s="117"/>
    </row>
    <row r="6823" ht="15.75" customHeight="1">
      <c r="A6823" s="122"/>
      <c r="B6823" s="133"/>
      <c r="C6823" s="120"/>
      <c r="D6823" s="120"/>
      <c r="E6823" s="120"/>
      <c r="F6823" s="120"/>
      <c r="G6823" s="120"/>
      <c r="H6823" s="120"/>
      <c r="I6823" s="121"/>
      <c r="J6823" s="121"/>
      <c r="K6823" s="117"/>
    </row>
    <row r="6824" ht="15.75" customHeight="1">
      <c r="A6824" s="122"/>
      <c r="B6824" s="133"/>
      <c r="C6824" s="120"/>
      <c r="D6824" s="120"/>
      <c r="E6824" s="120"/>
      <c r="F6824" s="120"/>
      <c r="G6824" s="120"/>
      <c r="H6824" s="120"/>
      <c r="I6824" s="121"/>
      <c r="J6824" s="121"/>
      <c r="K6824" s="117"/>
    </row>
    <row r="6825" ht="15.75" customHeight="1">
      <c r="A6825" s="122"/>
      <c r="B6825" s="133"/>
      <c r="C6825" s="120"/>
      <c r="D6825" s="120"/>
      <c r="E6825" s="120"/>
      <c r="F6825" s="120"/>
      <c r="G6825" s="120"/>
      <c r="H6825" s="120"/>
      <c r="I6825" s="121"/>
      <c r="J6825" s="121"/>
      <c r="K6825" s="117"/>
    </row>
    <row r="6826" ht="15.75" customHeight="1">
      <c r="A6826" s="122"/>
      <c r="B6826" s="133"/>
      <c r="C6826" s="120"/>
      <c r="D6826" s="120"/>
      <c r="E6826" s="120"/>
      <c r="F6826" s="120"/>
      <c r="G6826" s="120"/>
      <c r="H6826" s="120"/>
      <c r="I6826" s="121"/>
      <c r="J6826" s="121"/>
      <c r="K6826" s="117"/>
    </row>
    <row r="6827" ht="15.75" customHeight="1">
      <c r="A6827" s="122"/>
      <c r="B6827" s="133"/>
      <c r="C6827" s="120"/>
      <c r="D6827" s="120"/>
      <c r="E6827" s="120"/>
      <c r="F6827" s="120"/>
      <c r="G6827" s="120"/>
      <c r="H6827" s="120"/>
      <c r="I6827" s="121"/>
      <c r="J6827" s="121"/>
      <c r="K6827" s="117"/>
    </row>
    <row r="6828" ht="15.75" customHeight="1">
      <c r="A6828" s="122"/>
      <c r="B6828" s="133"/>
      <c r="C6828" s="120"/>
      <c r="D6828" s="120"/>
      <c r="E6828" s="120"/>
      <c r="F6828" s="120"/>
      <c r="G6828" s="120"/>
      <c r="H6828" s="120"/>
      <c r="I6828" s="121"/>
      <c r="J6828" s="121"/>
      <c r="K6828" s="117"/>
    </row>
    <row r="6829" ht="15.75" customHeight="1">
      <c r="A6829" s="122"/>
      <c r="B6829" s="133"/>
      <c r="C6829" s="120"/>
      <c r="D6829" s="120"/>
      <c r="E6829" s="120"/>
      <c r="F6829" s="120"/>
      <c r="G6829" s="120"/>
      <c r="H6829" s="120"/>
      <c r="I6829" s="121"/>
      <c r="J6829" s="121"/>
      <c r="K6829" s="117"/>
    </row>
    <row r="6830" ht="15.75" customHeight="1">
      <c r="A6830" s="122"/>
      <c r="B6830" s="133"/>
      <c r="C6830" s="120"/>
      <c r="D6830" s="120"/>
      <c r="E6830" s="120"/>
      <c r="F6830" s="120"/>
      <c r="G6830" s="120"/>
      <c r="H6830" s="120"/>
      <c r="I6830" s="121"/>
      <c r="J6830" s="121"/>
      <c r="K6830" s="117"/>
    </row>
    <row r="6831" ht="15.75" customHeight="1">
      <c r="A6831" s="122"/>
      <c r="B6831" s="133"/>
      <c r="C6831" s="120"/>
      <c r="D6831" s="120"/>
      <c r="E6831" s="120"/>
      <c r="F6831" s="120"/>
      <c r="G6831" s="120"/>
      <c r="H6831" s="120"/>
      <c r="I6831" s="121"/>
      <c r="J6831" s="121"/>
      <c r="K6831" s="117"/>
    </row>
    <row r="6832" ht="15.75" customHeight="1">
      <c r="A6832" s="122"/>
      <c r="B6832" s="133"/>
      <c r="C6832" s="120"/>
      <c r="D6832" s="120"/>
      <c r="E6832" s="120"/>
      <c r="F6832" s="120"/>
      <c r="G6832" s="120"/>
      <c r="H6832" s="120"/>
      <c r="I6832" s="121"/>
      <c r="J6832" s="121"/>
      <c r="K6832" s="117"/>
    </row>
    <row r="6833" ht="15.75" customHeight="1">
      <c r="A6833" s="122"/>
      <c r="B6833" s="133"/>
      <c r="C6833" s="120"/>
      <c r="D6833" s="120"/>
      <c r="E6833" s="120"/>
      <c r="F6833" s="120"/>
      <c r="G6833" s="120"/>
      <c r="H6833" s="120"/>
      <c r="I6833" s="121"/>
      <c r="J6833" s="121"/>
      <c r="K6833" s="117"/>
    </row>
    <row r="6834" ht="15.75" customHeight="1">
      <c r="A6834" s="122"/>
      <c r="B6834" s="133"/>
      <c r="C6834" s="120"/>
      <c r="D6834" s="120"/>
      <c r="E6834" s="120"/>
      <c r="F6834" s="120"/>
      <c r="G6834" s="120"/>
      <c r="H6834" s="120"/>
      <c r="I6834" s="121"/>
      <c r="J6834" s="121"/>
      <c r="K6834" s="117"/>
    </row>
    <row r="6835" ht="15.75" customHeight="1">
      <c r="A6835" s="122"/>
      <c r="B6835" s="133"/>
      <c r="C6835" s="120"/>
      <c r="D6835" s="120"/>
      <c r="E6835" s="120"/>
      <c r="F6835" s="120"/>
      <c r="G6835" s="120"/>
      <c r="H6835" s="120"/>
      <c r="I6835" s="121"/>
      <c r="J6835" s="121"/>
      <c r="K6835" s="117"/>
    </row>
    <row r="6836" ht="15.75" customHeight="1">
      <c r="A6836" s="122"/>
      <c r="B6836" s="133"/>
      <c r="C6836" s="120"/>
      <c r="D6836" s="120"/>
      <c r="E6836" s="120"/>
      <c r="F6836" s="120"/>
      <c r="G6836" s="120"/>
      <c r="H6836" s="120"/>
      <c r="I6836" s="121"/>
      <c r="J6836" s="121"/>
      <c r="K6836" s="117"/>
    </row>
    <row r="6837" ht="15.75" customHeight="1">
      <c r="A6837" s="122"/>
      <c r="B6837" s="133"/>
      <c r="C6837" s="120"/>
      <c r="D6837" s="120"/>
      <c r="E6837" s="120"/>
      <c r="F6837" s="120"/>
      <c r="G6837" s="120"/>
      <c r="H6837" s="120"/>
      <c r="I6837" s="121"/>
      <c r="J6837" s="121"/>
      <c r="K6837" s="117"/>
    </row>
    <row r="6838" ht="15.75" customHeight="1">
      <c r="A6838" s="122"/>
      <c r="B6838" s="133"/>
      <c r="C6838" s="120"/>
      <c r="D6838" s="120"/>
      <c r="E6838" s="120"/>
      <c r="F6838" s="120"/>
      <c r="G6838" s="120"/>
      <c r="H6838" s="120"/>
      <c r="I6838" s="121"/>
      <c r="J6838" s="121"/>
      <c r="K6838" s="117"/>
    </row>
    <row r="6839" ht="15.75" customHeight="1">
      <c r="A6839" s="122"/>
      <c r="B6839" s="133"/>
      <c r="C6839" s="120"/>
      <c r="D6839" s="120"/>
      <c r="E6839" s="120"/>
      <c r="F6839" s="120"/>
      <c r="G6839" s="120"/>
      <c r="H6839" s="120"/>
      <c r="I6839" s="121"/>
      <c r="J6839" s="121"/>
      <c r="K6839" s="117"/>
    </row>
    <row r="6840" ht="15.75" customHeight="1">
      <c r="A6840" s="122"/>
      <c r="B6840" s="133"/>
      <c r="C6840" s="120"/>
      <c r="D6840" s="120"/>
      <c r="E6840" s="120"/>
      <c r="F6840" s="120"/>
      <c r="G6840" s="120"/>
      <c r="H6840" s="120"/>
      <c r="I6840" s="121"/>
      <c r="J6840" s="121"/>
      <c r="K6840" s="117"/>
    </row>
    <row r="6841" ht="15.75" customHeight="1">
      <c r="A6841" s="122"/>
      <c r="B6841" s="133"/>
      <c r="C6841" s="120"/>
      <c r="D6841" s="120"/>
      <c r="E6841" s="120"/>
      <c r="F6841" s="120"/>
      <c r="G6841" s="120"/>
      <c r="H6841" s="120"/>
      <c r="I6841" s="121"/>
      <c r="J6841" s="121"/>
      <c r="K6841" s="117"/>
    </row>
    <row r="6842" ht="15.75" customHeight="1">
      <c r="A6842" s="122"/>
      <c r="B6842" s="133"/>
      <c r="C6842" s="120"/>
      <c r="D6842" s="120"/>
      <c r="E6842" s="120"/>
      <c r="F6842" s="120"/>
      <c r="G6842" s="120"/>
      <c r="H6842" s="120"/>
      <c r="I6842" s="121"/>
      <c r="J6842" s="121"/>
      <c r="K6842" s="117"/>
    </row>
    <row r="6843" ht="15.75" customHeight="1">
      <c r="A6843" s="122"/>
      <c r="B6843" s="133"/>
      <c r="C6843" s="120"/>
      <c r="D6843" s="120"/>
      <c r="E6843" s="120"/>
      <c r="F6843" s="120"/>
      <c r="G6843" s="120"/>
      <c r="H6843" s="120"/>
      <c r="I6843" s="121"/>
      <c r="J6843" s="121"/>
      <c r="K6843" s="117"/>
    </row>
    <row r="6844" ht="15.75" customHeight="1">
      <c r="A6844" s="122"/>
      <c r="B6844" s="133"/>
      <c r="C6844" s="120"/>
      <c r="D6844" s="120"/>
      <c r="E6844" s="120"/>
      <c r="F6844" s="120"/>
      <c r="G6844" s="120"/>
      <c r="H6844" s="120"/>
      <c r="I6844" s="121"/>
      <c r="J6844" s="121"/>
      <c r="K6844" s="117"/>
    </row>
    <row r="6845" ht="15.75" customHeight="1">
      <c r="A6845" s="122"/>
      <c r="B6845" s="133"/>
      <c r="C6845" s="120"/>
      <c r="D6845" s="120"/>
      <c r="E6845" s="120"/>
      <c r="F6845" s="120"/>
      <c r="G6845" s="120"/>
      <c r="H6845" s="120"/>
      <c r="I6845" s="121"/>
      <c r="J6845" s="121"/>
      <c r="K6845" s="117"/>
    </row>
    <row r="6846" ht="15.75" customHeight="1">
      <c r="A6846" s="122"/>
      <c r="B6846" s="133"/>
      <c r="C6846" s="120"/>
      <c r="D6846" s="120"/>
      <c r="E6846" s="120"/>
      <c r="F6846" s="120"/>
      <c r="G6846" s="120"/>
      <c r="H6846" s="120"/>
      <c r="I6846" s="121"/>
      <c r="J6846" s="121"/>
      <c r="K6846" s="117"/>
    </row>
    <row r="6847" ht="15.75" customHeight="1">
      <c r="A6847" s="122"/>
      <c r="B6847" s="133"/>
      <c r="C6847" s="120"/>
      <c r="D6847" s="120"/>
      <c r="E6847" s="120"/>
      <c r="F6847" s="120"/>
      <c r="G6847" s="120"/>
      <c r="H6847" s="120"/>
      <c r="I6847" s="121"/>
      <c r="J6847" s="121"/>
      <c r="K6847" s="117"/>
    </row>
    <row r="6848" ht="15.75" customHeight="1">
      <c r="A6848" s="122"/>
      <c r="B6848" s="133"/>
      <c r="C6848" s="120"/>
      <c r="D6848" s="120"/>
      <c r="E6848" s="120"/>
      <c r="F6848" s="120"/>
      <c r="G6848" s="120"/>
      <c r="H6848" s="120"/>
      <c r="I6848" s="121"/>
      <c r="J6848" s="121"/>
      <c r="K6848" s="117"/>
    </row>
    <row r="6849" ht="15.75" customHeight="1">
      <c r="A6849" s="122"/>
      <c r="B6849" s="133"/>
      <c r="C6849" s="120"/>
      <c r="D6849" s="120"/>
      <c r="E6849" s="120"/>
      <c r="F6849" s="120"/>
      <c r="G6849" s="120"/>
      <c r="H6849" s="120"/>
      <c r="I6849" s="121"/>
      <c r="J6849" s="121"/>
      <c r="K6849" s="117"/>
    </row>
    <row r="6850" ht="15.75" customHeight="1">
      <c r="A6850" s="122"/>
      <c r="B6850" s="133"/>
      <c r="C6850" s="120"/>
      <c r="D6850" s="120"/>
      <c r="E6850" s="120"/>
      <c r="F6850" s="120"/>
      <c r="G6850" s="120"/>
      <c r="H6850" s="120"/>
      <c r="I6850" s="121"/>
      <c r="J6850" s="121"/>
      <c r="K6850" s="117"/>
    </row>
    <row r="6851" ht="15.75" customHeight="1">
      <c r="A6851" s="122"/>
      <c r="B6851" s="133"/>
      <c r="C6851" s="120"/>
      <c r="D6851" s="120"/>
      <c r="E6851" s="120"/>
      <c r="F6851" s="120"/>
      <c r="G6851" s="120"/>
      <c r="H6851" s="120"/>
      <c r="I6851" s="121"/>
      <c r="J6851" s="121"/>
      <c r="K6851" s="117"/>
    </row>
    <row r="6852" ht="15.75" customHeight="1">
      <c r="A6852" s="122"/>
      <c r="B6852" s="133"/>
      <c r="C6852" s="120"/>
      <c r="D6852" s="120"/>
      <c r="E6852" s="120"/>
      <c r="F6852" s="120"/>
      <c r="G6852" s="120"/>
      <c r="H6852" s="120"/>
      <c r="I6852" s="121"/>
      <c r="J6852" s="121"/>
      <c r="K6852" s="117"/>
    </row>
    <row r="6853" ht="15.75" customHeight="1">
      <c r="A6853" s="122"/>
      <c r="B6853" s="133"/>
      <c r="C6853" s="120"/>
      <c r="D6853" s="120"/>
      <c r="E6853" s="120"/>
      <c r="F6853" s="120"/>
      <c r="G6853" s="120"/>
      <c r="H6853" s="120"/>
      <c r="I6853" s="121"/>
      <c r="J6853" s="121"/>
      <c r="K6853" s="117"/>
    </row>
    <row r="6854" ht="15.75" customHeight="1">
      <c r="A6854" s="122"/>
      <c r="B6854" s="133"/>
      <c r="C6854" s="120"/>
      <c r="D6854" s="120"/>
      <c r="E6854" s="120"/>
      <c r="F6854" s="120"/>
      <c r="G6854" s="120"/>
      <c r="H6854" s="120"/>
      <c r="I6854" s="121"/>
      <c r="J6854" s="121"/>
      <c r="K6854" s="117"/>
    </row>
    <row r="6855" ht="15.75" customHeight="1">
      <c r="A6855" s="122"/>
      <c r="B6855" s="133"/>
      <c r="C6855" s="120"/>
      <c r="D6855" s="120"/>
      <c r="E6855" s="120"/>
      <c r="F6855" s="120"/>
      <c r="G6855" s="120"/>
      <c r="H6855" s="120"/>
      <c r="I6855" s="121"/>
      <c r="J6855" s="121"/>
      <c r="K6855" s="117"/>
    </row>
    <row r="6856" ht="15.75" customHeight="1">
      <c r="A6856" s="122"/>
      <c r="B6856" s="133"/>
      <c r="C6856" s="120"/>
      <c r="D6856" s="120"/>
      <c r="E6856" s="120"/>
      <c r="F6856" s="120"/>
      <c r="G6856" s="120"/>
      <c r="H6856" s="120"/>
      <c r="I6856" s="121"/>
      <c r="J6856" s="121"/>
      <c r="K6856" s="117"/>
    </row>
    <row r="6857" ht="15.75" customHeight="1">
      <c r="A6857" s="122"/>
      <c r="B6857" s="133"/>
      <c r="C6857" s="120"/>
      <c r="D6857" s="120"/>
      <c r="E6857" s="120"/>
      <c r="F6857" s="120"/>
      <c r="G6857" s="120"/>
      <c r="H6857" s="120"/>
      <c r="I6857" s="121"/>
      <c r="J6857" s="121"/>
      <c r="K6857" s="117"/>
    </row>
    <row r="6858" ht="15.75" customHeight="1">
      <c r="A6858" s="122"/>
      <c r="B6858" s="133"/>
      <c r="C6858" s="120"/>
      <c r="D6858" s="120"/>
      <c r="E6858" s="120"/>
      <c r="F6858" s="120"/>
      <c r="G6858" s="120"/>
      <c r="H6858" s="120"/>
      <c r="I6858" s="121"/>
      <c r="J6858" s="121"/>
      <c r="K6858" s="117"/>
    </row>
    <row r="6859" ht="15.75" customHeight="1">
      <c r="A6859" s="122"/>
      <c r="B6859" s="133"/>
      <c r="C6859" s="120"/>
      <c r="D6859" s="120"/>
      <c r="E6859" s="120"/>
      <c r="F6859" s="120"/>
      <c r="G6859" s="120"/>
      <c r="H6859" s="120"/>
      <c r="I6859" s="121"/>
      <c r="J6859" s="121"/>
      <c r="K6859" s="117"/>
    </row>
    <row r="6860" ht="15.75" customHeight="1">
      <c r="A6860" s="122"/>
      <c r="B6860" s="133"/>
      <c r="C6860" s="120"/>
      <c r="D6860" s="120"/>
      <c r="E6860" s="120"/>
      <c r="F6860" s="120"/>
      <c r="G6860" s="120"/>
      <c r="H6860" s="120"/>
      <c r="I6860" s="121"/>
      <c r="J6860" s="121"/>
      <c r="K6860" s="117"/>
    </row>
    <row r="6861" ht="15.75" customHeight="1">
      <c r="A6861" s="122"/>
      <c r="B6861" s="133"/>
      <c r="C6861" s="120"/>
      <c r="D6861" s="120"/>
      <c r="E6861" s="120"/>
      <c r="F6861" s="120"/>
      <c r="G6861" s="120"/>
      <c r="H6861" s="120"/>
      <c r="I6861" s="121"/>
      <c r="J6861" s="121"/>
      <c r="K6861" s="117"/>
    </row>
    <row r="6862" ht="15.75" customHeight="1">
      <c r="A6862" s="122"/>
      <c r="B6862" s="133"/>
      <c r="C6862" s="120"/>
      <c r="D6862" s="120"/>
      <c r="E6862" s="120"/>
      <c r="F6862" s="120"/>
      <c r="G6862" s="120"/>
      <c r="H6862" s="120"/>
      <c r="I6862" s="121"/>
      <c r="J6862" s="121"/>
      <c r="K6862" s="117"/>
    </row>
    <row r="6863" ht="15.75" customHeight="1">
      <c r="A6863" s="122"/>
      <c r="B6863" s="133"/>
      <c r="C6863" s="120"/>
      <c r="D6863" s="120"/>
      <c r="E6863" s="120"/>
      <c r="F6863" s="120"/>
      <c r="G6863" s="120"/>
      <c r="H6863" s="120"/>
      <c r="I6863" s="121"/>
      <c r="J6863" s="121"/>
      <c r="K6863" s="117"/>
    </row>
    <row r="6864" ht="15.75" customHeight="1">
      <c r="A6864" s="122"/>
      <c r="B6864" s="133"/>
      <c r="C6864" s="120"/>
      <c r="D6864" s="120"/>
      <c r="E6864" s="120"/>
      <c r="F6864" s="120"/>
      <c r="G6864" s="120"/>
      <c r="H6864" s="120"/>
      <c r="I6864" s="121"/>
      <c r="J6864" s="121"/>
      <c r="K6864" s="117"/>
    </row>
    <row r="6865" ht="15.75" customHeight="1">
      <c r="A6865" s="122"/>
      <c r="B6865" s="133"/>
      <c r="C6865" s="120"/>
      <c r="D6865" s="120"/>
      <c r="E6865" s="120"/>
      <c r="F6865" s="120"/>
      <c r="G6865" s="120"/>
      <c r="H6865" s="120"/>
      <c r="I6865" s="121"/>
      <c r="J6865" s="121"/>
      <c r="K6865" s="117"/>
    </row>
    <row r="6866" ht="15.75" customHeight="1">
      <c r="A6866" s="122"/>
      <c r="B6866" s="133"/>
      <c r="C6866" s="120"/>
      <c r="D6866" s="120"/>
      <c r="E6866" s="120"/>
      <c r="F6866" s="120"/>
      <c r="G6866" s="120"/>
      <c r="H6866" s="120"/>
      <c r="I6866" s="121"/>
      <c r="J6866" s="121"/>
      <c r="K6866" s="117"/>
    </row>
    <row r="6867" ht="15.75" customHeight="1">
      <c r="A6867" s="122"/>
      <c r="B6867" s="133"/>
      <c r="C6867" s="120"/>
      <c r="D6867" s="120"/>
      <c r="E6867" s="120"/>
      <c r="F6867" s="120"/>
      <c r="G6867" s="120"/>
      <c r="H6867" s="120"/>
      <c r="I6867" s="121"/>
      <c r="J6867" s="121"/>
      <c r="K6867" s="117"/>
    </row>
    <row r="6868" ht="15.75" customHeight="1">
      <c r="A6868" s="122"/>
      <c r="B6868" s="133"/>
      <c r="C6868" s="120"/>
      <c r="D6868" s="120"/>
      <c r="E6868" s="120"/>
      <c r="F6868" s="120"/>
      <c r="G6868" s="120"/>
      <c r="H6868" s="120"/>
      <c r="I6868" s="121"/>
      <c r="J6868" s="121"/>
      <c r="K6868" s="117"/>
    </row>
    <row r="6869" ht="15.75" customHeight="1">
      <c r="A6869" s="122"/>
      <c r="B6869" s="133"/>
      <c r="C6869" s="120"/>
      <c r="D6869" s="120"/>
      <c r="E6869" s="120"/>
      <c r="F6869" s="120"/>
      <c r="G6869" s="120"/>
      <c r="H6869" s="120"/>
      <c r="I6869" s="121"/>
      <c r="J6869" s="121"/>
      <c r="K6869" s="117"/>
    </row>
    <row r="6870" ht="15.75" customHeight="1">
      <c r="A6870" s="122"/>
      <c r="B6870" s="133"/>
      <c r="C6870" s="120"/>
      <c r="D6870" s="120"/>
      <c r="E6870" s="120"/>
      <c r="F6870" s="120"/>
      <c r="G6870" s="120"/>
      <c r="H6870" s="120"/>
      <c r="I6870" s="121"/>
      <c r="J6870" s="121"/>
      <c r="K6870" s="117"/>
    </row>
    <row r="6871" ht="15.75" customHeight="1">
      <c r="A6871" s="122"/>
      <c r="B6871" s="133"/>
      <c r="C6871" s="120"/>
      <c r="D6871" s="120"/>
      <c r="E6871" s="120"/>
      <c r="F6871" s="120"/>
      <c r="G6871" s="120"/>
      <c r="H6871" s="120"/>
      <c r="I6871" s="121"/>
      <c r="J6871" s="121"/>
      <c r="K6871" s="117"/>
    </row>
    <row r="6872" ht="15.75" customHeight="1">
      <c r="A6872" s="122"/>
      <c r="B6872" s="133"/>
      <c r="C6872" s="120"/>
      <c r="D6872" s="120"/>
      <c r="E6872" s="120"/>
      <c r="F6872" s="120"/>
      <c r="G6872" s="120"/>
      <c r="H6872" s="120"/>
      <c r="I6872" s="121"/>
      <c r="J6872" s="121"/>
      <c r="K6872" s="117"/>
    </row>
    <row r="6873" ht="15.75" customHeight="1">
      <c r="A6873" s="122"/>
      <c r="B6873" s="133"/>
      <c r="C6873" s="120"/>
      <c r="D6873" s="120"/>
      <c r="E6873" s="120"/>
      <c r="F6873" s="120"/>
      <c r="G6873" s="120"/>
      <c r="H6873" s="120"/>
      <c r="I6873" s="121"/>
      <c r="J6873" s="121"/>
      <c r="K6873" s="117"/>
    </row>
    <row r="6874" ht="15.75" customHeight="1">
      <c r="A6874" s="122"/>
      <c r="B6874" s="133"/>
      <c r="C6874" s="120"/>
      <c r="D6874" s="120"/>
      <c r="E6874" s="120"/>
      <c r="F6874" s="120"/>
      <c r="G6874" s="120"/>
      <c r="H6874" s="120"/>
      <c r="I6874" s="121"/>
      <c r="J6874" s="121"/>
      <c r="K6874" s="117"/>
    </row>
    <row r="6875" ht="15.75" customHeight="1">
      <c r="A6875" s="122"/>
      <c r="B6875" s="133"/>
      <c r="C6875" s="120"/>
      <c r="D6875" s="120"/>
      <c r="E6875" s="120"/>
      <c r="F6875" s="120"/>
      <c r="G6875" s="120"/>
      <c r="H6875" s="120"/>
      <c r="I6875" s="121"/>
      <c r="J6875" s="121"/>
      <c r="K6875" s="117"/>
    </row>
    <row r="6876" ht="15.75" customHeight="1">
      <c r="A6876" s="122"/>
      <c r="B6876" s="133"/>
      <c r="C6876" s="120"/>
      <c r="D6876" s="120"/>
      <c r="E6876" s="120"/>
      <c r="F6876" s="120"/>
      <c r="G6876" s="120"/>
      <c r="H6876" s="120"/>
      <c r="I6876" s="121"/>
      <c r="J6876" s="121"/>
      <c r="K6876" s="117"/>
    </row>
    <row r="6877" ht="15.75" customHeight="1">
      <c r="A6877" s="122"/>
      <c r="B6877" s="133"/>
      <c r="C6877" s="120"/>
      <c r="D6877" s="120"/>
      <c r="E6877" s="120"/>
      <c r="F6877" s="120"/>
      <c r="G6877" s="120"/>
      <c r="H6877" s="120"/>
      <c r="I6877" s="121"/>
      <c r="J6877" s="121"/>
      <c r="K6877" s="117"/>
    </row>
    <row r="6878" ht="15.75" customHeight="1">
      <c r="A6878" s="122"/>
      <c r="B6878" s="133"/>
      <c r="C6878" s="120"/>
      <c r="D6878" s="120"/>
      <c r="E6878" s="120"/>
      <c r="F6878" s="120"/>
      <c r="G6878" s="120"/>
      <c r="H6878" s="120"/>
      <c r="I6878" s="121"/>
      <c r="J6878" s="121"/>
      <c r="K6878" s="117"/>
    </row>
    <row r="6879" ht="15.75" customHeight="1">
      <c r="A6879" s="122"/>
      <c r="B6879" s="133"/>
      <c r="C6879" s="120"/>
      <c r="D6879" s="120"/>
      <c r="E6879" s="120"/>
      <c r="F6879" s="120"/>
      <c r="G6879" s="120"/>
      <c r="H6879" s="120"/>
      <c r="I6879" s="121"/>
      <c r="J6879" s="121"/>
      <c r="K6879" s="117"/>
    </row>
    <row r="6880" ht="15.75" customHeight="1">
      <c r="A6880" s="122"/>
      <c r="B6880" s="133"/>
      <c r="C6880" s="120"/>
      <c r="D6880" s="120"/>
      <c r="E6880" s="120"/>
      <c r="F6880" s="120"/>
      <c r="G6880" s="120"/>
      <c r="H6880" s="120"/>
      <c r="I6880" s="121"/>
      <c r="J6880" s="121"/>
      <c r="K6880" s="117"/>
    </row>
    <row r="6881" ht="15.75" customHeight="1">
      <c r="A6881" s="122"/>
      <c r="B6881" s="133"/>
      <c r="C6881" s="120"/>
      <c r="D6881" s="120"/>
      <c r="E6881" s="120"/>
      <c r="F6881" s="120"/>
      <c r="G6881" s="120"/>
      <c r="H6881" s="120"/>
      <c r="I6881" s="121"/>
      <c r="J6881" s="121"/>
      <c r="K6881" s="117"/>
    </row>
    <row r="6882" ht="15.75" customHeight="1">
      <c r="A6882" s="122"/>
      <c r="B6882" s="133"/>
      <c r="C6882" s="120"/>
      <c r="D6882" s="120"/>
      <c r="E6882" s="120"/>
      <c r="F6882" s="120"/>
      <c r="G6882" s="120"/>
      <c r="H6882" s="120"/>
      <c r="I6882" s="121"/>
      <c r="J6882" s="121"/>
      <c r="K6882" s="117"/>
    </row>
    <row r="6883" ht="15.75" customHeight="1">
      <c r="A6883" s="122"/>
      <c r="B6883" s="133"/>
      <c r="C6883" s="120"/>
      <c r="D6883" s="120"/>
      <c r="E6883" s="120"/>
      <c r="F6883" s="120"/>
      <c r="G6883" s="120"/>
      <c r="H6883" s="120"/>
      <c r="I6883" s="121"/>
      <c r="J6883" s="121"/>
      <c r="K6883" s="117"/>
    </row>
    <row r="6884" ht="15.75" customHeight="1">
      <c r="A6884" s="122"/>
      <c r="B6884" s="133"/>
      <c r="C6884" s="120"/>
      <c r="D6884" s="120"/>
      <c r="E6884" s="120"/>
      <c r="F6884" s="120"/>
      <c r="G6884" s="120"/>
      <c r="H6884" s="120"/>
      <c r="I6884" s="121"/>
      <c r="J6884" s="121"/>
      <c r="K6884" s="117"/>
    </row>
    <row r="6885" ht="15.75" customHeight="1">
      <c r="A6885" s="122"/>
      <c r="B6885" s="133"/>
      <c r="C6885" s="120"/>
      <c r="D6885" s="120"/>
      <c r="E6885" s="120"/>
      <c r="F6885" s="120"/>
      <c r="G6885" s="120"/>
      <c r="H6885" s="120"/>
      <c r="I6885" s="121"/>
      <c r="J6885" s="121"/>
      <c r="K6885" s="117"/>
    </row>
    <row r="6886" ht="15.75" customHeight="1">
      <c r="A6886" s="122"/>
      <c r="B6886" s="133"/>
      <c r="C6886" s="120"/>
      <c r="D6886" s="120"/>
      <c r="E6886" s="120"/>
      <c r="F6886" s="120"/>
      <c r="G6886" s="120"/>
      <c r="H6886" s="120"/>
      <c r="I6886" s="121"/>
      <c r="J6886" s="121"/>
      <c r="K6886" s="117"/>
    </row>
    <row r="6887" ht="15.75" customHeight="1">
      <c r="A6887" s="122"/>
      <c r="B6887" s="133"/>
      <c r="C6887" s="120"/>
      <c r="D6887" s="120"/>
      <c r="E6887" s="120"/>
      <c r="F6887" s="120"/>
      <c r="G6887" s="120"/>
      <c r="H6887" s="120"/>
      <c r="I6887" s="121"/>
      <c r="J6887" s="121"/>
      <c r="K6887" s="117"/>
    </row>
    <row r="6888" ht="15.75" customHeight="1">
      <c r="A6888" s="122"/>
      <c r="B6888" s="133"/>
      <c r="C6888" s="120"/>
      <c r="D6888" s="120"/>
      <c r="E6888" s="120"/>
      <c r="F6888" s="120"/>
      <c r="G6888" s="120"/>
      <c r="H6888" s="120"/>
      <c r="I6888" s="121"/>
      <c r="J6888" s="121"/>
      <c r="K6888" s="117"/>
    </row>
    <row r="6889" ht="15.75" customHeight="1">
      <c r="A6889" s="122"/>
      <c r="B6889" s="133"/>
      <c r="C6889" s="120"/>
      <c r="D6889" s="120"/>
      <c r="E6889" s="120"/>
      <c r="F6889" s="120"/>
      <c r="G6889" s="120"/>
      <c r="H6889" s="120"/>
      <c r="I6889" s="121"/>
      <c r="J6889" s="121"/>
      <c r="K6889" s="117"/>
    </row>
    <row r="6890" ht="15.75" customHeight="1">
      <c r="A6890" s="122"/>
      <c r="B6890" s="133"/>
      <c r="C6890" s="120"/>
      <c r="D6890" s="120"/>
      <c r="E6890" s="120"/>
      <c r="F6890" s="120"/>
      <c r="G6890" s="120"/>
      <c r="H6890" s="120"/>
      <c r="I6890" s="121"/>
      <c r="J6890" s="121"/>
      <c r="K6890" s="117"/>
    </row>
    <row r="6891" ht="15.75" customHeight="1">
      <c r="A6891" s="122"/>
      <c r="B6891" s="133"/>
      <c r="C6891" s="120"/>
      <c r="D6891" s="120"/>
      <c r="E6891" s="120"/>
      <c r="F6891" s="120"/>
      <c r="G6891" s="120"/>
      <c r="H6891" s="120"/>
      <c r="I6891" s="121"/>
      <c r="J6891" s="121"/>
      <c r="K6891" s="117"/>
    </row>
    <row r="6892" ht="15.75" customHeight="1">
      <c r="A6892" s="122"/>
      <c r="B6892" s="133"/>
      <c r="C6892" s="120"/>
      <c r="D6892" s="120"/>
      <c r="E6892" s="120"/>
      <c r="F6892" s="120"/>
      <c r="G6892" s="120"/>
      <c r="H6892" s="120"/>
      <c r="I6892" s="121"/>
      <c r="J6892" s="121"/>
      <c r="K6892" s="117"/>
    </row>
    <row r="6893" ht="15.75" customHeight="1">
      <c r="A6893" s="122"/>
      <c r="B6893" s="133"/>
      <c r="C6893" s="120"/>
      <c r="D6893" s="120"/>
      <c r="E6893" s="120"/>
      <c r="F6893" s="120"/>
      <c r="G6893" s="120"/>
      <c r="H6893" s="120"/>
      <c r="I6893" s="121"/>
      <c r="J6893" s="121"/>
      <c r="K6893" s="117"/>
    </row>
    <row r="6894" ht="15.75" customHeight="1">
      <c r="A6894" s="122"/>
      <c r="B6894" s="133"/>
      <c r="C6894" s="120"/>
      <c r="D6894" s="120"/>
      <c r="E6894" s="120"/>
      <c r="F6894" s="120"/>
      <c r="G6894" s="120"/>
      <c r="H6894" s="120"/>
      <c r="I6894" s="121"/>
      <c r="J6894" s="121"/>
      <c r="K6894" s="117"/>
    </row>
    <row r="6895" ht="15.75" customHeight="1">
      <c r="A6895" s="122"/>
      <c r="B6895" s="133"/>
      <c r="C6895" s="120"/>
      <c r="D6895" s="120"/>
      <c r="E6895" s="120"/>
      <c r="F6895" s="120"/>
      <c r="G6895" s="120"/>
      <c r="H6895" s="120"/>
      <c r="I6895" s="121"/>
      <c r="J6895" s="121"/>
      <c r="K6895" s="117"/>
    </row>
    <row r="6896" ht="15.75" customHeight="1">
      <c r="A6896" s="122"/>
      <c r="B6896" s="133"/>
      <c r="C6896" s="120"/>
      <c r="D6896" s="120"/>
      <c r="E6896" s="120"/>
      <c r="F6896" s="120"/>
      <c r="G6896" s="120"/>
      <c r="H6896" s="120"/>
      <c r="I6896" s="121"/>
      <c r="J6896" s="121"/>
      <c r="K6896" s="117"/>
    </row>
    <row r="6897" ht="15.75" customHeight="1">
      <c r="A6897" s="122"/>
      <c r="B6897" s="133"/>
      <c r="C6897" s="120"/>
      <c r="D6897" s="120"/>
      <c r="E6897" s="120"/>
      <c r="F6897" s="120"/>
      <c r="G6897" s="120"/>
      <c r="H6897" s="120"/>
      <c r="I6897" s="121"/>
      <c r="J6897" s="121"/>
      <c r="K6897" s="117"/>
    </row>
    <row r="6898" ht="15.75" customHeight="1">
      <c r="A6898" s="122"/>
      <c r="B6898" s="133"/>
      <c r="C6898" s="120"/>
      <c r="D6898" s="120"/>
      <c r="E6898" s="120"/>
      <c r="F6898" s="120"/>
      <c r="G6898" s="120"/>
      <c r="H6898" s="120"/>
      <c r="I6898" s="121"/>
      <c r="J6898" s="121"/>
      <c r="K6898" s="117"/>
    </row>
    <row r="6899" ht="15.75" customHeight="1">
      <c r="A6899" s="122"/>
      <c r="B6899" s="133"/>
      <c r="C6899" s="120"/>
      <c r="D6899" s="120"/>
      <c r="E6899" s="120"/>
      <c r="F6899" s="120"/>
      <c r="G6899" s="120"/>
      <c r="H6899" s="120"/>
      <c r="I6899" s="121"/>
      <c r="J6899" s="121"/>
      <c r="K6899" s="117"/>
    </row>
    <row r="6900" ht="15.75" customHeight="1">
      <c r="A6900" s="122"/>
      <c r="B6900" s="133"/>
      <c r="C6900" s="120"/>
      <c r="D6900" s="120"/>
      <c r="E6900" s="120"/>
      <c r="F6900" s="120"/>
      <c r="G6900" s="120"/>
      <c r="H6900" s="120"/>
      <c r="I6900" s="121"/>
      <c r="J6900" s="121"/>
      <c r="K6900" s="117"/>
    </row>
    <row r="6901" ht="15.75" customHeight="1">
      <c r="A6901" s="122"/>
      <c r="B6901" s="133"/>
      <c r="C6901" s="120"/>
      <c r="D6901" s="120"/>
      <c r="E6901" s="120"/>
      <c r="F6901" s="120"/>
      <c r="G6901" s="120"/>
      <c r="H6901" s="120"/>
      <c r="I6901" s="121"/>
      <c r="J6901" s="121"/>
      <c r="K6901" s="117"/>
    </row>
    <row r="6902" ht="15.75" customHeight="1">
      <c r="A6902" s="122"/>
      <c r="B6902" s="133"/>
      <c r="C6902" s="120"/>
      <c r="D6902" s="120"/>
      <c r="E6902" s="120"/>
      <c r="F6902" s="120"/>
      <c r="G6902" s="120"/>
      <c r="H6902" s="120"/>
      <c r="I6902" s="121"/>
      <c r="J6902" s="121"/>
      <c r="K6902" s="117"/>
    </row>
    <row r="6903" ht="15.75" customHeight="1">
      <c r="A6903" s="122"/>
      <c r="B6903" s="133"/>
      <c r="C6903" s="120"/>
      <c r="D6903" s="120"/>
      <c r="E6903" s="120"/>
      <c r="F6903" s="120"/>
      <c r="G6903" s="120"/>
      <c r="H6903" s="120"/>
      <c r="I6903" s="121"/>
      <c r="J6903" s="121"/>
      <c r="K6903" s="117"/>
    </row>
    <row r="6904" ht="15.75" customHeight="1">
      <c r="A6904" s="122"/>
      <c r="B6904" s="133"/>
      <c r="C6904" s="120"/>
      <c r="D6904" s="120"/>
      <c r="E6904" s="120"/>
      <c r="F6904" s="120"/>
      <c r="G6904" s="120"/>
      <c r="H6904" s="120"/>
      <c r="I6904" s="121"/>
      <c r="J6904" s="121"/>
      <c r="K6904" s="117"/>
    </row>
    <row r="6905" ht="15.75" customHeight="1">
      <c r="A6905" s="122"/>
      <c r="B6905" s="133"/>
      <c r="C6905" s="120"/>
      <c r="D6905" s="120"/>
      <c r="E6905" s="120"/>
      <c r="F6905" s="120"/>
      <c r="G6905" s="120"/>
      <c r="H6905" s="120"/>
      <c r="I6905" s="121"/>
      <c r="J6905" s="121"/>
      <c r="K6905" s="117"/>
    </row>
    <row r="6906" ht="15.75" customHeight="1">
      <c r="A6906" s="122"/>
      <c r="B6906" s="133"/>
      <c r="C6906" s="120"/>
      <c r="D6906" s="120"/>
      <c r="E6906" s="120"/>
      <c r="F6906" s="120"/>
      <c r="G6906" s="120"/>
      <c r="H6906" s="120"/>
      <c r="I6906" s="121"/>
      <c r="J6906" s="121"/>
      <c r="K6906" s="117"/>
    </row>
    <row r="6907" ht="15.75" customHeight="1">
      <c r="A6907" s="122"/>
      <c r="B6907" s="133"/>
      <c r="C6907" s="120"/>
      <c r="D6907" s="120"/>
      <c r="E6907" s="120"/>
      <c r="F6907" s="120"/>
      <c r="G6907" s="120"/>
      <c r="H6907" s="120"/>
      <c r="I6907" s="121"/>
      <c r="J6907" s="121"/>
      <c r="K6907" s="117"/>
    </row>
    <row r="6908" ht="15.75" customHeight="1">
      <c r="A6908" s="122"/>
      <c r="B6908" s="133"/>
      <c r="C6908" s="120"/>
      <c r="D6908" s="120"/>
      <c r="E6908" s="120"/>
      <c r="F6908" s="120"/>
      <c r="G6908" s="120"/>
      <c r="H6908" s="120"/>
      <c r="I6908" s="121"/>
      <c r="J6908" s="121"/>
      <c r="K6908" s="117"/>
    </row>
    <row r="6909" ht="15.75" customHeight="1">
      <c r="A6909" s="122"/>
      <c r="B6909" s="133"/>
      <c r="C6909" s="120"/>
      <c r="D6909" s="120"/>
      <c r="E6909" s="120"/>
      <c r="F6909" s="120"/>
      <c r="G6909" s="120"/>
      <c r="H6909" s="120"/>
      <c r="I6909" s="121"/>
      <c r="J6909" s="121"/>
      <c r="K6909" s="117"/>
    </row>
    <row r="6910" ht="15.75" customHeight="1">
      <c r="A6910" s="122"/>
      <c r="B6910" s="133"/>
      <c r="C6910" s="120"/>
      <c r="D6910" s="120"/>
      <c r="E6910" s="120"/>
      <c r="F6910" s="120"/>
      <c r="G6910" s="120"/>
      <c r="H6910" s="120"/>
      <c r="I6910" s="121"/>
      <c r="J6910" s="121"/>
      <c r="K6910" s="117"/>
    </row>
    <row r="6911" ht="15.75" customHeight="1">
      <c r="A6911" s="122"/>
      <c r="B6911" s="133"/>
      <c r="C6911" s="120"/>
      <c r="D6911" s="120"/>
      <c r="E6911" s="120"/>
      <c r="F6911" s="120"/>
      <c r="G6911" s="120"/>
      <c r="H6911" s="120"/>
      <c r="I6911" s="121"/>
      <c r="J6911" s="121"/>
      <c r="K6911" s="117"/>
    </row>
    <row r="6912" ht="15.75" customHeight="1">
      <c r="A6912" s="122"/>
      <c r="B6912" s="133"/>
      <c r="C6912" s="120"/>
      <c r="D6912" s="120"/>
      <c r="E6912" s="120"/>
      <c r="F6912" s="120"/>
      <c r="G6912" s="120"/>
      <c r="H6912" s="120"/>
      <c r="I6912" s="121"/>
      <c r="J6912" s="121"/>
      <c r="K6912" s="117"/>
    </row>
    <row r="6913" ht="15.75" customHeight="1">
      <c r="A6913" s="122"/>
      <c r="B6913" s="133"/>
      <c r="C6913" s="120"/>
      <c r="D6913" s="120"/>
      <c r="E6913" s="120"/>
      <c r="F6913" s="120"/>
      <c r="G6913" s="120"/>
      <c r="H6913" s="120"/>
      <c r="I6913" s="121"/>
      <c r="J6913" s="121"/>
      <c r="K6913" s="117"/>
    </row>
    <row r="6914" ht="15.75" customHeight="1">
      <c r="A6914" s="122"/>
      <c r="B6914" s="133"/>
      <c r="C6914" s="120"/>
      <c r="D6914" s="120"/>
      <c r="E6914" s="120"/>
      <c r="F6914" s="120"/>
      <c r="G6914" s="120"/>
      <c r="H6914" s="120"/>
      <c r="I6914" s="121"/>
      <c r="J6914" s="121"/>
      <c r="K6914" s="117"/>
    </row>
    <row r="6915" ht="15.75" customHeight="1">
      <c r="A6915" s="122"/>
      <c r="B6915" s="133"/>
      <c r="C6915" s="120"/>
      <c r="D6915" s="120"/>
      <c r="E6915" s="120"/>
      <c r="F6915" s="120"/>
      <c r="G6915" s="120"/>
      <c r="H6915" s="120"/>
      <c r="I6915" s="121"/>
      <c r="J6915" s="121"/>
      <c r="K6915" s="117"/>
    </row>
    <row r="6916" ht="15.75" customHeight="1">
      <c r="A6916" s="122"/>
      <c r="B6916" s="133"/>
      <c r="C6916" s="120"/>
      <c r="D6916" s="120"/>
      <c r="E6916" s="120"/>
      <c r="F6916" s="120"/>
      <c r="G6916" s="120"/>
      <c r="H6916" s="120"/>
      <c r="I6916" s="121"/>
      <c r="J6916" s="121"/>
      <c r="K6916" s="117"/>
    </row>
    <row r="6917" ht="15.75" customHeight="1">
      <c r="A6917" s="122"/>
      <c r="B6917" s="133"/>
      <c r="C6917" s="120"/>
      <c r="D6917" s="120"/>
      <c r="E6917" s="120"/>
      <c r="F6917" s="120"/>
      <c r="G6917" s="120"/>
      <c r="H6917" s="120"/>
      <c r="I6917" s="121"/>
      <c r="J6917" s="121"/>
      <c r="K6917" s="117"/>
    </row>
    <row r="6918" ht="15.75" customHeight="1">
      <c r="A6918" s="122"/>
      <c r="B6918" s="133"/>
      <c r="C6918" s="120"/>
      <c r="D6918" s="120"/>
      <c r="E6918" s="120"/>
      <c r="F6918" s="120"/>
      <c r="G6918" s="120"/>
      <c r="H6918" s="120"/>
      <c r="I6918" s="121"/>
      <c r="J6918" s="121"/>
      <c r="K6918" s="117"/>
    </row>
    <row r="6919" ht="15.75" customHeight="1">
      <c r="A6919" s="122"/>
      <c r="B6919" s="133"/>
      <c r="C6919" s="120"/>
      <c r="D6919" s="120"/>
      <c r="E6919" s="120"/>
      <c r="F6919" s="120"/>
      <c r="G6919" s="120"/>
      <c r="H6919" s="120"/>
      <c r="I6919" s="121"/>
      <c r="J6919" s="121"/>
      <c r="K6919" s="117"/>
    </row>
    <row r="6920" ht="15.75" customHeight="1">
      <c r="A6920" s="122"/>
      <c r="B6920" s="133"/>
      <c r="C6920" s="120"/>
      <c r="D6920" s="120"/>
      <c r="E6920" s="120"/>
      <c r="F6920" s="120"/>
      <c r="G6920" s="120"/>
      <c r="H6920" s="120"/>
      <c r="I6920" s="121"/>
      <c r="J6920" s="121"/>
      <c r="K6920" s="117"/>
    </row>
    <row r="6921" ht="15.75" customHeight="1">
      <c r="A6921" s="122"/>
      <c r="B6921" s="133"/>
      <c r="C6921" s="120"/>
      <c r="D6921" s="120"/>
      <c r="E6921" s="120"/>
      <c r="F6921" s="120"/>
      <c r="G6921" s="120"/>
      <c r="H6921" s="120"/>
      <c r="I6921" s="121"/>
      <c r="J6921" s="121"/>
      <c r="K6921" s="117"/>
    </row>
    <row r="6922" ht="15.75" customHeight="1">
      <c r="A6922" s="122"/>
      <c r="B6922" s="133"/>
      <c r="C6922" s="120"/>
      <c r="D6922" s="120"/>
      <c r="E6922" s="120"/>
      <c r="F6922" s="120"/>
      <c r="G6922" s="120"/>
      <c r="H6922" s="120"/>
      <c r="I6922" s="121"/>
      <c r="J6922" s="121"/>
      <c r="K6922" s="117"/>
    </row>
    <row r="6923" ht="15.75" customHeight="1">
      <c r="A6923" s="122"/>
      <c r="B6923" s="133"/>
      <c r="C6923" s="120"/>
      <c r="D6923" s="120"/>
      <c r="E6923" s="120"/>
      <c r="F6923" s="120"/>
      <c r="G6923" s="120"/>
      <c r="H6923" s="120"/>
      <c r="I6923" s="121"/>
      <c r="J6923" s="121"/>
      <c r="K6923" s="117"/>
    </row>
    <row r="6924" ht="15.75" customHeight="1">
      <c r="A6924" s="122"/>
      <c r="B6924" s="133"/>
      <c r="C6924" s="120"/>
      <c r="D6924" s="120"/>
      <c r="E6924" s="120"/>
      <c r="F6924" s="120"/>
      <c r="G6924" s="120"/>
      <c r="H6924" s="120"/>
      <c r="I6924" s="121"/>
      <c r="J6924" s="121"/>
      <c r="K6924" s="117"/>
    </row>
    <row r="6925" ht="15.75" customHeight="1">
      <c r="A6925" s="122"/>
      <c r="B6925" s="133"/>
      <c r="C6925" s="120"/>
      <c r="D6925" s="120"/>
      <c r="E6925" s="120"/>
      <c r="F6925" s="120"/>
      <c r="G6925" s="120"/>
      <c r="H6925" s="120"/>
      <c r="I6925" s="121"/>
      <c r="J6925" s="121"/>
      <c r="K6925" s="117"/>
    </row>
    <row r="6926" ht="15.75" customHeight="1">
      <c r="A6926" s="122"/>
      <c r="B6926" s="133"/>
      <c r="C6926" s="120"/>
      <c r="D6926" s="120"/>
      <c r="E6926" s="120"/>
      <c r="F6926" s="120"/>
      <c r="G6926" s="120"/>
      <c r="H6926" s="120"/>
      <c r="I6926" s="121"/>
      <c r="J6926" s="121"/>
      <c r="K6926" s="117"/>
    </row>
    <row r="6927" ht="15.75" customHeight="1">
      <c r="A6927" s="122"/>
      <c r="B6927" s="133"/>
      <c r="C6927" s="120"/>
      <c r="D6927" s="120"/>
      <c r="E6927" s="120"/>
      <c r="F6927" s="120"/>
      <c r="G6927" s="120"/>
      <c r="H6927" s="120"/>
      <c r="I6927" s="121"/>
      <c r="J6927" s="121"/>
      <c r="K6927" s="117"/>
    </row>
    <row r="6928" ht="15.75" customHeight="1">
      <c r="A6928" s="122"/>
      <c r="B6928" s="133"/>
      <c r="C6928" s="120"/>
      <c r="D6928" s="120"/>
      <c r="E6928" s="120"/>
      <c r="F6928" s="120"/>
      <c r="G6928" s="120"/>
      <c r="H6928" s="120"/>
      <c r="I6928" s="121"/>
      <c r="J6928" s="121"/>
      <c r="K6928" s="117"/>
    </row>
    <row r="6929" ht="15.75" customHeight="1">
      <c r="A6929" s="122"/>
      <c r="B6929" s="133"/>
      <c r="C6929" s="120"/>
      <c r="D6929" s="120"/>
      <c r="E6929" s="120"/>
      <c r="F6929" s="120"/>
      <c r="G6929" s="120"/>
      <c r="H6929" s="120"/>
      <c r="I6929" s="121"/>
      <c r="J6929" s="121"/>
      <c r="K6929" s="117"/>
    </row>
    <row r="6930" ht="15.75" customHeight="1">
      <c r="A6930" s="122"/>
      <c r="B6930" s="133"/>
      <c r="C6930" s="120"/>
      <c r="D6930" s="120"/>
      <c r="E6930" s="120"/>
      <c r="F6930" s="120"/>
      <c r="G6930" s="120"/>
      <c r="H6930" s="120"/>
      <c r="I6930" s="121"/>
      <c r="J6930" s="121"/>
      <c r="K6930" s="117"/>
    </row>
    <row r="6931" ht="15.75" customHeight="1">
      <c r="A6931" s="122"/>
      <c r="B6931" s="133"/>
      <c r="C6931" s="120"/>
      <c r="D6931" s="120"/>
      <c r="E6931" s="120"/>
      <c r="F6931" s="120"/>
      <c r="G6931" s="120"/>
      <c r="H6931" s="120"/>
      <c r="I6931" s="121"/>
      <c r="J6931" s="121"/>
      <c r="K6931" s="117"/>
    </row>
    <row r="6932" ht="15.75" customHeight="1">
      <c r="A6932" s="122"/>
      <c r="B6932" s="133"/>
      <c r="C6932" s="120"/>
      <c r="D6932" s="120"/>
      <c r="E6932" s="120"/>
      <c r="F6932" s="120"/>
      <c r="G6932" s="120"/>
      <c r="H6932" s="120"/>
      <c r="I6932" s="121"/>
      <c r="J6932" s="121"/>
      <c r="K6932" s="117"/>
    </row>
    <row r="6933" ht="15.75" customHeight="1">
      <c r="A6933" s="122"/>
      <c r="B6933" s="133"/>
      <c r="C6933" s="120"/>
      <c r="D6933" s="120"/>
      <c r="E6933" s="120"/>
      <c r="F6933" s="120"/>
      <c r="G6933" s="120"/>
      <c r="H6933" s="120"/>
      <c r="I6933" s="121"/>
      <c r="J6933" s="121"/>
      <c r="K6933" s="117"/>
    </row>
    <row r="6934" ht="15.75" customHeight="1">
      <c r="A6934" s="122"/>
      <c r="B6934" s="133"/>
      <c r="C6934" s="120"/>
      <c r="D6934" s="120"/>
      <c r="E6934" s="120"/>
      <c r="F6934" s="120"/>
      <c r="G6934" s="120"/>
      <c r="H6934" s="120"/>
      <c r="I6934" s="121"/>
      <c r="J6934" s="121"/>
      <c r="K6934" s="117"/>
    </row>
    <row r="6935" ht="15.75" customHeight="1">
      <c r="A6935" s="122"/>
      <c r="B6935" s="133"/>
      <c r="C6935" s="120"/>
      <c r="D6935" s="120"/>
      <c r="E6935" s="120"/>
      <c r="F6935" s="120"/>
      <c r="G6935" s="120"/>
      <c r="H6935" s="120"/>
      <c r="I6935" s="121"/>
      <c r="J6935" s="121"/>
      <c r="K6935" s="117"/>
    </row>
    <row r="6936" ht="15.75" customHeight="1">
      <c r="A6936" s="122"/>
      <c r="B6936" s="133"/>
      <c r="C6936" s="120"/>
      <c r="D6936" s="120"/>
      <c r="E6936" s="120"/>
      <c r="F6936" s="120"/>
      <c r="G6936" s="120"/>
      <c r="H6936" s="120"/>
      <c r="I6936" s="121"/>
      <c r="J6936" s="121"/>
      <c r="K6936" s="117"/>
    </row>
    <row r="6937" ht="15.75" customHeight="1">
      <c r="A6937" s="122"/>
      <c r="B6937" s="133"/>
      <c r="C6937" s="120"/>
      <c r="D6937" s="120"/>
      <c r="E6937" s="120"/>
      <c r="F6937" s="120"/>
      <c r="G6937" s="120"/>
      <c r="H6937" s="120"/>
      <c r="I6937" s="121"/>
      <c r="J6937" s="121"/>
      <c r="K6937" s="117"/>
    </row>
    <row r="6938" ht="15.75" customHeight="1">
      <c r="A6938" s="122"/>
      <c r="B6938" s="133"/>
      <c r="C6938" s="120"/>
      <c r="D6938" s="120"/>
      <c r="E6938" s="120"/>
      <c r="F6938" s="120"/>
      <c r="G6938" s="120"/>
      <c r="H6938" s="120"/>
      <c r="I6938" s="121"/>
      <c r="J6938" s="121"/>
      <c r="K6938" s="117"/>
    </row>
    <row r="6939" ht="15.75" customHeight="1">
      <c r="A6939" s="122"/>
      <c r="B6939" s="133"/>
      <c r="C6939" s="120"/>
      <c r="D6939" s="120"/>
      <c r="E6939" s="120"/>
      <c r="F6939" s="120"/>
      <c r="G6939" s="120"/>
      <c r="H6939" s="120"/>
      <c r="I6939" s="121"/>
      <c r="J6939" s="121"/>
      <c r="K6939" s="117"/>
    </row>
    <row r="6940" ht="15.75" customHeight="1">
      <c r="A6940" s="122"/>
      <c r="B6940" s="133"/>
      <c r="C6940" s="120"/>
      <c r="D6940" s="120"/>
      <c r="E6940" s="120"/>
      <c r="F6940" s="120"/>
      <c r="G6940" s="120"/>
      <c r="H6940" s="120"/>
      <c r="I6940" s="121"/>
      <c r="J6940" s="121"/>
      <c r="K6940" s="117"/>
    </row>
    <row r="6941" ht="15.75" customHeight="1">
      <c r="A6941" s="122"/>
      <c r="B6941" s="133"/>
      <c r="C6941" s="120"/>
      <c r="D6941" s="120"/>
      <c r="E6941" s="120"/>
      <c r="F6941" s="120"/>
      <c r="G6941" s="120"/>
      <c r="H6941" s="120"/>
      <c r="I6941" s="121"/>
      <c r="J6941" s="121"/>
      <c r="K6941" s="117"/>
    </row>
    <row r="6942" ht="15.75" customHeight="1">
      <c r="A6942" s="122"/>
      <c r="B6942" s="133"/>
      <c r="C6942" s="120"/>
      <c r="D6942" s="120"/>
      <c r="E6942" s="120"/>
      <c r="F6942" s="120"/>
      <c r="G6942" s="120"/>
      <c r="H6942" s="120"/>
      <c r="I6942" s="121"/>
      <c r="J6942" s="121"/>
      <c r="K6942" s="117"/>
    </row>
    <row r="6943" ht="15.75" customHeight="1">
      <c r="A6943" s="122"/>
      <c r="B6943" s="133"/>
      <c r="C6943" s="120"/>
      <c r="D6943" s="120"/>
      <c r="E6943" s="120"/>
      <c r="F6943" s="120"/>
      <c r="G6943" s="120"/>
      <c r="H6943" s="120"/>
      <c r="I6943" s="121"/>
      <c r="J6943" s="121"/>
      <c r="K6943" s="117"/>
    </row>
    <row r="6944" ht="15.75" customHeight="1">
      <c r="A6944" s="122"/>
      <c r="B6944" s="133"/>
      <c r="C6944" s="120"/>
      <c r="D6944" s="120"/>
      <c r="E6944" s="120"/>
      <c r="F6944" s="120"/>
      <c r="G6944" s="120"/>
      <c r="H6944" s="120"/>
      <c r="I6944" s="121"/>
      <c r="J6944" s="121"/>
      <c r="K6944" s="117"/>
    </row>
    <row r="6945" ht="15.75" customHeight="1">
      <c r="A6945" s="122"/>
      <c r="B6945" s="133"/>
      <c r="C6945" s="120"/>
      <c r="D6945" s="120"/>
      <c r="E6945" s="120"/>
      <c r="F6945" s="120"/>
      <c r="G6945" s="120"/>
      <c r="H6945" s="120"/>
      <c r="I6945" s="121"/>
      <c r="J6945" s="121"/>
      <c r="K6945" s="117"/>
    </row>
    <row r="6946" ht="15.75" customHeight="1">
      <c r="A6946" s="122"/>
      <c r="B6946" s="133"/>
      <c r="C6946" s="120"/>
      <c r="D6946" s="120"/>
      <c r="E6946" s="120"/>
      <c r="F6946" s="120"/>
      <c r="G6946" s="120"/>
      <c r="H6946" s="120"/>
      <c r="I6946" s="121"/>
      <c r="J6946" s="121"/>
      <c r="K6946" s="117"/>
    </row>
    <row r="6947" ht="15.75" customHeight="1">
      <c r="A6947" s="122"/>
      <c r="B6947" s="133"/>
      <c r="C6947" s="120"/>
      <c r="D6947" s="120"/>
      <c r="E6947" s="120"/>
      <c r="F6947" s="120"/>
      <c r="G6947" s="120"/>
      <c r="H6947" s="120"/>
      <c r="I6947" s="121"/>
      <c r="J6947" s="121"/>
      <c r="K6947" s="117"/>
    </row>
    <row r="6948" ht="15.75" customHeight="1">
      <c r="A6948" s="122"/>
      <c r="B6948" s="133"/>
      <c r="C6948" s="120"/>
      <c r="D6948" s="120"/>
      <c r="E6948" s="120"/>
      <c r="F6948" s="120"/>
      <c r="G6948" s="120"/>
      <c r="H6948" s="120"/>
      <c r="I6948" s="121"/>
      <c r="J6948" s="121"/>
      <c r="K6948" s="117"/>
    </row>
    <row r="6949" ht="15.75" customHeight="1">
      <c r="A6949" s="122"/>
      <c r="B6949" s="133"/>
      <c r="C6949" s="120"/>
      <c r="D6949" s="120"/>
      <c r="E6949" s="120"/>
      <c r="F6949" s="120"/>
      <c r="G6949" s="120"/>
      <c r="H6949" s="120"/>
      <c r="I6949" s="121"/>
      <c r="J6949" s="121"/>
      <c r="K6949" s="117"/>
    </row>
    <row r="6950" ht="15.75" customHeight="1">
      <c r="A6950" s="122"/>
      <c r="B6950" s="133"/>
      <c r="C6950" s="120"/>
      <c r="D6950" s="120"/>
      <c r="E6950" s="120"/>
      <c r="F6950" s="120"/>
      <c r="G6950" s="120"/>
      <c r="H6950" s="120"/>
      <c r="I6950" s="121"/>
      <c r="J6950" s="121"/>
      <c r="K6950" s="117"/>
    </row>
    <row r="6951" ht="15.75" customHeight="1">
      <c r="A6951" s="122"/>
      <c r="B6951" s="133"/>
      <c r="C6951" s="120"/>
      <c r="D6951" s="120"/>
      <c r="E6951" s="120"/>
      <c r="F6951" s="120"/>
      <c r="G6951" s="120"/>
      <c r="H6951" s="120"/>
      <c r="I6951" s="121"/>
      <c r="J6951" s="121"/>
      <c r="K6951" s="117"/>
    </row>
    <row r="6952" ht="15.75" customHeight="1">
      <c r="A6952" s="122"/>
      <c r="B6952" s="133"/>
      <c r="C6952" s="120"/>
      <c r="D6952" s="120"/>
      <c r="E6952" s="120"/>
      <c r="F6952" s="120"/>
      <c r="G6952" s="120"/>
      <c r="H6952" s="120"/>
      <c r="I6952" s="121"/>
      <c r="J6952" s="121"/>
      <c r="K6952" s="117"/>
    </row>
    <row r="6953" ht="15.75" customHeight="1">
      <c r="A6953" s="122"/>
      <c r="B6953" s="133"/>
      <c r="C6953" s="120"/>
      <c r="D6953" s="120"/>
      <c r="E6953" s="120"/>
      <c r="F6953" s="120"/>
      <c r="G6953" s="120"/>
      <c r="H6953" s="120"/>
      <c r="I6953" s="121"/>
      <c r="J6953" s="121"/>
      <c r="K6953" s="117"/>
    </row>
    <row r="6954" ht="15.75" customHeight="1">
      <c r="A6954" s="122"/>
      <c r="B6954" s="133"/>
      <c r="C6954" s="120"/>
      <c r="D6954" s="120"/>
      <c r="E6954" s="120"/>
      <c r="F6954" s="120"/>
      <c r="G6954" s="120"/>
      <c r="H6954" s="120"/>
      <c r="I6954" s="121"/>
      <c r="J6954" s="121"/>
      <c r="K6954" s="117"/>
    </row>
    <row r="6955" ht="15.75" customHeight="1">
      <c r="A6955" s="122"/>
      <c r="B6955" s="133"/>
      <c r="C6955" s="120"/>
      <c r="D6955" s="120"/>
      <c r="E6955" s="120"/>
      <c r="F6955" s="120"/>
      <c r="G6955" s="120"/>
      <c r="H6955" s="120"/>
      <c r="I6955" s="121"/>
      <c r="J6955" s="121"/>
      <c r="K6955" s="117"/>
    </row>
    <row r="6956" ht="15.75" customHeight="1">
      <c r="A6956" s="122"/>
      <c r="B6956" s="133"/>
      <c r="C6956" s="120"/>
      <c r="D6956" s="120"/>
      <c r="E6956" s="120"/>
      <c r="F6956" s="120"/>
      <c r="G6956" s="120"/>
      <c r="H6956" s="120"/>
      <c r="I6956" s="121"/>
      <c r="J6956" s="121"/>
      <c r="K6956" s="117"/>
    </row>
    <row r="6957" ht="15.75" customHeight="1">
      <c r="A6957" s="122"/>
      <c r="B6957" s="133"/>
      <c r="C6957" s="120"/>
      <c r="D6957" s="120"/>
      <c r="E6957" s="120"/>
      <c r="F6957" s="120"/>
      <c r="G6957" s="120"/>
      <c r="H6957" s="120"/>
      <c r="I6957" s="121"/>
      <c r="J6957" s="121"/>
      <c r="K6957" s="117"/>
    </row>
    <row r="6958" ht="15.75" customHeight="1">
      <c r="A6958" s="122"/>
      <c r="B6958" s="133"/>
      <c r="C6958" s="120"/>
      <c r="D6958" s="120"/>
      <c r="E6958" s="120"/>
      <c r="F6958" s="120"/>
      <c r="G6958" s="120"/>
      <c r="H6958" s="120"/>
      <c r="I6958" s="121"/>
      <c r="J6958" s="121"/>
      <c r="K6958" s="117"/>
    </row>
    <row r="6959" ht="15.75" customHeight="1">
      <c r="A6959" s="122"/>
      <c r="B6959" s="133"/>
      <c r="C6959" s="120"/>
      <c r="D6959" s="120"/>
      <c r="E6959" s="120"/>
      <c r="F6959" s="120"/>
      <c r="G6959" s="120"/>
      <c r="H6959" s="120"/>
      <c r="I6959" s="121"/>
      <c r="J6959" s="121"/>
      <c r="K6959" s="117"/>
    </row>
    <row r="6960" ht="15.75" customHeight="1">
      <c r="A6960" s="122"/>
      <c r="B6960" s="133"/>
      <c r="C6960" s="120"/>
      <c r="D6960" s="120"/>
      <c r="E6960" s="120"/>
      <c r="F6960" s="120"/>
      <c r="G6960" s="120"/>
      <c r="H6960" s="120"/>
      <c r="I6960" s="121"/>
      <c r="J6960" s="121"/>
      <c r="K6960" s="117"/>
    </row>
    <row r="6961" ht="15.75" customHeight="1">
      <c r="A6961" s="122"/>
      <c r="B6961" s="133"/>
      <c r="C6961" s="120"/>
      <c r="D6961" s="120"/>
      <c r="E6961" s="120"/>
      <c r="F6961" s="120"/>
      <c r="G6961" s="120"/>
      <c r="H6961" s="120"/>
      <c r="I6961" s="121"/>
      <c r="J6961" s="121"/>
      <c r="K6961" s="117"/>
    </row>
    <row r="6962" ht="15.75" customHeight="1">
      <c r="A6962" s="122"/>
      <c r="B6962" s="133"/>
      <c r="C6962" s="120"/>
      <c r="D6962" s="120"/>
      <c r="E6962" s="120"/>
      <c r="F6962" s="120"/>
      <c r="G6962" s="120"/>
      <c r="H6962" s="120"/>
      <c r="I6962" s="121"/>
      <c r="J6962" s="121"/>
      <c r="K6962" s="117"/>
    </row>
    <row r="6963" ht="15.75" customHeight="1">
      <c r="A6963" s="122"/>
      <c r="B6963" s="133"/>
      <c r="C6963" s="120"/>
      <c r="D6963" s="120"/>
      <c r="E6963" s="120"/>
      <c r="F6963" s="120"/>
      <c r="G6963" s="120"/>
      <c r="H6963" s="120"/>
      <c r="I6963" s="121"/>
      <c r="J6963" s="121"/>
      <c r="K6963" s="117"/>
    </row>
    <row r="6964" ht="15.75" customHeight="1">
      <c r="A6964" s="122"/>
      <c r="B6964" s="133"/>
      <c r="C6964" s="120"/>
      <c r="D6964" s="120"/>
      <c r="E6964" s="120"/>
      <c r="F6964" s="120"/>
      <c r="G6964" s="120"/>
      <c r="H6964" s="120"/>
      <c r="I6964" s="121"/>
      <c r="J6964" s="121"/>
      <c r="K6964" s="117"/>
    </row>
    <row r="6965" ht="15.75" customHeight="1">
      <c r="A6965" s="122"/>
      <c r="B6965" s="133"/>
      <c r="C6965" s="120"/>
      <c r="D6965" s="120"/>
      <c r="E6965" s="120"/>
      <c r="F6965" s="120"/>
      <c r="G6965" s="120"/>
      <c r="H6965" s="120"/>
      <c r="I6965" s="121"/>
      <c r="J6965" s="121"/>
      <c r="K6965" s="117"/>
    </row>
    <row r="6966" ht="15.75" customHeight="1">
      <c r="A6966" s="122"/>
      <c r="B6966" s="133"/>
      <c r="C6966" s="120"/>
      <c r="D6966" s="120"/>
      <c r="E6966" s="120"/>
      <c r="F6966" s="120"/>
      <c r="G6966" s="120"/>
      <c r="H6966" s="120"/>
      <c r="I6966" s="121"/>
      <c r="J6966" s="121"/>
      <c r="K6966" s="117"/>
    </row>
    <row r="6967" ht="15.75" customHeight="1">
      <c r="A6967" s="122"/>
      <c r="B6967" s="133"/>
      <c r="C6967" s="120"/>
      <c r="D6967" s="120"/>
      <c r="E6967" s="120"/>
      <c r="F6967" s="120"/>
      <c r="G6967" s="120"/>
      <c r="H6967" s="120"/>
      <c r="I6967" s="121"/>
      <c r="J6967" s="121"/>
      <c r="K6967" s="117"/>
    </row>
    <row r="6968" ht="15.75" customHeight="1">
      <c r="A6968" s="122"/>
      <c r="B6968" s="133"/>
      <c r="C6968" s="120"/>
      <c r="D6968" s="120"/>
      <c r="E6968" s="120"/>
      <c r="F6968" s="120"/>
      <c r="G6968" s="120"/>
      <c r="H6968" s="120"/>
      <c r="I6968" s="121"/>
      <c r="J6968" s="121"/>
      <c r="K6968" s="117"/>
    </row>
    <row r="6969" ht="15.75" customHeight="1">
      <c r="A6969" s="122"/>
      <c r="B6969" s="133"/>
      <c r="C6969" s="120"/>
      <c r="D6969" s="120"/>
      <c r="E6969" s="120"/>
      <c r="F6969" s="120"/>
      <c r="G6969" s="120"/>
      <c r="H6969" s="120"/>
      <c r="I6969" s="121"/>
      <c r="J6969" s="121"/>
      <c r="K6969" s="117"/>
    </row>
    <row r="6970" ht="15.75" customHeight="1">
      <c r="A6970" s="122"/>
      <c r="B6970" s="133"/>
      <c r="C6970" s="120"/>
      <c r="D6970" s="120"/>
      <c r="E6970" s="120"/>
      <c r="F6970" s="120"/>
      <c r="G6970" s="120"/>
      <c r="H6970" s="120"/>
      <c r="I6970" s="121"/>
      <c r="J6970" s="121"/>
      <c r="K6970" s="117"/>
    </row>
    <row r="6971" ht="15.75" customHeight="1">
      <c r="A6971" s="122"/>
      <c r="B6971" s="133"/>
      <c r="C6971" s="120"/>
      <c r="D6971" s="120"/>
      <c r="E6971" s="120"/>
      <c r="F6971" s="120"/>
      <c r="G6971" s="120"/>
      <c r="H6971" s="120"/>
      <c r="I6971" s="121"/>
      <c r="J6971" s="121"/>
      <c r="K6971" s="117"/>
    </row>
    <row r="6972" ht="15.75" customHeight="1">
      <c r="A6972" s="122"/>
      <c r="B6972" s="133"/>
      <c r="C6972" s="120"/>
      <c r="D6972" s="120"/>
      <c r="E6972" s="120"/>
      <c r="F6972" s="120"/>
      <c r="G6972" s="120"/>
      <c r="H6972" s="120"/>
      <c r="I6972" s="121"/>
      <c r="J6972" s="121"/>
      <c r="K6972" s="117"/>
    </row>
    <row r="6973" ht="15.75" customHeight="1">
      <c r="A6973" s="122"/>
      <c r="B6973" s="133"/>
      <c r="C6973" s="120"/>
      <c r="D6973" s="120"/>
      <c r="E6973" s="120"/>
      <c r="F6973" s="120"/>
      <c r="G6973" s="120"/>
      <c r="H6973" s="120"/>
      <c r="I6973" s="121"/>
      <c r="J6973" s="121"/>
      <c r="K6973" s="117"/>
    </row>
    <row r="6974" ht="15.75" customHeight="1">
      <c r="A6974" s="122"/>
      <c r="B6974" s="133"/>
      <c r="C6974" s="120"/>
      <c r="D6974" s="120"/>
      <c r="E6974" s="120"/>
      <c r="F6974" s="120"/>
      <c r="G6974" s="120"/>
      <c r="H6974" s="120"/>
      <c r="I6974" s="121"/>
      <c r="J6974" s="121"/>
      <c r="K6974" s="117"/>
    </row>
    <row r="6975" ht="15.75" customHeight="1">
      <c r="A6975" s="122"/>
      <c r="B6975" s="133"/>
      <c r="C6975" s="120"/>
      <c r="D6975" s="120"/>
      <c r="E6975" s="120"/>
      <c r="F6975" s="120"/>
      <c r="G6975" s="120"/>
      <c r="H6975" s="120"/>
      <c r="I6975" s="121"/>
      <c r="J6975" s="121"/>
      <c r="K6975" s="117"/>
    </row>
    <row r="6976" ht="15.75" customHeight="1">
      <c r="A6976" s="122"/>
      <c r="B6976" s="133"/>
      <c r="C6976" s="120"/>
      <c r="D6976" s="120"/>
      <c r="E6976" s="120"/>
      <c r="F6976" s="120"/>
      <c r="G6976" s="120"/>
      <c r="H6976" s="120"/>
      <c r="I6976" s="121"/>
      <c r="J6976" s="121"/>
      <c r="K6976" s="117"/>
    </row>
    <row r="6977" ht="15.75" customHeight="1">
      <c r="A6977" s="122"/>
      <c r="B6977" s="133"/>
      <c r="C6977" s="120"/>
      <c r="D6977" s="120"/>
      <c r="E6977" s="120"/>
      <c r="F6977" s="120"/>
      <c r="G6977" s="120"/>
      <c r="H6977" s="120"/>
      <c r="I6977" s="121"/>
      <c r="J6977" s="121"/>
      <c r="K6977" s="117"/>
    </row>
    <row r="6978" ht="15.75" customHeight="1">
      <c r="A6978" s="122"/>
      <c r="B6978" s="133"/>
      <c r="C6978" s="120"/>
      <c r="D6978" s="120"/>
      <c r="E6978" s="120"/>
      <c r="F6978" s="120"/>
      <c r="G6978" s="120"/>
      <c r="H6978" s="120"/>
      <c r="I6978" s="121"/>
      <c r="J6978" s="121"/>
      <c r="K6978" s="117"/>
    </row>
    <row r="6979" ht="15.75" customHeight="1">
      <c r="A6979" s="122"/>
      <c r="B6979" s="133"/>
      <c r="C6979" s="120"/>
      <c r="D6979" s="120"/>
      <c r="E6979" s="120"/>
      <c r="F6979" s="120"/>
      <c r="G6979" s="120"/>
      <c r="H6979" s="120"/>
      <c r="I6979" s="121"/>
      <c r="J6979" s="121"/>
      <c r="K6979" s="117"/>
    </row>
    <row r="6980" ht="15.75" customHeight="1">
      <c r="A6980" s="122"/>
      <c r="B6980" s="133"/>
      <c r="C6980" s="120"/>
      <c r="D6980" s="120"/>
      <c r="E6980" s="120"/>
      <c r="F6980" s="120"/>
      <c r="G6980" s="120"/>
      <c r="H6980" s="120"/>
      <c r="I6980" s="121"/>
      <c r="J6980" s="121"/>
      <c r="K6980" s="117"/>
    </row>
    <row r="6981" ht="15.75" customHeight="1">
      <c r="A6981" s="122"/>
      <c r="B6981" s="133"/>
      <c r="C6981" s="120"/>
      <c r="D6981" s="120"/>
      <c r="E6981" s="120"/>
      <c r="F6981" s="120"/>
      <c r="G6981" s="120"/>
      <c r="H6981" s="120"/>
      <c r="I6981" s="121"/>
      <c r="J6981" s="121"/>
      <c r="K6981" s="117"/>
    </row>
    <row r="6982" ht="15.75" customHeight="1">
      <c r="A6982" s="122"/>
      <c r="B6982" s="133"/>
      <c r="C6982" s="120"/>
      <c r="D6982" s="120"/>
      <c r="E6982" s="120"/>
      <c r="F6982" s="120"/>
      <c r="G6982" s="120"/>
      <c r="H6982" s="120"/>
      <c r="I6982" s="121"/>
      <c r="J6982" s="121"/>
      <c r="K6982" s="117"/>
    </row>
    <row r="6983" ht="15.75" customHeight="1">
      <c r="A6983" s="122"/>
      <c r="B6983" s="133"/>
      <c r="C6983" s="120"/>
      <c r="D6983" s="120"/>
      <c r="E6983" s="120"/>
      <c r="F6983" s="120"/>
      <c r="G6983" s="120"/>
      <c r="H6983" s="120"/>
      <c r="I6983" s="121"/>
      <c r="J6983" s="121"/>
      <c r="K6983" s="117"/>
    </row>
    <row r="6984" ht="15.75" customHeight="1">
      <c r="A6984" s="122"/>
      <c r="B6984" s="133"/>
      <c r="C6984" s="120"/>
      <c r="D6984" s="120"/>
      <c r="E6984" s="120"/>
      <c r="F6984" s="120"/>
      <c r="G6984" s="120"/>
      <c r="H6984" s="120"/>
      <c r="I6984" s="121"/>
      <c r="J6984" s="121"/>
      <c r="K6984" s="117"/>
    </row>
    <row r="6985" ht="15.75" customHeight="1">
      <c r="A6985" s="122"/>
      <c r="B6985" s="133"/>
      <c r="C6985" s="120"/>
      <c r="D6985" s="120"/>
      <c r="E6985" s="120"/>
      <c r="F6985" s="120"/>
      <c r="G6985" s="120"/>
      <c r="H6985" s="120"/>
      <c r="I6985" s="121"/>
      <c r="J6985" s="121"/>
      <c r="K6985" s="117"/>
    </row>
    <row r="6986" ht="15.75" customHeight="1">
      <c r="A6986" s="122"/>
      <c r="B6986" s="133"/>
      <c r="C6986" s="120"/>
      <c r="D6986" s="120"/>
      <c r="E6986" s="120"/>
      <c r="F6986" s="120"/>
      <c r="G6986" s="120"/>
      <c r="H6986" s="120"/>
      <c r="I6986" s="121"/>
      <c r="J6986" s="121"/>
      <c r="K6986" s="117"/>
    </row>
    <row r="6987" ht="15.75" customHeight="1">
      <c r="A6987" s="122"/>
      <c r="B6987" s="133"/>
      <c r="C6987" s="120"/>
      <c r="D6987" s="120"/>
      <c r="E6987" s="120"/>
      <c r="F6987" s="120"/>
      <c r="G6987" s="120"/>
      <c r="H6987" s="120"/>
      <c r="I6987" s="121"/>
      <c r="J6987" s="121"/>
      <c r="K6987" s="117"/>
    </row>
    <row r="6988" ht="15.75" customHeight="1">
      <c r="A6988" s="122"/>
      <c r="B6988" s="133"/>
      <c r="C6988" s="120"/>
      <c r="D6988" s="120"/>
      <c r="E6988" s="120"/>
      <c r="F6988" s="120"/>
      <c r="G6988" s="120"/>
      <c r="H6988" s="120"/>
      <c r="I6988" s="121"/>
      <c r="J6988" s="121"/>
      <c r="K6988" s="117"/>
    </row>
    <row r="6989" ht="15.75" customHeight="1">
      <c r="A6989" s="122"/>
      <c r="B6989" s="133"/>
      <c r="C6989" s="120"/>
      <c r="D6989" s="120"/>
      <c r="E6989" s="120"/>
      <c r="F6989" s="120"/>
      <c r="G6989" s="120"/>
      <c r="H6989" s="120"/>
      <c r="I6989" s="121"/>
      <c r="J6989" s="121"/>
      <c r="K6989" s="117"/>
    </row>
    <row r="6990" ht="15.75" customHeight="1">
      <c r="A6990" s="122"/>
      <c r="B6990" s="133"/>
      <c r="C6990" s="120"/>
      <c r="D6990" s="120"/>
      <c r="E6990" s="120"/>
      <c r="F6990" s="120"/>
      <c r="G6990" s="120"/>
      <c r="H6990" s="120"/>
      <c r="I6990" s="121"/>
      <c r="J6990" s="121"/>
      <c r="K6990" s="117"/>
    </row>
    <row r="6991" ht="15.75" customHeight="1">
      <c r="A6991" s="122"/>
      <c r="B6991" s="133"/>
      <c r="C6991" s="120"/>
      <c r="D6991" s="120"/>
      <c r="E6991" s="120"/>
      <c r="F6991" s="120"/>
      <c r="G6991" s="120"/>
      <c r="H6991" s="120"/>
      <c r="I6991" s="121"/>
      <c r="J6991" s="121"/>
      <c r="K6991" s="117"/>
    </row>
    <row r="6992" ht="15.75" customHeight="1">
      <c r="A6992" s="122"/>
      <c r="B6992" s="133"/>
      <c r="C6992" s="120"/>
      <c r="D6992" s="120"/>
      <c r="E6992" s="120"/>
      <c r="F6992" s="120"/>
      <c r="G6992" s="120"/>
      <c r="H6992" s="120"/>
      <c r="I6992" s="121"/>
      <c r="J6992" s="121"/>
      <c r="K6992" s="117"/>
    </row>
    <row r="6993" ht="15.75" customHeight="1">
      <c r="A6993" s="122"/>
      <c r="B6993" s="133"/>
      <c r="C6993" s="120"/>
      <c r="D6993" s="120"/>
      <c r="E6993" s="120"/>
      <c r="F6993" s="120"/>
      <c r="G6993" s="120"/>
      <c r="H6993" s="120"/>
      <c r="I6993" s="121"/>
      <c r="J6993" s="121"/>
      <c r="K6993" s="117"/>
    </row>
    <row r="6994" ht="15.75" customHeight="1">
      <c r="A6994" s="122"/>
      <c r="B6994" s="133"/>
      <c r="C6994" s="120"/>
      <c r="D6994" s="120"/>
      <c r="E6994" s="120"/>
      <c r="F6994" s="120"/>
      <c r="G6994" s="120"/>
      <c r="H6994" s="120"/>
      <c r="I6994" s="121"/>
      <c r="J6994" s="121"/>
      <c r="K6994" s="117"/>
    </row>
    <row r="6995" ht="15.75" customHeight="1">
      <c r="A6995" s="122"/>
      <c r="B6995" s="133"/>
      <c r="C6995" s="120"/>
      <c r="D6995" s="120"/>
      <c r="E6995" s="120"/>
      <c r="F6995" s="120"/>
      <c r="G6995" s="120"/>
      <c r="H6995" s="120"/>
      <c r="I6995" s="121"/>
      <c r="J6995" s="121"/>
      <c r="K6995" s="117"/>
    </row>
    <row r="6996" ht="15.75" customHeight="1">
      <c r="A6996" s="122"/>
      <c r="B6996" s="133"/>
      <c r="C6996" s="120"/>
      <c r="D6996" s="120"/>
      <c r="E6996" s="120"/>
      <c r="F6996" s="120"/>
      <c r="G6996" s="120"/>
      <c r="H6996" s="120"/>
      <c r="I6996" s="121"/>
      <c r="J6996" s="121"/>
      <c r="K6996" s="117"/>
    </row>
    <row r="6997" ht="15.75" customHeight="1">
      <c r="A6997" s="122"/>
      <c r="B6997" s="133"/>
      <c r="C6997" s="120"/>
      <c r="D6997" s="120"/>
      <c r="E6997" s="120"/>
      <c r="F6997" s="120"/>
      <c r="G6997" s="120"/>
      <c r="H6997" s="120"/>
      <c r="I6997" s="121"/>
      <c r="J6997" s="121"/>
      <c r="K6997" s="117"/>
    </row>
    <row r="6998" ht="15.75" customHeight="1">
      <c r="A6998" s="122"/>
      <c r="B6998" s="133"/>
      <c r="C6998" s="120"/>
      <c r="D6998" s="120"/>
      <c r="E6998" s="120"/>
      <c r="F6998" s="120"/>
      <c r="G6998" s="120"/>
      <c r="H6998" s="120"/>
      <c r="I6998" s="121"/>
      <c r="J6998" s="121"/>
      <c r="K6998" s="117"/>
    </row>
    <row r="6999" ht="15.75" customHeight="1">
      <c r="A6999" s="122"/>
      <c r="B6999" s="133"/>
      <c r="C6999" s="120"/>
      <c r="D6999" s="120"/>
      <c r="E6999" s="120"/>
      <c r="F6999" s="120"/>
      <c r="G6999" s="120"/>
      <c r="H6999" s="120"/>
      <c r="I6999" s="121"/>
      <c r="J6999" s="121"/>
      <c r="K6999" s="117"/>
    </row>
    <row r="7000" ht="15.75" customHeight="1">
      <c r="A7000" s="122"/>
      <c r="B7000" s="133"/>
      <c r="C7000" s="120"/>
      <c r="D7000" s="120"/>
      <c r="E7000" s="120"/>
      <c r="F7000" s="120"/>
      <c r="G7000" s="120"/>
      <c r="H7000" s="120"/>
      <c r="I7000" s="121"/>
      <c r="J7000" s="121"/>
      <c r="K7000" s="117"/>
    </row>
    <row r="7001" ht="15.75" customHeight="1">
      <c r="A7001" s="122"/>
      <c r="B7001" s="133"/>
      <c r="C7001" s="120"/>
      <c r="D7001" s="120"/>
      <c r="E7001" s="120"/>
      <c r="F7001" s="120"/>
      <c r="G7001" s="120"/>
      <c r="H7001" s="120"/>
      <c r="I7001" s="121"/>
      <c r="J7001" s="121"/>
      <c r="K7001" s="117"/>
    </row>
    <row r="7002" ht="15.75" customHeight="1">
      <c r="A7002" s="122"/>
      <c r="B7002" s="133"/>
      <c r="C7002" s="120"/>
      <c r="D7002" s="120"/>
      <c r="E7002" s="120"/>
      <c r="F7002" s="120"/>
      <c r="G7002" s="120"/>
      <c r="H7002" s="120"/>
      <c r="I7002" s="121"/>
      <c r="J7002" s="121"/>
      <c r="K7002" s="117"/>
    </row>
    <row r="7003" ht="15.75" customHeight="1">
      <c r="A7003" s="122"/>
      <c r="B7003" s="133"/>
      <c r="C7003" s="120"/>
      <c r="D7003" s="120"/>
      <c r="E7003" s="120"/>
      <c r="F7003" s="120"/>
      <c r="G7003" s="120"/>
      <c r="H7003" s="120"/>
      <c r="I7003" s="121"/>
      <c r="J7003" s="121"/>
      <c r="K7003" s="117"/>
    </row>
    <row r="7004" ht="15.75" customHeight="1">
      <c r="A7004" s="122"/>
      <c r="B7004" s="133"/>
      <c r="C7004" s="120"/>
      <c r="D7004" s="120"/>
      <c r="E7004" s="120"/>
      <c r="F7004" s="120"/>
      <c r="G7004" s="120"/>
      <c r="H7004" s="120"/>
      <c r="I7004" s="121"/>
      <c r="J7004" s="121"/>
      <c r="K7004" s="117"/>
    </row>
    <row r="7005" ht="15.75" customHeight="1">
      <c r="A7005" s="122"/>
      <c r="B7005" s="133"/>
      <c r="C7005" s="120"/>
      <c r="D7005" s="120"/>
      <c r="E7005" s="120"/>
      <c r="F7005" s="120"/>
      <c r="G7005" s="120"/>
      <c r="H7005" s="120"/>
      <c r="I7005" s="121"/>
      <c r="J7005" s="121"/>
      <c r="K7005" s="117"/>
    </row>
    <row r="7006" ht="15.75" customHeight="1">
      <c r="A7006" s="122"/>
      <c r="B7006" s="133"/>
      <c r="C7006" s="120"/>
      <c r="D7006" s="120"/>
      <c r="E7006" s="120"/>
      <c r="F7006" s="120"/>
      <c r="G7006" s="120"/>
      <c r="H7006" s="120"/>
      <c r="I7006" s="121"/>
      <c r="J7006" s="121"/>
      <c r="K7006" s="117"/>
    </row>
    <row r="7007" ht="15.75" customHeight="1">
      <c r="A7007" s="122"/>
      <c r="B7007" s="133"/>
      <c r="C7007" s="120"/>
      <c r="D7007" s="120"/>
      <c r="E7007" s="120"/>
      <c r="F7007" s="120"/>
      <c r="G7007" s="120"/>
      <c r="H7007" s="120"/>
      <c r="I7007" s="121"/>
      <c r="J7007" s="121"/>
      <c r="K7007" s="117"/>
    </row>
    <row r="7008" ht="15.75" customHeight="1">
      <c r="A7008" s="122"/>
      <c r="B7008" s="133"/>
      <c r="C7008" s="120"/>
      <c r="D7008" s="120"/>
      <c r="E7008" s="120"/>
      <c r="F7008" s="120"/>
      <c r="G7008" s="120"/>
      <c r="H7008" s="120"/>
      <c r="I7008" s="121"/>
      <c r="J7008" s="121"/>
      <c r="K7008" s="117"/>
    </row>
    <row r="7009" ht="15.75" customHeight="1">
      <c r="A7009" s="122"/>
      <c r="B7009" s="133"/>
      <c r="C7009" s="120"/>
      <c r="D7009" s="120"/>
      <c r="E7009" s="120"/>
      <c r="F7009" s="120"/>
      <c r="G7009" s="120"/>
      <c r="H7009" s="120"/>
      <c r="I7009" s="121"/>
      <c r="J7009" s="121"/>
      <c r="K7009" s="117"/>
    </row>
    <row r="7010" ht="15.75" customHeight="1">
      <c r="A7010" s="122"/>
      <c r="B7010" s="133"/>
      <c r="C7010" s="120"/>
      <c r="D7010" s="120"/>
      <c r="E7010" s="120"/>
      <c r="F7010" s="120"/>
      <c r="G7010" s="120"/>
      <c r="H7010" s="120"/>
      <c r="I7010" s="121"/>
      <c r="J7010" s="121"/>
      <c r="K7010" s="117"/>
    </row>
    <row r="7011" ht="15.75" customHeight="1">
      <c r="A7011" s="122"/>
      <c r="B7011" s="133"/>
      <c r="C7011" s="120"/>
      <c r="D7011" s="120"/>
      <c r="E7011" s="120"/>
      <c r="F7011" s="120"/>
      <c r="G7011" s="120"/>
      <c r="H7011" s="120"/>
      <c r="I7011" s="121"/>
      <c r="J7011" s="121"/>
      <c r="K7011" s="117"/>
    </row>
    <row r="7012" ht="15.75" customHeight="1">
      <c r="A7012" s="122"/>
      <c r="B7012" s="133"/>
      <c r="C7012" s="120"/>
      <c r="D7012" s="120"/>
      <c r="E7012" s="120"/>
      <c r="F7012" s="120"/>
      <c r="G7012" s="120"/>
      <c r="H7012" s="120"/>
      <c r="I7012" s="121"/>
      <c r="J7012" s="121"/>
      <c r="K7012" s="117"/>
    </row>
    <row r="7013" ht="15.75" customHeight="1">
      <c r="A7013" s="122"/>
      <c r="B7013" s="133"/>
      <c r="C7013" s="120"/>
      <c r="D7013" s="120"/>
      <c r="E7013" s="120"/>
      <c r="F7013" s="120"/>
      <c r="G7013" s="120"/>
      <c r="H7013" s="120"/>
      <c r="I7013" s="121"/>
      <c r="J7013" s="121"/>
      <c r="K7013" s="117"/>
    </row>
    <row r="7014" ht="15.75" customHeight="1">
      <c r="A7014" s="122"/>
      <c r="B7014" s="133"/>
      <c r="C7014" s="120"/>
      <c r="D7014" s="120"/>
      <c r="E7014" s="120"/>
      <c r="F7014" s="120"/>
      <c r="G7014" s="120"/>
      <c r="H7014" s="120"/>
      <c r="I7014" s="121"/>
      <c r="J7014" s="121"/>
      <c r="K7014" s="117"/>
    </row>
    <row r="7015" ht="15.75" customHeight="1">
      <c r="A7015" s="122"/>
      <c r="B7015" s="133"/>
      <c r="C7015" s="120"/>
      <c r="D7015" s="120"/>
      <c r="E7015" s="120"/>
      <c r="F7015" s="120"/>
      <c r="G7015" s="120"/>
      <c r="H7015" s="120"/>
      <c r="I7015" s="121"/>
      <c r="J7015" s="121"/>
      <c r="K7015" s="117"/>
    </row>
    <row r="7016" ht="15.75" customHeight="1">
      <c r="A7016" s="122"/>
      <c r="B7016" s="133"/>
      <c r="C7016" s="120"/>
      <c r="D7016" s="120"/>
      <c r="E7016" s="120"/>
      <c r="F7016" s="120"/>
      <c r="G7016" s="120"/>
      <c r="H7016" s="120"/>
      <c r="I7016" s="121"/>
      <c r="J7016" s="121"/>
      <c r="K7016" s="117"/>
    </row>
    <row r="7017" ht="15.75" customHeight="1">
      <c r="A7017" s="122"/>
      <c r="B7017" s="133"/>
      <c r="C7017" s="120"/>
      <c r="D7017" s="120"/>
      <c r="E7017" s="120"/>
      <c r="F7017" s="120"/>
      <c r="G7017" s="120"/>
      <c r="H7017" s="120"/>
      <c r="I7017" s="121"/>
      <c r="J7017" s="121"/>
      <c r="K7017" s="117"/>
    </row>
    <row r="7018" ht="15.75" customHeight="1">
      <c r="A7018" s="122"/>
      <c r="B7018" s="133"/>
      <c r="C7018" s="120"/>
      <c r="D7018" s="120"/>
      <c r="E7018" s="120"/>
      <c r="F7018" s="120"/>
      <c r="G7018" s="120"/>
      <c r="H7018" s="120"/>
      <c r="I7018" s="121"/>
      <c r="J7018" s="121"/>
      <c r="K7018" s="117"/>
    </row>
    <row r="7019" ht="15.75" customHeight="1">
      <c r="A7019" s="122"/>
      <c r="B7019" s="133"/>
      <c r="C7019" s="120"/>
      <c r="D7019" s="120"/>
      <c r="E7019" s="120"/>
      <c r="F7019" s="120"/>
      <c r="G7019" s="120"/>
      <c r="H7019" s="120"/>
      <c r="I7019" s="121"/>
      <c r="J7019" s="121"/>
      <c r="K7019" s="117"/>
    </row>
    <row r="7020" ht="15.75" customHeight="1">
      <c r="A7020" s="122"/>
      <c r="B7020" s="133"/>
      <c r="C7020" s="120"/>
      <c r="D7020" s="120"/>
      <c r="E7020" s="120"/>
      <c r="F7020" s="120"/>
      <c r="G7020" s="120"/>
      <c r="H7020" s="120"/>
      <c r="I7020" s="121"/>
      <c r="J7020" s="121"/>
      <c r="K7020" s="117"/>
    </row>
    <row r="7021" ht="15.75" customHeight="1">
      <c r="A7021" s="122"/>
      <c r="B7021" s="133"/>
      <c r="C7021" s="120"/>
      <c r="D7021" s="120"/>
      <c r="E7021" s="120"/>
      <c r="F7021" s="120"/>
      <c r="G7021" s="120"/>
      <c r="H7021" s="120"/>
      <c r="I7021" s="121"/>
      <c r="J7021" s="121"/>
      <c r="K7021" s="117"/>
    </row>
    <row r="7022" ht="15.75" customHeight="1">
      <c r="A7022" s="122"/>
      <c r="B7022" s="133"/>
      <c r="C7022" s="120"/>
      <c r="D7022" s="120"/>
      <c r="E7022" s="120"/>
      <c r="F7022" s="120"/>
      <c r="G7022" s="120"/>
      <c r="H7022" s="120"/>
      <c r="I7022" s="121"/>
      <c r="J7022" s="121"/>
      <c r="K7022" s="117"/>
    </row>
    <row r="7023" ht="15.75" customHeight="1">
      <c r="A7023" s="122"/>
      <c r="B7023" s="133"/>
      <c r="C7023" s="120"/>
      <c r="D7023" s="120"/>
      <c r="E7023" s="120"/>
      <c r="F7023" s="120"/>
      <c r="G7023" s="120"/>
      <c r="H7023" s="120"/>
      <c r="I7023" s="121"/>
      <c r="J7023" s="121"/>
      <c r="K7023" s="117"/>
    </row>
    <row r="7024" ht="15.75" customHeight="1">
      <c r="A7024" s="122"/>
      <c r="B7024" s="133"/>
      <c r="C7024" s="120"/>
      <c r="D7024" s="120"/>
      <c r="E7024" s="120"/>
      <c r="F7024" s="120"/>
      <c r="G7024" s="120"/>
      <c r="H7024" s="120"/>
      <c r="I7024" s="121"/>
      <c r="J7024" s="121"/>
      <c r="K7024" s="117"/>
    </row>
    <row r="7025" ht="15.75" customHeight="1">
      <c r="A7025" s="122"/>
      <c r="B7025" s="133"/>
      <c r="C7025" s="120"/>
      <c r="D7025" s="120"/>
      <c r="E7025" s="120"/>
      <c r="F7025" s="120"/>
      <c r="G7025" s="120"/>
      <c r="H7025" s="120"/>
      <c r="I7025" s="121"/>
      <c r="J7025" s="121"/>
      <c r="K7025" s="117"/>
    </row>
    <row r="7026" ht="15.75" customHeight="1">
      <c r="A7026" s="122"/>
      <c r="B7026" s="133"/>
      <c r="C7026" s="120"/>
      <c r="D7026" s="120"/>
      <c r="E7026" s="120"/>
      <c r="F7026" s="120"/>
      <c r="G7026" s="120"/>
      <c r="H7026" s="120"/>
      <c r="I7026" s="121"/>
      <c r="J7026" s="121"/>
      <c r="K7026" s="117"/>
    </row>
    <row r="7027" ht="15.75" customHeight="1">
      <c r="A7027" s="122"/>
      <c r="B7027" s="133"/>
      <c r="C7027" s="120"/>
      <c r="D7027" s="120"/>
      <c r="E7027" s="120"/>
      <c r="F7027" s="120"/>
      <c r="G7027" s="120"/>
      <c r="H7027" s="120"/>
      <c r="I7027" s="121"/>
      <c r="J7027" s="121"/>
      <c r="K7027" s="117"/>
    </row>
    <row r="7028" ht="15.75" customHeight="1">
      <c r="A7028" s="122"/>
      <c r="B7028" s="133"/>
      <c r="C7028" s="120"/>
      <c r="D7028" s="120"/>
      <c r="E7028" s="120"/>
      <c r="F7028" s="120"/>
      <c r="G7028" s="120"/>
      <c r="H7028" s="120"/>
      <c r="I7028" s="121"/>
      <c r="J7028" s="121"/>
      <c r="K7028" s="117"/>
    </row>
    <row r="7029" ht="15.75" customHeight="1">
      <c r="A7029" s="122"/>
      <c r="B7029" s="133"/>
      <c r="C7029" s="120"/>
      <c r="D7029" s="120"/>
      <c r="E7029" s="120"/>
      <c r="F7029" s="120"/>
      <c r="G7029" s="120"/>
      <c r="H7029" s="120"/>
      <c r="I7029" s="121"/>
      <c r="J7029" s="121"/>
      <c r="K7029" s="117"/>
    </row>
    <row r="7030" ht="15.75" customHeight="1">
      <c r="A7030" s="122"/>
      <c r="B7030" s="133"/>
      <c r="C7030" s="120"/>
      <c r="D7030" s="120"/>
      <c r="E7030" s="120"/>
      <c r="F7030" s="120"/>
      <c r="G7030" s="120"/>
      <c r="H7030" s="120"/>
      <c r="I7030" s="121"/>
      <c r="J7030" s="121"/>
      <c r="K7030" s="117"/>
    </row>
    <row r="7031" ht="15.75" customHeight="1">
      <c r="A7031" s="122"/>
      <c r="B7031" s="133"/>
      <c r="C7031" s="120"/>
      <c r="D7031" s="120"/>
      <c r="E7031" s="120"/>
      <c r="F7031" s="120"/>
      <c r="G7031" s="120"/>
      <c r="H7031" s="120"/>
      <c r="I7031" s="121"/>
      <c r="J7031" s="121"/>
      <c r="K7031" s="117"/>
    </row>
    <row r="7032" ht="15.75" customHeight="1">
      <c r="A7032" s="122"/>
      <c r="B7032" s="133"/>
      <c r="C7032" s="120"/>
      <c r="D7032" s="120"/>
      <c r="E7032" s="120"/>
      <c r="F7032" s="120"/>
      <c r="G7032" s="120"/>
      <c r="H7032" s="120"/>
      <c r="I7032" s="121"/>
      <c r="J7032" s="121"/>
      <c r="K7032" s="117"/>
    </row>
    <row r="7033" ht="15.75" customHeight="1">
      <c r="A7033" s="122"/>
      <c r="B7033" s="133"/>
      <c r="C7033" s="120"/>
      <c r="D7033" s="120"/>
      <c r="E7033" s="120"/>
      <c r="F7033" s="120"/>
      <c r="G7033" s="120"/>
      <c r="H7033" s="120"/>
      <c r="I7033" s="121"/>
      <c r="J7033" s="121"/>
      <c r="K7033" s="117"/>
    </row>
    <row r="7034" ht="15.75" customHeight="1">
      <c r="A7034" s="122"/>
      <c r="B7034" s="133"/>
      <c r="C7034" s="120"/>
      <c r="D7034" s="120"/>
      <c r="E7034" s="120"/>
      <c r="F7034" s="120"/>
      <c r="G7034" s="120"/>
      <c r="H7034" s="120"/>
      <c r="I7034" s="121"/>
      <c r="J7034" s="121"/>
      <c r="K7034" s="117"/>
    </row>
    <row r="7035" ht="15.75" customHeight="1">
      <c r="A7035" s="122"/>
      <c r="B7035" s="133"/>
      <c r="C7035" s="120"/>
      <c r="D7035" s="120"/>
      <c r="E7035" s="120"/>
      <c r="F7035" s="120"/>
      <c r="G7035" s="120"/>
      <c r="H7035" s="120"/>
      <c r="I7035" s="121"/>
      <c r="J7035" s="121"/>
      <c r="K7035" s="117"/>
    </row>
    <row r="7036" ht="15.75" customHeight="1">
      <c r="A7036" s="122"/>
      <c r="B7036" s="133"/>
      <c r="C7036" s="120"/>
      <c r="D7036" s="120"/>
      <c r="E7036" s="120"/>
      <c r="F7036" s="120"/>
      <c r="G7036" s="120"/>
      <c r="H7036" s="120"/>
      <c r="I7036" s="121"/>
      <c r="J7036" s="121"/>
      <c r="K7036" s="117"/>
    </row>
    <row r="7037" ht="15.75" customHeight="1">
      <c r="A7037" s="122"/>
      <c r="B7037" s="133"/>
      <c r="C7037" s="120"/>
      <c r="D7037" s="120"/>
      <c r="E7037" s="120"/>
      <c r="F7037" s="120"/>
      <c r="G7037" s="120"/>
      <c r="H7037" s="120"/>
      <c r="I7037" s="121"/>
      <c r="J7037" s="121"/>
      <c r="K7037" s="117"/>
    </row>
    <row r="7038" ht="15.75" customHeight="1">
      <c r="A7038" s="122"/>
      <c r="B7038" s="133"/>
      <c r="C7038" s="120"/>
      <c r="D7038" s="120"/>
      <c r="E7038" s="120"/>
      <c r="F7038" s="120"/>
      <c r="G7038" s="120"/>
      <c r="H7038" s="120"/>
      <c r="I7038" s="121"/>
      <c r="J7038" s="121"/>
      <c r="K7038" s="117"/>
    </row>
    <row r="7039" ht="15.75" customHeight="1">
      <c r="A7039" s="122"/>
      <c r="B7039" s="133"/>
      <c r="C7039" s="120"/>
      <c r="D7039" s="120"/>
      <c r="E7039" s="120"/>
      <c r="F7039" s="120"/>
      <c r="G7039" s="120"/>
      <c r="H7039" s="120"/>
      <c r="I7039" s="121"/>
      <c r="J7039" s="121"/>
      <c r="K7039" s="117"/>
    </row>
    <row r="7040" ht="15.75" customHeight="1">
      <c r="A7040" s="122"/>
      <c r="B7040" s="133"/>
      <c r="C7040" s="120"/>
      <c r="D7040" s="120"/>
      <c r="E7040" s="120"/>
      <c r="F7040" s="120"/>
      <c r="G7040" s="120"/>
      <c r="H7040" s="120"/>
      <c r="I7040" s="121"/>
      <c r="J7040" s="121"/>
      <c r="K7040" s="117"/>
    </row>
    <row r="7041" ht="15.75" customHeight="1">
      <c r="A7041" s="122"/>
      <c r="B7041" s="133"/>
      <c r="C7041" s="120"/>
      <c r="D7041" s="120"/>
      <c r="E7041" s="120"/>
      <c r="F7041" s="120"/>
      <c r="G7041" s="120"/>
      <c r="H7041" s="120"/>
      <c r="I7041" s="121"/>
      <c r="J7041" s="121"/>
      <c r="K7041" s="117"/>
    </row>
    <row r="7042" ht="15.75" customHeight="1">
      <c r="A7042" s="122"/>
      <c r="B7042" s="133"/>
      <c r="C7042" s="120"/>
      <c r="D7042" s="120"/>
      <c r="E7042" s="120"/>
      <c r="F7042" s="120"/>
      <c r="G7042" s="120"/>
      <c r="H7042" s="120"/>
      <c r="I7042" s="121"/>
      <c r="J7042" s="121"/>
      <c r="K7042" s="117"/>
    </row>
    <row r="7043" ht="15.75" customHeight="1">
      <c r="A7043" s="122"/>
      <c r="B7043" s="133"/>
      <c r="C7043" s="120"/>
      <c r="D7043" s="120"/>
      <c r="E7043" s="120"/>
      <c r="F7043" s="120"/>
      <c r="G7043" s="120"/>
      <c r="H7043" s="120"/>
      <c r="I7043" s="121"/>
      <c r="J7043" s="121"/>
      <c r="K7043" s="117"/>
    </row>
    <row r="7044" ht="15.75" customHeight="1">
      <c r="A7044" s="122"/>
      <c r="B7044" s="133"/>
      <c r="C7044" s="120"/>
      <c r="D7044" s="120"/>
      <c r="E7044" s="120"/>
      <c r="F7044" s="120"/>
      <c r="G7044" s="120"/>
      <c r="H7044" s="120"/>
      <c r="I7044" s="121"/>
      <c r="J7044" s="121"/>
      <c r="K7044" s="117"/>
    </row>
    <row r="7045" ht="15.75" customHeight="1">
      <c r="A7045" s="122"/>
      <c r="B7045" s="133"/>
      <c r="C7045" s="120"/>
      <c r="D7045" s="120"/>
      <c r="E7045" s="120"/>
      <c r="F7045" s="120"/>
      <c r="G7045" s="120"/>
      <c r="H7045" s="120"/>
      <c r="I7045" s="121"/>
      <c r="J7045" s="121"/>
      <c r="K7045" s="117"/>
    </row>
    <row r="7046" ht="15.75" customHeight="1">
      <c r="A7046" s="122"/>
      <c r="B7046" s="133"/>
      <c r="C7046" s="120"/>
      <c r="D7046" s="120"/>
      <c r="E7046" s="120"/>
      <c r="F7046" s="120"/>
      <c r="G7046" s="120"/>
      <c r="H7046" s="120"/>
      <c r="I7046" s="121"/>
      <c r="J7046" s="121"/>
      <c r="K7046" s="117"/>
    </row>
    <row r="7047" ht="15.75" customHeight="1">
      <c r="A7047" s="122"/>
      <c r="B7047" s="133"/>
      <c r="C7047" s="120"/>
      <c r="D7047" s="120"/>
      <c r="E7047" s="120"/>
      <c r="F7047" s="120"/>
      <c r="G7047" s="120"/>
      <c r="H7047" s="120"/>
      <c r="I7047" s="121"/>
      <c r="J7047" s="121"/>
      <c r="K7047" s="117"/>
    </row>
    <row r="7048" ht="15.75" customHeight="1">
      <c r="A7048" s="122"/>
      <c r="B7048" s="133"/>
      <c r="C7048" s="120"/>
      <c r="D7048" s="120"/>
      <c r="E7048" s="120"/>
      <c r="F7048" s="120"/>
      <c r="G7048" s="120"/>
      <c r="H7048" s="120"/>
      <c r="I7048" s="121"/>
      <c r="J7048" s="121"/>
      <c r="K7048" s="117"/>
    </row>
    <row r="7049" ht="15.75" customHeight="1">
      <c r="A7049" s="122"/>
      <c r="B7049" s="133"/>
      <c r="C7049" s="120"/>
      <c r="D7049" s="120"/>
      <c r="E7049" s="120"/>
      <c r="F7049" s="120"/>
      <c r="G7049" s="120"/>
      <c r="H7049" s="120"/>
      <c r="I7049" s="121"/>
      <c r="J7049" s="121"/>
      <c r="K7049" s="117"/>
    </row>
    <row r="7050" ht="15.75" customHeight="1">
      <c r="A7050" s="122"/>
      <c r="B7050" s="133"/>
      <c r="C7050" s="120"/>
      <c r="D7050" s="120"/>
      <c r="E7050" s="120"/>
      <c r="F7050" s="120"/>
      <c r="G7050" s="120"/>
      <c r="H7050" s="120"/>
      <c r="I7050" s="121"/>
      <c r="J7050" s="121"/>
      <c r="K7050" s="117"/>
    </row>
    <row r="7051" ht="15.75" customHeight="1">
      <c r="A7051" s="122"/>
      <c r="B7051" s="133"/>
      <c r="C7051" s="120"/>
      <c r="D7051" s="120"/>
      <c r="E7051" s="120"/>
      <c r="F7051" s="120"/>
      <c r="G7051" s="120"/>
      <c r="H7051" s="120"/>
      <c r="I7051" s="121"/>
      <c r="J7051" s="121"/>
      <c r="K7051" s="117"/>
    </row>
    <row r="7052" ht="15.75" customHeight="1">
      <c r="A7052" s="122"/>
      <c r="B7052" s="133"/>
      <c r="C7052" s="120"/>
      <c r="D7052" s="120"/>
      <c r="E7052" s="120"/>
      <c r="F7052" s="120"/>
      <c r="G7052" s="120"/>
      <c r="H7052" s="120"/>
      <c r="I7052" s="121"/>
      <c r="J7052" s="121"/>
      <c r="K7052" s="117"/>
    </row>
    <row r="7053" ht="15.75" customHeight="1">
      <c r="A7053" s="122"/>
      <c r="B7053" s="133"/>
      <c r="C7053" s="120"/>
      <c r="D7053" s="120"/>
      <c r="E7053" s="120"/>
      <c r="F7053" s="120"/>
      <c r="G7053" s="120"/>
      <c r="H7053" s="120"/>
      <c r="I7053" s="121"/>
      <c r="J7053" s="121"/>
      <c r="K7053" s="117"/>
    </row>
    <row r="7054" ht="15.75" customHeight="1">
      <c r="A7054" s="122"/>
      <c r="B7054" s="133"/>
      <c r="C7054" s="120"/>
      <c r="D7054" s="120"/>
      <c r="E7054" s="120"/>
      <c r="F7054" s="120"/>
      <c r="G7054" s="120"/>
      <c r="H7054" s="120"/>
      <c r="I7054" s="121"/>
      <c r="J7054" s="121"/>
      <c r="K7054" s="117"/>
    </row>
    <row r="7055" ht="15.75" customHeight="1">
      <c r="A7055" s="122"/>
      <c r="B7055" s="133"/>
      <c r="C7055" s="120"/>
      <c r="D7055" s="120"/>
      <c r="E7055" s="120"/>
      <c r="F7055" s="120"/>
      <c r="G7055" s="120"/>
      <c r="H7055" s="120"/>
      <c r="I7055" s="121"/>
      <c r="J7055" s="121"/>
      <c r="K7055" s="117"/>
    </row>
    <row r="7056" ht="15.75" customHeight="1">
      <c r="A7056" s="122"/>
      <c r="B7056" s="133"/>
      <c r="C7056" s="120"/>
      <c r="D7056" s="120"/>
      <c r="E7056" s="120"/>
      <c r="F7056" s="120"/>
      <c r="G7056" s="120"/>
      <c r="H7056" s="120"/>
      <c r="I7056" s="121"/>
      <c r="J7056" s="121"/>
      <c r="K7056" s="117"/>
    </row>
    <row r="7057" ht="15.75" customHeight="1">
      <c r="A7057" s="122"/>
      <c r="B7057" s="133"/>
      <c r="C7057" s="120"/>
      <c r="D7057" s="120"/>
      <c r="E7057" s="120"/>
      <c r="F7057" s="120"/>
      <c r="G7057" s="120"/>
      <c r="H7057" s="120"/>
      <c r="I7057" s="121"/>
      <c r="J7057" s="121"/>
      <c r="K7057" s="117"/>
    </row>
    <row r="7058" ht="15.75" customHeight="1">
      <c r="A7058" s="122"/>
      <c r="B7058" s="133"/>
      <c r="C7058" s="120"/>
      <c r="D7058" s="120"/>
      <c r="E7058" s="120"/>
      <c r="F7058" s="120"/>
      <c r="G7058" s="120"/>
      <c r="H7058" s="120"/>
      <c r="I7058" s="121"/>
      <c r="J7058" s="121"/>
      <c r="K7058" s="117"/>
    </row>
    <row r="7059" ht="15.75" customHeight="1">
      <c r="A7059" s="122"/>
      <c r="B7059" s="133"/>
      <c r="C7059" s="120"/>
      <c r="D7059" s="120"/>
      <c r="E7059" s="120"/>
      <c r="F7059" s="120"/>
      <c r="G7059" s="120"/>
      <c r="H7059" s="120"/>
      <c r="I7059" s="121"/>
      <c r="J7059" s="121"/>
      <c r="K7059" s="117"/>
    </row>
    <row r="7060" ht="15.75" customHeight="1">
      <c r="A7060" s="122"/>
      <c r="B7060" s="133"/>
      <c r="C7060" s="120"/>
      <c r="D7060" s="120"/>
      <c r="E7060" s="120"/>
      <c r="F7060" s="120"/>
      <c r="G7060" s="120"/>
      <c r="H7060" s="120"/>
      <c r="I7060" s="121"/>
      <c r="J7060" s="121"/>
      <c r="K7060" s="117"/>
    </row>
    <row r="7061" ht="15.75" customHeight="1">
      <c r="A7061" s="122"/>
      <c r="B7061" s="133"/>
      <c r="C7061" s="120"/>
      <c r="D7061" s="120"/>
      <c r="E7061" s="120"/>
      <c r="F7061" s="120"/>
      <c r="G7061" s="120"/>
      <c r="H7061" s="120"/>
      <c r="I7061" s="121"/>
      <c r="J7061" s="121"/>
      <c r="K7061" s="117"/>
    </row>
    <row r="7062" ht="15.75" customHeight="1">
      <c r="A7062" s="122"/>
      <c r="B7062" s="133"/>
      <c r="C7062" s="120"/>
      <c r="D7062" s="120"/>
      <c r="E7062" s="120"/>
      <c r="F7062" s="120"/>
      <c r="G7062" s="120"/>
      <c r="H7062" s="120"/>
      <c r="I7062" s="121"/>
      <c r="J7062" s="121"/>
      <c r="K7062" s="117"/>
    </row>
    <row r="7063" ht="15.75" customHeight="1">
      <c r="A7063" s="122"/>
      <c r="B7063" s="133"/>
      <c r="C7063" s="120"/>
      <c r="D7063" s="120"/>
      <c r="E7063" s="120"/>
      <c r="F7063" s="120"/>
      <c r="G7063" s="120"/>
      <c r="H7063" s="120"/>
      <c r="I7063" s="121"/>
      <c r="J7063" s="121"/>
      <c r="K7063" s="117"/>
    </row>
    <row r="7064" ht="15.75" customHeight="1">
      <c r="A7064" s="122"/>
      <c r="B7064" s="133"/>
      <c r="C7064" s="120"/>
      <c r="D7064" s="120"/>
      <c r="E7064" s="120"/>
      <c r="F7064" s="120"/>
      <c r="G7064" s="120"/>
      <c r="H7064" s="120"/>
      <c r="I7064" s="121"/>
      <c r="J7064" s="121"/>
      <c r="K7064" s="117"/>
    </row>
    <row r="7065" ht="15.75" customHeight="1">
      <c r="A7065" s="122"/>
      <c r="B7065" s="133"/>
      <c r="C7065" s="120"/>
      <c r="D7065" s="120"/>
      <c r="E7065" s="120"/>
      <c r="F7065" s="120"/>
      <c r="G7065" s="120"/>
      <c r="H7065" s="120"/>
      <c r="I7065" s="121"/>
      <c r="J7065" s="121"/>
      <c r="K7065" s="117"/>
    </row>
    <row r="7066" ht="15.75" customHeight="1">
      <c r="A7066" s="122"/>
      <c r="B7066" s="133"/>
      <c r="C7066" s="120"/>
      <c r="D7066" s="120"/>
      <c r="E7066" s="120"/>
      <c r="F7066" s="120"/>
      <c r="G7066" s="120"/>
      <c r="H7066" s="120"/>
      <c r="I7066" s="121"/>
      <c r="J7066" s="121"/>
      <c r="K7066" s="117"/>
    </row>
    <row r="7067" ht="15.75" customHeight="1">
      <c r="A7067" s="122"/>
      <c r="B7067" s="133"/>
      <c r="C7067" s="120"/>
      <c r="D7067" s="120"/>
      <c r="E7067" s="120"/>
      <c r="F7067" s="120"/>
      <c r="G7067" s="120"/>
      <c r="H7067" s="120"/>
      <c r="I7067" s="121"/>
      <c r="J7067" s="121"/>
      <c r="K7067" s="117"/>
    </row>
    <row r="7068" ht="15.75" customHeight="1">
      <c r="A7068" s="122"/>
      <c r="B7068" s="133"/>
      <c r="C7068" s="120"/>
      <c r="D7068" s="120"/>
      <c r="E7068" s="120"/>
      <c r="F7068" s="120"/>
      <c r="G7068" s="120"/>
      <c r="H7068" s="120"/>
      <c r="I7068" s="121"/>
      <c r="J7068" s="121"/>
      <c r="K7068" s="117"/>
    </row>
    <row r="7069" ht="15.75" customHeight="1">
      <c r="A7069" s="122"/>
      <c r="B7069" s="133"/>
      <c r="C7069" s="120"/>
      <c r="D7069" s="120"/>
      <c r="E7069" s="120"/>
      <c r="F7069" s="120"/>
      <c r="G7069" s="120"/>
      <c r="H7069" s="120"/>
      <c r="I7069" s="121"/>
      <c r="J7069" s="121"/>
      <c r="K7069" s="117"/>
    </row>
    <row r="7070" ht="15.75" customHeight="1">
      <c r="A7070" s="122"/>
      <c r="B7070" s="133"/>
      <c r="C7070" s="120"/>
      <c r="D7070" s="120"/>
      <c r="E7070" s="120"/>
      <c r="F7070" s="120"/>
      <c r="G7070" s="120"/>
      <c r="H7070" s="120"/>
      <c r="I7070" s="121"/>
      <c r="J7070" s="121"/>
      <c r="K7070" s="117"/>
    </row>
    <row r="7071" ht="15.75" customHeight="1">
      <c r="A7071" s="122"/>
      <c r="B7071" s="133"/>
      <c r="C7071" s="120"/>
      <c r="D7071" s="120"/>
      <c r="E7071" s="120"/>
      <c r="F7071" s="120"/>
      <c r="G7071" s="120"/>
      <c r="H7071" s="120"/>
      <c r="I7071" s="121"/>
      <c r="J7071" s="121"/>
      <c r="K7071" s="117"/>
    </row>
    <row r="7072" ht="15.75" customHeight="1">
      <c r="A7072" s="122"/>
      <c r="B7072" s="133"/>
      <c r="C7072" s="120"/>
      <c r="D7072" s="120"/>
      <c r="E7072" s="120"/>
      <c r="F7072" s="120"/>
      <c r="G7072" s="120"/>
      <c r="H7072" s="120"/>
      <c r="I7072" s="121"/>
      <c r="J7072" s="121"/>
      <c r="K7072" s="117"/>
    </row>
    <row r="7073" ht="15.75" customHeight="1">
      <c r="A7073" s="122"/>
      <c r="B7073" s="133"/>
      <c r="C7073" s="120"/>
      <c r="D7073" s="120"/>
      <c r="E7073" s="120"/>
      <c r="F7073" s="120"/>
      <c r="G7073" s="120"/>
      <c r="H7073" s="120"/>
      <c r="I7073" s="121"/>
      <c r="J7073" s="121"/>
      <c r="K7073" s="117"/>
    </row>
    <row r="7074" ht="15.75" customHeight="1">
      <c r="A7074" s="122"/>
      <c r="B7074" s="133"/>
      <c r="C7074" s="120"/>
      <c r="D7074" s="120"/>
      <c r="E7074" s="120"/>
      <c r="F7074" s="120"/>
      <c r="G7074" s="120"/>
      <c r="H7074" s="120"/>
      <c r="I7074" s="121"/>
      <c r="J7074" s="121"/>
      <c r="K7074" s="117"/>
    </row>
    <row r="7075" ht="15.75" customHeight="1">
      <c r="A7075" s="122"/>
      <c r="B7075" s="133"/>
      <c r="C7075" s="120"/>
      <c r="D7075" s="120"/>
      <c r="E7075" s="120"/>
      <c r="F7075" s="120"/>
      <c r="G7075" s="120"/>
      <c r="H7075" s="120"/>
      <c r="I7075" s="121"/>
      <c r="J7075" s="121"/>
      <c r="K7075" s="117"/>
    </row>
    <row r="7076" ht="15.75" customHeight="1">
      <c r="A7076" s="122"/>
      <c r="B7076" s="133"/>
      <c r="C7076" s="120"/>
      <c r="D7076" s="120"/>
      <c r="E7076" s="120"/>
      <c r="F7076" s="120"/>
      <c r="G7076" s="120"/>
      <c r="H7076" s="120"/>
      <c r="I7076" s="121"/>
      <c r="J7076" s="121"/>
      <c r="K7076" s="117"/>
    </row>
    <row r="7077" ht="15.75" customHeight="1">
      <c r="A7077" s="122"/>
      <c r="B7077" s="133"/>
      <c r="C7077" s="120"/>
      <c r="D7077" s="120"/>
      <c r="E7077" s="120"/>
      <c r="F7077" s="120"/>
      <c r="G7077" s="120"/>
      <c r="H7077" s="120"/>
      <c r="I7077" s="121"/>
      <c r="J7077" s="121"/>
      <c r="K7077" s="117"/>
    </row>
    <row r="7078" ht="15.75" customHeight="1">
      <c r="A7078" s="122"/>
      <c r="B7078" s="133"/>
      <c r="C7078" s="120"/>
      <c r="D7078" s="120"/>
      <c r="E7078" s="120"/>
      <c r="F7078" s="120"/>
      <c r="G7078" s="120"/>
      <c r="H7078" s="120"/>
      <c r="I7078" s="121"/>
      <c r="J7078" s="121"/>
      <c r="K7078" s="117"/>
    </row>
    <row r="7079" ht="15.75" customHeight="1">
      <c r="A7079" s="122"/>
      <c r="B7079" s="133"/>
      <c r="C7079" s="120"/>
      <c r="D7079" s="120"/>
      <c r="E7079" s="120"/>
      <c r="F7079" s="120"/>
      <c r="G7079" s="120"/>
      <c r="H7079" s="120"/>
      <c r="I7079" s="121"/>
      <c r="J7079" s="121"/>
      <c r="K7079" s="117"/>
    </row>
    <row r="7080" ht="15.75" customHeight="1">
      <c r="A7080" s="122"/>
      <c r="B7080" s="133"/>
      <c r="C7080" s="120"/>
      <c r="D7080" s="120"/>
      <c r="E7080" s="120"/>
      <c r="F7080" s="120"/>
      <c r="G7080" s="120"/>
      <c r="H7080" s="120"/>
      <c r="I7080" s="121"/>
      <c r="J7080" s="121"/>
      <c r="K7080" s="117"/>
    </row>
    <row r="7081" ht="15.75" customHeight="1">
      <c r="A7081" s="122"/>
      <c r="B7081" s="133"/>
      <c r="C7081" s="120"/>
      <c r="D7081" s="120"/>
      <c r="E7081" s="120"/>
      <c r="F7081" s="120"/>
      <c r="G7081" s="120"/>
      <c r="H7081" s="120"/>
      <c r="I7081" s="121"/>
      <c r="J7081" s="121"/>
      <c r="K7081" s="117"/>
    </row>
    <row r="7082" ht="15.75" customHeight="1">
      <c r="A7082" s="122"/>
      <c r="B7082" s="133"/>
      <c r="C7082" s="120"/>
      <c r="D7082" s="120"/>
      <c r="E7082" s="120"/>
      <c r="F7082" s="120"/>
      <c r="G7082" s="120"/>
      <c r="H7082" s="120"/>
      <c r="I7082" s="121"/>
      <c r="J7082" s="121"/>
      <c r="K7082" s="117"/>
    </row>
    <row r="7083" ht="15.75" customHeight="1">
      <c r="A7083" s="122"/>
      <c r="B7083" s="133"/>
      <c r="C7083" s="120"/>
      <c r="D7083" s="120"/>
      <c r="E7083" s="120"/>
      <c r="F7083" s="120"/>
      <c r="G7083" s="120"/>
      <c r="H7083" s="120"/>
      <c r="I7083" s="121"/>
      <c r="J7083" s="121"/>
      <c r="K7083" s="117"/>
    </row>
    <row r="7084" ht="15.75" customHeight="1">
      <c r="A7084" s="122"/>
      <c r="B7084" s="133"/>
      <c r="C7084" s="120"/>
      <c r="D7084" s="120"/>
      <c r="E7084" s="120"/>
      <c r="F7084" s="120"/>
      <c r="G7084" s="120"/>
      <c r="H7084" s="120"/>
      <c r="I7084" s="121"/>
      <c r="J7084" s="121"/>
      <c r="K7084" s="117"/>
    </row>
    <row r="7085" ht="15.75" customHeight="1">
      <c r="A7085" s="122"/>
      <c r="B7085" s="133"/>
      <c r="C7085" s="120"/>
      <c r="D7085" s="120"/>
      <c r="E7085" s="120"/>
      <c r="F7085" s="120"/>
      <c r="G7085" s="120"/>
      <c r="H7085" s="120"/>
      <c r="I7085" s="121"/>
      <c r="J7085" s="121"/>
      <c r="K7085" s="117"/>
    </row>
    <row r="7086" ht="15.75" customHeight="1">
      <c r="A7086" s="122"/>
      <c r="B7086" s="133"/>
      <c r="C7086" s="120"/>
      <c r="D7086" s="120"/>
      <c r="E7086" s="120"/>
      <c r="F7086" s="120"/>
      <c r="G7086" s="120"/>
      <c r="H7086" s="120"/>
      <c r="I7086" s="121"/>
      <c r="J7086" s="121"/>
      <c r="K7086" s="117"/>
    </row>
    <row r="7087" ht="15.75" customHeight="1">
      <c r="A7087" s="122"/>
      <c r="B7087" s="133"/>
      <c r="C7087" s="120"/>
      <c r="D7087" s="120"/>
      <c r="E7087" s="120"/>
      <c r="F7087" s="120"/>
      <c r="G7087" s="120"/>
      <c r="H7087" s="120"/>
      <c r="I7087" s="121"/>
      <c r="J7087" s="121"/>
      <c r="K7087" s="117"/>
    </row>
    <row r="7088" ht="15.75" customHeight="1">
      <c r="A7088" s="122"/>
      <c r="B7088" s="133"/>
      <c r="C7088" s="120"/>
      <c r="D7088" s="120"/>
      <c r="E7088" s="120"/>
      <c r="F7088" s="120"/>
      <c r="G7088" s="120"/>
      <c r="H7088" s="120"/>
      <c r="I7088" s="121"/>
      <c r="J7088" s="121"/>
      <c r="K7088" s="117"/>
    </row>
    <row r="7089" ht="15.75" customHeight="1">
      <c r="A7089" s="122"/>
      <c r="B7089" s="133"/>
      <c r="C7089" s="120"/>
      <c r="D7089" s="120"/>
      <c r="E7089" s="120"/>
      <c r="F7089" s="120"/>
      <c r="G7089" s="120"/>
      <c r="H7089" s="120"/>
      <c r="I7089" s="121"/>
      <c r="J7089" s="121"/>
      <c r="K7089" s="117"/>
    </row>
    <row r="7090" ht="15.75" customHeight="1">
      <c r="A7090" s="122"/>
      <c r="B7090" s="133"/>
      <c r="C7090" s="120"/>
      <c r="D7090" s="120"/>
      <c r="E7090" s="120"/>
      <c r="F7090" s="120"/>
      <c r="G7090" s="120"/>
      <c r="H7090" s="120"/>
      <c r="I7090" s="121"/>
      <c r="J7090" s="121"/>
      <c r="K7090" s="117"/>
    </row>
    <row r="7091" ht="15.75" customHeight="1">
      <c r="A7091" s="122"/>
      <c r="B7091" s="133"/>
      <c r="C7091" s="120"/>
      <c r="D7091" s="120"/>
      <c r="E7091" s="120"/>
      <c r="F7091" s="120"/>
      <c r="G7091" s="120"/>
      <c r="H7091" s="120"/>
      <c r="I7091" s="121"/>
      <c r="J7091" s="121"/>
      <c r="K7091" s="117"/>
    </row>
    <row r="7092" ht="15.75" customHeight="1">
      <c r="A7092" s="122"/>
      <c r="B7092" s="133"/>
      <c r="C7092" s="120"/>
      <c r="D7092" s="120"/>
      <c r="E7092" s="120"/>
      <c r="F7092" s="120"/>
      <c r="G7092" s="120"/>
      <c r="H7092" s="120"/>
      <c r="I7092" s="121"/>
      <c r="J7092" s="121"/>
      <c r="K7092" s="117"/>
    </row>
    <row r="7093" ht="15.75" customHeight="1">
      <c r="A7093" s="122"/>
      <c r="B7093" s="133"/>
      <c r="C7093" s="120"/>
      <c r="D7093" s="120"/>
      <c r="E7093" s="120"/>
      <c r="F7093" s="120"/>
      <c r="G7093" s="120"/>
      <c r="H7093" s="120"/>
      <c r="I7093" s="121"/>
      <c r="J7093" s="121"/>
      <c r="K7093" s="117"/>
    </row>
    <row r="7094" ht="15.75" customHeight="1">
      <c r="A7094" s="122"/>
      <c r="B7094" s="133"/>
      <c r="C7094" s="120"/>
      <c r="D7094" s="120"/>
      <c r="E7094" s="120"/>
      <c r="F7094" s="120"/>
      <c r="G7094" s="120"/>
      <c r="H7094" s="120"/>
      <c r="I7094" s="121"/>
      <c r="J7094" s="121"/>
      <c r="K7094" s="117"/>
    </row>
    <row r="7095" ht="15.75" customHeight="1">
      <c r="A7095" s="122"/>
      <c r="B7095" s="133"/>
      <c r="C7095" s="120"/>
      <c r="D7095" s="120"/>
      <c r="E7095" s="120"/>
      <c r="F7095" s="120"/>
      <c r="G7095" s="120"/>
      <c r="H7095" s="120"/>
      <c r="I7095" s="121"/>
      <c r="J7095" s="121"/>
      <c r="K7095" s="117"/>
    </row>
    <row r="7096" ht="15.75" customHeight="1">
      <c r="A7096" s="122"/>
      <c r="B7096" s="133"/>
      <c r="C7096" s="120"/>
      <c r="D7096" s="120"/>
      <c r="E7096" s="120"/>
      <c r="F7096" s="120"/>
      <c r="G7096" s="120"/>
      <c r="H7096" s="120"/>
      <c r="I7096" s="121"/>
      <c r="J7096" s="121"/>
      <c r="K7096" s="117"/>
    </row>
    <row r="7097" ht="15.75" customHeight="1">
      <c r="A7097" s="122"/>
      <c r="B7097" s="133"/>
      <c r="C7097" s="120"/>
      <c r="D7097" s="120"/>
      <c r="E7097" s="120"/>
      <c r="F7097" s="120"/>
      <c r="G7097" s="120"/>
      <c r="H7097" s="120"/>
      <c r="I7097" s="121"/>
      <c r="J7097" s="121"/>
      <c r="K7097" s="117"/>
    </row>
    <row r="7098" ht="15.75" customHeight="1">
      <c r="A7098" s="122"/>
      <c r="B7098" s="133"/>
      <c r="C7098" s="120"/>
      <c r="D7098" s="120"/>
      <c r="E7098" s="120"/>
      <c r="F7098" s="120"/>
      <c r="G7098" s="120"/>
      <c r="H7098" s="120"/>
      <c r="I7098" s="121"/>
      <c r="J7098" s="121"/>
      <c r="K7098" s="117"/>
    </row>
    <row r="7099" ht="15.75" customHeight="1">
      <c r="A7099" s="122"/>
      <c r="B7099" s="133"/>
      <c r="C7099" s="120"/>
      <c r="D7099" s="120"/>
      <c r="E7099" s="120"/>
      <c r="F7099" s="120"/>
      <c r="G7099" s="120"/>
      <c r="H7099" s="120"/>
      <c r="I7099" s="121"/>
      <c r="J7099" s="121"/>
      <c r="K7099" s="117"/>
    </row>
    <row r="7100" ht="15.75" customHeight="1">
      <c r="A7100" s="122"/>
      <c r="B7100" s="133"/>
      <c r="C7100" s="120"/>
      <c r="D7100" s="120"/>
      <c r="E7100" s="120"/>
      <c r="F7100" s="120"/>
      <c r="G7100" s="120"/>
      <c r="H7100" s="120"/>
      <c r="I7100" s="121"/>
      <c r="J7100" s="121"/>
      <c r="K7100" s="117"/>
    </row>
    <row r="7101" ht="15.75" customHeight="1">
      <c r="A7101" s="122"/>
      <c r="B7101" s="133"/>
      <c r="C7101" s="120"/>
      <c r="D7101" s="120"/>
      <c r="E7101" s="120"/>
      <c r="F7101" s="120"/>
      <c r="G7101" s="120"/>
      <c r="H7101" s="120"/>
      <c r="I7101" s="121"/>
      <c r="J7101" s="121"/>
      <c r="K7101" s="117"/>
    </row>
    <row r="7102" ht="15.75" customHeight="1">
      <c r="A7102" s="122"/>
      <c r="B7102" s="133"/>
      <c r="C7102" s="120"/>
      <c r="D7102" s="120"/>
      <c r="E7102" s="120"/>
      <c r="F7102" s="120"/>
      <c r="G7102" s="120"/>
      <c r="H7102" s="120"/>
      <c r="I7102" s="121"/>
      <c r="J7102" s="121"/>
      <c r="K7102" s="117"/>
    </row>
    <row r="7103" ht="15.75" customHeight="1">
      <c r="A7103" s="122"/>
      <c r="B7103" s="133"/>
      <c r="C7103" s="120"/>
      <c r="D7103" s="120"/>
      <c r="E7103" s="120"/>
      <c r="F7103" s="120"/>
      <c r="G7103" s="120"/>
      <c r="H7103" s="120"/>
      <c r="I7103" s="121"/>
      <c r="J7103" s="121"/>
      <c r="K7103" s="117"/>
    </row>
    <row r="7104" ht="15.75" customHeight="1">
      <c r="A7104" s="122"/>
      <c r="B7104" s="133"/>
      <c r="C7104" s="120"/>
      <c r="D7104" s="120"/>
      <c r="E7104" s="120"/>
      <c r="F7104" s="120"/>
      <c r="G7104" s="120"/>
      <c r="H7104" s="120"/>
      <c r="I7104" s="121"/>
      <c r="J7104" s="121"/>
      <c r="K7104" s="117"/>
    </row>
    <row r="7105" ht="15.75" customHeight="1">
      <c r="A7105" s="122"/>
      <c r="B7105" s="133"/>
      <c r="C7105" s="120"/>
      <c r="D7105" s="120"/>
      <c r="E7105" s="120"/>
      <c r="F7105" s="120"/>
      <c r="G7105" s="120"/>
      <c r="H7105" s="120"/>
      <c r="I7105" s="121"/>
      <c r="J7105" s="121"/>
      <c r="K7105" s="117"/>
    </row>
    <row r="7106" ht="15.75" customHeight="1">
      <c r="A7106" s="122"/>
      <c r="B7106" s="133"/>
      <c r="C7106" s="120"/>
      <c r="D7106" s="120"/>
      <c r="E7106" s="120"/>
      <c r="F7106" s="120"/>
      <c r="G7106" s="120"/>
      <c r="H7106" s="120"/>
      <c r="I7106" s="121"/>
      <c r="J7106" s="121"/>
      <c r="K7106" s="117"/>
    </row>
    <row r="7107" ht="15.75" customHeight="1">
      <c r="A7107" s="122"/>
      <c r="B7107" s="133"/>
      <c r="C7107" s="120"/>
      <c r="D7107" s="120"/>
      <c r="E7107" s="120"/>
      <c r="F7107" s="120"/>
      <c r="G7107" s="120"/>
      <c r="H7107" s="120"/>
      <c r="I7107" s="121"/>
      <c r="J7107" s="121"/>
      <c r="K7107" s="117"/>
    </row>
    <row r="7108" ht="15.75" customHeight="1">
      <c r="A7108" s="122"/>
      <c r="B7108" s="133"/>
      <c r="C7108" s="120"/>
      <c r="D7108" s="120"/>
      <c r="E7108" s="120"/>
      <c r="F7108" s="120"/>
      <c r="G7108" s="120"/>
      <c r="H7108" s="120"/>
      <c r="I7108" s="121"/>
      <c r="J7108" s="121"/>
      <c r="K7108" s="117"/>
    </row>
    <row r="7109" ht="15.75" customHeight="1">
      <c r="A7109" s="122"/>
      <c r="B7109" s="133"/>
      <c r="C7109" s="120"/>
      <c r="D7109" s="120"/>
      <c r="E7109" s="120"/>
      <c r="F7109" s="120"/>
      <c r="G7109" s="120"/>
      <c r="H7109" s="120"/>
      <c r="I7109" s="121"/>
      <c r="J7109" s="121"/>
      <c r="K7109" s="117"/>
    </row>
    <row r="7110" ht="15.75" customHeight="1">
      <c r="A7110" s="122"/>
      <c r="B7110" s="133"/>
      <c r="C7110" s="120"/>
      <c r="D7110" s="120"/>
      <c r="E7110" s="120"/>
      <c r="F7110" s="120"/>
      <c r="G7110" s="120"/>
      <c r="H7110" s="120"/>
      <c r="I7110" s="121"/>
      <c r="J7110" s="121"/>
      <c r="K7110" s="117"/>
    </row>
    <row r="7111" ht="15.75" customHeight="1">
      <c r="A7111" s="122"/>
      <c r="B7111" s="133"/>
      <c r="C7111" s="120"/>
      <c r="D7111" s="120"/>
      <c r="E7111" s="120"/>
      <c r="F7111" s="120"/>
      <c r="G7111" s="120"/>
      <c r="H7111" s="120"/>
      <c r="I7111" s="121"/>
      <c r="J7111" s="121"/>
      <c r="K7111" s="117"/>
    </row>
    <row r="7112" ht="15.75" customHeight="1">
      <c r="A7112" s="122"/>
      <c r="B7112" s="133"/>
      <c r="C7112" s="120"/>
      <c r="D7112" s="120"/>
      <c r="E7112" s="120"/>
      <c r="F7112" s="120"/>
      <c r="G7112" s="120"/>
      <c r="H7112" s="120"/>
      <c r="I7112" s="121"/>
      <c r="J7112" s="121"/>
      <c r="K7112" s="117"/>
    </row>
    <row r="7113" ht="15.75" customHeight="1">
      <c r="A7113" s="122"/>
      <c r="B7113" s="133"/>
      <c r="C7113" s="120"/>
      <c r="D7113" s="120"/>
      <c r="E7113" s="120"/>
      <c r="F7113" s="120"/>
      <c r="G7113" s="120"/>
      <c r="H7113" s="120"/>
      <c r="I7113" s="121"/>
      <c r="J7113" s="121"/>
      <c r="K7113" s="117"/>
    </row>
    <row r="7114" ht="15.75" customHeight="1">
      <c r="A7114" s="122"/>
      <c r="B7114" s="133"/>
      <c r="C7114" s="120"/>
      <c r="D7114" s="120"/>
      <c r="E7114" s="120"/>
      <c r="F7114" s="120"/>
      <c r="G7114" s="120"/>
      <c r="H7114" s="120"/>
      <c r="I7114" s="121"/>
      <c r="J7114" s="121"/>
      <c r="K7114" s="117"/>
    </row>
    <row r="7115" ht="15.75" customHeight="1">
      <c r="A7115" s="122"/>
      <c r="B7115" s="133"/>
      <c r="C7115" s="120"/>
      <c r="D7115" s="120"/>
      <c r="E7115" s="120"/>
      <c r="F7115" s="120"/>
      <c r="G7115" s="120"/>
      <c r="H7115" s="120"/>
      <c r="I7115" s="121"/>
      <c r="J7115" s="121"/>
      <c r="K7115" s="117"/>
    </row>
    <row r="7116" ht="15.75" customHeight="1">
      <c r="A7116" s="122"/>
      <c r="B7116" s="133"/>
      <c r="C7116" s="120"/>
      <c r="D7116" s="120"/>
      <c r="E7116" s="120"/>
      <c r="F7116" s="120"/>
      <c r="G7116" s="120"/>
      <c r="H7116" s="120"/>
      <c r="I7116" s="121"/>
      <c r="J7116" s="121"/>
      <c r="K7116" s="117"/>
    </row>
    <row r="7117" ht="15.75" customHeight="1">
      <c r="A7117" s="122"/>
      <c r="B7117" s="133"/>
      <c r="C7117" s="120"/>
      <c r="D7117" s="120"/>
      <c r="E7117" s="120"/>
      <c r="F7117" s="120"/>
      <c r="G7117" s="120"/>
      <c r="H7117" s="120"/>
      <c r="I7117" s="121"/>
      <c r="J7117" s="121"/>
      <c r="K7117" s="117"/>
    </row>
    <row r="7118" ht="15.75" customHeight="1">
      <c r="A7118" s="122"/>
      <c r="B7118" s="133"/>
      <c r="C7118" s="120"/>
      <c r="D7118" s="120"/>
      <c r="E7118" s="120"/>
      <c r="F7118" s="120"/>
      <c r="G7118" s="120"/>
      <c r="H7118" s="120"/>
      <c r="I7118" s="121"/>
      <c r="J7118" s="121"/>
      <c r="K7118" s="117"/>
    </row>
    <row r="7119" ht="15.75" customHeight="1">
      <c r="A7119" s="122"/>
      <c r="B7119" s="133"/>
      <c r="C7119" s="120"/>
      <c r="D7119" s="120"/>
      <c r="E7119" s="120"/>
      <c r="F7119" s="120"/>
      <c r="G7119" s="120"/>
      <c r="H7119" s="120"/>
      <c r="I7119" s="121"/>
      <c r="J7119" s="121"/>
      <c r="K7119" s="117"/>
    </row>
    <row r="7120" ht="15.75" customHeight="1">
      <c r="A7120" s="122"/>
      <c r="B7120" s="133"/>
      <c r="C7120" s="120"/>
      <c r="D7120" s="120"/>
      <c r="E7120" s="120"/>
      <c r="F7120" s="120"/>
      <c r="G7120" s="120"/>
      <c r="H7120" s="120"/>
      <c r="I7120" s="121"/>
      <c r="J7120" s="121"/>
      <c r="K7120" s="117"/>
    </row>
    <row r="7121" ht="15.75" customHeight="1">
      <c r="A7121" s="122"/>
      <c r="B7121" s="133"/>
      <c r="C7121" s="120"/>
      <c r="D7121" s="120"/>
      <c r="E7121" s="120"/>
      <c r="F7121" s="120"/>
      <c r="G7121" s="120"/>
      <c r="H7121" s="120"/>
      <c r="I7121" s="121"/>
      <c r="J7121" s="121"/>
      <c r="K7121" s="117"/>
    </row>
    <row r="7122" ht="15.75" customHeight="1">
      <c r="A7122" s="122"/>
      <c r="B7122" s="133"/>
      <c r="C7122" s="120"/>
      <c r="D7122" s="120"/>
      <c r="E7122" s="120"/>
      <c r="F7122" s="120"/>
      <c r="G7122" s="120"/>
      <c r="H7122" s="120"/>
      <c r="I7122" s="121"/>
      <c r="J7122" s="121"/>
      <c r="K7122" s="117"/>
    </row>
    <row r="7123" ht="15.75" customHeight="1">
      <c r="A7123" s="122"/>
      <c r="B7123" s="133"/>
      <c r="C7123" s="120"/>
      <c r="D7123" s="120"/>
      <c r="E7123" s="120"/>
      <c r="F7123" s="120"/>
      <c r="G7123" s="120"/>
      <c r="H7123" s="120"/>
      <c r="I7123" s="121"/>
      <c r="J7123" s="121"/>
      <c r="K7123" s="117"/>
    </row>
    <row r="7124" ht="15.75" customHeight="1">
      <c r="A7124" s="122"/>
      <c r="B7124" s="133"/>
      <c r="C7124" s="120"/>
      <c r="D7124" s="120"/>
      <c r="E7124" s="120"/>
      <c r="F7124" s="120"/>
      <c r="G7124" s="120"/>
      <c r="H7124" s="120"/>
      <c r="I7124" s="121"/>
      <c r="J7124" s="121"/>
      <c r="K7124" s="117"/>
    </row>
    <row r="7125" ht="15.75" customHeight="1">
      <c r="A7125" s="122"/>
      <c r="B7125" s="133"/>
      <c r="C7125" s="120"/>
      <c r="D7125" s="120"/>
      <c r="E7125" s="120"/>
      <c r="F7125" s="120"/>
      <c r="G7125" s="120"/>
      <c r="H7125" s="120"/>
      <c r="I7125" s="121"/>
      <c r="J7125" s="121"/>
      <c r="K7125" s="117"/>
    </row>
    <row r="7126" ht="15.75" customHeight="1">
      <c r="A7126" s="122"/>
      <c r="B7126" s="133"/>
      <c r="C7126" s="120"/>
      <c r="D7126" s="120"/>
      <c r="E7126" s="120"/>
      <c r="F7126" s="120"/>
      <c r="G7126" s="120"/>
      <c r="H7126" s="120"/>
      <c r="I7126" s="121"/>
      <c r="J7126" s="121"/>
      <c r="K7126" s="117"/>
    </row>
    <row r="7127" ht="15.75" customHeight="1">
      <c r="A7127" s="122"/>
      <c r="B7127" s="133"/>
      <c r="C7127" s="120"/>
      <c r="D7127" s="120"/>
      <c r="E7127" s="120"/>
      <c r="F7127" s="120"/>
      <c r="G7127" s="120"/>
      <c r="H7127" s="120"/>
      <c r="I7127" s="121"/>
      <c r="J7127" s="121"/>
      <c r="K7127" s="117"/>
    </row>
    <row r="7128" ht="15.75" customHeight="1">
      <c r="A7128" s="122"/>
      <c r="B7128" s="133"/>
      <c r="C7128" s="120"/>
      <c r="D7128" s="120"/>
      <c r="E7128" s="120"/>
      <c r="F7128" s="120"/>
      <c r="G7128" s="120"/>
      <c r="H7128" s="120"/>
      <c r="I7128" s="121"/>
      <c r="J7128" s="121"/>
      <c r="K7128" s="117"/>
    </row>
    <row r="7129" ht="15.75" customHeight="1">
      <c r="A7129" s="122"/>
      <c r="B7129" s="133"/>
      <c r="C7129" s="120"/>
      <c r="D7129" s="120"/>
      <c r="E7129" s="120"/>
      <c r="F7129" s="120"/>
      <c r="G7129" s="120"/>
      <c r="H7129" s="120"/>
      <c r="I7129" s="121"/>
      <c r="J7129" s="121"/>
      <c r="K7129" s="117"/>
    </row>
    <row r="7130" ht="15.75" customHeight="1">
      <c r="A7130" s="122"/>
      <c r="B7130" s="133"/>
      <c r="C7130" s="120"/>
      <c r="D7130" s="120"/>
      <c r="E7130" s="120"/>
      <c r="F7130" s="120"/>
      <c r="G7130" s="120"/>
      <c r="H7130" s="120"/>
      <c r="I7130" s="121"/>
      <c r="J7130" s="121"/>
      <c r="K7130" s="117"/>
    </row>
    <row r="7131" ht="15.75" customHeight="1">
      <c r="A7131" s="122"/>
      <c r="B7131" s="133"/>
      <c r="C7131" s="120"/>
      <c r="D7131" s="120"/>
      <c r="E7131" s="120"/>
      <c r="F7131" s="120"/>
      <c r="G7131" s="120"/>
      <c r="H7131" s="120"/>
      <c r="I7131" s="121"/>
      <c r="J7131" s="121"/>
      <c r="K7131" s="117"/>
    </row>
    <row r="7132" ht="15.75" customHeight="1">
      <c r="A7132" s="122"/>
      <c r="B7132" s="133"/>
      <c r="C7132" s="120"/>
      <c r="D7132" s="120"/>
      <c r="E7132" s="120"/>
      <c r="F7132" s="120"/>
      <c r="G7132" s="120"/>
      <c r="H7132" s="120"/>
      <c r="I7132" s="121"/>
      <c r="J7132" s="121"/>
      <c r="K7132" s="117"/>
    </row>
    <row r="7133" ht="15.75" customHeight="1">
      <c r="A7133" s="122"/>
      <c r="B7133" s="133"/>
      <c r="C7133" s="120"/>
      <c r="D7133" s="120"/>
      <c r="E7133" s="120"/>
      <c r="F7133" s="120"/>
      <c r="G7133" s="120"/>
      <c r="H7133" s="120"/>
      <c r="I7133" s="121"/>
      <c r="J7133" s="121"/>
      <c r="K7133" s="117"/>
    </row>
    <row r="7134" ht="15.75" customHeight="1">
      <c r="A7134" s="122"/>
      <c r="B7134" s="133"/>
      <c r="C7134" s="120"/>
      <c r="D7134" s="120"/>
      <c r="E7134" s="120"/>
      <c r="F7134" s="120"/>
      <c r="G7134" s="120"/>
      <c r="H7134" s="120"/>
      <c r="I7134" s="121"/>
      <c r="J7134" s="121"/>
      <c r="K7134" s="117"/>
    </row>
    <row r="7135" ht="15.75" customHeight="1">
      <c r="A7135" s="122"/>
      <c r="B7135" s="133"/>
      <c r="C7135" s="120"/>
      <c r="D7135" s="120"/>
      <c r="E7135" s="120"/>
      <c r="F7135" s="120"/>
      <c r="G7135" s="120"/>
      <c r="H7135" s="120"/>
      <c r="I7135" s="121"/>
      <c r="J7135" s="121"/>
      <c r="K7135" s="117"/>
    </row>
    <row r="7136" ht="15.75" customHeight="1">
      <c r="A7136" s="122"/>
      <c r="B7136" s="133"/>
      <c r="C7136" s="120"/>
      <c r="D7136" s="120"/>
      <c r="E7136" s="120"/>
      <c r="F7136" s="120"/>
      <c r="G7136" s="120"/>
      <c r="H7136" s="120"/>
      <c r="I7136" s="121"/>
      <c r="J7136" s="121"/>
      <c r="K7136" s="117"/>
    </row>
    <row r="7137" ht="15.75" customHeight="1">
      <c r="A7137" s="122"/>
      <c r="B7137" s="133"/>
      <c r="C7137" s="120"/>
      <c r="D7137" s="120"/>
      <c r="E7137" s="120"/>
      <c r="F7137" s="120"/>
      <c r="G7137" s="120"/>
      <c r="H7137" s="120"/>
      <c r="I7137" s="121"/>
      <c r="J7137" s="121"/>
      <c r="K7137" s="117"/>
    </row>
    <row r="7138" ht="15.75" customHeight="1">
      <c r="A7138" s="122"/>
      <c r="B7138" s="133"/>
      <c r="C7138" s="120"/>
      <c r="D7138" s="120"/>
      <c r="E7138" s="120"/>
      <c r="F7138" s="120"/>
      <c r="G7138" s="120"/>
      <c r="H7138" s="120"/>
      <c r="I7138" s="121"/>
      <c r="J7138" s="121"/>
      <c r="K7138" s="117"/>
    </row>
    <row r="7139" ht="15.75" customHeight="1">
      <c r="A7139" s="122"/>
      <c r="B7139" s="133"/>
      <c r="C7139" s="120"/>
      <c r="D7139" s="120"/>
      <c r="E7139" s="120"/>
      <c r="F7139" s="120"/>
      <c r="G7139" s="120"/>
      <c r="H7139" s="120"/>
      <c r="I7139" s="121"/>
      <c r="J7139" s="121"/>
      <c r="K7139" s="117"/>
    </row>
    <row r="7140" ht="15.75" customHeight="1">
      <c r="A7140" s="122"/>
      <c r="B7140" s="133"/>
      <c r="C7140" s="120"/>
      <c r="D7140" s="120"/>
      <c r="E7140" s="120"/>
      <c r="F7140" s="120"/>
      <c r="G7140" s="120"/>
      <c r="H7140" s="120"/>
      <c r="I7140" s="121"/>
      <c r="J7140" s="121"/>
      <c r="K7140" s="117"/>
    </row>
    <row r="7141" ht="15.75" customHeight="1">
      <c r="A7141" s="122"/>
      <c r="B7141" s="133"/>
      <c r="C7141" s="120"/>
      <c r="D7141" s="120"/>
      <c r="E7141" s="120"/>
      <c r="F7141" s="120"/>
      <c r="G7141" s="120"/>
      <c r="H7141" s="120"/>
      <c r="I7141" s="121"/>
      <c r="J7141" s="121"/>
      <c r="K7141" s="117"/>
    </row>
    <row r="7142" ht="15.75" customHeight="1">
      <c r="A7142" s="122"/>
      <c r="B7142" s="133"/>
      <c r="C7142" s="120"/>
      <c r="D7142" s="120"/>
      <c r="E7142" s="120"/>
      <c r="F7142" s="120"/>
      <c r="G7142" s="120"/>
      <c r="H7142" s="120"/>
      <c r="I7142" s="121"/>
      <c r="J7142" s="121"/>
      <c r="K7142" s="117"/>
    </row>
    <row r="7143" ht="15.75" customHeight="1">
      <c r="A7143" s="122"/>
      <c r="B7143" s="133"/>
      <c r="C7143" s="120"/>
      <c r="D7143" s="120"/>
      <c r="E7143" s="120"/>
      <c r="F7143" s="120"/>
      <c r="G7143" s="120"/>
      <c r="H7143" s="120"/>
      <c r="I7143" s="121"/>
      <c r="J7143" s="121"/>
      <c r="K7143" s="117"/>
    </row>
    <row r="7144" ht="15.75" customHeight="1">
      <c r="A7144" s="122"/>
      <c r="B7144" s="133"/>
      <c r="C7144" s="120"/>
      <c r="D7144" s="120"/>
      <c r="E7144" s="120"/>
      <c r="F7144" s="120"/>
      <c r="G7144" s="120"/>
      <c r="H7144" s="120"/>
      <c r="I7144" s="121"/>
      <c r="J7144" s="121"/>
      <c r="K7144" s="117"/>
    </row>
    <row r="7145" ht="15.75" customHeight="1">
      <c r="A7145" s="122"/>
      <c r="B7145" s="133"/>
      <c r="C7145" s="120"/>
      <c r="D7145" s="120"/>
      <c r="E7145" s="120"/>
      <c r="F7145" s="120"/>
      <c r="G7145" s="120"/>
      <c r="H7145" s="120"/>
      <c r="I7145" s="121"/>
      <c r="J7145" s="121"/>
      <c r="K7145" s="117"/>
    </row>
    <row r="7146" ht="15.75" customHeight="1">
      <c r="A7146" s="122"/>
      <c r="B7146" s="133"/>
      <c r="C7146" s="120"/>
      <c r="D7146" s="120"/>
      <c r="E7146" s="120"/>
      <c r="F7146" s="120"/>
      <c r="G7146" s="120"/>
      <c r="H7146" s="120"/>
      <c r="I7146" s="121"/>
      <c r="J7146" s="121"/>
      <c r="K7146" s="117"/>
    </row>
    <row r="7147" ht="15.75" customHeight="1">
      <c r="A7147" s="122"/>
      <c r="B7147" s="133"/>
      <c r="C7147" s="120"/>
      <c r="D7147" s="120"/>
      <c r="E7147" s="120"/>
      <c r="F7147" s="120"/>
      <c r="G7147" s="120"/>
      <c r="H7147" s="120"/>
      <c r="I7147" s="121"/>
      <c r="J7147" s="121"/>
      <c r="K7147" s="117"/>
    </row>
    <row r="7148" ht="15.75" customHeight="1">
      <c r="A7148" s="122"/>
      <c r="B7148" s="133"/>
      <c r="C7148" s="120"/>
      <c r="D7148" s="120"/>
      <c r="E7148" s="120"/>
      <c r="F7148" s="120"/>
      <c r="G7148" s="120"/>
      <c r="H7148" s="120"/>
      <c r="I7148" s="121"/>
      <c r="J7148" s="121"/>
      <c r="K7148" s="117"/>
    </row>
    <row r="7149" ht="15.75" customHeight="1">
      <c r="A7149" s="122"/>
      <c r="B7149" s="133"/>
      <c r="C7149" s="120"/>
      <c r="D7149" s="120"/>
      <c r="E7149" s="120"/>
      <c r="F7149" s="120"/>
      <c r="G7149" s="120"/>
      <c r="H7149" s="120"/>
      <c r="I7149" s="121"/>
      <c r="J7149" s="121"/>
      <c r="K7149" s="117"/>
    </row>
    <row r="7150" ht="15.75" customHeight="1">
      <c r="A7150" s="122"/>
      <c r="B7150" s="133"/>
      <c r="C7150" s="120"/>
      <c r="D7150" s="120"/>
      <c r="E7150" s="120"/>
      <c r="F7150" s="120"/>
      <c r="G7150" s="120"/>
      <c r="H7150" s="120"/>
      <c r="I7150" s="121"/>
      <c r="J7150" s="121"/>
      <c r="K7150" s="117"/>
    </row>
    <row r="7151" ht="15.75" customHeight="1">
      <c r="A7151" s="122"/>
      <c r="B7151" s="133"/>
      <c r="C7151" s="120"/>
      <c r="D7151" s="120"/>
      <c r="E7151" s="120"/>
      <c r="F7151" s="120"/>
      <c r="G7151" s="120"/>
      <c r="H7151" s="120"/>
      <c r="I7151" s="121"/>
      <c r="J7151" s="121"/>
      <c r="K7151" s="117"/>
    </row>
    <row r="7152" ht="15.75" customHeight="1">
      <c r="A7152" s="122"/>
      <c r="B7152" s="133"/>
      <c r="C7152" s="120"/>
      <c r="D7152" s="120"/>
      <c r="E7152" s="120"/>
      <c r="F7152" s="120"/>
      <c r="G7152" s="120"/>
      <c r="H7152" s="120"/>
      <c r="I7152" s="121"/>
      <c r="J7152" s="121"/>
      <c r="K7152" s="117"/>
    </row>
    <row r="7153" ht="15.75" customHeight="1">
      <c r="A7153" s="122"/>
      <c r="B7153" s="133"/>
      <c r="C7153" s="120"/>
      <c r="D7153" s="120"/>
      <c r="E7153" s="120"/>
      <c r="F7153" s="120"/>
      <c r="G7153" s="120"/>
      <c r="H7153" s="120"/>
      <c r="I7153" s="121"/>
      <c r="J7153" s="121"/>
      <c r="K7153" s="117"/>
    </row>
    <row r="7154" ht="15.75" customHeight="1">
      <c r="A7154" s="122"/>
      <c r="B7154" s="133"/>
      <c r="C7154" s="120"/>
      <c r="D7154" s="120"/>
      <c r="E7154" s="120"/>
      <c r="F7154" s="120"/>
      <c r="G7154" s="120"/>
      <c r="H7154" s="120"/>
      <c r="I7154" s="121"/>
      <c r="J7154" s="121"/>
      <c r="K7154" s="117"/>
    </row>
    <row r="7155" ht="15.75" customHeight="1">
      <c r="A7155" s="122"/>
      <c r="B7155" s="133"/>
      <c r="C7155" s="120"/>
      <c r="D7155" s="120"/>
      <c r="E7155" s="120"/>
      <c r="F7155" s="120"/>
      <c r="G7155" s="120"/>
      <c r="H7155" s="120"/>
      <c r="I7155" s="121"/>
      <c r="J7155" s="121"/>
      <c r="K7155" s="117"/>
    </row>
    <row r="7156" ht="15.75" customHeight="1">
      <c r="A7156" s="122"/>
      <c r="B7156" s="133"/>
      <c r="C7156" s="120"/>
      <c r="D7156" s="120"/>
      <c r="E7156" s="120"/>
      <c r="F7156" s="120"/>
      <c r="G7156" s="120"/>
      <c r="H7156" s="120"/>
      <c r="I7156" s="121"/>
      <c r="J7156" s="121"/>
      <c r="K7156" s="117"/>
    </row>
    <row r="7157" ht="15.75" customHeight="1">
      <c r="A7157" s="122"/>
      <c r="B7157" s="133"/>
      <c r="C7157" s="120"/>
      <c r="D7157" s="120"/>
      <c r="E7157" s="120"/>
      <c r="F7157" s="120"/>
      <c r="G7157" s="120"/>
      <c r="H7157" s="120"/>
      <c r="I7157" s="121"/>
      <c r="J7157" s="121"/>
      <c r="K7157" s="117"/>
    </row>
    <row r="7158" ht="15.75" customHeight="1">
      <c r="A7158" s="122"/>
      <c r="B7158" s="133"/>
      <c r="C7158" s="120"/>
      <c r="D7158" s="120"/>
      <c r="E7158" s="120"/>
      <c r="F7158" s="120"/>
      <c r="G7158" s="120"/>
      <c r="H7158" s="120"/>
      <c r="I7158" s="121"/>
      <c r="J7158" s="121"/>
      <c r="K7158" s="117"/>
    </row>
    <row r="7159" ht="15.75" customHeight="1">
      <c r="A7159" s="122"/>
      <c r="B7159" s="133"/>
      <c r="C7159" s="120"/>
      <c r="D7159" s="120"/>
      <c r="E7159" s="120"/>
      <c r="F7159" s="120"/>
      <c r="G7159" s="120"/>
      <c r="H7159" s="120"/>
      <c r="I7159" s="121"/>
      <c r="J7159" s="121"/>
      <c r="K7159" s="117"/>
    </row>
    <row r="7160" ht="15.75" customHeight="1">
      <c r="A7160" s="122"/>
      <c r="B7160" s="133"/>
      <c r="C7160" s="120"/>
      <c r="D7160" s="120"/>
      <c r="E7160" s="120"/>
      <c r="F7160" s="120"/>
      <c r="G7160" s="120"/>
      <c r="H7160" s="120"/>
      <c r="I7160" s="121"/>
      <c r="J7160" s="121"/>
      <c r="K7160" s="117"/>
    </row>
    <row r="7161" ht="15.75" customHeight="1">
      <c r="A7161" s="122"/>
      <c r="B7161" s="133"/>
      <c r="C7161" s="120"/>
      <c r="D7161" s="120"/>
      <c r="E7161" s="120"/>
      <c r="F7161" s="120"/>
      <c r="G7161" s="120"/>
      <c r="H7161" s="120"/>
      <c r="I7161" s="121"/>
      <c r="J7161" s="121"/>
      <c r="K7161" s="117"/>
    </row>
    <row r="7162" ht="15.75" customHeight="1">
      <c r="A7162" s="122"/>
      <c r="B7162" s="133"/>
      <c r="C7162" s="120"/>
      <c r="D7162" s="120"/>
      <c r="E7162" s="120"/>
      <c r="F7162" s="120"/>
      <c r="G7162" s="120"/>
      <c r="H7162" s="120"/>
      <c r="I7162" s="121"/>
      <c r="J7162" s="121"/>
      <c r="K7162" s="117"/>
    </row>
    <row r="7163" ht="15.75" customHeight="1">
      <c r="A7163" s="122"/>
      <c r="B7163" s="133"/>
      <c r="C7163" s="120"/>
      <c r="D7163" s="120"/>
      <c r="E7163" s="120"/>
      <c r="F7163" s="120"/>
      <c r="G7163" s="120"/>
      <c r="H7163" s="120"/>
      <c r="I7163" s="121"/>
      <c r="J7163" s="121"/>
      <c r="K7163" s="117"/>
    </row>
    <row r="7164" ht="15.75" customHeight="1">
      <c r="A7164" s="122"/>
      <c r="B7164" s="133"/>
      <c r="C7164" s="120"/>
      <c r="D7164" s="120"/>
      <c r="E7164" s="120"/>
      <c r="F7164" s="120"/>
      <c r="G7164" s="120"/>
      <c r="H7164" s="120"/>
      <c r="I7164" s="121"/>
      <c r="J7164" s="121"/>
      <c r="K7164" s="117"/>
    </row>
    <row r="7165" ht="15.75" customHeight="1">
      <c r="A7165" s="122"/>
      <c r="B7165" s="133"/>
      <c r="C7165" s="120"/>
      <c r="D7165" s="120"/>
      <c r="E7165" s="120"/>
      <c r="F7165" s="120"/>
      <c r="G7165" s="120"/>
      <c r="H7165" s="120"/>
      <c r="I7165" s="121"/>
      <c r="J7165" s="121"/>
      <c r="K7165" s="117"/>
    </row>
    <row r="7166" ht="15.75" customHeight="1">
      <c r="A7166" s="122"/>
      <c r="B7166" s="133"/>
      <c r="C7166" s="120"/>
      <c r="D7166" s="120"/>
      <c r="E7166" s="120"/>
      <c r="F7166" s="120"/>
      <c r="G7166" s="120"/>
      <c r="H7166" s="120"/>
      <c r="I7166" s="121"/>
      <c r="J7166" s="121"/>
      <c r="K7166" s="117"/>
    </row>
    <row r="7167" ht="15.75" customHeight="1">
      <c r="A7167" s="122"/>
      <c r="B7167" s="133"/>
      <c r="C7167" s="120"/>
      <c r="D7167" s="120"/>
      <c r="E7167" s="120"/>
      <c r="F7167" s="120"/>
      <c r="G7167" s="120"/>
      <c r="H7167" s="120"/>
      <c r="I7167" s="121"/>
      <c r="J7167" s="121"/>
      <c r="K7167" s="117"/>
    </row>
    <row r="7168" ht="15.75" customHeight="1">
      <c r="A7168" s="122"/>
      <c r="B7168" s="133"/>
      <c r="C7168" s="120"/>
      <c r="D7168" s="120"/>
      <c r="E7168" s="120"/>
      <c r="F7168" s="120"/>
      <c r="G7168" s="120"/>
      <c r="H7168" s="120"/>
      <c r="I7168" s="121"/>
      <c r="J7168" s="121"/>
      <c r="K7168" s="117"/>
    </row>
    <row r="7169" ht="15.75" customHeight="1">
      <c r="A7169" s="122"/>
      <c r="B7169" s="133"/>
      <c r="C7169" s="120"/>
      <c r="D7169" s="120"/>
      <c r="E7169" s="120"/>
      <c r="F7169" s="120"/>
      <c r="G7169" s="120"/>
      <c r="H7169" s="120"/>
      <c r="I7169" s="121"/>
      <c r="J7169" s="121"/>
      <c r="K7169" s="117"/>
    </row>
    <row r="7170" ht="15.75" customHeight="1">
      <c r="A7170" s="122"/>
      <c r="B7170" s="133"/>
      <c r="C7170" s="120"/>
      <c r="D7170" s="120"/>
      <c r="E7170" s="120"/>
      <c r="F7170" s="120"/>
      <c r="G7170" s="120"/>
      <c r="H7170" s="120"/>
      <c r="I7170" s="121"/>
      <c r="J7170" s="121"/>
      <c r="K7170" s="117"/>
    </row>
    <row r="7171" ht="15.75" customHeight="1">
      <c r="A7171" s="122"/>
      <c r="B7171" s="133"/>
      <c r="C7171" s="120"/>
      <c r="D7171" s="120"/>
      <c r="E7171" s="120"/>
      <c r="F7171" s="120"/>
      <c r="G7171" s="120"/>
      <c r="H7171" s="120"/>
      <c r="I7171" s="121"/>
      <c r="J7171" s="121"/>
      <c r="K7171" s="117"/>
    </row>
    <row r="7172" ht="15.75" customHeight="1">
      <c r="A7172" s="122"/>
      <c r="B7172" s="133"/>
      <c r="C7172" s="120"/>
      <c r="D7172" s="120"/>
      <c r="E7172" s="120"/>
      <c r="F7172" s="120"/>
      <c r="G7172" s="120"/>
      <c r="H7172" s="120"/>
      <c r="I7172" s="121"/>
      <c r="J7172" s="121"/>
      <c r="K7172" s="117"/>
    </row>
    <row r="7173" ht="15.75" customHeight="1">
      <c r="A7173" s="122"/>
      <c r="B7173" s="133"/>
      <c r="C7173" s="120"/>
      <c r="D7173" s="120"/>
      <c r="E7173" s="120"/>
      <c r="F7173" s="120"/>
      <c r="G7173" s="120"/>
      <c r="H7173" s="120"/>
      <c r="I7173" s="121"/>
      <c r="J7173" s="121"/>
      <c r="K7173" s="117"/>
    </row>
    <row r="7174" ht="15.75" customHeight="1">
      <c r="A7174" s="122"/>
      <c r="B7174" s="133"/>
      <c r="C7174" s="120"/>
      <c r="D7174" s="120"/>
      <c r="E7174" s="120"/>
      <c r="F7174" s="120"/>
      <c r="G7174" s="120"/>
      <c r="H7174" s="120"/>
      <c r="I7174" s="121"/>
      <c r="J7174" s="121"/>
      <c r="K7174" s="117"/>
    </row>
    <row r="7175" ht="15.75" customHeight="1">
      <c r="A7175" s="122"/>
      <c r="B7175" s="133"/>
      <c r="C7175" s="120"/>
      <c r="D7175" s="120"/>
      <c r="E7175" s="120"/>
      <c r="F7175" s="120"/>
      <c r="G7175" s="120"/>
      <c r="H7175" s="120"/>
      <c r="I7175" s="121"/>
      <c r="J7175" s="121"/>
      <c r="K7175" s="117"/>
    </row>
    <row r="7176" ht="15.75" customHeight="1">
      <c r="A7176" s="122"/>
      <c r="B7176" s="133"/>
      <c r="C7176" s="120"/>
      <c r="D7176" s="120"/>
      <c r="E7176" s="120"/>
      <c r="F7176" s="120"/>
      <c r="G7176" s="120"/>
      <c r="H7176" s="120"/>
      <c r="I7176" s="121"/>
      <c r="J7176" s="121"/>
      <c r="K7176" s="117"/>
    </row>
    <row r="7177" ht="15.75" customHeight="1">
      <c r="A7177" s="122"/>
      <c r="B7177" s="133"/>
      <c r="C7177" s="120"/>
      <c r="D7177" s="120"/>
      <c r="E7177" s="120"/>
      <c r="F7177" s="120"/>
      <c r="G7177" s="120"/>
      <c r="H7177" s="120"/>
      <c r="I7177" s="121"/>
      <c r="J7177" s="121"/>
      <c r="K7177" s="117"/>
    </row>
    <row r="7178" ht="15.75" customHeight="1">
      <c r="A7178" s="122"/>
      <c r="B7178" s="133"/>
      <c r="C7178" s="120"/>
      <c r="D7178" s="120"/>
      <c r="E7178" s="120"/>
      <c r="F7178" s="120"/>
      <c r="G7178" s="120"/>
      <c r="H7178" s="120"/>
      <c r="I7178" s="121"/>
      <c r="J7178" s="121"/>
      <c r="K7178" s="117"/>
    </row>
    <row r="7179" ht="15.75" customHeight="1">
      <c r="A7179" s="122"/>
      <c r="B7179" s="133"/>
      <c r="C7179" s="120"/>
      <c r="D7179" s="120"/>
      <c r="E7179" s="120"/>
      <c r="F7179" s="120"/>
      <c r="G7179" s="120"/>
      <c r="H7179" s="120"/>
      <c r="I7179" s="121"/>
      <c r="J7179" s="121"/>
      <c r="K7179" s="117"/>
    </row>
    <row r="7180" ht="15.75" customHeight="1">
      <c r="A7180" s="122"/>
      <c r="B7180" s="133"/>
      <c r="C7180" s="120"/>
      <c r="D7180" s="120"/>
      <c r="E7180" s="120"/>
      <c r="F7180" s="120"/>
      <c r="G7180" s="120"/>
      <c r="H7180" s="120"/>
      <c r="I7180" s="121"/>
      <c r="J7180" s="121"/>
      <c r="K7180" s="117"/>
    </row>
    <row r="7181" ht="15.75" customHeight="1">
      <c r="A7181" s="122"/>
      <c r="B7181" s="133"/>
      <c r="C7181" s="120"/>
      <c r="D7181" s="120"/>
      <c r="E7181" s="120"/>
      <c r="F7181" s="120"/>
      <c r="G7181" s="120"/>
      <c r="H7181" s="120"/>
      <c r="I7181" s="121"/>
      <c r="J7181" s="121"/>
      <c r="K7181" s="117"/>
    </row>
    <row r="7182" ht="15.75" customHeight="1">
      <c r="A7182" s="122"/>
      <c r="B7182" s="133"/>
      <c r="C7182" s="120"/>
      <c r="D7182" s="120"/>
      <c r="E7182" s="120"/>
      <c r="F7182" s="120"/>
      <c r="G7182" s="120"/>
      <c r="H7182" s="120"/>
      <c r="I7182" s="121"/>
      <c r="J7182" s="121"/>
      <c r="K7182" s="117"/>
    </row>
    <row r="7183" ht="15.75" customHeight="1">
      <c r="A7183" s="122"/>
      <c r="B7183" s="133"/>
      <c r="C7183" s="120"/>
      <c r="D7183" s="120"/>
      <c r="E7183" s="120"/>
      <c r="F7183" s="120"/>
      <c r="G7183" s="120"/>
      <c r="H7183" s="120"/>
      <c r="I7183" s="121"/>
      <c r="J7183" s="121"/>
      <c r="K7183" s="117"/>
    </row>
    <row r="7184" ht="15.75" customHeight="1">
      <c r="A7184" s="122"/>
      <c r="B7184" s="133"/>
      <c r="C7184" s="120"/>
      <c r="D7184" s="120"/>
      <c r="E7184" s="120"/>
      <c r="F7184" s="120"/>
      <c r="G7184" s="120"/>
      <c r="H7184" s="120"/>
      <c r="I7184" s="121"/>
      <c r="J7184" s="121"/>
      <c r="K7184" s="117"/>
    </row>
    <row r="7185" ht="15.75" customHeight="1">
      <c r="A7185" s="122"/>
      <c r="B7185" s="133"/>
      <c r="C7185" s="120"/>
      <c r="D7185" s="120"/>
      <c r="E7185" s="120"/>
      <c r="F7185" s="120"/>
      <c r="G7185" s="120"/>
      <c r="H7185" s="120"/>
      <c r="I7185" s="121"/>
      <c r="J7185" s="121"/>
      <c r="K7185" s="117"/>
    </row>
    <row r="7186" ht="15.75" customHeight="1">
      <c r="A7186" s="122"/>
      <c r="B7186" s="133"/>
      <c r="C7186" s="120"/>
      <c r="D7186" s="120"/>
      <c r="E7186" s="120"/>
      <c r="F7186" s="120"/>
      <c r="G7186" s="120"/>
      <c r="H7186" s="120"/>
      <c r="I7186" s="121"/>
      <c r="J7186" s="121"/>
      <c r="K7186" s="117"/>
    </row>
    <row r="7187" ht="15.75" customHeight="1">
      <c r="A7187" s="122"/>
      <c r="B7187" s="133"/>
      <c r="C7187" s="120"/>
      <c r="D7187" s="120"/>
      <c r="E7187" s="120"/>
      <c r="F7187" s="120"/>
      <c r="G7187" s="120"/>
      <c r="H7187" s="120"/>
      <c r="I7187" s="121"/>
      <c r="J7187" s="121"/>
      <c r="K7187" s="117"/>
    </row>
    <row r="7188" ht="15.75" customHeight="1">
      <c r="A7188" s="122"/>
      <c r="B7188" s="133"/>
      <c r="C7188" s="120"/>
      <c r="D7188" s="120"/>
      <c r="E7188" s="120"/>
      <c r="F7188" s="120"/>
      <c r="G7188" s="120"/>
      <c r="H7188" s="120"/>
      <c r="I7188" s="121"/>
      <c r="J7188" s="121"/>
      <c r="K7188" s="117"/>
    </row>
    <row r="7189" ht="15.75" customHeight="1">
      <c r="A7189" s="122"/>
      <c r="B7189" s="133"/>
      <c r="C7189" s="120"/>
      <c r="D7189" s="120"/>
      <c r="E7189" s="120"/>
      <c r="F7189" s="120"/>
      <c r="G7189" s="120"/>
      <c r="H7189" s="120"/>
      <c r="I7189" s="121"/>
      <c r="J7189" s="121"/>
      <c r="K7189" s="117"/>
    </row>
    <row r="7190" ht="15.75" customHeight="1">
      <c r="A7190" s="122"/>
      <c r="B7190" s="133"/>
      <c r="C7190" s="120"/>
      <c r="D7190" s="120"/>
      <c r="E7190" s="120"/>
      <c r="F7190" s="120"/>
      <c r="G7190" s="120"/>
      <c r="H7190" s="120"/>
      <c r="I7190" s="121"/>
      <c r="J7190" s="121"/>
      <c r="K7190" s="117"/>
    </row>
    <row r="7191" ht="15.75" customHeight="1">
      <c r="A7191" s="122"/>
      <c r="B7191" s="133"/>
      <c r="C7191" s="120"/>
      <c r="D7191" s="120"/>
      <c r="E7191" s="120"/>
      <c r="F7191" s="120"/>
      <c r="G7191" s="120"/>
      <c r="H7191" s="120"/>
      <c r="I7191" s="121"/>
      <c r="J7191" s="121"/>
      <c r="K7191" s="117"/>
    </row>
    <row r="7192" ht="15.75" customHeight="1">
      <c r="A7192" s="122"/>
      <c r="B7192" s="133"/>
      <c r="C7192" s="120"/>
      <c r="D7192" s="120"/>
      <c r="E7192" s="120"/>
      <c r="F7192" s="120"/>
      <c r="G7192" s="120"/>
      <c r="H7192" s="120"/>
      <c r="I7192" s="121"/>
      <c r="J7192" s="121"/>
      <c r="K7192" s="117"/>
    </row>
    <row r="7193" ht="15.75" customHeight="1">
      <c r="A7193" s="122"/>
      <c r="B7193" s="133"/>
      <c r="C7193" s="120"/>
      <c r="D7193" s="120"/>
      <c r="E7193" s="120"/>
      <c r="F7193" s="120"/>
      <c r="G7193" s="120"/>
      <c r="H7193" s="120"/>
      <c r="I7193" s="121"/>
      <c r="J7193" s="121"/>
      <c r="K7193" s="117"/>
    </row>
    <row r="7194" ht="15.75" customHeight="1">
      <c r="A7194" s="122"/>
      <c r="B7194" s="133"/>
      <c r="C7194" s="120"/>
      <c r="D7194" s="120"/>
      <c r="E7194" s="120"/>
      <c r="F7194" s="120"/>
      <c r="G7194" s="120"/>
      <c r="H7194" s="120"/>
      <c r="I7194" s="121"/>
      <c r="J7194" s="121"/>
      <c r="K7194" s="117"/>
    </row>
    <row r="7195" ht="15.75" customHeight="1">
      <c r="A7195" s="122"/>
      <c r="B7195" s="133"/>
      <c r="C7195" s="120"/>
      <c r="D7195" s="120"/>
      <c r="E7195" s="120"/>
      <c r="F7195" s="120"/>
      <c r="G7195" s="120"/>
      <c r="H7195" s="120"/>
      <c r="I7195" s="121"/>
      <c r="J7195" s="121"/>
      <c r="K7195" s="117"/>
    </row>
    <row r="7196" ht="15.75" customHeight="1">
      <c r="A7196" s="122"/>
      <c r="B7196" s="133"/>
      <c r="C7196" s="120"/>
      <c r="D7196" s="120"/>
      <c r="E7196" s="120"/>
      <c r="F7196" s="120"/>
      <c r="G7196" s="120"/>
      <c r="H7196" s="120"/>
      <c r="I7196" s="121"/>
      <c r="J7196" s="121"/>
      <c r="K7196" s="117"/>
    </row>
    <row r="7197" ht="15.75" customHeight="1">
      <c r="A7197" s="122"/>
      <c r="B7197" s="133"/>
      <c r="C7197" s="120"/>
      <c r="D7197" s="120"/>
      <c r="E7197" s="120"/>
      <c r="F7197" s="120"/>
      <c r="G7197" s="120"/>
      <c r="H7197" s="120"/>
      <c r="I7197" s="121"/>
      <c r="J7197" s="121"/>
      <c r="K7197" s="117"/>
    </row>
    <row r="7198" ht="15.75" customHeight="1">
      <c r="A7198" s="122"/>
      <c r="B7198" s="133"/>
      <c r="C7198" s="120"/>
      <c r="D7198" s="120"/>
      <c r="E7198" s="120"/>
      <c r="F7198" s="120"/>
      <c r="G7198" s="120"/>
      <c r="H7198" s="120"/>
      <c r="I7198" s="121"/>
      <c r="J7198" s="121"/>
      <c r="K7198" s="117"/>
    </row>
    <row r="7199" ht="15.75" customHeight="1">
      <c r="A7199" s="122"/>
      <c r="B7199" s="133"/>
      <c r="C7199" s="120"/>
      <c r="D7199" s="120"/>
      <c r="E7199" s="120"/>
      <c r="F7199" s="120"/>
      <c r="G7199" s="120"/>
      <c r="H7199" s="120"/>
      <c r="I7199" s="121"/>
      <c r="J7199" s="121"/>
      <c r="K7199" s="117"/>
    </row>
    <row r="7200" ht="15.75" customHeight="1">
      <c r="A7200" s="122"/>
      <c r="B7200" s="133"/>
      <c r="C7200" s="120"/>
      <c r="D7200" s="120"/>
      <c r="E7200" s="120"/>
      <c r="F7200" s="120"/>
      <c r="G7200" s="120"/>
      <c r="H7200" s="120"/>
      <c r="I7200" s="121"/>
      <c r="J7200" s="121"/>
      <c r="K7200" s="117"/>
    </row>
    <row r="7201" ht="15.75" customHeight="1">
      <c r="A7201" s="122"/>
      <c r="B7201" s="133"/>
      <c r="C7201" s="120"/>
      <c r="D7201" s="120"/>
      <c r="E7201" s="120"/>
      <c r="F7201" s="120"/>
      <c r="G7201" s="120"/>
      <c r="H7201" s="120"/>
      <c r="I7201" s="121"/>
      <c r="J7201" s="121"/>
      <c r="K7201" s="117"/>
    </row>
    <row r="7202" ht="15.75" customHeight="1">
      <c r="A7202" s="122"/>
      <c r="B7202" s="133"/>
      <c r="C7202" s="120"/>
      <c r="D7202" s="120"/>
      <c r="E7202" s="120"/>
      <c r="F7202" s="120"/>
      <c r="G7202" s="120"/>
      <c r="H7202" s="120"/>
      <c r="I7202" s="121"/>
      <c r="J7202" s="121"/>
      <c r="K7202" s="117"/>
    </row>
    <row r="7203" ht="15.75" customHeight="1">
      <c r="A7203" s="122"/>
      <c r="B7203" s="133"/>
      <c r="C7203" s="120"/>
      <c r="D7203" s="120"/>
      <c r="E7203" s="120"/>
      <c r="F7203" s="120"/>
      <c r="G7203" s="120"/>
      <c r="H7203" s="120"/>
      <c r="I7203" s="121"/>
      <c r="J7203" s="121"/>
      <c r="K7203" s="117"/>
    </row>
    <row r="7204" ht="15.75" customHeight="1">
      <c r="A7204" s="122"/>
      <c r="B7204" s="133"/>
      <c r="C7204" s="120"/>
      <c r="D7204" s="120"/>
      <c r="E7204" s="120"/>
      <c r="F7204" s="120"/>
      <c r="G7204" s="120"/>
      <c r="H7204" s="120"/>
      <c r="I7204" s="121"/>
      <c r="J7204" s="121"/>
      <c r="K7204" s="117"/>
    </row>
    <row r="7205" ht="15.75" customHeight="1">
      <c r="A7205" s="122"/>
      <c r="B7205" s="133"/>
      <c r="C7205" s="120"/>
      <c r="D7205" s="120"/>
      <c r="E7205" s="120"/>
      <c r="F7205" s="120"/>
      <c r="G7205" s="120"/>
      <c r="H7205" s="120"/>
      <c r="I7205" s="121"/>
      <c r="J7205" s="121"/>
      <c r="K7205" s="117"/>
    </row>
    <row r="7206" ht="15.75" customHeight="1">
      <c r="A7206" s="122"/>
      <c r="B7206" s="133"/>
      <c r="C7206" s="120"/>
      <c r="D7206" s="120"/>
      <c r="E7206" s="120"/>
      <c r="F7206" s="120"/>
      <c r="G7206" s="120"/>
      <c r="H7206" s="120"/>
      <c r="I7206" s="121"/>
      <c r="J7206" s="121"/>
      <c r="K7206" s="117"/>
    </row>
    <row r="7207" ht="15.75" customHeight="1">
      <c r="A7207" s="122"/>
      <c r="B7207" s="133"/>
      <c r="C7207" s="120"/>
      <c r="D7207" s="120"/>
      <c r="E7207" s="120"/>
      <c r="F7207" s="120"/>
      <c r="G7207" s="120"/>
      <c r="H7207" s="120"/>
      <c r="I7207" s="121"/>
      <c r="J7207" s="121"/>
      <c r="K7207" s="117"/>
    </row>
    <row r="7208" ht="15.75" customHeight="1">
      <c r="A7208" s="122"/>
      <c r="B7208" s="133"/>
      <c r="C7208" s="120"/>
      <c r="D7208" s="120"/>
      <c r="E7208" s="120"/>
      <c r="F7208" s="120"/>
      <c r="G7208" s="120"/>
      <c r="H7208" s="120"/>
      <c r="I7208" s="121"/>
      <c r="J7208" s="121"/>
      <c r="K7208" s="117"/>
    </row>
    <row r="7209" ht="15.75" customHeight="1">
      <c r="A7209" s="122"/>
      <c r="B7209" s="133"/>
      <c r="C7209" s="120"/>
      <c r="D7209" s="120"/>
      <c r="E7209" s="120"/>
      <c r="F7209" s="120"/>
      <c r="G7209" s="120"/>
      <c r="H7209" s="120"/>
      <c r="I7209" s="121"/>
      <c r="J7209" s="121"/>
      <c r="K7209" s="117"/>
    </row>
    <row r="7210" ht="15.75" customHeight="1">
      <c r="A7210" s="122"/>
      <c r="B7210" s="133"/>
      <c r="C7210" s="120"/>
      <c r="D7210" s="120"/>
      <c r="E7210" s="120"/>
      <c r="F7210" s="120"/>
      <c r="G7210" s="120"/>
      <c r="H7210" s="120"/>
      <c r="I7210" s="121"/>
      <c r="J7210" s="121"/>
      <c r="K7210" s="117"/>
    </row>
    <row r="7211" ht="15.75" customHeight="1">
      <c r="A7211" s="122"/>
      <c r="B7211" s="133"/>
      <c r="C7211" s="120"/>
      <c r="D7211" s="120"/>
      <c r="E7211" s="120"/>
      <c r="F7211" s="120"/>
      <c r="G7211" s="120"/>
      <c r="H7211" s="120"/>
      <c r="I7211" s="121"/>
      <c r="J7211" s="121"/>
      <c r="K7211" s="117"/>
    </row>
    <row r="7212" ht="15.75" customHeight="1">
      <c r="A7212" s="122"/>
      <c r="B7212" s="133"/>
      <c r="C7212" s="120"/>
      <c r="D7212" s="120"/>
      <c r="E7212" s="120"/>
      <c r="F7212" s="120"/>
      <c r="G7212" s="120"/>
      <c r="H7212" s="120"/>
      <c r="I7212" s="121"/>
      <c r="J7212" s="121"/>
      <c r="K7212" s="117"/>
    </row>
    <row r="7213" ht="15.75" customHeight="1">
      <c r="A7213" s="122"/>
      <c r="B7213" s="133"/>
      <c r="C7213" s="120"/>
      <c r="D7213" s="120"/>
      <c r="E7213" s="120"/>
      <c r="F7213" s="120"/>
      <c r="G7213" s="120"/>
      <c r="H7213" s="120"/>
      <c r="I7213" s="121"/>
      <c r="J7213" s="121"/>
      <c r="K7213" s="117"/>
    </row>
    <row r="7214" ht="15.75" customHeight="1">
      <c r="A7214" s="122"/>
      <c r="B7214" s="133"/>
      <c r="C7214" s="120"/>
      <c r="D7214" s="120"/>
      <c r="E7214" s="120"/>
      <c r="F7214" s="120"/>
      <c r="G7214" s="120"/>
      <c r="H7214" s="120"/>
      <c r="I7214" s="121"/>
      <c r="J7214" s="121"/>
      <c r="K7214" s="117"/>
    </row>
    <row r="7215" ht="15.75" customHeight="1">
      <c r="A7215" s="122"/>
      <c r="B7215" s="133"/>
      <c r="C7215" s="120"/>
      <c r="D7215" s="120"/>
      <c r="E7215" s="120"/>
      <c r="F7215" s="120"/>
      <c r="G7215" s="120"/>
      <c r="H7215" s="120"/>
      <c r="I7215" s="121"/>
      <c r="J7215" s="121"/>
      <c r="K7215" s="117"/>
    </row>
    <row r="7216" ht="15.75" customHeight="1">
      <c r="A7216" s="122"/>
      <c r="B7216" s="133"/>
      <c r="C7216" s="120"/>
      <c r="D7216" s="120"/>
      <c r="E7216" s="120"/>
      <c r="F7216" s="120"/>
      <c r="G7216" s="120"/>
      <c r="H7216" s="120"/>
      <c r="I7216" s="121"/>
      <c r="J7216" s="121"/>
      <c r="K7216" s="117"/>
    </row>
    <row r="7217" ht="15.75" customHeight="1">
      <c r="A7217" s="122"/>
      <c r="B7217" s="133"/>
      <c r="C7217" s="120"/>
      <c r="D7217" s="120"/>
      <c r="E7217" s="120"/>
      <c r="F7217" s="120"/>
      <c r="G7217" s="120"/>
      <c r="H7217" s="120"/>
      <c r="I7217" s="121"/>
      <c r="J7217" s="121"/>
      <c r="K7217" s="117"/>
    </row>
    <row r="7218" ht="15.75" customHeight="1">
      <c r="A7218" s="122"/>
      <c r="B7218" s="133"/>
      <c r="C7218" s="120"/>
      <c r="D7218" s="120"/>
      <c r="E7218" s="120"/>
      <c r="F7218" s="120"/>
      <c r="G7218" s="120"/>
      <c r="H7218" s="120"/>
      <c r="I7218" s="121"/>
      <c r="J7218" s="121"/>
      <c r="K7218" s="117"/>
    </row>
    <row r="7219" ht="15.75" customHeight="1">
      <c r="A7219" s="122"/>
      <c r="B7219" s="133"/>
      <c r="C7219" s="120"/>
      <c r="D7219" s="120"/>
      <c r="E7219" s="120"/>
      <c r="F7219" s="120"/>
      <c r="G7219" s="120"/>
      <c r="H7219" s="120"/>
      <c r="I7219" s="121"/>
      <c r="J7219" s="121"/>
      <c r="K7219" s="117"/>
    </row>
    <row r="7220" ht="15.75" customHeight="1">
      <c r="A7220" s="122"/>
      <c r="B7220" s="133"/>
      <c r="C7220" s="120"/>
      <c r="D7220" s="120"/>
      <c r="E7220" s="120"/>
      <c r="F7220" s="120"/>
      <c r="G7220" s="120"/>
      <c r="H7220" s="120"/>
      <c r="I7220" s="121"/>
      <c r="J7220" s="121"/>
      <c r="K7220" s="117"/>
    </row>
    <row r="7221" ht="15.75" customHeight="1">
      <c r="A7221" s="122"/>
      <c r="B7221" s="133"/>
      <c r="C7221" s="120"/>
      <c r="D7221" s="120"/>
      <c r="E7221" s="120"/>
      <c r="F7221" s="120"/>
      <c r="G7221" s="120"/>
      <c r="H7221" s="120"/>
      <c r="I7221" s="121"/>
      <c r="J7221" s="121"/>
      <c r="K7221" s="117"/>
    </row>
    <row r="7222" ht="15.75" customHeight="1">
      <c r="A7222" s="122"/>
      <c r="B7222" s="133"/>
      <c r="C7222" s="120"/>
      <c r="D7222" s="120"/>
      <c r="E7222" s="120"/>
      <c r="F7222" s="120"/>
      <c r="G7222" s="120"/>
      <c r="H7222" s="120"/>
      <c r="I7222" s="121"/>
      <c r="J7222" s="121"/>
      <c r="K7222" s="117"/>
    </row>
    <row r="7223" ht="15.75" customHeight="1">
      <c r="A7223" s="122"/>
      <c r="B7223" s="133"/>
      <c r="C7223" s="120"/>
      <c r="D7223" s="120"/>
      <c r="E7223" s="120"/>
      <c r="F7223" s="120"/>
      <c r="G7223" s="120"/>
      <c r="H7223" s="120"/>
      <c r="I7223" s="121"/>
      <c r="J7223" s="121"/>
      <c r="K7223" s="117"/>
    </row>
    <row r="7224" ht="15.75" customHeight="1">
      <c r="A7224" s="122"/>
      <c r="B7224" s="133"/>
      <c r="C7224" s="120"/>
      <c r="D7224" s="120"/>
      <c r="E7224" s="120"/>
      <c r="F7224" s="120"/>
      <c r="G7224" s="120"/>
      <c r="H7224" s="120"/>
      <c r="I7224" s="121"/>
      <c r="J7224" s="121"/>
      <c r="K7224" s="117"/>
    </row>
    <row r="7225" ht="15.75" customHeight="1">
      <c r="A7225" s="122"/>
      <c r="B7225" s="133"/>
      <c r="C7225" s="120"/>
      <c r="D7225" s="120"/>
      <c r="E7225" s="120"/>
      <c r="F7225" s="120"/>
      <c r="G7225" s="120"/>
      <c r="H7225" s="120"/>
      <c r="I7225" s="121"/>
      <c r="J7225" s="121"/>
      <c r="K7225" s="117"/>
    </row>
    <row r="7226" ht="15.75" customHeight="1">
      <c r="A7226" s="122"/>
      <c r="B7226" s="133"/>
      <c r="C7226" s="120"/>
      <c r="D7226" s="120"/>
      <c r="E7226" s="120"/>
      <c r="F7226" s="120"/>
      <c r="G7226" s="120"/>
      <c r="H7226" s="120"/>
      <c r="I7226" s="121"/>
      <c r="J7226" s="121"/>
      <c r="K7226" s="117"/>
    </row>
    <row r="7227" ht="15.75" customHeight="1">
      <c r="A7227" s="122"/>
      <c r="B7227" s="133"/>
      <c r="C7227" s="120"/>
      <c r="D7227" s="120"/>
      <c r="E7227" s="120"/>
      <c r="F7227" s="120"/>
      <c r="G7227" s="120"/>
      <c r="H7227" s="120"/>
      <c r="I7227" s="121"/>
      <c r="J7227" s="121"/>
      <c r="K7227" s="117"/>
    </row>
    <row r="7228" ht="15.75" customHeight="1">
      <c r="A7228" s="122"/>
      <c r="B7228" s="133"/>
      <c r="C7228" s="120"/>
      <c r="D7228" s="120"/>
      <c r="E7228" s="120"/>
      <c r="F7228" s="120"/>
      <c r="G7228" s="120"/>
      <c r="H7228" s="120"/>
      <c r="I7228" s="121"/>
      <c r="J7228" s="121"/>
      <c r="K7228" s="117"/>
    </row>
    <row r="7229" ht="15.75" customHeight="1">
      <c r="A7229" s="122"/>
      <c r="B7229" s="133"/>
      <c r="C7229" s="120"/>
      <c r="D7229" s="120"/>
      <c r="E7229" s="120"/>
      <c r="F7229" s="120"/>
      <c r="G7229" s="120"/>
      <c r="H7229" s="120"/>
      <c r="I7229" s="121"/>
      <c r="J7229" s="121"/>
      <c r="K7229" s="117"/>
    </row>
    <row r="7230" ht="15.75" customHeight="1">
      <c r="A7230" s="122"/>
      <c r="B7230" s="133"/>
      <c r="C7230" s="120"/>
      <c r="D7230" s="120"/>
      <c r="E7230" s="120"/>
      <c r="F7230" s="120"/>
      <c r="G7230" s="120"/>
      <c r="H7230" s="120"/>
      <c r="I7230" s="121"/>
      <c r="J7230" s="121"/>
      <c r="K7230" s="117"/>
    </row>
    <row r="7231" ht="15.75" customHeight="1">
      <c r="A7231" s="122"/>
      <c r="B7231" s="133"/>
      <c r="C7231" s="120"/>
      <c r="D7231" s="120"/>
      <c r="E7231" s="120"/>
      <c r="F7231" s="120"/>
      <c r="G7231" s="120"/>
      <c r="H7231" s="120"/>
      <c r="I7231" s="121"/>
      <c r="J7231" s="121"/>
      <c r="K7231" s="117"/>
    </row>
    <row r="7232" ht="15.75" customHeight="1">
      <c r="A7232" s="122"/>
      <c r="B7232" s="133"/>
      <c r="C7232" s="120"/>
      <c r="D7232" s="120"/>
      <c r="E7232" s="120"/>
      <c r="F7232" s="120"/>
      <c r="G7232" s="120"/>
      <c r="H7232" s="120"/>
      <c r="I7232" s="121"/>
      <c r="J7232" s="121"/>
      <c r="K7232" s="117"/>
    </row>
    <row r="7233" ht="15.75" customHeight="1">
      <c r="A7233" s="122"/>
      <c r="B7233" s="133"/>
      <c r="C7233" s="120"/>
      <c r="D7233" s="120"/>
      <c r="E7233" s="120"/>
      <c r="F7233" s="120"/>
      <c r="G7233" s="120"/>
      <c r="H7233" s="120"/>
      <c r="I7233" s="121"/>
      <c r="J7233" s="121"/>
      <c r="K7233" s="117"/>
    </row>
    <row r="7234" ht="15.75" customHeight="1">
      <c r="A7234" s="122"/>
      <c r="B7234" s="133"/>
      <c r="C7234" s="120"/>
      <c r="D7234" s="120"/>
      <c r="E7234" s="120"/>
      <c r="F7234" s="120"/>
      <c r="G7234" s="120"/>
      <c r="H7234" s="120"/>
      <c r="I7234" s="121"/>
      <c r="J7234" s="121"/>
      <c r="K7234" s="117"/>
    </row>
    <row r="7235" ht="15.75" customHeight="1">
      <c r="A7235" s="122"/>
      <c r="B7235" s="133"/>
      <c r="C7235" s="120"/>
      <c r="D7235" s="120"/>
      <c r="E7235" s="120"/>
      <c r="F7235" s="120"/>
      <c r="G7235" s="120"/>
      <c r="H7235" s="120"/>
      <c r="I7235" s="121"/>
      <c r="J7235" s="121"/>
      <c r="K7235" s="117"/>
    </row>
    <row r="7236" ht="15.75" customHeight="1">
      <c r="A7236" s="122"/>
      <c r="B7236" s="133"/>
      <c r="C7236" s="120"/>
      <c r="D7236" s="120"/>
      <c r="E7236" s="120"/>
      <c r="F7236" s="120"/>
      <c r="G7236" s="120"/>
      <c r="H7236" s="120"/>
      <c r="I7236" s="121"/>
      <c r="J7236" s="121"/>
      <c r="K7236" s="117"/>
    </row>
    <row r="7237" ht="15.75" customHeight="1">
      <c r="A7237" s="122"/>
      <c r="B7237" s="133"/>
      <c r="C7237" s="120"/>
      <c r="D7237" s="120"/>
      <c r="E7237" s="120"/>
      <c r="F7237" s="120"/>
      <c r="G7237" s="120"/>
      <c r="H7237" s="120"/>
      <c r="I7237" s="121"/>
      <c r="J7237" s="121"/>
      <c r="K7237" s="117"/>
    </row>
    <row r="7238" ht="15.75" customHeight="1">
      <c r="A7238" s="122"/>
      <c r="B7238" s="133"/>
      <c r="C7238" s="120"/>
      <c r="D7238" s="120"/>
      <c r="E7238" s="120"/>
      <c r="F7238" s="120"/>
      <c r="G7238" s="120"/>
      <c r="H7238" s="120"/>
      <c r="I7238" s="121"/>
      <c r="J7238" s="121"/>
      <c r="K7238" s="117"/>
    </row>
    <row r="7239" ht="15.75" customHeight="1">
      <c r="A7239" s="122"/>
      <c r="B7239" s="133"/>
      <c r="C7239" s="120"/>
      <c r="D7239" s="120"/>
      <c r="E7239" s="120"/>
      <c r="F7239" s="120"/>
      <c r="G7239" s="120"/>
      <c r="H7239" s="120"/>
      <c r="I7239" s="121"/>
      <c r="J7239" s="121"/>
      <c r="K7239" s="117"/>
    </row>
    <row r="7240" ht="15.75" customHeight="1">
      <c r="A7240" s="122"/>
      <c r="B7240" s="133"/>
      <c r="C7240" s="120"/>
      <c r="D7240" s="120"/>
      <c r="E7240" s="120"/>
      <c r="F7240" s="120"/>
      <c r="G7240" s="120"/>
      <c r="H7240" s="120"/>
      <c r="I7240" s="121"/>
      <c r="J7240" s="121"/>
      <c r="K7240" s="117"/>
    </row>
    <row r="7241" ht="15.75" customHeight="1">
      <c r="A7241" s="122"/>
      <c r="B7241" s="133"/>
      <c r="C7241" s="120"/>
      <c r="D7241" s="120"/>
      <c r="E7241" s="120"/>
      <c r="F7241" s="120"/>
      <c r="G7241" s="120"/>
      <c r="H7241" s="120"/>
      <c r="I7241" s="121"/>
      <c r="J7241" s="121"/>
      <c r="K7241" s="117"/>
    </row>
    <row r="7242" ht="15.75" customHeight="1">
      <c r="A7242" s="122"/>
      <c r="B7242" s="133"/>
      <c r="C7242" s="120"/>
      <c r="D7242" s="120"/>
      <c r="E7242" s="120"/>
      <c r="F7242" s="120"/>
      <c r="G7242" s="120"/>
      <c r="H7242" s="120"/>
      <c r="I7242" s="121"/>
      <c r="J7242" s="121"/>
      <c r="K7242" s="117"/>
    </row>
    <row r="7243" ht="15.75" customHeight="1">
      <c r="A7243" s="122"/>
      <c r="B7243" s="133"/>
      <c r="C7243" s="120"/>
      <c r="D7243" s="120"/>
      <c r="E7243" s="120"/>
      <c r="F7243" s="120"/>
      <c r="G7243" s="120"/>
      <c r="H7243" s="120"/>
      <c r="I7243" s="121"/>
      <c r="J7243" s="121"/>
      <c r="K7243" s="117"/>
    </row>
    <row r="7244" ht="15.75" customHeight="1">
      <c r="A7244" s="122"/>
      <c r="B7244" s="133"/>
      <c r="C7244" s="120"/>
      <c r="D7244" s="120"/>
      <c r="E7244" s="120"/>
      <c r="F7244" s="120"/>
      <c r="G7244" s="120"/>
      <c r="H7244" s="120"/>
      <c r="I7244" s="121"/>
      <c r="J7244" s="121"/>
      <c r="K7244" s="117"/>
    </row>
    <row r="7245" ht="15.75" customHeight="1">
      <c r="A7245" s="122"/>
      <c r="B7245" s="133"/>
      <c r="C7245" s="120"/>
      <c r="D7245" s="120"/>
      <c r="E7245" s="120"/>
      <c r="F7245" s="120"/>
      <c r="G7245" s="120"/>
      <c r="H7245" s="120"/>
      <c r="I7245" s="121"/>
      <c r="J7245" s="121"/>
      <c r="K7245" s="117"/>
    </row>
    <row r="7246" ht="15.75" customHeight="1">
      <c r="A7246" s="122"/>
      <c r="B7246" s="133"/>
      <c r="C7246" s="120"/>
      <c r="D7246" s="120"/>
      <c r="E7246" s="120"/>
      <c r="F7246" s="120"/>
      <c r="G7246" s="120"/>
      <c r="H7246" s="120"/>
      <c r="I7246" s="121"/>
      <c r="J7246" s="121"/>
      <c r="K7246" s="117"/>
    </row>
    <row r="7247" ht="15.75" customHeight="1">
      <c r="A7247" s="122"/>
      <c r="B7247" s="133"/>
      <c r="C7247" s="120"/>
      <c r="D7247" s="120"/>
      <c r="E7247" s="120"/>
      <c r="F7247" s="120"/>
      <c r="G7247" s="120"/>
      <c r="H7247" s="120"/>
      <c r="I7247" s="121"/>
      <c r="J7247" s="121"/>
      <c r="K7247" s="117"/>
    </row>
    <row r="7248" ht="15.75" customHeight="1">
      <c r="A7248" s="122"/>
      <c r="B7248" s="133"/>
      <c r="C7248" s="120"/>
      <c r="D7248" s="120"/>
      <c r="E7248" s="120"/>
      <c r="F7248" s="120"/>
      <c r="G7248" s="120"/>
      <c r="H7248" s="120"/>
      <c r="I7248" s="121"/>
      <c r="J7248" s="121"/>
      <c r="K7248" s="117"/>
    </row>
    <row r="7249" ht="15.75" customHeight="1">
      <c r="A7249" s="122"/>
      <c r="B7249" s="133"/>
      <c r="C7249" s="120"/>
      <c r="D7249" s="120"/>
      <c r="E7249" s="120"/>
      <c r="F7249" s="120"/>
      <c r="G7249" s="120"/>
      <c r="H7249" s="120"/>
      <c r="I7249" s="121"/>
      <c r="J7249" s="121"/>
      <c r="K7249" s="117"/>
    </row>
    <row r="7250" ht="15.75" customHeight="1">
      <c r="A7250" s="122"/>
      <c r="B7250" s="133"/>
      <c r="C7250" s="120"/>
      <c r="D7250" s="120"/>
      <c r="E7250" s="120"/>
      <c r="F7250" s="120"/>
      <c r="G7250" s="120"/>
      <c r="H7250" s="120"/>
      <c r="I7250" s="121"/>
      <c r="J7250" s="121"/>
      <c r="K7250" s="117"/>
    </row>
    <row r="7251" ht="15.75" customHeight="1">
      <c r="A7251" s="122"/>
      <c r="B7251" s="133"/>
      <c r="C7251" s="120"/>
      <c r="D7251" s="120"/>
      <c r="E7251" s="120"/>
      <c r="F7251" s="120"/>
      <c r="G7251" s="120"/>
      <c r="H7251" s="120"/>
      <c r="I7251" s="121"/>
      <c r="J7251" s="121"/>
      <c r="K7251" s="117"/>
    </row>
    <row r="7252" ht="15.75" customHeight="1">
      <c r="A7252" s="122"/>
      <c r="B7252" s="133"/>
      <c r="C7252" s="120"/>
      <c r="D7252" s="120"/>
      <c r="E7252" s="120"/>
      <c r="F7252" s="120"/>
      <c r="G7252" s="120"/>
      <c r="H7252" s="120"/>
      <c r="I7252" s="121"/>
      <c r="J7252" s="121"/>
      <c r="K7252" s="117"/>
    </row>
    <row r="7253" ht="15.75" customHeight="1">
      <c r="A7253" s="122"/>
      <c r="B7253" s="133"/>
      <c r="C7253" s="120"/>
      <c r="D7253" s="120"/>
      <c r="E7253" s="120"/>
      <c r="F7253" s="120"/>
      <c r="G7253" s="120"/>
      <c r="H7253" s="120"/>
      <c r="I7253" s="121"/>
      <c r="J7253" s="121"/>
      <c r="K7253" s="117"/>
    </row>
    <row r="7254" ht="15.75" customHeight="1">
      <c r="A7254" s="122"/>
      <c r="B7254" s="133"/>
      <c r="C7254" s="120"/>
      <c r="D7254" s="120"/>
      <c r="E7254" s="120"/>
      <c r="F7254" s="120"/>
      <c r="G7254" s="120"/>
      <c r="H7254" s="120"/>
      <c r="I7254" s="121"/>
      <c r="J7254" s="121"/>
      <c r="K7254" s="117"/>
    </row>
    <row r="7255" ht="15.75" customHeight="1">
      <c r="A7255" s="122"/>
      <c r="B7255" s="133"/>
      <c r="C7255" s="120"/>
      <c r="D7255" s="120"/>
      <c r="E7255" s="120"/>
      <c r="F7255" s="120"/>
      <c r="G7255" s="120"/>
      <c r="H7255" s="120"/>
      <c r="I7255" s="121"/>
      <c r="J7255" s="121"/>
      <c r="K7255" s="117"/>
    </row>
    <row r="7256" ht="15.75" customHeight="1">
      <c r="A7256" s="122"/>
      <c r="B7256" s="133"/>
      <c r="C7256" s="120"/>
      <c r="D7256" s="120"/>
      <c r="E7256" s="120"/>
      <c r="F7256" s="120"/>
      <c r="G7256" s="120"/>
      <c r="H7256" s="120"/>
      <c r="I7256" s="121"/>
      <c r="J7256" s="121"/>
      <c r="K7256" s="117"/>
    </row>
    <row r="7257" ht="15.75" customHeight="1">
      <c r="A7257" s="122"/>
      <c r="B7257" s="133"/>
      <c r="C7257" s="120"/>
      <c r="D7257" s="120"/>
      <c r="E7257" s="120"/>
      <c r="F7257" s="120"/>
      <c r="G7257" s="120"/>
      <c r="H7257" s="120"/>
      <c r="I7257" s="121"/>
      <c r="J7257" s="121"/>
      <c r="K7257" s="117"/>
    </row>
    <row r="7258" ht="15.75" customHeight="1">
      <c r="A7258" s="122"/>
      <c r="B7258" s="133"/>
      <c r="C7258" s="120"/>
      <c r="D7258" s="120"/>
      <c r="E7258" s="120"/>
      <c r="F7258" s="120"/>
      <c r="G7258" s="120"/>
      <c r="H7258" s="120"/>
      <c r="I7258" s="121"/>
      <c r="J7258" s="121"/>
      <c r="K7258" s="117"/>
    </row>
    <row r="7259" ht="15.75" customHeight="1">
      <c r="A7259" s="122"/>
      <c r="B7259" s="133"/>
      <c r="C7259" s="120"/>
      <c r="D7259" s="120"/>
      <c r="E7259" s="120"/>
      <c r="F7259" s="120"/>
      <c r="G7259" s="120"/>
      <c r="H7259" s="120"/>
      <c r="I7259" s="121"/>
      <c r="J7259" s="121"/>
      <c r="K7259" s="117"/>
    </row>
    <row r="7260" ht="15.75" customHeight="1">
      <c r="A7260" s="122"/>
      <c r="B7260" s="133"/>
      <c r="C7260" s="120"/>
      <c r="D7260" s="120"/>
      <c r="E7260" s="120"/>
      <c r="F7260" s="120"/>
      <c r="G7260" s="120"/>
      <c r="H7260" s="120"/>
      <c r="I7260" s="121"/>
      <c r="J7260" s="121"/>
      <c r="K7260" s="117"/>
    </row>
    <row r="7261" ht="15.75" customHeight="1">
      <c r="A7261" s="122"/>
      <c r="B7261" s="133"/>
      <c r="C7261" s="120"/>
      <c r="D7261" s="120"/>
      <c r="E7261" s="120"/>
      <c r="F7261" s="120"/>
      <c r="G7261" s="120"/>
      <c r="H7261" s="120"/>
      <c r="I7261" s="121"/>
      <c r="J7261" s="121"/>
      <c r="K7261" s="117"/>
    </row>
    <row r="7262" ht="15.75" customHeight="1">
      <c r="A7262" s="122"/>
      <c r="B7262" s="133"/>
      <c r="C7262" s="120"/>
      <c r="D7262" s="120"/>
      <c r="E7262" s="120"/>
      <c r="F7262" s="120"/>
      <c r="G7262" s="120"/>
      <c r="H7262" s="120"/>
      <c r="I7262" s="121"/>
      <c r="J7262" s="121"/>
      <c r="K7262" s="117"/>
    </row>
    <row r="7263" ht="15.75" customHeight="1">
      <c r="A7263" s="122"/>
      <c r="B7263" s="133"/>
      <c r="C7263" s="120"/>
      <c r="D7263" s="120"/>
      <c r="E7263" s="120"/>
      <c r="F7263" s="120"/>
      <c r="G7263" s="120"/>
      <c r="H7263" s="120"/>
      <c r="I7263" s="121"/>
      <c r="J7263" s="121"/>
      <c r="K7263" s="117"/>
    </row>
    <row r="7264" ht="15.75" customHeight="1">
      <c r="A7264" s="122"/>
      <c r="B7264" s="133"/>
      <c r="C7264" s="120"/>
      <c r="D7264" s="120"/>
      <c r="E7264" s="120"/>
      <c r="F7264" s="120"/>
      <c r="G7264" s="120"/>
      <c r="H7264" s="120"/>
      <c r="I7264" s="121"/>
      <c r="J7264" s="121"/>
      <c r="K7264" s="117"/>
    </row>
    <row r="7265" ht="15.75" customHeight="1">
      <c r="A7265" s="122"/>
      <c r="B7265" s="133"/>
      <c r="C7265" s="120"/>
      <c r="D7265" s="120"/>
      <c r="E7265" s="120"/>
      <c r="F7265" s="120"/>
      <c r="G7265" s="120"/>
      <c r="H7265" s="120"/>
      <c r="I7265" s="121"/>
      <c r="J7265" s="121"/>
      <c r="K7265" s="117"/>
    </row>
    <row r="7266" ht="15.75" customHeight="1">
      <c r="A7266" s="122"/>
      <c r="B7266" s="133"/>
      <c r="C7266" s="120"/>
      <c r="D7266" s="120"/>
      <c r="E7266" s="120"/>
      <c r="F7266" s="120"/>
      <c r="G7266" s="120"/>
      <c r="H7266" s="120"/>
      <c r="I7266" s="121"/>
      <c r="J7266" s="121"/>
      <c r="K7266" s="117"/>
    </row>
    <row r="7267" ht="15.75" customHeight="1">
      <c r="A7267" s="122"/>
      <c r="B7267" s="133"/>
      <c r="C7267" s="120"/>
      <c r="D7267" s="120"/>
      <c r="E7267" s="120"/>
      <c r="F7267" s="120"/>
      <c r="G7267" s="120"/>
      <c r="H7267" s="120"/>
      <c r="I7267" s="121"/>
      <c r="J7267" s="121"/>
      <c r="K7267" s="117"/>
    </row>
    <row r="7268" ht="15.75" customHeight="1">
      <c r="A7268" s="122"/>
      <c r="B7268" s="133"/>
      <c r="C7268" s="120"/>
      <c r="D7268" s="120"/>
      <c r="E7268" s="120"/>
      <c r="F7268" s="120"/>
      <c r="G7268" s="120"/>
      <c r="H7268" s="120"/>
      <c r="I7268" s="121"/>
      <c r="J7268" s="121"/>
      <c r="K7268" s="117"/>
    </row>
    <row r="7269" ht="15.75" customHeight="1">
      <c r="A7269" s="122"/>
      <c r="B7269" s="133"/>
      <c r="C7269" s="120"/>
      <c r="D7269" s="120"/>
      <c r="E7269" s="120"/>
      <c r="F7269" s="120"/>
      <c r="G7269" s="120"/>
      <c r="H7269" s="120"/>
      <c r="I7269" s="121"/>
      <c r="J7269" s="121"/>
      <c r="K7269" s="117"/>
    </row>
    <row r="7270" ht="15.75" customHeight="1">
      <c r="A7270" s="122"/>
      <c r="B7270" s="133"/>
      <c r="C7270" s="120"/>
      <c r="D7270" s="120"/>
      <c r="E7270" s="120"/>
      <c r="F7270" s="120"/>
      <c r="G7270" s="120"/>
      <c r="H7270" s="120"/>
      <c r="I7270" s="121"/>
      <c r="J7270" s="121"/>
      <c r="K7270" s="117"/>
    </row>
    <row r="7271" ht="15.75" customHeight="1">
      <c r="A7271" s="122"/>
      <c r="B7271" s="133"/>
      <c r="C7271" s="120"/>
      <c r="D7271" s="120"/>
      <c r="E7271" s="120"/>
      <c r="F7271" s="120"/>
      <c r="G7271" s="120"/>
      <c r="H7271" s="120"/>
      <c r="I7271" s="121"/>
      <c r="J7271" s="121"/>
      <c r="K7271" s="117"/>
    </row>
    <row r="7272" ht="15.75" customHeight="1">
      <c r="A7272" s="122"/>
      <c r="B7272" s="133"/>
      <c r="C7272" s="120"/>
      <c r="D7272" s="120"/>
      <c r="E7272" s="120"/>
      <c r="F7272" s="120"/>
      <c r="G7272" s="120"/>
      <c r="H7272" s="120"/>
      <c r="I7272" s="121"/>
      <c r="J7272" s="121"/>
      <c r="K7272" s="117"/>
    </row>
    <row r="7273" ht="15.75" customHeight="1">
      <c r="A7273" s="122"/>
      <c r="B7273" s="133"/>
      <c r="C7273" s="120"/>
      <c r="D7273" s="120"/>
      <c r="E7273" s="120"/>
      <c r="F7273" s="120"/>
      <c r="G7273" s="120"/>
      <c r="H7273" s="120"/>
      <c r="I7273" s="121"/>
      <c r="J7273" s="121"/>
      <c r="K7273" s="117"/>
    </row>
    <row r="7274" ht="15.75" customHeight="1">
      <c r="A7274" s="122"/>
      <c r="B7274" s="133"/>
      <c r="C7274" s="120"/>
      <c r="D7274" s="120"/>
      <c r="E7274" s="120"/>
      <c r="F7274" s="120"/>
      <c r="G7274" s="120"/>
      <c r="H7274" s="120"/>
      <c r="I7274" s="121"/>
      <c r="J7274" s="121"/>
      <c r="K7274" s="117"/>
    </row>
    <row r="7275" ht="15.75" customHeight="1">
      <c r="A7275" s="122"/>
      <c r="B7275" s="133"/>
      <c r="C7275" s="120"/>
      <c r="D7275" s="120"/>
      <c r="E7275" s="120"/>
      <c r="F7275" s="120"/>
      <c r="G7275" s="120"/>
      <c r="H7275" s="120"/>
      <c r="I7275" s="121"/>
      <c r="J7275" s="121"/>
      <c r="K7275" s="117"/>
    </row>
    <row r="7276" ht="15.75" customHeight="1">
      <c r="A7276" s="122"/>
      <c r="B7276" s="133"/>
      <c r="C7276" s="120"/>
      <c r="D7276" s="120"/>
      <c r="E7276" s="120"/>
      <c r="F7276" s="120"/>
      <c r="G7276" s="120"/>
      <c r="H7276" s="120"/>
      <c r="I7276" s="121"/>
      <c r="J7276" s="121"/>
      <c r="K7276" s="117"/>
    </row>
    <row r="7277" ht="15.75" customHeight="1">
      <c r="A7277" s="122"/>
      <c r="B7277" s="133"/>
      <c r="C7277" s="120"/>
      <c r="D7277" s="120"/>
      <c r="E7277" s="120"/>
      <c r="F7277" s="120"/>
      <c r="G7277" s="120"/>
      <c r="H7277" s="120"/>
      <c r="I7277" s="121"/>
      <c r="J7277" s="121"/>
      <c r="K7277" s="117"/>
    </row>
    <row r="7278" ht="15.75" customHeight="1">
      <c r="A7278" s="122"/>
      <c r="B7278" s="133"/>
      <c r="C7278" s="120"/>
      <c r="D7278" s="120"/>
      <c r="E7278" s="120"/>
      <c r="F7278" s="120"/>
      <c r="G7278" s="120"/>
      <c r="H7278" s="120"/>
      <c r="I7278" s="121"/>
      <c r="J7278" s="121"/>
      <c r="K7278" s="117"/>
    </row>
    <row r="7279" ht="15.75" customHeight="1">
      <c r="A7279" s="122"/>
      <c r="B7279" s="133"/>
      <c r="C7279" s="120"/>
      <c r="D7279" s="120"/>
      <c r="E7279" s="120"/>
      <c r="F7279" s="120"/>
      <c r="G7279" s="120"/>
      <c r="H7279" s="120"/>
      <c r="I7279" s="121"/>
      <c r="J7279" s="121"/>
      <c r="K7279" s="117"/>
    </row>
    <row r="7280" ht="15.75" customHeight="1">
      <c r="A7280" s="122"/>
      <c r="B7280" s="133"/>
      <c r="C7280" s="120"/>
      <c r="D7280" s="120"/>
      <c r="E7280" s="120"/>
      <c r="F7280" s="120"/>
      <c r="G7280" s="120"/>
      <c r="H7280" s="120"/>
      <c r="I7280" s="121"/>
      <c r="J7280" s="121"/>
      <c r="K7280" s="117"/>
    </row>
    <row r="7281" ht="15.75" customHeight="1">
      <c r="A7281" s="122"/>
      <c r="B7281" s="133"/>
      <c r="C7281" s="120"/>
      <c r="D7281" s="120"/>
      <c r="E7281" s="120"/>
      <c r="F7281" s="120"/>
      <c r="G7281" s="120"/>
      <c r="H7281" s="120"/>
      <c r="I7281" s="121"/>
      <c r="J7281" s="121"/>
      <c r="K7281" s="117"/>
    </row>
    <row r="7282" ht="15.75" customHeight="1">
      <c r="A7282" s="122"/>
      <c r="B7282" s="133"/>
      <c r="C7282" s="120"/>
      <c r="D7282" s="120"/>
      <c r="E7282" s="120"/>
      <c r="F7282" s="120"/>
      <c r="G7282" s="120"/>
      <c r="H7282" s="120"/>
      <c r="I7282" s="121"/>
      <c r="J7282" s="121"/>
      <c r="K7282" s="117"/>
    </row>
    <row r="7283" ht="15.75" customHeight="1">
      <c r="A7283" s="122"/>
      <c r="B7283" s="133"/>
      <c r="C7283" s="120"/>
      <c r="D7283" s="120"/>
      <c r="E7283" s="120"/>
      <c r="F7283" s="120"/>
      <c r="G7283" s="120"/>
      <c r="H7283" s="120"/>
      <c r="I7283" s="121"/>
      <c r="J7283" s="121"/>
      <c r="K7283" s="117"/>
    </row>
    <row r="7284" ht="15.75" customHeight="1">
      <c r="A7284" s="122"/>
      <c r="B7284" s="133"/>
      <c r="C7284" s="120"/>
      <c r="D7284" s="120"/>
      <c r="E7284" s="120"/>
      <c r="F7284" s="120"/>
      <c r="G7284" s="120"/>
      <c r="H7284" s="120"/>
      <c r="I7284" s="121"/>
      <c r="J7284" s="121"/>
      <c r="K7284" s="117"/>
    </row>
    <row r="7285" ht="15.75" customHeight="1">
      <c r="A7285" s="122"/>
      <c r="B7285" s="133"/>
      <c r="C7285" s="120"/>
      <c r="D7285" s="120"/>
      <c r="E7285" s="120"/>
      <c r="F7285" s="120"/>
      <c r="G7285" s="120"/>
      <c r="H7285" s="120"/>
      <c r="I7285" s="121"/>
      <c r="J7285" s="121"/>
      <c r="K7285" s="117"/>
    </row>
    <row r="7286" ht="15.75" customHeight="1">
      <c r="A7286" s="122"/>
      <c r="B7286" s="133"/>
      <c r="C7286" s="120"/>
      <c r="D7286" s="120"/>
      <c r="E7286" s="120"/>
      <c r="F7286" s="120"/>
      <c r="G7286" s="120"/>
      <c r="H7286" s="120"/>
      <c r="I7286" s="121"/>
      <c r="J7286" s="121"/>
      <c r="K7286" s="117"/>
    </row>
    <row r="7287" ht="15.75" customHeight="1">
      <c r="A7287" s="122"/>
      <c r="B7287" s="133"/>
      <c r="C7287" s="120"/>
      <c r="D7287" s="120"/>
      <c r="E7287" s="120"/>
      <c r="F7287" s="120"/>
      <c r="G7287" s="120"/>
      <c r="H7287" s="120"/>
      <c r="I7287" s="121"/>
      <c r="J7287" s="121"/>
      <c r="K7287" s="117"/>
    </row>
    <row r="7288" ht="15.75" customHeight="1">
      <c r="A7288" s="122"/>
      <c r="B7288" s="133"/>
      <c r="C7288" s="120"/>
      <c r="D7288" s="120"/>
      <c r="E7288" s="120"/>
      <c r="F7288" s="120"/>
      <c r="G7288" s="120"/>
      <c r="H7288" s="120"/>
      <c r="I7288" s="121"/>
      <c r="J7288" s="121"/>
      <c r="K7288" s="117"/>
    </row>
    <row r="7289" ht="15.75" customHeight="1">
      <c r="A7289" s="122"/>
      <c r="B7289" s="133"/>
      <c r="C7289" s="120"/>
      <c r="D7289" s="120"/>
      <c r="E7289" s="120"/>
      <c r="F7289" s="120"/>
      <c r="G7289" s="120"/>
      <c r="H7289" s="120"/>
      <c r="I7289" s="121"/>
      <c r="J7289" s="121"/>
      <c r="K7289" s="117"/>
    </row>
    <row r="7290" ht="15.75" customHeight="1">
      <c r="A7290" s="122"/>
      <c r="B7290" s="133"/>
      <c r="C7290" s="120"/>
      <c r="D7290" s="120"/>
      <c r="E7290" s="120"/>
      <c r="F7290" s="120"/>
      <c r="G7290" s="120"/>
      <c r="H7290" s="120"/>
      <c r="I7290" s="121"/>
      <c r="J7290" s="121"/>
      <c r="K7290" s="117"/>
    </row>
    <row r="7291" ht="15.75" customHeight="1">
      <c r="A7291" s="122"/>
      <c r="B7291" s="133"/>
      <c r="C7291" s="120"/>
      <c r="D7291" s="120"/>
      <c r="E7291" s="120"/>
      <c r="F7291" s="120"/>
      <c r="G7291" s="120"/>
      <c r="H7291" s="120"/>
      <c r="I7291" s="121"/>
      <c r="J7291" s="121"/>
      <c r="K7291" s="117"/>
    </row>
    <row r="7292" ht="15.75" customHeight="1">
      <c r="A7292" s="122"/>
      <c r="B7292" s="133"/>
      <c r="C7292" s="120"/>
      <c r="D7292" s="120"/>
      <c r="E7292" s="120"/>
      <c r="F7292" s="120"/>
      <c r="G7292" s="120"/>
      <c r="H7292" s="120"/>
      <c r="I7292" s="121"/>
      <c r="J7292" s="121"/>
      <c r="K7292" s="117"/>
    </row>
    <row r="7293" ht="15.75" customHeight="1">
      <c r="A7293" s="122"/>
      <c r="B7293" s="133"/>
      <c r="C7293" s="120"/>
      <c r="D7293" s="120"/>
      <c r="E7293" s="120"/>
      <c r="F7293" s="120"/>
      <c r="G7293" s="120"/>
      <c r="H7293" s="120"/>
      <c r="I7293" s="121"/>
      <c r="J7293" s="121"/>
      <c r="K7293" s="117"/>
    </row>
    <row r="7294" ht="15.75" customHeight="1">
      <c r="A7294" s="122"/>
      <c r="B7294" s="133"/>
      <c r="C7294" s="120"/>
      <c r="D7294" s="120"/>
      <c r="E7294" s="120"/>
      <c r="F7294" s="120"/>
      <c r="G7294" s="120"/>
      <c r="H7294" s="120"/>
      <c r="I7294" s="121"/>
      <c r="J7294" s="121"/>
      <c r="K7294" s="117"/>
    </row>
    <row r="7295" ht="15.75" customHeight="1">
      <c r="A7295" s="122"/>
      <c r="B7295" s="133"/>
      <c r="C7295" s="120"/>
      <c r="D7295" s="120"/>
      <c r="E7295" s="120"/>
      <c r="F7295" s="120"/>
      <c r="G7295" s="120"/>
      <c r="H7295" s="120"/>
      <c r="I7295" s="121"/>
      <c r="J7295" s="121"/>
      <c r="K7295" s="117"/>
    </row>
    <row r="7296" ht="15.75" customHeight="1">
      <c r="A7296" s="122"/>
      <c r="B7296" s="133"/>
      <c r="C7296" s="120"/>
      <c r="D7296" s="120"/>
      <c r="E7296" s="120"/>
      <c r="F7296" s="120"/>
      <c r="G7296" s="120"/>
      <c r="H7296" s="120"/>
      <c r="I7296" s="121"/>
      <c r="J7296" s="121"/>
      <c r="K7296" s="117"/>
    </row>
    <row r="7297" ht="15.75" customHeight="1">
      <c r="A7297" s="122"/>
      <c r="B7297" s="133"/>
      <c r="C7297" s="120"/>
      <c r="D7297" s="120"/>
      <c r="E7297" s="120"/>
      <c r="F7297" s="120"/>
      <c r="G7297" s="120"/>
      <c r="H7297" s="120"/>
      <c r="I7297" s="121"/>
      <c r="J7297" s="121"/>
      <c r="K7297" s="117"/>
    </row>
    <row r="7298" ht="15.75" customHeight="1">
      <c r="A7298" s="122"/>
      <c r="B7298" s="133"/>
      <c r="C7298" s="120"/>
      <c r="D7298" s="120"/>
      <c r="E7298" s="120"/>
      <c r="F7298" s="120"/>
      <c r="G7298" s="120"/>
      <c r="H7298" s="120"/>
      <c r="I7298" s="121"/>
      <c r="J7298" s="121"/>
      <c r="K7298" s="117"/>
    </row>
    <row r="7299" ht="15.75" customHeight="1">
      <c r="A7299" s="122"/>
      <c r="B7299" s="133"/>
      <c r="C7299" s="120"/>
      <c r="D7299" s="120"/>
      <c r="E7299" s="120"/>
      <c r="F7299" s="120"/>
      <c r="G7299" s="120"/>
      <c r="H7299" s="120"/>
      <c r="I7299" s="121"/>
      <c r="J7299" s="121"/>
      <c r="K7299" s="117"/>
    </row>
    <row r="7300" ht="15.75" customHeight="1">
      <c r="A7300" s="122"/>
      <c r="B7300" s="133"/>
      <c r="C7300" s="120"/>
      <c r="D7300" s="120"/>
      <c r="E7300" s="120"/>
      <c r="F7300" s="120"/>
      <c r="G7300" s="120"/>
      <c r="H7300" s="120"/>
      <c r="I7300" s="121"/>
      <c r="J7300" s="121"/>
      <c r="K7300" s="117"/>
    </row>
    <row r="7301" ht="15.75" customHeight="1">
      <c r="A7301" s="122"/>
      <c r="B7301" s="133"/>
      <c r="C7301" s="120"/>
      <c r="D7301" s="120"/>
      <c r="E7301" s="120"/>
      <c r="F7301" s="120"/>
      <c r="G7301" s="120"/>
      <c r="H7301" s="120"/>
      <c r="I7301" s="121"/>
      <c r="J7301" s="121"/>
      <c r="K7301" s="117"/>
    </row>
    <row r="7302" ht="15.75" customHeight="1">
      <c r="A7302" s="122"/>
      <c r="B7302" s="133"/>
      <c r="C7302" s="120"/>
      <c r="D7302" s="120"/>
      <c r="E7302" s="120"/>
      <c r="F7302" s="120"/>
      <c r="G7302" s="120"/>
      <c r="H7302" s="120"/>
      <c r="I7302" s="121"/>
      <c r="J7302" s="121"/>
      <c r="K7302" s="117"/>
    </row>
    <row r="7303" ht="15.75" customHeight="1">
      <c r="A7303" s="122"/>
      <c r="B7303" s="133"/>
      <c r="C7303" s="120"/>
      <c r="D7303" s="120"/>
      <c r="E7303" s="120"/>
      <c r="F7303" s="120"/>
      <c r="G7303" s="120"/>
      <c r="H7303" s="120"/>
      <c r="I7303" s="121"/>
      <c r="J7303" s="121"/>
      <c r="K7303" s="117"/>
    </row>
    <row r="7304" ht="15.75" customHeight="1">
      <c r="A7304" s="122"/>
      <c r="B7304" s="133"/>
      <c r="C7304" s="120"/>
      <c r="D7304" s="120"/>
      <c r="E7304" s="120"/>
      <c r="F7304" s="120"/>
      <c r="G7304" s="120"/>
      <c r="H7304" s="120"/>
      <c r="I7304" s="121"/>
      <c r="J7304" s="121"/>
      <c r="K7304" s="117"/>
    </row>
    <row r="7305" ht="15.75" customHeight="1">
      <c r="A7305" s="122"/>
      <c r="B7305" s="133"/>
      <c r="C7305" s="120"/>
      <c r="D7305" s="120"/>
      <c r="E7305" s="120"/>
      <c r="F7305" s="120"/>
      <c r="G7305" s="120"/>
      <c r="H7305" s="120"/>
      <c r="I7305" s="121"/>
      <c r="J7305" s="121"/>
      <c r="K7305" s="117"/>
    </row>
    <row r="7306" ht="15.75" customHeight="1">
      <c r="A7306" s="122"/>
      <c r="B7306" s="133"/>
      <c r="C7306" s="120"/>
      <c r="D7306" s="120"/>
      <c r="E7306" s="120"/>
      <c r="F7306" s="120"/>
      <c r="G7306" s="120"/>
      <c r="H7306" s="120"/>
      <c r="I7306" s="121"/>
      <c r="J7306" s="121"/>
      <c r="K7306" s="117"/>
    </row>
    <row r="7307" ht="15.75" customHeight="1">
      <c r="A7307" s="122"/>
      <c r="B7307" s="133"/>
      <c r="C7307" s="120"/>
      <c r="D7307" s="120"/>
      <c r="E7307" s="120"/>
      <c r="F7307" s="120"/>
      <c r="G7307" s="120"/>
      <c r="H7307" s="120"/>
      <c r="I7307" s="121"/>
      <c r="J7307" s="121"/>
      <c r="K7307" s="117"/>
    </row>
    <row r="7308" ht="15.75" customHeight="1">
      <c r="A7308" s="122"/>
      <c r="B7308" s="133"/>
      <c r="C7308" s="120"/>
      <c r="D7308" s="120"/>
      <c r="E7308" s="120"/>
      <c r="F7308" s="120"/>
      <c r="G7308" s="120"/>
      <c r="H7308" s="120"/>
      <c r="I7308" s="121"/>
      <c r="J7308" s="121"/>
      <c r="K7308" s="117"/>
    </row>
    <row r="7309" ht="15.75" customHeight="1">
      <c r="A7309" s="122"/>
      <c r="B7309" s="133"/>
      <c r="C7309" s="120"/>
      <c r="D7309" s="120"/>
      <c r="E7309" s="120"/>
      <c r="F7309" s="120"/>
      <c r="G7309" s="120"/>
      <c r="H7309" s="120"/>
      <c r="I7309" s="121"/>
      <c r="J7309" s="121"/>
      <c r="K7309" s="117"/>
    </row>
    <row r="7310" ht="15.75" customHeight="1">
      <c r="A7310" s="122"/>
      <c r="B7310" s="133"/>
      <c r="C7310" s="120"/>
      <c r="D7310" s="120"/>
      <c r="E7310" s="120"/>
      <c r="F7310" s="120"/>
      <c r="G7310" s="120"/>
      <c r="H7310" s="120"/>
      <c r="I7310" s="121"/>
      <c r="J7310" s="121"/>
      <c r="K7310" s="117"/>
    </row>
    <row r="7311" ht="15.75" customHeight="1">
      <c r="A7311" s="122"/>
      <c r="B7311" s="133"/>
      <c r="C7311" s="120"/>
      <c r="D7311" s="120"/>
      <c r="E7311" s="120"/>
      <c r="F7311" s="120"/>
      <c r="G7311" s="120"/>
      <c r="H7311" s="120"/>
      <c r="I7311" s="121"/>
      <c r="J7311" s="121"/>
      <c r="K7311" s="117"/>
    </row>
    <row r="7312" ht="15.75" customHeight="1">
      <c r="A7312" s="122"/>
      <c r="B7312" s="133"/>
      <c r="C7312" s="120"/>
      <c r="D7312" s="120"/>
      <c r="E7312" s="120"/>
      <c r="F7312" s="120"/>
      <c r="G7312" s="120"/>
      <c r="H7312" s="120"/>
      <c r="I7312" s="121"/>
      <c r="J7312" s="121"/>
      <c r="K7312" s="117"/>
    </row>
    <row r="7313" ht="15.75" customHeight="1">
      <c r="A7313" s="122"/>
      <c r="B7313" s="133"/>
      <c r="C7313" s="120"/>
      <c r="D7313" s="120"/>
      <c r="E7313" s="120"/>
      <c r="F7313" s="120"/>
      <c r="G7313" s="120"/>
      <c r="H7313" s="120"/>
      <c r="I7313" s="121"/>
      <c r="J7313" s="121"/>
      <c r="K7313" s="117"/>
    </row>
    <row r="7314" ht="15.75" customHeight="1">
      <c r="A7314" s="122"/>
      <c r="B7314" s="133"/>
      <c r="C7314" s="120"/>
      <c r="D7314" s="120"/>
      <c r="E7314" s="120"/>
      <c r="F7314" s="120"/>
      <c r="G7314" s="120"/>
      <c r="H7314" s="120"/>
      <c r="I7314" s="121"/>
      <c r="J7314" s="121"/>
      <c r="K7314" s="117"/>
    </row>
    <row r="7315" ht="15.75" customHeight="1">
      <c r="A7315" s="122"/>
      <c r="B7315" s="133"/>
      <c r="C7315" s="120"/>
      <c r="D7315" s="120"/>
      <c r="E7315" s="120"/>
      <c r="F7315" s="120"/>
      <c r="G7315" s="120"/>
      <c r="H7315" s="120"/>
      <c r="I7315" s="121"/>
      <c r="J7315" s="121"/>
      <c r="K7315" s="117"/>
    </row>
    <row r="7316" ht="15.75" customHeight="1">
      <c r="A7316" s="122"/>
      <c r="B7316" s="133"/>
      <c r="C7316" s="120"/>
      <c r="D7316" s="120"/>
      <c r="E7316" s="120"/>
      <c r="F7316" s="120"/>
      <c r="G7316" s="120"/>
      <c r="H7316" s="120"/>
      <c r="I7316" s="121"/>
      <c r="J7316" s="121"/>
      <c r="K7316" s="117"/>
    </row>
    <row r="7317" ht="15.75" customHeight="1">
      <c r="A7317" s="122"/>
      <c r="B7317" s="133"/>
      <c r="C7317" s="120"/>
      <c r="D7317" s="120"/>
      <c r="E7317" s="120"/>
      <c r="F7317" s="120"/>
      <c r="G7317" s="120"/>
      <c r="H7317" s="120"/>
      <c r="I7317" s="121"/>
      <c r="J7317" s="121"/>
      <c r="K7317" s="117"/>
    </row>
    <row r="7318" ht="15.75" customHeight="1">
      <c r="A7318" s="122"/>
      <c r="B7318" s="133"/>
      <c r="C7318" s="120"/>
      <c r="D7318" s="120"/>
      <c r="E7318" s="120"/>
      <c r="F7318" s="120"/>
      <c r="G7318" s="120"/>
      <c r="H7318" s="120"/>
      <c r="I7318" s="121"/>
      <c r="J7318" s="121"/>
      <c r="K7318" s="117"/>
    </row>
    <row r="7319" ht="15.75" customHeight="1">
      <c r="A7319" s="122"/>
      <c r="B7319" s="133"/>
      <c r="C7319" s="120"/>
      <c r="D7319" s="120"/>
      <c r="E7319" s="120"/>
      <c r="F7319" s="120"/>
      <c r="G7319" s="120"/>
      <c r="H7319" s="120"/>
      <c r="I7319" s="121"/>
      <c r="J7319" s="121"/>
      <c r="K7319" s="117"/>
    </row>
    <row r="7320" ht="15.75" customHeight="1">
      <c r="A7320" s="122"/>
      <c r="B7320" s="133"/>
      <c r="C7320" s="120"/>
      <c r="D7320" s="120"/>
      <c r="E7320" s="120"/>
      <c r="F7320" s="120"/>
      <c r="G7320" s="120"/>
      <c r="H7320" s="120"/>
      <c r="I7320" s="121"/>
      <c r="J7320" s="121"/>
      <c r="K7320" s="117"/>
    </row>
    <row r="7321" ht="15.75" customHeight="1">
      <c r="A7321" s="122"/>
      <c r="B7321" s="133"/>
      <c r="C7321" s="120"/>
      <c r="D7321" s="120"/>
      <c r="E7321" s="120"/>
      <c r="F7321" s="120"/>
      <c r="G7321" s="120"/>
      <c r="H7321" s="120"/>
      <c r="I7321" s="121"/>
      <c r="J7321" s="121"/>
      <c r="K7321" s="117"/>
    </row>
    <row r="7322" ht="15.75" customHeight="1">
      <c r="A7322" s="122"/>
      <c r="B7322" s="133"/>
      <c r="C7322" s="120"/>
      <c r="D7322" s="120"/>
      <c r="E7322" s="120"/>
      <c r="F7322" s="120"/>
      <c r="G7322" s="120"/>
      <c r="H7322" s="120"/>
      <c r="I7322" s="121"/>
      <c r="J7322" s="121"/>
      <c r="K7322" s="117"/>
    </row>
    <row r="7323" ht="15.75" customHeight="1">
      <c r="A7323" s="122"/>
      <c r="B7323" s="133"/>
      <c r="C7323" s="120"/>
      <c r="D7323" s="120"/>
      <c r="E7323" s="120"/>
      <c r="F7323" s="120"/>
      <c r="G7323" s="120"/>
      <c r="H7323" s="120"/>
      <c r="I7323" s="121"/>
      <c r="J7323" s="121"/>
      <c r="K7323" s="117"/>
    </row>
    <row r="7324" ht="15.75" customHeight="1">
      <c r="A7324" s="122"/>
      <c r="B7324" s="133"/>
      <c r="C7324" s="120"/>
      <c r="D7324" s="120"/>
      <c r="E7324" s="120"/>
      <c r="F7324" s="120"/>
      <c r="G7324" s="120"/>
      <c r="H7324" s="120"/>
      <c r="I7324" s="121"/>
      <c r="J7324" s="121"/>
      <c r="K7324" s="117"/>
    </row>
    <row r="7325" ht="15.75" customHeight="1">
      <c r="A7325" s="122"/>
      <c r="B7325" s="133"/>
      <c r="C7325" s="120"/>
      <c r="D7325" s="120"/>
      <c r="E7325" s="120"/>
      <c r="F7325" s="120"/>
      <c r="G7325" s="120"/>
      <c r="H7325" s="120"/>
      <c r="I7325" s="121"/>
      <c r="J7325" s="121"/>
      <c r="K7325" s="117"/>
    </row>
    <row r="7326" ht="15.75" customHeight="1">
      <c r="A7326" s="122"/>
      <c r="B7326" s="133"/>
      <c r="C7326" s="120"/>
      <c r="D7326" s="120"/>
      <c r="E7326" s="120"/>
      <c r="F7326" s="120"/>
      <c r="G7326" s="120"/>
      <c r="H7326" s="120"/>
      <c r="I7326" s="121"/>
      <c r="J7326" s="121"/>
      <c r="K7326" s="117"/>
    </row>
    <row r="7327" ht="15.75" customHeight="1">
      <c r="A7327" s="122"/>
      <c r="B7327" s="133"/>
      <c r="C7327" s="120"/>
      <c r="D7327" s="120"/>
      <c r="E7327" s="120"/>
      <c r="F7327" s="120"/>
      <c r="G7327" s="120"/>
      <c r="H7327" s="120"/>
      <c r="I7327" s="121"/>
      <c r="J7327" s="121"/>
      <c r="K7327" s="117"/>
    </row>
    <row r="7328" ht="15.75" customHeight="1">
      <c r="A7328" s="122"/>
      <c r="B7328" s="133"/>
      <c r="C7328" s="120"/>
      <c r="D7328" s="120"/>
      <c r="E7328" s="120"/>
      <c r="F7328" s="120"/>
      <c r="G7328" s="120"/>
      <c r="H7328" s="120"/>
      <c r="I7328" s="121"/>
      <c r="J7328" s="121"/>
      <c r="K7328" s="117"/>
    </row>
    <row r="7329" ht="15.75" customHeight="1">
      <c r="A7329" s="122"/>
      <c r="B7329" s="133"/>
      <c r="C7329" s="120"/>
      <c r="D7329" s="120"/>
      <c r="E7329" s="120"/>
      <c r="F7329" s="120"/>
      <c r="G7329" s="120"/>
      <c r="H7329" s="120"/>
      <c r="I7329" s="121"/>
      <c r="J7329" s="121"/>
      <c r="K7329" s="117"/>
    </row>
    <row r="7330" ht="15.75" customHeight="1">
      <c r="A7330" s="122"/>
      <c r="B7330" s="133"/>
      <c r="C7330" s="120"/>
      <c r="D7330" s="120"/>
      <c r="E7330" s="120"/>
      <c r="F7330" s="120"/>
      <c r="G7330" s="120"/>
      <c r="H7330" s="120"/>
      <c r="I7330" s="121"/>
      <c r="J7330" s="121"/>
      <c r="K7330" s="117"/>
    </row>
    <row r="7331" ht="15.75" customHeight="1">
      <c r="A7331" s="122"/>
      <c r="B7331" s="133"/>
      <c r="C7331" s="120"/>
      <c r="D7331" s="120"/>
      <c r="E7331" s="120"/>
      <c r="F7331" s="120"/>
      <c r="G7331" s="120"/>
      <c r="H7331" s="120"/>
      <c r="I7331" s="121"/>
      <c r="J7331" s="121"/>
      <c r="K7331" s="117"/>
    </row>
    <row r="7332" ht="15.75" customHeight="1">
      <c r="A7332" s="122"/>
      <c r="B7332" s="133"/>
      <c r="C7332" s="120"/>
      <c r="D7332" s="120"/>
      <c r="E7332" s="120"/>
      <c r="F7332" s="120"/>
      <c r="G7332" s="120"/>
      <c r="H7332" s="120"/>
      <c r="I7332" s="121"/>
      <c r="J7332" s="121"/>
      <c r="K7332" s="117"/>
    </row>
    <row r="7333" ht="15.75" customHeight="1">
      <c r="A7333" s="122"/>
      <c r="B7333" s="133"/>
      <c r="C7333" s="120"/>
      <c r="D7333" s="120"/>
      <c r="E7333" s="120"/>
      <c r="F7333" s="120"/>
      <c r="G7333" s="120"/>
      <c r="H7333" s="120"/>
      <c r="I7333" s="121"/>
      <c r="J7333" s="121"/>
      <c r="K7333" s="117"/>
    </row>
    <row r="7334" ht="15.75" customHeight="1">
      <c r="A7334" s="122"/>
      <c r="B7334" s="133"/>
      <c r="C7334" s="120"/>
      <c r="D7334" s="120"/>
      <c r="E7334" s="120"/>
      <c r="F7334" s="120"/>
      <c r="G7334" s="120"/>
      <c r="H7334" s="120"/>
      <c r="I7334" s="121"/>
      <c r="J7334" s="121"/>
      <c r="K7334" s="117"/>
    </row>
    <row r="7335" ht="15.75" customHeight="1">
      <c r="A7335" s="122"/>
      <c r="B7335" s="133"/>
      <c r="C7335" s="120"/>
      <c r="D7335" s="120"/>
      <c r="E7335" s="120"/>
      <c r="F7335" s="120"/>
      <c r="G7335" s="120"/>
      <c r="H7335" s="120"/>
      <c r="I7335" s="121"/>
      <c r="J7335" s="121"/>
      <c r="K7335" s="117"/>
    </row>
    <row r="7336" ht="15.75" customHeight="1">
      <c r="A7336" s="122"/>
      <c r="B7336" s="133"/>
      <c r="C7336" s="120"/>
      <c r="D7336" s="120"/>
      <c r="E7336" s="120"/>
      <c r="F7336" s="120"/>
      <c r="G7336" s="120"/>
      <c r="H7336" s="120"/>
      <c r="I7336" s="121"/>
      <c r="J7336" s="121"/>
      <c r="K7336" s="117"/>
    </row>
    <row r="7337" ht="15.75" customHeight="1">
      <c r="A7337" s="122"/>
      <c r="B7337" s="133"/>
      <c r="C7337" s="120"/>
      <c r="D7337" s="120"/>
      <c r="E7337" s="120"/>
      <c r="F7337" s="120"/>
      <c r="G7337" s="120"/>
      <c r="H7337" s="120"/>
      <c r="I7337" s="121"/>
      <c r="J7337" s="121"/>
      <c r="K7337" s="117"/>
    </row>
    <row r="7338" ht="15.75" customHeight="1">
      <c r="A7338" s="122"/>
      <c r="B7338" s="133"/>
      <c r="C7338" s="120"/>
      <c r="D7338" s="120"/>
      <c r="E7338" s="120"/>
      <c r="F7338" s="120"/>
      <c r="G7338" s="120"/>
      <c r="H7338" s="120"/>
      <c r="I7338" s="121"/>
      <c r="J7338" s="121"/>
      <c r="K7338" s="117"/>
    </row>
    <row r="7339" ht="15.75" customHeight="1">
      <c r="A7339" s="122"/>
      <c r="B7339" s="133"/>
      <c r="C7339" s="120"/>
      <c r="D7339" s="120"/>
      <c r="E7339" s="120"/>
      <c r="F7339" s="120"/>
      <c r="G7339" s="120"/>
      <c r="H7339" s="120"/>
      <c r="I7339" s="121"/>
      <c r="J7339" s="121"/>
      <c r="K7339" s="117"/>
    </row>
    <row r="7340" ht="15.75" customHeight="1">
      <c r="A7340" s="122"/>
      <c r="B7340" s="133"/>
      <c r="C7340" s="120"/>
      <c r="D7340" s="120"/>
      <c r="E7340" s="120"/>
      <c r="F7340" s="120"/>
      <c r="G7340" s="120"/>
      <c r="H7340" s="120"/>
      <c r="I7340" s="121"/>
      <c r="J7340" s="121"/>
      <c r="K7340" s="117"/>
    </row>
    <row r="7341" ht="15.75" customHeight="1">
      <c r="A7341" s="122"/>
      <c r="B7341" s="133"/>
      <c r="C7341" s="120"/>
      <c r="D7341" s="120"/>
      <c r="E7341" s="120"/>
      <c r="F7341" s="120"/>
      <c r="G7341" s="120"/>
      <c r="H7341" s="120"/>
      <c r="I7341" s="121"/>
      <c r="J7341" s="121"/>
      <c r="K7341" s="117"/>
    </row>
    <row r="7342" ht="15.75" customHeight="1">
      <c r="A7342" s="122"/>
      <c r="B7342" s="133"/>
      <c r="C7342" s="120"/>
      <c r="D7342" s="120"/>
      <c r="E7342" s="120"/>
      <c r="F7342" s="120"/>
      <c r="G7342" s="120"/>
      <c r="H7342" s="120"/>
      <c r="I7342" s="121"/>
      <c r="J7342" s="121"/>
      <c r="K7342" s="117"/>
    </row>
    <row r="7343" ht="15.75" customHeight="1">
      <c r="A7343" s="122"/>
      <c r="B7343" s="133"/>
      <c r="C7343" s="120"/>
      <c r="D7343" s="120"/>
      <c r="E7343" s="120"/>
      <c r="F7343" s="120"/>
      <c r="G7343" s="120"/>
      <c r="H7343" s="120"/>
      <c r="I7343" s="121"/>
      <c r="J7343" s="121"/>
      <c r="K7343" s="117"/>
    </row>
    <row r="7344" ht="15.75" customHeight="1">
      <c r="A7344" s="122"/>
      <c r="B7344" s="133"/>
      <c r="C7344" s="120"/>
      <c r="D7344" s="120"/>
      <c r="E7344" s="120"/>
      <c r="F7344" s="120"/>
      <c r="G7344" s="120"/>
      <c r="H7344" s="120"/>
      <c r="I7344" s="121"/>
      <c r="J7344" s="121"/>
      <c r="K7344" s="117"/>
    </row>
    <row r="7345" ht="15.75" customHeight="1">
      <c r="A7345" s="122"/>
      <c r="B7345" s="133"/>
      <c r="C7345" s="120"/>
      <c r="D7345" s="120"/>
      <c r="E7345" s="120"/>
      <c r="F7345" s="120"/>
      <c r="G7345" s="120"/>
      <c r="H7345" s="120"/>
      <c r="I7345" s="121"/>
      <c r="J7345" s="121"/>
      <c r="K7345" s="117"/>
    </row>
    <row r="7346" ht="15.75" customHeight="1">
      <c r="A7346" s="122"/>
      <c r="B7346" s="133"/>
      <c r="C7346" s="120"/>
      <c r="D7346" s="120"/>
      <c r="E7346" s="120"/>
      <c r="F7346" s="120"/>
      <c r="G7346" s="120"/>
      <c r="H7346" s="120"/>
      <c r="I7346" s="121"/>
      <c r="J7346" s="121"/>
      <c r="K7346" s="117"/>
    </row>
    <row r="7347" ht="15.75" customHeight="1">
      <c r="A7347" s="122"/>
      <c r="B7347" s="133"/>
      <c r="C7347" s="120"/>
      <c r="D7347" s="120"/>
      <c r="E7347" s="120"/>
      <c r="F7347" s="120"/>
      <c r="G7347" s="120"/>
      <c r="H7347" s="120"/>
      <c r="I7347" s="121"/>
      <c r="J7347" s="121"/>
      <c r="K7347" s="117"/>
    </row>
    <row r="7348" ht="15.75" customHeight="1">
      <c r="A7348" s="122"/>
      <c r="B7348" s="133"/>
      <c r="C7348" s="120"/>
      <c r="D7348" s="120"/>
      <c r="E7348" s="120"/>
      <c r="F7348" s="120"/>
      <c r="G7348" s="120"/>
      <c r="H7348" s="120"/>
      <c r="I7348" s="121"/>
      <c r="J7348" s="121"/>
      <c r="K7348" s="117"/>
    </row>
    <row r="7349" ht="15.75" customHeight="1">
      <c r="A7349" s="122"/>
      <c r="B7349" s="133"/>
      <c r="C7349" s="120"/>
      <c r="D7349" s="120"/>
      <c r="E7349" s="120"/>
      <c r="F7349" s="120"/>
      <c r="G7349" s="120"/>
      <c r="H7349" s="120"/>
      <c r="I7349" s="121"/>
      <c r="J7349" s="121"/>
      <c r="K7349" s="117"/>
    </row>
    <row r="7350" ht="15.75" customHeight="1">
      <c r="A7350" s="122"/>
      <c r="B7350" s="133"/>
      <c r="C7350" s="120"/>
      <c r="D7350" s="120"/>
      <c r="E7350" s="120"/>
      <c r="F7350" s="120"/>
      <c r="G7350" s="120"/>
      <c r="H7350" s="120"/>
      <c r="I7350" s="121"/>
      <c r="J7350" s="121"/>
      <c r="K7350" s="117"/>
    </row>
    <row r="7351" ht="15.75" customHeight="1">
      <c r="A7351" s="122"/>
      <c r="B7351" s="133"/>
      <c r="C7351" s="120"/>
      <c r="D7351" s="120"/>
      <c r="E7351" s="120"/>
      <c r="F7351" s="120"/>
      <c r="G7351" s="120"/>
      <c r="H7351" s="120"/>
      <c r="I7351" s="121"/>
      <c r="J7351" s="121"/>
      <c r="K7351" s="117"/>
    </row>
    <row r="7352" ht="15.75" customHeight="1">
      <c r="A7352" s="122"/>
      <c r="B7352" s="133"/>
      <c r="C7352" s="120"/>
      <c r="D7352" s="120"/>
      <c r="E7352" s="120"/>
      <c r="F7352" s="120"/>
      <c r="G7352" s="120"/>
      <c r="H7352" s="120"/>
      <c r="I7352" s="121"/>
      <c r="J7352" s="121"/>
      <c r="K7352" s="117"/>
    </row>
    <row r="7353" ht="15.75" customHeight="1">
      <c r="A7353" s="122"/>
      <c r="B7353" s="133"/>
      <c r="C7353" s="120"/>
      <c r="D7353" s="120"/>
      <c r="E7353" s="120"/>
      <c r="F7353" s="120"/>
      <c r="G7353" s="120"/>
      <c r="H7353" s="120"/>
      <c r="I7353" s="121"/>
      <c r="J7353" s="121"/>
      <c r="K7353" s="117"/>
    </row>
    <row r="7354" ht="15.75" customHeight="1">
      <c r="A7354" s="122"/>
      <c r="B7354" s="133"/>
      <c r="C7354" s="120"/>
      <c r="D7354" s="120"/>
      <c r="E7354" s="120"/>
      <c r="F7354" s="120"/>
      <c r="G7354" s="120"/>
      <c r="H7354" s="120"/>
      <c r="I7354" s="121"/>
      <c r="J7354" s="121"/>
      <c r="K7354" s="117"/>
    </row>
    <row r="7355" ht="15.75" customHeight="1">
      <c r="A7355" s="122"/>
      <c r="B7355" s="133"/>
      <c r="C7355" s="120"/>
      <c r="D7355" s="120"/>
      <c r="E7355" s="120"/>
      <c r="F7355" s="120"/>
      <c r="G7355" s="120"/>
      <c r="H7355" s="120"/>
      <c r="I7355" s="121"/>
      <c r="J7355" s="121"/>
      <c r="K7355" s="117"/>
    </row>
    <row r="7356" ht="15.75" customHeight="1">
      <c r="A7356" s="122"/>
      <c r="B7356" s="133"/>
      <c r="C7356" s="120"/>
      <c r="D7356" s="120"/>
      <c r="E7356" s="120"/>
      <c r="F7356" s="120"/>
      <c r="G7356" s="120"/>
      <c r="H7356" s="120"/>
      <c r="I7356" s="121"/>
      <c r="J7356" s="121"/>
      <c r="K7356" s="117"/>
    </row>
    <row r="7357" ht="15.75" customHeight="1">
      <c r="A7357" s="122"/>
      <c r="B7357" s="133"/>
      <c r="C7357" s="120"/>
      <c r="D7357" s="120"/>
      <c r="E7357" s="120"/>
      <c r="F7357" s="120"/>
      <c r="G7357" s="120"/>
      <c r="H7357" s="120"/>
      <c r="I7357" s="121"/>
      <c r="J7357" s="121"/>
      <c r="K7357" s="117"/>
    </row>
    <row r="7358" ht="15.75" customHeight="1">
      <c r="A7358" s="122"/>
      <c r="B7358" s="133"/>
      <c r="C7358" s="120"/>
      <c r="D7358" s="120"/>
      <c r="E7358" s="120"/>
      <c r="F7358" s="120"/>
      <c r="G7358" s="120"/>
      <c r="H7358" s="120"/>
      <c r="I7358" s="121"/>
      <c r="J7358" s="121"/>
      <c r="K7358" s="117"/>
    </row>
    <row r="7359" ht="15.75" customHeight="1">
      <c r="A7359" s="122"/>
      <c r="B7359" s="133"/>
      <c r="C7359" s="120"/>
      <c r="D7359" s="120"/>
      <c r="E7359" s="120"/>
      <c r="F7359" s="120"/>
      <c r="G7359" s="120"/>
      <c r="H7359" s="120"/>
      <c r="I7359" s="121"/>
      <c r="J7359" s="121"/>
      <c r="K7359" s="117"/>
    </row>
    <row r="7360" ht="15.75" customHeight="1">
      <c r="A7360" s="122"/>
      <c r="B7360" s="133"/>
      <c r="C7360" s="120"/>
      <c r="D7360" s="120"/>
      <c r="E7360" s="120"/>
      <c r="F7360" s="120"/>
      <c r="G7360" s="120"/>
      <c r="H7360" s="120"/>
      <c r="I7360" s="121"/>
      <c r="J7360" s="121"/>
      <c r="K7360" s="117"/>
    </row>
    <row r="7361" ht="15.75" customHeight="1">
      <c r="A7361" s="122"/>
      <c r="B7361" s="133"/>
      <c r="C7361" s="120"/>
      <c r="D7361" s="120"/>
      <c r="E7361" s="120"/>
      <c r="F7361" s="120"/>
      <c r="G7361" s="120"/>
      <c r="H7361" s="120"/>
      <c r="I7361" s="121"/>
      <c r="J7361" s="121"/>
      <c r="K7361" s="117"/>
    </row>
    <row r="7362" ht="15.75" customHeight="1">
      <c r="A7362" s="122"/>
      <c r="B7362" s="133"/>
      <c r="C7362" s="120"/>
      <c r="D7362" s="120"/>
      <c r="E7362" s="120"/>
      <c r="F7362" s="120"/>
      <c r="G7362" s="120"/>
      <c r="H7362" s="120"/>
      <c r="I7362" s="121"/>
      <c r="J7362" s="121"/>
      <c r="K7362" s="117"/>
    </row>
    <row r="7363" ht="15.75" customHeight="1">
      <c r="A7363" s="122"/>
      <c r="B7363" s="133"/>
      <c r="C7363" s="120"/>
      <c r="D7363" s="120"/>
      <c r="E7363" s="120"/>
      <c r="F7363" s="120"/>
      <c r="G7363" s="120"/>
      <c r="H7363" s="120"/>
      <c r="I7363" s="121"/>
      <c r="J7363" s="121"/>
      <c r="K7363" s="117"/>
    </row>
    <row r="7364" ht="15.75" customHeight="1">
      <c r="A7364" s="122"/>
      <c r="B7364" s="133"/>
      <c r="C7364" s="120"/>
      <c r="D7364" s="120"/>
      <c r="E7364" s="120"/>
      <c r="F7364" s="120"/>
      <c r="G7364" s="120"/>
      <c r="H7364" s="120"/>
      <c r="I7364" s="121"/>
      <c r="J7364" s="121"/>
      <c r="K7364" s="117"/>
    </row>
    <row r="7365" ht="15.75" customHeight="1">
      <c r="A7365" s="122"/>
      <c r="B7365" s="133"/>
      <c r="C7365" s="120"/>
      <c r="D7365" s="120"/>
      <c r="E7365" s="120"/>
      <c r="F7365" s="120"/>
      <c r="G7365" s="120"/>
      <c r="H7365" s="120"/>
      <c r="I7365" s="121"/>
      <c r="J7365" s="121"/>
      <c r="K7365" s="117"/>
    </row>
    <row r="7366" ht="15.75" customHeight="1">
      <c r="A7366" s="122"/>
      <c r="B7366" s="133"/>
      <c r="C7366" s="120"/>
      <c r="D7366" s="120"/>
      <c r="E7366" s="120"/>
      <c r="F7366" s="120"/>
      <c r="G7366" s="120"/>
      <c r="H7366" s="120"/>
      <c r="I7366" s="121"/>
      <c r="J7366" s="121"/>
      <c r="K7366" s="117"/>
    </row>
    <row r="7367" ht="15.75" customHeight="1">
      <c r="A7367" s="122"/>
      <c r="B7367" s="133"/>
      <c r="C7367" s="120"/>
      <c r="D7367" s="120"/>
      <c r="E7367" s="120"/>
      <c r="F7367" s="120"/>
      <c r="G7367" s="120"/>
      <c r="H7367" s="120"/>
      <c r="I7367" s="121"/>
      <c r="J7367" s="121"/>
      <c r="K7367" s="117"/>
    </row>
    <row r="7368" ht="15.75" customHeight="1">
      <c r="A7368" s="122"/>
      <c r="B7368" s="133"/>
      <c r="C7368" s="120"/>
      <c r="D7368" s="120"/>
      <c r="E7368" s="120"/>
      <c r="F7368" s="120"/>
      <c r="G7368" s="120"/>
      <c r="H7368" s="120"/>
      <c r="I7368" s="121"/>
      <c r="J7368" s="121"/>
      <c r="K7368" s="117"/>
    </row>
    <row r="7369" ht="15.75" customHeight="1">
      <c r="A7369" s="122"/>
      <c r="B7369" s="133"/>
      <c r="C7369" s="120"/>
      <c r="D7369" s="120"/>
      <c r="E7369" s="120"/>
      <c r="F7369" s="120"/>
      <c r="G7369" s="120"/>
      <c r="H7369" s="120"/>
      <c r="I7369" s="121"/>
      <c r="J7369" s="121"/>
      <c r="K7369" s="117"/>
    </row>
    <row r="7370" ht="15.75" customHeight="1">
      <c r="A7370" s="122"/>
      <c r="B7370" s="133"/>
      <c r="C7370" s="120"/>
      <c r="D7370" s="120"/>
      <c r="E7370" s="120"/>
      <c r="F7370" s="120"/>
      <c r="G7370" s="120"/>
      <c r="H7370" s="120"/>
      <c r="I7370" s="121"/>
      <c r="J7370" s="121"/>
      <c r="K7370" s="117"/>
    </row>
    <row r="7371" ht="15.75" customHeight="1">
      <c r="A7371" s="122"/>
      <c r="B7371" s="133"/>
      <c r="C7371" s="120"/>
      <c r="D7371" s="120"/>
      <c r="E7371" s="120"/>
      <c r="F7371" s="120"/>
      <c r="G7371" s="120"/>
      <c r="H7371" s="120"/>
      <c r="I7371" s="121"/>
      <c r="J7371" s="121"/>
      <c r="K7371" s="117"/>
    </row>
    <row r="7372" ht="15.75" customHeight="1">
      <c r="A7372" s="122"/>
      <c r="B7372" s="133"/>
      <c r="C7372" s="120"/>
      <c r="D7372" s="120"/>
      <c r="E7372" s="120"/>
      <c r="F7372" s="120"/>
      <c r="G7372" s="120"/>
      <c r="H7372" s="120"/>
      <c r="I7372" s="121"/>
      <c r="J7372" s="121"/>
      <c r="K7372" s="117"/>
    </row>
    <row r="7373" ht="15.75" customHeight="1">
      <c r="A7373" s="122"/>
      <c r="B7373" s="133"/>
      <c r="C7373" s="120"/>
      <c r="D7373" s="120"/>
      <c r="E7373" s="120"/>
      <c r="F7373" s="120"/>
      <c r="G7373" s="120"/>
      <c r="H7373" s="120"/>
      <c r="I7373" s="121"/>
      <c r="J7373" s="121"/>
      <c r="K7373" s="117"/>
    </row>
    <row r="7374" ht="15.75" customHeight="1">
      <c r="A7374" s="122"/>
      <c r="B7374" s="133"/>
      <c r="C7374" s="120"/>
      <c r="D7374" s="120"/>
      <c r="E7374" s="120"/>
      <c r="F7374" s="120"/>
      <c r="G7374" s="120"/>
      <c r="H7374" s="120"/>
      <c r="I7374" s="121"/>
      <c r="J7374" s="121"/>
      <c r="K7374" s="117"/>
    </row>
    <row r="7375" ht="15.75" customHeight="1">
      <c r="A7375" s="122"/>
      <c r="B7375" s="133"/>
      <c r="C7375" s="120"/>
      <c r="D7375" s="120"/>
      <c r="E7375" s="120"/>
      <c r="F7375" s="120"/>
      <c r="G7375" s="120"/>
      <c r="H7375" s="120"/>
      <c r="I7375" s="121"/>
      <c r="J7375" s="121"/>
      <c r="K7375" s="117"/>
    </row>
    <row r="7376" ht="15.75" customHeight="1">
      <c r="A7376" s="122"/>
      <c r="B7376" s="133"/>
      <c r="C7376" s="120"/>
      <c r="D7376" s="120"/>
      <c r="E7376" s="120"/>
      <c r="F7376" s="120"/>
      <c r="G7376" s="120"/>
      <c r="H7376" s="120"/>
      <c r="I7376" s="121"/>
      <c r="J7376" s="121"/>
      <c r="K7376" s="117"/>
    </row>
    <row r="7377" ht="15.75" customHeight="1">
      <c r="A7377" s="122"/>
      <c r="B7377" s="133"/>
      <c r="C7377" s="120"/>
      <c r="D7377" s="120"/>
      <c r="E7377" s="120"/>
      <c r="F7377" s="120"/>
      <c r="G7377" s="120"/>
      <c r="H7377" s="120"/>
      <c r="I7377" s="121"/>
      <c r="J7377" s="121"/>
      <c r="K7377" s="117"/>
    </row>
    <row r="7378" ht="15.75" customHeight="1">
      <c r="A7378" s="122"/>
      <c r="B7378" s="133"/>
      <c r="C7378" s="120"/>
      <c r="D7378" s="120"/>
      <c r="E7378" s="120"/>
      <c r="F7378" s="120"/>
      <c r="G7378" s="120"/>
      <c r="H7378" s="120"/>
      <c r="I7378" s="121"/>
      <c r="J7378" s="121"/>
      <c r="K7378" s="117"/>
    </row>
    <row r="7379" ht="15.75" customHeight="1">
      <c r="A7379" s="122"/>
      <c r="B7379" s="133"/>
      <c r="C7379" s="120"/>
      <c r="D7379" s="120"/>
      <c r="E7379" s="120"/>
      <c r="F7379" s="120"/>
      <c r="G7379" s="120"/>
      <c r="H7379" s="120"/>
      <c r="I7379" s="121"/>
      <c r="J7379" s="121"/>
      <c r="K7379" s="117"/>
    </row>
    <row r="7380" ht="15.75" customHeight="1">
      <c r="A7380" s="122"/>
      <c r="B7380" s="133"/>
      <c r="C7380" s="120"/>
      <c r="D7380" s="120"/>
      <c r="E7380" s="120"/>
      <c r="F7380" s="120"/>
      <c r="G7380" s="120"/>
      <c r="H7380" s="120"/>
      <c r="I7380" s="121"/>
      <c r="J7380" s="121"/>
      <c r="K7380" s="117"/>
    </row>
    <row r="7381" ht="15.75" customHeight="1">
      <c r="A7381" s="122"/>
      <c r="B7381" s="133"/>
      <c r="C7381" s="120"/>
      <c r="D7381" s="120"/>
      <c r="E7381" s="120"/>
      <c r="F7381" s="120"/>
      <c r="G7381" s="120"/>
      <c r="H7381" s="120"/>
      <c r="I7381" s="121"/>
      <c r="J7381" s="121"/>
      <c r="K7381" s="117"/>
    </row>
    <row r="7382" ht="15.75" customHeight="1">
      <c r="A7382" s="122"/>
      <c r="B7382" s="133"/>
      <c r="C7382" s="120"/>
      <c r="D7382" s="120"/>
      <c r="E7382" s="120"/>
      <c r="F7382" s="120"/>
      <c r="G7382" s="120"/>
      <c r="H7382" s="120"/>
      <c r="I7382" s="121"/>
      <c r="J7382" s="121"/>
      <c r="K7382" s="117"/>
    </row>
    <row r="7383" ht="15.75" customHeight="1">
      <c r="A7383" s="122"/>
      <c r="B7383" s="133"/>
      <c r="C7383" s="120"/>
      <c r="D7383" s="120"/>
      <c r="E7383" s="120"/>
      <c r="F7383" s="120"/>
      <c r="G7383" s="120"/>
      <c r="H7383" s="120"/>
      <c r="I7383" s="121"/>
      <c r="J7383" s="121"/>
      <c r="K7383" s="117"/>
    </row>
    <row r="7384" ht="15.75" customHeight="1">
      <c r="A7384" s="122"/>
      <c r="B7384" s="133"/>
      <c r="C7384" s="120"/>
      <c r="D7384" s="120"/>
      <c r="E7384" s="120"/>
      <c r="F7384" s="120"/>
      <c r="G7384" s="120"/>
      <c r="H7384" s="120"/>
      <c r="I7384" s="121"/>
      <c r="J7384" s="121"/>
      <c r="K7384" s="117"/>
    </row>
    <row r="7385" ht="15.75" customHeight="1">
      <c r="A7385" s="122"/>
      <c r="B7385" s="133"/>
      <c r="C7385" s="120"/>
      <c r="D7385" s="120"/>
      <c r="E7385" s="120"/>
      <c r="F7385" s="120"/>
      <c r="G7385" s="120"/>
      <c r="H7385" s="120"/>
      <c r="I7385" s="121"/>
      <c r="J7385" s="121"/>
      <c r="K7385" s="117"/>
    </row>
    <row r="7386" ht="15.75" customHeight="1">
      <c r="A7386" s="122"/>
      <c r="B7386" s="133"/>
      <c r="C7386" s="120"/>
      <c r="D7386" s="120"/>
      <c r="E7386" s="120"/>
      <c r="F7386" s="120"/>
      <c r="G7386" s="120"/>
      <c r="H7386" s="120"/>
      <c r="I7386" s="121"/>
      <c r="J7386" s="121"/>
      <c r="K7386" s="117"/>
    </row>
    <row r="7387" ht="15.75" customHeight="1">
      <c r="A7387" s="122"/>
      <c r="B7387" s="133"/>
      <c r="C7387" s="120"/>
      <c r="D7387" s="120"/>
      <c r="E7387" s="120"/>
      <c r="F7387" s="120"/>
      <c r="G7387" s="120"/>
      <c r="H7387" s="120"/>
      <c r="I7387" s="121"/>
      <c r="J7387" s="121"/>
      <c r="K7387" s="117"/>
    </row>
    <row r="7388" ht="15.75" customHeight="1">
      <c r="A7388" s="122"/>
      <c r="B7388" s="133"/>
      <c r="C7388" s="120"/>
      <c r="D7388" s="120"/>
      <c r="E7388" s="120"/>
      <c r="F7388" s="120"/>
      <c r="G7388" s="120"/>
      <c r="H7388" s="120"/>
      <c r="I7388" s="121"/>
      <c r="J7388" s="121"/>
      <c r="K7388" s="117"/>
    </row>
    <row r="7389" ht="15.75" customHeight="1">
      <c r="A7389" s="122"/>
      <c r="B7389" s="133"/>
      <c r="C7389" s="120"/>
      <c r="D7389" s="120"/>
      <c r="E7389" s="120"/>
      <c r="F7389" s="120"/>
      <c r="G7389" s="120"/>
      <c r="H7389" s="120"/>
      <c r="I7389" s="121"/>
      <c r="J7389" s="121"/>
      <c r="K7389" s="117"/>
    </row>
    <row r="7390" ht="15.75" customHeight="1">
      <c r="A7390" s="122"/>
      <c r="B7390" s="133"/>
      <c r="C7390" s="120"/>
      <c r="D7390" s="120"/>
      <c r="E7390" s="120"/>
      <c r="F7390" s="120"/>
      <c r="G7390" s="120"/>
      <c r="H7390" s="120"/>
      <c r="I7390" s="121"/>
      <c r="J7390" s="121"/>
      <c r="K7390" s="117"/>
    </row>
    <row r="7391" ht="15.75" customHeight="1">
      <c r="A7391" s="122"/>
      <c r="B7391" s="133"/>
      <c r="C7391" s="120"/>
      <c r="D7391" s="120"/>
      <c r="E7391" s="120"/>
      <c r="F7391" s="120"/>
      <c r="G7391" s="120"/>
      <c r="H7391" s="120"/>
      <c r="I7391" s="121"/>
      <c r="J7391" s="121"/>
      <c r="K7391" s="117"/>
    </row>
    <row r="7392" ht="15.75" customHeight="1">
      <c r="A7392" s="122"/>
      <c r="B7392" s="133"/>
      <c r="C7392" s="120"/>
      <c r="D7392" s="120"/>
      <c r="E7392" s="120"/>
      <c r="F7392" s="120"/>
      <c r="G7392" s="120"/>
      <c r="H7392" s="120"/>
      <c r="I7392" s="121"/>
      <c r="J7392" s="121"/>
      <c r="K7392" s="117"/>
    </row>
    <row r="7393" ht="15.75" customHeight="1">
      <c r="A7393" s="122"/>
      <c r="B7393" s="133"/>
      <c r="C7393" s="120"/>
      <c r="D7393" s="120"/>
      <c r="E7393" s="120"/>
      <c r="F7393" s="120"/>
      <c r="G7393" s="120"/>
      <c r="H7393" s="120"/>
      <c r="I7393" s="121"/>
      <c r="J7393" s="121"/>
      <c r="K7393" s="117"/>
    </row>
    <row r="7394" ht="15.75" customHeight="1">
      <c r="A7394" s="122"/>
      <c r="B7394" s="133"/>
      <c r="C7394" s="120"/>
      <c r="D7394" s="120"/>
      <c r="E7394" s="120"/>
      <c r="F7394" s="120"/>
      <c r="G7394" s="120"/>
      <c r="H7394" s="120"/>
      <c r="I7394" s="121"/>
      <c r="J7394" s="121"/>
      <c r="K7394" s="117"/>
    </row>
    <row r="7395" ht="15.75" customHeight="1">
      <c r="A7395" s="122"/>
      <c r="B7395" s="133"/>
      <c r="C7395" s="120"/>
      <c r="D7395" s="120"/>
      <c r="E7395" s="120"/>
      <c r="F7395" s="120"/>
      <c r="G7395" s="120"/>
      <c r="H7395" s="120"/>
      <c r="I7395" s="121"/>
      <c r="J7395" s="121"/>
      <c r="K7395" s="117"/>
    </row>
    <row r="7396" ht="15.75" customHeight="1">
      <c r="A7396" s="122"/>
      <c r="B7396" s="133"/>
      <c r="C7396" s="120"/>
      <c r="D7396" s="120"/>
      <c r="E7396" s="120"/>
      <c r="F7396" s="120"/>
      <c r="G7396" s="120"/>
      <c r="H7396" s="120"/>
      <c r="I7396" s="121"/>
      <c r="J7396" s="121"/>
      <c r="K7396" s="117"/>
    </row>
    <row r="7397" ht="15.75" customHeight="1">
      <c r="A7397" s="122"/>
      <c r="B7397" s="133"/>
      <c r="C7397" s="120"/>
      <c r="D7397" s="120"/>
      <c r="E7397" s="120"/>
      <c r="F7397" s="120"/>
      <c r="G7397" s="120"/>
      <c r="H7397" s="120"/>
      <c r="I7397" s="121"/>
      <c r="J7397" s="121"/>
      <c r="K7397" s="117"/>
    </row>
    <row r="7398" ht="15.75" customHeight="1">
      <c r="A7398" s="122"/>
      <c r="B7398" s="133"/>
      <c r="C7398" s="120"/>
      <c r="D7398" s="120"/>
      <c r="E7398" s="120"/>
      <c r="F7398" s="120"/>
      <c r="G7398" s="120"/>
      <c r="H7398" s="120"/>
      <c r="I7398" s="121"/>
      <c r="J7398" s="121"/>
      <c r="K7398" s="117"/>
    </row>
    <row r="7399" ht="15.75" customHeight="1">
      <c r="A7399" s="122"/>
      <c r="B7399" s="133"/>
      <c r="C7399" s="120"/>
      <c r="D7399" s="120"/>
      <c r="E7399" s="120"/>
      <c r="F7399" s="120"/>
      <c r="G7399" s="120"/>
      <c r="H7399" s="120"/>
      <c r="I7399" s="121"/>
      <c r="J7399" s="121"/>
      <c r="K7399" s="117"/>
    </row>
    <row r="7400" ht="15.75" customHeight="1">
      <c r="A7400" s="122"/>
      <c r="B7400" s="133"/>
      <c r="C7400" s="120"/>
      <c r="D7400" s="120"/>
      <c r="E7400" s="120"/>
      <c r="F7400" s="120"/>
      <c r="G7400" s="120"/>
      <c r="H7400" s="120"/>
      <c r="I7400" s="121"/>
      <c r="J7400" s="121"/>
      <c r="K7400" s="117"/>
    </row>
    <row r="7401" ht="15.75" customHeight="1">
      <c r="A7401" s="122"/>
      <c r="B7401" s="133"/>
      <c r="C7401" s="120"/>
      <c r="D7401" s="120"/>
      <c r="E7401" s="120"/>
      <c r="F7401" s="120"/>
      <c r="G7401" s="120"/>
      <c r="H7401" s="120"/>
      <c r="I7401" s="121"/>
      <c r="J7401" s="121"/>
      <c r="K7401" s="117"/>
    </row>
    <row r="7402" ht="15.75" customHeight="1">
      <c r="A7402" s="122"/>
      <c r="B7402" s="133"/>
      <c r="C7402" s="120"/>
      <c r="D7402" s="120"/>
      <c r="E7402" s="120"/>
      <c r="F7402" s="120"/>
      <c r="G7402" s="120"/>
      <c r="H7402" s="120"/>
      <c r="I7402" s="121"/>
      <c r="J7402" s="121"/>
      <c r="K7402" s="117"/>
    </row>
    <row r="7403" ht="15.75" customHeight="1">
      <c r="A7403" s="122"/>
      <c r="B7403" s="133"/>
      <c r="C7403" s="120"/>
      <c r="D7403" s="120"/>
      <c r="E7403" s="120"/>
      <c r="F7403" s="120"/>
      <c r="G7403" s="120"/>
      <c r="H7403" s="120"/>
      <c r="I7403" s="121"/>
      <c r="J7403" s="121"/>
      <c r="K7403" s="117"/>
    </row>
    <row r="7404" ht="15.75" customHeight="1">
      <c r="A7404" s="122"/>
      <c r="B7404" s="133"/>
      <c r="C7404" s="120"/>
      <c r="D7404" s="120"/>
      <c r="E7404" s="120"/>
      <c r="F7404" s="120"/>
      <c r="G7404" s="120"/>
      <c r="H7404" s="120"/>
      <c r="I7404" s="121"/>
      <c r="J7404" s="121"/>
      <c r="K7404" s="117"/>
    </row>
    <row r="7405" ht="15.75" customHeight="1">
      <c r="A7405" s="122"/>
      <c r="B7405" s="133"/>
      <c r="C7405" s="120"/>
      <c r="D7405" s="120"/>
      <c r="E7405" s="120"/>
      <c r="F7405" s="120"/>
      <c r="G7405" s="120"/>
      <c r="H7405" s="120"/>
      <c r="I7405" s="121"/>
      <c r="J7405" s="121"/>
      <c r="K7405" s="117"/>
    </row>
    <row r="7406" ht="15.75" customHeight="1">
      <c r="A7406" s="122"/>
      <c r="B7406" s="133"/>
      <c r="C7406" s="120"/>
      <c r="D7406" s="120"/>
      <c r="E7406" s="120"/>
      <c r="F7406" s="120"/>
      <c r="G7406" s="120"/>
      <c r="H7406" s="120"/>
      <c r="I7406" s="121"/>
      <c r="J7406" s="121"/>
      <c r="K7406" s="117"/>
    </row>
    <row r="7407" ht="15.75" customHeight="1">
      <c r="A7407" s="122"/>
      <c r="B7407" s="133"/>
      <c r="C7407" s="120"/>
      <c r="D7407" s="120"/>
      <c r="E7407" s="120"/>
      <c r="F7407" s="120"/>
      <c r="G7407" s="120"/>
      <c r="H7407" s="120"/>
      <c r="I7407" s="121"/>
      <c r="J7407" s="121"/>
      <c r="K7407" s="117"/>
    </row>
    <row r="7408" ht="15.75" customHeight="1">
      <c r="A7408" s="122"/>
      <c r="B7408" s="133"/>
      <c r="C7408" s="120"/>
      <c r="D7408" s="120"/>
      <c r="E7408" s="120"/>
      <c r="F7408" s="120"/>
      <c r="G7408" s="120"/>
      <c r="H7408" s="120"/>
      <c r="I7408" s="121"/>
      <c r="J7408" s="121"/>
      <c r="K7408" s="117"/>
    </row>
    <row r="7409" ht="15.75" customHeight="1">
      <c r="A7409" s="122"/>
      <c r="B7409" s="133"/>
      <c r="C7409" s="120"/>
      <c r="D7409" s="120"/>
      <c r="E7409" s="120"/>
      <c r="F7409" s="120"/>
      <c r="G7409" s="120"/>
      <c r="H7409" s="120"/>
      <c r="I7409" s="121"/>
      <c r="J7409" s="121"/>
      <c r="K7409" s="117"/>
    </row>
    <row r="7410" ht="15.75" customHeight="1">
      <c r="A7410" s="122"/>
      <c r="B7410" s="133"/>
      <c r="C7410" s="120"/>
      <c r="D7410" s="120"/>
      <c r="E7410" s="120"/>
      <c r="F7410" s="120"/>
      <c r="G7410" s="120"/>
      <c r="H7410" s="120"/>
      <c r="I7410" s="121"/>
      <c r="J7410" s="121"/>
      <c r="K7410" s="117"/>
    </row>
    <row r="7411" ht="15.75" customHeight="1">
      <c r="A7411" s="122"/>
      <c r="B7411" s="133"/>
      <c r="C7411" s="120"/>
      <c r="D7411" s="120"/>
      <c r="E7411" s="120"/>
      <c r="F7411" s="120"/>
      <c r="G7411" s="120"/>
      <c r="H7411" s="120"/>
      <c r="I7411" s="121"/>
      <c r="J7411" s="121"/>
      <c r="K7411" s="117"/>
    </row>
    <row r="7412" ht="15.75" customHeight="1">
      <c r="A7412" s="122"/>
      <c r="B7412" s="133"/>
      <c r="C7412" s="120"/>
      <c r="D7412" s="120"/>
      <c r="E7412" s="120"/>
      <c r="F7412" s="120"/>
      <c r="G7412" s="120"/>
      <c r="H7412" s="120"/>
      <c r="I7412" s="121"/>
      <c r="J7412" s="121"/>
      <c r="K7412" s="117"/>
    </row>
    <row r="7413" ht="15.75" customHeight="1">
      <c r="A7413" s="122"/>
      <c r="B7413" s="133"/>
      <c r="C7413" s="120"/>
      <c r="D7413" s="120"/>
      <c r="E7413" s="120"/>
      <c r="F7413" s="120"/>
      <c r="G7413" s="120"/>
      <c r="H7413" s="120"/>
      <c r="I7413" s="121"/>
      <c r="J7413" s="121"/>
      <c r="K7413" s="117"/>
    </row>
    <row r="7414" ht="15.75" customHeight="1">
      <c r="A7414" s="122"/>
      <c r="B7414" s="133"/>
      <c r="C7414" s="120"/>
      <c r="D7414" s="120"/>
      <c r="E7414" s="120"/>
      <c r="F7414" s="120"/>
      <c r="G7414" s="120"/>
      <c r="H7414" s="120"/>
      <c r="I7414" s="121"/>
      <c r="J7414" s="121"/>
      <c r="K7414" s="117"/>
    </row>
    <row r="7415" ht="15.75" customHeight="1">
      <c r="A7415" s="122"/>
      <c r="B7415" s="133"/>
      <c r="C7415" s="120"/>
      <c r="D7415" s="120"/>
      <c r="E7415" s="120"/>
      <c r="F7415" s="120"/>
      <c r="G7415" s="120"/>
      <c r="H7415" s="120"/>
      <c r="I7415" s="121"/>
      <c r="J7415" s="121"/>
      <c r="K7415" s="117"/>
    </row>
    <row r="7416" ht="15.75" customHeight="1">
      <c r="A7416" s="122"/>
      <c r="B7416" s="133"/>
      <c r="C7416" s="120"/>
      <c r="D7416" s="120"/>
      <c r="E7416" s="120"/>
      <c r="F7416" s="120"/>
      <c r="G7416" s="120"/>
      <c r="H7416" s="120"/>
      <c r="I7416" s="121"/>
      <c r="J7416" s="121"/>
      <c r="K7416" s="117"/>
    </row>
    <row r="7417" ht="15.75" customHeight="1">
      <c r="A7417" s="122"/>
      <c r="B7417" s="133"/>
      <c r="C7417" s="120"/>
      <c r="D7417" s="120"/>
      <c r="E7417" s="120"/>
      <c r="F7417" s="120"/>
      <c r="G7417" s="120"/>
      <c r="H7417" s="120"/>
      <c r="I7417" s="121"/>
      <c r="J7417" s="121"/>
      <c r="K7417" s="117"/>
    </row>
    <row r="7418" ht="15.75" customHeight="1">
      <c r="A7418" s="122"/>
      <c r="B7418" s="133"/>
      <c r="C7418" s="120"/>
      <c r="D7418" s="120"/>
      <c r="E7418" s="120"/>
      <c r="F7418" s="120"/>
      <c r="G7418" s="120"/>
      <c r="H7418" s="120"/>
      <c r="I7418" s="121"/>
      <c r="J7418" s="121"/>
      <c r="K7418" s="117"/>
    </row>
    <row r="7419" ht="15.75" customHeight="1">
      <c r="A7419" s="122"/>
      <c r="B7419" s="133"/>
      <c r="C7419" s="120"/>
      <c r="D7419" s="120"/>
      <c r="E7419" s="120"/>
      <c r="F7419" s="120"/>
      <c r="G7419" s="120"/>
      <c r="H7419" s="120"/>
      <c r="I7419" s="121"/>
      <c r="J7419" s="121"/>
      <c r="K7419" s="117"/>
    </row>
    <row r="7420" ht="15.75" customHeight="1">
      <c r="A7420" s="122"/>
      <c r="B7420" s="133"/>
      <c r="C7420" s="120"/>
      <c r="D7420" s="120"/>
      <c r="E7420" s="120"/>
      <c r="F7420" s="120"/>
      <c r="G7420" s="120"/>
      <c r="H7420" s="120"/>
      <c r="I7420" s="121"/>
      <c r="J7420" s="121"/>
      <c r="K7420" s="117"/>
    </row>
    <row r="7421" ht="15.75" customHeight="1">
      <c r="A7421" s="122"/>
      <c r="B7421" s="133"/>
      <c r="C7421" s="120"/>
      <c r="D7421" s="120"/>
      <c r="E7421" s="120"/>
      <c r="F7421" s="120"/>
      <c r="G7421" s="120"/>
      <c r="H7421" s="120"/>
      <c r="I7421" s="121"/>
      <c r="J7421" s="121"/>
      <c r="K7421" s="117"/>
    </row>
    <row r="7422" ht="15.75" customHeight="1">
      <c r="A7422" s="122"/>
      <c r="B7422" s="133"/>
      <c r="C7422" s="120"/>
      <c r="D7422" s="120"/>
      <c r="E7422" s="120"/>
      <c r="F7422" s="120"/>
      <c r="G7422" s="120"/>
      <c r="H7422" s="120"/>
      <c r="I7422" s="121"/>
      <c r="J7422" s="121"/>
      <c r="K7422" s="117"/>
    </row>
    <row r="7423" ht="15.75" customHeight="1">
      <c r="A7423" s="122"/>
      <c r="B7423" s="133"/>
      <c r="C7423" s="120"/>
      <c r="D7423" s="120"/>
      <c r="E7423" s="120"/>
      <c r="F7423" s="120"/>
      <c r="G7423" s="120"/>
      <c r="H7423" s="120"/>
      <c r="I7423" s="121"/>
      <c r="J7423" s="121"/>
      <c r="K7423" s="117"/>
    </row>
    <row r="7424" ht="15.75" customHeight="1">
      <c r="A7424" s="122"/>
      <c r="B7424" s="133"/>
      <c r="C7424" s="120"/>
      <c r="D7424" s="120"/>
      <c r="E7424" s="120"/>
      <c r="F7424" s="120"/>
      <c r="G7424" s="120"/>
      <c r="H7424" s="120"/>
      <c r="I7424" s="121"/>
      <c r="J7424" s="121"/>
      <c r="K7424" s="117"/>
    </row>
    <row r="7425" ht="15.75" customHeight="1">
      <c r="A7425" s="122"/>
      <c r="B7425" s="133"/>
      <c r="C7425" s="120"/>
      <c r="D7425" s="120"/>
      <c r="E7425" s="120"/>
      <c r="F7425" s="120"/>
      <c r="G7425" s="120"/>
      <c r="H7425" s="120"/>
      <c r="I7425" s="121"/>
      <c r="J7425" s="121"/>
      <c r="K7425" s="117"/>
    </row>
    <row r="7426" ht="15.75" customHeight="1">
      <c r="A7426" s="122"/>
      <c r="B7426" s="133"/>
      <c r="C7426" s="120"/>
      <c r="D7426" s="120"/>
      <c r="E7426" s="120"/>
      <c r="F7426" s="120"/>
      <c r="G7426" s="120"/>
      <c r="H7426" s="120"/>
      <c r="I7426" s="121"/>
      <c r="J7426" s="121"/>
      <c r="K7426" s="117"/>
    </row>
    <row r="7427" ht="15.75" customHeight="1">
      <c r="A7427" s="122"/>
      <c r="B7427" s="133"/>
      <c r="C7427" s="120"/>
      <c r="D7427" s="120"/>
      <c r="E7427" s="120"/>
      <c r="F7427" s="120"/>
      <c r="G7427" s="120"/>
      <c r="H7427" s="120"/>
      <c r="I7427" s="121"/>
      <c r="J7427" s="121"/>
      <c r="K7427" s="117"/>
    </row>
    <row r="7428" ht="15.75" customHeight="1">
      <c r="A7428" s="122"/>
      <c r="B7428" s="133"/>
      <c r="C7428" s="120"/>
      <c r="D7428" s="120"/>
      <c r="E7428" s="120"/>
      <c r="F7428" s="120"/>
      <c r="G7428" s="120"/>
      <c r="H7428" s="120"/>
      <c r="I7428" s="121"/>
      <c r="J7428" s="121"/>
      <c r="K7428" s="117"/>
    </row>
    <row r="7429" ht="15.75" customHeight="1">
      <c r="A7429" s="122"/>
      <c r="B7429" s="133"/>
      <c r="C7429" s="120"/>
      <c r="D7429" s="120"/>
      <c r="E7429" s="120"/>
      <c r="F7429" s="120"/>
      <c r="G7429" s="120"/>
      <c r="H7429" s="120"/>
      <c r="I7429" s="121"/>
      <c r="J7429" s="121"/>
      <c r="K7429" s="117"/>
    </row>
    <row r="7430" ht="15.75" customHeight="1">
      <c r="A7430" s="122"/>
      <c r="B7430" s="133"/>
      <c r="C7430" s="120"/>
      <c r="D7430" s="120"/>
      <c r="E7430" s="120"/>
      <c r="F7430" s="120"/>
      <c r="G7430" s="120"/>
      <c r="H7430" s="120"/>
      <c r="I7430" s="121"/>
      <c r="J7430" s="121"/>
      <c r="K7430" s="117"/>
    </row>
    <row r="7431" ht="15.75" customHeight="1">
      <c r="A7431" s="122"/>
      <c r="B7431" s="133"/>
      <c r="C7431" s="120"/>
      <c r="D7431" s="120"/>
      <c r="E7431" s="120"/>
      <c r="F7431" s="120"/>
      <c r="G7431" s="120"/>
      <c r="H7431" s="120"/>
      <c r="I7431" s="121"/>
      <c r="J7431" s="121"/>
      <c r="K7431" s="117"/>
    </row>
    <row r="7432" ht="15.75" customHeight="1">
      <c r="A7432" s="122"/>
      <c r="B7432" s="133"/>
      <c r="C7432" s="120"/>
      <c r="D7432" s="120"/>
      <c r="E7432" s="120"/>
      <c r="F7432" s="120"/>
      <c r="G7432" s="120"/>
      <c r="H7432" s="120"/>
      <c r="I7432" s="121"/>
      <c r="J7432" s="121"/>
      <c r="K7432" s="117"/>
    </row>
    <row r="7433" ht="15.75" customHeight="1">
      <c r="A7433" s="122"/>
      <c r="B7433" s="133"/>
      <c r="C7433" s="120"/>
      <c r="D7433" s="120"/>
      <c r="E7433" s="120"/>
      <c r="F7433" s="120"/>
      <c r="G7433" s="120"/>
      <c r="H7433" s="120"/>
      <c r="I7433" s="121"/>
      <c r="J7433" s="121"/>
      <c r="K7433" s="117"/>
    </row>
    <row r="7434" ht="15.75" customHeight="1">
      <c r="A7434" s="122"/>
      <c r="B7434" s="133"/>
      <c r="C7434" s="120"/>
      <c r="D7434" s="120"/>
      <c r="E7434" s="120"/>
      <c r="F7434" s="120"/>
      <c r="G7434" s="120"/>
      <c r="H7434" s="120"/>
      <c r="I7434" s="121"/>
      <c r="J7434" s="121"/>
      <c r="K7434" s="117"/>
    </row>
    <row r="7435" ht="15.75" customHeight="1">
      <c r="A7435" s="122"/>
      <c r="B7435" s="133"/>
      <c r="C7435" s="120"/>
      <c r="D7435" s="120"/>
      <c r="E7435" s="120"/>
      <c r="F7435" s="120"/>
      <c r="G7435" s="120"/>
      <c r="H7435" s="120"/>
      <c r="I7435" s="121"/>
      <c r="J7435" s="121"/>
      <c r="K7435" s="117"/>
    </row>
    <row r="7436" ht="15.75" customHeight="1">
      <c r="A7436" s="122"/>
      <c r="B7436" s="133"/>
      <c r="C7436" s="120"/>
      <c r="D7436" s="120"/>
      <c r="E7436" s="120"/>
      <c r="F7436" s="120"/>
      <c r="G7436" s="120"/>
      <c r="H7436" s="120"/>
      <c r="I7436" s="121"/>
      <c r="J7436" s="121"/>
      <c r="K7436" s="117"/>
    </row>
    <row r="7437" ht="15.75" customHeight="1">
      <c r="A7437" s="122"/>
      <c r="B7437" s="133"/>
      <c r="C7437" s="120"/>
      <c r="D7437" s="120"/>
      <c r="E7437" s="120"/>
      <c r="F7437" s="120"/>
      <c r="G7437" s="120"/>
      <c r="H7437" s="120"/>
      <c r="I7437" s="121"/>
      <c r="J7437" s="121"/>
      <c r="K7437" s="117"/>
    </row>
    <row r="7438" ht="15.75" customHeight="1">
      <c r="A7438" s="122"/>
      <c r="B7438" s="133"/>
      <c r="C7438" s="120"/>
      <c r="D7438" s="120"/>
      <c r="E7438" s="120"/>
      <c r="F7438" s="120"/>
      <c r="G7438" s="120"/>
      <c r="H7438" s="120"/>
      <c r="I7438" s="121"/>
      <c r="J7438" s="121"/>
      <c r="K7438" s="117"/>
    </row>
    <row r="7439" ht="15.75" customHeight="1">
      <c r="A7439" s="122"/>
      <c r="B7439" s="133"/>
      <c r="C7439" s="120"/>
      <c r="D7439" s="120"/>
      <c r="E7439" s="120"/>
      <c r="F7439" s="120"/>
      <c r="G7439" s="120"/>
      <c r="H7439" s="120"/>
      <c r="I7439" s="121"/>
      <c r="J7439" s="121"/>
      <c r="K7439" s="117"/>
    </row>
    <row r="7440" ht="15.75" customHeight="1">
      <c r="A7440" s="122"/>
      <c r="B7440" s="133"/>
      <c r="C7440" s="120"/>
      <c r="D7440" s="120"/>
      <c r="E7440" s="120"/>
      <c r="F7440" s="120"/>
      <c r="G7440" s="120"/>
      <c r="H7440" s="120"/>
      <c r="I7440" s="121"/>
      <c r="J7440" s="121"/>
      <c r="K7440" s="117"/>
    </row>
    <row r="7441" ht="15.75" customHeight="1">
      <c r="A7441" s="122"/>
      <c r="B7441" s="133"/>
      <c r="C7441" s="120"/>
      <c r="D7441" s="120"/>
      <c r="E7441" s="120"/>
      <c r="F7441" s="120"/>
      <c r="G7441" s="120"/>
      <c r="H7441" s="120"/>
      <c r="I7441" s="121"/>
      <c r="J7441" s="121"/>
      <c r="K7441" s="117"/>
    </row>
    <row r="7442" ht="15.75" customHeight="1">
      <c r="A7442" s="122"/>
      <c r="B7442" s="133"/>
      <c r="C7442" s="120"/>
      <c r="D7442" s="120"/>
      <c r="E7442" s="120"/>
      <c r="F7442" s="120"/>
      <c r="G7442" s="120"/>
      <c r="H7442" s="120"/>
      <c r="I7442" s="121"/>
      <c r="J7442" s="121"/>
      <c r="K7442" s="117"/>
    </row>
    <row r="7443" ht="15.75" customHeight="1">
      <c r="A7443" s="122"/>
      <c r="B7443" s="133"/>
      <c r="C7443" s="120"/>
      <c r="D7443" s="120"/>
      <c r="E7443" s="120"/>
      <c r="F7443" s="120"/>
      <c r="G7443" s="120"/>
      <c r="H7443" s="120"/>
      <c r="I7443" s="121"/>
      <c r="J7443" s="121"/>
      <c r="K7443" s="117"/>
    </row>
    <row r="7444" ht="15.75" customHeight="1">
      <c r="A7444" s="122"/>
      <c r="B7444" s="133"/>
      <c r="C7444" s="120"/>
      <c r="D7444" s="120"/>
      <c r="E7444" s="120"/>
      <c r="F7444" s="120"/>
      <c r="G7444" s="120"/>
      <c r="H7444" s="120"/>
      <c r="I7444" s="121"/>
      <c r="J7444" s="121"/>
      <c r="K7444" s="117"/>
    </row>
    <row r="7445" ht="15.75" customHeight="1">
      <c r="A7445" s="122"/>
      <c r="B7445" s="133"/>
      <c r="C7445" s="120"/>
      <c r="D7445" s="120"/>
      <c r="E7445" s="120"/>
      <c r="F7445" s="120"/>
      <c r="G7445" s="120"/>
      <c r="H7445" s="120"/>
      <c r="I7445" s="121"/>
      <c r="J7445" s="121"/>
      <c r="K7445" s="117"/>
    </row>
    <row r="7446" ht="15.75" customHeight="1">
      <c r="A7446" s="122"/>
      <c r="B7446" s="133"/>
      <c r="C7446" s="120"/>
      <c r="D7446" s="120"/>
      <c r="E7446" s="120"/>
      <c r="F7446" s="120"/>
      <c r="G7446" s="120"/>
      <c r="H7446" s="120"/>
      <c r="I7446" s="121"/>
      <c r="J7446" s="121"/>
      <c r="K7446" s="117"/>
    </row>
    <row r="7447" ht="15.75" customHeight="1">
      <c r="A7447" s="122"/>
      <c r="B7447" s="133"/>
      <c r="C7447" s="120"/>
      <c r="D7447" s="120"/>
      <c r="E7447" s="120"/>
      <c r="F7447" s="120"/>
      <c r="G7447" s="120"/>
      <c r="H7447" s="120"/>
      <c r="I7447" s="121"/>
      <c r="J7447" s="121"/>
      <c r="K7447" s="117"/>
    </row>
    <row r="7448" ht="15.75" customHeight="1">
      <c r="A7448" s="122"/>
      <c r="B7448" s="133"/>
      <c r="C7448" s="120"/>
      <c r="D7448" s="120"/>
      <c r="E7448" s="120"/>
      <c r="F7448" s="120"/>
      <c r="G7448" s="120"/>
      <c r="H7448" s="120"/>
      <c r="I7448" s="121"/>
      <c r="J7448" s="121"/>
      <c r="K7448" s="117"/>
    </row>
    <row r="7449" ht="15.75" customHeight="1">
      <c r="A7449" s="122"/>
      <c r="B7449" s="133"/>
      <c r="C7449" s="120"/>
      <c r="D7449" s="120"/>
      <c r="E7449" s="120"/>
      <c r="F7449" s="120"/>
      <c r="G7449" s="120"/>
      <c r="H7449" s="120"/>
      <c r="I7449" s="121"/>
      <c r="J7449" s="121"/>
      <c r="K7449" s="117"/>
    </row>
    <row r="7450" ht="15.75" customHeight="1">
      <c r="A7450" s="122"/>
      <c r="B7450" s="133"/>
      <c r="C7450" s="120"/>
      <c r="D7450" s="120"/>
      <c r="E7450" s="120"/>
      <c r="F7450" s="120"/>
      <c r="G7450" s="120"/>
      <c r="H7450" s="120"/>
      <c r="I7450" s="121"/>
      <c r="J7450" s="121"/>
      <c r="K7450" s="117"/>
    </row>
    <row r="7451" ht="15.75" customHeight="1">
      <c r="A7451" s="122"/>
      <c r="B7451" s="133"/>
      <c r="C7451" s="120"/>
      <c r="D7451" s="120"/>
      <c r="E7451" s="120"/>
      <c r="F7451" s="120"/>
      <c r="G7451" s="120"/>
      <c r="H7451" s="120"/>
      <c r="I7451" s="121"/>
      <c r="J7451" s="121"/>
      <c r="K7451" s="117"/>
    </row>
    <row r="7452" ht="15.75" customHeight="1">
      <c r="A7452" s="122"/>
      <c r="B7452" s="133"/>
      <c r="C7452" s="120"/>
      <c r="D7452" s="120"/>
      <c r="E7452" s="120"/>
      <c r="F7452" s="120"/>
      <c r="G7452" s="120"/>
      <c r="H7452" s="120"/>
      <c r="I7452" s="121"/>
      <c r="J7452" s="121"/>
      <c r="K7452" s="117"/>
    </row>
    <row r="7453" ht="15.75" customHeight="1">
      <c r="A7453" s="122"/>
      <c r="B7453" s="133"/>
      <c r="C7453" s="120"/>
      <c r="D7453" s="120"/>
      <c r="E7453" s="120"/>
      <c r="F7453" s="120"/>
      <c r="G7453" s="120"/>
      <c r="H7453" s="120"/>
      <c r="I7453" s="121"/>
      <c r="J7453" s="121"/>
      <c r="K7453" s="117"/>
    </row>
    <row r="7454" ht="15.75" customHeight="1">
      <c r="A7454" s="122"/>
      <c r="B7454" s="133"/>
      <c r="C7454" s="120"/>
      <c r="D7454" s="120"/>
      <c r="E7454" s="120"/>
      <c r="F7454" s="120"/>
      <c r="G7454" s="120"/>
      <c r="H7454" s="120"/>
      <c r="I7454" s="121"/>
      <c r="J7454" s="121"/>
      <c r="K7454" s="117"/>
    </row>
    <row r="7455" ht="15.75" customHeight="1">
      <c r="A7455" s="122"/>
      <c r="B7455" s="133"/>
      <c r="C7455" s="120"/>
      <c r="D7455" s="120"/>
      <c r="E7455" s="120"/>
      <c r="F7455" s="120"/>
      <c r="G7455" s="120"/>
      <c r="H7455" s="120"/>
      <c r="I7455" s="121"/>
      <c r="J7455" s="121"/>
      <c r="K7455" s="117"/>
    </row>
    <row r="7456" ht="15.75" customHeight="1">
      <c r="A7456" s="122"/>
      <c r="B7456" s="133"/>
      <c r="C7456" s="120"/>
      <c r="D7456" s="120"/>
      <c r="E7456" s="120"/>
      <c r="F7456" s="120"/>
      <c r="G7456" s="120"/>
      <c r="H7456" s="120"/>
      <c r="I7456" s="121"/>
      <c r="J7456" s="121"/>
      <c r="K7456" s="117"/>
    </row>
    <row r="7457" ht="15.75" customHeight="1">
      <c r="A7457" s="122"/>
      <c r="B7457" s="133"/>
      <c r="C7457" s="120"/>
      <c r="D7457" s="120"/>
      <c r="E7457" s="120"/>
      <c r="F7457" s="120"/>
      <c r="G7457" s="120"/>
      <c r="H7457" s="120"/>
      <c r="I7457" s="121"/>
      <c r="J7457" s="121"/>
      <c r="K7457" s="117"/>
    </row>
    <row r="7458" ht="15.75" customHeight="1">
      <c r="A7458" s="122"/>
      <c r="B7458" s="133"/>
      <c r="C7458" s="120"/>
      <c r="D7458" s="120"/>
      <c r="E7458" s="120"/>
      <c r="F7458" s="120"/>
      <c r="G7458" s="120"/>
      <c r="H7458" s="120"/>
      <c r="I7458" s="121"/>
      <c r="J7458" s="121"/>
      <c r="K7458" s="117"/>
    </row>
    <row r="7459" ht="15.75" customHeight="1">
      <c r="A7459" s="122"/>
      <c r="B7459" s="133"/>
      <c r="C7459" s="120"/>
      <c r="D7459" s="120"/>
      <c r="E7459" s="120"/>
      <c r="F7459" s="120"/>
      <c r="G7459" s="120"/>
      <c r="H7459" s="120"/>
      <c r="I7459" s="121"/>
      <c r="J7459" s="121"/>
      <c r="K7459" s="117"/>
    </row>
    <row r="7460" ht="15.75" customHeight="1">
      <c r="A7460" s="122"/>
      <c r="B7460" s="133"/>
      <c r="C7460" s="120"/>
      <c r="D7460" s="120"/>
      <c r="E7460" s="120"/>
      <c r="F7460" s="120"/>
      <c r="G7460" s="120"/>
      <c r="H7460" s="120"/>
      <c r="I7460" s="121"/>
      <c r="J7460" s="121"/>
      <c r="K7460" s="117"/>
    </row>
    <row r="7461" ht="15.75" customHeight="1">
      <c r="A7461" s="122"/>
      <c r="B7461" s="133"/>
      <c r="C7461" s="120"/>
      <c r="D7461" s="120"/>
      <c r="E7461" s="120"/>
      <c r="F7461" s="120"/>
      <c r="G7461" s="120"/>
      <c r="H7461" s="120"/>
      <c r="I7461" s="121"/>
      <c r="J7461" s="121"/>
      <c r="K7461" s="117"/>
    </row>
    <row r="7462" ht="15.75" customHeight="1">
      <c r="A7462" s="122"/>
      <c r="B7462" s="133"/>
      <c r="C7462" s="120"/>
      <c r="D7462" s="120"/>
      <c r="E7462" s="120"/>
      <c r="F7462" s="120"/>
      <c r="G7462" s="120"/>
      <c r="H7462" s="120"/>
      <c r="I7462" s="121"/>
      <c r="J7462" s="121"/>
      <c r="K7462" s="117"/>
    </row>
    <row r="7463" ht="15.75" customHeight="1">
      <c r="A7463" s="122"/>
      <c r="B7463" s="133"/>
      <c r="C7463" s="120"/>
      <c r="D7463" s="120"/>
      <c r="E7463" s="120"/>
      <c r="F7463" s="120"/>
      <c r="G7463" s="120"/>
      <c r="H7463" s="120"/>
      <c r="I7463" s="121"/>
      <c r="J7463" s="121"/>
      <c r="K7463" s="117"/>
    </row>
    <row r="7464" ht="15.75" customHeight="1">
      <c r="A7464" s="122"/>
      <c r="B7464" s="133"/>
      <c r="C7464" s="120"/>
      <c r="D7464" s="120"/>
      <c r="E7464" s="120"/>
      <c r="F7464" s="120"/>
      <c r="G7464" s="120"/>
      <c r="H7464" s="120"/>
      <c r="I7464" s="121"/>
      <c r="J7464" s="121"/>
      <c r="K7464" s="117"/>
    </row>
    <row r="7465" ht="15.75" customHeight="1">
      <c r="A7465" s="122"/>
      <c r="B7465" s="133"/>
      <c r="C7465" s="120"/>
      <c r="D7465" s="120"/>
      <c r="E7465" s="120"/>
      <c r="F7465" s="120"/>
      <c r="G7465" s="120"/>
      <c r="H7465" s="120"/>
      <c r="I7465" s="121"/>
      <c r="J7465" s="121"/>
      <c r="K7465" s="117"/>
    </row>
    <row r="7466" ht="15.75" customHeight="1">
      <c r="A7466" s="122"/>
      <c r="B7466" s="133"/>
      <c r="C7466" s="120"/>
      <c r="D7466" s="120"/>
      <c r="E7466" s="120"/>
      <c r="F7466" s="120"/>
      <c r="G7466" s="120"/>
      <c r="H7466" s="120"/>
      <c r="I7466" s="121"/>
      <c r="J7466" s="121"/>
      <c r="K7466" s="117"/>
    </row>
    <row r="7467" ht="15.75" customHeight="1">
      <c r="A7467" s="122"/>
      <c r="B7467" s="133"/>
      <c r="C7467" s="120"/>
      <c r="D7467" s="120"/>
      <c r="E7467" s="120"/>
      <c r="F7467" s="120"/>
      <c r="G7467" s="120"/>
      <c r="H7467" s="120"/>
      <c r="I7467" s="121"/>
      <c r="J7467" s="121"/>
      <c r="K7467" s="117"/>
    </row>
    <row r="7468" ht="15.75" customHeight="1">
      <c r="A7468" s="122"/>
      <c r="B7468" s="133"/>
      <c r="C7468" s="120"/>
      <c r="D7468" s="120"/>
      <c r="E7468" s="120"/>
      <c r="F7468" s="120"/>
      <c r="G7468" s="120"/>
      <c r="H7468" s="120"/>
      <c r="I7468" s="121"/>
      <c r="J7468" s="121"/>
      <c r="K7468" s="117"/>
    </row>
    <row r="7469" ht="15.75" customHeight="1">
      <c r="A7469" s="122"/>
      <c r="B7469" s="133"/>
      <c r="C7469" s="120"/>
      <c r="D7469" s="120"/>
      <c r="E7469" s="120"/>
      <c r="F7469" s="120"/>
      <c r="G7469" s="120"/>
      <c r="H7469" s="120"/>
      <c r="I7469" s="121"/>
      <c r="J7469" s="121"/>
      <c r="K7469" s="117"/>
    </row>
    <row r="7470" ht="15.75" customHeight="1">
      <c r="A7470" s="122"/>
      <c r="B7470" s="133"/>
      <c r="C7470" s="120"/>
      <c r="D7470" s="120"/>
      <c r="E7470" s="120"/>
      <c r="F7470" s="120"/>
      <c r="G7470" s="120"/>
      <c r="H7470" s="120"/>
      <c r="I7470" s="121"/>
      <c r="J7470" s="121"/>
      <c r="K7470" s="117"/>
    </row>
    <row r="7471" ht="15.75" customHeight="1">
      <c r="A7471" s="122"/>
      <c r="B7471" s="133"/>
      <c r="C7471" s="120"/>
      <c r="D7471" s="120"/>
      <c r="E7471" s="120"/>
      <c r="F7471" s="120"/>
      <c r="G7471" s="120"/>
      <c r="H7471" s="120"/>
      <c r="I7471" s="121"/>
      <c r="J7471" s="121"/>
      <c r="K7471" s="117"/>
    </row>
    <row r="7472" ht="15.75" customHeight="1">
      <c r="A7472" s="122"/>
      <c r="B7472" s="133"/>
      <c r="C7472" s="120"/>
      <c r="D7472" s="120"/>
      <c r="E7472" s="120"/>
      <c r="F7472" s="120"/>
      <c r="G7472" s="120"/>
      <c r="H7472" s="120"/>
      <c r="I7472" s="121"/>
      <c r="J7472" s="121"/>
      <c r="K7472" s="117"/>
    </row>
    <row r="7473" ht="15.75" customHeight="1">
      <c r="A7473" s="122"/>
      <c r="B7473" s="133"/>
      <c r="C7473" s="120"/>
      <c r="D7473" s="120"/>
      <c r="E7473" s="120"/>
      <c r="F7473" s="120"/>
      <c r="G7473" s="120"/>
      <c r="H7473" s="120"/>
      <c r="I7473" s="121"/>
      <c r="J7473" s="121"/>
      <c r="K7473" s="117"/>
    </row>
    <row r="7474" ht="15.75" customHeight="1">
      <c r="A7474" s="122"/>
      <c r="B7474" s="133"/>
      <c r="C7474" s="120"/>
      <c r="D7474" s="120"/>
      <c r="E7474" s="120"/>
      <c r="F7474" s="120"/>
      <c r="G7474" s="120"/>
      <c r="H7474" s="120"/>
      <c r="I7474" s="121"/>
      <c r="J7474" s="121"/>
      <c r="K7474" s="117"/>
    </row>
    <row r="7475" ht="15.75" customHeight="1">
      <c r="A7475" s="122"/>
      <c r="B7475" s="133"/>
      <c r="C7475" s="120"/>
      <c r="D7475" s="120"/>
      <c r="E7475" s="120"/>
      <c r="F7475" s="120"/>
      <c r="G7475" s="120"/>
      <c r="H7475" s="120"/>
      <c r="I7475" s="121"/>
      <c r="J7475" s="121"/>
      <c r="K7475" s="117"/>
    </row>
    <row r="7476" ht="15.75" customHeight="1">
      <c r="A7476" s="122"/>
      <c r="B7476" s="133"/>
      <c r="C7476" s="120"/>
      <c r="D7476" s="120"/>
      <c r="E7476" s="120"/>
      <c r="F7476" s="120"/>
      <c r="G7476" s="120"/>
      <c r="H7476" s="120"/>
      <c r="I7476" s="121"/>
      <c r="J7476" s="121"/>
      <c r="K7476" s="117"/>
    </row>
    <row r="7477" ht="15.75" customHeight="1">
      <c r="A7477" s="122"/>
      <c r="B7477" s="133"/>
      <c r="C7477" s="120"/>
      <c r="D7477" s="120"/>
      <c r="E7477" s="120"/>
      <c r="F7477" s="120"/>
      <c r="G7477" s="120"/>
      <c r="H7477" s="120"/>
      <c r="I7477" s="121"/>
      <c r="J7477" s="121"/>
      <c r="K7477" s="117"/>
    </row>
    <row r="7478" ht="15.75" customHeight="1">
      <c r="A7478" s="122"/>
      <c r="B7478" s="133"/>
      <c r="C7478" s="120"/>
      <c r="D7478" s="120"/>
      <c r="E7478" s="120"/>
      <c r="F7478" s="120"/>
      <c r="G7478" s="120"/>
      <c r="H7478" s="120"/>
      <c r="I7478" s="121"/>
      <c r="J7478" s="121"/>
      <c r="K7478" s="117"/>
    </row>
    <row r="7479" ht="15.75" customHeight="1">
      <c r="A7479" s="122"/>
      <c r="B7479" s="133"/>
      <c r="C7479" s="120"/>
      <c r="D7479" s="120"/>
      <c r="E7479" s="120"/>
      <c r="F7479" s="120"/>
      <c r="G7479" s="120"/>
      <c r="H7479" s="120"/>
      <c r="I7479" s="121"/>
      <c r="J7479" s="121"/>
      <c r="K7479" s="117"/>
    </row>
    <row r="7480" ht="15.75" customHeight="1">
      <c r="A7480" s="122"/>
      <c r="B7480" s="133"/>
      <c r="C7480" s="120"/>
      <c r="D7480" s="120"/>
      <c r="E7480" s="120"/>
      <c r="F7480" s="120"/>
      <c r="G7480" s="120"/>
      <c r="H7480" s="120"/>
      <c r="I7480" s="121"/>
      <c r="J7480" s="121"/>
      <c r="K7480" s="117"/>
    </row>
    <row r="7481" ht="15.75" customHeight="1">
      <c r="A7481" s="122"/>
      <c r="B7481" s="133"/>
      <c r="C7481" s="120"/>
      <c r="D7481" s="120"/>
      <c r="E7481" s="120"/>
      <c r="F7481" s="120"/>
      <c r="G7481" s="120"/>
      <c r="H7481" s="120"/>
      <c r="I7481" s="121"/>
      <c r="J7481" s="121"/>
      <c r="K7481" s="117"/>
    </row>
    <row r="7482" ht="15.75" customHeight="1">
      <c r="A7482" s="122"/>
      <c r="B7482" s="133"/>
      <c r="C7482" s="120"/>
      <c r="D7482" s="120"/>
      <c r="E7482" s="120"/>
      <c r="F7482" s="120"/>
      <c r="G7482" s="120"/>
      <c r="H7482" s="120"/>
      <c r="I7482" s="121"/>
      <c r="J7482" s="121"/>
      <c r="K7482" s="117"/>
    </row>
    <row r="7483" ht="15.75" customHeight="1">
      <c r="A7483" s="122"/>
      <c r="B7483" s="133"/>
      <c r="C7483" s="120"/>
      <c r="D7483" s="120"/>
      <c r="E7483" s="120"/>
      <c r="F7483" s="120"/>
      <c r="G7483" s="120"/>
      <c r="H7483" s="120"/>
      <c r="I7483" s="121"/>
      <c r="J7483" s="121"/>
      <c r="K7483" s="117"/>
    </row>
    <row r="7484" ht="15.75" customHeight="1">
      <c r="A7484" s="122"/>
      <c r="B7484" s="133"/>
      <c r="C7484" s="120"/>
      <c r="D7484" s="120"/>
      <c r="E7484" s="120"/>
      <c r="F7484" s="120"/>
      <c r="G7484" s="120"/>
      <c r="H7484" s="120"/>
      <c r="I7484" s="121"/>
      <c r="J7484" s="121"/>
      <c r="K7484" s="117"/>
    </row>
    <row r="7485" ht="15.75" customHeight="1">
      <c r="A7485" s="122"/>
      <c r="B7485" s="133"/>
      <c r="C7485" s="120"/>
      <c r="D7485" s="120"/>
      <c r="E7485" s="120"/>
      <c r="F7485" s="120"/>
      <c r="G7485" s="120"/>
      <c r="H7485" s="120"/>
      <c r="I7485" s="121"/>
      <c r="J7485" s="121"/>
      <c r="K7485" s="117"/>
    </row>
    <row r="7486" ht="15.75" customHeight="1">
      <c r="A7486" s="122"/>
      <c r="B7486" s="133"/>
      <c r="C7486" s="120"/>
      <c r="D7486" s="120"/>
      <c r="E7486" s="120"/>
      <c r="F7486" s="120"/>
      <c r="G7486" s="120"/>
      <c r="H7486" s="120"/>
      <c r="I7486" s="121"/>
      <c r="J7486" s="121"/>
      <c r="K7486" s="117"/>
    </row>
    <row r="7487" ht="15.75" customHeight="1">
      <c r="A7487" s="122"/>
      <c r="B7487" s="133"/>
      <c r="C7487" s="120"/>
      <c r="D7487" s="120"/>
      <c r="E7487" s="120"/>
      <c r="F7487" s="120"/>
      <c r="G7487" s="120"/>
      <c r="H7487" s="120"/>
      <c r="I7487" s="121"/>
      <c r="J7487" s="121"/>
      <c r="K7487" s="117"/>
    </row>
    <row r="7488" ht="15.75" customHeight="1">
      <c r="A7488" s="122"/>
      <c r="B7488" s="133"/>
      <c r="C7488" s="120"/>
      <c r="D7488" s="120"/>
      <c r="E7488" s="120"/>
      <c r="F7488" s="120"/>
      <c r="G7488" s="120"/>
      <c r="H7488" s="120"/>
      <c r="I7488" s="121"/>
      <c r="J7488" s="121"/>
      <c r="K7488" s="117"/>
    </row>
    <row r="7489" ht="15.75" customHeight="1">
      <c r="A7489" s="122"/>
      <c r="B7489" s="133"/>
      <c r="C7489" s="120"/>
      <c r="D7489" s="120"/>
      <c r="E7489" s="120"/>
      <c r="F7489" s="120"/>
      <c r="G7489" s="120"/>
      <c r="H7489" s="120"/>
      <c r="I7489" s="121"/>
      <c r="J7489" s="121"/>
      <c r="K7489" s="117"/>
    </row>
    <row r="7490" ht="15.75" customHeight="1">
      <c r="A7490" s="122"/>
      <c r="B7490" s="133"/>
      <c r="C7490" s="120"/>
      <c r="D7490" s="120"/>
      <c r="E7490" s="120"/>
      <c r="F7490" s="120"/>
      <c r="G7490" s="120"/>
      <c r="H7490" s="120"/>
      <c r="I7490" s="121"/>
      <c r="J7490" s="121"/>
      <c r="K7490" s="117"/>
    </row>
    <row r="7491" ht="15.75" customHeight="1">
      <c r="A7491" s="122"/>
      <c r="B7491" s="133"/>
      <c r="C7491" s="120"/>
      <c r="D7491" s="120"/>
      <c r="E7491" s="120"/>
      <c r="F7491" s="120"/>
      <c r="G7491" s="120"/>
      <c r="H7491" s="120"/>
      <c r="I7491" s="121"/>
      <c r="J7491" s="121"/>
      <c r="K7491" s="117"/>
    </row>
    <row r="7492" ht="15.75" customHeight="1">
      <c r="A7492" s="122"/>
      <c r="B7492" s="133"/>
      <c r="C7492" s="120"/>
      <c r="D7492" s="120"/>
      <c r="E7492" s="120"/>
      <c r="F7492" s="120"/>
      <c r="G7492" s="120"/>
      <c r="H7492" s="120"/>
      <c r="I7492" s="121"/>
      <c r="J7492" s="121"/>
      <c r="K7492" s="117"/>
    </row>
    <row r="7493" ht="15.75" customHeight="1">
      <c r="A7493" s="122"/>
      <c r="B7493" s="133"/>
      <c r="C7493" s="120"/>
      <c r="D7493" s="120"/>
      <c r="E7493" s="120"/>
      <c r="F7493" s="120"/>
      <c r="G7493" s="120"/>
      <c r="H7493" s="120"/>
      <c r="I7493" s="121"/>
      <c r="J7493" s="121"/>
      <c r="K7493" s="117"/>
    </row>
    <row r="7494" ht="15.75" customHeight="1">
      <c r="A7494" s="122"/>
      <c r="B7494" s="133"/>
      <c r="C7494" s="120"/>
      <c r="D7494" s="120"/>
      <c r="E7494" s="120"/>
      <c r="F7494" s="120"/>
      <c r="G7494" s="120"/>
      <c r="H7494" s="120"/>
      <c r="I7494" s="121"/>
      <c r="J7494" s="121"/>
      <c r="K7494" s="117"/>
    </row>
    <row r="7495" ht="15.75" customHeight="1">
      <c r="A7495" s="122"/>
      <c r="B7495" s="133"/>
      <c r="C7495" s="120"/>
      <c r="D7495" s="120"/>
      <c r="E7495" s="120"/>
      <c r="F7495" s="120"/>
      <c r="G7495" s="120"/>
      <c r="H7495" s="120"/>
      <c r="I7495" s="121"/>
      <c r="J7495" s="121"/>
      <c r="K7495" s="117"/>
    </row>
    <row r="7496" ht="15.75" customHeight="1">
      <c r="A7496" s="122"/>
      <c r="B7496" s="133"/>
      <c r="C7496" s="120"/>
      <c r="D7496" s="120"/>
      <c r="E7496" s="120"/>
      <c r="F7496" s="120"/>
      <c r="G7496" s="120"/>
      <c r="H7496" s="120"/>
      <c r="I7496" s="121"/>
      <c r="J7496" s="121"/>
      <c r="K7496" s="117"/>
    </row>
    <row r="7497" ht="15.75" customHeight="1">
      <c r="A7497" s="122"/>
      <c r="B7497" s="133"/>
      <c r="C7497" s="120"/>
      <c r="D7497" s="120"/>
      <c r="E7497" s="120"/>
      <c r="F7497" s="120"/>
      <c r="G7497" s="120"/>
      <c r="H7497" s="120"/>
      <c r="I7497" s="121"/>
      <c r="J7497" s="121"/>
      <c r="K7497" s="117"/>
    </row>
    <row r="7498" ht="15.75" customHeight="1">
      <c r="A7498" s="122"/>
      <c r="B7498" s="133"/>
      <c r="C7498" s="120"/>
      <c r="D7498" s="120"/>
      <c r="E7498" s="120"/>
      <c r="F7498" s="120"/>
      <c r="G7498" s="120"/>
      <c r="H7498" s="120"/>
      <c r="I7498" s="121"/>
      <c r="J7498" s="121"/>
      <c r="K7498" s="117"/>
    </row>
    <row r="7499" ht="15.75" customHeight="1">
      <c r="A7499" s="122"/>
      <c r="B7499" s="133"/>
      <c r="C7499" s="120"/>
      <c r="D7499" s="120"/>
      <c r="E7499" s="120"/>
      <c r="F7499" s="120"/>
      <c r="G7499" s="120"/>
      <c r="H7499" s="120"/>
      <c r="I7499" s="121"/>
      <c r="J7499" s="121"/>
      <c r="K7499" s="117"/>
    </row>
    <row r="7500" ht="15.75" customHeight="1">
      <c r="A7500" s="122"/>
      <c r="B7500" s="133"/>
      <c r="C7500" s="120"/>
      <c r="D7500" s="120"/>
      <c r="E7500" s="120"/>
      <c r="F7500" s="120"/>
      <c r="G7500" s="120"/>
      <c r="H7500" s="120"/>
      <c r="I7500" s="121"/>
      <c r="J7500" s="121"/>
      <c r="K7500" s="117"/>
    </row>
    <row r="7501" ht="15.75" customHeight="1">
      <c r="A7501" s="122"/>
      <c r="B7501" s="133"/>
      <c r="C7501" s="120"/>
      <c r="D7501" s="120"/>
      <c r="E7501" s="120"/>
      <c r="F7501" s="120"/>
      <c r="G7501" s="120"/>
      <c r="H7501" s="120"/>
      <c r="I7501" s="121"/>
      <c r="J7501" s="121"/>
      <c r="K7501" s="117"/>
    </row>
    <row r="7502" ht="15.75" customHeight="1">
      <c r="A7502" s="122"/>
      <c r="B7502" s="133"/>
      <c r="C7502" s="120"/>
      <c r="D7502" s="120"/>
      <c r="E7502" s="120"/>
      <c r="F7502" s="120"/>
      <c r="G7502" s="120"/>
      <c r="H7502" s="120"/>
      <c r="I7502" s="121"/>
      <c r="J7502" s="121"/>
      <c r="K7502" s="117"/>
    </row>
    <row r="7503" ht="15.75" customHeight="1">
      <c r="A7503" s="122"/>
      <c r="B7503" s="133"/>
      <c r="C7503" s="120"/>
      <c r="D7503" s="120"/>
      <c r="E7503" s="120"/>
      <c r="F7503" s="120"/>
      <c r="G7503" s="120"/>
      <c r="H7503" s="120"/>
      <c r="I7503" s="121"/>
      <c r="J7503" s="121"/>
      <c r="K7503" s="117"/>
    </row>
    <row r="7504" ht="15.75" customHeight="1">
      <c r="A7504" s="122"/>
      <c r="B7504" s="133"/>
      <c r="C7504" s="120"/>
      <c r="D7504" s="120"/>
      <c r="E7504" s="120"/>
      <c r="F7504" s="120"/>
      <c r="G7504" s="120"/>
      <c r="H7504" s="120"/>
      <c r="I7504" s="121"/>
      <c r="J7504" s="121"/>
      <c r="K7504" s="117"/>
    </row>
    <row r="7505" ht="15.75" customHeight="1">
      <c r="A7505" s="122"/>
      <c r="B7505" s="133"/>
      <c r="C7505" s="120"/>
      <c r="D7505" s="120"/>
      <c r="E7505" s="120"/>
      <c r="F7505" s="120"/>
      <c r="G7505" s="120"/>
      <c r="H7505" s="120"/>
      <c r="I7505" s="121"/>
      <c r="J7505" s="121"/>
      <c r="K7505" s="117"/>
    </row>
    <row r="7506" ht="15.75" customHeight="1">
      <c r="A7506" s="122"/>
      <c r="B7506" s="133"/>
      <c r="C7506" s="120"/>
      <c r="D7506" s="120"/>
      <c r="E7506" s="120"/>
      <c r="F7506" s="120"/>
      <c r="G7506" s="120"/>
      <c r="H7506" s="120"/>
      <c r="I7506" s="121"/>
      <c r="J7506" s="121"/>
      <c r="K7506" s="117"/>
    </row>
    <row r="7507" ht="15.75" customHeight="1">
      <c r="A7507" s="122"/>
      <c r="B7507" s="133"/>
      <c r="C7507" s="120"/>
      <c r="D7507" s="120"/>
      <c r="E7507" s="120"/>
      <c r="F7507" s="120"/>
      <c r="G7507" s="120"/>
      <c r="H7507" s="120"/>
      <c r="I7507" s="121"/>
      <c r="J7507" s="121"/>
      <c r="K7507" s="117"/>
    </row>
    <row r="7508" ht="15.75" customHeight="1">
      <c r="A7508" s="122"/>
      <c r="B7508" s="133"/>
      <c r="C7508" s="120"/>
      <c r="D7508" s="120"/>
      <c r="E7508" s="120"/>
      <c r="F7508" s="120"/>
      <c r="G7508" s="120"/>
      <c r="H7508" s="120"/>
      <c r="I7508" s="121"/>
      <c r="J7508" s="121"/>
      <c r="K7508" s="117"/>
    </row>
    <row r="7509" ht="15.75" customHeight="1">
      <c r="A7509" s="122"/>
      <c r="B7509" s="133"/>
      <c r="C7509" s="120"/>
      <c r="D7509" s="120"/>
      <c r="E7509" s="120"/>
      <c r="F7509" s="120"/>
      <c r="G7509" s="120"/>
      <c r="H7509" s="120"/>
      <c r="I7509" s="121"/>
      <c r="J7509" s="121"/>
      <c r="K7509" s="117"/>
    </row>
    <row r="7510" ht="15.75" customHeight="1">
      <c r="A7510" s="122"/>
      <c r="B7510" s="133"/>
      <c r="C7510" s="120"/>
      <c r="D7510" s="120"/>
      <c r="E7510" s="120"/>
      <c r="F7510" s="120"/>
      <c r="G7510" s="120"/>
      <c r="H7510" s="120"/>
      <c r="I7510" s="121"/>
      <c r="J7510" s="121"/>
      <c r="K7510" s="117"/>
    </row>
    <row r="7511" ht="15.75" customHeight="1">
      <c r="A7511" s="122"/>
      <c r="B7511" s="133"/>
      <c r="C7511" s="120"/>
      <c r="D7511" s="120"/>
      <c r="E7511" s="120"/>
      <c r="F7511" s="120"/>
      <c r="G7511" s="120"/>
      <c r="H7511" s="120"/>
      <c r="I7511" s="121"/>
      <c r="J7511" s="121"/>
      <c r="K7511" s="117"/>
    </row>
    <row r="7512" ht="15.75" customHeight="1">
      <c r="A7512" s="122"/>
      <c r="B7512" s="133"/>
      <c r="C7512" s="120"/>
      <c r="D7512" s="120"/>
      <c r="E7512" s="120"/>
      <c r="F7512" s="120"/>
      <c r="G7512" s="120"/>
      <c r="H7512" s="120"/>
      <c r="I7512" s="121"/>
      <c r="J7512" s="121"/>
      <c r="K7512" s="117"/>
    </row>
    <row r="7513" ht="15.75" customHeight="1">
      <c r="A7513" s="122"/>
      <c r="B7513" s="133"/>
      <c r="C7513" s="120"/>
      <c r="D7513" s="120"/>
      <c r="E7513" s="120"/>
      <c r="F7513" s="120"/>
      <c r="G7513" s="120"/>
      <c r="H7513" s="120"/>
      <c r="I7513" s="121"/>
      <c r="J7513" s="121"/>
      <c r="K7513" s="117"/>
    </row>
    <row r="7514" ht="15.75" customHeight="1">
      <c r="A7514" s="122"/>
      <c r="B7514" s="133"/>
      <c r="C7514" s="120"/>
      <c r="D7514" s="120"/>
      <c r="E7514" s="120"/>
      <c r="F7514" s="120"/>
      <c r="G7514" s="120"/>
      <c r="H7514" s="120"/>
      <c r="I7514" s="121"/>
      <c r="J7514" s="121"/>
      <c r="K7514" s="117"/>
    </row>
    <row r="7515" ht="15.75" customHeight="1">
      <c r="A7515" s="122"/>
      <c r="B7515" s="133"/>
      <c r="C7515" s="120"/>
      <c r="D7515" s="120"/>
      <c r="E7515" s="120"/>
      <c r="F7515" s="120"/>
      <c r="G7515" s="120"/>
      <c r="H7515" s="120"/>
      <c r="I7515" s="121"/>
      <c r="J7515" s="121"/>
      <c r="K7515" s="117"/>
    </row>
    <row r="7516" ht="15.75" customHeight="1">
      <c r="A7516" s="122"/>
      <c r="B7516" s="133"/>
      <c r="C7516" s="120"/>
      <c r="D7516" s="120"/>
      <c r="E7516" s="120"/>
      <c r="F7516" s="120"/>
      <c r="G7516" s="120"/>
      <c r="H7516" s="120"/>
      <c r="I7516" s="121"/>
      <c r="J7516" s="121"/>
      <c r="K7516" s="117"/>
    </row>
    <row r="7517" ht="15.75" customHeight="1">
      <c r="A7517" s="122"/>
      <c r="B7517" s="133"/>
      <c r="C7517" s="120"/>
      <c r="D7517" s="120"/>
      <c r="E7517" s="120"/>
      <c r="F7517" s="120"/>
      <c r="G7517" s="120"/>
      <c r="H7517" s="120"/>
      <c r="I7517" s="121"/>
      <c r="J7517" s="121"/>
      <c r="K7517" s="117"/>
    </row>
    <row r="7518" ht="15.75" customHeight="1">
      <c r="A7518" s="122"/>
      <c r="B7518" s="133"/>
      <c r="C7518" s="120"/>
      <c r="D7518" s="120"/>
      <c r="E7518" s="120"/>
      <c r="F7518" s="120"/>
      <c r="G7518" s="120"/>
      <c r="H7518" s="120"/>
      <c r="I7518" s="121"/>
      <c r="J7518" s="121"/>
      <c r="K7518" s="117"/>
    </row>
    <row r="7519" ht="15.75" customHeight="1">
      <c r="A7519" s="122"/>
      <c r="B7519" s="133"/>
      <c r="C7519" s="120"/>
      <c r="D7519" s="120"/>
      <c r="E7519" s="120"/>
      <c r="F7519" s="120"/>
      <c r="G7519" s="120"/>
      <c r="H7519" s="120"/>
      <c r="I7519" s="121"/>
      <c r="J7519" s="121"/>
      <c r="K7519" s="117"/>
    </row>
    <row r="7520" ht="15.75" customHeight="1">
      <c r="A7520" s="122"/>
      <c r="B7520" s="133"/>
      <c r="C7520" s="120"/>
      <c r="D7520" s="120"/>
      <c r="E7520" s="120"/>
      <c r="F7520" s="120"/>
      <c r="G7520" s="120"/>
      <c r="H7520" s="120"/>
      <c r="I7520" s="121"/>
      <c r="J7520" s="121"/>
      <c r="K7520" s="117"/>
    </row>
    <row r="7521" ht="15.75" customHeight="1">
      <c r="A7521" s="122"/>
      <c r="B7521" s="133"/>
      <c r="C7521" s="120"/>
      <c r="D7521" s="120"/>
      <c r="E7521" s="120"/>
      <c r="F7521" s="120"/>
      <c r="G7521" s="120"/>
      <c r="H7521" s="120"/>
      <c r="I7521" s="121"/>
      <c r="J7521" s="121"/>
      <c r="K7521" s="117"/>
    </row>
    <row r="7522" ht="15.75" customHeight="1">
      <c r="A7522" s="122"/>
      <c r="B7522" s="133"/>
      <c r="C7522" s="120"/>
      <c r="D7522" s="120"/>
      <c r="E7522" s="120"/>
      <c r="F7522" s="120"/>
      <c r="G7522" s="120"/>
      <c r="H7522" s="120"/>
      <c r="I7522" s="121"/>
      <c r="J7522" s="121"/>
      <c r="K7522" s="117"/>
    </row>
    <row r="7523" ht="15.75" customHeight="1">
      <c r="A7523" s="122"/>
      <c r="B7523" s="133"/>
      <c r="C7523" s="120"/>
      <c r="D7523" s="120"/>
      <c r="E7523" s="120"/>
      <c r="F7523" s="120"/>
      <c r="G7523" s="120"/>
      <c r="H7523" s="120"/>
      <c r="I7523" s="121"/>
      <c r="J7523" s="121"/>
      <c r="K7523" s="117"/>
    </row>
    <row r="7524" ht="15.75" customHeight="1">
      <c r="A7524" s="122"/>
      <c r="B7524" s="133"/>
      <c r="C7524" s="120"/>
      <c r="D7524" s="120"/>
      <c r="E7524" s="120"/>
      <c r="F7524" s="120"/>
      <c r="G7524" s="120"/>
      <c r="H7524" s="120"/>
      <c r="I7524" s="121"/>
      <c r="J7524" s="121"/>
      <c r="K7524" s="117"/>
    </row>
    <row r="7525" ht="15.75" customHeight="1">
      <c r="A7525" s="122"/>
      <c r="B7525" s="133"/>
      <c r="C7525" s="120"/>
      <c r="D7525" s="120"/>
      <c r="E7525" s="120"/>
      <c r="F7525" s="120"/>
      <c r="G7525" s="120"/>
      <c r="H7525" s="120"/>
      <c r="I7525" s="121"/>
      <c r="J7525" s="121"/>
      <c r="K7525" s="117"/>
    </row>
    <row r="7526" ht="15.75" customHeight="1">
      <c r="A7526" s="122"/>
      <c r="B7526" s="133"/>
      <c r="C7526" s="120"/>
      <c r="D7526" s="120"/>
      <c r="E7526" s="120"/>
      <c r="F7526" s="120"/>
      <c r="G7526" s="120"/>
      <c r="H7526" s="120"/>
      <c r="I7526" s="121"/>
      <c r="J7526" s="121"/>
      <c r="K7526" s="117"/>
    </row>
    <row r="7527" ht="15.75" customHeight="1">
      <c r="A7527" s="122"/>
      <c r="B7527" s="133"/>
      <c r="C7527" s="120"/>
      <c r="D7527" s="120"/>
      <c r="E7527" s="120"/>
      <c r="F7527" s="120"/>
      <c r="G7527" s="120"/>
      <c r="H7527" s="120"/>
      <c r="I7527" s="121"/>
      <c r="J7527" s="121"/>
      <c r="K7527" s="117"/>
    </row>
    <row r="7528" ht="15.75" customHeight="1">
      <c r="A7528" s="122"/>
      <c r="B7528" s="133"/>
      <c r="C7528" s="120"/>
      <c r="D7528" s="120"/>
      <c r="E7528" s="120"/>
      <c r="F7528" s="120"/>
      <c r="G7528" s="120"/>
      <c r="H7528" s="120"/>
      <c r="I7528" s="121"/>
      <c r="J7528" s="121"/>
      <c r="K7528" s="117"/>
    </row>
    <row r="7529" ht="15.75" customHeight="1">
      <c r="A7529" s="122"/>
      <c r="B7529" s="133"/>
      <c r="C7529" s="120"/>
      <c r="D7529" s="120"/>
      <c r="E7529" s="120"/>
      <c r="F7529" s="120"/>
      <c r="G7529" s="120"/>
      <c r="H7529" s="120"/>
      <c r="I7529" s="121"/>
      <c r="J7529" s="121"/>
      <c r="K7529" s="117"/>
    </row>
    <row r="7530" ht="15.75" customHeight="1">
      <c r="A7530" s="122"/>
      <c r="B7530" s="133"/>
      <c r="C7530" s="120"/>
      <c r="D7530" s="120"/>
      <c r="E7530" s="120"/>
      <c r="F7530" s="120"/>
      <c r="G7530" s="120"/>
      <c r="H7530" s="120"/>
      <c r="I7530" s="121"/>
      <c r="J7530" s="121"/>
      <c r="K7530" s="117"/>
    </row>
    <row r="7531" ht="15.75" customHeight="1">
      <c r="A7531" s="122"/>
      <c r="B7531" s="133"/>
      <c r="C7531" s="120"/>
      <c r="D7531" s="120"/>
      <c r="E7531" s="120"/>
      <c r="F7531" s="120"/>
      <c r="G7531" s="120"/>
      <c r="H7531" s="120"/>
      <c r="I7531" s="121"/>
      <c r="J7531" s="121"/>
      <c r="K7531" s="117"/>
    </row>
    <row r="7532" ht="15.75" customHeight="1">
      <c r="A7532" s="122"/>
      <c r="B7532" s="133"/>
      <c r="C7532" s="120"/>
      <c r="D7532" s="120"/>
      <c r="E7532" s="120"/>
      <c r="F7532" s="120"/>
      <c r="G7532" s="120"/>
      <c r="H7532" s="120"/>
      <c r="I7532" s="121"/>
      <c r="J7532" s="121"/>
      <c r="K7532" s="117"/>
    </row>
    <row r="7533" ht="15.75" customHeight="1">
      <c r="A7533" s="122"/>
      <c r="B7533" s="133"/>
      <c r="C7533" s="120"/>
      <c r="D7533" s="120"/>
      <c r="E7533" s="120"/>
      <c r="F7533" s="120"/>
      <c r="G7533" s="120"/>
      <c r="H7533" s="120"/>
      <c r="I7533" s="121"/>
      <c r="J7533" s="121"/>
      <c r="K7533" s="117"/>
    </row>
    <row r="7534" ht="15.75" customHeight="1">
      <c r="A7534" s="122"/>
      <c r="B7534" s="133"/>
      <c r="C7534" s="120"/>
      <c r="D7534" s="120"/>
      <c r="E7534" s="120"/>
      <c r="F7534" s="120"/>
      <c r="G7534" s="120"/>
      <c r="H7534" s="120"/>
      <c r="I7534" s="121"/>
      <c r="J7534" s="121"/>
      <c r="K7534" s="117"/>
    </row>
    <row r="7535" ht="15.75" customHeight="1">
      <c r="A7535" s="122"/>
      <c r="B7535" s="133"/>
      <c r="C7535" s="120"/>
      <c r="D7535" s="120"/>
      <c r="E7535" s="120"/>
      <c r="F7535" s="120"/>
      <c r="G7535" s="120"/>
      <c r="H7535" s="120"/>
      <c r="I7535" s="121"/>
      <c r="J7535" s="121"/>
      <c r="K7535" s="117"/>
    </row>
    <row r="7536" ht="15.75" customHeight="1">
      <c r="A7536" s="122"/>
      <c r="B7536" s="133"/>
      <c r="C7536" s="120"/>
      <c r="D7536" s="120"/>
      <c r="E7536" s="120"/>
      <c r="F7536" s="120"/>
      <c r="G7536" s="120"/>
      <c r="H7536" s="120"/>
      <c r="I7536" s="121"/>
      <c r="J7536" s="121"/>
      <c r="K7536" s="117"/>
    </row>
    <row r="7537" ht="15.75" customHeight="1">
      <c r="A7537" s="122"/>
      <c r="B7537" s="133"/>
      <c r="C7537" s="120"/>
      <c r="D7537" s="120"/>
      <c r="E7537" s="120"/>
      <c r="F7537" s="120"/>
      <c r="G7537" s="120"/>
      <c r="H7537" s="120"/>
      <c r="I7537" s="121"/>
      <c r="J7537" s="121"/>
      <c r="K7537" s="117"/>
    </row>
    <row r="7538" ht="15.75" customHeight="1">
      <c r="A7538" s="122"/>
      <c r="B7538" s="133"/>
      <c r="C7538" s="120"/>
      <c r="D7538" s="120"/>
      <c r="E7538" s="120"/>
      <c r="F7538" s="120"/>
      <c r="G7538" s="120"/>
      <c r="H7538" s="120"/>
      <c r="I7538" s="121"/>
      <c r="J7538" s="121"/>
      <c r="K7538" s="117"/>
    </row>
    <row r="7539" ht="15.75" customHeight="1">
      <c r="A7539" s="122"/>
      <c r="B7539" s="133"/>
      <c r="C7539" s="120"/>
      <c r="D7539" s="120"/>
      <c r="E7539" s="120"/>
      <c r="F7539" s="120"/>
      <c r="G7539" s="120"/>
      <c r="H7539" s="120"/>
      <c r="I7539" s="121"/>
      <c r="J7539" s="121"/>
      <c r="K7539" s="117"/>
    </row>
    <row r="7540" ht="15.75" customHeight="1">
      <c r="A7540" s="122"/>
      <c r="B7540" s="133"/>
      <c r="C7540" s="120"/>
      <c r="D7540" s="120"/>
      <c r="E7540" s="120"/>
      <c r="F7540" s="120"/>
      <c r="G7540" s="120"/>
      <c r="H7540" s="120"/>
      <c r="I7540" s="121"/>
      <c r="J7540" s="121"/>
      <c r="K7540" s="117"/>
    </row>
    <row r="7541" ht="15.75" customHeight="1">
      <c r="A7541" s="122"/>
      <c r="B7541" s="133"/>
      <c r="C7541" s="120"/>
      <c r="D7541" s="120"/>
      <c r="E7541" s="120"/>
      <c r="F7541" s="120"/>
      <c r="G7541" s="120"/>
      <c r="H7541" s="120"/>
      <c r="I7541" s="121"/>
      <c r="J7541" s="121"/>
      <c r="K7541" s="117"/>
    </row>
    <row r="7542" ht="15.75" customHeight="1">
      <c r="A7542" s="122"/>
      <c r="B7542" s="133"/>
      <c r="C7542" s="120"/>
      <c r="D7542" s="120"/>
      <c r="E7542" s="120"/>
      <c r="F7542" s="120"/>
      <c r="G7542" s="120"/>
      <c r="H7542" s="120"/>
      <c r="I7542" s="121"/>
      <c r="J7542" s="121"/>
      <c r="K7542" s="117"/>
    </row>
    <row r="7543" ht="15.75" customHeight="1">
      <c r="A7543" s="122"/>
      <c r="B7543" s="133"/>
      <c r="C7543" s="120"/>
      <c r="D7543" s="120"/>
      <c r="E7543" s="120"/>
      <c r="F7543" s="120"/>
      <c r="G7543" s="120"/>
      <c r="H7543" s="120"/>
      <c r="I7543" s="121"/>
      <c r="J7543" s="121"/>
      <c r="K7543" s="117"/>
    </row>
    <row r="7544" ht="15.75" customHeight="1">
      <c r="A7544" s="122"/>
      <c r="B7544" s="133"/>
      <c r="C7544" s="120"/>
      <c r="D7544" s="120"/>
      <c r="E7544" s="120"/>
      <c r="F7544" s="120"/>
      <c r="G7544" s="120"/>
      <c r="H7544" s="120"/>
      <c r="I7544" s="121"/>
      <c r="J7544" s="121"/>
      <c r="K7544" s="117"/>
    </row>
    <row r="7545" ht="15.75" customHeight="1">
      <c r="A7545" s="122"/>
      <c r="B7545" s="133"/>
      <c r="C7545" s="120"/>
      <c r="D7545" s="120"/>
      <c r="E7545" s="120"/>
      <c r="F7545" s="120"/>
      <c r="G7545" s="120"/>
      <c r="H7545" s="120"/>
      <c r="I7545" s="121"/>
      <c r="J7545" s="121"/>
      <c r="K7545" s="117"/>
    </row>
    <row r="7546" ht="15.75" customHeight="1">
      <c r="A7546" s="122"/>
      <c r="B7546" s="133"/>
      <c r="C7546" s="120"/>
      <c r="D7546" s="120"/>
      <c r="E7546" s="120"/>
      <c r="F7546" s="120"/>
      <c r="G7546" s="120"/>
      <c r="H7546" s="120"/>
      <c r="I7546" s="121"/>
      <c r="J7546" s="121"/>
      <c r="K7546" s="117"/>
    </row>
    <row r="7547" ht="15.75" customHeight="1">
      <c r="A7547" s="122"/>
      <c r="B7547" s="133"/>
      <c r="C7547" s="120"/>
      <c r="D7547" s="120"/>
      <c r="E7547" s="120"/>
      <c r="F7547" s="120"/>
      <c r="G7547" s="120"/>
      <c r="H7547" s="120"/>
      <c r="I7547" s="121"/>
      <c r="J7547" s="121"/>
      <c r="K7547" s="117"/>
    </row>
    <row r="7548" ht="15.75" customHeight="1">
      <c r="A7548" s="122"/>
      <c r="B7548" s="133"/>
      <c r="C7548" s="120"/>
      <c r="D7548" s="120"/>
      <c r="E7548" s="120"/>
      <c r="F7548" s="120"/>
      <c r="G7548" s="120"/>
      <c r="H7548" s="120"/>
      <c r="I7548" s="121"/>
      <c r="J7548" s="121"/>
      <c r="K7548" s="117"/>
    </row>
    <row r="7549" ht="15.75" customHeight="1">
      <c r="A7549" s="122"/>
      <c r="B7549" s="133"/>
      <c r="C7549" s="120"/>
      <c r="D7549" s="120"/>
      <c r="E7549" s="120"/>
      <c r="F7549" s="120"/>
      <c r="G7549" s="120"/>
      <c r="H7549" s="120"/>
      <c r="I7549" s="121"/>
      <c r="J7549" s="121"/>
      <c r="K7549" s="117"/>
    </row>
    <row r="7550" ht="15.75" customHeight="1">
      <c r="A7550" s="122"/>
      <c r="B7550" s="133"/>
      <c r="C7550" s="120"/>
      <c r="D7550" s="120"/>
      <c r="E7550" s="120"/>
      <c r="F7550" s="120"/>
      <c r="G7550" s="120"/>
      <c r="H7550" s="120"/>
      <c r="I7550" s="121"/>
      <c r="J7550" s="121"/>
      <c r="K7550" s="117"/>
    </row>
    <row r="7551" ht="15.75" customHeight="1">
      <c r="A7551" s="122"/>
      <c r="B7551" s="133"/>
      <c r="C7551" s="120"/>
      <c r="D7551" s="120"/>
      <c r="E7551" s="120"/>
      <c r="F7551" s="120"/>
      <c r="G7551" s="120"/>
      <c r="H7551" s="120"/>
      <c r="I7551" s="121"/>
      <c r="J7551" s="121"/>
      <c r="K7551" s="117"/>
    </row>
    <row r="7552" ht="15.75" customHeight="1">
      <c r="A7552" s="122"/>
      <c r="B7552" s="133"/>
      <c r="C7552" s="120"/>
      <c r="D7552" s="120"/>
      <c r="E7552" s="120"/>
      <c r="F7552" s="120"/>
      <c r="G7552" s="120"/>
      <c r="H7552" s="120"/>
      <c r="I7552" s="121"/>
      <c r="J7552" s="121"/>
      <c r="K7552" s="117"/>
    </row>
    <row r="7553" ht="15.75" customHeight="1">
      <c r="A7553" s="122"/>
      <c r="B7553" s="133"/>
      <c r="C7553" s="120"/>
      <c r="D7553" s="120"/>
      <c r="E7553" s="120"/>
      <c r="F7553" s="120"/>
      <c r="G7553" s="120"/>
      <c r="H7553" s="120"/>
      <c r="I7553" s="121"/>
      <c r="J7553" s="121"/>
      <c r="K7553" s="117"/>
    </row>
    <row r="7554" ht="15.75" customHeight="1">
      <c r="A7554" s="122"/>
      <c r="B7554" s="133"/>
      <c r="C7554" s="120"/>
      <c r="D7554" s="120"/>
      <c r="E7554" s="120"/>
      <c r="F7554" s="120"/>
      <c r="G7554" s="120"/>
      <c r="H7554" s="120"/>
      <c r="I7554" s="121"/>
      <c r="J7554" s="121"/>
      <c r="K7554" s="117"/>
    </row>
    <row r="7555" ht="15.75" customHeight="1">
      <c r="A7555" s="122"/>
      <c r="B7555" s="133"/>
      <c r="C7555" s="120"/>
      <c r="D7555" s="120"/>
      <c r="E7555" s="120"/>
      <c r="F7555" s="120"/>
      <c r="G7555" s="120"/>
      <c r="H7555" s="120"/>
      <c r="I7555" s="121"/>
      <c r="J7555" s="121"/>
      <c r="K7555" s="117"/>
    </row>
    <row r="7556" ht="15.75" customHeight="1">
      <c r="A7556" s="122"/>
      <c r="B7556" s="133"/>
      <c r="C7556" s="120"/>
      <c r="D7556" s="120"/>
      <c r="E7556" s="120"/>
      <c r="F7556" s="120"/>
      <c r="G7556" s="120"/>
      <c r="H7556" s="120"/>
      <c r="I7556" s="121"/>
      <c r="J7556" s="121"/>
      <c r="K7556" s="117"/>
    </row>
    <row r="7557" ht="15.75" customHeight="1">
      <c r="A7557" s="122"/>
      <c r="B7557" s="133"/>
      <c r="C7557" s="120"/>
      <c r="D7557" s="120"/>
      <c r="E7557" s="120"/>
      <c r="F7557" s="120"/>
      <c r="G7557" s="120"/>
      <c r="H7557" s="120"/>
      <c r="I7557" s="121"/>
      <c r="J7557" s="121"/>
      <c r="K7557" s="117"/>
    </row>
    <row r="7558" ht="15.75" customHeight="1">
      <c r="A7558" s="122"/>
      <c r="B7558" s="133"/>
      <c r="C7558" s="120"/>
      <c r="D7558" s="120"/>
      <c r="E7558" s="120"/>
      <c r="F7558" s="120"/>
      <c r="G7558" s="120"/>
      <c r="H7558" s="120"/>
      <c r="I7558" s="121"/>
      <c r="J7558" s="121"/>
      <c r="K7558" s="117"/>
    </row>
    <row r="7559" ht="15.75" customHeight="1">
      <c r="A7559" s="122"/>
      <c r="B7559" s="133"/>
      <c r="C7559" s="120"/>
      <c r="D7559" s="120"/>
      <c r="E7559" s="120"/>
      <c r="F7559" s="120"/>
      <c r="G7559" s="120"/>
      <c r="H7559" s="120"/>
      <c r="I7559" s="121"/>
      <c r="J7559" s="121"/>
      <c r="K7559" s="117"/>
    </row>
    <row r="7560" ht="15.75" customHeight="1">
      <c r="A7560" s="122"/>
      <c r="B7560" s="133"/>
      <c r="C7560" s="120"/>
      <c r="D7560" s="120"/>
      <c r="E7560" s="120"/>
      <c r="F7560" s="120"/>
      <c r="G7560" s="120"/>
      <c r="H7560" s="120"/>
      <c r="I7560" s="121"/>
      <c r="J7560" s="121"/>
      <c r="K7560" s="117"/>
    </row>
    <row r="7561" ht="15.75" customHeight="1">
      <c r="A7561" s="122"/>
      <c r="B7561" s="133"/>
      <c r="C7561" s="120"/>
      <c r="D7561" s="120"/>
      <c r="E7561" s="120"/>
      <c r="F7561" s="120"/>
      <c r="G7561" s="120"/>
      <c r="H7561" s="120"/>
      <c r="I7561" s="121"/>
      <c r="J7561" s="121"/>
      <c r="K7561" s="117"/>
    </row>
    <row r="7562" ht="15.75" customHeight="1">
      <c r="A7562" s="122"/>
      <c r="B7562" s="133"/>
      <c r="C7562" s="120"/>
      <c r="D7562" s="120"/>
      <c r="E7562" s="120"/>
      <c r="F7562" s="120"/>
      <c r="G7562" s="120"/>
      <c r="H7562" s="120"/>
      <c r="I7562" s="121"/>
      <c r="J7562" s="121"/>
      <c r="K7562" s="117"/>
    </row>
    <row r="7563" ht="15.75" customHeight="1">
      <c r="A7563" s="122"/>
      <c r="B7563" s="133"/>
      <c r="C7563" s="120"/>
      <c r="D7563" s="120"/>
      <c r="E7563" s="120"/>
      <c r="F7563" s="120"/>
      <c r="G7563" s="120"/>
      <c r="H7563" s="120"/>
      <c r="I7563" s="121"/>
      <c r="J7563" s="121"/>
      <c r="K7563" s="117"/>
    </row>
    <row r="7564" ht="15.75" customHeight="1">
      <c r="A7564" s="122"/>
      <c r="B7564" s="133"/>
      <c r="C7564" s="120"/>
      <c r="D7564" s="120"/>
      <c r="E7564" s="120"/>
      <c r="F7564" s="120"/>
      <c r="G7564" s="120"/>
      <c r="H7564" s="120"/>
      <c r="I7564" s="121"/>
      <c r="J7564" s="121"/>
      <c r="K7564" s="117"/>
    </row>
    <row r="7565" ht="15.75" customHeight="1">
      <c r="A7565" s="122"/>
      <c r="B7565" s="133"/>
      <c r="C7565" s="120"/>
      <c r="D7565" s="120"/>
      <c r="E7565" s="120"/>
      <c r="F7565" s="120"/>
      <c r="G7565" s="120"/>
      <c r="H7565" s="120"/>
      <c r="I7565" s="121"/>
      <c r="J7565" s="121"/>
      <c r="K7565" s="117"/>
    </row>
    <row r="7566" ht="15.75" customHeight="1">
      <c r="A7566" s="122"/>
      <c r="B7566" s="133"/>
      <c r="C7566" s="120"/>
      <c r="D7566" s="120"/>
      <c r="E7566" s="120"/>
      <c r="F7566" s="120"/>
      <c r="G7566" s="120"/>
      <c r="H7566" s="120"/>
      <c r="I7566" s="121"/>
      <c r="J7566" s="121"/>
      <c r="K7566" s="117"/>
    </row>
    <row r="7567" ht="15.75" customHeight="1">
      <c r="A7567" s="122"/>
      <c r="B7567" s="133"/>
      <c r="C7567" s="120"/>
      <c r="D7567" s="120"/>
      <c r="E7567" s="120"/>
      <c r="F7567" s="120"/>
      <c r="G7567" s="120"/>
      <c r="H7567" s="120"/>
      <c r="I7567" s="121"/>
      <c r="J7567" s="121"/>
      <c r="K7567" s="117"/>
    </row>
    <row r="7568" ht="15.75" customHeight="1">
      <c r="A7568" s="122"/>
      <c r="B7568" s="133"/>
      <c r="C7568" s="120"/>
      <c r="D7568" s="120"/>
      <c r="E7568" s="120"/>
      <c r="F7568" s="120"/>
      <c r="G7568" s="120"/>
      <c r="H7568" s="120"/>
      <c r="I7568" s="121"/>
      <c r="J7568" s="121"/>
      <c r="K7568" s="117"/>
    </row>
    <row r="7569" ht="15.75" customHeight="1">
      <c r="A7569" s="122"/>
      <c r="B7569" s="133"/>
      <c r="C7569" s="120"/>
      <c r="D7569" s="120"/>
      <c r="E7569" s="120"/>
      <c r="F7569" s="120"/>
      <c r="G7569" s="120"/>
      <c r="H7569" s="120"/>
      <c r="I7569" s="121"/>
      <c r="J7569" s="121"/>
      <c r="K7569" s="117"/>
    </row>
    <row r="7570" ht="15.75" customHeight="1">
      <c r="A7570" s="122"/>
      <c r="B7570" s="133"/>
      <c r="C7570" s="120"/>
      <c r="D7570" s="120"/>
      <c r="E7570" s="120"/>
      <c r="F7570" s="120"/>
      <c r="G7570" s="120"/>
      <c r="H7570" s="120"/>
      <c r="I7570" s="121"/>
      <c r="J7570" s="121"/>
      <c r="K7570" s="117"/>
    </row>
    <row r="7571" ht="15.75" customHeight="1">
      <c r="A7571" s="122"/>
      <c r="B7571" s="133"/>
      <c r="C7571" s="120"/>
      <c r="D7571" s="120"/>
      <c r="E7571" s="120"/>
      <c r="F7571" s="120"/>
      <c r="G7571" s="120"/>
      <c r="H7571" s="120"/>
      <c r="I7571" s="121"/>
      <c r="J7571" s="121"/>
      <c r="K7571" s="117"/>
    </row>
    <row r="7572" ht="15.75" customHeight="1">
      <c r="A7572" s="122"/>
      <c r="B7572" s="133"/>
      <c r="C7572" s="120"/>
      <c r="D7572" s="120"/>
      <c r="E7572" s="120"/>
      <c r="F7572" s="120"/>
      <c r="G7572" s="120"/>
      <c r="H7572" s="120"/>
      <c r="I7572" s="121"/>
      <c r="J7572" s="121"/>
      <c r="K7572" s="117"/>
    </row>
    <row r="7573" ht="15.75" customHeight="1">
      <c r="A7573" s="122"/>
      <c r="B7573" s="133"/>
      <c r="C7573" s="120"/>
      <c r="D7573" s="120"/>
      <c r="E7573" s="120"/>
      <c r="F7573" s="120"/>
      <c r="G7573" s="120"/>
      <c r="H7573" s="120"/>
      <c r="I7573" s="121"/>
      <c r="J7573" s="121"/>
      <c r="K7573" s="117"/>
    </row>
    <row r="7574" ht="15.75" customHeight="1">
      <c r="A7574" s="122"/>
      <c r="B7574" s="133"/>
      <c r="C7574" s="120"/>
      <c r="D7574" s="120"/>
      <c r="E7574" s="120"/>
      <c r="F7574" s="120"/>
      <c r="G7574" s="120"/>
      <c r="H7574" s="120"/>
      <c r="I7574" s="121"/>
      <c r="J7574" s="121"/>
      <c r="K7574" s="117"/>
    </row>
    <row r="7575" ht="15.75" customHeight="1">
      <c r="A7575" s="122"/>
      <c r="B7575" s="133"/>
      <c r="C7575" s="120"/>
      <c r="D7575" s="120"/>
      <c r="E7575" s="120"/>
      <c r="F7575" s="120"/>
      <c r="G7575" s="120"/>
      <c r="H7575" s="120"/>
      <c r="I7575" s="121"/>
      <c r="J7575" s="121"/>
      <c r="K7575" s="117"/>
    </row>
    <row r="7576" ht="15.75" customHeight="1">
      <c r="A7576" s="122"/>
      <c r="B7576" s="133"/>
      <c r="C7576" s="120"/>
      <c r="D7576" s="120"/>
      <c r="E7576" s="120"/>
      <c r="F7576" s="120"/>
      <c r="G7576" s="120"/>
      <c r="H7576" s="120"/>
      <c r="I7576" s="121"/>
      <c r="J7576" s="121"/>
      <c r="K7576" s="117"/>
    </row>
    <row r="7577" ht="15.75" customHeight="1">
      <c r="A7577" s="122"/>
      <c r="B7577" s="133"/>
      <c r="C7577" s="120"/>
      <c r="D7577" s="120"/>
      <c r="E7577" s="120"/>
      <c r="F7577" s="120"/>
      <c r="G7577" s="120"/>
      <c r="H7577" s="120"/>
      <c r="I7577" s="121"/>
      <c r="J7577" s="121"/>
      <c r="K7577" s="117"/>
    </row>
    <row r="7578" ht="15.75" customHeight="1">
      <c r="A7578" s="122"/>
      <c r="B7578" s="133"/>
      <c r="C7578" s="120"/>
      <c r="D7578" s="120"/>
      <c r="E7578" s="120"/>
      <c r="F7578" s="120"/>
      <c r="G7578" s="120"/>
      <c r="H7578" s="120"/>
      <c r="I7578" s="121"/>
      <c r="J7578" s="121"/>
      <c r="K7578" s="117"/>
    </row>
    <row r="7579" ht="15.75" customHeight="1">
      <c r="A7579" s="122"/>
      <c r="B7579" s="133"/>
      <c r="C7579" s="120"/>
      <c r="D7579" s="120"/>
      <c r="E7579" s="120"/>
      <c r="F7579" s="120"/>
      <c r="G7579" s="120"/>
      <c r="H7579" s="120"/>
      <c r="I7579" s="121"/>
      <c r="J7579" s="121"/>
      <c r="K7579" s="117"/>
    </row>
    <row r="7580" ht="15.75" customHeight="1">
      <c r="A7580" s="122"/>
      <c r="B7580" s="133"/>
      <c r="C7580" s="120"/>
      <c r="D7580" s="120"/>
      <c r="E7580" s="120"/>
      <c r="F7580" s="120"/>
      <c r="G7580" s="120"/>
      <c r="H7580" s="120"/>
      <c r="I7580" s="121"/>
      <c r="J7580" s="121"/>
      <c r="K7580" s="117"/>
    </row>
    <row r="7581" ht="15.75" customHeight="1">
      <c r="A7581" s="122"/>
      <c r="B7581" s="133"/>
      <c r="C7581" s="120"/>
      <c r="D7581" s="120"/>
      <c r="E7581" s="120"/>
      <c r="F7581" s="120"/>
      <c r="G7581" s="120"/>
      <c r="H7581" s="120"/>
      <c r="I7581" s="121"/>
      <c r="J7581" s="121"/>
      <c r="K7581" s="117"/>
    </row>
    <row r="7582" ht="15.75" customHeight="1">
      <c r="A7582" s="122"/>
      <c r="B7582" s="133"/>
      <c r="C7582" s="120"/>
      <c r="D7582" s="120"/>
      <c r="E7582" s="120"/>
      <c r="F7582" s="120"/>
      <c r="G7582" s="120"/>
      <c r="H7582" s="120"/>
      <c r="I7582" s="121"/>
      <c r="J7582" s="121"/>
      <c r="K7582" s="117"/>
    </row>
    <row r="7583" ht="15.75" customHeight="1">
      <c r="A7583" s="122"/>
      <c r="B7583" s="133"/>
      <c r="C7583" s="120"/>
      <c r="D7583" s="120"/>
      <c r="E7583" s="120"/>
      <c r="F7583" s="120"/>
      <c r="G7583" s="120"/>
      <c r="H7583" s="120"/>
      <c r="I7583" s="121"/>
      <c r="J7583" s="121"/>
      <c r="K7583" s="117"/>
    </row>
    <row r="7584" ht="15.75" customHeight="1">
      <c r="A7584" s="122"/>
      <c r="B7584" s="133"/>
      <c r="C7584" s="120"/>
      <c r="D7584" s="120"/>
      <c r="E7584" s="120"/>
      <c r="F7584" s="120"/>
      <c r="G7584" s="120"/>
      <c r="H7584" s="120"/>
      <c r="I7584" s="121"/>
      <c r="J7584" s="121"/>
      <c r="K7584" s="117"/>
    </row>
    <row r="7585" ht="15.75" customHeight="1">
      <c r="A7585" s="122"/>
      <c r="B7585" s="133"/>
      <c r="C7585" s="120"/>
      <c r="D7585" s="120"/>
      <c r="E7585" s="120"/>
      <c r="F7585" s="120"/>
      <c r="G7585" s="120"/>
      <c r="H7585" s="120"/>
      <c r="I7585" s="121"/>
      <c r="J7585" s="121"/>
      <c r="K7585" s="117"/>
    </row>
    <row r="7586" ht="15.75" customHeight="1">
      <c r="A7586" s="122"/>
      <c r="B7586" s="133"/>
      <c r="C7586" s="120"/>
      <c r="D7586" s="120"/>
      <c r="E7586" s="120"/>
      <c r="F7586" s="120"/>
      <c r="G7586" s="120"/>
      <c r="H7586" s="120"/>
      <c r="I7586" s="121"/>
      <c r="J7586" s="121"/>
      <c r="K7586" s="117"/>
    </row>
    <row r="7587" ht="15.75" customHeight="1">
      <c r="A7587" s="122"/>
      <c r="B7587" s="133"/>
      <c r="C7587" s="120"/>
      <c r="D7587" s="120"/>
      <c r="E7587" s="120"/>
      <c r="F7587" s="120"/>
      <c r="G7587" s="120"/>
      <c r="H7587" s="120"/>
      <c r="I7587" s="121"/>
      <c r="J7587" s="121"/>
      <c r="K7587" s="117"/>
    </row>
    <row r="7588" ht="15.75" customHeight="1">
      <c r="A7588" s="122"/>
      <c r="B7588" s="133"/>
      <c r="C7588" s="120"/>
      <c r="D7588" s="120"/>
      <c r="E7588" s="120"/>
      <c r="F7588" s="120"/>
      <c r="G7588" s="120"/>
      <c r="H7588" s="120"/>
      <c r="I7588" s="121"/>
      <c r="J7588" s="121"/>
      <c r="K7588" s="117"/>
    </row>
    <row r="7589" ht="15.75" customHeight="1">
      <c r="A7589" s="122"/>
      <c r="B7589" s="133"/>
      <c r="C7589" s="120"/>
      <c r="D7589" s="120"/>
      <c r="E7589" s="120"/>
      <c r="F7589" s="120"/>
      <c r="G7589" s="120"/>
      <c r="H7589" s="120"/>
      <c r="I7589" s="121"/>
      <c r="J7589" s="121"/>
      <c r="K7589" s="117"/>
    </row>
    <row r="7590" ht="15.75" customHeight="1">
      <c r="A7590" s="122"/>
      <c r="B7590" s="133"/>
      <c r="C7590" s="120"/>
      <c r="D7590" s="120"/>
      <c r="E7590" s="120"/>
      <c r="F7590" s="120"/>
      <c r="G7590" s="120"/>
      <c r="H7590" s="120"/>
      <c r="I7590" s="121"/>
      <c r="J7590" s="121"/>
      <c r="K7590" s="117"/>
    </row>
    <row r="7591" ht="15.75" customHeight="1">
      <c r="A7591" s="122"/>
      <c r="B7591" s="133"/>
      <c r="C7591" s="120"/>
      <c r="D7591" s="120"/>
      <c r="E7591" s="120"/>
      <c r="F7591" s="120"/>
      <c r="G7591" s="120"/>
      <c r="H7591" s="120"/>
      <c r="I7591" s="121"/>
      <c r="J7591" s="121"/>
      <c r="K7591" s="117"/>
    </row>
    <row r="7592" ht="15.75" customHeight="1">
      <c r="A7592" s="122"/>
      <c r="B7592" s="133"/>
      <c r="C7592" s="120"/>
      <c r="D7592" s="120"/>
      <c r="E7592" s="120"/>
      <c r="F7592" s="120"/>
      <c r="G7592" s="120"/>
      <c r="H7592" s="120"/>
      <c r="I7592" s="121"/>
      <c r="J7592" s="121"/>
      <c r="K7592" s="117"/>
    </row>
    <row r="7593" ht="15.75" customHeight="1">
      <c r="A7593" s="122"/>
      <c r="B7593" s="133"/>
      <c r="C7593" s="120"/>
      <c r="D7593" s="120"/>
      <c r="E7593" s="120"/>
      <c r="F7593" s="120"/>
      <c r="G7593" s="120"/>
      <c r="H7593" s="120"/>
      <c r="I7593" s="121"/>
      <c r="J7593" s="121"/>
      <c r="K7593" s="117"/>
    </row>
    <row r="7594" ht="15.75" customHeight="1">
      <c r="A7594" s="122"/>
      <c r="B7594" s="133"/>
      <c r="C7594" s="120"/>
      <c r="D7594" s="120"/>
      <c r="E7594" s="120"/>
      <c r="F7594" s="120"/>
      <c r="G7594" s="120"/>
      <c r="H7594" s="120"/>
      <c r="I7594" s="121"/>
      <c r="J7594" s="121"/>
      <c r="K7594" s="117"/>
    </row>
    <row r="7595" ht="15.75" customHeight="1">
      <c r="A7595" s="122"/>
      <c r="B7595" s="133"/>
      <c r="C7595" s="120"/>
      <c r="D7595" s="120"/>
      <c r="E7595" s="120"/>
      <c r="F7595" s="120"/>
      <c r="G7595" s="120"/>
      <c r="H7595" s="120"/>
      <c r="I7595" s="121"/>
      <c r="J7595" s="121"/>
      <c r="K7595" s="117"/>
    </row>
    <row r="7596" ht="15.75" customHeight="1">
      <c r="A7596" s="122"/>
      <c r="B7596" s="133"/>
      <c r="C7596" s="120"/>
      <c r="D7596" s="120"/>
      <c r="E7596" s="120"/>
      <c r="F7596" s="120"/>
      <c r="G7596" s="120"/>
      <c r="H7596" s="120"/>
      <c r="I7596" s="121"/>
      <c r="J7596" s="121"/>
      <c r="K7596" s="117"/>
    </row>
    <row r="7597" ht="15.75" customHeight="1">
      <c r="A7597" s="122"/>
      <c r="B7597" s="133"/>
      <c r="C7597" s="120"/>
      <c r="D7597" s="120"/>
      <c r="E7597" s="120"/>
      <c r="F7597" s="120"/>
      <c r="G7597" s="120"/>
      <c r="H7597" s="120"/>
      <c r="I7597" s="121"/>
      <c r="J7597" s="121"/>
      <c r="K7597" s="117"/>
    </row>
    <row r="7598" ht="15.75" customHeight="1">
      <c r="A7598" s="122"/>
      <c r="B7598" s="133"/>
      <c r="C7598" s="120"/>
      <c r="D7598" s="120"/>
      <c r="E7598" s="120"/>
      <c r="F7598" s="120"/>
      <c r="G7598" s="120"/>
      <c r="H7598" s="120"/>
      <c r="I7598" s="121"/>
      <c r="J7598" s="121"/>
      <c r="K7598" s="117"/>
    </row>
    <row r="7599" ht="15.75" customHeight="1">
      <c r="A7599" s="122"/>
      <c r="B7599" s="133"/>
      <c r="C7599" s="120"/>
      <c r="D7599" s="120"/>
      <c r="E7599" s="120"/>
      <c r="F7599" s="120"/>
      <c r="G7599" s="120"/>
      <c r="H7599" s="120"/>
      <c r="I7599" s="121"/>
      <c r="J7599" s="121"/>
      <c r="K7599" s="117"/>
    </row>
    <row r="7600" ht="15.75" customHeight="1">
      <c r="A7600" s="122"/>
      <c r="B7600" s="133"/>
      <c r="C7600" s="120"/>
      <c r="D7600" s="120"/>
      <c r="E7600" s="120"/>
      <c r="F7600" s="120"/>
      <c r="G7600" s="120"/>
      <c r="H7600" s="120"/>
      <c r="I7600" s="121"/>
      <c r="J7600" s="121"/>
      <c r="K7600" s="117"/>
    </row>
    <row r="7601" ht="15.75" customHeight="1">
      <c r="A7601" s="122"/>
      <c r="B7601" s="133"/>
      <c r="C7601" s="120"/>
      <c r="D7601" s="120"/>
      <c r="E7601" s="120"/>
      <c r="F7601" s="120"/>
      <c r="G7601" s="120"/>
      <c r="H7601" s="120"/>
      <c r="I7601" s="121"/>
      <c r="J7601" s="121"/>
      <c r="K7601" s="117"/>
    </row>
    <row r="7602" ht="15.75" customHeight="1">
      <c r="A7602" s="122"/>
      <c r="B7602" s="133"/>
      <c r="C7602" s="120"/>
      <c r="D7602" s="120"/>
      <c r="E7602" s="120"/>
      <c r="F7602" s="120"/>
      <c r="G7602" s="120"/>
      <c r="H7602" s="120"/>
      <c r="I7602" s="121"/>
      <c r="J7602" s="121"/>
      <c r="K7602" s="117"/>
    </row>
    <row r="7603" ht="15.75" customHeight="1">
      <c r="A7603" s="122"/>
      <c r="B7603" s="133"/>
      <c r="C7603" s="120"/>
      <c r="D7603" s="120"/>
      <c r="E7603" s="120"/>
      <c r="F7603" s="120"/>
      <c r="G7603" s="120"/>
      <c r="H7603" s="120"/>
      <c r="I7603" s="121"/>
      <c r="J7603" s="121"/>
      <c r="K7603" s="117"/>
    </row>
    <row r="7604" ht="15.75" customHeight="1">
      <c r="A7604" s="122"/>
      <c r="B7604" s="133"/>
      <c r="C7604" s="120"/>
      <c r="D7604" s="120"/>
      <c r="E7604" s="120"/>
      <c r="F7604" s="120"/>
      <c r="G7604" s="120"/>
      <c r="H7604" s="120"/>
      <c r="I7604" s="121"/>
      <c r="J7604" s="121"/>
      <c r="K7604" s="117"/>
    </row>
    <row r="7605" ht="15.75" customHeight="1">
      <c r="A7605" s="122"/>
      <c r="B7605" s="133"/>
      <c r="C7605" s="120"/>
      <c r="D7605" s="120"/>
      <c r="E7605" s="120"/>
      <c r="F7605" s="120"/>
      <c r="G7605" s="120"/>
      <c r="H7605" s="120"/>
      <c r="I7605" s="121"/>
      <c r="J7605" s="121"/>
      <c r="K7605" s="117"/>
    </row>
    <row r="7606" ht="15.75" customHeight="1">
      <c r="A7606" s="122"/>
      <c r="B7606" s="133"/>
      <c r="C7606" s="120"/>
      <c r="D7606" s="120"/>
      <c r="E7606" s="120"/>
      <c r="F7606" s="120"/>
      <c r="G7606" s="120"/>
      <c r="H7606" s="120"/>
      <c r="I7606" s="121"/>
      <c r="J7606" s="121"/>
      <c r="K7606" s="117"/>
    </row>
    <row r="7607" ht="15.75" customHeight="1">
      <c r="A7607" s="122"/>
      <c r="B7607" s="133"/>
      <c r="C7607" s="120"/>
      <c r="D7607" s="120"/>
      <c r="E7607" s="120"/>
      <c r="F7607" s="120"/>
      <c r="G7607" s="120"/>
      <c r="H7607" s="120"/>
      <c r="I7607" s="121"/>
      <c r="J7607" s="121"/>
      <c r="K7607" s="117"/>
    </row>
    <row r="7608" ht="15.75" customHeight="1">
      <c r="A7608" s="122"/>
      <c r="B7608" s="133"/>
      <c r="C7608" s="120"/>
      <c r="D7608" s="120"/>
      <c r="E7608" s="120"/>
      <c r="F7608" s="120"/>
      <c r="G7608" s="120"/>
      <c r="H7608" s="120"/>
      <c r="I7608" s="121"/>
      <c r="J7608" s="121"/>
      <c r="K7608" s="117"/>
    </row>
    <row r="7609" ht="15.75" customHeight="1">
      <c r="A7609" s="122"/>
      <c r="B7609" s="133"/>
      <c r="C7609" s="120"/>
      <c r="D7609" s="120"/>
      <c r="E7609" s="120"/>
      <c r="F7609" s="120"/>
      <c r="G7609" s="120"/>
      <c r="H7609" s="120"/>
      <c r="I7609" s="121"/>
      <c r="J7609" s="121"/>
      <c r="K7609" s="117"/>
    </row>
    <row r="7610" ht="15.75" customHeight="1">
      <c r="A7610" s="122"/>
      <c r="B7610" s="133"/>
      <c r="C7610" s="120"/>
      <c r="D7610" s="120"/>
      <c r="E7610" s="120"/>
      <c r="F7610" s="120"/>
      <c r="G7610" s="120"/>
      <c r="H7610" s="120"/>
      <c r="I7610" s="121"/>
      <c r="J7610" s="121"/>
      <c r="K7610" s="117"/>
    </row>
    <row r="7611" ht="15.75" customHeight="1">
      <c r="A7611" s="122"/>
      <c r="B7611" s="133"/>
      <c r="C7611" s="120"/>
      <c r="D7611" s="120"/>
      <c r="E7611" s="120"/>
      <c r="F7611" s="120"/>
      <c r="G7611" s="120"/>
      <c r="H7611" s="120"/>
      <c r="I7611" s="121"/>
      <c r="J7611" s="121"/>
      <c r="K7611" s="117"/>
    </row>
    <row r="7612" ht="15.75" customHeight="1">
      <c r="A7612" s="122"/>
      <c r="B7612" s="133"/>
      <c r="C7612" s="120"/>
      <c r="D7612" s="120"/>
      <c r="E7612" s="120"/>
      <c r="F7612" s="120"/>
      <c r="G7612" s="120"/>
      <c r="H7612" s="120"/>
      <c r="I7612" s="121"/>
      <c r="J7612" s="121"/>
      <c r="K7612" s="117"/>
    </row>
    <row r="7613" ht="15.75" customHeight="1">
      <c r="A7613" s="122"/>
      <c r="B7613" s="133"/>
      <c r="C7613" s="120"/>
      <c r="D7613" s="120"/>
      <c r="E7613" s="120"/>
      <c r="F7613" s="120"/>
      <c r="G7613" s="120"/>
      <c r="H7613" s="120"/>
      <c r="I7613" s="121"/>
      <c r="J7613" s="121"/>
      <c r="K7613" s="117"/>
    </row>
    <row r="7614" ht="15.75" customHeight="1">
      <c r="A7614" s="122"/>
      <c r="B7614" s="133"/>
      <c r="C7614" s="120"/>
      <c r="D7614" s="120"/>
      <c r="E7614" s="120"/>
      <c r="F7614" s="120"/>
      <c r="G7614" s="120"/>
      <c r="H7614" s="120"/>
      <c r="I7614" s="121"/>
      <c r="J7614" s="121"/>
      <c r="K7614" s="117"/>
    </row>
    <row r="7615" ht="15.75" customHeight="1">
      <c r="A7615" s="122"/>
      <c r="B7615" s="133"/>
      <c r="C7615" s="120"/>
      <c r="D7615" s="120"/>
      <c r="E7615" s="120"/>
      <c r="F7615" s="120"/>
      <c r="G7615" s="120"/>
      <c r="H7615" s="120"/>
      <c r="I7615" s="121"/>
      <c r="J7615" s="121"/>
      <c r="K7615" s="117"/>
    </row>
    <row r="7616" ht="15.75" customHeight="1">
      <c r="A7616" s="122"/>
      <c r="B7616" s="133"/>
      <c r="C7616" s="120"/>
      <c r="D7616" s="120"/>
      <c r="E7616" s="120"/>
      <c r="F7616" s="120"/>
      <c r="G7616" s="120"/>
      <c r="H7616" s="120"/>
      <c r="I7616" s="121"/>
      <c r="J7616" s="121"/>
      <c r="K7616" s="117"/>
    </row>
    <row r="7617" ht="15.75" customHeight="1">
      <c r="A7617" s="122"/>
      <c r="B7617" s="133"/>
      <c r="C7617" s="120"/>
      <c r="D7617" s="120"/>
      <c r="E7617" s="120"/>
      <c r="F7617" s="120"/>
      <c r="G7617" s="120"/>
      <c r="H7617" s="120"/>
      <c r="I7617" s="121"/>
      <c r="J7617" s="121"/>
      <c r="K7617" s="117"/>
    </row>
    <row r="7618" ht="15.75" customHeight="1">
      <c r="A7618" s="122"/>
      <c r="B7618" s="133"/>
      <c r="C7618" s="120"/>
      <c r="D7618" s="120"/>
      <c r="E7618" s="120"/>
      <c r="F7618" s="120"/>
      <c r="G7618" s="120"/>
      <c r="H7618" s="120"/>
      <c r="I7618" s="121"/>
      <c r="J7618" s="121"/>
      <c r="K7618" s="117"/>
    </row>
    <row r="7619" ht="15.75" customHeight="1">
      <c r="A7619" s="122"/>
      <c r="B7619" s="133"/>
      <c r="C7619" s="120"/>
      <c r="D7619" s="120"/>
      <c r="E7619" s="120"/>
      <c r="F7619" s="120"/>
      <c r="G7619" s="120"/>
      <c r="H7619" s="120"/>
      <c r="I7619" s="121"/>
      <c r="J7619" s="121"/>
      <c r="K7619" s="117"/>
    </row>
    <row r="7620" ht="15.75" customHeight="1">
      <c r="A7620" s="122"/>
      <c r="B7620" s="133"/>
      <c r="C7620" s="120"/>
      <c r="D7620" s="120"/>
      <c r="E7620" s="120"/>
      <c r="F7620" s="120"/>
      <c r="G7620" s="120"/>
      <c r="H7620" s="120"/>
      <c r="I7620" s="121"/>
      <c r="J7620" s="121"/>
      <c r="K7620" s="117"/>
    </row>
    <row r="7621" ht="15.75" customHeight="1">
      <c r="A7621" s="122"/>
      <c r="B7621" s="133"/>
      <c r="C7621" s="120"/>
      <c r="D7621" s="120"/>
      <c r="E7621" s="120"/>
      <c r="F7621" s="120"/>
      <c r="G7621" s="120"/>
      <c r="H7621" s="120"/>
      <c r="I7621" s="121"/>
      <c r="J7621" s="121"/>
      <c r="K7621" s="117"/>
    </row>
    <row r="7622" ht="15.75" customHeight="1">
      <c r="A7622" s="122"/>
      <c r="B7622" s="133"/>
      <c r="C7622" s="120"/>
      <c r="D7622" s="120"/>
      <c r="E7622" s="120"/>
      <c r="F7622" s="120"/>
      <c r="G7622" s="120"/>
      <c r="H7622" s="120"/>
      <c r="I7622" s="121"/>
      <c r="J7622" s="121"/>
      <c r="K7622" s="117"/>
    </row>
    <row r="7623" ht="15.75" customHeight="1">
      <c r="A7623" s="122"/>
      <c r="B7623" s="133"/>
      <c r="C7623" s="120"/>
      <c r="D7623" s="120"/>
      <c r="E7623" s="120"/>
      <c r="F7623" s="120"/>
      <c r="G7623" s="120"/>
      <c r="H7623" s="120"/>
      <c r="I7623" s="121"/>
      <c r="J7623" s="121"/>
      <c r="K7623" s="117"/>
    </row>
    <row r="7624" ht="15.75" customHeight="1">
      <c r="A7624" s="122"/>
      <c r="B7624" s="133"/>
      <c r="C7624" s="120"/>
      <c r="D7624" s="120"/>
      <c r="E7624" s="120"/>
      <c r="F7624" s="120"/>
      <c r="G7624" s="120"/>
      <c r="H7624" s="120"/>
      <c r="I7624" s="121"/>
      <c r="J7624" s="121"/>
      <c r="K7624" s="117"/>
    </row>
    <row r="7625" ht="15.75" customHeight="1">
      <c r="A7625" s="122"/>
      <c r="B7625" s="133"/>
      <c r="C7625" s="120"/>
      <c r="D7625" s="120"/>
      <c r="E7625" s="120"/>
      <c r="F7625" s="120"/>
      <c r="G7625" s="120"/>
      <c r="H7625" s="120"/>
      <c r="I7625" s="121"/>
      <c r="J7625" s="121"/>
      <c r="K7625" s="117"/>
    </row>
    <row r="7626" ht="15.75" customHeight="1">
      <c r="A7626" s="122"/>
      <c r="B7626" s="133"/>
      <c r="C7626" s="120"/>
      <c r="D7626" s="120"/>
      <c r="E7626" s="120"/>
      <c r="F7626" s="120"/>
      <c r="G7626" s="120"/>
      <c r="H7626" s="120"/>
      <c r="I7626" s="121"/>
      <c r="J7626" s="121"/>
      <c r="K7626" s="117"/>
    </row>
    <row r="7627" ht="15.75" customHeight="1">
      <c r="A7627" s="122"/>
      <c r="B7627" s="133"/>
      <c r="C7627" s="120"/>
      <c r="D7627" s="120"/>
      <c r="E7627" s="120"/>
      <c r="F7627" s="120"/>
      <c r="G7627" s="120"/>
      <c r="H7627" s="120"/>
      <c r="I7627" s="121"/>
      <c r="J7627" s="121"/>
      <c r="K7627" s="117"/>
    </row>
    <row r="7628" ht="15.75" customHeight="1">
      <c r="A7628" s="122"/>
      <c r="B7628" s="133"/>
      <c r="C7628" s="120"/>
      <c r="D7628" s="120"/>
      <c r="E7628" s="120"/>
      <c r="F7628" s="120"/>
      <c r="G7628" s="120"/>
      <c r="H7628" s="120"/>
      <c r="I7628" s="121"/>
      <c r="J7628" s="121"/>
      <c r="K7628" s="117"/>
    </row>
    <row r="7629" ht="15.75" customHeight="1">
      <c r="A7629" s="122"/>
      <c r="B7629" s="133"/>
      <c r="C7629" s="120"/>
      <c r="D7629" s="120"/>
      <c r="E7629" s="120"/>
      <c r="F7629" s="120"/>
      <c r="G7629" s="120"/>
      <c r="H7629" s="120"/>
      <c r="I7629" s="121"/>
      <c r="J7629" s="121"/>
      <c r="K7629" s="117"/>
    </row>
    <row r="7630" ht="15.75" customHeight="1">
      <c r="A7630" s="122"/>
      <c r="B7630" s="133"/>
      <c r="C7630" s="120"/>
      <c r="D7630" s="120"/>
      <c r="E7630" s="120"/>
      <c r="F7630" s="120"/>
      <c r="G7630" s="120"/>
      <c r="H7630" s="120"/>
      <c r="I7630" s="121"/>
      <c r="J7630" s="121"/>
      <c r="K7630" s="117"/>
    </row>
    <row r="7631" ht="15.75" customHeight="1">
      <c r="A7631" s="122"/>
      <c r="B7631" s="133"/>
      <c r="C7631" s="120"/>
      <c r="D7631" s="120"/>
      <c r="E7631" s="120"/>
      <c r="F7631" s="120"/>
      <c r="G7631" s="120"/>
      <c r="H7631" s="120"/>
      <c r="I7631" s="121"/>
      <c r="J7631" s="121"/>
      <c r="K7631" s="117"/>
    </row>
    <row r="7632" ht="15.75" customHeight="1">
      <c r="A7632" s="122"/>
      <c r="B7632" s="133"/>
      <c r="C7632" s="120"/>
      <c r="D7632" s="120"/>
      <c r="E7632" s="120"/>
      <c r="F7632" s="120"/>
      <c r="G7632" s="120"/>
      <c r="H7632" s="120"/>
      <c r="I7632" s="121"/>
      <c r="J7632" s="121"/>
      <c r="K7632" s="117"/>
    </row>
    <row r="7633" ht="15.75" customHeight="1">
      <c r="A7633" s="122"/>
      <c r="B7633" s="133"/>
      <c r="C7633" s="120"/>
      <c r="D7633" s="120"/>
      <c r="E7633" s="120"/>
      <c r="F7633" s="120"/>
      <c r="G7633" s="120"/>
      <c r="H7633" s="120"/>
      <c r="I7633" s="121"/>
      <c r="J7633" s="121"/>
      <c r="K7633" s="117"/>
    </row>
    <row r="7634" ht="15.75" customHeight="1">
      <c r="A7634" s="122"/>
      <c r="B7634" s="133"/>
      <c r="C7634" s="120"/>
      <c r="D7634" s="120"/>
      <c r="E7634" s="120"/>
      <c r="F7634" s="120"/>
      <c r="G7634" s="120"/>
      <c r="H7634" s="120"/>
      <c r="I7634" s="121"/>
      <c r="J7634" s="121"/>
      <c r="K7634" s="117"/>
    </row>
    <row r="7635" ht="15.75" customHeight="1">
      <c r="A7635" s="122"/>
      <c r="B7635" s="133"/>
      <c r="C7635" s="120"/>
      <c r="D7635" s="120"/>
      <c r="E7635" s="120"/>
      <c r="F7635" s="120"/>
      <c r="G7635" s="120"/>
      <c r="H7635" s="120"/>
      <c r="I7635" s="121"/>
      <c r="J7635" s="121"/>
      <c r="K7635" s="117"/>
    </row>
    <row r="7636" ht="15.75" customHeight="1">
      <c r="A7636" s="122"/>
      <c r="B7636" s="133"/>
      <c r="C7636" s="120"/>
      <c r="D7636" s="120"/>
      <c r="E7636" s="120"/>
      <c r="F7636" s="120"/>
      <c r="G7636" s="120"/>
      <c r="H7636" s="120"/>
      <c r="I7636" s="121"/>
      <c r="J7636" s="121"/>
      <c r="K7636" s="117"/>
    </row>
    <row r="7637" ht="15.75" customHeight="1">
      <c r="A7637" s="122"/>
      <c r="B7637" s="133"/>
      <c r="C7637" s="120"/>
      <c r="D7637" s="120"/>
      <c r="E7637" s="120"/>
      <c r="F7637" s="120"/>
      <c r="G7637" s="120"/>
      <c r="H7637" s="120"/>
      <c r="I7637" s="121"/>
      <c r="J7637" s="121"/>
      <c r="K7637" s="117"/>
    </row>
    <row r="7638" ht="15.75" customHeight="1">
      <c r="A7638" s="122"/>
      <c r="B7638" s="133"/>
      <c r="C7638" s="120"/>
      <c r="D7638" s="120"/>
      <c r="E7638" s="120"/>
      <c r="F7638" s="120"/>
      <c r="G7638" s="120"/>
      <c r="H7638" s="120"/>
      <c r="I7638" s="121"/>
      <c r="J7638" s="121"/>
      <c r="K7638" s="117"/>
    </row>
    <row r="7639" ht="15.75" customHeight="1">
      <c r="A7639" s="122"/>
      <c r="B7639" s="133"/>
      <c r="C7639" s="120"/>
      <c r="D7639" s="120"/>
      <c r="E7639" s="120"/>
      <c r="F7639" s="120"/>
      <c r="G7639" s="120"/>
      <c r="H7639" s="120"/>
      <c r="I7639" s="121"/>
      <c r="J7639" s="121"/>
      <c r="K7639" s="117"/>
    </row>
    <row r="7640" ht="15.75" customHeight="1">
      <c r="A7640" s="122"/>
      <c r="B7640" s="133"/>
      <c r="C7640" s="120"/>
      <c r="D7640" s="120"/>
      <c r="E7640" s="120"/>
      <c r="F7640" s="120"/>
      <c r="G7640" s="120"/>
      <c r="H7640" s="120"/>
      <c r="I7640" s="121"/>
      <c r="J7640" s="121"/>
      <c r="K7640" s="117"/>
    </row>
    <row r="7641" ht="15.75" customHeight="1">
      <c r="A7641" s="122"/>
      <c r="B7641" s="133"/>
      <c r="C7641" s="120"/>
      <c r="D7641" s="120"/>
      <c r="E7641" s="120"/>
      <c r="F7641" s="120"/>
      <c r="G7641" s="120"/>
      <c r="H7641" s="120"/>
      <c r="I7641" s="121"/>
      <c r="J7641" s="121"/>
      <c r="K7641" s="117"/>
    </row>
    <row r="7642" ht="15.75" customHeight="1">
      <c r="A7642" s="122"/>
      <c r="B7642" s="133"/>
      <c r="C7642" s="120"/>
      <c r="D7642" s="120"/>
      <c r="E7642" s="120"/>
      <c r="F7642" s="120"/>
      <c r="G7642" s="120"/>
      <c r="H7642" s="120"/>
      <c r="I7642" s="121"/>
      <c r="J7642" s="121"/>
      <c r="K7642" s="117"/>
    </row>
    <row r="7643" ht="15.75" customHeight="1">
      <c r="A7643" s="122"/>
      <c r="B7643" s="133"/>
      <c r="C7643" s="120"/>
      <c r="D7643" s="120"/>
      <c r="E7643" s="120"/>
      <c r="F7643" s="120"/>
      <c r="G7643" s="120"/>
      <c r="H7643" s="120"/>
      <c r="I7643" s="121"/>
      <c r="J7643" s="121"/>
      <c r="K7643" s="117"/>
    </row>
    <row r="7644" ht="15.75" customHeight="1">
      <c r="A7644" s="122"/>
      <c r="B7644" s="133"/>
      <c r="C7644" s="120"/>
      <c r="D7644" s="120"/>
      <c r="E7644" s="120"/>
      <c r="F7644" s="120"/>
      <c r="G7644" s="120"/>
      <c r="H7644" s="120"/>
      <c r="I7644" s="121"/>
      <c r="J7644" s="121"/>
      <c r="K7644" s="117"/>
    </row>
    <row r="7645" ht="15.75" customHeight="1">
      <c r="A7645" s="122"/>
      <c r="B7645" s="133"/>
      <c r="C7645" s="120"/>
      <c r="D7645" s="120"/>
      <c r="E7645" s="120"/>
      <c r="F7645" s="120"/>
      <c r="G7645" s="120"/>
      <c r="H7645" s="120"/>
      <c r="I7645" s="121"/>
      <c r="J7645" s="121"/>
      <c r="K7645" s="117"/>
    </row>
    <row r="7646" ht="15.75" customHeight="1">
      <c r="A7646" s="122"/>
      <c r="B7646" s="133"/>
      <c r="C7646" s="120"/>
      <c r="D7646" s="120"/>
      <c r="E7646" s="120"/>
      <c r="F7646" s="120"/>
      <c r="G7646" s="120"/>
      <c r="H7646" s="120"/>
      <c r="I7646" s="121"/>
      <c r="J7646" s="121"/>
      <c r="K7646" s="117"/>
    </row>
    <row r="7647" ht="15.75" customHeight="1">
      <c r="A7647" s="122"/>
      <c r="B7647" s="133"/>
      <c r="C7647" s="120"/>
      <c r="D7647" s="120"/>
      <c r="E7647" s="120"/>
      <c r="F7647" s="120"/>
      <c r="G7647" s="120"/>
      <c r="H7647" s="120"/>
      <c r="I7647" s="121"/>
      <c r="J7647" s="121"/>
      <c r="K7647" s="117"/>
    </row>
    <row r="7648" ht="15.75" customHeight="1">
      <c r="A7648" s="122"/>
      <c r="B7648" s="133"/>
      <c r="C7648" s="120"/>
      <c r="D7648" s="120"/>
      <c r="E7648" s="120"/>
      <c r="F7648" s="120"/>
      <c r="G7648" s="120"/>
      <c r="H7648" s="120"/>
      <c r="I7648" s="121"/>
      <c r="J7648" s="121"/>
      <c r="K7648" s="117"/>
    </row>
    <row r="7649" ht="15.75" customHeight="1">
      <c r="A7649" s="122"/>
      <c r="B7649" s="133"/>
      <c r="C7649" s="120"/>
      <c r="D7649" s="120"/>
      <c r="E7649" s="120"/>
      <c r="F7649" s="120"/>
      <c r="G7649" s="120"/>
      <c r="H7649" s="120"/>
      <c r="I7649" s="121"/>
      <c r="J7649" s="121"/>
      <c r="K7649" s="117"/>
    </row>
    <row r="7650" ht="15.75" customHeight="1">
      <c r="A7650" s="122"/>
      <c r="B7650" s="133"/>
      <c r="C7650" s="120"/>
      <c r="D7650" s="120"/>
      <c r="E7650" s="120"/>
      <c r="F7650" s="120"/>
      <c r="G7650" s="120"/>
      <c r="H7650" s="120"/>
      <c r="I7650" s="121"/>
      <c r="J7650" s="121"/>
      <c r="K7650" s="117"/>
    </row>
    <row r="7651" ht="15.75" customHeight="1">
      <c r="A7651" s="122"/>
      <c r="B7651" s="133"/>
      <c r="C7651" s="120"/>
      <c r="D7651" s="120"/>
      <c r="E7651" s="120"/>
      <c r="F7651" s="120"/>
      <c r="G7651" s="120"/>
      <c r="H7651" s="120"/>
      <c r="I7651" s="121"/>
      <c r="J7651" s="121"/>
      <c r="K7651" s="117"/>
    </row>
    <row r="7652" ht="15.75" customHeight="1">
      <c r="A7652" s="122"/>
      <c r="B7652" s="133"/>
      <c r="C7652" s="120"/>
      <c r="D7652" s="120"/>
      <c r="E7652" s="120"/>
      <c r="F7652" s="120"/>
      <c r="G7652" s="120"/>
      <c r="H7652" s="120"/>
      <c r="I7652" s="121"/>
      <c r="J7652" s="121"/>
      <c r="K7652" s="117"/>
    </row>
    <row r="7653" ht="15.75" customHeight="1">
      <c r="A7653" s="122"/>
      <c r="B7653" s="133"/>
      <c r="C7653" s="120"/>
      <c r="D7653" s="120"/>
      <c r="E7653" s="120"/>
      <c r="F7653" s="120"/>
      <c r="G7653" s="120"/>
      <c r="H7653" s="120"/>
      <c r="I7653" s="121"/>
      <c r="J7653" s="121"/>
      <c r="K7653" s="117"/>
    </row>
    <row r="7654" ht="15.75" customHeight="1">
      <c r="A7654" s="122"/>
      <c r="B7654" s="133"/>
      <c r="C7654" s="120"/>
      <c r="D7654" s="120"/>
      <c r="E7654" s="120"/>
      <c r="F7654" s="120"/>
      <c r="G7654" s="120"/>
      <c r="H7654" s="120"/>
      <c r="I7654" s="121"/>
      <c r="J7654" s="121"/>
      <c r="K7654" s="117"/>
    </row>
    <row r="7655" ht="15.75" customHeight="1">
      <c r="A7655" s="122"/>
      <c r="B7655" s="133"/>
      <c r="C7655" s="120"/>
      <c r="D7655" s="120"/>
      <c r="E7655" s="120"/>
      <c r="F7655" s="120"/>
      <c r="G7655" s="120"/>
      <c r="H7655" s="120"/>
      <c r="I7655" s="121"/>
      <c r="J7655" s="121"/>
      <c r="K7655" s="117"/>
    </row>
    <row r="7656" ht="15.75" customHeight="1">
      <c r="A7656" s="122"/>
      <c r="B7656" s="133"/>
      <c r="C7656" s="120"/>
      <c r="D7656" s="120"/>
      <c r="E7656" s="120"/>
      <c r="F7656" s="120"/>
      <c r="G7656" s="120"/>
      <c r="H7656" s="120"/>
      <c r="I7656" s="121"/>
      <c r="J7656" s="121"/>
      <c r="K7656" s="117"/>
    </row>
    <row r="7657" ht="15.75" customHeight="1">
      <c r="A7657" s="122"/>
      <c r="B7657" s="133"/>
      <c r="C7657" s="120"/>
      <c r="D7657" s="120"/>
      <c r="E7657" s="120"/>
      <c r="F7657" s="120"/>
      <c r="G7657" s="120"/>
      <c r="H7657" s="120"/>
      <c r="I7657" s="121"/>
      <c r="J7657" s="121"/>
      <c r="K7657" s="117"/>
    </row>
    <row r="7658" ht="15.75" customHeight="1">
      <c r="A7658" s="122"/>
      <c r="B7658" s="133"/>
      <c r="C7658" s="120"/>
      <c r="D7658" s="120"/>
      <c r="E7658" s="120"/>
      <c r="F7658" s="120"/>
      <c r="G7658" s="120"/>
      <c r="H7658" s="120"/>
      <c r="I7658" s="121"/>
      <c r="J7658" s="121"/>
      <c r="K7658" s="117"/>
    </row>
    <row r="7659" ht="15.75" customHeight="1">
      <c r="A7659" s="122"/>
      <c r="B7659" s="133"/>
      <c r="C7659" s="120"/>
      <c r="D7659" s="120"/>
      <c r="E7659" s="120"/>
      <c r="F7659" s="120"/>
      <c r="G7659" s="120"/>
      <c r="H7659" s="120"/>
      <c r="I7659" s="121"/>
      <c r="J7659" s="121"/>
      <c r="K7659" s="117"/>
    </row>
    <row r="7660" ht="15.75" customHeight="1">
      <c r="A7660" s="122"/>
      <c r="B7660" s="133"/>
      <c r="C7660" s="120"/>
      <c r="D7660" s="120"/>
      <c r="E7660" s="120"/>
      <c r="F7660" s="120"/>
      <c r="G7660" s="120"/>
      <c r="H7660" s="120"/>
      <c r="I7660" s="121"/>
      <c r="J7660" s="121"/>
      <c r="K7660" s="117"/>
    </row>
    <row r="7661" ht="15.75" customHeight="1">
      <c r="A7661" s="122"/>
      <c r="B7661" s="133"/>
      <c r="C7661" s="120"/>
      <c r="D7661" s="120"/>
      <c r="E7661" s="120"/>
      <c r="F7661" s="120"/>
      <c r="G7661" s="120"/>
      <c r="H7661" s="120"/>
      <c r="I7661" s="121"/>
      <c r="J7661" s="121"/>
      <c r="K7661" s="117"/>
    </row>
    <row r="7662" ht="15.75" customHeight="1">
      <c r="A7662" s="122"/>
      <c r="B7662" s="133"/>
      <c r="C7662" s="120"/>
      <c r="D7662" s="120"/>
      <c r="E7662" s="120"/>
      <c r="F7662" s="120"/>
      <c r="G7662" s="120"/>
      <c r="H7662" s="120"/>
      <c r="I7662" s="121"/>
      <c r="J7662" s="121"/>
      <c r="K7662" s="117"/>
    </row>
    <row r="7663" ht="15.75" customHeight="1">
      <c r="A7663" s="122"/>
      <c r="B7663" s="133"/>
      <c r="C7663" s="120"/>
      <c r="D7663" s="120"/>
      <c r="E7663" s="120"/>
      <c r="F7663" s="120"/>
      <c r="G7663" s="120"/>
      <c r="H7663" s="120"/>
      <c r="I7663" s="121"/>
      <c r="J7663" s="121"/>
      <c r="K7663" s="117"/>
    </row>
    <row r="7664" ht="15.75" customHeight="1">
      <c r="A7664" s="122"/>
      <c r="B7664" s="133"/>
      <c r="C7664" s="120"/>
      <c r="D7664" s="120"/>
      <c r="E7664" s="120"/>
      <c r="F7664" s="120"/>
      <c r="G7664" s="120"/>
      <c r="H7664" s="120"/>
      <c r="I7664" s="121"/>
      <c r="J7664" s="121"/>
      <c r="K7664" s="117"/>
    </row>
    <row r="7665" ht="15.75" customHeight="1">
      <c r="A7665" s="122"/>
      <c r="B7665" s="133"/>
      <c r="C7665" s="120"/>
      <c r="D7665" s="120"/>
      <c r="E7665" s="120"/>
      <c r="F7665" s="120"/>
      <c r="G7665" s="120"/>
      <c r="H7665" s="120"/>
      <c r="I7665" s="121"/>
      <c r="J7665" s="121"/>
      <c r="K7665" s="117"/>
    </row>
    <row r="7666" ht="15.75" customHeight="1">
      <c r="A7666" s="122"/>
      <c r="B7666" s="133"/>
      <c r="C7666" s="120"/>
      <c r="D7666" s="120"/>
      <c r="E7666" s="120"/>
      <c r="F7666" s="120"/>
      <c r="G7666" s="120"/>
      <c r="H7666" s="120"/>
      <c r="I7666" s="121"/>
      <c r="J7666" s="121"/>
      <c r="K7666" s="117"/>
    </row>
    <row r="7667" ht="15.75" customHeight="1">
      <c r="A7667" s="122"/>
      <c r="B7667" s="133"/>
      <c r="C7667" s="120"/>
      <c r="D7667" s="120"/>
      <c r="E7667" s="120"/>
      <c r="F7667" s="120"/>
      <c r="G7667" s="120"/>
      <c r="H7667" s="120"/>
      <c r="I7667" s="121"/>
      <c r="J7667" s="121"/>
      <c r="K7667" s="117"/>
    </row>
    <row r="7668" ht="15.75" customHeight="1">
      <c r="A7668" s="122"/>
      <c r="B7668" s="133"/>
      <c r="C7668" s="120"/>
      <c r="D7668" s="120"/>
      <c r="E7668" s="120"/>
      <c r="F7668" s="120"/>
      <c r="G7668" s="120"/>
      <c r="H7668" s="120"/>
      <c r="I7668" s="121"/>
      <c r="J7668" s="121"/>
      <c r="K7668" s="117"/>
    </row>
    <row r="7669" ht="15.75" customHeight="1">
      <c r="A7669" s="122"/>
      <c r="B7669" s="133"/>
      <c r="C7669" s="120"/>
      <c r="D7669" s="120"/>
      <c r="E7669" s="120"/>
      <c r="F7669" s="120"/>
      <c r="G7669" s="120"/>
      <c r="H7669" s="120"/>
      <c r="I7669" s="121"/>
      <c r="J7669" s="121"/>
      <c r="K7669" s="117"/>
    </row>
    <row r="7670" ht="15.75" customHeight="1">
      <c r="A7670" s="122"/>
      <c r="B7670" s="133"/>
      <c r="C7670" s="120"/>
      <c r="D7670" s="120"/>
      <c r="E7670" s="120"/>
      <c r="F7670" s="120"/>
      <c r="G7670" s="120"/>
      <c r="H7670" s="120"/>
      <c r="I7670" s="121"/>
      <c r="J7670" s="121"/>
      <c r="K7670" s="117"/>
    </row>
    <row r="7671" ht="15.75" customHeight="1">
      <c r="A7671" s="122"/>
      <c r="B7671" s="133"/>
      <c r="C7671" s="120"/>
      <c r="D7671" s="120"/>
      <c r="E7671" s="120"/>
      <c r="F7671" s="120"/>
      <c r="G7671" s="120"/>
      <c r="H7671" s="120"/>
      <c r="I7671" s="121"/>
      <c r="J7671" s="121"/>
      <c r="K7671" s="117"/>
    </row>
    <row r="7672" ht="15.75" customHeight="1">
      <c r="A7672" s="122"/>
      <c r="B7672" s="133"/>
      <c r="C7672" s="120"/>
      <c r="D7672" s="120"/>
      <c r="E7672" s="120"/>
      <c r="F7672" s="120"/>
      <c r="G7672" s="120"/>
      <c r="H7672" s="120"/>
      <c r="I7672" s="121"/>
      <c r="J7672" s="121"/>
      <c r="K7672" s="117"/>
    </row>
    <row r="7673" ht="15.75" customHeight="1">
      <c r="A7673" s="122"/>
      <c r="B7673" s="133"/>
      <c r="C7673" s="120"/>
      <c r="D7673" s="120"/>
      <c r="E7673" s="120"/>
      <c r="F7673" s="120"/>
      <c r="G7673" s="120"/>
      <c r="H7673" s="120"/>
      <c r="I7673" s="121"/>
      <c r="J7673" s="121"/>
      <c r="K7673" s="117"/>
    </row>
    <row r="7674" ht="15.75" customHeight="1">
      <c r="A7674" s="122"/>
      <c r="B7674" s="133"/>
      <c r="C7674" s="120"/>
      <c r="D7674" s="120"/>
      <c r="E7674" s="120"/>
      <c r="F7674" s="120"/>
      <c r="G7674" s="120"/>
      <c r="H7674" s="120"/>
      <c r="I7674" s="121"/>
      <c r="J7674" s="121"/>
      <c r="K7674" s="117"/>
    </row>
    <row r="7675" ht="15.75" customHeight="1">
      <c r="A7675" s="122"/>
      <c r="B7675" s="133"/>
      <c r="C7675" s="120"/>
      <c r="D7675" s="120"/>
      <c r="E7675" s="120"/>
      <c r="F7675" s="120"/>
      <c r="G7675" s="120"/>
      <c r="H7675" s="120"/>
      <c r="I7675" s="121"/>
      <c r="J7675" s="121"/>
      <c r="K7675" s="117"/>
    </row>
    <row r="7676" ht="15.75" customHeight="1">
      <c r="A7676" s="122"/>
      <c r="B7676" s="133"/>
      <c r="C7676" s="120"/>
      <c r="D7676" s="120"/>
      <c r="E7676" s="120"/>
      <c r="F7676" s="120"/>
      <c r="G7676" s="120"/>
      <c r="H7676" s="120"/>
      <c r="I7676" s="121"/>
      <c r="J7676" s="121"/>
      <c r="K7676" s="117"/>
    </row>
    <row r="7677" ht="15.75" customHeight="1">
      <c r="A7677" s="122"/>
      <c r="B7677" s="133"/>
      <c r="C7677" s="120"/>
      <c r="D7677" s="120"/>
      <c r="E7677" s="120"/>
      <c r="F7677" s="120"/>
      <c r="G7677" s="120"/>
      <c r="H7677" s="120"/>
      <c r="I7677" s="121"/>
      <c r="J7677" s="121"/>
      <c r="K7677" s="117"/>
    </row>
    <row r="7678" ht="15.75" customHeight="1">
      <c r="A7678" s="122"/>
      <c r="B7678" s="133"/>
      <c r="C7678" s="120"/>
      <c r="D7678" s="120"/>
      <c r="E7678" s="120"/>
      <c r="F7678" s="120"/>
      <c r="G7678" s="120"/>
      <c r="H7678" s="120"/>
      <c r="I7678" s="121"/>
      <c r="J7678" s="121"/>
      <c r="K7678" s="117"/>
    </row>
    <row r="7679" ht="15.75" customHeight="1">
      <c r="A7679" s="122"/>
      <c r="B7679" s="133"/>
      <c r="C7679" s="120"/>
      <c r="D7679" s="120"/>
      <c r="E7679" s="120"/>
      <c r="F7679" s="120"/>
      <c r="G7679" s="120"/>
      <c r="H7679" s="120"/>
      <c r="I7679" s="121"/>
      <c r="J7679" s="121"/>
      <c r="K7679" s="117"/>
    </row>
    <row r="7680" ht="15.75" customHeight="1">
      <c r="A7680" s="122"/>
      <c r="B7680" s="133"/>
      <c r="C7680" s="120"/>
      <c r="D7680" s="120"/>
      <c r="E7680" s="120"/>
      <c r="F7680" s="120"/>
      <c r="G7680" s="120"/>
      <c r="H7680" s="120"/>
      <c r="I7680" s="121"/>
      <c r="J7680" s="121"/>
      <c r="K7680" s="117"/>
    </row>
    <row r="7681" ht="15.75" customHeight="1">
      <c r="A7681" s="122"/>
      <c r="B7681" s="133"/>
      <c r="C7681" s="120"/>
      <c r="D7681" s="120"/>
      <c r="E7681" s="120"/>
      <c r="F7681" s="120"/>
      <c r="G7681" s="120"/>
      <c r="H7681" s="120"/>
      <c r="I7681" s="121"/>
      <c r="J7681" s="121"/>
      <c r="K7681" s="117"/>
    </row>
    <row r="7682" ht="15.75" customHeight="1">
      <c r="A7682" s="122"/>
      <c r="B7682" s="133"/>
      <c r="C7682" s="120"/>
      <c r="D7682" s="120"/>
      <c r="E7682" s="120"/>
      <c r="F7682" s="120"/>
      <c r="G7682" s="120"/>
      <c r="H7682" s="120"/>
      <c r="I7682" s="121"/>
      <c r="J7682" s="121"/>
      <c r="K7682" s="117"/>
    </row>
    <row r="7683" ht="15.75" customHeight="1">
      <c r="A7683" s="122"/>
      <c r="B7683" s="133"/>
      <c r="C7683" s="120"/>
      <c r="D7683" s="120"/>
      <c r="E7683" s="120"/>
      <c r="F7683" s="120"/>
      <c r="G7683" s="120"/>
      <c r="H7683" s="120"/>
      <c r="I7683" s="121"/>
      <c r="J7683" s="121"/>
      <c r="K7683" s="117"/>
    </row>
    <row r="7684" ht="15.75" customHeight="1">
      <c r="A7684" s="122"/>
      <c r="B7684" s="133"/>
      <c r="C7684" s="120"/>
      <c r="D7684" s="120"/>
      <c r="E7684" s="120"/>
      <c r="F7684" s="120"/>
      <c r="G7684" s="120"/>
      <c r="H7684" s="120"/>
      <c r="I7684" s="121"/>
      <c r="J7684" s="121"/>
      <c r="K7684" s="117"/>
    </row>
    <row r="7685" ht="15.75" customHeight="1">
      <c r="A7685" s="122"/>
      <c r="B7685" s="133"/>
      <c r="C7685" s="120"/>
      <c r="D7685" s="120"/>
      <c r="E7685" s="120"/>
      <c r="F7685" s="120"/>
      <c r="G7685" s="120"/>
      <c r="H7685" s="120"/>
      <c r="I7685" s="121"/>
      <c r="J7685" s="121"/>
      <c r="K7685" s="117"/>
    </row>
    <row r="7686" ht="15.75" customHeight="1">
      <c r="A7686" s="122"/>
      <c r="B7686" s="133"/>
      <c r="C7686" s="120"/>
      <c r="D7686" s="120"/>
      <c r="E7686" s="120"/>
      <c r="F7686" s="120"/>
      <c r="G7686" s="120"/>
      <c r="H7686" s="120"/>
      <c r="I7686" s="121"/>
      <c r="J7686" s="121"/>
      <c r="K7686" s="117"/>
    </row>
    <row r="7687" ht="15.75" customHeight="1">
      <c r="A7687" s="122"/>
      <c r="B7687" s="133"/>
      <c r="C7687" s="120"/>
      <c r="D7687" s="120"/>
      <c r="E7687" s="120"/>
      <c r="F7687" s="120"/>
      <c r="G7687" s="120"/>
      <c r="H7687" s="120"/>
      <c r="I7687" s="121"/>
      <c r="J7687" s="121"/>
      <c r="K7687" s="117"/>
    </row>
    <row r="7688" ht="15.75" customHeight="1">
      <c r="A7688" s="122"/>
      <c r="B7688" s="133"/>
      <c r="C7688" s="120"/>
      <c r="D7688" s="120"/>
      <c r="E7688" s="120"/>
      <c r="F7688" s="120"/>
      <c r="G7688" s="120"/>
      <c r="H7688" s="120"/>
      <c r="I7688" s="121"/>
      <c r="J7688" s="121"/>
      <c r="K7688" s="117"/>
    </row>
    <row r="7689" ht="15.75" customHeight="1">
      <c r="A7689" s="122"/>
      <c r="B7689" s="133"/>
      <c r="C7689" s="120"/>
      <c r="D7689" s="120"/>
      <c r="E7689" s="120"/>
      <c r="F7689" s="120"/>
      <c r="G7689" s="120"/>
      <c r="H7689" s="120"/>
      <c r="I7689" s="121"/>
      <c r="J7689" s="121"/>
      <c r="K7689" s="117"/>
    </row>
    <row r="7690" ht="15.75" customHeight="1">
      <c r="A7690" s="122"/>
      <c r="B7690" s="133"/>
      <c r="C7690" s="120"/>
      <c r="D7690" s="120"/>
      <c r="E7690" s="120"/>
      <c r="F7690" s="120"/>
      <c r="G7690" s="120"/>
      <c r="H7690" s="120"/>
      <c r="I7690" s="121"/>
      <c r="J7690" s="121"/>
      <c r="K7690" s="117"/>
    </row>
    <row r="7691" ht="15.75" customHeight="1">
      <c r="A7691" s="122"/>
      <c r="B7691" s="133"/>
      <c r="C7691" s="120"/>
      <c r="D7691" s="120"/>
      <c r="E7691" s="120"/>
      <c r="F7691" s="120"/>
      <c r="G7691" s="120"/>
      <c r="H7691" s="120"/>
      <c r="I7691" s="121"/>
      <c r="J7691" s="121"/>
      <c r="K7691" s="117"/>
    </row>
    <row r="7692" ht="15.75" customHeight="1">
      <c r="A7692" s="122"/>
      <c r="B7692" s="133"/>
      <c r="C7692" s="120"/>
      <c r="D7692" s="120"/>
      <c r="E7692" s="120"/>
      <c r="F7692" s="120"/>
      <c r="G7692" s="120"/>
      <c r="H7692" s="120"/>
      <c r="I7692" s="121"/>
      <c r="J7692" s="121"/>
      <c r="K7692" s="117"/>
    </row>
    <row r="7693" ht="15.75" customHeight="1">
      <c r="A7693" s="122"/>
      <c r="B7693" s="133"/>
      <c r="C7693" s="120"/>
      <c r="D7693" s="120"/>
      <c r="E7693" s="120"/>
      <c r="F7693" s="120"/>
      <c r="G7693" s="120"/>
      <c r="H7693" s="120"/>
      <c r="I7693" s="121"/>
      <c r="J7693" s="121"/>
      <c r="K7693" s="117"/>
    </row>
    <row r="7694" ht="15.75" customHeight="1">
      <c r="A7694" s="122"/>
      <c r="B7694" s="133"/>
      <c r="C7694" s="120"/>
      <c r="D7694" s="120"/>
      <c r="E7694" s="120"/>
      <c r="F7694" s="120"/>
      <c r="G7694" s="120"/>
      <c r="H7694" s="120"/>
      <c r="I7694" s="121"/>
      <c r="J7694" s="121"/>
      <c r="K7694" s="117"/>
    </row>
    <row r="7695" ht="15.75" customHeight="1">
      <c r="A7695" s="122"/>
      <c r="B7695" s="133"/>
      <c r="C7695" s="120"/>
      <c r="D7695" s="120"/>
      <c r="E7695" s="120"/>
      <c r="F7695" s="120"/>
      <c r="G7695" s="120"/>
      <c r="H7695" s="120"/>
      <c r="I7695" s="121"/>
      <c r="J7695" s="121"/>
      <c r="K7695" s="117"/>
    </row>
    <row r="7696" ht="15.75" customHeight="1">
      <c r="A7696" s="122"/>
      <c r="B7696" s="133"/>
      <c r="C7696" s="120"/>
      <c r="D7696" s="120"/>
      <c r="E7696" s="120"/>
      <c r="F7696" s="120"/>
      <c r="G7696" s="120"/>
      <c r="H7696" s="120"/>
      <c r="I7696" s="121"/>
      <c r="J7696" s="121"/>
      <c r="K7696" s="117"/>
    </row>
    <row r="7697" ht="15.75" customHeight="1">
      <c r="A7697" s="122"/>
      <c r="B7697" s="133"/>
      <c r="C7697" s="120"/>
      <c r="D7697" s="120"/>
      <c r="E7697" s="120"/>
      <c r="F7697" s="120"/>
      <c r="G7697" s="120"/>
      <c r="H7697" s="120"/>
      <c r="I7697" s="121"/>
      <c r="J7697" s="121"/>
      <c r="K7697" s="117"/>
    </row>
    <row r="7698" ht="15.75" customHeight="1">
      <c r="A7698" s="122"/>
      <c r="B7698" s="133"/>
      <c r="C7698" s="120"/>
      <c r="D7698" s="120"/>
      <c r="E7698" s="120"/>
      <c r="F7698" s="120"/>
      <c r="G7698" s="120"/>
      <c r="H7698" s="120"/>
      <c r="I7698" s="121"/>
      <c r="J7698" s="121"/>
      <c r="K7698" s="117"/>
    </row>
    <row r="7699" ht="15.75" customHeight="1">
      <c r="A7699" s="122"/>
      <c r="B7699" s="133"/>
      <c r="C7699" s="120"/>
      <c r="D7699" s="120"/>
      <c r="E7699" s="120"/>
      <c r="F7699" s="120"/>
      <c r="G7699" s="120"/>
      <c r="H7699" s="120"/>
      <c r="I7699" s="121"/>
      <c r="J7699" s="121"/>
      <c r="K7699" s="117"/>
    </row>
    <row r="7700" ht="15.75" customHeight="1">
      <c r="A7700" s="122"/>
      <c r="B7700" s="133"/>
      <c r="C7700" s="120"/>
      <c r="D7700" s="120"/>
      <c r="E7700" s="120"/>
      <c r="F7700" s="120"/>
      <c r="G7700" s="120"/>
      <c r="H7700" s="120"/>
      <c r="I7700" s="121"/>
      <c r="J7700" s="121"/>
      <c r="K7700" s="117"/>
    </row>
    <row r="7701" ht="15.75" customHeight="1">
      <c r="A7701" s="122"/>
      <c r="B7701" s="133"/>
      <c r="C7701" s="120"/>
      <c r="D7701" s="120"/>
      <c r="E7701" s="120"/>
      <c r="F7701" s="120"/>
      <c r="G7701" s="120"/>
      <c r="H7701" s="120"/>
      <c r="I7701" s="121"/>
      <c r="J7701" s="121"/>
      <c r="K7701" s="117"/>
    </row>
    <row r="7702" ht="15.75" customHeight="1">
      <c r="A7702" s="122"/>
      <c r="B7702" s="133"/>
      <c r="C7702" s="120"/>
      <c r="D7702" s="120"/>
      <c r="E7702" s="120"/>
      <c r="F7702" s="120"/>
      <c r="G7702" s="120"/>
      <c r="H7702" s="120"/>
      <c r="I7702" s="121"/>
      <c r="J7702" s="121"/>
      <c r="K7702" s="117"/>
    </row>
    <row r="7703" ht="15.75" customHeight="1">
      <c r="A7703" s="122"/>
      <c r="B7703" s="133"/>
      <c r="C7703" s="120"/>
      <c r="D7703" s="120"/>
      <c r="E7703" s="120"/>
      <c r="F7703" s="120"/>
      <c r="G7703" s="120"/>
      <c r="H7703" s="120"/>
      <c r="I7703" s="121"/>
      <c r="J7703" s="121"/>
      <c r="K7703" s="117"/>
    </row>
    <row r="7704" ht="15.75" customHeight="1">
      <c r="A7704" s="122"/>
      <c r="B7704" s="133"/>
      <c r="C7704" s="120"/>
      <c r="D7704" s="120"/>
      <c r="E7704" s="120"/>
      <c r="F7704" s="120"/>
      <c r="G7704" s="120"/>
      <c r="H7704" s="120"/>
      <c r="I7704" s="121"/>
      <c r="J7704" s="121"/>
      <c r="K7704" s="117"/>
    </row>
    <row r="7705" ht="15.75" customHeight="1">
      <c r="A7705" s="122"/>
      <c r="B7705" s="133"/>
      <c r="C7705" s="120"/>
      <c r="D7705" s="120"/>
      <c r="E7705" s="120"/>
      <c r="F7705" s="120"/>
      <c r="G7705" s="120"/>
      <c r="H7705" s="120"/>
      <c r="I7705" s="121"/>
      <c r="J7705" s="121"/>
      <c r="K7705" s="117"/>
    </row>
    <row r="7706" ht="15.75" customHeight="1">
      <c r="A7706" s="122"/>
      <c r="B7706" s="133"/>
      <c r="C7706" s="120"/>
      <c r="D7706" s="120"/>
      <c r="E7706" s="120"/>
      <c r="F7706" s="120"/>
      <c r="G7706" s="120"/>
      <c r="H7706" s="120"/>
      <c r="I7706" s="121"/>
      <c r="J7706" s="121"/>
      <c r="K7706" s="117"/>
    </row>
    <row r="7707" ht="15.75" customHeight="1">
      <c r="A7707" s="122"/>
      <c r="B7707" s="133"/>
      <c r="C7707" s="120"/>
      <c r="D7707" s="120"/>
      <c r="E7707" s="120"/>
      <c r="F7707" s="120"/>
      <c r="G7707" s="120"/>
      <c r="H7707" s="120"/>
      <c r="I7707" s="121"/>
      <c r="J7707" s="121"/>
      <c r="K7707" s="117"/>
    </row>
    <row r="7708" ht="15.75" customHeight="1">
      <c r="A7708" s="122"/>
      <c r="B7708" s="133"/>
      <c r="C7708" s="120"/>
      <c r="D7708" s="120"/>
      <c r="E7708" s="120"/>
      <c r="F7708" s="120"/>
      <c r="G7708" s="120"/>
      <c r="H7708" s="120"/>
      <c r="I7708" s="121"/>
      <c r="J7708" s="121"/>
      <c r="K7708" s="117"/>
    </row>
    <row r="7709" ht="15.75" customHeight="1">
      <c r="A7709" s="122"/>
      <c r="B7709" s="133"/>
      <c r="C7709" s="120"/>
      <c r="D7709" s="120"/>
      <c r="E7709" s="120"/>
      <c r="F7709" s="120"/>
      <c r="G7709" s="120"/>
      <c r="H7709" s="120"/>
      <c r="I7709" s="121"/>
      <c r="J7709" s="121"/>
      <c r="K7709" s="117"/>
    </row>
    <row r="7710" ht="15.75" customHeight="1">
      <c r="A7710" s="122"/>
      <c r="B7710" s="133"/>
      <c r="C7710" s="120"/>
      <c r="D7710" s="120"/>
      <c r="E7710" s="120"/>
      <c r="F7710" s="120"/>
      <c r="G7710" s="120"/>
      <c r="H7710" s="120"/>
      <c r="I7710" s="121"/>
      <c r="J7710" s="121"/>
      <c r="K7710" s="117"/>
    </row>
    <row r="7711" ht="15.75" customHeight="1">
      <c r="A7711" s="122"/>
      <c r="B7711" s="133"/>
      <c r="C7711" s="120"/>
      <c r="D7711" s="120"/>
      <c r="E7711" s="120"/>
      <c r="F7711" s="120"/>
      <c r="G7711" s="120"/>
      <c r="H7711" s="120"/>
      <c r="I7711" s="121"/>
      <c r="J7711" s="121"/>
      <c r="K7711" s="117"/>
    </row>
    <row r="7712" ht="15.75" customHeight="1">
      <c r="A7712" s="122"/>
      <c r="B7712" s="133"/>
      <c r="C7712" s="120"/>
      <c r="D7712" s="120"/>
      <c r="E7712" s="120"/>
      <c r="F7712" s="120"/>
      <c r="G7712" s="120"/>
      <c r="H7712" s="120"/>
      <c r="I7712" s="121"/>
      <c r="J7712" s="121"/>
      <c r="K7712" s="117"/>
    </row>
    <row r="7713" ht="15.75" customHeight="1">
      <c r="A7713" s="122"/>
      <c r="B7713" s="133"/>
      <c r="C7713" s="120"/>
      <c r="D7713" s="120"/>
      <c r="E7713" s="120"/>
      <c r="F7713" s="120"/>
      <c r="G7713" s="120"/>
      <c r="H7713" s="120"/>
      <c r="I7713" s="121"/>
      <c r="J7713" s="121"/>
      <c r="K7713" s="117"/>
    </row>
    <row r="7714" ht="15.75" customHeight="1">
      <c r="A7714" s="122"/>
      <c r="B7714" s="133"/>
      <c r="C7714" s="120"/>
      <c r="D7714" s="120"/>
      <c r="E7714" s="120"/>
      <c r="F7714" s="120"/>
      <c r="G7714" s="120"/>
      <c r="H7714" s="120"/>
      <c r="I7714" s="121"/>
      <c r="J7714" s="121"/>
      <c r="K7714" s="117"/>
    </row>
    <row r="7715" ht="15.75" customHeight="1">
      <c r="A7715" s="122"/>
      <c r="B7715" s="133"/>
      <c r="C7715" s="120"/>
      <c r="D7715" s="120"/>
      <c r="E7715" s="120"/>
      <c r="F7715" s="120"/>
      <c r="G7715" s="120"/>
      <c r="H7715" s="120"/>
      <c r="I7715" s="121"/>
      <c r="J7715" s="121"/>
      <c r="K7715" s="117"/>
    </row>
    <row r="7716" ht="15.75" customHeight="1">
      <c r="A7716" s="122"/>
      <c r="B7716" s="133"/>
      <c r="C7716" s="120"/>
      <c r="D7716" s="120"/>
      <c r="E7716" s="120"/>
      <c r="F7716" s="120"/>
      <c r="G7716" s="120"/>
      <c r="H7716" s="120"/>
      <c r="I7716" s="121"/>
      <c r="J7716" s="121"/>
      <c r="K7716" s="117"/>
    </row>
    <row r="7717" ht="15.75" customHeight="1">
      <c r="A7717" s="122"/>
      <c r="B7717" s="133"/>
      <c r="C7717" s="120"/>
      <c r="D7717" s="120"/>
      <c r="E7717" s="120"/>
      <c r="F7717" s="120"/>
      <c r="G7717" s="120"/>
      <c r="H7717" s="120"/>
      <c r="I7717" s="121"/>
      <c r="J7717" s="121"/>
      <c r="K7717" s="117"/>
    </row>
    <row r="7718" ht="15.75" customHeight="1">
      <c r="A7718" s="122"/>
      <c r="B7718" s="133"/>
      <c r="C7718" s="120"/>
      <c r="D7718" s="120"/>
      <c r="E7718" s="120"/>
      <c r="F7718" s="120"/>
      <c r="G7718" s="120"/>
      <c r="H7718" s="120"/>
      <c r="I7718" s="121"/>
      <c r="J7718" s="121"/>
      <c r="K7718" s="117"/>
    </row>
    <row r="7719" ht="15.75" customHeight="1">
      <c r="A7719" s="122"/>
      <c r="B7719" s="133"/>
      <c r="C7719" s="120"/>
      <c r="D7719" s="120"/>
      <c r="E7719" s="120"/>
      <c r="F7719" s="120"/>
      <c r="G7719" s="120"/>
      <c r="H7719" s="120"/>
      <c r="I7719" s="121"/>
      <c r="J7719" s="121"/>
      <c r="K7719" s="117"/>
    </row>
    <row r="7720" ht="15.75" customHeight="1">
      <c r="A7720" s="122"/>
      <c r="B7720" s="133"/>
      <c r="C7720" s="120"/>
      <c r="D7720" s="120"/>
      <c r="E7720" s="120"/>
      <c r="F7720" s="120"/>
      <c r="G7720" s="120"/>
      <c r="H7720" s="120"/>
      <c r="I7720" s="121"/>
      <c r="J7720" s="121"/>
      <c r="K7720" s="117"/>
    </row>
    <row r="7721" ht="15.75" customHeight="1">
      <c r="A7721" s="122"/>
      <c r="B7721" s="133"/>
      <c r="C7721" s="120"/>
      <c r="D7721" s="120"/>
      <c r="E7721" s="120"/>
      <c r="F7721" s="120"/>
      <c r="G7721" s="120"/>
      <c r="H7721" s="120"/>
      <c r="I7721" s="121"/>
      <c r="J7721" s="121"/>
      <c r="K7721" s="117"/>
    </row>
    <row r="7722" ht="15.75" customHeight="1">
      <c r="A7722" s="122"/>
      <c r="B7722" s="133"/>
      <c r="C7722" s="120"/>
      <c r="D7722" s="120"/>
      <c r="E7722" s="120"/>
      <c r="F7722" s="120"/>
      <c r="G7722" s="120"/>
      <c r="H7722" s="120"/>
      <c r="I7722" s="121"/>
      <c r="J7722" s="121"/>
      <c r="K7722" s="117"/>
    </row>
    <row r="7723" ht="15.75" customHeight="1">
      <c r="A7723" s="122"/>
      <c r="B7723" s="133"/>
      <c r="C7723" s="120"/>
      <c r="D7723" s="120"/>
      <c r="E7723" s="120"/>
      <c r="F7723" s="120"/>
      <c r="G7723" s="120"/>
      <c r="H7723" s="120"/>
      <c r="I7723" s="121"/>
      <c r="J7723" s="121"/>
      <c r="K7723" s="117"/>
    </row>
    <row r="7724" ht="15.75" customHeight="1">
      <c r="A7724" s="122"/>
      <c r="B7724" s="133"/>
      <c r="C7724" s="120"/>
      <c r="D7724" s="120"/>
      <c r="E7724" s="120"/>
      <c r="F7724" s="120"/>
      <c r="G7724" s="120"/>
      <c r="H7724" s="120"/>
      <c r="I7724" s="121"/>
      <c r="J7724" s="121"/>
      <c r="K7724" s="117"/>
    </row>
    <row r="7725" ht="15.75" customHeight="1">
      <c r="A7725" s="122"/>
      <c r="B7725" s="133"/>
      <c r="C7725" s="120"/>
      <c r="D7725" s="120"/>
      <c r="E7725" s="120"/>
      <c r="F7725" s="120"/>
      <c r="G7725" s="120"/>
      <c r="H7725" s="120"/>
      <c r="I7725" s="121"/>
      <c r="J7725" s="121"/>
      <c r="K7725" s="117"/>
    </row>
    <row r="7726" ht="15.75" customHeight="1">
      <c r="A7726" s="122"/>
      <c r="B7726" s="133"/>
      <c r="C7726" s="120"/>
      <c r="D7726" s="120"/>
      <c r="E7726" s="120"/>
      <c r="F7726" s="120"/>
      <c r="G7726" s="120"/>
      <c r="H7726" s="120"/>
      <c r="I7726" s="121"/>
      <c r="J7726" s="121"/>
      <c r="K7726" s="117"/>
    </row>
    <row r="7727" ht="15.75" customHeight="1">
      <c r="A7727" s="122"/>
      <c r="B7727" s="133"/>
      <c r="C7727" s="120"/>
      <c r="D7727" s="120"/>
      <c r="E7727" s="120"/>
      <c r="F7727" s="120"/>
      <c r="G7727" s="120"/>
      <c r="H7727" s="120"/>
      <c r="I7727" s="121"/>
      <c r="J7727" s="121"/>
      <c r="K7727" s="117"/>
    </row>
    <row r="7728" ht="15.75" customHeight="1">
      <c r="A7728" s="122"/>
      <c r="B7728" s="133"/>
      <c r="C7728" s="120"/>
      <c r="D7728" s="120"/>
      <c r="E7728" s="120"/>
      <c r="F7728" s="120"/>
      <c r="G7728" s="120"/>
      <c r="H7728" s="120"/>
      <c r="I7728" s="121"/>
      <c r="J7728" s="121"/>
      <c r="K7728" s="117"/>
    </row>
    <row r="7729" ht="15.75" customHeight="1">
      <c r="A7729" s="122"/>
      <c r="B7729" s="133"/>
      <c r="C7729" s="120"/>
      <c r="D7729" s="120"/>
      <c r="E7729" s="120"/>
      <c r="F7729" s="120"/>
      <c r="G7729" s="120"/>
      <c r="H7729" s="120"/>
      <c r="I7729" s="121"/>
      <c r="J7729" s="121"/>
      <c r="K7729" s="117"/>
    </row>
    <row r="7730" ht="15.75" customHeight="1">
      <c r="A7730" s="122"/>
      <c r="B7730" s="133"/>
      <c r="C7730" s="120"/>
      <c r="D7730" s="120"/>
      <c r="E7730" s="120"/>
      <c r="F7730" s="120"/>
      <c r="G7730" s="120"/>
      <c r="H7730" s="120"/>
      <c r="I7730" s="121"/>
      <c r="J7730" s="121"/>
      <c r="K7730" s="117"/>
    </row>
    <row r="7731" ht="15.75" customHeight="1">
      <c r="A7731" s="122"/>
      <c r="B7731" s="133"/>
      <c r="C7731" s="120"/>
      <c r="D7731" s="120"/>
      <c r="E7731" s="120"/>
      <c r="F7731" s="120"/>
      <c r="G7731" s="120"/>
      <c r="H7731" s="120"/>
      <c r="I7731" s="121"/>
      <c r="J7731" s="121"/>
      <c r="K7731" s="117"/>
    </row>
    <row r="7732" ht="15.75" customHeight="1">
      <c r="A7732" s="122"/>
      <c r="B7732" s="133"/>
      <c r="C7732" s="120"/>
      <c r="D7732" s="120"/>
      <c r="E7732" s="120"/>
      <c r="F7732" s="120"/>
      <c r="G7732" s="120"/>
      <c r="H7732" s="120"/>
      <c r="I7732" s="121"/>
      <c r="J7732" s="121"/>
      <c r="K7732" s="117"/>
    </row>
    <row r="7733" ht="15.75" customHeight="1">
      <c r="A7733" s="122"/>
      <c r="B7733" s="133"/>
      <c r="C7733" s="120"/>
      <c r="D7733" s="120"/>
      <c r="E7733" s="120"/>
      <c r="F7733" s="120"/>
      <c r="G7733" s="120"/>
      <c r="H7733" s="120"/>
      <c r="I7733" s="121"/>
      <c r="J7733" s="121"/>
      <c r="K7733" s="117"/>
    </row>
    <row r="7734" ht="15.75" customHeight="1">
      <c r="A7734" s="122"/>
      <c r="B7734" s="133"/>
      <c r="C7734" s="120"/>
      <c r="D7734" s="120"/>
      <c r="E7734" s="120"/>
      <c r="F7734" s="120"/>
      <c r="G7734" s="120"/>
      <c r="H7734" s="120"/>
      <c r="I7734" s="121"/>
      <c r="J7734" s="121"/>
      <c r="K7734" s="117"/>
    </row>
    <row r="7735" ht="15.75" customHeight="1">
      <c r="A7735" s="122"/>
      <c r="B7735" s="133"/>
      <c r="C7735" s="120"/>
      <c r="D7735" s="120"/>
      <c r="E7735" s="120"/>
      <c r="F7735" s="120"/>
      <c r="G7735" s="120"/>
      <c r="H7735" s="120"/>
      <c r="I7735" s="121"/>
      <c r="J7735" s="121"/>
      <c r="K7735" s="117"/>
    </row>
    <row r="7736" ht="15.75" customHeight="1">
      <c r="A7736" s="122"/>
      <c r="B7736" s="133"/>
      <c r="C7736" s="120"/>
      <c r="D7736" s="120"/>
      <c r="E7736" s="120"/>
      <c r="F7736" s="120"/>
      <c r="G7736" s="120"/>
      <c r="H7736" s="120"/>
      <c r="I7736" s="121"/>
      <c r="J7736" s="121"/>
      <c r="K7736" s="117"/>
    </row>
    <row r="7737" ht="15.75" customHeight="1">
      <c r="A7737" s="122"/>
      <c r="B7737" s="133"/>
      <c r="C7737" s="120"/>
      <c r="D7737" s="120"/>
      <c r="E7737" s="120"/>
      <c r="F7737" s="120"/>
      <c r="G7737" s="120"/>
      <c r="H7737" s="120"/>
      <c r="I7737" s="121"/>
      <c r="J7737" s="121"/>
      <c r="K7737" s="117"/>
    </row>
    <row r="7738" ht="15.75" customHeight="1">
      <c r="A7738" s="122"/>
      <c r="B7738" s="133"/>
      <c r="C7738" s="120"/>
      <c r="D7738" s="120"/>
      <c r="E7738" s="120"/>
      <c r="F7738" s="120"/>
      <c r="G7738" s="120"/>
      <c r="H7738" s="120"/>
      <c r="I7738" s="121"/>
      <c r="J7738" s="121"/>
      <c r="K7738" s="117"/>
    </row>
    <row r="7739" ht="15.75" customHeight="1">
      <c r="A7739" s="122"/>
      <c r="B7739" s="133"/>
      <c r="C7739" s="120"/>
      <c r="D7739" s="120"/>
      <c r="E7739" s="120"/>
      <c r="F7739" s="120"/>
      <c r="G7739" s="120"/>
      <c r="H7739" s="120"/>
      <c r="I7739" s="121"/>
      <c r="J7739" s="121"/>
      <c r="K7739" s="117"/>
    </row>
    <row r="7740" ht="15.75" customHeight="1">
      <c r="A7740" s="122"/>
      <c r="B7740" s="133"/>
      <c r="C7740" s="120"/>
      <c r="D7740" s="120"/>
      <c r="E7740" s="120"/>
      <c r="F7740" s="120"/>
      <c r="G7740" s="120"/>
      <c r="H7740" s="120"/>
      <c r="I7740" s="121"/>
      <c r="J7740" s="121"/>
      <c r="K7740" s="117"/>
    </row>
    <row r="7741" ht="15.75" customHeight="1">
      <c r="A7741" s="122"/>
      <c r="B7741" s="133"/>
      <c r="C7741" s="120"/>
      <c r="D7741" s="120"/>
      <c r="E7741" s="120"/>
      <c r="F7741" s="120"/>
      <c r="G7741" s="120"/>
      <c r="H7741" s="120"/>
      <c r="I7741" s="121"/>
      <c r="J7741" s="121"/>
      <c r="K7741" s="117"/>
    </row>
    <row r="7742" ht="15.75" customHeight="1">
      <c r="A7742" s="122"/>
      <c r="B7742" s="133"/>
      <c r="C7742" s="120"/>
      <c r="D7742" s="120"/>
      <c r="E7742" s="120"/>
      <c r="F7742" s="120"/>
      <c r="G7742" s="120"/>
      <c r="H7742" s="120"/>
      <c r="I7742" s="121"/>
      <c r="J7742" s="121"/>
      <c r="K7742" s="117"/>
    </row>
    <row r="7743" ht="15.75" customHeight="1">
      <c r="A7743" s="122"/>
      <c r="B7743" s="133"/>
      <c r="C7743" s="120"/>
      <c r="D7743" s="120"/>
      <c r="E7743" s="120"/>
      <c r="F7743" s="120"/>
      <c r="G7743" s="120"/>
      <c r="H7743" s="120"/>
      <c r="I7743" s="121"/>
      <c r="J7743" s="121"/>
      <c r="K7743" s="117"/>
    </row>
    <row r="7744" ht="15.75" customHeight="1">
      <c r="A7744" s="122"/>
      <c r="B7744" s="133"/>
      <c r="C7744" s="120"/>
      <c r="D7744" s="120"/>
      <c r="E7744" s="120"/>
      <c r="F7744" s="120"/>
      <c r="G7744" s="120"/>
      <c r="H7744" s="120"/>
      <c r="I7744" s="121"/>
      <c r="J7744" s="121"/>
      <c r="K7744" s="117"/>
    </row>
    <row r="7745" ht="15.75" customHeight="1">
      <c r="A7745" s="122"/>
      <c r="B7745" s="133"/>
      <c r="C7745" s="120"/>
      <c r="D7745" s="120"/>
      <c r="E7745" s="120"/>
      <c r="F7745" s="120"/>
      <c r="G7745" s="120"/>
      <c r="H7745" s="120"/>
      <c r="I7745" s="121"/>
      <c r="J7745" s="121"/>
      <c r="K7745" s="117"/>
    </row>
    <row r="7746" ht="15.75" customHeight="1">
      <c r="A7746" s="122"/>
      <c r="B7746" s="133"/>
      <c r="C7746" s="120"/>
      <c r="D7746" s="120"/>
      <c r="E7746" s="120"/>
      <c r="F7746" s="120"/>
      <c r="G7746" s="120"/>
      <c r="H7746" s="120"/>
      <c r="I7746" s="121"/>
      <c r="J7746" s="121"/>
      <c r="K7746" s="117"/>
    </row>
    <row r="7747" ht="15.75" customHeight="1">
      <c r="A7747" s="122"/>
      <c r="B7747" s="133"/>
      <c r="C7747" s="120"/>
      <c r="D7747" s="120"/>
      <c r="E7747" s="120"/>
      <c r="F7747" s="120"/>
      <c r="G7747" s="120"/>
      <c r="H7747" s="120"/>
      <c r="I7747" s="121"/>
      <c r="J7747" s="121"/>
      <c r="K7747" s="117"/>
    </row>
    <row r="7748" ht="15.75" customHeight="1">
      <c r="A7748" s="122"/>
      <c r="B7748" s="133"/>
      <c r="C7748" s="120"/>
      <c r="D7748" s="120"/>
      <c r="E7748" s="120"/>
      <c r="F7748" s="120"/>
      <c r="G7748" s="120"/>
      <c r="H7748" s="120"/>
      <c r="I7748" s="121"/>
      <c r="J7748" s="121"/>
      <c r="K7748" s="117"/>
    </row>
    <row r="7749" ht="15.75" customHeight="1">
      <c r="A7749" s="122"/>
      <c r="B7749" s="133"/>
      <c r="C7749" s="120"/>
      <c r="D7749" s="120"/>
      <c r="E7749" s="120"/>
      <c r="F7749" s="120"/>
      <c r="G7749" s="120"/>
      <c r="H7749" s="120"/>
      <c r="I7749" s="121"/>
      <c r="J7749" s="121"/>
      <c r="K7749" s="117"/>
    </row>
    <row r="7750" ht="15.75" customHeight="1">
      <c r="A7750" s="122"/>
      <c r="B7750" s="133"/>
      <c r="C7750" s="120"/>
      <c r="D7750" s="120"/>
      <c r="E7750" s="120"/>
      <c r="F7750" s="120"/>
      <c r="G7750" s="120"/>
      <c r="H7750" s="120"/>
      <c r="I7750" s="121"/>
      <c r="J7750" s="121"/>
      <c r="K7750" s="117"/>
    </row>
    <row r="7751" ht="15.75" customHeight="1">
      <c r="A7751" s="122"/>
      <c r="B7751" s="133"/>
      <c r="C7751" s="120"/>
      <c r="D7751" s="120"/>
      <c r="E7751" s="120"/>
      <c r="F7751" s="120"/>
      <c r="G7751" s="120"/>
      <c r="H7751" s="120"/>
      <c r="I7751" s="121"/>
      <c r="J7751" s="121"/>
      <c r="K7751" s="117"/>
    </row>
    <row r="7752" ht="15.75" customHeight="1">
      <c r="A7752" s="122"/>
      <c r="B7752" s="133"/>
      <c r="C7752" s="120"/>
      <c r="D7752" s="120"/>
      <c r="E7752" s="120"/>
      <c r="F7752" s="120"/>
      <c r="G7752" s="120"/>
      <c r="H7752" s="120"/>
      <c r="I7752" s="121"/>
      <c r="J7752" s="121"/>
      <c r="K7752" s="117"/>
    </row>
    <row r="7753" ht="15.75" customHeight="1">
      <c r="A7753" s="122"/>
      <c r="B7753" s="133"/>
      <c r="C7753" s="120"/>
      <c r="D7753" s="120"/>
      <c r="E7753" s="120"/>
      <c r="F7753" s="120"/>
      <c r="G7753" s="120"/>
      <c r="H7753" s="120"/>
      <c r="I7753" s="121"/>
      <c r="J7753" s="121"/>
      <c r="K7753" s="117"/>
    </row>
    <row r="7754" ht="15.75" customHeight="1">
      <c r="A7754" s="122"/>
      <c r="B7754" s="133"/>
      <c r="C7754" s="120"/>
      <c r="D7754" s="120"/>
      <c r="E7754" s="120"/>
      <c r="F7754" s="120"/>
      <c r="G7754" s="120"/>
      <c r="H7754" s="120"/>
      <c r="I7754" s="121"/>
      <c r="J7754" s="121"/>
      <c r="K7754" s="117"/>
    </row>
    <row r="7755" ht="15.75" customHeight="1">
      <c r="A7755" s="122"/>
      <c r="B7755" s="133"/>
      <c r="C7755" s="120"/>
      <c r="D7755" s="120"/>
      <c r="E7755" s="120"/>
      <c r="F7755" s="120"/>
      <c r="G7755" s="120"/>
      <c r="H7755" s="120"/>
      <c r="I7755" s="121"/>
      <c r="J7755" s="121"/>
      <c r="K7755" s="117"/>
    </row>
    <row r="7756" ht="15.75" customHeight="1">
      <c r="A7756" s="122"/>
      <c r="B7756" s="133"/>
      <c r="C7756" s="120"/>
      <c r="D7756" s="120"/>
      <c r="E7756" s="120"/>
      <c r="F7756" s="120"/>
      <c r="G7756" s="120"/>
      <c r="H7756" s="120"/>
      <c r="I7756" s="121"/>
      <c r="J7756" s="121"/>
      <c r="K7756" s="117"/>
    </row>
    <row r="7757" ht="15.75" customHeight="1">
      <c r="A7757" s="122"/>
      <c r="B7757" s="133"/>
      <c r="C7757" s="120"/>
      <c r="D7757" s="120"/>
      <c r="E7757" s="120"/>
      <c r="F7757" s="120"/>
      <c r="G7757" s="120"/>
      <c r="H7757" s="120"/>
      <c r="I7757" s="121"/>
      <c r="J7757" s="121"/>
      <c r="K7757" s="117"/>
    </row>
    <row r="7758" ht="15.75" customHeight="1">
      <c r="A7758" s="122"/>
      <c r="B7758" s="133"/>
      <c r="C7758" s="120"/>
      <c r="D7758" s="120"/>
      <c r="E7758" s="120"/>
      <c r="F7758" s="120"/>
      <c r="G7758" s="120"/>
      <c r="H7758" s="120"/>
      <c r="I7758" s="121"/>
      <c r="J7758" s="121"/>
      <c r="K7758" s="117"/>
    </row>
    <row r="7759" ht="15.75" customHeight="1">
      <c r="A7759" s="122"/>
      <c r="B7759" s="133"/>
      <c r="C7759" s="120"/>
      <c r="D7759" s="120"/>
      <c r="E7759" s="120"/>
      <c r="F7759" s="120"/>
      <c r="G7759" s="120"/>
      <c r="H7759" s="120"/>
      <c r="I7759" s="121"/>
      <c r="J7759" s="121"/>
      <c r="K7759" s="117"/>
    </row>
    <row r="7760" ht="15.75" customHeight="1">
      <c r="A7760" s="122"/>
      <c r="B7760" s="133"/>
      <c r="C7760" s="120"/>
      <c r="D7760" s="120"/>
      <c r="E7760" s="120"/>
      <c r="F7760" s="120"/>
      <c r="G7760" s="120"/>
      <c r="H7760" s="120"/>
      <c r="I7760" s="121"/>
      <c r="J7760" s="121"/>
      <c r="K7760" s="117"/>
    </row>
    <row r="7761" ht="15.75" customHeight="1">
      <c r="A7761" s="122"/>
      <c r="B7761" s="133"/>
      <c r="C7761" s="120"/>
      <c r="D7761" s="120"/>
      <c r="E7761" s="120"/>
      <c r="F7761" s="120"/>
      <c r="G7761" s="120"/>
      <c r="H7761" s="120"/>
      <c r="I7761" s="121"/>
      <c r="J7761" s="121"/>
      <c r="K7761" s="117"/>
    </row>
    <row r="7762" ht="15.75" customHeight="1">
      <c r="A7762" s="122"/>
      <c r="B7762" s="133"/>
      <c r="C7762" s="120"/>
      <c r="D7762" s="120"/>
      <c r="E7762" s="120"/>
      <c r="F7762" s="120"/>
      <c r="G7762" s="120"/>
      <c r="H7762" s="120"/>
      <c r="I7762" s="121"/>
      <c r="J7762" s="121"/>
      <c r="K7762" s="117"/>
    </row>
    <row r="7763" ht="15.75" customHeight="1">
      <c r="A7763" s="122"/>
      <c r="B7763" s="133"/>
      <c r="C7763" s="120"/>
      <c r="D7763" s="120"/>
      <c r="E7763" s="120"/>
      <c r="F7763" s="120"/>
      <c r="G7763" s="120"/>
      <c r="H7763" s="120"/>
      <c r="I7763" s="121"/>
      <c r="J7763" s="121"/>
      <c r="K7763" s="117"/>
    </row>
    <row r="7764" ht="15.75" customHeight="1">
      <c r="A7764" s="122"/>
      <c r="B7764" s="133"/>
      <c r="C7764" s="120"/>
      <c r="D7764" s="120"/>
      <c r="E7764" s="120"/>
      <c r="F7764" s="120"/>
      <c r="G7764" s="120"/>
      <c r="H7764" s="120"/>
      <c r="I7764" s="121"/>
      <c r="J7764" s="121"/>
      <c r="K7764" s="117"/>
    </row>
    <row r="7765" ht="15.75" customHeight="1">
      <c r="A7765" s="122"/>
      <c r="B7765" s="133"/>
      <c r="C7765" s="120"/>
      <c r="D7765" s="120"/>
      <c r="E7765" s="120"/>
      <c r="F7765" s="120"/>
      <c r="G7765" s="120"/>
      <c r="H7765" s="120"/>
      <c r="I7765" s="121"/>
      <c r="J7765" s="121"/>
      <c r="K7765" s="117"/>
    </row>
    <row r="7766" ht="15.75" customHeight="1">
      <c r="A7766" s="122"/>
      <c r="B7766" s="133"/>
      <c r="C7766" s="120"/>
      <c r="D7766" s="120"/>
      <c r="E7766" s="120"/>
      <c r="F7766" s="120"/>
      <c r="G7766" s="120"/>
      <c r="H7766" s="120"/>
      <c r="I7766" s="121"/>
      <c r="J7766" s="121"/>
      <c r="K7766" s="117"/>
    </row>
    <row r="7767" ht="15.75" customHeight="1">
      <c r="A7767" s="122"/>
      <c r="B7767" s="133"/>
      <c r="C7767" s="120"/>
      <c r="D7767" s="120"/>
      <c r="E7767" s="120"/>
      <c r="F7767" s="120"/>
      <c r="G7767" s="120"/>
      <c r="H7767" s="120"/>
      <c r="I7767" s="121"/>
      <c r="J7767" s="121"/>
      <c r="K7767" s="117"/>
    </row>
    <row r="7768" ht="15.75" customHeight="1">
      <c r="A7768" s="122"/>
      <c r="B7768" s="133"/>
      <c r="C7768" s="120"/>
      <c r="D7768" s="120"/>
      <c r="E7768" s="120"/>
      <c r="F7768" s="120"/>
      <c r="G7768" s="120"/>
      <c r="H7768" s="120"/>
      <c r="I7768" s="121"/>
      <c r="J7768" s="121"/>
      <c r="K7768" s="117"/>
    </row>
    <row r="7769" ht="15.75" customHeight="1">
      <c r="A7769" s="122"/>
      <c r="B7769" s="133"/>
      <c r="C7769" s="120"/>
      <c r="D7769" s="120"/>
      <c r="E7769" s="120"/>
      <c r="F7769" s="120"/>
      <c r="G7769" s="120"/>
      <c r="H7769" s="120"/>
      <c r="I7769" s="121"/>
      <c r="J7769" s="121"/>
      <c r="K7769" s="117"/>
    </row>
    <row r="7770" ht="15.75" customHeight="1">
      <c r="A7770" s="122"/>
      <c r="B7770" s="133"/>
      <c r="C7770" s="120"/>
      <c r="D7770" s="120"/>
      <c r="E7770" s="120"/>
      <c r="F7770" s="120"/>
      <c r="G7770" s="120"/>
      <c r="H7770" s="120"/>
      <c r="I7770" s="121"/>
      <c r="J7770" s="121"/>
      <c r="K7770" s="117"/>
    </row>
    <row r="7771" ht="15.75" customHeight="1">
      <c r="A7771" s="122"/>
      <c r="B7771" s="133"/>
      <c r="C7771" s="120"/>
      <c r="D7771" s="120"/>
      <c r="E7771" s="120"/>
      <c r="F7771" s="120"/>
      <c r="G7771" s="120"/>
      <c r="H7771" s="120"/>
      <c r="I7771" s="121"/>
      <c r="J7771" s="121"/>
      <c r="K7771" s="117"/>
    </row>
    <row r="7772" ht="15.75" customHeight="1">
      <c r="A7772" s="122"/>
      <c r="B7772" s="133"/>
      <c r="C7772" s="120"/>
      <c r="D7772" s="120"/>
      <c r="E7772" s="120"/>
      <c r="F7772" s="120"/>
      <c r="G7772" s="120"/>
      <c r="H7772" s="120"/>
      <c r="I7772" s="121"/>
      <c r="J7772" s="121"/>
      <c r="K7772" s="117"/>
    </row>
    <row r="7773" ht="15.75" customHeight="1">
      <c r="A7773" s="122"/>
      <c r="B7773" s="133"/>
      <c r="C7773" s="120"/>
      <c r="D7773" s="120"/>
      <c r="E7773" s="120"/>
      <c r="F7773" s="120"/>
      <c r="G7773" s="120"/>
      <c r="H7773" s="120"/>
      <c r="I7773" s="121"/>
      <c r="J7773" s="121"/>
      <c r="K7773" s="117"/>
    </row>
    <row r="7774" ht="15.75" customHeight="1">
      <c r="A7774" s="122"/>
      <c r="B7774" s="133"/>
      <c r="C7774" s="120"/>
      <c r="D7774" s="120"/>
      <c r="E7774" s="120"/>
      <c r="F7774" s="120"/>
      <c r="G7774" s="120"/>
      <c r="H7774" s="120"/>
      <c r="I7774" s="121"/>
      <c r="J7774" s="121"/>
      <c r="K7774" s="117"/>
    </row>
    <row r="7775" ht="15.75" customHeight="1">
      <c r="A7775" s="122"/>
      <c r="B7775" s="133"/>
      <c r="C7775" s="120"/>
      <c r="D7775" s="120"/>
      <c r="E7775" s="120"/>
      <c r="F7775" s="120"/>
      <c r="G7775" s="120"/>
      <c r="H7775" s="120"/>
      <c r="I7775" s="121"/>
      <c r="J7775" s="121"/>
      <c r="K7775" s="117"/>
    </row>
    <row r="7776" ht="15.75" customHeight="1">
      <c r="A7776" s="122"/>
      <c r="B7776" s="133"/>
      <c r="C7776" s="120"/>
      <c r="D7776" s="120"/>
      <c r="E7776" s="120"/>
      <c r="F7776" s="120"/>
      <c r="G7776" s="120"/>
      <c r="H7776" s="120"/>
      <c r="I7776" s="121"/>
      <c r="J7776" s="121"/>
      <c r="K7776" s="117"/>
    </row>
    <row r="7777" ht="15.75" customHeight="1">
      <c r="A7777" s="122"/>
      <c r="B7777" s="133"/>
      <c r="C7777" s="120"/>
      <c r="D7777" s="120"/>
      <c r="E7777" s="120"/>
      <c r="F7777" s="120"/>
      <c r="G7777" s="120"/>
      <c r="H7777" s="120"/>
      <c r="I7777" s="121"/>
      <c r="J7777" s="121"/>
      <c r="K7777" s="117"/>
    </row>
    <row r="7778" ht="15.75" customHeight="1">
      <c r="A7778" s="122"/>
      <c r="B7778" s="133"/>
      <c r="C7778" s="120"/>
      <c r="D7778" s="120"/>
      <c r="E7778" s="120"/>
      <c r="F7778" s="120"/>
      <c r="G7778" s="120"/>
      <c r="H7778" s="120"/>
      <c r="I7778" s="121"/>
      <c r="J7778" s="121"/>
      <c r="K7778" s="117"/>
    </row>
    <row r="7779" ht="15.75" customHeight="1">
      <c r="A7779" s="122"/>
      <c r="B7779" s="133"/>
      <c r="C7779" s="120"/>
      <c r="D7779" s="120"/>
      <c r="E7779" s="120"/>
      <c r="F7779" s="120"/>
      <c r="G7779" s="120"/>
      <c r="H7779" s="120"/>
      <c r="I7779" s="121"/>
      <c r="J7779" s="121"/>
      <c r="K7779" s="117"/>
    </row>
    <row r="7780" ht="15.75" customHeight="1">
      <c r="A7780" s="122"/>
      <c r="B7780" s="133"/>
      <c r="C7780" s="120"/>
      <c r="D7780" s="120"/>
      <c r="E7780" s="120"/>
      <c r="F7780" s="120"/>
      <c r="G7780" s="120"/>
      <c r="H7780" s="120"/>
      <c r="I7780" s="121"/>
      <c r="J7780" s="121"/>
      <c r="K7780" s="117"/>
    </row>
    <row r="7781" ht="15.75" customHeight="1">
      <c r="A7781" s="122"/>
      <c r="B7781" s="133"/>
      <c r="C7781" s="120"/>
      <c r="D7781" s="120"/>
      <c r="E7781" s="120"/>
      <c r="F7781" s="120"/>
      <c r="G7781" s="120"/>
      <c r="H7781" s="120"/>
      <c r="I7781" s="121"/>
      <c r="J7781" s="121"/>
      <c r="K7781" s="117"/>
    </row>
    <row r="7782" ht="15.75" customHeight="1">
      <c r="A7782" s="122"/>
      <c r="B7782" s="133"/>
      <c r="C7782" s="120"/>
      <c r="D7782" s="120"/>
      <c r="E7782" s="120"/>
      <c r="F7782" s="120"/>
      <c r="G7782" s="120"/>
      <c r="H7782" s="120"/>
      <c r="I7782" s="121"/>
      <c r="J7782" s="121"/>
      <c r="K7782" s="117"/>
    </row>
    <row r="7783" ht="15.75" customHeight="1">
      <c r="A7783" s="122"/>
      <c r="B7783" s="133"/>
      <c r="C7783" s="120"/>
      <c r="D7783" s="120"/>
      <c r="E7783" s="120"/>
      <c r="F7783" s="120"/>
      <c r="G7783" s="120"/>
      <c r="H7783" s="120"/>
      <c r="I7783" s="121"/>
      <c r="J7783" s="121"/>
      <c r="K7783" s="117"/>
    </row>
    <row r="7784" ht="15.75" customHeight="1">
      <c r="A7784" s="122"/>
      <c r="B7784" s="133"/>
      <c r="C7784" s="120"/>
      <c r="D7784" s="120"/>
      <c r="E7784" s="120"/>
      <c r="F7784" s="120"/>
      <c r="G7784" s="120"/>
      <c r="H7784" s="120"/>
      <c r="I7784" s="121"/>
      <c r="J7784" s="121"/>
      <c r="K7784" s="117"/>
    </row>
    <row r="7785" ht="15.75" customHeight="1">
      <c r="A7785" s="122"/>
      <c r="B7785" s="133"/>
      <c r="C7785" s="120"/>
      <c r="D7785" s="120"/>
      <c r="E7785" s="120"/>
      <c r="F7785" s="120"/>
      <c r="G7785" s="120"/>
      <c r="H7785" s="120"/>
      <c r="I7785" s="121"/>
      <c r="J7785" s="121"/>
      <c r="K7785" s="117"/>
    </row>
    <row r="7786" ht="15.75" customHeight="1">
      <c r="A7786" s="122"/>
      <c r="B7786" s="133"/>
      <c r="C7786" s="120"/>
      <c r="D7786" s="120"/>
      <c r="E7786" s="120"/>
      <c r="F7786" s="120"/>
      <c r="G7786" s="120"/>
      <c r="H7786" s="120"/>
      <c r="I7786" s="121"/>
      <c r="J7786" s="121"/>
      <c r="K7786" s="117"/>
    </row>
    <row r="7787" ht="15.75" customHeight="1">
      <c r="A7787" s="122"/>
      <c r="B7787" s="133"/>
      <c r="C7787" s="120"/>
      <c r="D7787" s="120"/>
      <c r="E7787" s="120"/>
      <c r="F7787" s="120"/>
      <c r="G7787" s="120"/>
      <c r="H7787" s="120"/>
      <c r="I7787" s="121"/>
      <c r="J7787" s="121"/>
      <c r="K7787" s="117"/>
    </row>
    <row r="7788" ht="15.75" customHeight="1">
      <c r="A7788" s="122"/>
      <c r="B7788" s="133"/>
      <c r="C7788" s="120"/>
      <c r="D7788" s="120"/>
      <c r="E7788" s="120"/>
      <c r="F7788" s="120"/>
      <c r="G7788" s="120"/>
      <c r="H7788" s="120"/>
      <c r="I7788" s="121"/>
      <c r="J7788" s="121"/>
      <c r="K7788" s="117"/>
    </row>
    <row r="7789" ht="15.75" customHeight="1">
      <c r="A7789" s="122"/>
      <c r="B7789" s="133"/>
      <c r="C7789" s="120"/>
      <c r="D7789" s="120"/>
      <c r="E7789" s="120"/>
      <c r="F7789" s="120"/>
      <c r="G7789" s="120"/>
      <c r="H7789" s="120"/>
      <c r="I7789" s="121"/>
      <c r="J7789" s="121"/>
      <c r="K7789" s="117"/>
    </row>
    <row r="7790" ht="15.75" customHeight="1">
      <c r="A7790" s="122"/>
      <c r="B7790" s="133"/>
      <c r="C7790" s="120"/>
      <c r="D7790" s="120"/>
      <c r="E7790" s="120"/>
      <c r="F7790" s="120"/>
      <c r="G7790" s="120"/>
      <c r="H7790" s="120"/>
      <c r="I7790" s="121"/>
      <c r="J7790" s="121"/>
      <c r="K7790" s="117"/>
    </row>
    <row r="7791" ht="15.75" customHeight="1">
      <c r="A7791" s="122"/>
      <c r="B7791" s="133"/>
      <c r="C7791" s="120"/>
      <c r="D7791" s="120"/>
      <c r="E7791" s="120"/>
      <c r="F7791" s="120"/>
      <c r="G7791" s="120"/>
      <c r="H7791" s="120"/>
      <c r="I7791" s="121"/>
      <c r="J7791" s="121"/>
      <c r="K7791" s="117"/>
    </row>
    <row r="7792" ht="15.75" customHeight="1">
      <c r="A7792" s="122"/>
      <c r="B7792" s="133"/>
      <c r="C7792" s="120"/>
      <c r="D7792" s="120"/>
      <c r="E7792" s="120"/>
      <c r="F7792" s="120"/>
      <c r="G7792" s="120"/>
      <c r="H7792" s="120"/>
      <c r="I7792" s="121"/>
      <c r="J7792" s="121"/>
      <c r="K7792" s="117"/>
    </row>
    <row r="7793" ht="15.75" customHeight="1">
      <c r="A7793" s="122"/>
      <c r="B7793" s="133"/>
      <c r="C7793" s="120"/>
      <c r="D7793" s="120"/>
      <c r="E7793" s="120"/>
      <c r="F7793" s="120"/>
      <c r="G7793" s="120"/>
      <c r="H7793" s="120"/>
      <c r="I7793" s="121"/>
      <c r="J7793" s="121"/>
      <c r="K7793" s="117"/>
    </row>
    <row r="7794" ht="15.75" customHeight="1">
      <c r="A7794" s="122"/>
      <c r="B7794" s="133"/>
      <c r="C7794" s="120"/>
      <c r="D7794" s="120"/>
      <c r="E7794" s="120"/>
      <c r="F7794" s="120"/>
      <c r="G7794" s="120"/>
      <c r="H7794" s="120"/>
      <c r="I7794" s="121"/>
      <c r="J7794" s="121"/>
      <c r="K7794" s="117"/>
    </row>
    <row r="7795" ht="15.75" customHeight="1">
      <c r="A7795" s="122"/>
      <c r="B7795" s="133"/>
      <c r="C7795" s="120"/>
      <c r="D7795" s="120"/>
      <c r="E7795" s="120"/>
      <c r="F7795" s="120"/>
      <c r="G7795" s="120"/>
      <c r="H7795" s="120"/>
      <c r="I7795" s="121"/>
      <c r="J7795" s="121"/>
      <c r="K7795" s="117"/>
    </row>
    <row r="7796" ht="15.75" customHeight="1">
      <c r="A7796" s="122"/>
      <c r="B7796" s="133"/>
      <c r="C7796" s="120"/>
      <c r="D7796" s="120"/>
      <c r="E7796" s="120"/>
      <c r="F7796" s="120"/>
      <c r="G7796" s="120"/>
      <c r="H7796" s="120"/>
      <c r="I7796" s="121"/>
      <c r="J7796" s="121"/>
      <c r="K7796" s="117"/>
    </row>
    <row r="7797" ht="15.75" customHeight="1">
      <c r="A7797" s="122"/>
      <c r="B7797" s="133"/>
      <c r="C7797" s="120"/>
      <c r="D7797" s="120"/>
      <c r="E7797" s="120"/>
      <c r="F7797" s="120"/>
      <c r="G7797" s="120"/>
      <c r="H7797" s="120"/>
      <c r="I7797" s="121"/>
      <c r="J7797" s="121"/>
      <c r="K7797" s="117"/>
    </row>
    <row r="7798" ht="15.75" customHeight="1">
      <c r="A7798" s="122"/>
      <c r="B7798" s="133"/>
      <c r="C7798" s="120"/>
      <c r="D7798" s="120"/>
      <c r="E7798" s="120"/>
      <c r="F7798" s="120"/>
      <c r="G7798" s="120"/>
      <c r="H7798" s="120"/>
      <c r="I7798" s="121"/>
      <c r="J7798" s="121"/>
      <c r="K7798" s="117"/>
    </row>
    <row r="7799" ht="15.75" customHeight="1">
      <c r="A7799" s="122"/>
      <c r="B7799" s="133"/>
      <c r="C7799" s="120"/>
      <c r="D7799" s="120"/>
      <c r="E7799" s="120"/>
      <c r="F7799" s="120"/>
      <c r="G7799" s="120"/>
      <c r="H7799" s="120"/>
      <c r="I7799" s="121"/>
      <c r="J7799" s="121"/>
      <c r="K7799" s="117"/>
    </row>
    <row r="7800" ht="15.75" customHeight="1">
      <c r="A7800" s="122"/>
      <c r="B7800" s="133"/>
      <c r="C7800" s="120"/>
      <c r="D7800" s="120"/>
      <c r="E7800" s="120"/>
      <c r="F7800" s="120"/>
      <c r="G7800" s="120"/>
      <c r="H7800" s="120"/>
      <c r="I7800" s="121"/>
      <c r="J7800" s="121"/>
      <c r="K7800" s="117"/>
    </row>
    <row r="7801" ht="15.75" customHeight="1">
      <c r="A7801" s="122"/>
      <c r="B7801" s="133"/>
      <c r="C7801" s="120"/>
      <c r="D7801" s="120"/>
      <c r="E7801" s="120"/>
      <c r="F7801" s="120"/>
      <c r="G7801" s="120"/>
      <c r="H7801" s="120"/>
      <c r="I7801" s="121"/>
      <c r="J7801" s="121"/>
      <c r="K7801" s="117"/>
    </row>
    <row r="7802" ht="15.75" customHeight="1">
      <c r="A7802" s="122"/>
      <c r="B7802" s="133"/>
      <c r="C7802" s="120"/>
      <c r="D7802" s="120"/>
      <c r="E7802" s="120"/>
      <c r="F7802" s="120"/>
      <c r="G7802" s="120"/>
      <c r="H7802" s="120"/>
      <c r="I7802" s="121"/>
      <c r="J7802" s="121"/>
      <c r="K7802" s="117"/>
    </row>
    <row r="7803" ht="15.75" customHeight="1">
      <c r="A7803" s="122"/>
      <c r="B7803" s="133"/>
      <c r="C7803" s="120"/>
      <c r="D7803" s="120"/>
      <c r="E7803" s="120"/>
      <c r="F7803" s="120"/>
      <c r="G7803" s="120"/>
      <c r="H7803" s="120"/>
      <c r="I7803" s="121"/>
      <c r="J7803" s="121"/>
      <c r="K7803" s="117"/>
    </row>
    <row r="7804" ht="15.75" customHeight="1">
      <c r="A7804" s="122"/>
      <c r="B7804" s="133"/>
      <c r="C7804" s="120"/>
      <c r="D7804" s="120"/>
      <c r="E7804" s="120"/>
      <c r="F7804" s="120"/>
      <c r="G7804" s="120"/>
      <c r="H7804" s="120"/>
      <c r="I7804" s="121"/>
      <c r="J7804" s="121"/>
      <c r="K7804" s="117"/>
    </row>
    <row r="7805" ht="15.75" customHeight="1">
      <c r="A7805" s="122"/>
      <c r="B7805" s="133"/>
      <c r="C7805" s="120"/>
      <c r="D7805" s="120"/>
      <c r="E7805" s="120"/>
      <c r="F7805" s="120"/>
      <c r="G7805" s="120"/>
      <c r="H7805" s="120"/>
      <c r="I7805" s="121"/>
      <c r="J7805" s="121"/>
      <c r="K7805" s="117"/>
    </row>
    <row r="7806" ht="15.75" customHeight="1">
      <c r="A7806" s="122"/>
      <c r="B7806" s="133"/>
      <c r="C7806" s="120"/>
      <c r="D7806" s="120"/>
      <c r="E7806" s="120"/>
      <c r="F7806" s="120"/>
      <c r="G7806" s="120"/>
      <c r="H7806" s="120"/>
      <c r="I7806" s="121"/>
      <c r="J7806" s="121"/>
      <c r="K7806" s="117"/>
    </row>
    <row r="7807" ht="15.75" customHeight="1">
      <c r="A7807" s="122"/>
      <c r="B7807" s="133"/>
      <c r="C7807" s="120"/>
      <c r="D7807" s="120"/>
      <c r="E7807" s="120"/>
      <c r="F7807" s="120"/>
      <c r="G7807" s="120"/>
      <c r="H7807" s="120"/>
      <c r="I7807" s="121"/>
      <c r="J7807" s="121"/>
      <c r="K7807" s="117"/>
    </row>
    <row r="7808" ht="15.75" customHeight="1">
      <c r="A7808" s="122"/>
      <c r="B7808" s="133"/>
      <c r="C7808" s="120"/>
      <c r="D7808" s="120"/>
      <c r="E7808" s="120"/>
      <c r="F7808" s="120"/>
      <c r="G7808" s="120"/>
      <c r="H7808" s="120"/>
      <c r="I7808" s="121"/>
      <c r="J7808" s="121"/>
      <c r="K7808" s="117"/>
    </row>
    <row r="7809" ht="15.75" customHeight="1">
      <c r="A7809" s="122"/>
      <c r="B7809" s="133"/>
      <c r="C7809" s="120"/>
      <c r="D7809" s="120"/>
      <c r="E7809" s="120"/>
      <c r="F7809" s="120"/>
      <c r="G7809" s="120"/>
      <c r="H7809" s="120"/>
      <c r="I7809" s="121"/>
      <c r="J7809" s="121"/>
      <c r="K7809" s="117"/>
    </row>
    <row r="7810" ht="15.75" customHeight="1">
      <c r="A7810" s="122"/>
      <c r="B7810" s="133"/>
      <c r="C7810" s="120"/>
      <c r="D7810" s="120"/>
      <c r="E7810" s="120"/>
      <c r="F7810" s="120"/>
      <c r="G7810" s="120"/>
      <c r="H7810" s="120"/>
      <c r="I7810" s="121"/>
      <c r="J7810" s="121"/>
      <c r="K7810" s="117"/>
    </row>
    <row r="7811" ht="15.75" customHeight="1">
      <c r="A7811" s="122"/>
      <c r="B7811" s="133"/>
      <c r="C7811" s="120"/>
      <c r="D7811" s="120"/>
      <c r="E7811" s="120"/>
      <c r="F7811" s="120"/>
      <c r="G7811" s="120"/>
      <c r="H7811" s="120"/>
      <c r="I7811" s="121"/>
      <c r="J7811" s="121"/>
      <c r="K7811" s="117"/>
    </row>
    <row r="7812" ht="15.75" customHeight="1">
      <c r="A7812" s="122"/>
      <c r="B7812" s="133"/>
      <c r="C7812" s="120"/>
      <c r="D7812" s="120"/>
      <c r="E7812" s="120"/>
      <c r="F7812" s="120"/>
      <c r="G7812" s="120"/>
      <c r="H7812" s="120"/>
      <c r="I7812" s="121"/>
      <c r="J7812" s="121"/>
      <c r="K7812" s="117"/>
    </row>
    <row r="7813" ht="15.75" customHeight="1">
      <c r="A7813" s="122"/>
      <c r="B7813" s="133"/>
      <c r="C7813" s="120"/>
      <c r="D7813" s="120"/>
      <c r="E7813" s="120"/>
      <c r="F7813" s="120"/>
      <c r="G7813" s="120"/>
      <c r="H7813" s="120"/>
      <c r="I7813" s="121"/>
      <c r="J7813" s="121"/>
      <c r="K7813" s="117"/>
    </row>
    <row r="7814" ht="15.75" customHeight="1">
      <c r="A7814" s="122"/>
      <c r="B7814" s="133"/>
      <c r="C7814" s="120"/>
      <c r="D7814" s="120"/>
      <c r="E7814" s="120"/>
      <c r="F7814" s="120"/>
      <c r="G7814" s="120"/>
      <c r="H7814" s="120"/>
      <c r="I7814" s="121"/>
      <c r="J7814" s="121"/>
      <c r="K7814" s="117"/>
    </row>
    <row r="7815" ht="15.75" customHeight="1">
      <c r="A7815" s="122"/>
      <c r="B7815" s="133"/>
      <c r="C7815" s="120"/>
      <c r="D7815" s="120"/>
      <c r="E7815" s="120"/>
      <c r="F7815" s="120"/>
      <c r="G7815" s="120"/>
      <c r="H7815" s="120"/>
      <c r="I7815" s="121"/>
      <c r="J7815" s="121"/>
      <c r="K7815" s="117"/>
    </row>
    <row r="7816" ht="15.75" customHeight="1">
      <c r="A7816" s="122"/>
      <c r="B7816" s="133"/>
      <c r="C7816" s="120"/>
      <c r="D7816" s="120"/>
      <c r="E7816" s="120"/>
      <c r="F7816" s="120"/>
      <c r="G7816" s="120"/>
      <c r="H7816" s="120"/>
      <c r="I7816" s="121"/>
      <c r="J7816" s="121"/>
      <c r="K7816" s="117"/>
    </row>
    <row r="7817" ht="15.75" customHeight="1">
      <c r="A7817" s="122"/>
      <c r="B7817" s="133"/>
      <c r="C7817" s="120"/>
      <c r="D7817" s="120"/>
      <c r="E7817" s="120"/>
      <c r="F7817" s="120"/>
      <c r="G7817" s="120"/>
      <c r="H7817" s="120"/>
      <c r="I7817" s="121"/>
      <c r="J7817" s="121"/>
      <c r="K7817" s="117"/>
    </row>
    <row r="7818" ht="15.75" customHeight="1">
      <c r="A7818" s="122"/>
      <c r="B7818" s="133"/>
      <c r="C7818" s="120"/>
      <c r="D7818" s="120"/>
      <c r="E7818" s="120"/>
      <c r="F7818" s="120"/>
      <c r="G7818" s="120"/>
      <c r="H7818" s="120"/>
      <c r="I7818" s="121"/>
      <c r="J7818" s="121"/>
      <c r="K7818" s="117"/>
    </row>
    <row r="7819" ht="15.75" customHeight="1">
      <c r="A7819" s="122"/>
      <c r="B7819" s="133"/>
      <c r="C7819" s="120"/>
      <c r="D7819" s="120"/>
      <c r="E7819" s="120"/>
      <c r="F7819" s="120"/>
      <c r="G7819" s="120"/>
      <c r="H7819" s="120"/>
      <c r="I7819" s="121"/>
      <c r="J7819" s="121"/>
      <c r="K7819" s="117"/>
    </row>
    <row r="7820" ht="15.75" customHeight="1">
      <c r="A7820" s="122"/>
      <c r="B7820" s="133"/>
      <c r="C7820" s="120"/>
      <c r="D7820" s="120"/>
      <c r="E7820" s="120"/>
      <c r="F7820" s="120"/>
      <c r="G7820" s="120"/>
      <c r="H7820" s="120"/>
      <c r="I7820" s="121"/>
      <c r="J7820" s="121"/>
      <c r="K7820" s="117"/>
    </row>
    <row r="7821" ht="15.75" customHeight="1">
      <c r="A7821" s="122"/>
      <c r="B7821" s="133"/>
      <c r="C7821" s="120"/>
      <c r="D7821" s="120"/>
      <c r="E7821" s="120"/>
      <c r="F7821" s="120"/>
      <c r="G7821" s="120"/>
      <c r="H7821" s="120"/>
      <c r="I7821" s="121"/>
      <c r="J7821" s="121"/>
      <c r="K7821" s="117"/>
    </row>
    <row r="7822" ht="15.75" customHeight="1">
      <c r="A7822" s="122"/>
      <c r="B7822" s="133"/>
      <c r="C7822" s="120"/>
      <c r="D7822" s="120"/>
      <c r="E7822" s="120"/>
      <c r="F7822" s="120"/>
      <c r="G7822" s="120"/>
      <c r="H7822" s="120"/>
      <c r="I7822" s="121"/>
      <c r="J7822" s="121"/>
      <c r="K7822" s="117"/>
    </row>
    <row r="7823" ht="15.75" customHeight="1">
      <c r="A7823" s="122"/>
      <c r="B7823" s="133"/>
      <c r="C7823" s="120"/>
      <c r="D7823" s="120"/>
      <c r="E7823" s="120"/>
      <c r="F7823" s="120"/>
      <c r="G7823" s="120"/>
      <c r="H7823" s="120"/>
      <c r="I7823" s="121"/>
      <c r="J7823" s="121"/>
      <c r="K7823" s="117"/>
    </row>
    <row r="7824" ht="15.75" customHeight="1">
      <c r="A7824" s="122"/>
      <c r="B7824" s="133"/>
      <c r="C7824" s="120"/>
      <c r="D7824" s="120"/>
      <c r="E7824" s="120"/>
      <c r="F7824" s="120"/>
      <c r="G7824" s="120"/>
      <c r="H7824" s="120"/>
      <c r="I7824" s="121"/>
      <c r="J7824" s="121"/>
      <c r="K7824" s="117"/>
    </row>
    <row r="7825" ht="15.75" customHeight="1">
      <c r="A7825" s="122"/>
      <c r="B7825" s="133"/>
      <c r="C7825" s="120"/>
      <c r="D7825" s="120"/>
      <c r="E7825" s="120"/>
      <c r="F7825" s="120"/>
      <c r="G7825" s="120"/>
      <c r="H7825" s="120"/>
      <c r="I7825" s="121"/>
      <c r="J7825" s="121"/>
      <c r="K7825" s="117"/>
    </row>
    <row r="7826" ht="15.75" customHeight="1">
      <c r="A7826" s="122"/>
      <c r="B7826" s="133"/>
      <c r="C7826" s="120"/>
      <c r="D7826" s="120"/>
      <c r="E7826" s="120"/>
      <c r="F7826" s="120"/>
      <c r="G7826" s="120"/>
      <c r="H7826" s="120"/>
      <c r="I7826" s="121"/>
      <c r="J7826" s="121"/>
      <c r="K7826" s="117"/>
    </row>
    <row r="7827" ht="15.75" customHeight="1">
      <c r="A7827" s="122"/>
      <c r="B7827" s="133"/>
      <c r="C7827" s="120"/>
      <c r="D7827" s="120"/>
      <c r="E7827" s="120"/>
      <c r="F7827" s="120"/>
      <c r="G7827" s="120"/>
      <c r="H7827" s="120"/>
      <c r="I7827" s="121"/>
      <c r="J7827" s="121"/>
      <c r="K7827" s="117"/>
    </row>
    <row r="7828" ht="15.75" customHeight="1">
      <c r="A7828" s="122"/>
      <c r="B7828" s="133"/>
      <c r="C7828" s="120"/>
      <c r="D7828" s="120"/>
      <c r="E7828" s="120"/>
      <c r="F7828" s="120"/>
      <c r="G7828" s="120"/>
      <c r="H7828" s="120"/>
      <c r="I7828" s="121"/>
      <c r="J7828" s="121"/>
      <c r="K7828" s="117"/>
    </row>
    <row r="7829" ht="15.75" customHeight="1">
      <c r="A7829" s="122"/>
      <c r="B7829" s="133"/>
      <c r="C7829" s="120"/>
      <c r="D7829" s="120"/>
      <c r="E7829" s="120"/>
      <c r="F7829" s="120"/>
      <c r="G7829" s="120"/>
      <c r="H7829" s="120"/>
      <c r="I7829" s="121"/>
      <c r="J7829" s="121"/>
      <c r="K7829" s="117"/>
    </row>
    <row r="7830" ht="15.75" customHeight="1">
      <c r="A7830" s="122"/>
      <c r="B7830" s="133"/>
      <c r="C7830" s="120"/>
      <c r="D7830" s="120"/>
      <c r="E7830" s="120"/>
      <c r="F7830" s="120"/>
      <c r="G7830" s="120"/>
      <c r="H7830" s="120"/>
      <c r="I7830" s="121"/>
      <c r="J7830" s="121"/>
      <c r="K7830" s="117"/>
    </row>
    <row r="7831" ht="15.75" customHeight="1">
      <c r="A7831" s="122"/>
      <c r="B7831" s="133"/>
      <c r="C7831" s="120"/>
      <c r="D7831" s="120"/>
      <c r="E7831" s="120"/>
      <c r="F7831" s="120"/>
      <c r="G7831" s="120"/>
      <c r="H7831" s="120"/>
      <c r="I7831" s="121"/>
      <c r="J7831" s="121"/>
      <c r="K7831" s="117"/>
    </row>
    <row r="7832" ht="15.75" customHeight="1">
      <c r="A7832" s="122"/>
      <c r="B7832" s="133"/>
      <c r="C7832" s="120"/>
      <c r="D7832" s="120"/>
      <c r="E7832" s="120"/>
      <c r="F7832" s="120"/>
      <c r="G7832" s="120"/>
      <c r="H7832" s="120"/>
      <c r="I7832" s="121"/>
      <c r="J7832" s="121"/>
      <c r="K7832" s="117"/>
    </row>
    <row r="7833" ht="15.75" customHeight="1">
      <c r="A7833" s="122"/>
      <c r="B7833" s="133"/>
      <c r="C7833" s="120"/>
      <c r="D7833" s="120"/>
      <c r="E7833" s="120"/>
      <c r="F7833" s="120"/>
      <c r="G7833" s="120"/>
      <c r="H7833" s="120"/>
      <c r="I7833" s="121"/>
      <c r="J7833" s="121"/>
      <c r="K7833" s="117"/>
    </row>
    <row r="7834" ht="15.75" customHeight="1">
      <c r="A7834" s="122"/>
      <c r="B7834" s="133"/>
      <c r="C7834" s="120"/>
      <c r="D7834" s="120"/>
      <c r="E7834" s="120"/>
      <c r="F7834" s="120"/>
      <c r="G7834" s="120"/>
      <c r="H7834" s="120"/>
      <c r="I7834" s="121"/>
      <c r="J7834" s="121"/>
      <c r="K7834" s="117"/>
    </row>
    <row r="7835" ht="15.75" customHeight="1">
      <c r="A7835" s="122"/>
      <c r="B7835" s="133"/>
      <c r="C7835" s="120"/>
      <c r="D7835" s="120"/>
      <c r="E7835" s="120"/>
      <c r="F7835" s="120"/>
      <c r="G7835" s="120"/>
      <c r="H7835" s="120"/>
      <c r="I7835" s="121"/>
      <c r="J7835" s="121"/>
      <c r="K7835" s="117"/>
    </row>
    <row r="7836" ht="15.75" customHeight="1">
      <c r="A7836" s="122"/>
      <c r="B7836" s="133"/>
      <c r="C7836" s="120"/>
      <c r="D7836" s="120"/>
      <c r="E7836" s="120"/>
      <c r="F7836" s="120"/>
      <c r="G7836" s="120"/>
      <c r="H7836" s="120"/>
      <c r="I7836" s="121"/>
      <c r="J7836" s="121"/>
      <c r="K7836" s="117"/>
    </row>
    <row r="7837" ht="15.75" customHeight="1">
      <c r="A7837" s="122"/>
      <c r="B7837" s="133"/>
      <c r="C7837" s="120"/>
      <c r="D7837" s="120"/>
      <c r="E7837" s="120"/>
      <c r="F7837" s="120"/>
      <c r="G7837" s="120"/>
      <c r="H7837" s="120"/>
      <c r="I7837" s="121"/>
      <c r="J7837" s="121"/>
      <c r="K7837" s="117"/>
    </row>
    <row r="7838" ht="15.75" customHeight="1">
      <c r="A7838" s="122"/>
      <c r="B7838" s="133"/>
      <c r="C7838" s="120"/>
      <c r="D7838" s="120"/>
      <c r="E7838" s="120"/>
      <c r="F7838" s="120"/>
      <c r="G7838" s="120"/>
      <c r="H7838" s="120"/>
      <c r="I7838" s="121"/>
      <c r="J7838" s="121"/>
      <c r="K7838" s="117"/>
    </row>
    <row r="7839" ht="15.75" customHeight="1">
      <c r="A7839" s="122"/>
      <c r="B7839" s="133"/>
      <c r="C7839" s="120"/>
      <c r="D7839" s="120"/>
      <c r="E7839" s="120"/>
      <c r="F7839" s="120"/>
      <c r="G7839" s="120"/>
      <c r="H7839" s="120"/>
      <c r="I7839" s="121"/>
      <c r="J7839" s="121"/>
      <c r="K7839" s="117"/>
    </row>
    <row r="7840" ht="15.75" customHeight="1">
      <c r="A7840" s="122"/>
      <c r="B7840" s="133"/>
      <c r="C7840" s="120"/>
      <c r="D7840" s="120"/>
      <c r="E7840" s="120"/>
      <c r="F7840" s="120"/>
      <c r="G7840" s="120"/>
      <c r="H7840" s="120"/>
      <c r="I7840" s="121"/>
      <c r="J7840" s="121"/>
      <c r="K7840" s="117"/>
    </row>
    <row r="7841" ht="15.75" customHeight="1">
      <c r="A7841" s="122"/>
      <c r="B7841" s="133"/>
      <c r="C7841" s="120"/>
      <c r="D7841" s="120"/>
      <c r="E7841" s="120"/>
      <c r="F7841" s="120"/>
      <c r="G7841" s="120"/>
      <c r="H7841" s="120"/>
      <c r="I7841" s="121"/>
      <c r="J7841" s="121"/>
      <c r="K7841" s="117"/>
    </row>
    <row r="7842" ht="15.75" customHeight="1">
      <c r="A7842" s="122"/>
      <c r="B7842" s="133"/>
      <c r="C7842" s="120"/>
      <c r="D7842" s="120"/>
      <c r="E7842" s="120"/>
      <c r="F7842" s="120"/>
      <c r="G7842" s="120"/>
      <c r="H7842" s="120"/>
      <c r="I7842" s="121"/>
      <c r="J7842" s="121"/>
      <c r="K7842" s="117"/>
    </row>
    <row r="7843" ht="15.75" customHeight="1">
      <c r="A7843" s="122"/>
      <c r="B7843" s="133"/>
      <c r="C7843" s="120"/>
      <c r="D7843" s="120"/>
      <c r="E7843" s="120"/>
      <c r="F7843" s="120"/>
      <c r="G7843" s="120"/>
      <c r="H7843" s="120"/>
      <c r="I7843" s="121"/>
      <c r="J7843" s="121"/>
      <c r="K7843" s="117"/>
    </row>
    <row r="7844" ht="15.75" customHeight="1">
      <c r="A7844" s="122"/>
      <c r="B7844" s="133"/>
      <c r="C7844" s="120"/>
      <c r="D7844" s="120"/>
      <c r="E7844" s="120"/>
      <c r="F7844" s="120"/>
      <c r="G7844" s="120"/>
      <c r="H7844" s="120"/>
      <c r="I7844" s="121"/>
      <c r="J7844" s="121"/>
      <c r="K7844" s="117"/>
    </row>
    <row r="7845" ht="15.75" customHeight="1">
      <c r="A7845" s="122"/>
      <c r="B7845" s="133"/>
      <c r="C7845" s="120"/>
      <c r="D7845" s="120"/>
      <c r="E7845" s="120"/>
      <c r="F7845" s="120"/>
      <c r="G7845" s="120"/>
      <c r="H7845" s="120"/>
      <c r="I7845" s="121"/>
      <c r="J7845" s="121"/>
      <c r="K7845" s="117"/>
    </row>
    <row r="7846" ht="15.75" customHeight="1">
      <c r="A7846" s="122"/>
      <c r="B7846" s="133"/>
      <c r="C7846" s="120"/>
      <c r="D7846" s="120"/>
      <c r="E7846" s="120"/>
      <c r="F7846" s="120"/>
      <c r="G7846" s="120"/>
      <c r="H7846" s="120"/>
      <c r="I7846" s="121"/>
      <c r="J7846" s="121"/>
      <c r="K7846" s="117"/>
    </row>
    <row r="7847" ht="15.75" customHeight="1">
      <c r="A7847" s="122"/>
      <c r="B7847" s="133"/>
      <c r="C7847" s="120"/>
      <c r="D7847" s="120"/>
      <c r="E7847" s="120"/>
      <c r="F7847" s="120"/>
      <c r="G7847" s="120"/>
      <c r="H7847" s="120"/>
      <c r="I7847" s="121"/>
      <c r="J7847" s="121"/>
      <c r="K7847" s="117"/>
    </row>
    <row r="7848" ht="15.75" customHeight="1">
      <c r="A7848" s="122"/>
      <c r="B7848" s="133"/>
      <c r="C7848" s="120"/>
      <c r="D7848" s="120"/>
      <c r="E7848" s="120"/>
      <c r="F7848" s="120"/>
      <c r="G7848" s="120"/>
      <c r="H7848" s="120"/>
      <c r="I7848" s="121"/>
      <c r="J7848" s="121"/>
      <c r="K7848" s="117"/>
    </row>
    <row r="7849" ht="15.75" customHeight="1">
      <c r="A7849" s="122"/>
      <c r="B7849" s="133"/>
      <c r="C7849" s="120"/>
      <c r="D7849" s="120"/>
      <c r="E7849" s="120"/>
      <c r="F7849" s="120"/>
      <c r="G7849" s="120"/>
      <c r="H7849" s="120"/>
      <c r="I7849" s="121"/>
      <c r="J7849" s="121"/>
      <c r="K7849" s="117"/>
    </row>
    <row r="7850" ht="15.75" customHeight="1">
      <c r="A7850" s="122"/>
      <c r="B7850" s="133"/>
      <c r="C7850" s="120"/>
      <c r="D7850" s="120"/>
      <c r="E7850" s="120"/>
      <c r="F7850" s="120"/>
      <c r="G7850" s="120"/>
      <c r="H7850" s="120"/>
      <c r="I7850" s="121"/>
      <c r="J7850" s="121"/>
      <c r="K7850" s="117"/>
    </row>
    <row r="7851" ht="15.75" customHeight="1">
      <c r="A7851" s="122"/>
      <c r="B7851" s="133"/>
      <c r="C7851" s="120"/>
      <c r="D7851" s="120"/>
      <c r="E7851" s="120"/>
      <c r="F7851" s="120"/>
      <c r="G7851" s="120"/>
      <c r="H7851" s="120"/>
      <c r="I7851" s="121"/>
      <c r="J7851" s="121"/>
      <c r="K7851" s="117"/>
    </row>
    <row r="7852" ht="15.75" customHeight="1">
      <c r="A7852" s="122"/>
      <c r="B7852" s="133"/>
      <c r="C7852" s="120"/>
      <c r="D7852" s="120"/>
      <c r="E7852" s="120"/>
      <c r="F7852" s="120"/>
      <c r="G7852" s="120"/>
      <c r="H7852" s="120"/>
      <c r="I7852" s="121"/>
      <c r="J7852" s="121"/>
      <c r="K7852" s="117"/>
    </row>
    <row r="7853" ht="15.75" customHeight="1">
      <c r="A7853" s="122"/>
      <c r="B7853" s="133"/>
      <c r="C7853" s="120"/>
      <c r="D7853" s="120"/>
      <c r="E7853" s="120"/>
      <c r="F7853" s="120"/>
      <c r="G7853" s="120"/>
      <c r="H7853" s="120"/>
      <c r="I7853" s="121"/>
      <c r="J7853" s="121"/>
      <c r="K7853" s="117"/>
    </row>
    <row r="7854" ht="15.75" customHeight="1">
      <c r="A7854" s="122"/>
      <c r="B7854" s="133"/>
      <c r="C7854" s="120"/>
      <c r="D7854" s="120"/>
      <c r="E7854" s="120"/>
      <c r="F7854" s="120"/>
      <c r="G7854" s="120"/>
      <c r="H7854" s="120"/>
      <c r="I7854" s="121"/>
      <c r="J7854" s="121"/>
      <c r="K7854" s="117"/>
    </row>
    <row r="7855" ht="15.75" customHeight="1">
      <c r="A7855" s="122"/>
      <c r="B7855" s="133"/>
      <c r="C7855" s="120"/>
      <c r="D7855" s="120"/>
      <c r="E7855" s="120"/>
      <c r="F7855" s="120"/>
      <c r="G7855" s="120"/>
      <c r="H7855" s="120"/>
      <c r="I7855" s="121"/>
      <c r="J7855" s="121"/>
      <c r="K7855" s="117"/>
    </row>
    <row r="7856" ht="15.75" customHeight="1">
      <c r="A7856" s="122"/>
      <c r="B7856" s="133"/>
      <c r="C7856" s="120"/>
      <c r="D7856" s="120"/>
      <c r="E7856" s="120"/>
      <c r="F7856" s="120"/>
      <c r="G7856" s="120"/>
      <c r="H7856" s="120"/>
      <c r="I7856" s="121"/>
      <c r="J7856" s="121"/>
      <c r="K7856" s="117"/>
    </row>
    <row r="7857" ht="15.75" customHeight="1">
      <c r="A7857" s="122"/>
      <c r="B7857" s="133"/>
      <c r="C7857" s="120"/>
      <c r="D7857" s="120"/>
      <c r="E7857" s="120"/>
      <c r="F7857" s="120"/>
      <c r="G7857" s="120"/>
      <c r="H7857" s="120"/>
      <c r="I7857" s="121"/>
      <c r="J7857" s="121"/>
      <c r="K7857" s="117"/>
    </row>
    <row r="7858" ht="15.75" customHeight="1">
      <c r="A7858" s="122"/>
      <c r="B7858" s="133"/>
      <c r="C7858" s="120"/>
      <c r="D7858" s="120"/>
      <c r="E7858" s="120"/>
      <c r="F7858" s="120"/>
      <c r="G7858" s="120"/>
      <c r="H7858" s="120"/>
      <c r="I7858" s="121"/>
      <c r="J7858" s="121"/>
      <c r="K7858" s="117"/>
    </row>
    <row r="7859" ht="15.75" customHeight="1">
      <c r="A7859" s="122"/>
      <c r="B7859" s="133"/>
      <c r="C7859" s="120"/>
      <c r="D7859" s="120"/>
      <c r="E7859" s="120"/>
      <c r="F7859" s="120"/>
      <c r="G7859" s="120"/>
      <c r="H7859" s="120"/>
      <c r="I7859" s="121"/>
      <c r="J7859" s="121"/>
      <c r="K7859" s="117"/>
    </row>
    <row r="7860" ht="15.75" customHeight="1">
      <c r="A7860" s="122"/>
      <c r="B7860" s="133"/>
      <c r="C7860" s="120"/>
      <c r="D7860" s="120"/>
      <c r="E7860" s="120"/>
      <c r="F7860" s="120"/>
      <c r="G7860" s="120"/>
      <c r="H7860" s="120"/>
      <c r="I7860" s="121"/>
      <c r="J7860" s="121"/>
      <c r="K7860" s="117"/>
    </row>
    <row r="7861" ht="15.75" customHeight="1">
      <c r="A7861" s="122"/>
      <c r="B7861" s="133"/>
      <c r="C7861" s="120"/>
      <c r="D7861" s="120"/>
      <c r="E7861" s="120"/>
      <c r="F7861" s="120"/>
      <c r="G7861" s="120"/>
      <c r="H7861" s="120"/>
      <c r="I7861" s="121"/>
      <c r="J7861" s="121"/>
      <c r="K7861" s="117"/>
    </row>
    <row r="7862" ht="15.75" customHeight="1">
      <c r="A7862" s="122"/>
      <c r="B7862" s="133"/>
      <c r="C7862" s="120"/>
      <c r="D7862" s="120"/>
      <c r="E7862" s="120"/>
      <c r="F7862" s="120"/>
      <c r="G7862" s="120"/>
      <c r="H7862" s="120"/>
      <c r="I7862" s="121"/>
      <c r="J7862" s="121"/>
      <c r="K7862" s="117"/>
    </row>
    <row r="7863" ht="15.75" customHeight="1">
      <c r="A7863" s="122"/>
      <c r="B7863" s="133"/>
      <c r="C7863" s="120"/>
      <c r="D7863" s="120"/>
      <c r="E7863" s="120"/>
      <c r="F7863" s="120"/>
      <c r="G7863" s="120"/>
      <c r="H7863" s="120"/>
      <c r="I7863" s="121"/>
      <c r="J7863" s="121"/>
      <c r="K7863" s="117"/>
    </row>
    <row r="7864" ht="15.75" customHeight="1">
      <c r="A7864" s="122"/>
      <c r="B7864" s="133"/>
      <c r="C7864" s="120"/>
      <c r="D7864" s="120"/>
      <c r="E7864" s="120"/>
      <c r="F7864" s="120"/>
      <c r="G7864" s="120"/>
      <c r="H7864" s="120"/>
      <c r="I7864" s="121"/>
      <c r="J7864" s="121"/>
      <c r="K7864" s="117"/>
    </row>
    <row r="7865" ht="15.75" customHeight="1">
      <c r="A7865" s="122"/>
      <c r="B7865" s="133"/>
      <c r="C7865" s="120"/>
      <c r="D7865" s="120"/>
      <c r="E7865" s="120"/>
      <c r="F7865" s="120"/>
      <c r="G7865" s="120"/>
      <c r="H7865" s="120"/>
      <c r="I7865" s="121"/>
      <c r="J7865" s="121"/>
      <c r="K7865" s="117"/>
    </row>
    <row r="7866" ht="15.75" customHeight="1">
      <c r="A7866" s="122"/>
      <c r="B7866" s="133"/>
      <c r="C7866" s="120"/>
      <c r="D7866" s="120"/>
      <c r="E7866" s="120"/>
      <c r="F7866" s="120"/>
      <c r="G7866" s="120"/>
      <c r="H7866" s="120"/>
      <c r="I7866" s="121"/>
      <c r="J7866" s="121"/>
      <c r="K7866" s="117"/>
    </row>
    <row r="7867" ht="15.75" customHeight="1">
      <c r="A7867" s="122"/>
      <c r="B7867" s="133"/>
      <c r="C7867" s="120"/>
      <c r="D7867" s="120"/>
      <c r="E7867" s="120"/>
      <c r="F7867" s="120"/>
      <c r="G7867" s="120"/>
      <c r="H7867" s="120"/>
      <c r="I7867" s="121"/>
      <c r="J7867" s="121"/>
      <c r="K7867" s="117"/>
    </row>
    <row r="7868" ht="15.75" customHeight="1">
      <c r="A7868" s="122"/>
      <c r="B7868" s="133"/>
      <c r="C7868" s="120"/>
      <c r="D7868" s="120"/>
      <c r="E7868" s="120"/>
      <c r="F7868" s="120"/>
      <c r="G7868" s="120"/>
      <c r="H7868" s="120"/>
      <c r="I7868" s="121"/>
      <c r="J7868" s="121"/>
      <c r="K7868" s="117"/>
    </row>
    <row r="7869" ht="15.75" customHeight="1">
      <c r="A7869" s="122"/>
      <c r="B7869" s="133"/>
      <c r="C7869" s="120"/>
      <c r="D7869" s="120"/>
      <c r="E7869" s="120"/>
      <c r="F7869" s="120"/>
      <c r="G7869" s="120"/>
      <c r="H7869" s="120"/>
      <c r="I7869" s="121"/>
      <c r="J7869" s="121"/>
      <c r="K7869" s="117"/>
    </row>
    <row r="7870" ht="15.75" customHeight="1">
      <c r="A7870" s="122"/>
      <c r="B7870" s="133"/>
      <c r="C7870" s="120"/>
      <c r="D7870" s="120"/>
      <c r="E7870" s="120"/>
      <c r="F7870" s="120"/>
      <c r="G7870" s="120"/>
      <c r="H7870" s="120"/>
      <c r="I7870" s="121"/>
      <c r="J7870" s="121"/>
      <c r="K7870" s="117"/>
    </row>
    <row r="7871" ht="15.75" customHeight="1">
      <c r="A7871" s="122"/>
      <c r="B7871" s="133"/>
      <c r="C7871" s="120"/>
      <c r="D7871" s="120"/>
      <c r="E7871" s="120"/>
      <c r="F7871" s="120"/>
      <c r="G7871" s="120"/>
      <c r="H7871" s="120"/>
      <c r="I7871" s="121"/>
      <c r="J7871" s="121"/>
      <c r="K7871" s="117"/>
    </row>
    <row r="7872" ht="15.75" customHeight="1">
      <c r="A7872" s="122"/>
      <c r="B7872" s="133"/>
      <c r="C7872" s="120"/>
      <c r="D7872" s="120"/>
      <c r="E7872" s="120"/>
      <c r="F7872" s="120"/>
      <c r="G7872" s="120"/>
      <c r="H7872" s="120"/>
      <c r="I7872" s="121"/>
      <c r="J7872" s="121"/>
      <c r="K7872" s="117"/>
    </row>
    <row r="7873" ht="15.75" customHeight="1">
      <c r="A7873" s="122"/>
      <c r="B7873" s="133"/>
      <c r="C7873" s="120"/>
      <c r="D7873" s="120"/>
      <c r="E7873" s="120"/>
      <c r="F7873" s="120"/>
      <c r="G7873" s="120"/>
      <c r="H7873" s="120"/>
      <c r="I7873" s="121"/>
      <c r="J7873" s="121"/>
      <c r="K7873" s="117"/>
    </row>
    <row r="7874" ht="15.75" customHeight="1">
      <c r="A7874" s="122"/>
      <c r="B7874" s="133"/>
      <c r="C7874" s="120"/>
      <c r="D7874" s="120"/>
      <c r="E7874" s="120"/>
      <c r="F7874" s="120"/>
      <c r="G7874" s="120"/>
      <c r="H7874" s="120"/>
      <c r="I7874" s="121"/>
      <c r="J7874" s="121"/>
      <c r="K7874" s="117"/>
    </row>
    <row r="7875" ht="15.75" customHeight="1">
      <c r="A7875" s="122"/>
      <c r="B7875" s="133"/>
      <c r="C7875" s="120"/>
      <c r="D7875" s="120"/>
      <c r="E7875" s="120"/>
      <c r="F7875" s="120"/>
      <c r="G7875" s="120"/>
      <c r="H7875" s="120"/>
      <c r="I7875" s="121"/>
      <c r="J7875" s="121"/>
      <c r="K7875" s="117"/>
    </row>
    <row r="7876" ht="15.75" customHeight="1">
      <c r="A7876" s="122"/>
      <c r="B7876" s="133"/>
      <c r="C7876" s="120"/>
      <c r="D7876" s="120"/>
      <c r="E7876" s="120"/>
      <c r="F7876" s="120"/>
      <c r="G7876" s="120"/>
      <c r="H7876" s="120"/>
      <c r="I7876" s="121"/>
      <c r="J7876" s="121"/>
      <c r="K7876" s="117"/>
    </row>
    <row r="7877" ht="15.75" customHeight="1">
      <c r="A7877" s="122"/>
      <c r="B7877" s="133"/>
      <c r="C7877" s="120"/>
      <c r="D7877" s="120"/>
      <c r="E7877" s="120"/>
      <c r="F7877" s="120"/>
      <c r="G7877" s="120"/>
      <c r="H7877" s="120"/>
      <c r="I7877" s="121"/>
      <c r="J7877" s="121"/>
      <c r="K7877" s="117"/>
    </row>
    <row r="7878" ht="15.75" customHeight="1">
      <c r="A7878" s="122"/>
      <c r="B7878" s="133"/>
      <c r="C7878" s="120"/>
      <c r="D7878" s="120"/>
      <c r="E7878" s="120"/>
      <c r="F7878" s="120"/>
      <c r="G7878" s="120"/>
      <c r="H7878" s="120"/>
      <c r="I7878" s="121"/>
      <c r="J7878" s="121"/>
      <c r="K7878" s="117"/>
    </row>
    <row r="7879" ht="15.75" customHeight="1">
      <c r="A7879" s="122"/>
      <c r="B7879" s="133"/>
      <c r="C7879" s="120"/>
      <c r="D7879" s="120"/>
      <c r="E7879" s="120"/>
      <c r="F7879" s="120"/>
      <c r="G7879" s="120"/>
      <c r="H7879" s="120"/>
      <c r="I7879" s="121"/>
      <c r="J7879" s="121"/>
      <c r="K7879" s="117"/>
    </row>
    <row r="7880" ht="15.75" customHeight="1">
      <c r="A7880" s="122"/>
      <c r="B7880" s="133"/>
      <c r="C7880" s="120"/>
      <c r="D7880" s="120"/>
      <c r="E7880" s="120"/>
      <c r="F7880" s="120"/>
      <c r="G7880" s="120"/>
      <c r="H7880" s="120"/>
      <c r="I7880" s="121"/>
      <c r="J7880" s="121"/>
      <c r="K7880" s="117"/>
    </row>
    <row r="7881" ht="15.75" customHeight="1">
      <c r="A7881" s="122"/>
      <c r="B7881" s="133"/>
      <c r="C7881" s="120"/>
      <c r="D7881" s="120"/>
      <c r="E7881" s="120"/>
      <c r="F7881" s="120"/>
      <c r="G7881" s="120"/>
      <c r="H7881" s="120"/>
      <c r="I7881" s="121"/>
      <c r="J7881" s="121"/>
      <c r="K7881" s="117"/>
    </row>
    <row r="7882" ht="15.75" customHeight="1">
      <c r="A7882" s="122"/>
      <c r="B7882" s="133"/>
      <c r="C7882" s="120"/>
      <c r="D7882" s="120"/>
      <c r="E7882" s="120"/>
      <c r="F7882" s="120"/>
      <c r="G7882" s="120"/>
      <c r="H7882" s="120"/>
      <c r="I7882" s="121"/>
      <c r="J7882" s="121"/>
      <c r="K7882" s="117"/>
    </row>
    <row r="7883" ht="15.75" customHeight="1">
      <c r="A7883" s="122"/>
      <c r="B7883" s="133"/>
      <c r="C7883" s="120"/>
      <c r="D7883" s="120"/>
      <c r="E7883" s="120"/>
      <c r="F7883" s="120"/>
      <c r="G7883" s="120"/>
      <c r="H7883" s="120"/>
      <c r="I7883" s="121"/>
      <c r="J7883" s="121"/>
      <c r="K7883" s="117"/>
    </row>
    <row r="7884" ht="15.75" customHeight="1">
      <c r="A7884" s="122"/>
      <c r="B7884" s="133"/>
      <c r="C7884" s="120"/>
      <c r="D7884" s="120"/>
      <c r="E7884" s="120"/>
      <c r="F7884" s="120"/>
      <c r="G7884" s="120"/>
      <c r="H7884" s="120"/>
      <c r="I7884" s="121"/>
      <c r="J7884" s="121"/>
      <c r="K7884" s="117"/>
    </row>
    <row r="7885" ht="15.75" customHeight="1">
      <c r="A7885" s="122"/>
      <c r="B7885" s="133"/>
      <c r="C7885" s="120"/>
      <c r="D7885" s="120"/>
      <c r="E7885" s="120"/>
      <c r="F7885" s="120"/>
      <c r="G7885" s="120"/>
      <c r="H7885" s="120"/>
      <c r="I7885" s="121"/>
      <c r="J7885" s="121"/>
      <c r="K7885" s="117"/>
    </row>
    <row r="7886" ht="15.75" customHeight="1">
      <c r="A7886" s="122"/>
      <c r="B7886" s="133"/>
      <c r="C7886" s="120"/>
      <c r="D7886" s="120"/>
      <c r="E7886" s="120"/>
      <c r="F7886" s="120"/>
      <c r="G7886" s="120"/>
      <c r="H7886" s="120"/>
      <c r="I7886" s="121"/>
      <c r="J7886" s="121"/>
      <c r="K7886" s="117"/>
    </row>
    <row r="7887" ht="15.75" customHeight="1">
      <c r="A7887" s="122"/>
      <c r="B7887" s="133"/>
      <c r="C7887" s="120"/>
      <c r="D7887" s="120"/>
      <c r="E7887" s="120"/>
      <c r="F7887" s="120"/>
      <c r="G7887" s="120"/>
      <c r="H7887" s="120"/>
      <c r="I7887" s="121"/>
      <c r="J7887" s="121"/>
      <c r="K7887" s="117"/>
    </row>
    <row r="7888" ht="15.75" customHeight="1">
      <c r="A7888" s="122"/>
      <c r="B7888" s="133"/>
      <c r="C7888" s="120"/>
      <c r="D7888" s="120"/>
      <c r="E7888" s="120"/>
      <c r="F7888" s="120"/>
      <c r="G7888" s="120"/>
      <c r="H7888" s="120"/>
      <c r="I7888" s="121"/>
      <c r="J7888" s="121"/>
      <c r="K7888" s="117"/>
    </row>
    <row r="7889" ht="15.75" customHeight="1">
      <c r="A7889" s="122"/>
      <c r="B7889" s="133"/>
      <c r="C7889" s="120"/>
      <c r="D7889" s="120"/>
      <c r="E7889" s="120"/>
      <c r="F7889" s="120"/>
      <c r="G7889" s="120"/>
      <c r="H7889" s="120"/>
      <c r="I7889" s="121"/>
      <c r="J7889" s="121"/>
      <c r="K7889" s="117"/>
    </row>
    <row r="7890" ht="15.75" customHeight="1">
      <c r="A7890" s="122"/>
      <c r="B7890" s="133"/>
      <c r="C7890" s="120"/>
      <c r="D7890" s="120"/>
      <c r="E7890" s="120"/>
      <c r="F7890" s="120"/>
      <c r="G7890" s="120"/>
      <c r="H7890" s="120"/>
      <c r="I7890" s="121"/>
      <c r="J7890" s="121"/>
      <c r="K7890" s="117"/>
    </row>
    <row r="7891" ht="15.75" customHeight="1">
      <c r="A7891" s="122"/>
      <c r="B7891" s="133"/>
      <c r="C7891" s="120"/>
      <c r="D7891" s="120"/>
      <c r="E7891" s="120"/>
      <c r="F7891" s="120"/>
      <c r="G7891" s="120"/>
      <c r="H7891" s="120"/>
      <c r="I7891" s="121"/>
      <c r="J7891" s="121"/>
      <c r="K7891" s="117"/>
    </row>
    <row r="7892" ht="15.75" customHeight="1">
      <c r="A7892" s="122"/>
      <c r="B7892" s="133"/>
      <c r="C7892" s="120"/>
      <c r="D7892" s="120"/>
      <c r="E7892" s="120"/>
      <c r="F7892" s="120"/>
      <c r="G7892" s="120"/>
      <c r="H7892" s="120"/>
      <c r="I7892" s="121"/>
      <c r="J7892" s="121"/>
      <c r="K7892" s="117"/>
    </row>
    <row r="7893" ht="15.75" customHeight="1">
      <c r="A7893" s="122"/>
      <c r="B7893" s="133"/>
      <c r="C7893" s="120"/>
      <c r="D7893" s="120"/>
      <c r="E7893" s="120"/>
      <c r="F7893" s="120"/>
      <c r="G7893" s="120"/>
      <c r="H7893" s="120"/>
      <c r="I7893" s="121"/>
      <c r="J7893" s="121"/>
      <c r="K7893" s="117"/>
    </row>
    <row r="7894" ht="15.75" customHeight="1">
      <c r="A7894" s="122"/>
      <c r="B7894" s="133"/>
      <c r="C7894" s="120"/>
      <c r="D7894" s="120"/>
      <c r="E7894" s="120"/>
      <c r="F7894" s="120"/>
      <c r="G7894" s="120"/>
      <c r="H7894" s="120"/>
      <c r="I7894" s="121"/>
      <c r="J7894" s="121"/>
      <c r="K7894" s="117"/>
    </row>
    <row r="7895" ht="15.75" customHeight="1">
      <c r="A7895" s="122"/>
      <c r="B7895" s="133"/>
      <c r="C7895" s="120"/>
      <c r="D7895" s="120"/>
      <c r="E7895" s="120"/>
      <c r="F7895" s="120"/>
      <c r="G7895" s="120"/>
      <c r="H7895" s="120"/>
      <c r="I7895" s="121"/>
      <c r="J7895" s="121"/>
      <c r="K7895" s="117"/>
    </row>
    <row r="7896" ht="15.75" customHeight="1">
      <c r="A7896" s="122"/>
      <c r="B7896" s="133"/>
      <c r="C7896" s="120"/>
      <c r="D7896" s="120"/>
      <c r="E7896" s="120"/>
      <c r="F7896" s="120"/>
      <c r="G7896" s="120"/>
      <c r="H7896" s="120"/>
      <c r="I7896" s="121"/>
      <c r="J7896" s="121"/>
      <c r="K7896" s="117"/>
    </row>
    <row r="7897" ht="15.75" customHeight="1">
      <c r="A7897" s="122"/>
      <c r="B7897" s="133"/>
      <c r="C7897" s="120"/>
      <c r="D7897" s="120"/>
      <c r="E7897" s="120"/>
      <c r="F7897" s="120"/>
      <c r="G7897" s="120"/>
      <c r="H7897" s="120"/>
      <c r="I7897" s="121"/>
      <c r="J7897" s="121"/>
      <c r="K7897" s="117"/>
    </row>
    <row r="7898" ht="15.75" customHeight="1">
      <c r="A7898" s="122"/>
      <c r="B7898" s="133"/>
      <c r="C7898" s="120"/>
      <c r="D7898" s="120"/>
      <c r="E7898" s="120"/>
      <c r="F7898" s="120"/>
      <c r="G7898" s="120"/>
      <c r="H7898" s="120"/>
      <c r="I7898" s="121"/>
      <c r="J7898" s="121"/>
      <c r="K7898" s="117"/>
    </row>
    <row r="7899" ht="15.75" customHeight="1">
      <c r="A7899" s="122"/>
      <c r="B7899" s="133"/>
      <c r="C7899" s="120"/>
      <c r="D7899" s="120"/>
      <c r="E7899" s="120"/>
      <c r="F7899" s="120"/>
      <c r="G7899" s="120"/>
      <c r="H7899" s="120"/>
      <c r="I7899" s="121"/>
      <c r="J7899" s="121"/>
      <c r="K7899" s="117"/>
    </row>
    <row r="7900" ht="15.75" customHeight="1">
      <c r="A7900" s="122"/>
      <c r="B7900" s="133"/>
      <c r="C7900" s="120"/>
      <c r="D7900" s="120"/>
      <c r="E7900" s="120"/>
      <c r="F7900" s="120"/>
      <c r="G7900" s="120"/>
      <c r="H7900" s="120"/>
      <c r="I7900" s="121"/>
      <c r="J7900" s="121"/>
      <c r="K7900" s="117"/>
    </row>
    <row r="7901" ht="15.75" customHeight="1">
      <c r="A7901" s="122"/>
      <c r="B7901" s="133"/>
      <c r="C7901" s="120"/>
      <c r="D7901" s="120"/>
      <c r="E7901" s="120"/>
      <c r="F7901" s="120"/>
      <c r="G7901" s="120"/>
      <c r="H7901" s="120"/>
      <c r="I7901" s="121"/>
      <c r="J7901" s="121"/>
      <c r="K7901" s="117"/>
    </row>
    <row r="7902" ht="15.75" customHeight="1">
      <c r="A7902" s="122"/>
      <c r="B7902" s="133"/>
      <c r="C7902" s="120"/>
      <c r="D7902" s="120"/>
      <c r="E7902" s="120"/>
      <c r="F7902" s="120"/>
      <c r="G7902" s="120"/>
      <c r="H7902" s="120"/>
      <c r="I7902" s="121"/>
      <c r="J7902" s="121"/>
      <c r="K7902" s="117"/>
    </row>
    <row r="7903" ht="15.75" customHeight="1">
      <c r="A7903" s="122"/>
      <c r="B7903" s="133"/>
      <c r="C7903" s="120"/>
      <c r="D7903" s="120"/>
      <c r="E7903" s="120"/>
      <c r="F7903" s="120"/>
      <c r="G7903" s="120"/>
      <c r="H7903" s="120"/>
      <c r="I7903" s="121"/>
      <c r="J7903" s="121"/>
      <c r="K7903" s="117"/>
    </row>
    <row r="7904" ht="15.75" customHeight="1">
      <c r="A7904" s="122"/>
      <c r="B7904" s="133"/>
      <c r="C7904" s="120"/>
      <c r="D7904" s="120"/>
      <c r="E7904" s="120"/>
      <c r="F7904" s="120"/>
      <c r="G7904" s="120"/>
      <c r="H7904" s="120"/>
      <c r="I7904" s="121"/>
      <c r="J7904" s="121"/>
      <c r="K7904" s="117"/>
    </row>
    <row r="7905" ht="15.75" customHeight="1">
      <c r="A7905" s="122"/>
      <c r="B7905" s="133"/>
      <c r="C7905" s="120"/>
      <c r="D7905" s="120"/>
      <c r="E7905" s="120"/>
      <c r="F7905" s="120"/>
      <c r="G7905" s="120"/>
      <c r="H7905" s="120"/>
      <c r="I7905" s="121"/>
      <c r="J7905" s="121"/>
      <c r="K7905" s="117"/>
    </row>
    <row r="7906" ht="15.75" customHeight="1">
      <c r="A7906" s="122"/>
      <c r="B7906" s="133"/>
      <c r="C7906" s="120"/>
      <c r="D7906" s="120"/>
      <c r="E7906" s="120"/>
      <c r="F7906" s="120"/>
      <c r="G7906" s="120"/>
      <c r="H7906" s="120"/>
      <c r="I7906" s="121"/>
      <c r="J7906" s="121"/>
      <c r="K7906" s="117"/>
    </row>
    <row r="7907" ht="15.75" customHeight="1">
      <c r="A7907" s="122"/>
      <c r="B7907" s="133"/>
      <c r="C7907" s="120"/>
      <c r="D7907" s="120"/>
      <c r="E7907" s="120"/>
      <c r="F7907" s="120"/>
      <c r="G7907" s="120"/>
      <c r="H7907" s="120"/>
      <c r="I7907" s="121"/>
      <c r="J7907" s="121"/>
      <c r="K7907" s="117"/>
    </row>
    <row r="7908" ht="15.75" customHeight="1">
      <c r="A7908" s="122"/>
      <c r="B7908" s="133"/>
      <c r="C7908" s="120"/>
      <c r="D7908" s="120"/>
      <c r="E7908" s="120"/>
      <c r="F7908" s="120"/>
      <c r="G7908" s="120"/>
      <c r="H7908" s="120"/>
      <c r="I7908" s="121"/>
      <c r="J7908" s="121"/>
      <c r="K7908" s="117"/>
    </row>
    <row r="7909" ht="15.75" customHeight="1">
      <c r="A7909" s="122"/>
      <c r="B7909" s="133"/>
      <c r="C7909" s="120"/>
      <c r="D7909" s="120"/>
      <c r="E7909" s="120"/>
      <c r="F7909" s="120"/>
      <c r="G7909" s="120"/>
      <c r="H7909" s="120"/>
      <c r="I7909" s="121"/>
      <c r="J7909" s="121"/>
      <c r="K7909" s="117"/>
    </row>
    <row r="7910" ht="15.75" customHeight="1">
      <c r="A7910" s="122"/>
      <c r="B7910" s="133"/>
      <c r="C7910" s="120"/>
      <c r="D7910" s="120"/>
      <c r="E7910" s="120"/>
      <c r="F7910" s="120"/>
      <c r="G7910" s="120"/>
      <c r="H7910" s="120"/>
      <c r="I7910" s="121"/>
      <c r="J7910" s="121"/>
      <c r="K7910" s="117"/>
    </row>
    <row r="7911" ht="15.75" customHeight="1">
      <c r="A7911" s="122"/>
      <c r="B7911" s="133"/>
      <c r="C7911" s="120"/>
      <c r="D7911" s="120"/>
      <c r="E7911" s="120"/>
      <c r="F7911" s="120"/>
      <c r="G7911" s="120"/>
      <c r="H7911" s="120"/>
      <c r="I7911" s="121"/>
      <c r="J7911" s="121"/>
      <c r="K7911" s="117"/>
    </row>
    <row r="7912" ht="15.75" customHeight="1">
      <c r="A7912" s="122"/>
      <c r="B7912" s="133"/>
      <c r="C7912" s="120"/>
      <c r="D7912" s="120"/>
      <c r="E7912" s="120"/>
      <c r="F7912" s="120"/>
      <c r="G7912" s="120"/>
      <c r="H7912" s="120"/>
      <c r="I7912" s="121"/>
      <c r="J7912" s="121"/>
      <c r="K7912" s="117"/>
    </row>
    <row r="7913" ht="15.75" customHeight="1">
      <c r="A7913" s="122"/>
      <c r="B7913" s="133"/>
      <c r="C7913" s="120"/>
      <c r="D7913" s="120"/>
      <c r="E7913" s="120"/>
      <c r="F7913" s="120"/>
      <c r="G7913" s="120"/>
      <c r="H7913" s="120"/>
      <c r="I7913" s="121"/>
      <c r="J7913" s="121"/>
      <c r="K7913" s="117"/>
    </row>
    <row r="7914" ht="15.75" customHeight="1">
      <c r="A7914" s="122"/>
      <c r="B7914" s="133"/>
      <c r="C7914" s="120"/>
      <c r="D7914" s="120"/>
      <c r="E7914" s="120"/>
      <c r="F7914" s="120"/>
      <c r="G7914" s="120"/>
      <c r="H7914" s="120"/>
      <c r="I7914" s="121"/>
      <c r="J7914" s="121"/>
      <c r="K7914" s="117"/>
    </row>
    <row r="7915" ht="15.75" customHeight="1">
      <c r="A7915" s="122"/>
      <c r="B7915" s="133"/>
      <c r="C7915" s="120"/>
      <c r="D7915" s="120"/>
      <c r="E7915" s="120"/>
      <c r="F7915" s="120"/>
      <c r="G7915" s="120"/>
      <c r="H7915" s="120"/>
      <c r="I7915" s="121"/>
      <c r="J7915" s="121"/>
      <c r="K7915" s="117"/>
    </row>
    <row r="7916" ht="15.75" customHeight="1">
      <c r="A7916" s="122"/>
      <c r="B7916" s="133"/>
      <c r="C7916" s="120"/>
      <c r="D7916" s="120"/>
      <c r="E7916" s="120"/>
      <c r="F7916" s="120"/>
      <c r="G7916" s="120"/>
      <c r="H7916" s="120"/>
      <c r="I7916" s="121"/>
      <c r="J7916" s="121"/>
      <c r="K7916" s="117"/>
    </row>
    <row r="7917" ht="15.75" customHeight="1">
      <c r="A7917" s="122"/>
      <c r="B7917" s="133"/>
      <c r="C7917" s="120"/>
      <c r="D7917" s="120"/>
      <c r="E7917" s="120"/>
      <c r="F7917" s="120"/>
      <c r="G7917" s="120"/>
      <c r="H7917" s="120"/>
      <c r="I7917" s="121"/>
      <c r="J7917" s="121"/>
      <c r="K7917" s="117"/>
    </row>
    <row r="7918" ht="15.75" customHeight="1">
      <c r="A7918" s="122"/>
      <c r="B7918" s="133"/>
      <c r="C7918" s="120"/>
      <c r="D7918" s="120"/>
      <c r="E7918" s="120"/>
      <c r="F7918" s="120"/>
      <c r="G7918" s="120"/>
      <c r="H7918" s="120"/>
      <c r="I7918" s="121"/>
      <c r="J7918" s="121"/>
      <c r="K7918" s="117"/>
    </row>
    <row r="7919" ht="15.75" customHeight="1">
      <c r="A7919" s="122"/>
      <c r="B7919" s="133"/>
      <c r="C7919" s="120"/>
      <c r="D7919" s="120"/>
      <c r="E7919" s="120"/>
      <c r="F7919" s="120"/>
      <c r="G7919" s="120"/>
      <c r="H7919" s="120"/>
      <c r="I7919" s="121"/>
      <c r="J7919" s="121"/>
      <c r="K7919" s="117"/>
    </row>
    <row r="7920" ht="15.75" customHeight="1">
      <c r="A7920" s="122"/>
      <c r="B7920" s="133"/>
      <c r="C7920" s="120"/>
      <c r="D7920" s="120"/>
      <c r="E7920" s="120"/>
      <c r="F7920" s="120"/>
      <c r="G7920" s="120"/>
      <c r="H7920" s="120"/>
      <c r="I7920" s="121"/>
      <c r="J7920" s="121"/>
      <c r="K7920" s="117"/>
    </row>
    <row r="7921" ht="15.75" customHeight="1">
      <c r="A7921" s="122"/>
      <c r="B7921" s="133"/>
      <c r="C7921" s="120"/>
      <c r="D7921" s="120"/>
      <c r="E7921" s="120"/>
      <c r="F7921" s="120"/>
      <c r="G7921" s="120"/>
      <c r="H7921" s="120"/>
      <c r="I7921" s="121"/>
      <c r="J7921" s="121"/>
      <c r="K7921" s="117"/>
    </row>
    <row r="7922" ht="15.75" customHeight="1">
      <c r="A7922" s="122"/>
      <c r="B7922" s="133"/>
      <c r="C7922" s="120"/>
      <c r="D7922" s="120"/>
      <c r="E7922" s="120"/>
      <c r="F7922" s="120"/>
      <c r="G7922" s="120"/>
      <c r="H7922" s="120"/>
      <c r="I7922" s="121"/>
      <c r="J7922" s="121"/>
      <c r="K7922" s="117"/>
    </row>
    <row r="7923" ht="15.75" customHeight="1">
      <c r="A7923" s="122"/>
      <c r="B7923" s="133"/>
      <c r="C7923" s="120"/>
      <c r="D7923" s="120"/>
      <c r="E7923" s="120"/>
      <c r="F7923" s="120"/>
      <c r="G7923" s="120"/>
      <c r="H7923" s="120"/>
      <c r="I7923" s="121"/>
      <c r="J7923" s="121"/>
      <c r="K7923" s="117"/>
    </row>
    <row r="7924" ht="15.75" customHeight="1">
      <c r="A7924" s="122"/>
      <c r="B7924" s="133"/>
      <c r="C7924" s="120"/>
      <c r="D7924" s="120"/>
      <c r="E7924" s="120"/>
      <c r="F7924" s="120"/>
      <c r="G7924" s="120"/>
      <c r="H7924" s="120"/>
      <c r="I7924" s="121"/>
      <c r="J7924" s="121"/>
      <c r="K7924" s="117"/>
    </row>
    <row r="7925" ht="15.75" customHeight="1">
      <c r="A7925" s="122"/>
      <c r="B7925" s="133"/>
      <c r="C7925" s="120"/>
      <c r="D7925" s="120"/>
      <c r="E7925" s="120"/>
      <c r="F7925" s="120"/>
      <c r="G7925" s="120"/>
      <c r="H7925" s="120"/>
      <c r="I7925" s="121"/>
      <c r="J7925" s="121"/>
      <c r="K7925" s="117"/>
    </row>
    <row r="7926" ht="15.75" customHeight="1">
      <c r="A7926" s="122"/>
      <c r="B7926" s="133"/>
      <c r="C7926" s="120"/>
      <c r="D7926" s="120"/>
      <c r="E7926" s="120"/>
      <c r="F7926" s="120"/>
      <c r="G7926" s="120"/>
      <c r="H7926" s="120"/>
      <c r="I7926" s="121"/>
      <c r="J7926" s="121"/>
      <c r="K7926" s="117"/>
    </row>
    <row r="7927" ht="15.75" customHeight="1">
      <c r="A7927" s="122"/>
      <c r="B7927" s="133"/>
      <c r="C7927" s="120"/>
      <c r="D7927" s="120"/>
      <c r="E7927" s="120"/>
      <c r="F7927" s="120"/>
      <c r="G7927" s="120"/>
      <c r="H7927" s="120"/>
      <c r="I7927" s="121"/>
      <c r="J7927" s="121"/>
      <c r="K7927" s="117"/>
    </row>
    <row r="7928" ht="15.75" customHeight="1">
      <c r="A7928" s="122"/>
      <c r="B7928" s="133"/>
      <c r="C7928" s="120"/>
      <c r="D7928" s="120"/>
      <c r="E7928" s="120"/>
      <c r="F7928" s="120"/>
      <c r="G7928" s="120"/>
      <c r="H7928" s="120"/>
      <c r="I7928" s="121"/>
      <c r="J7928" s="121"/>
      <c r="K7928" s="117"/>
    </row>
    <row r="7929" ht="15.75" customHeight="1">
      <c r="A7929" s="122"/>
      <c r="B7929" s="133"/>
      <c r="C7929" s="120"/>
      <c r="D7929" s="120"/>
      <c r="E7929" s="120"/>
      <c r="F7929" s="120"/>
      <c r="G7929" s="120"/>
      <c r="H7929" s="120"/>
      <c r="I7929" s="121"/>
      <c r="J7929" s="121"/>
      <c r="K7929" s="117"/>
    </row>
    <row r="7930" ht="15.75" customHeight="1">
      <c r="A7930" s="122"/>
      <c r="B7930" s="133"/>
      <c r="C7930" s="120"/>
      <c r="D7930" s="120"/>
      <c r="E7930" s="120"/>
      <c r="F7930" s="120"/>
      <c r="G7930" s="120"/>
      <c r="H7930" s="120"/>
      <c r="I7930" s="121"/>
      <c r="J7930" s="121"/>
      <c r="K7930" s="117"/>
    </row>
    <row r="7931" ht="15.75" customHeight="1">
      <c r="A7931" s="122"/>
      <c r="B7931" s="133"/>
      <c r="C7931" s="120"/>
      <c r="D7931" s="120"/>
      <c r="E7931" s="120"/>
      <c r="F7931" s="120"/>
      <c r="G7931" s="120"/>
      <c r="H7931" s="120"/>
      <c r="I7931" s="121"/>
      <c r="J7931" s="121"/>
      <c r="K7931" s="117"/>
    </row>
    <row r="7932" ht="15.75" customHeight="1">
      <c r="A7932" s="122"/>
      <c r="B7932" s="133"/>
      <c r="C7932" s="120"/>
      <c r="D7932" s="120"/>
      <c r="E7932" s="120"/>
      <c r="F7932" s="120"/>
      <c r="G7932" s="120"/>
      <c r="H7932" s="120"/>
      <c r="I7932" s="121"/>
      <c r="J7932" s="121"/>
      <c r="K7932" s="117"/>
    </row>
    <row r="7933" ht="15.75" customHeight="1">
      <c r="A7933" s="122"/>
      <c r="B7933" s="133"/>
      <c r="C7933" s="120"/>
      <c r="D7933" s="120"/>
      <c r="E7933" s="120"/>
      <c r="F7933" s="120"/>
      <c r="G7933" s="120"/>
      <c r="H7933" s="120"/>
      <c r="I7933" s="121"/>
      <c r="J7933" s="121"/>
      <c r="K7933" s="117"/>
    </row>
    <row r="7934" ht="15.75" customHeight="1">
      <c r="A7934" s="122"/>
      <c r="B7934" s="133"/>
      <c r="C7934" s="120"/>
      <c r="D7934" s="120"/>
      <c r="E7934" s="120"/>
      <c r="F7934" s="120"/>
      <c r="G7934" s="120"/>
      <c r="H7934" s="120"/>
      <c r="I7934" s="121"/>
      <c r="J7934" s="121"/>
      <c r="K7934" s="117"/>
    </row>
    <row r="7935" ht="15.75" customHeight="1">
      <c r="A7935" s="122"/>
      <c r="B7935" s="133"/>
      <c r="C7935" s="120"/>
      <c r="D7935" s="120"/>
      <c r="E7935" s="120"/>
      <c r="F7935" s="120"/>
      <c r="G7935" s="120"/>
      <c r="H7935" s="120"/>
      <c r="I7935" s="121"/>
      <c r="J7935" s="121"/>
      <c r="K7935" s="117"/>
    </row>
    <row r="7936" ht="15.75" customHeight="1">
      <c r="A7936" s="122"/>
      <c r="B7936" s="133"/>
      <c r="C7936" s="120"/>
      <c r="D7936" s="120"/>
      <c r="E7936" s="120"/>
      <c r="F7936" s="120"/>
      <c r="G7936" s="120"/>
      <c r="H7936" s="120"/>
      <c r="I7936" s="121"/>
      <c r="J7936" s="121"/>
      <c r="K7936" s="117"/>
    </row>
    <row r="7937" ht="15.75" customHeight="1">
      <c r="A7937" s="122"/>
      <c r="B7937" s="133"/>
      <c r="C7937" s="120"/>
      <c r="D7937" s="120"/>
      <c r="E7937" s="120"/>
      <c r="F7937" s="120"/>
      <c r="G7937" s="120"/>
      <c r="H7937" s="120"/>
      <c r="I7937" s="121"/>
      <c r="J7937" s="121"/>
      <c r="K7937" s="117"/>
    </row>
    <row r="7938" ht="15.75" customHeight="1">
      <c r="A7938" s="122"/>
      <c r="B7938" s="133"/>
      <c r="C7938" s="120"/>
      <c r="D7938" s="120"/>
      <c r="E7938" s="120"/>
      <c r="F7938" s="120"/>
      <c r="G7938" s="120"/>
      <c r="H7938" s="120"/>
      <c r="I7938" s="121"/>
      <c r="J7938" s="121"/>
      <c r="K7938" s="117"/>
    </row>
    <row r="7939" ht="15.75" customHeight="1">
      <c r="A7939" s="122"/>
      <c r="B7939" s="133"/>
      <c r="C7939" s="120"/>
      <c r="D7939" s="120"/>
      <c r="E7939" s="120"/>
      <c r="F7939" s="120"/>
      <c r="G7939" s="120"/>
      <c r="H7939" s="120"/>
      <c r="I7939" s="121"/>
      <c r="J7939" s="121"/>
      <c r="K7939" s="117"/>
    </row>
    <row r="7940" ht="15.75" customHeight="1">
      <c r="A7940" s="122"/>
      <c r="B7940" s="133"/>
      <c r="C7940" s="120"/>
      <c r="D7940" s="120"/>
      <c r="E7940" s="120"/>
      <c r="F7940" s="120"/>
      <c r="G7940" s="120"/>
      <c r="H7940" s="120"/>
      <c r="I7940" s="121"/>
      <c r="J7940" s="121"/>
      <c r="K7940" s="117"/>
    </row>
    <row r="7941" ht="15.75" customHeight="1">
      <c r="A7941" s="122"/>
      <c r="B7941" s="133"/>
      <c r="C7941" s="120"/>
      <c r="D7941" s="120"/>
      <c r="E7941" s="120"/>
      <c r="F7941" s="120"/>
      <c r="G7941" s="120"/>
      <c r="H7941" s="120"/>
      <c r="I7941" s="121"/>
      <c r="J7941" s="121"/>
      <c r="K7941" s="117"/>
    </row>
    <row r="7942" ht="15.75" customHeight="1">
      <c r="A7942" s="122"/>
      <c r="B7942" s="133"/>
      <c r="C7942" s="120"/>
      <c r="D7942" s="120"/>
      <c r="E7942" s="120"/>
      <c r="F7942" s="120"/>
      <c r="G7942" s="120"/>
      <c r="H7942" s="120"/>
      <c r="I7942" s="121"/>
      <c r="J7942" s="121"/>
      <c r="K7942" s="117"/>
    </row>
    <row r="7943" ht="15.75" customHeight="1">
      <c r="A7943" s="122"/>
      <c r="B7943" s="133"/>
      <c r="C7943" s="120"/>
      <c r="D7943" s="120"/>
      <c r="E7943" s="120"/>
      <c r="F7943" s="120"/>
      <c r="G7943" s="120"/>
      <c r="H7943" s="120"/>
      <c r="I7943" s="121"/>
      <c r="J7943" s="121"/>
      <c r="K7943" s="117"/>
    </row>
    <row r="7944" ht="15.75" customHeight="1">
      <c r="A7944" s="122"/>
      <c r="B7944" s="133"/>
      <c r="C7944" s="120"/>
      <c r="D7944" s="120"/>
      <c r="E7944" s="120"/>
      <c r="F7944" s="120"/>
      <c r="G7944" s="120"/>
      <c r="H7944" s="120"/>
      <c r="I7944" s="121"/>
      <c r="J7944" s="121"/>
      <c r="K7944" s="117"/>
    </row>
    <row r="7945" ht="15.75" customHeight="1">
      <c r="A7945" s="122"/>
      <c r="B7945" s="133"/>
      <c r="C7945" s="120"/>
      <c r="D7945" s="120"/>
      <c r="E7945" s="120"/>
      <c r="F7945" s="120"/>
      <c r="G7945" s="120"/>
      <c r="H7945" s="120"/>
      <c r="I7945" s="121"/>
      <c r="J7945" s="121"/>
      <c r="K7945" s="117"/>
    </row>
    <row r="7946" ht="15.75" customHeight="1">
      <c r="A7946" s="122"/>
      <c r="B7946" s="133"/>
      <c r="C7946" s="120"/>
      <c r="D7946" s="120"/>
      <c r="E7946" s="120"/>
      <c r="F7946" s="120"/>
      <c r="G7946" s="120"/>
      <c r="H7946" s="120"/>
      <c r="I7946" s="121"/>
      <c r="J7946" s="121"/>
      <c r="K7946" s="117"/>
    </row>
    <row r="7947" ht="15.75" customHeight="1">
      <c r="A7947" s="122"/>
      <c r="B7947" s="133"/>
      <c r="C7947" s="120"/>
      <c r="D7947" s="120"/>
      <c r="E7947" s="120"/>
      <c r="F7947" s="120"/>
      <c r="G7947" s="120"/>
      <c r="H7947" s="120"/>
      <c r="I7947" s="121"/>
      <c r="J7947" s="121"/>
      <c r="K7947" s="117"/>
    </row>
    <row r="7948" ht="15.75" customHeight="1">
      <c r="A7948" s="122"/>
      <c r="B7948" s="133"/>
      <c r="C7948" s="120"/>
      <c r="D7948" s="120"/>
      <c r="E7948" s="120"/>
      <c r="F7948" s="120"/>
      <c r="G7948" s="120"/>
      <c r="H7948" s="120"/>
      <c r="I7948" s="121"/>
      <c r="J7948" s="121"/>
      <c r="K7948" s="117"/>
    </row>
    <row r="7949" ht="15.75" customHeight="1">
      <c r="A7949" s="122"/>
      <c r="B7949" s="133"/>
      <c r="C7949" s="120"/>
      <c r="D7949" s="120"/>
      <c r="E7949" s="120"/>
      <c r="F7949" s="120"/>
      <c r="G7949" s="120"/>
      <c r="H7949" s="120"/>
      <c r="I7949" s="121"/>
      <c r="J7949" s="121"/>
      <c r="K7949" s="117"/>
    </row>
    <row r="7950" ht="15.75" customHeight="1">
      <c r="A7950" s="122"/>
      <c r="B7950" s="133"/>
      <c r="C7950" s="120"/>
      <c r="D7950" s="120"/>
      <c r="E7950" s="120"/>
      <c r="F7950" s="120"/>
      <c r="G7950" s="120"/>
      <c r="H7950" s="120"/>
      <c r="I7950" s="121"/>
      <c r="J7950" s="121"/>
      <c r="K7950" s="117"/>
    </row>
    <row r="7951" ht="15.75" customHeight="1">
      <c r="A7951" s="122"/>
      <c r="B7951" s="133"/>
      <c r="C7951" s="120"/>
      <c r="D7951" s="120"/>
      <c r="E7951" s="120"/>
      <c r="F7951" s="120"/>
      <c r="G7951" s="120"/>
      <c r="H7951" s="120"/>
      <c r="I7951" s="121"/>
      <c r="J7951" s="121"/>
      <c r="K7951" s="117"/>
    </row>
    <row r="7952" ht="15.75" customHeight="1">
      <c r="A7952" s="122"/>
      <c r="B7952" s="133"/>
      <c r="C7952" s="120"/>
      <c r="D7952" s="120"/>
      <c r="E7952" s="120"/>
      <c r="F7952" s="120"/>
      <c r="G7952" s="120"/>
      <c r="H7952" s="120"/>
      <c r="I7952" s="121"/>
      <c r="J7952" s="121"/>
      <c r="K7952" s="117"/>
    </row>
    <row r="7953" ht="15.75" customHeight="1">
      <c r="A7953" s="122"/>
      <c r="B7953" s="133"/>
      <c r="C7953" s="120"/>
      <c r="D7953" s="120"/>
      <c r="E7953" s="120"/>
      <c r="F7953" s="120"/>
      <c r="G7953" s="120"/>
      <c r="H7953" s="120"/>
      <c r="I7953" s="121"/>
      <c r="J7953" s="121"/>
      <c r="K7953" s="117"/>
    </row>
    <row r="7954" ht="15.75" customHeight="1">
      <c r="A7954" s="122"/>
      <c r="B7954" s="133"/>
      <c r="C7954" s="120"/>
      <c r="D7954" s="120"/>
      <c r="E7954" s="120"/>
      <c r="F7954" s="120"/>
      <c r="G7954" s="120"/>
      <c r="H7954" s="120"/>
      <c r="I7954" s="121"/>
      <c r="J7954" s="121"/>
      <c r="K7954" s="117"/>
    </row>
    <row r="7955" ht="15.75" customHeight="1">
      <c r="A7955" s="122"/>
      <c r="B7955" s="133"/>
      <c r="C7955" s="120"/>
      <c r="D7955" s="120"/>
      <c r="E7955" s="120"/>
      <c r="F7955" s="120"/>
      <c r="G7955" s="120"/>
      <c r="H7955" s="120"/>
      <c r="I7955" s="121"/>
      <c r="J7955" s="121"/>
      <c r="K7955" s="117"/>
    </row>
    <row r="7956" ht="15.75" customHeight="1">
      <c r="A7956" s="122"/>
      <c r="B7956" s="133"/>
      <c r="C7956" s="120"/>
      <c r="D7956" s="120"/>
      <c r="E7956" s="120"/>
      <c r="F7956" s="120"/>
      <c r="G7956" s="120"/>
      <c r="H7956" s="120"/>
      <c r="I7956" s="121"/>
      <c r="J7956" s="121"/>
      <c r="K7956" s="117"/>
    </row>
    <row r="7957" ht="15.75" customHeight="1">
      <c r="A7957" s="122"/>
      <c r="B7957" s="133"/>
      <c r="C7957" s="120"/>
      <c r="D7957" s="120"/>
      <c r="E7957" s="120"/>
      <c r="F7957" s="120"/>
      <c r="G7957" s="120"/>
      <c r="H7957" s="120"/>
      <c r="I7957" s="121"/>
      <c r="J7957" s="121"/>
      <c r="K7957" s="117"/>
    </row>
    <row r="7958" ht="15.75" customHeight="1">
      <c r="A7958" s="122"/>
      <c r="B7958" s="133"/>
      <c r="C7958" s="120"/>
      <c r="D7958" s="120"/>
      <c r="E7958" s="120"/>
      <c r="F7958" s="120"/>
      <c r="G7958" s="120"/>
      <c r="H7958" s="120"/>
      <c r="I7958" s="121"/>
      <c r="J7958" s="121"/>
      <c r="K7958" s="117"/>
    </row>
    <row r="7959" ht="15.75" customHeight="1">
      <c r="A7959" s="122"/>
      <c r="B7959" s="133"/>
      <c r="C7959" s="120"/>
      <c r="D7959" s="120"/>
      <c r="E7959" s="120"/>
      <c r="F7959" s="120"/>
      <c r="G7959" s="120"/>
      <c r="H7959" s="120"/>
      <c r="I7959" s="121"/>
      <c r="J7959" s="121"/>
      <c r="K7959" s="117"/>
    </row>
    <row r="7960" ht="15.75" customHeight="1">
      <c r="A7960" s="122"/>
      <c r="B7960" s="133"/>
      <c r="C7960" s="120"/>
      <c r="D7960" s="120"/>
      <c r="E7960" s="120"/>
      <c r="F7960" s="120"/>
      <c r="G7960" s="120"/>
      <c r="H7960" s="120"/>
      <c r="I7960" s="121"/>
      <c r="J7960" s="121"/>
      <c r="K7960" s="117"/>
    </row>
    <row r="7961" ht="15.75" customHeight="1">
      <c r="A7961" s="122"/>
      <c r="B7961" s="133"/>
      <c r="C7961" s="120"/>
      <c r="D7961" s="120"/>
      <c r="E7961" s="120"/>
      <c r="F7961" s="120"/>
      <c r="G7961" s="120"/>
      <c r="H7961" s="120"/>
      <c r="I7961" s="121"/>
      <c r="J7961" s="121"/>
      <c r="K7961" s="117"/>
    </row>
    <row r="7962" ht="15.75" customHeight="1">
      <c r="A7962" s="122"/>
      <c r="B7962" s="133"/>
      <c r="C7962" s="120"/>
      <c r="D7962" s="120"/>
      <c r="E7962" s="120"/>
      <c r="F7962" s="120"/>
      <c r="G7962" s="120"/>
      <c r="H7962" s="120"/>
      <c r="I7962" s="121"/>
      <c r="J7962" s="121"/>
      <c r="K7962" s="117"/>
    </row>
    <row r="7963" ht="15.75" customHeight="1">
      <c r="A7963" s="122"/>
      <c r="B7963" s="133"/>
      <c r="C7963" s="120"/>
      <c r="D7963" s="120"/>
      <c r="E7963" s="120"/>
      <c r="F7963" s="120"/>
      <c r="G7963" s="120"/>
      <c r="H7963" s="120"/>
      <c r="I7963" s="121"/>
      <c r="J7963" s="121"/>
      <c r="K7963" s="117"/>
    </row>
    <row r="7964" ht="15.75" customHeight="1">
      <c r="A7964" s="122"/>
      <c r="B7964" s="133"/>
      <c r="C7964" s="120"/>
      <c r="D7964" s="120"/>
      <c r="E7964" s="120"/>
      <c r="F7964" s="120"/>
      <c r="G7964" s="120"/>
      <c r="H7964" s="120"/>
      <c r="I7964" s="121"/>
      <c r="J7964" s="121"/>
      <c r="K7964" s="117"/>
    </row>
    <row r="7965" ht="15.75" customHeight="1">
      <c r="A7965" s="122"/>
      <c r="B7965" s="133"/>
      <c r="C7965" s="120"/>
      <c r="D7965" s="120"/>
      <c r="E7965" s="120"/>
      <c r="F7965" s="120"/>
      <c r="G7965" s="120"/>
      <c r="H7965" s="120"/>
      <c r="I7965" s="121"/>
      <c r="J7965" s="121"/>
      <c r="K7965" s="117"/>
    </row>
    <row r="7966" ht="15.75" customHeight="1">
      <c r="A7966" s="122"/>
      <c r="B7966" s="133"/>
      <c r="C7966" s="120"/>
      <c r="D7966" s="120"/>
      <c r="E7966" s="120"/>
      <c r="F7966" s="120"/>
      <c r="G7966" s="120"/>
      <c r="H7966" s="120"/>
      <c r="I7966" s="121"/>
      <c r="J7966" s="121"/>
      <c r="K7966" s="117"/>
    </row>
    <row r="7967" ht="15.75" customHeight="1">
      <c r="A7967" s="122"/>
      <c r="B7967" s="133"/>
      <c r="C7967" s="120"/>
      <c r="D7967" s="120"/>
      <c r="E7967" s="120"/>
      <c r="F7967" s="120"/>
      <c r="G7967" s="120"/>
      <c r="H7967" s="120"/>
      <c r="I7967" s="121"/>
      <c r="J7967" s="121"/>
      <c r="K7967" s="117"/>
    </row>
    <row r="7968" ht="15.75" customHeight="1">
      <c r="A7968" s="122"/>
      <c r="B7968" s="133"/>
      <c r="C7968" s="120"/>
      <c r="D7968" s="120"/>
      <c r="E7968" s="120"/>
      <c r="F7968" s="120"/>
      <c r="G7968" s="120"/>
      <c r="H7968" s="120"/>
      <c r="I7968" s="121"/>
      <c r="J7968" s="121"/>
      <c r="K7968" s="117"/>
    </row>
    <row r="7969" ht="15.75" customHeight="1">
      <c r="A7969" s="122"/>
      <c r="B7969" s="133"/>
      <c r="C7969" s="120"/>
      <c r="D7969" s="120"/>
      <c r="E7969" s="120"/>
      <c r="F7969" s="120"/>
      <c r="G7969" s="120"/>
      <c r="H7969" s="120"/>
      <c r="I7969" s="121"/>
      <c r="J7969" s="121"/>
      <c r="K7969" s="117"/>
    </row>
    <row r="7970" ht="15.75" customHeight="1">
      <c r="A7970" s="122"/>
      <c r="B7970" s="133"/>
      <c r="C7970" s="120"/>
      <c r="D7970" s="120"/>
      <c r="E7970" s="120"/>
      <c r="F7970" s="120"/>
      <c r="G7970" s="120"/>
      <c r="H7970" s="120"/>
      <c r="I7970" s="121"/>
      <c r="J7970" s="121"/>
      <c r="K7970" s="117"/>
    </row>
    <row r="7971" ht="15.75" customHeight="1">
      <c r="A7971" s="122"/>
      <c r="B7971" s="133"/>
      <c r="C7971" s="120"/>
      <c r="D7971" s="120"/>
      <c r="E7971" s="120"/>
      <c r="F7971" s="120"/>
      <c r="G7971" s="120"/>
      <c r="H7971" s="120"/>
      <c r="I7971" s="121"/>
      <c r="J7971" s="121"/>
      <c r="K7971" s="117"/>
    </row>
    <row r="7972" ht="15.75" customHeight="1">
      <c r="A7972" s="122"/>
      <c r="B7972" s="133"/>
      <c r="C7972" s="120"/>
      <c r="D7972" s="120"/>
      <c r="E7972" s="120"/>
      <c r="F7972" s="120"/>
      <c r="G7972" s="120"/>
      <c r="H7972" s="120"/>
      <c r="I7972" s="121"/>
      <c r="J7972" s="121"/>
      <c r="K7972" s="117"/>
    </row>
    <row r="7973" ht="15.75" customHeight="1">
      <c r="A7973" s="122"/>
      <c r="B7973" s="133"/>
      <c r="C7973" s="120"/>
      <c r="D7973" s="120"/>
      <c r="E7973" s="120"/>
      <c r="F7973" s="120"/>
      <c r="G7973" s="120"/>
      <c r="H7973" s="120"/>
      <c r="I7973" s="121"/>
      <c r="J7973" s="121"/>
      <c r="K7973" s="117"/>
    </row>
    <row r="7974" ht="15.75" customHeight="1">
      <c r="A7974" s="122"/>
      <c r="B7974" s="133"/>
      <c r="C7974" s="120"/>
      <c r="D7974" s="120"/>
      <c r="E7974" s="120"/>
      <c r="F7974" s="120"/>
      <c r="G7974" s="120"/>
      <c r="H7974" s="120"/>
      <c r="I7974" s="121"/>
      <c r="J7974" s="121"/>
      <c r="K7974" s="117"/>
    </row>
    <row r="7975" ht="15.75" customHeight="1">
      <c r="A7975" s="122"/>
      <c r="B7975" s="133"/>
      <c r="C7975" s="120"/>
      <c r="D7975" s="120"/>
      <c r="E7975" s="120"/>
      <c r="F7975" s="120"/>
      <c r="G7975" s="120"/>
      <c r="H7975" s="120"/>
      <c r="I7975" s="121"/>
      <c r="J7975" s="121"/>
      <c r="K7975" s="117"/>
    </row>
    <row r="7976" ht="15.75" customHeight="1">
      <c r="A7976" s="122"/>
      <c r="B7976" s="133"/>
      <c r="C7976" s="120"/>
      <c r="D7976" s="120"/>
      <c r="E7976" s="120"/>
      <c r="F7976" s="120"/>
      <c r="G7976" s="120"/>
      <c r="H7976" s="120"/>
      <c r="I7976" s="121"/>
      <c r="J7976" s="121"/>
      <c r="K7976" s="117"/>
    </row>
    <row r="7977" ht="15.75" customHeight="1">
      <c r="A7977" s="122"/>
      <c r="B7977" s="133"/>
      <c r="C7977" s="120"/>
      <c r="D7977" s="120"/>
      <c r="E7977" s="120"/>
      <c r="F7977" s="120"/>
      <c r="G7977" s="120"/>
      <c r="H7977" s="120"/>
      <c r="I7977" s="121"/>
      <c r="J7977" s="121"/>
      <c r="K7977" s="117"/>
    </row>
    <row r="7978" ht="15.75" customHeight="1">
      <c r="A7978" s="122"/>
      <c r="B7978" s="133"/>
      <c r="C7978" s="120"/>
      <c r="D7978" s="120"/>
      <c r="E7978" s="120"/>
      <c r="F7978" s="120"/>
      <c r="G7978" s="120"/>
      <c r="H7978" s="120"/>
      <c r="I7978" s="121"/>
      <c r="J7978" s="121"/>
      <c r="K7978" s="117"/>
    </row>
    <row r="7979" ht="15.75" customHeight="1">
      <c r="A7979" s="122"/>
      <c r="B7979" s="133"/>
      <c r="C7979" s="120"/>
      <c r="D7979" s="120"/>
      <c r="E7979" s="120"/>
      <c r="F7979" s="120"/>
      <c r="G7979" s="120"/>
      <c r="H7979" s="120"/>
      <c r="I7979" s="121"/>
      <c r="J7979" s="121"/>
      <c r="K7979" s="117"/>
    </row>
    <row r="7980" ht="15.75" customHeight="1">
      <c r="A7980" s="122"/>
      <c r="B7980" s="133"/>
      <c r="C7980" s="120"/>
      <c r="D7980" s="120"/>
      <c r="E7980" s="120"/>
      <c r="F7980" s="120"/>
      <c r="G7980" s="120"/>
      <c r="H7980" s="120"/>
      <c r="I7980" s="121"/>
      <c r="J7980" s="121"/>
      <c r="K7980" s="117"/>
    </row>
    <row r="7981" ht="15.75" customHeight="1">
      <c r="A7981" s="122"/>
      <c r="B7981" s="133"/>
      <c r="C7981" s="120"/>
      <c r="D7981" s="120"/>
      <c r="E7981" s="120"/>
      <c r="F7981" s="120"/>
      <c r="G7981" s="120"/>
      <c r="H7981" s="120"/>
      <c r="I7981" s="121"/>
      <c r="J7981" s="121"/>
      <c r="K7981" s="117"/>
    </row>
    <row r="7982" ht="15.75" customHeight="1">
      <c r="A7982" s="122"/>
      <c r="B7982" s="133"/>
      <c r="C7982" s="120"/>
      <c r="D7982" s="120"/>
      <c r="E7982" s="120"/>
      <c r="F7982" s="120"/>
      <c r="G7982" s="120"/>
      <c r="H7982" s="120"/>
      <c r="I7982" s="121"/>
      <c r="J7982" s="121"/>
      <c r="K7982" s="117"/>
    </row>
    <row r="7983" ht="15.75" customHeight="1">
      <c r="A7983" s="122"/>
      <c r="B7983" s="133"/>
      <c r="C7983" s="120"/>
      <c r="D7983" s="120"/>
      <c r="E7983" s="120"/>
      <c r="F7983" s="120"/>
      <c r="G7983" s="120"/>
      <c r="H7983" s="120"/>
      <c r="I7983" s="121"/>
      <c r="J7983" s="121"/>
      <c r="K7983" s="117"/>
    </row>
    <row r="7984" ht="15.75" customHeight="1">
      <c r="A7984" s="122"/>
      <c r="B7984" s="133"/>
      <c r="C7984" s="120"/>
      <c r="D7984" s="120"/>
      <c r="E7984" s="120"/>
      <c r="F7984" s="120"/>
      <c r="G7984" s="120"/>
      <c r="H7984" s="120"/>
      <c r="I7984" s="121"/>
      <c r="J7984" s="121"/>
      <c r="K7984" s="117"/>
    </row>
    <row r="7985" ht="15.75" customHeight="1">
      <c r="A7985" s="122"/>
      <c r="B7985" s="133"/>
      <c r="C7985" s="120"/>
      <c r="D7985" s="120"/>
      <c r="E7985" s="120"/>
      <c r="F7985" s="120"/>
      <c r="G7985" s="120"/>
      <c r="H7985" s="120"/>
      <c r="I7985" s="121"/>
      <c r="J7985" s="121"/>
      <c r="K7985" s="117"/>
    </row>
    <row r="7986" ht="15.75" customHeight="1">
      <c r="A7986" s="122"/>
      <c r="B7986" s="133"/>
      <c r="C7986" s="120"/>
      <c r="D7986" s="120"/>
      <c r="E7986" s="120"/>
      <c r="F7986" s="120"/>
      <c r="G7986" s="120"/>
      <c r="H7986" s="120"/>
      <c r="I7986" s="121"/>
      <c r="J7986" s="121"/>
      <c r="K7986" s="117"/>
    </row>
    <row r="7987" ht="15.75" customHeight="1">
      <c r="A7987" s="122"/>
      <c r="B7987" s="133"/>
      <c r="C7987" s="120"/>
      <c r="D7987" s="120"/>
      <c r="E7987" s="120"/>
      <c r="F7987" s="120"/>
      <c r="G7987" s="120"/>
      <c r="H7987" s="120"/>
      <c r="I7987" s="121"/>
      <c r="J7987" s="121"/>
      <c r="K7987" s="117"/>
    </row>
    <row r="7988" ht="15.75" customHeight="1">
      <c r="A7988" s="122"/>
      <c r="B7988" s="133"/>
      <c r="C7988" s="120"/>
      <c r="D7988" s="120"/>
      <c r="E7988" s="120"/>
      <c r="F7988" s="120"/>
      <c r="G7988" s="120"/>
      <c r="H7988" s="120"/>
      <c r="I7988" s="121"/>
      <c r="J7988" s="121"/>
      <c r="K7988" s="117"/>
    </row>
    <row r="7989" ht="15.75" customHeight="1">
      <c r="A7989" s="122"/>
      <c r="B7989" s="133"/>
      <c r="C7989" s="120"/>
      <c r="D7989" s="120"/>
      <c r="E7989" s="120"/>
      <c r="F7989" s="120"/>
      <c r="G7989" s="120"/>
      <c r="H7989" s="120"/>
      <c r="I7989" s="121"/>
      <c r="J7989" s="121"/>
      <c r="K7989" s="117"/>
    </row>
    <row r="7990" ht="15.75" customHeight="1">
      <c r="A7990" s="122"/>
      <c r="B7990" s="133"/>
      <c r="C7990" s="120"/>
      <c r="D7990" s="120"/>
      <c r="E7990" s="120"/>
      <c r="F7990" s="120"/>
      <c r="G7990" s="120"/>
      <c r="H7990" s="120"/>
      <c r="I7990" s="121"/>
      <c r="J7990" s="121"/>
      <c r="K7990" s="117"/>
    </row>
    <row r="7991" ht="15.75" customHeight="1">
      <c r="A7991" s="122"/>
      <c r="B7991" s="133"/>
      <c r="C7991" s="120"/>
      <c r="D7991" s="120"/>
      <c r="E7991" s="120"/>
      <c r="F7991" s="120"/>
      <c r="G7991" s="120"/>
      <c r="H7991" s="120"/>
      <c r="I7991" s="121"/>
      <c r="J7991" s="121"/>
      <c r="K7991" s="117"/>
    </row>
    <row r="7992" ht="15.75" customHeight="1">
      <c r="A7992" s="122"/>
      <c r="B7992" s="133"/>
      <c r="C7992" s="120"/>
      <c r="D7992" s="120"/>
      <c r="E7992" s="120"/>
      <c r="F7992" s="120"/>
      <c r="G7992" s="120"/>
      <c r="H7992" s="120"/>
      <c r="I7992" s="121"/>
      <c r="J7992" s="121"/>
      <c r="K7992" s="117"/>
    </row>
    <row r="7993" ht="15.75" customHeight="1">
      <c r="A7993" s="122"/>
      <c r="B7993" s="133"/>
      <c r="C7993" s="120"/>
      <c r="D7993" s="120"/>
      <c r="E7993" s="120"/>
      <c r="F7993" s="120"/>
      <c r="G7993" s="120"/>
      <c r="H7993" s="120"/>
      <c r="I7993" s="121"/>
      <c r="J7993" s="121"/>
      <c r="K7993" s="117"/>
    </row>
    <row r="7994" ht="15.75" customHeight="1">
      <c r="A7994" s="122"/>
      <c r="B7994" s="133"/>
      <c r="C7994" s="120"/>
      <c r="D7994" s="120"/>
      <c r="E7994" s="120"/>
      <c r="F7994" s="120"/>
      <c r="G7994" s="120"/>
      <c r="H7994" s="120"/>
      <c r="I7994" s="121"/>
      <c r="J7994" s="121"/>
      <c r="K7994" s="117"/>
    </row>
    <row r="7995" ht="15.75" customHeight="1">
      <c r="A7995" s="122"/>
      <c r="B7995" s="133"/>
      <c r="C7995" s="120"/>
      <c r="D7995" s="120"/>
      <c r="E7995" s="120"/>
      <c r="F7995" s="120"/>
      <c r="G7995" s="120"/>
      <c r="H7995" s="120"/>
      <c r="I7995" s="121"/>
      <c r="J7995" s="121"/>
      <c r="K7995" s="117"/>
    </row>
    <row r="7996" ht="15.75" customHeight="1">
      <c r="A7996" s="122"/>
      <c r="B7996" s="133"/>
      <c r="C7996" s="120"/>
      <c r="D7996" s="120"/>
      <c r="E7996" s="120"/>
      <c r="F7996" s="120"/>
      <c r="G7996" s="120"/>
      <c r="H7996" s="120"/>
      <c r="I7996" s="121"/>
      <c r="J7996" s="121"/>
      <c r="K7996" s="117"/>
    </row>
    <row r="7997" ht="15.75" customHeight="1">
      <c r="A7997" s="122"/>
      <c r="B7997" s="133"/>
      <c r="C7997" s="120"/>
      <c r="D7997" s="120"/>
      <c r="E7997" s="120"/>
      <c r="F7997" s="120"/>
      <c r="G7997" s="120"/>
      <c r="H7997" s="120"/>
      <c r="I7997" s="121"/>
      <c r="J7997" s="121"/>
      <c r="K7997" s="117"/>
    </row>
    <row r="7998" ht="15.75" customHeight="1">
      <c r="A7998" s="122"/>
      <c r="B7998" s="133"/>
      <c r="C7998" s="120"/>
      <c r="D7998" s="120"/>
      <c r="E7998" s="120"/>
      <c r="F7998" s="120"/>
      <c r="G7998" s="120"/>
      <c r="H7998" s="120"/>
      <c r="I7998" s="121"/>
      <c r="J7998" s="121"/>
      <c r="K7998" s="117"/>
    </row>
    <row r="7999" ht="15.75" customHeight="1">
      <c r="A7999" s="122"/>
      <c r="B7999" s="133"/>
      <c r="C7999" s="120"/>
      <c r="D7999" s="120"/>
      <c r="E7999" s="120"/>
      <c r="F7999" s="120"/>
      <c r="G7999" s="120"/>
      <c r="H7999" s="120"/>
      <c r="I7999" s="121"/>
      <c r="J7999" s="121"/>
      <c r="K7999" s="117"/>
    </row>
    <row r="8000" ht="15.75" customHeight="1">
      <c r="A8000" s="122"/>
      <c r="B8000" s="133"/>
      <c r="C8000" s="120"/>
      <c r="D8000" s="120"/>
      <c r="E8000" s="120"/>
      <c r="F8000" s="120"/>
      <c r="G8000" s="120"/>
      <c r="H8000" s="120"/>
      <c r="I8000" s="121"/>
      <c r="J8000" s="121"/>
      <c r="K8000" s="117"/>
    </row>
  </sheetData>
  <autoFilter ref="$A$1:$Z$8000"/>
  <conditionalFormatting sqref="A1:Z8000">
    <cfRule type="containsText" dxfId="8" priority="1" operator="containsText" text="You are mentioned">
      <formula>NOT(ISERROR(SEARCH(("You are mentioned"),(A1))))</formula>
    </cfRule>
  </conditionalFormatting>
  <conditionalFormatting sqref="A1:Z8000">
    <cfRule type="containsText" dxfId="8" priority="2" operator="containsText" text="You are not mentioned">
      <formula>NOT(ISERROR(SEARCH(("You are not mentioned"),(A1))))</formula>
    </cfRule>
  </conditionalFormatting>
  <conditionalFormatting sqref="A2:A8000">
    <cfRule type="containsText" dxfId="8" priority="3" operator="containsText" text="Category Pages">
      <formula>NOT(ISERROR(SEARCH(("Category Pages"),(A2))))</formula>
    </cfRule>
  </conditionalFormatting>
  <conditionalFormatting sqref="A660 A48">
    <cfRule type="containsText" dxfId="8" priority="4" operator="containsText" text="Product Pages">
      <formula>NOT(ISERROR(SEARCH(("Product Pages"),(A660))))</formula>
    </cfRule>
  </conditionalFormatting>
  <conditionalFormatting sqref="A2:A8000">
    <cfRule type="cellIs" dxfId="8" priority="5" operator="equal">
      <formula>"Alternatives"</formula>
    </cfRule>
  </conditionalFormatting>
  <conditionalFormatting sqref="A2:A8000">
    <cfRule type="cellIs" dxfId="8" priority="6" operator="equal">
      <formula>"Comparisons"</formula>
    </cfRule>
  </conditionalFormatting>
  <hyperlinks>
    <hyperlink r:id="rId1" ref="A7"/>
    <hyperlink r:id="rId2" ref="A122"/>
    <hyperlink r:id="rId3" ref="D122"/>
    <hyperlink r:id="rId4" ref="A123"/>
    <hyperlink r:id="rId5" ref="D123"/>
    <hyperlink r:id="rId6" ref="A124"/>
    <hyperlink r:id="rId7" ref="D124"/>
    <hyperlink r:id="rId8" ref="A125"/>
    <hyperlink r:id="rId9" ref="D125"/>
    <hyperlink r:id="rId10" ref="A533"/>
    <hyperlink r:id="rId11" ref="D533"/>
    <hyperlink r:id="rId12" ref="A534"/>
    <hyperlink r:id="rId13" ref="D534"/>
    <hyperlink r:id="rId14" ref="A535"/>
    <hyperlink r:id="rId15" ref="D535"/>
    <hyperlink r:id="rId16" ref="A536"/>
    <hyperlink r:id="rId17" ref="D536"/>
    <hyperlink r:id="rId18" ref="A537"/>
    <hyperlink r:id="rId19" ref="D537"/>
    <hyperlink r:id="rId20" ref="A538"/>
    <hyperlink r:id="rId21" ref="D538"/>
    <hyperlink r:id="rId22" ref="A539"/>
    <hyperlink r:id="rId23" ref="A540"/>
    <hyperlink r:id="rId24" ref="D540"/>
    <hyperlink r:id="rId25" ref="A541"/>
    <hyperlink r:id="rId26" ref="D541"/>
    <hyperlink r:id="rId27" ref="A542"/>
    <hyperlink r:id="rId28" ref="D542"/>
    <hyperlink r:id="rId29" ref="A543"/>
    <hyperlink r:id="rId30" ref="D543"/>
    <hyperlink r:id="rId31" ref="A544"/>
    <hyperlink r:id="rId32" ref="D544"/>
    <hyperlink r:id="rId33" ref="A545"/>
    <hyperlink r:id="rId34" ref="D545"/>
    <hyperlink r:id="rId35" ref="A546"/>
    <hyperlink r:id="rId36" ref="D546"/>
    <hyperlink r:id="rId37" ref="A547"/>
    <hyperlink r:id="rId38" ref="D547"/>
    <hyperlink r:id="rId39" ref="A548"/>
    <hyperlink r:id="rId40" ref="D548"/>
    <hyperlink r:id="rId41" ref="A549"/>
    <hyperlink r:id="rId42" ref="D549"/>
    <hyperlink r:id="rId43" ref="A550"/>
    <hyperlink r:id="rId44" ref="D550"/>
    <hyperlink r:id="rId45" ref="A551"/>
    <hyperlink r:id="rId46" ref="D551"/>
    <hyperlink r:id="rId47" ref="A552"/>
    <hyperlink r:id="rId48" ref="D552"/>
    <hyperlink r:id="rId49" ref="A553"/>
    <hyperlink r:id="rId50" ref="D553"/>
    <hyperlink r:id="rId51" ref="A554"/>
    <hyperlink r:id="rId52" ref="D554"/>
    <hyperlink r:id="rId53" ref="A555"/>
    <hyperlink r:id="rId54" ref="D555"/>
    <hyperlink r:id="rId55" ref="A556"/>
    <hyperlink r:id="rId56" ref="D556"/>
    <hyperlink r:id="rId57" location=":~:text=2.%20Digital%20Gravity%20%E2%80%93%20Best%20for%20Performance,Ads%2C%20Meta%20performance%2C%20and%20landing%20page%20CRO." ref="A557"/>
    <hyperlink r:id="rId58" ref="D557"/>
    <hyperlink r:id="rId59" ref="A558"/>
    <hyperlink r:id="rId60" ref="D558"/>
    <hyperlink r:id="rId61" ref="A846"/>
    <hyperlink r:id="rId62" ref="D846"/>
    <hyperlink r:id="rId63" ref="A847"/>
    <hyperlink r:id="rId64" ref="D847"/>
    <hyperlink r:id="rId65" ref="A848"/>
    <hyperlink r:id="rId66" ref="D848"/>
    <hyperlink r:id="rId67" ref="A849"/>
    <hyperlink r:id="rId68" ref="D849"/>
    <hyperlink r:id="rId69" ref="A850"/>
    <hyperlink r:id="rId70" ref="D850"/>
    <hyperlink r:id="rId71" ref="A851"/>
    <hyperlink r:id="rId72" ref="D851"/>
    <hyperlink r:id="rId73" ref="A852"/>
    <hyperlink r:id="rId74" ref="D852"/>
    <hyperlink r:id="rId75" ref="A853"/>
    <hyperlink r:id="rId76" ref="D853"/>
  </hyperlinks>
  <drawing r:id="rId7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44"/>
    <col customWidth="1" min="2" max="2" width="14.89"/>
    <col customWidth="1" min="3" max="3" width="17.44"/>
    <col customWidth="1" min="4" max="4" width="26.56"/>
    <col customWidth="1" min="5" max="36" width="13.44"/>
  </cols>
  <sheetData>
    <row r="1">
      <c r="A1" s="143" t="s">
        <v>289</v>
      </c>
      <c r="B1" s="143" t="s">
        <v>743</v>
      </c>
      <c r="C1" s="144" t="s">
        <v>44</v>
      </c>
      <c r="D1" s="144" t="s">
        <v>746</v>
      </c>
      <c r="E1" s="145" t="s">
        <v>747</v>
      </c>
      <c r="F1" s="144" t="s">
        <v>749</v>
      </c>
      <c r="G1" s="144" t="s">
        <v>51</v>
      </c>
      <c r="H1" s="144" t="s">
        <v>108</v>
      </c>
      <c r="I1" s="144" t="s">
        <v>97</v>
      </c>
      <c r="J1" s="144" t="s">
        <v>751</v>
      </c>
      <c r="K1" s="146"/>
      <c r="L1" s="146"/>
      <c r="M1" s="146"/>
      <c r="N1" s="146"/>
      <c r="O1" s="146"/>
      <c r="P1" s="146"/>
      <c r="Q1" s="146"/>
      <c r="R1" s="146"/>
      <c r="S1" s="146"/>
      <c r="T1" s="146"/>
      <c r="U1" s="146"/>
      <c r="V1" s="146"/>
      <c r="W1" s="146"/>
      <c r="X1" s="146"/>
      <c r="Y1" s="146"/>
      <c r="Z1" s="146"/>
      <c r="AA1" s="146"/>
      <c r="AB1" s="147"/>
      <c r="AC1" s="146"/>
      <c r="AD1" s="146"/>
      <c r="AE1" s="146"/>
      <c r="AF1" s="146"/>
      <c r="AG1" s="146"/>
      <c r="AH1" s="146"/>
      <c r="AI1" s="146"/>
      <c r="AJ1" s="146"/>
    </row>
    <row r="2">
      <c r="A2" s="148" t="s">
        <v>311</v>
      </c>
      <c r="B2" s="148">
        <v>1.0</v>
      </c>
      <c r="C2" s="148" t="s">
        <v>760</v>
      </c>
      <c r="D2" s="149" t="s">
        <v>762</v>
      </c>
      <c r="E2" s="150">
        <v>70.0</v>
      </c>
      <c r="F2" s="151">
        <v>9.0</v>
      </c>
      <c r="G2" s="151">
        <v>0.0</v>
      </c>
      <c r="H2" s="151">
        <v>0.0</v>
      </c>
      <c r="I2" s="151">
        <v>1.0</v>
      </c>
      <c r="J2" s="151">
        <v>0.0</v>
      </c>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2"/>
    </row>
    <row r="3">
      <c r="A3" s="148" t="s">
        <v>311</v>
      </c>
      <c r="B3" s="148">
        <v>2.0</v>
      </c>
      <c r="C3" s="148" t="s">
        <v>582</v>
      </c>
      <c r="D3" s="149" t="s">
        <v>581</v>
      </c>
      <c r="E3" s="150">
        <v>69.0</v>
      </c>
      <c r="F3" s="151">
        <v>257.0</v>
      </c>
      <c r="G3" s="151">
        <v>5.0</v>
      </c>
      <c r="H3" s="151">
        <v>1.0</v>
      </c>
      <c r="I3" s="151">
        <v>1.0</v>
      </c>
      <c r="J3" s="151">
        <v>0.0</v>
      </c>
      <c r="K3" s="152"/>
      <c r="L3" s="152"/>
      <c r="M3" s="152"/>
      <c r="N3" s="152"/>
      <c r="O3" s="152"/>
      <c r="P3" s="152"/>
      <c r="Q3" s="152"/>
      <c r="R3" s="152"/>
      <c r="S3" s="152"/>
      <c r="T3" s="152"/>
      <c r="U3" s="152"/>
      <c r="V3" s="152"/>
      <c r="W3" s="152"/>
      <c r="X3" s="152"/>
      <c r="Y3" s="152"/>
      <c r="Z3" s="152"/>
      <c r="AA3" s="152"/>
      <c r="AB3" s="152"/>
      <c r="AC3" s="152"/>
      <c r="AD3" s="152"/>
      <c r="AE3" s="152"/>
      <c r="AF3" s="152"/>
      <c r="AG3" s="152"/>
      <c r="AH3" s="152"/>
      <c r="AI3" s="152"/>
      <c r="AJ3" s="152"/>
    </row>
    <row r="4">
      <c r="A4" s="148" t="s">
        <v>311</v>
      </c>
      <c r="B4" s="148">
        <v>3.0</v>
      </c>
      <c r="C4" s="148" t="s">
        <v>780</v>
      </c>
      <c r="D4" s="149" t="s">
        <v>781</v>
      </c>
      <c r="E4" s="150">
        <v>76.0</v>
      </c>
      <c r="F4" s="151">
        <v>59.0</v>
      </c>
      <c r="G4" s="151">
        <v>1.0</v>
      </c>
      <c r="H4" s="151">
        <v>10.0</v>
      </c>
      <c r="I4" s="151">
        <v>4.0</v>
      </c>
      <c r="J4" s="151">
        <v>2.0</v>
      </c>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52"/>
    </row>
    <row r="5">
      <c r="A5" s="148" t="s">
        <v>311</v>
      </c>
      <c r="B5" s="148">
        <v>4.0</v>
      </c>
      <c r="C5" s="148" t="s">
        <v>790</v>
      </c>
      <c r="D5" s="149" t="s">
        <v>791</v>
      </c>
      <c r="E5" s="150">
        <v>65.0</v>
      </c>
      <c r="F5" s="151">
        <v>8.0</v>
      </c>
      <c r="G5" s="151">
        <v>2.0</v>
      </c>
      <c r="H5" s="151">
        <v>1.0</v>
      </c>
      <c r="I5" s="151">
        <v>2.0</v>
      </c>
      <c r="J5" s="151">
        <v>0.0</v>
      </c>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52"/>
    </row>
    <row r="6">
      <c r="A6" s="148" t="s">
        <v>311</v>
      </c>
      <c r="B6" s="148">
        <v>5.0</v>
      </c>
      <c r="C6" s="148" t="s">
        <v>799</v>
      </c>
      <c r="D6" s="149" t="s">
        <v>800</v>
      </c>
      <c r="E6" s="150">
        <v>42.0</v>
      </c>
      <c r="F6" s="151">
        <v>0.0</v>
      </c>
      <c r="G6" s="151">
        <v>0.0</v>
      </c>
      <c r="H6" s="151">
        <v>0.0</v>
      </c>
      <c r="I6" s="151">
        <v>0.0</v>
      </c>
      <c r="J6" s="151">
        <v>0.0</v>
      </c>
      <c r="K6" s="152"/>
      <c r="L6" s="152"/>
      <c r="M6" s="152"/>
      <c r="N6" s="152"/>
      <c r="O6" s="152"/>
      <c r="P6" s="152"/>
      <c r="Q6" s="152"/>
      <c r="R6" s="152"/>
      <c r="S6" s="152"/>
      <c r="T6" s="152"/>
      <c r="U6" s="152"/>
      <c r="V6" s="152"/>
      <c r="W6" s="152"/>
      <c r="X6" s="152"/>
      <c r="Y6" s="152"/>
      <c r="Z6" s="152"/>
      <c r="AA6" s="152"/>
      <c r="AB6" s="152"/>
      <c r="AC6" s="152"/>
      <c r="AD6" s="152"/>
      <c r="AE6" s="152"/>
      <c r="AF6" s="152"/>
      <c r="AG6" s="152"/>
      <c r="AH6" s="152"/>
      <c r="AI6" s="152"/>
      <c r="AJ6" s="152"/>
    </row>
    <row r="7">
      <c r="A7" s="148" t="s">
        <v>311</v>
      </c>
      <c r="B7" s="148">
        <v>6.0</v>
      </c>
      <c r="C7" s="148" t="s">
        <v>812</v>
      </c>
      <c r="D7" s="153" t="s">
        <v>814</v>
      </c>
      <c r="E7" s="150">
        <v>71.0</v>
      </c>
      <c r="F7" s="151">
        <v>38.0</v>
      </c>
      <c r="G7" s="151">
        <v>3.0</v>
      </c>
      <c r="H7" s="151">
        <v>0.0</v>
      </c>
      <c r="I7" s="151">
        <v>2.0</v>
      </c>
      <c r="J7" s="151">
        <v>1.0</v>
      </c>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row>
    <row r="8">
      <c r="A8" s="148" t="s">
        <v>311</v>
      </c>
      <c r="B8" s="148">
        <v>7.0</v>
      </c>
      <c r="C8" s="148" t="s">
        <v>823</v>
      </c>
      <c r="D8" s="149" t="s">
        <v>688</v>
      </c>
      <c r="E8" s="150">
        <v>79.0</v>
      </c>
      <c r="F8" s="151">
        <v>24.0</v>
      </c>
      <c r="G8" s="151">
        <v>1.0</v>
      </c>
      <c r="H8" s="151">
        <v>6.0</v>
      </c>
      <c r="I8" s="151">
        <v>5.0</v>
      </c>
      <c r="J8" s="151">
        <v>3.0</v>
      </c>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row>
    <row r="9">
      <c r="A9" s="148" t="s">
        <v>311</v>
      </c>
      <c r="B9" s="148">
        <v>8.0</v>
      </c>
      <c r="C9" s="148" t="s">
        <v>833</v>
      </c>
      <c r="D9" s="149" t="s">
        <v>834</v>
      </c>
      <c r="E9" s="150">
        <v>72.0</v>
      </c>
      <c r="F9" s="151">
        <v>40.0</v>
      </c>
      <c r="G9" s="151">
        <v>1.0</v>
      </c>
      <c r="H9" s="151">
        <v>0.0</v>
      </c>
      <c r="I9" s="151">
        <v>3.0</v>
      </c>
      <c r="J9" s="151">
        <v>1.0</v>
      </c>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row>
    <row r="10">
      <c r="A10" s="148" t="s">
        <v>311</v>
      </c>
      <c r="B10" s="148">
        <v>9.0</v>
      </c>
      <c r="C10" s="148" t="s">
        <v>843</v>
      </c>
      <c r="D10" s="149" t="s">
        <v>844</v>
      </c>
      <c r="E10" s="150">
        <v>49.0</v>
      </c>
      <c r="F10" s="151">
        <v>48.0</v>
      </c>
      <c r="G10" s="151">
        <v>5.0</v>
      </c>
      <c r="H10" s="151">
        <v>0.0</v>
      </c>
      <c r="I10" s="151">
        <v>0.0</v>
      </c>
      <c r="J10" s="151">
        <v>0.0</v>
      </c>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row>
    <row r="11">
      <c r="A11" s="148" t="s">
        <v>311</v>
      </c>
      <c r="B11" s="148">
        <v>10.0</v>
      </c>
      <c r="C11" s="148" t="s">
        <v>853</v>
      </c>
      <c r="D11" s="149" t="s">
        <v>854</v>
      </c>
      <c r="E11" s="150">
        <v>61.0</v>
      </c>
      <c r="F11" s="151">
        <v>268.0</v>
      </c>
      <c r="G11" s="151">
        <v>6.0</v>
      </c>
      <c r="H11" s="151">
        <v>3.0</v>
      </c>
      <c r="I11" s="151">
        <v>2.0</v>
      </c>
      <c r="J11" s="151">
        <v>3.0</v>
      </c>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row>
    <row r="12">
      <c r="A12" s="148" t="s">
        <v>311</v>
      </c>
      <c r="B12" s="148">
        <v>11.0</v>
      </c>
      <c r="C12" s="148" t="s">
        <v>862</v>
      </c>
      <c r="D12" s="149" t="s">
        <v>863</v>
      </c>
      <c r="E12" s="150">
        <v>19.0</v>
      </c>
      <c r="F12" s="151">
        <v>0.0</v>
      </c>
      <c r="G12" s="151">
        <v>0.0</v>
      </c>
      <c r="H12" s="151">
        <v>0.0</v>
      </c>
      <c r="I12" s="151">
        <v>0.0</v>
      </c>
      <c r="J12" s="151">
        <v>0.0</v>
      </c>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row>
    <row r="13">
      <c r="A13" s="148" t="s">
        <v>311</v>
      </c>
      <c r="B13" s="148">
        <v>12.0</v>
      </c>
      <c r="C13" s="148" t="s">
        <v>870</v>
      </c>
      <c r="D13" s="153" t="s">
        <v>626</v>
      </c>
      <c r="E13" s="150">
        <v>45.0</v>
      </c>
      <c r="F13" s="151">
        <v>26.0</v>
      </c>
      <c r="G13" s="151">
        <v>2.0</v>
      </c>
      <c r="H13" s="151">
        <v>1.0</v>
      </c>
      <c r="I13" s="151">
        <v>2.0</v>
      </c>
      <c r="J13" s="151">
        <v>1.0</v>
      </c>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row>
    <row r="14">
      <c r="A14" s="148" t="s">
        <v>311</v>
      </c>
      <c r="B14" s="148">
        <v>13.0</v>
      </c>
      <c r="C14" s="148" t="s">
        <v>877</v>
      </c>
      <c r="D14" s="149" t="s">
        <v>878</v>
      </c>
      <c r="E14" s="150">
        <v>62.0</v>
      </c>
      <c r="F14" s="151">
        <v>654.0</v>
      </c>
      <c r="G14" s="151">
        <v>4.0</v>
      </c>
      <c r="H14" s="151">
        <v>3.0</v>
      </c>
      <c r="I14" s="151">
        <v>6.0</v>
      </c>
      <c r="J14" s="151">
        <v>1.0</v>
      </c>
      <c r="K14" s="152"/>
      <c r="L14" s="152"/>
      <c r="M14" s="152"/>
      <c r="N14" s="152"/>
      <c r="O14" s="152"/>
      <c r="P14" s="152"/>
      <c r="Q14" s="152"/>
      <c r="R14" s="152"/>
      <c r="S14" s="152"/>
      <c r="T14" s="152"/>
      <c r="U14" s="152"/>
      <c r="V14" s="152"/>
      <c r="W14" s="152"/>
      <c r="X14" s="152"/>
      <c r="Y14" s="152"/>
      <c r="Z14" s="152"/>
      <c r="AA14" s="152"/>
      <c r="AB14" s="152"/>
      <c r="AC14" s="152"/>
      <c r="AD14" s="152"/>
      <c r="AE14" s="152"/>
      <c r="AF14" s="152"/>
      <c r="AG14" s="152"/>
      <c r="AH14" s="152"/>
      <c r="AI14" s="152"/>
      <c r="AJ14" s="152"/>
    </row>
    <row r="15">
      <c r="A15" s="148" t="s">
        <v>311</v>
      </c>
      <c r="B15" s="148">
        <v>14.0</v>
      </c>
      <c r="C15" s="148" t="s">
        <v>887</v>
      </c>
      <c r="D15" s="153" t="s">
        <v>888</v>
      </c>
      <c r="E15" s="150">
        <v>23.0</v>
      </c>
      <c r="F15" s="151">
        <v>13.0</v>
      </c>
      <c r="G15" s="151">
        <v>0.0</v>
      </c>
      <c r="H15" s="151">
        <v>0.0</v>
      </c>
      <c r="I15" s="151">
        <v>0.0</v>
      </c>
      <c r="J15" s="151">
        <v>1.0</v>
      </c>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row>
    <row r="16">
      <c r="A16" s="148" t="s">
        <v>311</v>
      </c>
      <c r="B16" s="148">
        <v>15.0</v>
      </c>
      <c r="C16" s="148" t="s">
        <v>895</v>
      </c>
      <c r="D16" s="149" t="s">
        <v>363</v>
      </c>
      <c r="E16" s="150">
        <v>22.0</v>
      </c>
      <c r="F16" s="151">
        <v>2.0</v>
      </c>
      <c r="G16" s="151">
        <v>0.0</v>
      </c>
      <c r="H16" s="151">
        <v>0.0</v>
      </c>
      <c r="I16" s="151">
        <v>0.0</v>
      </c>
      <c r="J16" s="151">
        <v>0.0</v>
      </c>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row>
    <row r="17">
      <c r="A17" s="148" t="s">
        <v>311</v>
      </c>
      <c r="B17" s="148">
        <v>16.0</v>
      </c>
      <c r="C17" s="148" t="s">
        <v>904</v>
      </c>
      <c r="D17" s="149" t="s">
        <v>353</v>
      </c>
      <c r="E17" s="150">
        <v>29.0</v>
      </c>
      <c r="F17" s="151">
        <v>0.0</v>
      </c>
      <c r="G17" s="151">
        <v>1.0</v>
      </c>
      <c r="H17" s="151">
        <v>0.0</v>
      </c>
      <c r="I17" s="151">
        <v>0.0</v>
      </c>
      <c r="J17" s="151">
        <v>0.0</v>
      </c>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row>
    <row r="18">
      <c r="A18" s="148" t="s">
        <v>311</v>
      </c>
      <c r="B18" s="148">
        <v>17.0</v>
      </c>
      <c r="C18" s="148" t="s">
        <v>912</v>
      </c>
      <c r="D18" s="149" t="s">
        <v>913</v>
      </c>
      <c r="E18" s="150">
        <v>82.0</v>
      </c>
      <c r="F18" s="151">
        <v>53.0</v>
      </c>
      <c r="G18" s="151">
        <v>2.0</v>
      </c>
      <c r="H18" s="151">
        <v>0.0</v>
      </c>
      <c r="I18" s="151">
        <v>0.0</v>
      </c>
      <c r="J18" s="151">
        <v>0.0</v>
      </c>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row>
    <row r="19">
      <c r="A19" s="148" t="s">
        <v>311</v>
      </c>
      <c r="B19" s="148">
        <v>18.0</v>
      </c>
      <c r="C19" s="148" t="s">
        <v>923</v>
      </c>
      <c r="D19" s="149" t="s">
        <v>924</v>
      </c>
      <c r="E19" s="150">
        <v>37.0</v>
      </c>
      <c r="F19" s="151">
        <v>172.0</v>
      </c>
      <c r="G19" s="151">
        <v>0.0</v>
      </c>
      <c r="H19" s="151">
        <v>1.0</v>
      </c>
      <c r="I19" s="151">
        <v>9.0</v>
      </c>
      <c r="J19" s="151">
        <v>0.0</v>
      </c>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row>
    <row r="20">
      <c r="A20" s="148" t="s">
        <v>311</v>
      </c>
      <c r="B20" s="148">
        <v>19.0</v>
      </c>
      <c r="C20" s="148" t="s">
        <v>931</v>
      </c>
      <c r="D20" s="153" t="s">
        <v>932</v>
      </c>
      <c r="E20" s="150">
        <v>57.0</v>
      </c>
      <c r="F20" s="151">
        <v>50.0</v>
      </c>
      <c r="G20" s="151">
        <v>5.0</v>
      </c>
      <c r="H20" s="151">
        <v>0.0</v>
      </c>
      <c r="I20" s="151">
        <v>3.0</v>
      </c>
      <c r="J20" s="151">
        <v>2.0</v>
      </c>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row>
    <row r="21" ht="15.75" customHeight="1">
      <c r="A21" s="148" t="s">
        <v>311</v>
      </c>
      <c r="B21" s="148">
        <v>20.0</v>
      </c>
      <c r="C21" s="148" t="s">
        <v>941</v>
      </c>
      <c r="D21" s="149" t="s">
        <v>942</v>
      </c>
      <c r="E21" s="150">
        <v>12.0</v>
      </c>
      <c r="F21" s="151">
        <v>6.0</v>
      </c>
      <c r="G21" s="151">
        <v>1.0</v>
      </c>
      <c r="H21" s="151">
        <v>0.0</v>
      </c>
      <c r="I21" s="151">
        <v>1.0</v>
      </c>
      <c r="J21" s="151">
        <v>0.0</v>
      </c>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row>
    <row r="22" ht="15.75" customHeight="1">
      <c r="A22" s="148" t="s">
        <v>311</v>
      </c>
      <c r="B22" s="148">
        <v>21.0</v>
      </c>
      <c r="C22" s="148" t="s">
        <v>950</v>
      </c>
      <c r="D22" s="149" t="s">
        <v>951</v>
      </c>
      <c r="E22" s="150">
        <v>77.0</v>
      </c>
      <c r="F22" s="151">
        <v>46.0</v>
      </c>
      <c r="G22" s="151">
        <v>1.0</v>
      </c>
      <c r="H22" s="151">
        <v>0.0</v>
      </c>
      <c r="I22" s="151">
        <v>1.0</v>
      </c>
      <c r="J22" s="151">
        <v>1.0</v>
      </c>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row>
    <row r="23" ht="15.75" customHeight="1">
      <c r="A23" s="148" t="s">
        <v>311</v>
      </c>
      <c r="B23" s="148">
        <v>22.0</v>
      </c>
      <c r="C23" s="148" t="s">
        <v>960</v>
      </c>
      <c r="D23" s="149" t="s">
        <v>961</v>
      </c>
      <c r="E23" s="150">
        <v>84.0</v>
      </c>
      <c r="F23" s="151">
        <v>106.0</v>
      </c>
      <c r="G23" s="151">
        <v>0.0</v>
      </c>
      <c r="H23" s="151">
        <v>1.0</v>
      </c>
      <c r="I23" s="151">
        <v>0.0</v>
      </c>
      <c r="J23" s="151">
        <v>0.0</v>
      </c>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row>
    <row r="24" ht="15.75" customHeight="1">
      <c r="A24" s="148" t="s">
        <v>311</v>
      </c>
      <c r="B24" s="148">
        <v>23.0</v>
      </c>
      <c r="C24" s="148" t="s">
        <v>970</v>
      </c>
      <c r="D24" s="149" t="s">
        <v>971</v>
      </c>
      <c r="E24" s="150">
        <v>59.0</v>
      </c>
      <c r="F24" s="151">
        <v>1.0</v>
      </c>
      <c r="G24" s="151">
        <v>2.0</v>
      </c>
      <c r="H24" s="151">
        <v>0.0</v>
      </c>
      <c r="I24" s="151">
        <v>0.0</v>
      </c>
      <c r="J24" s="151">
        <v>0.0</v>
      </c>
      <c r="K24" s="152"/>
      <c r="L24" s="152"/>
      <c r="M24" s="152"/>
      <c r="N24" s="152"/>
      <c r="O24" s="152"/>
      <c r="P24" s="152"/>
      <c r="Q24" s="152"/>
      <c r="R24" s="152"/>
      <c r="S24" s="152"/>
      <c r="T24" s="152"/>
      <c r="U24" s="152"/>
      <c r="V24" s="152"/>
      <c r="W24" s="152"/>
      <c r="X24" s="152"/>
      <c r="Y24" s="152"/>
      <c r="Z24" s="152"/>
      <c r="AA24" s="152"/>
      <c r="AB24" s="152"/>
      <c r="AC24" s="152"/>
      <c r="AD24" s="152"/>
      <c r="AE24" s="152"/>
      <c r="AF24" s="152"/>
      <c r="AG24" s="152"/>
      <c r="AH24" s="152"/>
      <c r="AI24" s="152"/>
      <c r="AJ24" s="152"/>
    </row>
    <row r="25" ht="15.75" customHeight="1">
      <c r="A25" s="148" t="s">
        <v>311</v>
      </c>
      <c r="B25" s="148">
        <v>24.0</v>
      </c>
      <c r="C25" s="148" t="s">
        <v>380</v>
      </c>
      <c r="D25" s="149" t="s">
        <v>379</v>
      </c>
      <c r="E25" s="150">
        <v>65.0</v>
      </c>
      <c r="F25" s="151">
        <v>18.0</v>
      </c>
      <c r="G25" s="151">
        <v>0.0</v>
      </c>
      <c r="H25" s="151">
        <v>0.0</v>
      </c>
      <c r="I25" s="151">
        <v>0.0</v>
      </c>
      <c r="J25" s="151">
        <v>0.0</v>
      </c>
      <c r="K25" s="152"/>
      <c r="L25" s="152"/>
      <c r="M25" s="152"/>
      <c r="N25" s="152"/>
      <c r="O25" s="152"/>
      <c r="P25" s="152"/>
      <c r="Q25" s="152"/>
      <c r="R25" s="152"/>
      <c r="S25" s="152"/>
      <c r="T25" s="152"/>
      <c r="U25" s="152"/>
      <c r="V25" s="152"/>
      <c r="W25" s="152"/>
      <c r="X25" s="152"/>
      <c r="Y25" s="152"/>
      <c r="Z25" s="152"/>
      <c r="AA25" s="152"/>
      <c r="AB25" s="152"/>
      <c r="AC25" s="152"/>
      <c r="AD25" s="152"/>
      <c r="AE25" s="152"/>
      <c r="AF25" s="152"/>
      <c r="AG25" s="152"/>
      <c r="AH25" s="152"/>
      <c r="AI25" s="152"/>
      <c r="AJ25" s="152"/>
    </row>
    <row r="26" ht="15.75" customHeight="1">
      <c r="A26" s="148" t="s">
        <v>311</v>
      </c>
      <c r="B26" s="148">
        <v>25.0</v>
      </c>
      <c r="C26" s="148" t="s">
        <v>992</v>
      </c>
      <c r="D26" s="149" t="s">
        <v>993</v>
      </c>
      <c r="E26" s="150">
        <v>80.0</v>
      </c>
      <c r="F26" s="151">
        <v>16.0</v>
      </c>
      <c r="G26" s="151">
        <v>0.0</v>
      </c>
      <c r="H26" s="151">
        <v>0.0</v>
      </c>
      <c r="I26" s="151">
        <v>1.0</v>
      </c>
      <c r="J26" s="151">
        <v>0.0</v>
      </c>
      <c r="K26" s="152"/>
      <c r="L26" s="152"/>
      <c r="M26" s="152"/>
      <c r="N26" s="152"/>
      <c r="O26" s="152"/>
      <c r="P26" s="152"/>
      <c r="Q26" s="152"/>
      <c r="R26" s="152"/>
      <c r="S26" s="152"/>
      <c r="T26" s="152"/>
      <c r="U26" s="152"/>
      <c r="V26" s="152"/>
      <c r="W26" s="152"/>
      <c r="X26" s="152"/>
      <c r="Y26" s="152"/>
      <c r="Z26" s="152"/>
      <c r="AA26" s="152"/>
      <c r="AB26" s="152"/>
      <c r="AC26" s="152"/>
      <c r="AD26" s="152"/>
      <c r="AE26" s="152"/>
      <c r="AF26" s="152"/>
      <c r="AG26" s="152"/>
      <c r="AH26" s="152"/>
      <c r="AI26" s="152"/>
      <c r="AJ26" s="152"/>
    </row>
    <row r="27" ht="15.75" customHeight="1">
      <c r="A27" s="154" t="s">
        <v>311</v>
      </c>
      <c r="B27" s="154">
        <v>33.0</v>
      </c>
      <c r="C27" s="154" t="s">
        <v>27</v>
      </c>
      <c r="D27" s="155" t="s">
        <v>35</v>
      </c>
      <c r="E27" s="156">
        <v>67.0</v>
      </c>
      <c r="F27" s="157">
        <v>2.0</v>
      </c>
      <c r="G27" s="157">
        <v>0.0</v>
      </c>
      <c r="H27" s="157">
        <v>0.0</v>
      </c>
      <c r="I27" s="157">
        <v>0.0</v>
      </c>
      <c r="J27" s="157">
        <v>0.0</v>
      </c>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row>
    <row r="28" ht="15.75" customHeight="1">
      <c r="A28" s="148" t="s">
        <v>311</v>
      </c>
      <c r="B28" s="148">
        <v>46.0</v>
      </c>
      <c r="C28" s="148" t="s">
        <v>1012</v>
      </c>
      <c r="D28" s="148" t="s">
        <v>1013</v>
      </c>
      <c r="E28" s="150">
        <v>19.0</v>
      </c>
      <c r="F28" s="151">
        <v>24.0</v>
      </c>
      <c r="G28" s="151">
        <v>3.0</v>
      </c>
      <c r="H28" s="151">
        <v>0.0</v>
      </c>
      <c r="I28" s="151">
        <v>4.0</v>
      </c>
      <c r="J28" s="159">
        <v>0.0</v>
      </c>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row>
    <row r="29" ht="15.75" customHeight="1">
      <c r="A29" s="160" t="s">
        <v>311</v>
      </c>
      <c r="B29" s="148">
        <v>64.0</v>
      </c>
      <c r="C29" s="148" t="s">
        <v>1021</v>
      </c>
      <c r="D29" s="149" t="s">
        <v>1022</v>
      </c>
      <c r="E29" s="150">
        <v>91.0</v>
      </c>
      <c r="F29" s="151">
        <v>137.0</v>
      </c>
      <c r="G29" s="151">
        <v>7.0</v>
      </c>
      <c r="H29" s="151">
        <v>3.0</v>
      </c>
      <c r="I29" s="151">
        <v>0.0</v>
      </c>
      <c r="J29" s="159">
        <v>3.0</v>
      </c>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row>
    <row r="30" ht="15.75" customHeight="1">
      <c r="A30" s="160" t="s">
        <v>311</v>
      </c>
      <c r="B30" s="148">
        <v>106.0</v>
      </c>
      <c r="C30" s="148" t="s">
        <v>1029</v>
      </c>
      <c r="D30" s="149" t="s">
        <v>1031</v>
      </c>
      <c r="E30" s="150">
        <v>75.0</v>
      </c>
      <c r="F30" s="151">
        <v>0.0</v>
      </c>
      <c r="G30" s="151">
        <v>0.0</v>
      </c>
      <c r="H30" s="151">
        <v>1.0</v>
      </c>
      <c r="I30" s="151">
        <v>0.0</v>
      </c>
      <c r="J30" s="159">
        <v>0.0</v>
      </c>
      <c r="K30" s="152"/>
      <c r="L30" s="152"/>
      <c r="M30" s="152"/>
      <c r="N30" s="152"/>
      <c r="O30" s="152"/>
      <c r="P30" s="152"/>
      <c r="Q30" s="152"/>
      <c r="R30" s="152"/>
      <c r="S30" s="152"/>
      <c r="T30" s="152"/>
      <c r="U30" s="152"/>
      <c r="V30" s="152"/>
      <c r="W30" s="152"/>
      <c r="X30" s="152"/>
      <c r="Y30" s="152"/>
      <c r="Z30" s="152"/>
      <c r="AA30" s="152"/>
      <c r="AB30" s="152"/>
      <c r="AC30" s="152"/>
      <c r="AD30" s="152"/>
      <c r="AE30" s="152"/>
      <c r="AF30" s="152"/>
      <c r="AG30" s="152"/>
      <c r="AH30" s="152"/>
      <c r="AI30" s="152"/>
      <c r="AJ30" s="152"/>
    </row>
    <row r="31" ht="15.75" customHeight="1">
      <c r="A31" s="160" t="s">
        <v>311</v>
      </c>
      <c r="B31" s="148">
        <v>113.0</v>
      </c>
      <c r="C31" s="148" t="s">
        <v>1039</v>
      </c>
      <c r="D31" s="149" t="s">
        <v>1040</v>
      </c>
      <c r="E31" s="150">
        <v>81.0</v>
      </c>
      <c r="F31" s="151">
        <v>62.0</v>
      </c>
      <c r="G31" s="151">
        <v>0.0</v>
      </c>
      <c r="H31" s="151">
        <v>3.0</v>
      </c>
      <c r="I31" s="151">
        <v>0.0</v>
      </c>
      <c r="J31" s="159">
        <v>0.0</v>
      </c>
      <c r="K31" s="152"/>
      <c r="L31" s="152"/>
      <c r="M31" s="152"/>
      <c r="N31" s="152"/>
      <c r="O31" s="152"/>
      <c r="P31" s="152"/>
      <c r="Q31" s="152"/>
      <c r="R31" s="152"/>
      <c r="S31" s="152"/>
      <c r="T31" s="152"/>
      <c r="U31" s="152"/>
      <c r="V31" s="152"/>
      <c r="W31" s="152"/>
      <c r="X31" s="152"/>
      <c r="Y31" s="152"/>
      <c r="Z31" s="152"/>
      <c r="AA31" s="152"/>
      <c r="AB31" s="152"/>
      <c r="AC31" s="152"/>
      <c r="AD31" s="152"/>
      <c r="AE31" s="152"/>
      <c r="AF31" s="152"/>
      <c r="AG31" s="152"/>
      <c r="AH31" s="152"/>
      <c r="AI31" s="152"/>
      <c r="AJ31" s="152"/>
    </row>
    <row r="32" ht="15.75" customHeight="1">
      <c r="A32" s="160" t="s">
        <v>311</v>
      </c>
      <c r="B32" s="148">
        <v>114.0</v>
      </c>
      <c r="C32" s="148" t="s">
        <v>1046</v>
      </c>
      <c r="D32" s="149" t="s">
        <v>1047</v>
      </c>
      <c r="E32" s="150">
        <v>73.0</v>
      </c>
      <c r="F32" s="151">
        <v>3.0</v>
      </c>
      <c r="G32" s="151">
        <v>5.0</v>
      </c>
      <c r="H32" s="151">
        <v>0.0</v>
      </c>
      <c r="I32" s="151">
        <v>0.0</v>
      </c>
      <c r="J32" s="159">
        <v>0.0</v>
      </c>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52"/>
      <c r="AH32" s="152"/>
      <c r="AI32" s="152"/>
      <c r="AJ32" s="152"/>
    </row>
    <row r="33" ht="15.75" customHeight="1">
      <c r="A33" s="160" t="s">
        <v>311</v>
      </c>
      <c r="B33" s="148">
        <v>123.0</v>
      </c>
      <c r="C33" s="148" t="s">
        <v>1055</v>
      </c>
      <c r="D33" s="149" t="s">
        <v>1056</v>
      </c>
      <c r="E33" s="150">
        <v>58.0</v>
      </c>
      <c r="F33" s="151">
        <v>0.0</v>
      </c>
      <c r="G33" s="151">
        <v>0.0</v>
      </c>
      <c r="H33" s="151">
        <v>0.0</v>
      </c>
      <c r="I33" s="151">
        <v>0.0</v>
      </c>
      <c r="J33" s="159">
        <v>0.0</v>
      </c>
      <c r="K33" s="152"/>
      <c r="L33" s="152"/>
      <c r="M33" s="152"/>
      <c r="N33" s="152"/>
      <c r="O33" s="152"/>
      <c r="P33" s="152"/>
      <c r="Q33" s="152"/>
      <c r="R33" s="152"/>
      <c r="S33" s="152"/>
      <c r="T33" s="152"/>
      <c r="U33" s="152"/>
      <c r="V33" s="152"/>
      <c r="W33" s="152"/>
      <c r="X33" s="152"/>
      <c r="Y33" s="152"/>
      <c r="Z33" s="152"/>
      <c r="AA33" s="152"/>
      <c r="AB33" s="152"/>
      <c r="AC33" s="152"/>
      <c r="AD33" s="152"/>
      <c r="AE33" s="152"/>
      <c r="AF33" s="152"/>
      <c r="AG33" s="152"/>
      <c r="AH33" s="152"/>
      <c r="AI33" s="152"/>
      <c r="AJ33" s="152"/>
    </row>
    <row r="34" ht="15.75" customHeight="1">
      <c r="A34" s="160" t="s">
        <v>311</v>
      </c>
      <c r="B34" s="148">
        <v>128.0</v>
      </c>
      <c r="C34" s="148" t="s">
        <v>1064</v>
      </c>
      <c r="D34" s="149" t="s">
        <v>1065</v>
      </c>
      <c r="E34" s="150">
        <v>0.4</v>
      </c>
      <c r="F34" s="151">
        <v>0.0</v>
      </c>
      <c r="G34" s="151">
        <v>0.0</v>
      </c>
      <c r="H34" s="151">
        <v>0.0</v>
      </c>
      <c r="I34" s="151">
        <v>0.0</v>
      </c>
      <c r="J34" s="159">
        <v>0.0</v>
      </c>
      <c r="K34" s="152"/>
      <c r="L34" s="152"/>
      <c r="M34" s="152"/>
      <c r="N34" s="152"/>
      <c r="O34" s="152"/>
      <c r="P34" s="152"/>
      <c r="Q34" s="152"/>
      <c r="R34" s="152"/>
      <c r="S34" s="152"/>
      <c r="T34" s="152"/>
      <c r="U34" s="152"/>
      <c r="V34" s="152"/>
      <c r="W34" s="152"/>
      <c r="X34" s="152"/>
      <c r="Y34" s="152"/>
      <c r="Z34" s="152"/>
      <c r="AA34" s="152"/>
      <c r="AB34" s="152"/>
      <c r="AC34" s="152"/>
      <c r="AD34" s="152"/>
      <c r="AE34" s="152"/>
      <c r="AF34" s="152"/>
      <c r="AG34" s="152"/>
      <c r="AH34" s="152"/>
      <c r="AI34" s="152"/>
      <c r="AJ34" s="152"/>
    </row>
    <row r="35" ht="15.75" customHeight="1">
      <c r="A35" s="160" t="s">
        <v>311</v>
      </c>
      <c r="B35" s="148">
        <v>129.0</v>
      </c>
      <c r="C35" s="148" t="s">
        <v>1072</v>
      </c>
      <c r="D35" s="149" t="s">
        <v>572</v>
      </c>
      <c r="E35" s="150">
        <v>79.0</v>
      </c>
      <c r="F35" s="151">
        <v>79.0</v>
      </c>
      <c r="G35" s="151">
        <v>1.0</v>
      </c>
      <c r="H35" s="151">
        <v>2.0</v>
      </c>
      <c r="I35" s="151">
        <v>3.0</v>
      </c>
      <c r="J35" s="159">
        <v>0.0</v>
      </c>
      <c r="K35" s="152"/>
      <c r="L35" s="152"/>
      <c r="M35" s="152"/>
      <c r="N35" s="152"/>
      <c r="O35" s="152"/>
      <c r="P35" s="152"/>
      <c r="Q35" s="152"/>
      <c r="R35" s="152"/>
      <c r="S35" s="152"/>
      <c r="T35" s="152"/>
      <c r="U35" s="152"/>
      <c r="V35" s="152"/>
      <c r="W35" s="152"/>
      <c r="X35" s="152"/>
      <c r="Y35" s="152"/>
      <c r="Z35" s="152"/>
      <c r="AA35" s="152"/>
      <c r="AB35" s="152"/>
      <c r="AC35" s="152"/>
      <c r="AD35" s="152"/>
      <c r="AE35" s="152"/>
      <c r="AF35" s="152"/>
      <c r="AG35" s="152"/>
      <c r="AH35" s="152"/>
      <c r="AI35" s="152"/>
      <c r="AJ35" s="152"/>
    </row>
    <row r="36" ht="15.75" customHeight="1">
      <c r="A36" s="160" t="s">
        <v>311</v>
      </c>
      <c r="B36" s="148">
        <v>131.0</v>
      </c>
      <c r="C36" s="148" t="s">
        <v>1078</v>
      </c>
      <c r="D36" s="149" t="s">
        <v>1080</v>
      </c>
      <c r="E36" s="150">
        <v>53.0</v>
      </c>
      <c r="F36" s="151">
        <v>2.0</v>
      </c>
      <c r="G36" s="151">
        <v>1.0</v>
      </c>
      <c r="H36" s="151">
        <v>0.0</v>
      </c>
      <c r="I36" s="151">
        <v>1.0</v>
      </c>
      <c r="J36" s="159">
        <v>0.0</v>
      </c>
      <c r="K36" s="152"/>
      <c r="L36" s="152"/>
      <c r="M36" s="152"/>
      <c r="N36" s="152"/>
      <c r="O36" s="152"/>
      <c r="P36" s="152"/>
      <c r="Q36" s="152"/>
      <c r="R36" s="152"/>
      <c r="S36" s="152"/>
      <c r="T36" s="152"/>
      <c r="U36" s="152"/>
      <c r="V36" s="152"/>
      <c r="W36" s="152"/>
      <c r="X36" s="152"/>
      <c r="Y36" s="152"/>
      <c r="Z36" s="152"/>
      <c r="AA36" s="152"/>
      <c r="AB36" s="152"/>
      <c r="AC36" s="152"/>
      <c r="AD36" s="152"/>
      <c r="AE36" s="152"/>
      <c r="AF36" s="152"/>
      <c r="AG36" s="152"/>
      <c r="AH36" s="152"/>
      <c r="AI36" s="152"/>
      <c r="AJ36" s="152"/>
    </row>
    <row r="37" ht="15.75" customHeight="1">
      <c r="A37" s="160" t="s">
        <v>311</v>
      </c>
      <c r="B37" s="148">
        <v>137.0</v>
      </c>
      <c r="C37" s="148" t="s">
        <v>1091</v>
      </c>
      <c r="D37" s="149" t="s">
        <v>1092</v>
      </c>
      <c r="E37" s="150">
        <v>73.0</v>
      </c>
      <c r="F37" s="151">
        <v>20.0</v>
      </c>
      <c r="G37" s="151">
        <v>0.0</v>
      </c>
      <c r="H37" s="151">
        <v>6.0</v>
      </c>
      <c r="I37" s="151">
        <v>0.0</v>
      </c>
      <c r="J37" s="159">
        <v>0.0</v>
      </c>
      <c r="K37" s="152"/>
      <c r="L37" s="152"/>
      <c r="M37" s="152"/>
      <c r="N37" s="152"/>
      <c r="O37" s="152"/>
      <c r="P37" s="152"/>
      <c r="Q37" s="152"/>
      <c r="R37" s="152"/>
      <c r="S37" s="152"/>
      <c r="T37" s="152"/>
      <c r="U37" s="152"/>
      <c r="V37" s="152"/>
      <c r="W37" s="152"/>
      <c r="X37" s="152"/>
      <c r="Y37" s="152"/>
      <c r="Z37" s="152"/>
      <c r="AA37" s="152"/>
      <c r="AB37" s="152"/>
      <c r="AC37" s="152"/>
      <c r="AD37" s="152"/>
      <c r="AE37" s="152"/>
      <c r="AF37" s="152"/>
      <c r="AG37" s="152"/>
      <c r="AH37" s="152"/>
      <c r="AI37" s="152"/>
      <c r="AJ37" s="152"/>
    </row>
    <row r="38" ht="15.75" customHeight="1">
      <c r="A38" s="160" t="s">
        <v>311</v>
      </c>
      <c r="B38" s="148">
        <v>143.0</v>
      </c>
      <c r="C38" s="148" t="s">
        <v>1101</v>
      </c>
      <c r="D38" s="149" t="s">
        <v>1102</v>
      </c>
      <c r="E38" s="150">
        <v>53.0</v>
      </c>
      <c r="F38" s="151">
        <v>0.0</v>
      </c>
      <c r="G38" s="151">
        <v>0.0</v>
      </c>
      <c r="H38" s="151">
        <v>0.0</v>
      </c>
      <c r="I38" s="151">
        <v>0.0</v>
      </c>
      <c r="J38" s="159">
        <v>0.0</v>
      </c>
      <c r="K38" s="152"/>
      <c r="L38" s="152"/>
      <c r="M38" s="152"/>
      <c r="N38" s="152"/>
      <c r="O38" s="152"/>
      <c r="P38" s="152"/>
      <c r="Q38" s="152"/>
      <c r="R38" s="152"/>
      <c r="S38" s="152"/>
      <c r="T38" s="152"/>
      <c r="U38" s="152"/>
      <c r="V38" s="152"/>
      <c r="W38" s="152"/>
      <c r="X38" s="152"/>
      <c r="Y38" s="152"/>
      <c r="Z38" s="152"/>
      <c r="AA38" s="152"/>
      <c r="AB38" s="152"/>
      <c r="AC38" s="152"/>
      <c r="AD38" s="152"/>
      <c r="AE38" s="152"/>
      <c r="AF38" s="152"/>
      <c r="AG38" s="152"/>
      <c r="AH38" s="152"/>
      <c r="AI38" s="152"/>
      <c r="AJ38" s="152"/>
    </row>
    <row r="39" ht="15.75" customHeight="1">
      <c r="A39" s="160" t="s">
        <v>311</v>
      </c>
      <c r="B39" s="148">
        <v>146.0</v>
      </c>
      <c r="C39" s="148" t="s">
        <v>1110</v>
      </c>
      <c r="D39" s="149" t="s">
        <v>1111</v>
      </c>
      <c r="E39" s="150">
        <v>49.0</v>
      </c>
      <c r="F39" s="151">
        <v>1.0</v>
      </c>
      <c r="G39" s="151">
        <v>0.0</v>
      </c>
      <c r="H39" s="151">
        <v>0.0</v>
      </c>
      <c r="I39" s="151">
        <v>1.0</v>
      </c>
      <c r="J39" s="159">
        <v>0.0</v>
      </c>
      <c r="K39" s="152"/>
      <c r="L39" s="152"/>
      <c r="M39" s="152"/>
      <c r="N39" s="152"/>
      <c r="O39" s="152"/>
      <c r="P39" s="152"/>
      <c r="Q39" s="152"/>
      <c r="R39" s="152"/>
      <c r="S39" s="152"/>
      <c r="T39" s="152"/>
      <c r="U39" s="152"/>
      <c r="V39" s="152"/>
      <c r="W39" s="152"/>
      <c r="X39" s="152"/>
      <c r="Y39" s="152"/>
      <c r="Z39" s="152"/>
      <c r="AA39" s="152"/>
      <c r="AB39" s="152"/>
      <c r="AC39" s="152"/>
      <c r="AD39" s="152"/>
      <c r="AE39" s="152"/>
      <c r="AF39" s="152"/>
      <c r="AG39" s="152"/>
      <c r="AH39" s="152"/>
      <c r="AI39" s="152"/>
      <c r="AJ39" s="152"/>
    </row>
    <row r="40" ht="15.75" customHeight="1">
      <c r="A40" s="160" t="s">
        <v>311</v>
      </c>
      <c r="B40" s="148">
        <v>147.0</v>
      </c>
      <c r="C40" s="148" t="s">
        <v>1120</v>
      </c>
      <c r="D40" s="149" t="s">
        <v>1066</v>
      </c>
      <c r="E40" s="150">
        <v>60.0</v>
      </c>
      <c r="F40" s="151">
        <v>1.0</v>
      </c>
      <c r="G40" s="151">
        <v>1.0</v>
      </c>
      <c r="H40" s="151">
        <v>0.0</v>
      </c>
      <c r="I40" s="151">
        <v>0.0</v>
      </c>
      <c r="J40" s="159">
        <v>0.0</v>
      </c>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row>
    <row r="41" ht="15.75" customHeight="1">
      <c r="A41" s="160" t="s">
        <v>311</v>
      </c>
      <c r="B41" s="148">
        <v>148.0</v>
      </c>
      <c r="C41" s="148" t="s">
        <v>1130</v>
      </c>
      <c r="D41" s="149" t="s">
        <v>1131</v>
      </c>
      <c r="E41" s="150">
        <v>58.0</v>
      </c>
      <c r="F41" s="151">
        <v>8.0</v>
      </c>
      <c r="G41" s="151">
        <v>0.0</v>
      </c>
      <c r="H41" s="151">
        <v>0.0</v>
      </c>
      <c r="I41" s="151">
        <v>0.0</v>
      </c>
      <c r="J41" s="159">
        <v>0.0</v>
      </c>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row>
    <row r="42" ht="15.75" customHeight="1">
      <c r="A42" s="160" t="s">
        <v>311</v>
      </c>
      <c r="B42" s="148">
        <v>149.0</v>
      </c>
      <c r="C42" s="148" t="s">
        <v>1138</v>
      </c>
      <c r="D42" s="149" t="s">
        <v>1139</v>
      </c>
      <c r="E42" s="150">
        <v>3.4</v>
      </c>
      <c r="F42" s="151">
        <v>0.0</v>
      </c>
      <c r="G42" s="151">
        <v>0.0</v>
      </c>
      <c r="H42" s="151">
        <v>0.0</v>
      </c>
      <c r="I42" s="151">
        <v>0.0</v>
      </c>
      <c r="J42" s="159">
        <v>0.0</v>
      </c>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c r="AH42" s="152"/>
      <c r="AI42" s="152"/>
      <c r="AJ42" s="152"/>
    </row>
    <row r="43" ht="15.75" customHeight="1">
      <c r="A43" s="160" t="s">
        <v>311</v>
      </c>
      <c r="B43" s="148">
        <v>150.0</v>
      </c>
      <c r="C43" s="148" t="s">
        <v>1147</v>
      </c>
      <c r="D43" s="149" t="s">
        <v>1148</v>
      </c>
      <c r="E43" s="150">
        <v>50.0</v>
      </c>
      <c r="F43" s="151">
        <v>2.0</v>
      </c>
      <c r="G43" s="151">
        <v>0.0</v>
      </c>
      <c r="H43" s="151">
        <v>0.0</v>
      </c>
      <c r="I43" s="151">
        <v>0.0</v>
      </c>
      <c r="J43" s="159">
        <v>0.0</v>
      </c>
      <c r="K43" s="152"/>
      <c r="L43" s="152"/>
      <c r="M43" s="152"/>
      <c r="N43" s="152"/>
      <c r="O43" s="152"/>
      <c r="P43" s="152"/>
      <c r="Q43" s="152"/>
      <c r="R43" s="152"/>
      <c r="S43" s="152"/>
      <c r="T43" s="152"/>
      <c r="U43" s="152"/>
      <c r="V43" s="152"/>
      <c r="W43" s="152"/>
      <c r="X43" s="152"/>
      <c r="Y43" s="152"/>
      <c r="Z43" s="152"/>
      <c r="AA43" s="152"/>
      <c r="AB43" s="152"/>
      <c r="AC43" s="152"/>
      <c r="AD43" s="152"/>
      <c r="AE43" s="152"/>
      <c r="AF43" s="152"/>
      <c r="AG43" s="152"/>
      <c r="AH43" s="152"/>
      <c r="AI43" s="152"/>
      <c r="AJ43" s="152"/>
    </row>
    <row r="44" ht="15.75" customHeight="1">
      <c r="A44" s="160" t="s">
        <v>311</v>
      </c>
      <c r="B44" s="148">
        <v>151.0</v>
      </c>
      <c r="C44" s="148" t="s">
        <v>1153</v>
      </c>
      <c r="D44" s="149" t="s">
        <v>1154</v>
      </c>
      <c r="E44" s="150">
        <v>59.0</v>
      </c>
      <c r="F44" s="151">
        <v>1.0</v>
      </c>
      <c r="G44" s="151">
        <v>0.0</v>
      </c>
      <c r="H44" s="151">
        <v>0.0</v>
      </c>
      <c r="I44" s="151">
        <v>1.0</v>
      </c>
      <c r="J44" s="159">
        <v>0.0</v>
      </c>
      <c r="K44" s="152"/>
      <c r="L44" s="152"/>
      <c r="M44" s="152"/>
      <c r="N44" s="152"/>
      <c r="O44" s="152"/>
      <c r="P44" s="152"/>
      <c r="Q44" s="152"/>
      <c r="R44" s="152"/>
      <c r="S44" s="152"/>
      <c r="T44" s="152"/>
      <c r="U44" s="152"/>
      <c r="V44" s="152"/>
      <c r="W44" s="152"/>
      <c r="X44" s="152"/>
      <c r="Y44" s="152"/>
      <c r="Z44" s="152"/>
      <c r="AA44" s="152"/>
      <c r="AB44" s="152"/>
      <c r="AC44" s="152"/>
      <c r="AD44" s="152"/>
      <c r="AE44" s="152"/>
      <c r="AF44" s="152"/>
      <c r="AG44" s="152"/>
      <c r="AH44" s="152"/>
      <c r="AI44" s="152"/>
      <c r="AJ44" s="152"/>
    </row>
    <row r="45" ht="15.75" customHeight="1">
      <c r="A45" s="161"/>
      <c r="B45" s="161"/>
      <c r="C45" s="161"/>
      <c r="D45" s="161"/>
      <c r="E45" s="162"/>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row>
    <row r="46" ht="15.75" customHeight="1">
      <c r="A46" s="148" t="s">
        <v>303</v>
      </c>
      <c r="B46" s="148">
        <v>1.0</v>
      </c>
      <c r="C46" s="148" t="s">
        <v>1072</v>
      </c>
      <c r="D46" s="149" t="s">
        <v>572</v>
      </c>
      <c r="E46" s="150">
        <v>79.0</v>
      </c>
      <c r="F46" s="151">
        <v>803.0</v>
      </c>
      <c r="G46" s="151">
        <v>21.0</v>
      </c>
      <c r="H46" s="151">
        <v>39.0</v>
      </c>
      <c r="I46" s="151">
        <v>24.0</v>
      </c>
      <c r="J46" s="151">
        <v>2.0</v>
      </c>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row>
    <row r="47" ht="15.75" customHeight="1">
      <c r="A47" s="148" t="s">
        <v>303</v>
      </c>
      <c r="B47" s="148">
        <v>2.0</v>
      </c>
      <c r="C47" s="148" t="s">
        <v>1201</v>
      </c>
      <c r="D47" s="149" t="s">
        <v>344</v>
      </c>
      <c r="E47" s="150">
        <v>75.0</v>
      </c>
      <c r="F47" s="151">
        <v>439.0</v>
      </c>
      <c r="G47" s="151">
        <v>3.0</v>
      </c>
      <c r="H47" s="151">
        <v>13.0</v>
      </c>
      <c r="I47" s="151">
        <v>0.0</v>
      </c>
      <c r="J47" s="151">
        <v>0.0</v>
      </c>
      <c r="K47" s="152"/>
      <c r="L47" s="152"/>
      <c r="M47" s="152"/>
      <c r="N47" s="152"/>
      <c r="O47" s="152"/>
      <c r="P47" s="152"/>
      <c r="Q47" s="152"/>
      <c r="R47" s="152"/>
      <c r="S47" s="152"/>
      <c r="T47" s="152"/>
      <c r="U47" s="152"/>
      <c r="V47" s="152"/>
      <c r="W47" s="152"/>
      <c r="X47" s="152"/>
      <c r="Y47" s="152"/>
      <c r="Z47" s="152"/>
      <c r="AA47" s="152"/>
      <c r="AB47" s="152"/>
      <c r="AC47" s="152"/>
      <c r="AD47" s="152"/>
      <c r="AE47" s="152"/>
      <c r="AF47" s="152"/>
      <c r="AG47" s="152"/>
      <c r="AH47" s="152"/>
      <c r="AI47" s="152"/>
      <c r="AJ47" s="152"/>
    </row>
    <row r="48" ht="15.75" customHeight="1">
      <c r="A48" s="148" t="s">
        <v>303</v>
      </c>
      <c r="B48" s="148">
        <v>3.0</v>
      </c>
      <c r="C48" s="148" t="s">
        <v>1087</v>
      </c>
      <c r="D48" s="149" t="s">
        <v>503</v>
      </c>
      <c r="E48" s="150">
        <v>89.0</v>
      </c>
      <c r="F48" s="151">
        <v>2200.0</v>
      </c>
      <c r="G48" s="151">
        <v>241.0</v>
      </c>
      <c r="H48" s="151">
        <v>420.0</v>
      </c>
      <c r="I48" s="151">
        <v>111.0</v>
      </c>
      <c r="J48" s="151">
        <v>168.0</v>
      </c>
      <c r="K48" s="152"/>
      <c r="L48" s="152"/>
      <c r="M48" s="152"/>
      <c r="N48" s="152"/>
      <c r="O48" s="152"/>
      <c r="P48" s="152"/>
      <c r="Q48" s="152"/>
      <c r="R48" s="152"/>
      <c r="S48" s="152"/>
      <c r="T48" s="152"/>
      <c r="U48" s="152"/>
      <c r="V48" s="152"/>
      <c r="W48" s="152"/>
      <c r="X48" s="152"/>
      <c r="Y48" s="152"/>
      <c r="Z48" s="152"/>
      <c r="AA48" s="152"/>
      <c r="AB48" s="152"/>
      <c r="AC48" s="152"/>
      <c r="AD48" s="152"/>
      <c r="AE48" s="152"/>
      <c r="AF48" s="152"/>
      <c r="AG48" s="152"/>
      <c r="AH48" s="152"/>
      <c r="AI48" s="152"/>
      <c r="AJ48" s="152"/>
    </row>
    <row r="49" ht="15.75" customHeight="1">
      <c r="A49" s="148" t="s">
        <v>303</v>
      </c>
      <c r="B49" s="148">
        <v>4.0</v>
      </c>
      <c r="C49" s="148" t="s">
        <v>1217</v>
      </c>
      <c r="D49" s="149" t="s">
        <v>1218</v>
      </c>
      <c r="E49" s="150">
        <v>73.0</v>
      </c>
      <c r="F49" s="151">
        <v>72.0</v>
      </c>
      <c r="G49" s="151">
        <v>0.0</v>
      </c>
      <c r="H49" s="151">
        <v>2.0</v>
      </c>
      <c r="I49" s="151">
        <v>0.0</v>
      </c>
      <c r="J49" s="151">
        <v>1.0</v>
      </c>
      <c r="K49" s="152"/>
      <c r="L49" s="152"/>
      <c r="M49" s="152"/>
      <c r="N49" s="152"/>
      <c r="O49" s="152"/>
      <c r="P49" s="152"/>
      <c r="Q49" s="152"/>
      <c r="R49" s="152"/>
      <c r="S49" s="152"/>
      <c r="T49" s="152"/>
      <c r="U49" s="152"/>
      <c r="V49" s="152"/>
      <c r="W49" s="152"/>
      <c r="X49" s="152"/>
      <c r="Y49" s="152"/>
      <c r="Z49" s="152"/>
      <c r="AA49" s="152"/>
      <c r="AB49" s="152"/>
      <c r="AC49" s="152"/>
      <c r="AD49" s="152"/>
      <c r="AE49" s="152"/>
      <c r="AF49" s="152"/>
      <c r="AG49" s="152"/>
      <c r="AH49" s="152"/>
      <c r="AI49" s="152"/>
      <c r="AJ49" s="152"/>
    </row>
    <row r="50" ht="15.75" customHeight="1">
      <c r="A50" s="148" t="s">
        <v>303</v>
      </c>
      <c r="B50" s="148">
        <v>5.0</v>
      </c>
      <c r="C50" s="148" t="s">
        <v>1225</v>
      </c>
      <c r="D50" s="149" t="s">
        <v>684</v>
      </c>
      <c r="E50" s="150">
        <v>71.0</v>
      </c>
      <c r="F50" s="151">
        <v>282.0</v>
      </c>
      <c r="G50" s="151">
        <v>13.0</v>
      </c>
      <c r="H50" s="151">
        <v>21.0</v>
      </c>
      <c r="I50" s="151">
        <v>27.0</v>
      </c>
      <c r="J50" s="151">
        <v>15.0</v>
      </c>
      <c r="K50" s="152"/>
      <c r="L50" s="152"/>
      <c r="M50" s="152"/>
      <c r="N50" s="152"/>
      <c r="O50" s="152"/>
      <c r="P50" s="152"/>
      <c r="Q50" s="152"/>
      <c r="R50" s="152"/>
      <c r="S50" s="152"/>
      <c r="T50" s="152"/>
      <c r="U50" s="152"/>
      <c r="V50" s="152"/>
      <c r="W50" s="152"/>
      <c r="X50" s="152"/>
      <c r="Y50" s="152"/>
      <c r="Z50" s="152"/>
      <c r="AA50" s="152"/>
      <c r="AB50" s="152"/>
      <c r="AC50" s="152"/>
      <c r="AD50" s="152"/>
      <c r="AE50" s="152"/>
      <c r="AF50" s="152"/>
      <c r="AG50" s="152"/>
      <c r="AH50" s="152"/>
      <c r="AI50" s="152"/>
      <c r="AJ50" s="152"/>
    </row>
    <row r="51" ht="15.75" customHeight="1">
      <c r="A51" s="148" t="s">
        <v>303</v>
      </c>
      <c r="B51" s="148">
        <v>6.0</v>
      </c>
      <c r="C51" s="148" t="s">
        <v>1232</v>
      </c>
      <c r="D51" s="153" t="s">
        <v>663</v>
      </c>
      <c r="E51" s="150">
        <v>71.0</v>
      </c>
      <c r="F51" s="151">
        <v>1300.0</v>
      </c>
      <c r="G51" s="151">
        <v>8.0</v>
      </c>
      <c r="H51" s="151">
        <v>11.0</v>
      </c>
      <c r="I51" s="151">
        <v>14.0</v>
      </c>
      <c r="J51" s="151">
        <v>5.0</v>
      </c>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152"/>
      <c r="AH51" s="152"/>
      <c r="AI51" s="152"/>
      <c r="AJ51" s="152"/>
    </row>
    <row r="52" ht="15.75" customHeight="1">
      <c r="A52" s="148" t="s">
        <v>303</v>
      </c>
      <c r="B52" s="148">
        <v>7.0</v>
      </c>
      <c r="C52" s="148" t="s">
        <v>1091</v>
      </c>
      <c r="D52" s="149" t="s">
        <v>1092</v>
      </c>
      <c r="E52" s="150">
        <v>73.0</v>
      </c>
      <c r="F52" s="151">
        <v>578.0</v>
      </c>
      <c r="G52" s="151">
        <v>4.0</v>
      </c>
      <c r="H52" s="151">
        <v>16.0</v>
      </c>
      <c r="I52" s="151">
        <v>8.0</v>
      </c>
      <c r="J52" s="151">
        <v>0.0</v>
      </c>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152"/>
      <c r="AH52" s="152"/>
      <c r="AI52" s="152"/>
      <c r="AJ52" s="152"/>
    </row>
    <row r="53" ht="15.75" customHeight="1">
      <c r="A53" s="148" t="s">
        <v>303</v>
      </c>
      <c r="B53" s="148">
        <v>8.0</v>
      </c>
      <c r="C53" s="148" t="s">
        <v>1246</v>
      </c>
      <c r="D53" s="149" t="s">
        <v>1247</v>
      </c>
      <c r="E53" s="150">
        <v>75.0</v>
      </c>
      <c r="F53" s="151">
        <v>109.0</v>
      </c>
      <c r="G53" s="151">
        <v>0.0</v>
      </c>
      <c r="H53" s="151">
        <v>1.0</v>
      </c>
      <c r="I53" s="151">
        <v>1.0</v>
      </c>
      <c r="J53" s="151">
        <v>0.0</v>
      </c>
      <c r="K53" s="152"/>
      <c r="L53" s="152"/>
      <c r="M53" s="152"/>
      <c r="N53" s="152"/>
      <c r="O53" s="152"/>
      <c r="P53" s="152"/>
      <c r="Q53" s="152"/>
      <c r="R53" s="152"/>
      <c r="S53" s="152"/>
      <c r="T53" s="152"/>
      <c r="U53" s="152"/>
      <c r="V53" s="152"/>
      <c r="W53" s="152"/>
      <c r="X53" s="152"/>
      <c r="Y53" s="152"/>
      <c r="Z53" s="152"/>
      <c r="AA53" s="152"/>
      <c r="AB53" s="152"/>
      <c r="AC53" s="152"/>
      <c r="AD53" s="152"/>
      <c r="AE53" s="152"/>
      <c r="AF53" s="152"/>
      <c r="AG53" s="152"/>
      <c r="AH53" s="152"/>
      <c r="AI53" s="152"/>
      <c r="AJ53" s="152"/>
    </row>
    <row r="54" ht="15.75" customHeight="1">
      <c r="A54" s="148" t="s">
        <v>303</v>
      </c>
      <c r="B54" s="148">
        <v>9.0</v>
      </c>
      <c r="C54" s="148" t="s">
        <v>254</v>
      </c>
      <c r="D54" s="149" t="s">
        <v>384</v>
      </c>
      <c r="E54" s="150">
        <v>91.0</v>
      </c>
      <c r="F54" s="151">
        <v>8200.0</v>
      </c>
      <c r="G54" s="151">
        <v>826.0</v>
      </c>
      <c r="H54" s="151">
        <v>842.0</v>
      </c>
      <c r="I54" s="151">
        <v>153.0</v>
      </c>
      <c r="J54" s="151">
        <v>405.0</v>
      </c>
      <c r="K54" s="152"/>
      <c r="L54" s="152"/>
      <c r="M54" s="152"/>
      <c r="N54" s="152"/>
      <c r="O54" s="152"/>
      <c r="P54" s="152"/>
      <c r="Q54" s="152"/>
      <c r="R54" s="152"/>
      <c r="S54" s="152"/>
      <c r="T54" s="152"/>
      <c r="U54" s="152"/>
      <c r="V54" s="152"/>
      <c r="W54" s="152"/>
      <c r="X54" s="152"/>
      <c r="Y54" s="152"/>
      <c r="Z54" s="152"/>
      <c r="AA54" s="152"/>
      <c r="AB54" s="152"/>
      <c r="AC54" s="152"/>
      <c r="AD54" s="152"/>
      <c r="AE54" s="152"/>
      <c r="AF54" s="152"/>
      <c r="AG54" s="152"/>
      <c r="AH54" s="152"/>
      <c r="AI54" s="152"/>
      <c r="AJ54" s="152"/>
    </row>
    <row r="55" ht="15.75" customHeight="1">
      <c r="A55" s="148" t="s">
        <v>303</v>
      </c>
      <c r="B55" s="148">
        <v>10.0</v>
      </c>
      <c r="C55" s="148" t="s">
        <v>1259</v>
      </c>
      <c r="D55" s="149" t="s">
        <v>1260</v>
      </c>
      <c r="E55" s="150">
        <v>76.0</v>
      </c>
      <c r="F55" s="151">
        <v>1000.0</v>
      </c>
      <c r="G55" s="151">
        <v>1.0</v>
      </c>
      <c r="H55" s="151">
        <v>47.0</v>
      </c>
      <c r="I55" s="151">
        <v>15.0</v>
      </c>
      <c r="J55" s="151">
        <v>0.0</v>
      </c>
      <c r="K55" s="152"/>
      <c r="L55" s="152"/>
      <c r="M55" s="152"/>
      <c r="N55" s="152"/>
      <c r="O55" s="152"/>
      <c r="P55" s="152"/>
      <c r="Q55" s="152"/>
      <c r="R55" s="152"/>
      <c r="S55" s="152"/>
      <c r="T55" s="152"/>
      <c r="U55" s="152"/>
      <c r="V55" s="152"/>
      <c r="W55" s="152"/>
      <c r="X55" s="152"/>
      <c r="Y55" s="152"/>
      <c r="Z55" s="152"/>
      <c r="AA55" s="152"/>
      <c r="AB55" s="152"/>
      <c r="AC55" s="152"/>
      <c r="AD55" s="152"/>
      <c r="AE55" s="152"/>
      <c r="AF55" s="152"/>
      <c r="AG55" s="152"/>
      <c r="AH55" s="152"/>
      <c r="AI55" s="152"/>
      <c r="AJ55" s="152"/>
    </row>
    <row r="56" ht="15.75" customHeight="1">
      <c r="A56" s="148" t="s">
        <v>303</v>
      </c>
      <c r="B56" s="148">
        <v>11.0</v>
      </c>
      <c r="C56" s="148" t="s">
        <v>883</v>
      </c>
      <c r="D56" s="149" t="s">
        <v>700</v>
      </c>
      <c r="E56" s="150">
        <v>82.0</v>
      </c>
      <c r="F56" s="151">
        <v>1200.0</v>
      </c>
      <c r="G56" s="151">
        <v>24.0</v>
      </c>
      <c r="H56" s="151">
        <v>34.0</v>
      </c>
      <c r="I56" s="151">
        <v>35.0</v>
      </c>
      <c r="J56" s="151">
        <v>7.0</v>
      </c>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row>
    <row r="57" ht="15.75" customHeight="1">
      <c r="A57" s="148" t="s">
        <v>303</v>
      </c>
      <c r="B57" s="148">
        <v>12.0</v>
      </c>
      <c r="C57" s="148" t="s">
        <v>1274</v>
      </c>
      <c r="D57" s="153" t="s">
        <v>1275</v>
      </c>
      <c r="E57" s="150">
        <v>76.0</v>
      </c>
      <c r="F57" s="151">
        <v>1300.0</v>
      </c>
      <c r="G57" s="151">
        <v>4.0</v>
      </c>
      <c r="H57" s="151">
        <v>11.0</v>
      </c>
      <c r="I57" s="151">
        <v>3.0</v>
      </c>
      <c r="J57" s="151">
        <v>1.0</v>
      </c>
      <c r="K57" s="152"/>
      <c r="L57" s="152"/>
      <c r="M57" s="152"/>
      <c r="N57" s="152"/>
      <c r="O57" s="152"/>
      <c r="P57" s="152"/>
      <c r="Q57" s="152"/>
      <c r="R57" s="152"/>
      <c r="S57" s="152"/>
      <c r="T57" s="152"/>
      <c r="U57" s="152"/>
      <c r="V57" s="152"/>
      <c r="W57" s="152"/>
      <c r="X57" s="152"/>
      <c r="Y57" s="152"/>
      <c r="Z57" s="152"/>
      <c r="AA57" s="152"/>
      <c r="AB57" s="152"/>
      <c r="AC57" s="152"/>
      <c r="AD57" s="152"/>
      <c r="AE57" s="152"/>
      <c r="AF57" s="152"/>
      <c r="AG57" s="152"/>
      <c r="AH57" s="152"/>
      <c r="AI57" s="152"/>
      <c r="AJ57" s="152"/>
    </row>
    <row r="58" ht="15.75" customHeight="1">
      <c r="A58" s="148" t="s">
        <v>303</v>
      </c>
      <c r="B58" s="148">
        <v>13.0</v>
      </c>
      <c r="C58" s="148" t="s">
        <v>1282</v>
      </c>
      <c r="D58" s="149" t="s">
        <v>1283</v>
      </c>
      <c r="E58" s="150">
        <v>79.0</v>
      </c>
      <c r="F58" s="151">
        <v>96.0</v>
      </c>
      <c r="G58" s="151">
        <v>6.0</v>
      </c>
      <c r="H58" s="151">
        <v>4.0</v>
      </c>
      <c r="I58" s="151">
        <v>1.0</v>
      </c>
      <c r="J58" s="151">
        <v>1.0</v>
      </c>
      <c r="K58" s="152"/>
      <c r="L58" s="152"/>
      <c r="M58" s="152"/>
      <c r="N58" s="152"/>
      <c r="O58" s="152"/>
      <c r="P58" s="152"/>
      <c r="Q58" s="152"/>
      <c r="R58" s="152"/>
      <c r="S58" s="152"/>
      <c r="T58" s="152"/>
      <c r="U58" s="152"/>
      <c r="V58" s="152"/>
      <c r="W58" s="152"/>
      <c r="X58" s="152"/>
      <c r="Y58" s="152"/>
      <c r="Z58" s="152"/>
      <c r="AA58" s="152"/>
      <c r="AB58" s="152"/>
      <c r="AC58" s="152"/>
      <c r="AD58" s="152"/>
      <c r="AE58" s="152"/>
      <c r="AF58" s="152"/>
      <c r="AG58" s="152"/>
      <c r="AH58" s="152"/>
      <c r="AI58" s="152"/>
      <c r="AJ58" s="152"/>
    </row>
    <row r="59" ht="15.75" customHeight="1">
      <c r="A59" s="148" t="s">
        <v>303</v>
      </c>
      <c r="B59" s="148">
        <v>14.0</v>
      </c>
      <c r="C59" s="148" t="s">
        <v>1264</v>
      </c>
      <c r="D59" s="153" t="s">
        <v>1263</v>
      </c>
      <c r="E59" s="150">
        <v>74.0</v>
      </c>
      <c r="F59" s="151">
        <v>177.0</v>
      </c>
      <c r="G59" s="151">
        <v>1.0</v>
      </c>
      <c r="H59" s="151">
        <v>3.0</v>
      </c>
      <c r="I59" s="151">
        <v>4.0</v>
      </c>
      <c r="J59" s="151">
        <v>5.0</v>
      </c>
      <c r="K59" s="152"/>
      <c r="L59" s="152"/>
      <c r="M59" s="152"/>
      <c r="N59" s="152"/>
      <c r="O59" s="152"/>
      <c r="P59" s="152"/>
      <c r="Q59" s="152"/>
      <c r="R59" s="152"/>
      <c r="S59" s="152"/>
      <c r="T59" s="152"/>
      <c r="U59" s="152"/>
      <c r="V59" s="152"/>
      <c r="W59" s="152"/>
      <c r="X59" s="152"/>
      <c r="Y59" s="152"/>
      <c r="Z59" s="152"/>
      <c r="AA59" s="152"/>
      <c r="AB59" s="152"/>
      <c r="AC59" s="152"/>
      <c r="AD59" s="152"/>
      <c r="AE59" s="152"/>
      <c r="AF59" s="152"/>
      <c r="AG59" s="152"/>
      <c r="AH59" s="152"/>
      <c r="AI59" s="152"/>
      <c r="AJ59" s="152"/>
    </row>
    <row r="60" ht="15.75" customHeight="1">
      <c r="A60" s="148" t="s">
        <v>303</v>
      </c>
      <c r="B60" s="148">
        <v>15.0</v>
      </c>
      <c r="C60" s="148" t="s">
        <v>1297</v>
      </c>
      <c r="D60" s="149" t="s">
        <v>648</v>
      </c>
      <c r="E60" s="150">
        <v>73.0</v>
      </c>
      <c r="F60" s="151">
        <v>231.0</v>
      </c>
      <c r="G60" s="151">
        <v>0.0</v>
      </c>
      <c r="H60" s="151">
        <v>4.0</v>
      </c>
      <c r="I60" s="151">
        <v>12.0</v>
      </c>
      <c r="J60" s="151">
        <v>0.0</v>
      </c>
      <c r="K60" s="152"/>
      <c r="L60" s="152"/>
      <c r="M60" s="152"/>
      <c r="N60" s="152"/>
      <c r="O60" s="152"/>
      <c r="P60" s="152"/>
      <c r="Q60" s="152"/>
      <c r="R60" s="152"/>
      <c r="S60" s="152"/>
      <c r="T60" s="152"/>
      <c r="U60" s="152"/>
      <c r="V60" s="152"/>
      <c r="W60" s="152"/>
      <c r="X60" s="152"/>
      <c r="Y60" s="152"/>
      <c r="Z60" s="152"/>
      <c r="AA60" s="152"/>
      <c r="AB60" s="152"/>
      <c r="AC60" s="152"/>
      <c r="AD60" s="152"/>
      <c r="AE60" s="152"/>
      <c r="AF60" s="152"/>
      <c r="AG60" s="152"/>
      <c r="AH60" s="152"/>
      <c r="AI60" s="152"/>
      <c r="AJ60" s="152"/>
    </row>
    <row r="61" ht="15.75" customHeight="1">
      <c r="A61" s="148" t="s">
        <v>303</v>
      </c>
      <c r="B61" s="148">
        <v>16.0</v>
      </c>
      <c r="C61" s="148" t="s">
        <v>1252</v>
      </c>
      <c r="D61" s="149" t="s">
        <v>1251</v>
      </c>
      <c r="E61" s="150">
        <v>79.0</v>
      </c>
      <c r="F61" s="151">
        <v>236.0</v>
      </c>
      <c r="G61" s="151">
        <v>12.0</v>
      </c>
      <c r="H61" s="151">
        <v>35.0</v>
      </c>
      <c r="I61" s="151">
        <v>6.0</v>
      </c>
      <c r="J61" s="151">
        <v>8.0</v>
      </c>
      <c r="K61" s="152"/>
      <c r="L61" s="152"/>
      <c r="M61" s="152"/>
      <c r="N61" s="152"/>
      <c r="O61" s="152"/>
      <c r="P61" s="152"/>
      <c r="Q61" s="152"/>
      <c r="R61" s="152"/>
      <c r="S61" s="152"/>
      <c r="T61" s="152"/>
      <c r="U61" s="152"/>
      <c r="V61" s="152"/>
      <c r="W61" s="152"/>
      <c r="X61" s="152"/>
      <c r="Y61" s="152"/>
      <c r="Z61" s="152"/>
      <c r="AA61" s="152"/>
      <c r="AB61" s="152"/>
      <c r="AC61" s="152"/>
      <c r="AD61" s="152"/>
      <c r="AE61" s="152"/>
      <c r="AF61" s="152"/>
      <c r="AG61" s="152"/>
      <c r="AH61" s="152"/>
      <c r="AI61" s="152"/>
      <c r="AJ61" s="152"/>
    </row>
    <row r="62" ht="15.75" customHeight="1">
      <c r="A62" s="148" t="s">
        <v>303</v>
      </c>
      <c r="B62" s="148">
        <v>17.0</v>
      </c>
      <c r="C62" s="148" t="s">
        <v>1021</v>
      </c>
      <c r="D62" s="149" t="s">
        <v>1022</v>
      </c>
      <c r="E62" s="150">
        <v>91.0</v>
      </c>
      <c r="F62" s="151">
        <v>1300.0</v>
      </c>
      <c r="G62" s="151">
        <v>37.0</v>
      </c>
      <c r="H62" s="151">
        <v>10.0</v>
      </c>
      <c r="I62" s="151">
        <v>10.0</v>
      </c>
      <c r="J62" s="151">
        <v>4.0</v>
      </c>
      <c r="K62" s="152"/>
      <c r="L62" s="152"/>
      <c r="M62" s="152"/>
      <c r="N62" s="152"/>
      <c r="O62" s="152"/>
      <c r="P62" s="152"/>
      <c r="Q62" s="152"/>
      <c r="R62" s="152"/>
      <c r="S62" s="152"/>
      <c r="T62" s="152"/>
      <c r="U62" s="152"/>
      <c r="V62" s="152"/>
      <c r="W62" s="152"/>
      <c r="X62" s="152"/>
      <c r="Y62" s="152"/>
      <c r="Z62" s="152"/>
      <c r="AA62" s="152"/>
      <c r="AB62" s="152"/>
      <c r="AC62" s="152"/>
      <c r="AD62" s="152"/>
      <c r="AE62" s="152"/>
      <c r="AF62" s="152"/>
      <c r="AG62" s="152"/>
      <c r="AH62" s="152"/>
      <c r="AI62" s="152"/>
      <c r="AJ62" s="152"/>
    </row>
    <row r="63" ht="15.75" customHeight="1">
      <c r="A63" s="148" t="s">
        <v>303</v>
      </c>
      <c r="B63" s="148">
        <v>18.0</v>
      </c>
      <c r="C63" s="148" t="s">
        <v>992</v>
      </c>
      <c r="D63" s="149" t="s">
        <v>993</v>
      </c>
      <c r="E63" s="150">
        <v>80.0</v>
      </c>
      <c r="F63" s="151">
        <v>96.0</v>
      </c>
      <c r="G63" s="151">
        <v>1.0</v>
      </c>
      <c r="H63" s="151">
        <v>1.0</v>
      </c>
      <c r="I63" s="151">
        <v>1.0</v>
      </c>
      <c r="J63" s="151">
        <v>0.0</v>
      </c>
      <c r="K63" s="152"/>
      <c r="L63" s="152"/>
      <c r="M63" s="152"/>
      <c r="N63" s="152"/>
      <c r="O63" s="152"/>
      <c r="P63" s="152"/>
      <c r="Q63" s="152"/>
      <c r="R63" s="152"/>
      <c r="S63" s="152"/>
      <c r="T63" s="152"/>
      <c r="U63" s="152"/>
      <c r="V63" s="152"/>
      <c r="W63" s="152"/>
      <c r="X63" s="152"/>
      <c r="Y63" s="152"/>
      <c r="Z63" s="152"/>
      <c r="AA63" s="152"/>
      <c r="AB63" s="152"/>
      <c r="AC63" s="152"/>
      <c r="AD63" s="152"/>
      <c r="AE63" s="152"/>
      <c r="AF63" s="152"/>
      <c r="AG63" s="152"/>
      <c r="AH63" s="152"/>
      <c r="AI63" s="152"/>
      <c r="AJ63" s="152"/>
    </row>
    <row r="64" ht="15.75" customHeight="1">
      <c r="A64" s="148" t="s">
        <v>303</v>
      </c>
      <c r="B64" s="148">
        <v>19.0</v>
      </c>
      <c r="C64" s="148" t="s">
        <v>1319</v>
      </c>
      <c r="D64" s="153" t="s">
        <v>879</v>
      </c>
      <c r="E64" s="150">
        <v>79.0</v>
      </c>
      <c r="F64" s="151">
        <v>468.0</v>
      </c>
      <c r="G64" s="151">
        <v>32.0</v>
      </c>
      <c r="H64" s="151">
        <v>23.0</v>
      </c>
      <c r="I64" s="151">
        <v>4.0</v>
      </c>
      <c r="J64" s="151">
        <v>24.0</v>
      </c>
      <c r="K64" s="152"/>
      <c r="L64" s="152"/>
      <c r="M64" s="152"/>
      <c r="N64" s="152"/>
      <c r="O64" s="152"/>
      <c r="P64" s="152"/>
      <c r="Q64" s="152"/>
      <c r="R64" s="152"/>
      <c r="S64" s="152"/>
      <c r="T64" s="152"/>
      <c r="U64" s="152"/>
      <c r="V64" s="152"/>
      <c r="W64" s="152"/>
      <c r="X64" s="152"/>
      <c r="Y64" s="152"/>
      <c r="Z64" s="152"/>
      <c r="AA64" s="152"/>
      <c r="AB64" s="152"/>
      <c r="AC64" s="152"/>
      <c r="AD64" s="152"/>
      <c r="AE64" s="152"/>
      <c r="AF64" s="152"/>
      <c r="AG64" s="152"/>
      <c r="AH64" s="152"/>
      <c r="AI64" s="152"/>
      <c r="AJ64" s="152"/>
    </row>
    <row r="65" ht="15.75" customHeight="1">
      <c r="A65" s="148" t="s">
        <v>303</v>
      </c>
      <c r="B65" s="148">
        <v>20.0</v>
      </c>
      <c r="C65" s="148" t="s">
        <v>1327</v>
      </c>
      <c r="D65" s="149" t="s">
        <v>1328</v>
      </c>
      <c r="E65" s="150">
        <v>78.0</v>
      </c>
      <c r="F65" s="151">
        <v>65.0</v>
      </c>
      <c r="G65" s="151">
        <v>0.0</v>
      </c>
      <c r="H65" s="151">
        <v>0.0</v>
      </c>
      <c r="I65" s="151">
        <v>3.0</v>
      </c>
      <c r="J65" s="151">
        <v>1.0</v>
      </c>
      <c r="K65" s="152"/>
      <c r="L65" s="152"/>
      <c r="M65" s="152"/>
      <c r="N65" s="152"/>
      <c r="O65" s="152"/>
      <c r="P65" s="152"/>
      <c r="Q65" s="152"/>
      <c r="R65" s="152"/>
      <c r="S65" s="152"/>
      <c r="T65" s="152"/>
      <c r="U65" s="152"/>
      <c r="V65" s="152"/>
      <c r="W65" s="152"/>
      <c r="X65" s="152"/>
      <c r="Y65" s="152"/>
      <c r="Z65" s="152"/>
      <c r="AA65" s="152"/>
      <c r="AB65" s="152"/>
      <c r="AC65" s="152"/>
      <c r="AD65" s="152"/>
      <c r="AE65" s="152"/>
      <c r="AF65" s="152"/>
      <c r="AG65" s="152"/>
      <c r="AH65" s="152"/>
      <c r="AI65" s="152"/>
      <c r="AJ65" s="152"/>
    </row>
    <row r="66" ht="15.75" customHeight="1">
      <c r="A66" s="148" t="s">
        <v>303</v>
      </c>
      <c r="B66" s="148">
        <v>21.0</v>
      </c>
      <c r="C66" s="148" t="s">
        <v>380</v>
      </c>
      <c r="D66" s="149" t="s">
        <v>379</v>
      </c>
      <c r="E66" s="150">
        <v>65.0</v>
      </c>
      <c r="F66" s="151">
        <v>150.0</v>
      </c>
      <c r="G66" s="151">
        <v>5.0</v>
      </c>
      <c r="H66" s="151">
        <v>0.0</v>
      </c>
      <c r="I66" s="151">
        <v>1.0</v>
      </c>
      <c r="J66" s="151">
        <v>0.0</v>
      </c>
      <c r="K66" s="152"/>
      <c r="L66" s="152"/>
      <c r="M66" s="152"/>
      <c r="N66" s="152"/>
      <c r="O66" s="152"/>
      <c r="P66" s="152"/>
      <c r="Q66" s="152"/>
      <c r="R66" s="152"/>
      <c r="S66" s="152"/>
      <c r="T66" s="152"/>
      <c r="U66" s="152"/>
      <c r="V66" s="152"/>
      <c r="W66" s="152"/>
      <c r="X66" s="152"/>
      <c r="Y66" s="152"/>
      <c r="Z66" s="152"/>
      <c r="AA66" s="152"/>
      <c r="AB66" s="152"/>
      <c r="AC66" s="152"/>
      <c r="AD66" s="152"/>
      <c r="AE66" s="152"/>
      <c r="AF66" s="152"/>
      <c r="AG66" s="152"/>
      <c r="AH66" s="152"/>
      <c r="AI66" s="152"/>
      <c r="AJ66" s="152"/>
    </row>
    <row r="67" ht="15.75" customHeight="1">
      <c r="A67" s="148" t="s">
        <v>303</v>
      </c>
      <c r="B67" s="148">
        <v>22.0</v>
      </c>
      <c r="C67" s="148" t="s">
        <v>1342</v>
      </c>
      <c r="D67" s="149" t="s">
        <v>1343</v>
      </c>
      <c r="E67" s="150">
        <v>70.0</v>
      </c>
      <c r="F67" s="151">
        <v>58.0</v>
      </c>
      <c r="G67" s="151">
        <v>2.0</v>
      </c>
      <c r="H67" s="151">
        <v>1.0</v>
      </c>
      <c r="I67" s="151">
        <v>2.0</v>
      </c>
      <c r="J67" s="151">
        <v>0.0</v>
      </c>
      <c r="K67" s="152"/>
      <c r="L67" s="152"/>
      <c r="M67" s="152"/>
      <c r="N67" s="152"/>
      <c r="O67" s="152"/>
      <c r="P67" s="152"/>
      <c r="Q67" s="152"/>
      <c r="R67" s="152"/>
      <c r="S67" s="152"/>
      <c r="T67" s="152"/>
      <c r="U67" s="152"/>
      <c r="V67" s="152"/>
      <c r="W67" s="152"/>
      <c r="X67" s="152"/>
      <c r="Y67" s="152"/>
      <c r="Z67" s="152"/>
      <c r="AA67" s="152"/>
      <c r="AB67" s="152"/>
      <c r="AC67" s="152"/>
      <c r="AD67" s="152"/>
      <c r="AE67" s="152"/>
      <c r="AF67" s="152"/>
      <c r="AG67" s="152"/>
      <c r="AH67" s="152"/>
      <c r="AI67" s="152"/>
      <c r="AJ67" s="152"/>
    </row>
    <row r="68" ht="15.75" customHeight="1">
      <c r="A68" s="148" t="s">
        <v>303</v>
      </c>
      <c r="B68" s="148">
        <v>23.0</v>
      </c>
      <c r="C68" s="148" t="s">
        <v>912</v>
      </c>
      <c r="D68" s="149" t="s">
        <v>913</v>
      </c>
      <c r="E68" s="150">
        <v>82.0</v>
      </c>
      <c r="F68" s="151">
        <v>191.0</v>
      </c>
      <c r="G68" s="151">
        <v>14.0</v>
      </c>
      <c r="H68" s="151">
        <v>3.0</v>
      </c>
      <c r="I68" s="151">
        <v>7.0</v>
      </c>
      <c r="J68" s="151">
        <v>1.0</v>
      </c>
      <c r="K68" s="152"/>
      <c r="L68" s="152"/>
      <c r="M68" s="152"/>
      <c r="N68" s="152"/>
      <c r="O68" s="152"/>
      <c r="P68" s="152"/>
      <c r="Q68" s="152"/>
      <c r="R68" s="152"/>
      <c r="S68" s="152"/>
      <c r="T68" s="152"/>
      <c r="U68" s="152"/>
      <c r="V68" s="152"/>
      <c r="W68" s="152"/>
      <c r="X68" s="152"/>
      <c r="Y68" s="152"/>
      <c r="Z68" s="152"/>
      <c r="AA68" s="152"/>
      <c r="AB68" s="152"/>
      <c r="AC68" s="152"/>
      <c r="AD68" s="152"/>
      <c r="AE68" s="152"/>
      <c r="AF68" s="152"/>
      <c r="AG68" s="152"/>
      <c r="AH68" s="152"/>
      <c r="AI68" s="152"/>
      <c r="AJ68" s="152"/>
    </row>
    <row r="69" ht="15.75" customHeight="1">
      <c r="A69" s="148" t="s">
        <v>303</v>
      </c>
      <c r="B69" s="148">
        <v>24.0</v>
      </c>
      <c r="C69" s="148" t="s">
        <v>760</v>
      </c>
      <c r="D69" s="149" t="s">
        <v>762</v>
      </c>
      <c r="E69" s="150">
        <v>70.0</v>
      </c>
      <c r="F69" s="151">
        <v>26.0</v>
      </c>
      <c r="G69" s="151">
        <v>0.0</v>
      </c>
      <c r="H69" s="151">
        <v>0.0</v>
      </c>
      <c r="I69" s="151">
        <v>2.0</v>
      </c>
      <c r="J69" s="151">
        <v>0.0</v>
      </c>
      <c r="K69" s="152"/>
      <c r="L69" s="152"/>
      <c r="M69" s="152"/>
      <c r="N69" s="152"/>
      <c r="O69" s="152"/>
      <c r="P69" s="152"/>
      <c r="Q69" s="152"/>
      <c r="R69" s="152"/>
      <c r="S69" s="152"/>
      <c r="T69" s="152"/>
      <c r="U69" s="152"/>
      <c r="V69" s="152"/>
      <c r="W69" s="152"/>
      <c r="X69" s="152"/>
      <c r="Y69" s="152"/>
      <c r="Z69" s="152"/>
      <c r="AA69" s="152"/>
      <c r="AB69" s="152"/>
      <c r="AC69" s="152"/>
      <c r="AD69" s="152"/>
      <c r="AE69" s="152"/>
      <c r="AF69" s="152"/>
      <c r="AG69" s="152"/>
      <c r="AH69" s="152"/>
      <c r="AI69" s="152"/>
      <c r="AJ69" s="152"/>
    </row>
    <row r="70" ht="15.75" customHeight="1">
      <c r="A70" s="164" t="s">
        <v>303</v>
      </c>
      <c r="B70" s="164">
        <v>25.0</v>
      </c>
      <c r="C70" s="164" t="s">
        <v>1366</v>
      </c>
      <c r="D70" s="165" t="s">
        <v>1367</v>
      </c>
      <c r="E70" s="166">
        <v>79.0</v>
      </c>
      <c r="F70" s="167">
        <v>223.0</v>
      </c>
      <c r="G70" s="167">
        <v>24.0</v>
      </c>
      <c r="H70" s="167">
        <v>2.0</v>
      </c>
      <c r="I70" s="167">
        <v>7.0</v>
      </c>
      <c r="J70" s="167">
        <v>10.0</v>
      </c>
      <c r="K70" s="168"/>
      <c r="L70" s="168"/>
      <c r="M70" s="168"/>
      <c r="N70" s="168"/>
      <c r="O70" s="168"/>
      <c r="P70" s="168"/>
      <c r="Q70" s="168"/>
      <c r="R70" s="168"/>
      <c r="S70" s="168"/>
      <c r="T70" s="168"/>
      <c r="U70" s="168"/>
      <c r="V70" s="168"/>
      <c r="W70" s="168"/>
      <c r="X70" s="168"/>
      <c r="Y70" s="168"/>
      <c r="Z70" s="168"/>
      <c r="AA70" s="168"/>
      <c r="AB70" s="168"/>
      <c r="AC70" s="168"/>
      <c r="AD70" s="168"/>
      <c r="AE70" s="168"/>
      <c r="AF70" s="168"/>
      <c r="AG70" s="168"/>
      <c r="AH70" s="168"/>
      <c r="AI70" s="168"/>
      <c r="AJ70" s="168"/>
    </row>
    <row r="71" ht="15.75" customHeight="1">
      <c r="A71" s="148" t="s">
        <v>303</v>
      </c>
      <c r="B71" s="148">
        <v>30.0</v>
      </c>
      <c r="C71" s="148" t="s">
        <v>1039</v>
      </c>
      <c r="D71" s="149" t="s">
        <v>1040</v>
      </c>
      <c r="E71" s="150">
        <v>81.0</v>
      </c>
      <c r="F71" s="151">
        <v>402.0</v>
      </c>
      <c r="G71" s="151">
        <v>4.0</v>
      </c>
      <c r="H71" s="151">
        <v>3.0</v>
      </c>
      <c r="I71" s="151">
        <v>4.0</v>
      </c>
      <c r="J71" s="151">
        <v>0.0</v>
      </c>
      <c r="K71" s="152"/>
      <c r="L71" s="152"/>
      <c r="M71" s="152"/>
      <c r="N71" s="152"/>
      <c r="O71" s="152"/>
      <c r="P71" s="152"/>
      <c r="Q71" s="152"/>
      <c r="R71" s="152"/>
      <c r="S71" s="152"/>
      <c r="T71" s="152"/>
      <c r="U71" s="152"/>
      <c r="V71" s="152"/>
      <c r="W71" s="152"/>
      <c r="X71" s="152"/>
      <c r="Y71" s="152"/>
      <c r="Z71" s="152"/>
      <c r="AA71" s="152"/>
      <c r="AB71" s="152"/>
      <c r="AC71" s="152"/>
      <c r="AD71" s="152"/>
      <c r="AE71" s="152"/>
      <c r="AF71" s="152"/>
      <c r="AG71" s="152"/>
      <c r="AH71" s="152"/>
      <c r="AI71" s="152"/>
      <c r="AJ71" s="152"/>
    </row>
    <row r="72" ht="15.75" customHeight="1">
      <c r="A72" s="148" t="s">
        <v>303</v>
      </c>
      <c r="B72" s="148">
        <v>62.0</v>
      </c>
      <c r="C72" s="148" t="s">
        <v>1046</v>
      </c>
      <c r="D72" s="149" t="s">
        <v>1047</v>
      </c>
      <c r="E72" s="150">
        <v>73.0</v>
      </c>
      <c r="F72" s="151">
        <v>61.0</v>
      </c>
      <c r="G72" s="151">
        <v>27.0</v>
      </c>
      <c r="H72" s="151">
        <v>2.0</v>
      </c>
      <c r="I72" s="151">
        <v>5.0</v>
      </c>
      <c r="J72" s="151">
        <v>2.0</v>
      </c>
      <c r="K72" s="152"/>
      <c r="L72" s="152"/>
      <c r="M72" s="152"/>
      <c r="N72" s="152"/>
      <c r="O72" s="152"/>
      <c r="P72" s="152"/>
      <c r="Q72" s="152"/>
      <c r="R72" s="152"/>
      <c r="S72" s="152"/>
      <c r="T72" s="152"/>
      <c r="U72" s="152"/>
      <c r="V72" s="152"/>
      <c r="W72" s="152"/>
      <c r="X72" s="152"/>
      <c r="Y72" s="152"/>
      <c r="Z72" s="152"/>
      <c r="AA72" s="152"/>
      <c r="AB72" s="152"/>
      <c r="AC72" s="152"/>
      <c r="AD72" s="152"/>
      <c r="AE72" s="152"/>
      <c r="AF72" s="152"/>
      <c r="AG72" s="152"/>
      <c r="AH72" s="152"/>
      <c r="AI72" s="152"/>
      <c r="AJ72" s="152"/>
    </row>
    <row r="73" ht="15.75" customHeight="1">
      <c r="A73" s="160" t="s">
        <v>303</v>
      </c>
      <c r="B73" s="148">
        <v>66.0</v>
      </c>
      <c r="C73" s="148" t="s">
        <v>1029</v>
      </c>
      <c r="D73" s="149" t="s">
        <v>1031</v>
      </c>
      <c r="E73" s="150">
        <v>75.0</v>
      </c>
      <c r="F73" s="151">
        <v>8.0</v>
      </c>
      <c r="G73" s="151">
        <v>0.0</v>
      </c>
      <c r="H73" s="151">
        <v>0.0</v>
      </c>
      <c r="I73" s="151">
        <v>0.0</v>
      </c>
      <c r="J73" s="151">
        <v>0.0</v>
      </c>
      <c r="K73" s="152"/>
      <c r="L73" s="152"/>
      <c r="M73" s="152"/>
      <c r="N73" s="152"/>
      <c r="O73" s="152"/>
      <c r="P73" s="152"/>
      <c r="Q73" s="152"/>
      <c r="R73" s="152"/>
      <c r="S73" s="152"/>
      <c r="T73" s="152"/>
      <c r="U73" s="152"/>
      <c r="V73" s="152"/>
      <c r="W73" s="152"/>
      <c r="X73" s="152"/>
      <c r="Y73" s="152"/>
      <c r="Z73" s="152"/>
      <c r="AA73" s="152"/>
      <c r="AB73" s="152"/>
      <c r="AC73" s="152"/>
      <c r="AD73" s="152"/>
      <c r="AE73" s="152"/>
      <c r="AF73" s="152"/>
      <c r="AG73" s="152"/>
      <c r="AH73" s="152"/>
      <c r="AI73" s="152"/>
      <c r="AJ73" s="152"/>
    </row>
    <row r="74" ht="15.75" customHeight="1">
      <c r="A74" s="160" t="s">
        <v>303</v>
      </c>
      <c r="B74" s="148">
        <v>93.0</v>
      </c>
      <c r="C74" s="148" t="s">
        <v>1130</v>
      </c>
      <c r="D74" s="149" t="s">
        <v>1131</v>
      </c>
      <c r="E74" s="150">
        <v>58.0</v>
      </c>
      <c r="F74" s="151">
        <v>48.0</v>
      </c>
      <c r="G74" s="151">
        <v>0.0</v>
      </c>
      <c r="H74" s="151">
        <v>0.0</v>
      </c>
      <c r="I74" s="151">
        <v>0.0</v>
      </c>
      <c r="J74" s="151">
        <v>0.0</v>
      </c>
      <c r="K74" s="152"/>
      <c r="L74" s="152"/>
      <c r="M74" s="152"/>
      <c r="N74" s="152"/>
      <c r="O74" s="152"/>
      <c r="P74" s="152"/>
      <c r="Q74" s="152"/>
      <c r="R74" s="152"/>
      <c r="S74" s="152"/>
      <c r="T74" s="152"/>
      <c r="U74" s="152"/>
      <c r="V74" s="152"/>
      <c r="W74" s="152"/>
      <c r="X74" s="152"/>
      <c r="Y74" s="152"/>
      <c r="Z74" s="152"/>
      <c r="AA74" s="152"/>
      <c r="AB74" s="152"/>
      <c r="AC74" s="152"/>
      <c r="AD74" s="152"/>
      <c r="AE74" s="152"/>
      <c r="AF74" s="152"/>
      <c r="AG74" s="152"/>
      <c r="AH74" s="152"/>
      <c r="AI74" s="152"/>
      <c r="AJ74" s="152"/>
    </row>
    <row r="75" ht="15.75" customHeight="1">
      <c r="A75" s="160" t="s">
        <v>303</v>
      </c>
      <c r="B75" s="148">
        <v>139.0</v>
      </c>
      <c r="C75" s="148" t="s">
        <v>27</v>
      </c>
      <c r="D75" s="149" t="s">
        <v>35</v>
      </c>
      <c r="E75" s="150">
        <v>67.0</v>
      </c>
      <c r="F75" s="151">
        <v>10.0</v>
      </c>
      <c r="G75" s="151">
        <v>0.0</v>
      </c>
      <c r="H75" s="151">
        <v>1.0</v>
      </c>
      <c r="I75" s="151">
        <v>0.0</v>
      </c>
      <c r="J75" s="151">
        <v>0.0</v>
      </c>
      <c r="K75" s="152"/>
      <c r="L75" s="152"/>
      <c r="M75" s="152"/>
      <c r="N75" s="152"/>
      <c r="O75" s="152"/>
      <c r="P75" s="152"/>
      <c r="Q75" s="152"/>
      <c r="R75" s="152"/>
      <c r="S75" s="152"/>
      <c r="T75" s="152"/>
      <c r="U75" s="152"/>
      <c r="V75" s="152"/>
      <c r="W75" s="152"/>
      <c r="X75" s="152"/>
      <c r="Y75" s="152"/>
      <c r="Z75" s="152"/>
      <c r="AA75" s="152"/>
      <c r="AB75" s="152"/>
      <c r="AC75" s="152"/>
      <c r="AD75" s="152"/>
      <c r="AE75" s="152"/>
      <c r="AF75" s="152"/>
      <c r="AG75" s="152"/>
      <c r="AH75" s="152"/>
      <c r="AI75" s="152"/>
      <c r="AJ75" s="152"/>
    </row>
    <row r="76" ht="15.75" customHeight="1">
      <c r="A76" s="160" t="s">
        <v>303</v>
      </c>
      <c r="B76" s="148">
        <v>140.0</v>
      </c>
      <c r="C76" s="148" t="s">
        <v>1055</v>
      </c>
      <c r="D76" s="149" t="s">
        <v>1056</v>
      </c>
      <c r="E76" s="150">
        <v>58.0</v>
      </c>
      <c r="F76" s="151">
        <v>27.0</v>
      </c>
      <c r="G76" s="151">
        <v>0.0</v>
      </c>
      <c r="H76" s="151">
        <v>0.0</v>
      </c>
      <c r="I76" s="151">
        <v>0.0</v>
      </c>
      <c r="J76" s="151">
        <v>0.0</v>
      </c>
      <c r="K76" s="152"/>
      <c r="L76" s="152"/>
      <c r="M76" s="152"/>
      <c r="N76" s="152"/>
      <c r="O76" s="152"/>
      <c r="P76" s="152"/>
      <c r="Q76" s="152"/>
      <c r="R76" s="152"/>
      <c r="S76" s="152"/>
      <c r="T76" s="152"/>
      <c r="U76" s="152"/>
      <c r="V76" s="152"/>
      <c r="W76" s="152"/>
      <c r="X76" s="152"/>
      <c r="Y76" s="152"/>
      <c r="Z76" s="152"/>
      <c r="AA76" s="152"/>
      <c r="AB76" s="152"/>
      <c r="AC76" s="152"/>
      <c r="AD76" s="152"/>
      <c r="AE76" s="152"/>
      <c r="AF76" s="152"/>
      <c r="AG76" s="152"/>
      <c r="AH76" s="152"/>
      <c r="AI76" s="152"/>
      <c r="AJ76" s="152"/>
    </row>
    <row r="77" ht="15.75" customHeight="1">
      <c r="A77" s="160" t="s">
        <v>303</v>
      </c>
      <c r="B77" s="148">
        <v>141.0</v>
      </c>
      <c r="C77" s="148" t="s">
        <v>1120</v>
      </c>
      <c r="D77" s="149" t="s">
        <v>1066</v>
      </c>
      <c r="E77" s="150">
        <v>60.0</v>
      </c>
      <c r="F77" s="151">
        <v>103.0</v>
      </c>
      <c r="G77" s="151">
        <v>2.0</v>
      </c>
      <c r="H77" s="151">
        <v>0.0</v>
      </c>
      <c r="I77" s="151">
        <v>3.0</v>
      </c>
      <c r="J77" s="151">
        <v>0.0</v>
      </c>
      <c r="K77" s="152"/>
      <c r="L77" s="152"/>
      <c r="M77" s="152"/>
      <c r="N77" s="152"/>
      <c r="O77" s="152"/>
      <c r="P77" s="152"/>
      <c r="Q77" s="152"/>
      <c r="R77" s="152"/>
      <c r="S77" s="152"/>
      <c r="T77" s="152"/>
      <c r="U77" s="152"/>
      <c r="V77" s="152"/>
      <c r="W77" s="152"/>
      <c r="X77" s="152"/>
      <c r="Y77" s="152"/>
      <c r="Z77" s="152"/>
      <c r="AA77" s="152"/>
      <c r="AB77" s="152"/>
      <c r="AC77" s="152"/>
      <c r="AD77" s="152"/>
      <c r="AE77" s="152"/>
      <c r="AF77" s="152"/>
      <c r="AG77" s="152"/>
      <c r="AH77" s="152"/>
      <c r="AI77" s="152"/>
      <c r="AJ77" s="152"/>
    </row>
    <row r="78" ht="15.75" customHeight="1">
      <c r="A78" s="160" t="s">
        <v>303</v>
      </c>
      <c r="B78" s="148">
        <v>143.0</v>
      </c>
      <c r="C78" s="148" t="s">
        <v>1101</v>
      </c>
      <c r="D78" s="149" t="s">
        <v>1411</v>
      </c>
      <c r="E78" s="150">
        <v>53.0</v>
      </c>
      <c r="F78" s="151">
        <v>5.0</v>
      </c>
      <c r="G78" s="151">
        <v>0.0</v>
      </c>
      <c r="H78" s="151">
        <v>2.0</v>
      </c>
      <c r="I78" s="151">
        <v>0.0</v>
      </c>
      <c r="J78" s="151">
        <v>1.0</v>
      </c>
      <c r="K78" s="152"/>
      <c r="L78" s="152"/>
      <c r="M78" s="152"/>
      <c r="N78" s="152"/>
      <c r="O78" s="152"/>
      <c r="P78" s="152"/>
      <c r="Q78" s="152"/>
      <c r="R78" s="152"/>
      <c r="S78" s="152"/>
      <c r="T78" s="152"/>
      <c r="U78" s="152"/>
      <c r="V78" s="152"/>
      <c r="W78" s="152"/>
      <c r="X78" s="152"/>
      <c r="Y78" s="152"/>
      <c r="Z78" s="152"/>
      <c r="AA78" s="152"/>
      <c r="AB78" s="152"/>
      <c r="AC78" s="152"/>
      <c r="AD78" s="152"/>
      <c r="AE78" s="152"/>
      <c r="AF78" s="152"/>
      <c r="AG78" s="152"/>
      <c r="AH78" s="152"/>
      <c r="AI78" s="152"/>
      <c r="AJ78" s="152"/>
    </row>
    <row r="79" ht="15.75" customHeight="1">
      <c r="A79" s="160" t="s">
        <v>303</v>
      </c>
      <c r="B79" s="148">
        <v>145.0</v>
      </c>
      <c r="C79" s="148" t="s">
        <v>1138</v>
      </c>
      <c r="D79" s="149" t="s">
        <v>1139</v>
      </c>
      <c r="E79" s="150">
        <v>3.4</v>
      </c>
      <c r="F79" s="151">
        <v>0.0</v>
      </c>
      <c r="G79" s="151">
        <v>0.0</v>
      </c>
      <c r="H79" s="151">
        <v>0.0</v>
      </c>
      <c r="I79" s="151">
        <v>0.0</v>
      </c>
      <c r="J79" s="151">
        <v>0.0</v>
      </c>
      <c r="K79" s="152"/>
      <c r="L79" s="152"/>
      <c r="M79" s="152"/>
      <c r="N79" s="152"/>
      <c r="O79" s="152"/>
      <c r="P79" s="152"/>
      <c r="Q79" s="152"/>
      <c r="R79" s="152"/>
      <c r="S79" s="152"/>
      <c r="T79" s="152"/>
      <c r="U79" s="152"/>
      <c r="V79" s="152"/>
      <c r="W79" s="152"/>
      <c r="X79" s="152"/>
      <c r="Y79" s="152"/>
      <c r="Z79" s="152"/>
      <c r="AA79" s="152"/>
      <c r="AB79" s="152"/>
      <c r="AC79" s="152"/>
      <c r="AD79" s="152"/>
      <c r="AE79" s="152"/>
      <c r="AF79" s="152"/>
      <c r="AG79" s="152"/>
      <c r="AH79" s="152"/>
      <c r="AI79" s="152"/>
      <c r="AJ79" s="152"/>
    </row>
    <row r="80" ht="15.75" customHeight="1">
      <c r="A80" s="160" t="s">
        <v>303</v>
      </c>
      <c r="B80" s="148">
        <v>146.0</v>
      </c>
      <c r="C80" s="148" t="s">
        <v>1110</v>
      </c>
      <c r="D80" s="149" t="s">
        <v>1111</v>
      </c>
      <c r="E80" s="150">
        <v>49.0</v>
      </c>
      <c r="F80" s="151">
        <v>5.0</v>
      </c>
      <c r="G80" s="151">
        <v>0.0</v>
      </c>
      <c r="H80" s="151">
        <v>0.0</v>
      </c>
      <c r="I80" s="151">
        <v>0.0</v>
      </c>
      <c r="J80" s="151">
        <v>0.0</v>
      </c>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52"/>
    </row>
    <row r="81" ht="15.75" customHeight="1">
      <c r="A81" s="160" t="s">
        <v>303</v>
      </c>
      <c r="B81" s="148">
        <v>147.0</v>
      </c>
      <c r="C81" s="148" t="s">
        <v>790</v>
      </c>
      <c r="D81" s="149" t="s">
        <v>791</v>
      </c>
      <c r="E81" s="150">
        <v>65.0</v>
      </c>
      <c r="F81" s="151">
        <v>17.0</v>
      </c>
      <c r="G81" s="151">
        <v>4.0</v>
      </c>
      <c r="H81" s="151">
        <v>0.0</v>
      </c>
      <c r="I81" s="151">
        <v>1.0</v>
      </c>
      <c r="J81" s="151">
        <v>0.0</v>
      </c>
      <c r="K81" s="152"/>
      <c r="L81" s="152"/>
      <c r="M81" s="152"/>
      <c r="N81" s="152"/>
      <c r="O81" s="152"/>
      <c r="P81" s="152"/>
      <c r="Q81" s="152"/>
      <c r="R81" s="152"/>
      <c r="S81" s="152"/>
      <c r="T81" s="152"/>
      <c r="U81" s="152"/>
      <c r="V81" s="152"/>
      <c r="W81" s="152"/>
      <c r="X81" s="152"/>
      <c r="Y81" s="152"/>
      <c r="Z81" s="152"/>
      <c r="AA81" s="152"/>
      <c r="AB81" s="152"/>
      <c r="AC81" s="152"/>
      <c r="AD81" s="152"/>
      <c r="AE81" s="152"/>
      <c r="AF81" s="152"/>
      <c r="AG81" s="152"/>
      <c r="AH81" s="152"/>
      <c r="AI81" s="152"/>
      <c r="AJ81" s="152"/>
    </row>
    <row r="82" ht="15.75" customHeight="1">
      <c r="A82" s="160" t="s">
        <v>303</v>
      </c>
      <c r="B82" s="148">
        <v>148.0</v>
      </c>
      <c r="C82" s="148" t="s">
        <v>1012</v>
      </c>
      <c r="D82" s="148" t="s">
        <v>1013</v>
      </c>
      <c r="E82" s="150">
        <v>19.0</v>
      </c>
      <c r="F82" s="151">
        <v>4.0</v>
      </c>
      <c r="G82" s="151">
        <v>2.0</v>
      </c>
      <c r="H82" s="151">
        <v>0.0</v>
      </c>
      <c r="I82" s="151">
        <v>2.0</v>
      </c>
      <c r="J82" s="151">
        <v>0.0</v>
      </c>
      <c r="K82" s="152"/>
      <c r="L82" s="152"/>
      <c r="M82" s="152"/>
      <c r="N82" s="152"/>
      <c r="O82" s="152"/>
      <c r="P82" s="152"/>
      <c r="Q82" s="152"/>
      <c r="R82" s="152"/>
      <c r="S82" s="152"/>
      <c r="T82" s="152"/>
      <c r="U82" s="152"/>
      <c r="V82" s="152"/>
      <c r="W82" s="152"/>
      <c r="X82" s="152"/>
      <c r="Y82" s="152"/>
      <c r="Z82" s="152"/>
      <c r="AA82" s="152"/>
      <c r="AB82" s="152"/>
      <c r="AC82" s="152"/>
      <c r="AD82" s="152"/>
      <c r="AE82" s="152"/>
      <c r="AF82" s="152"/>
      <c r="AG82" s="152"/>
      <c r="AH82" s="152"/>
      <c r="AI82" s="152"/>
      <c r="AJ82" s="152"/>
    </row>
    <row r="83" ht="15.75" customHeight="1">
      <c r="A83" s="160" t="s">
        <v>303</v>
      </c>
      <c r="B83" s="148">
        <v>149.0</v>
      </c>
      <c r="C83" s="148" t="s">
        <v>1064</v>
      </c>
      <c r="D83" s="149" t="s">
        <v>1065</v>
      </c>
      <c r="E83" s="150">
        <v>0.4</v>
      </c>
      <c r="F83" s="151">
        <v>0.0</v>
      </c>
      <c r="G83" s="151">
        <v>0.0</v>
      </c>
      <c r="H83" s="151">
        <v>0.0</v>
      </c>
      <c r="I83" s="151">
        <v>0.0</v>
      </c>
      <c r="J83" s="151">
        <v>0.0</v>
      </c>
      <c r="K83" s="152"/>
      <c r="L83" s="152"/>
      <c r="M83" s="152"/>
      <c r="N83" s="152"/>
      <c r="O83" s="152"/>
      <c r="P83" s="152"/>
      <c r="Q83" s="152"/>
      <c r="R83" s="152"/>
      <c r="S83" s="152"/>
      <c r="T83" s="152"/>
      <c r="U83" s="152"/>
      <c r="V83" s="152"/>
      <c r="W83" s="152"/>
      <c r="X83" s="152"/>
      <c r="Y83" s="152"/>
      <c r="Z83" s="152"/>
      <c r="AA83" s="152"/>
      <c r="AB83" s="152"/>
      <c r="AC83" s="152"/>
      <c r="AD83" s="152"/>
      <c r="AE83" s="152"/>
      <c r="AF83" s="152"/>
      <c r="AG83" s="152"/>
      <c r="AH83" s="152"/>
      <c r="AI83" s="152"/>
      <c r="AJ83" s="152"/>
    </row>
    <row r="84" ht="15.75" customHeight="1">
      <c r="A84" s="160" t="s">
        <v>303</v>
      </c>
      <c r="B84" s="148">
        <v>150.0</v>
      </c>
      <c r="C84" s="148" t="s">
        <v>862</v>
      </c>
      <c r="D84" s="149" t="s">
        <v>863</v>
      </c>
      <c r="E84" s="150">
        <v>19.0</v>
      </c>
      <c r="F84" s="151">
        <v>0.0</v>
      </c>
      <c r="G84" s="151">
        <v>0.0</v>
      </c>
      <c r="H84" s="151">
        <v>0.0</v>
      </c>
      <c r="I84" s="151">
        <v>0.0</v>
      </c>
      <c r="J84" s="151">
        <v>0.0</v>
      </c>
      <c r="K84" s="152"/>
      <c r="L84" s="152"/>
      <c r="M84" s="152"/>
      <c r="N84" s="152"/>
      <c r="O84" s="152"/>
      <c r="P84" s="152"/>
      <c r="Q84" s="152"/>
      <c r="R84" s="152"/>
      <c r="S84" s="152"/>
      <c r="T84" s="152"/>
      <c r="U84" s="152"/>
      <c r="V84" s="152"/>
      <c r="W84" s="152"/>
      <c r="X84" s="152"/>
      <c r="Y84" s="152"/>
      <c r="Z84" s="152"/>
      <c r="AA84" s="152"/>
      <c r="AB84" s="152"/>
      <c r="AC84" s="152"/>
      <c r="AD84" s="152"/>
      <c r="AE84" s="152"/>
      <c r="AF84" s="152"/>
      <c r="AG84" s="152"/>
      <c r="AH84" s="152"/>
      <c r="AI84" s="152"/>
      <c r="AJ84" s="152"/>
    </row>
    <row r="85" ht="15.75" customHeight="1">
      <c r="A85" s="160" t="s">
        <v>303</v>
      </c>
      <c r="B85" s="148">
        <v>151.0</v>
      </c>
      <c r="C85" s="148" t="s">
        <v>1147</v>
      </c>
      <c r="D85" s="149" t="s">
        <v>1444</v>
      </c>
      <c r="E85" s="150">
        <v>50.0</v>
      </c>
      <c r="F85" s="151">
        <v>1.0</v>
      </c>
      <c r="G85" s="151">
        <v>0.0</v>
      </c>
      <c r="H85" s="151">
        <v>0.0</v>
      </c>
      <c r="I85" s="151">
        <v>0.0</v>
      </c>
      <c r="J85" s="151">
        <v>0.0</v>
      </c>
      <c r="K85" s="152"/>
      <c r="L85" s="152"/>
      <c r="M85" s="152"/>
      <c r="N85" s="152"/>
      <c r="O85" s="152"/>
      <c r="P85" s="152"/>
      <c r="Q85" s="152"/>
      <c r="R85" s="152"/>
      <c r="S85" s="152"/>
      <c r="T85" s="152"/>
      <c r="U85" s="152"/>
      <c r="V85" s="152"/>
      <c r="W85" s="152"/>
      <c r="X85" s="152"/>
      <c r="Y85" s="152"/>
      <c r="Z85" s="152"/>
      <c r="AA85" s="152"/>
      <c r="AB85" s="152"/>
      <c r="AC85" s="152"/>
      <c r="AD85" s="152"/>
      <c r="AE85" s="152"/>
      <c r="AF85" s="152"/>
      <c r="AG85" s="152"/>
      <c r="AH85" s="152"/>
      <c r="AI85" s="152"/>
      <c r="AJ85" s="152"/>
    </row>
    <row r="86" ht="15.75" customHeight="1">
      <c r="A86" s="160" t="s">
        <v>303</v>
      </c>
      <c r="B86" s="148">
        <v>152.0</v>
      </c>
      <c r="C86" s="148" t="s">
        <v>1153</v>
      </c>
      <c r="D86" s="149" t="s">
        <v>1154</v>
      </c>
      <c r="E86" s="150">
        <v>59.0</v>
      </c>
      <c r="F86" s="151">
        <v>28.0</v>
      </c>
      <c r="G86" s="151">
        <v>6.0</v>
      </c>
      <c r="H86" s="151">
        <v>3.0</v>
      </c>
      <c r="I86" s="151">
        <v>10.0</v>
      </c>
      <c r="J86" s="151">
        <v>1.0</v>
      </c>
      <c r="K86" s="152"/>
      <c r="L86" s="152"/>
      <c r="M86" s="152"/>
      <c r="N86" s="152"/>
      <c r="O86" s="152"/>
      <c r="P86" s="152"/>
      <c r="Q86" s="152"/>
      <c r="R86" s="152"/>
      <c r="S86" s="152"/>
      <c r="T86" s="152"/>
      <c r="U86" s="152"/>
      <c r="V86" s="152"/>
      <c r="W86" s="152"/>
      <c r="X86" s="152"/>
      <c r="Y86" s="152"/>
      <c r="Z86" s="152"/>
      <c r="AA86" s="152"/>
      <c r="AB86" s="152"/>
      <c r="AC86" s="152"/>
      <c r="AD86" s="152"/>
      <c r="AE86" s="152"/>
      <c r="AF86" s="152"/>
      <c r="AG86" s="152"/>
      <c r="AH86" s="152"/>
      <c r="AI86" s="152"/>
      <c r="AJ86" s="152"/>
    </row>
    <row r="87" ht="15.75" customHeight="1">
      <c r="A87" s="160" t="s">
        <v>303</v>
      </c>
      <c r="B87" s="148">
        <v>153.0</v>
      </c>
      <c r="C87" s="148" t="s">
        <v>1078</v>
      </c>
      <c r="D87" s="149" t="s">
        <v>1080</v>
      </c>
      <c r="E87" s="150">
        <v>53.0</v>
      </c>
      <c r="F87" s="151">
        <v>1.0</v>
      </c>
      <c r="G87" s="151">
        <v>0.0</v>
      </c>
      <c r="H87" s="151">
        <v>0.0</v>
      </c>
      <c r="I87" s="151">
        <v>0.0</v>
      </c>
      <c r="J87" s="151">
        <v>0.0</v>
      </c>
      <c r="K87" s="152"/>
      <c r="L87" s="152"/>
      <c r="M87" s="152"/>
      <c r="N87" s="152"/>
      <c r="O87" s="152"/>
      <c r="P87" s="152"/>
      <c r="Q87" s="152"/>
      <c r="R87" s="152"/>
      <c r="S87" s="152"/>
      <c r="T87" s="152"/>
      <c r="U87" s="152"/>
      <c r="V87" s="152"/>
      <c r="W87" s="152"/>
      <c r="X87" s="152"/>
      <c r="Y87" s="152"/>
      <c r="Z87" s="152"/>
      <c r="AA87" s="152"/>
      <c r="AB87" s="152"/>
      <c r="AC87" s="152"/>
      <c r="AD87" s="152"/>
      <c r="AE87" s="152"/>
      <c r="AF87" s="152"/>
      <c r="AG87" s="152"/>
      <c r="AH87" s="152"/>
      <c r="AI87" s="152"/>
      <c r="AJ87" s="152"/>
    </row>
    <row r="88" ht="15.75" customHeight="1">
      <c r="A88" s="160"/>
      <c r="B88" s="148"/>
      <c r="C88" s="148"/>
      <c r="D88" s="148"/>
      <c r="E88" s="169"/>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c r="AD88" s="152"/>
      <c r="AE88" s="152"/>
      <c r="AF88" s="152"/>
      <c r="AG88" s="152"/>
      <c r="AH88" s="152"/>
      <c r="AI88" s="152"/>
      <c r="AJ88" s="152"/>
    </row>
    <row r="89" ht="15.75" customHeight="1">
      <c r="A89" s="161" t="s">
        <v>576</v>
      </c>
      <c r="B89" s="161">
        <v>1.0</v>
      </c>
      <c r="C89" s="161" t="s">
        <v>1465</v>
      </c>
      <c r="D89" s="170" t="s">
        <v>1467</v>
      </c>
      <c r="E89" s="171">
        <v>51.0</v>
      </c>
      <c r="F89" s="172">
        <v>200.0</v>
      </c>
      <c r="G89" s="172">
        <v>2.0</v>
      </c>
      <c r="H89" s="172">
        <v>1.0</v>
      </c>
      <c r="I89" s="172">
        <v>0.0</v>
      </c>
      <c r="J89" s="172">
        <v>1.0</v>
      </c>
      <c r="K89" s="163"/>
      <c r="L89" s="163"/>
      <c r="M89" s="163"/>
      <c r="N89" s="163"/>
      <c r="O89" s="163"/>
      <c r="P89" s="163"/>
      <c r="Q89" s="163"/>
      <c r="R89" s="163"/>
      <c r="S89" s="163"/>
      <c r="T89" s="163"/>
      <c r="U89" s="163"/>
      <c r="V89" s="163"/>
      <c r="W89" s="163"/>
      <c r="X89" s="163"/>
      <c r="Y89" s="163"/>
      <c r="Z89" s="163"/>
      <c r="AA89" s="163"/>
      <c r="AB89" s="163"/>
      <c r="AC89" s="163"/>
      <c r="AD89" s="163"/>
      <c r="AE89" s="163"/>
      <c r="AF89" s="163"/>
      <c r="AG89" s="163"/>
      <c r="AH89" s="163"/>
      <c r="AI89" s="163"/>
      <c r="AJ89" s="163"/>
    </row>
    <row r="90" ht="15.75" customHeight="1">
      <c r="A90" s="148" t="s">
        <v>576</v>
      </c>
      <c r="B90" s="148">
        <v>2.0</v>
      </c>
      <c r="C90" s="148" t="s">
        <v>1477</v>
      </c>
      <c r="D90" s="149" t="s">
        <v>1478</v>
      </c>
      <c r="E90" s="150">
        <v>55.0</v>
      </c>
      <c r="F90" s="151">
        <v>35.0</v>
      </c>
      <c r="G90" s="151">
        <v>3.0</v>
      </c>
      <c r="H90" s="151">
        <v>0.0</v>
      </c>
      <c r="I90" s="151">
        <v>1.0</v>
      </c>
      <c r="J90" s="151">
        <v>0.0</v>
      </c>
      <c r="K90" s="152"/>
      <c r="L90" s="152"/>
      <c r="M90" s="152"/>
      <c r="N90" s="152"/>
      <c r="O90" s="152"/>
      <c r="P90" s="152"/>
      <c r="Q90" s="152"/>
      <c r="R90" s="152"/>
      <c r="S90" s="152"/>
      <c r="T90" s="152"/>
      <c r="U90" s="152"/>
      <c r="V90" s="152"/>
      <c r="W90" s="152"/>
      <c r="X90" s="152"/>
      <c r="Y90" s="152"/>
      <c r="Z90" s="152"/>
      <c r="AA90" s="152"/>
      <c r="AB90" s="152"/>
      <c r="AC90" s="152"/>
      <c r="AD90" s="152"/>
      <c r="AE90" s="152"/>
      <c r="AF90" s="152"/>
      <c r="AG90" s="152"/>
      <c r="AH90" s="152"/>
      <c r="AI90" s="152"/>
      <c r="AJ90" s="152"/>
    </row>
    <row r="91" ht="15.75" customHeight="1">
      <c r="A91" s="148" t="s">
        <v>576</v>
      </c>
      <c r="B91" s="148">
        <v>3.0</v>
      </c>
      <c r="C91" s="148" t="s">
        <v>1370</v>
      </c>
      <c r="D91" s="149" t="s">
        <v>1332</v>
      </c>
      <c r="E91" s="150">
        <v>70.0</v>
      </c>
      <c r="F91" s="151">
        <v>591.0</v>
      </c>
      <c r="G91" s="151">
        <v>37.0</v>
      </c>
      <c r="H91" s="151">
        <v>19.0</v>
      </c>
      <c r="I91" s="151">
        <v>30.0</v>
      </c>
      <c r="J91" s="151">
        <v>14.0</v>
      </c>
      <c r="K91" s="152"/>
      <c r="L91" s="152"/>
      <c r="M91" s="152"/>
      <c r="N91" s="152"/>
      <c r="O91" s="152"/>
      <c r="P91" s="152"/>
      <c r="Q91" s="152"/>
      <c r="R91" s="152"/>
      <c r="S91" s="152"/>
      <c r="T91" s="152"/>
      <c r="U91" s="152"/>
      <c r="V91" s="152"/>
      <c r="W91" s="152"/>
      <c r="X91" s="152"/>
      <c r="Y91" s="152"/>
      <c r="Z91" s="152"/>
      <c r="AA91" s="152"/>
      <c r="AB91" s="152"/>
      <c r="AC91" s="152"/>
      <c r="AD91" s="152"/>
      <c r="AE91" s="152"/>
      <c r="AF91" s="152"/>
      <c r="AG91" s="152"/>
      <c r="AH91" s="152"/>
      <c r="AI91" s="152"/>
      <c r="AJ91" s="152"/>
    </row>
    <row r="92" ht="15.75" customHeight="1">
      <c r="A92" s="148" t="s">
        <v>576</v>
      </c>
      <c r="B92" s="148">
        <v>4.0</v>
      </c>
      <c r="C92" s="148" t="s">
        <v>1490</v>
      </c>
      <c r="D92" s="149" t="s">
        <v>1364</v>
      </c>
      <c r="E92" s="150">
        <v>55.0</v>
      </c>
      <c r="F92" s="151">
        <v>175.0</v>
      </c>
      <c r="G92" s="151">
        <v>13.0</v>
      </c>
      <c r="H92" s="151">
        <v>3.0</v>
      </c>
      <c r="I92" s="151">
        <v>12.0</v>
      </c>
      <c r="J92" s="151">
        <v>12.0</v>
      </c>
      <c r="K92" s="152"/>
      <c r="L92" s="152"/>
      <c r="M92" s="152"/>
      <c r="N92" s="152"/>
      <c r="O92" s="152"/>
      <c r="P92" s="152"/>
      <c r="Q92" s="152"/>
      <c r="R92" s="152"/>
      <c r="S92" s="152"/>
      <c r="T92" s="152"/>
      <c r="U92" s="152"/>
      <c r="V92" s="152"/>
      <c r="W92" s="152"/>
      <c r="X92" s="152"/>
      <c r="Y92" s="152"/>
      <c r="Z92" s="152"/>
      <c r="AA92" s="152"/>
      <c r="AB92" s="152"/>
      <c r="AC92" s="152"/>
      <c r="AD92" s="152"/>
      <c r="AE92" s="152"/>
      <c r="AF92" s="152"/>
      <c r="AG92" s="152"/>
      <c r="AH92" s="152"/>
      <c r="AI92" s="152"/>
      <c r="AJ92" s="152"/>
    </row>
    <row r="93" ht="15.75" customHeight="1">
      <c r="A93" s="148" t="s">
        <v>576</v>
      </c>
      <c r="B93" s="148">
        <v>5.0</v>
      </c>
      <c r="C93" s="148" t="s">
        <v>1497</v>
      </c>
      <c r="D93" s="149" t="s">
        <v>1409</v>
      </c>
      <c r="E93" s="150">
        <v>39.0</v>
      </c>
      <c r="F93" s="151">
        <v>54.0</v>
      </c>
      <c r="G93" s="151">
        <v>0.0</v>
      </c>
      <c r="H93" s="151">
        <v>0.0</v>
      </c>
      <c r="I93" s="151">
        <v>1.0</v>
      </c>
      <c r="J93" s="151">
        <v>0.0</v>
      </c>
      <c r="K93" s="152"/>
      <c r="L93" s="152"/>
      <c r="M93" s="152"/>
      <c r="N93" s="152"/>
      <c r="O93" s="152"/>
      <c r="P93" s="152"/>
      <c r="Q93" s="152"/>
      <c r="R93" s="152"/>
      <c r="S93" s="152"/>
      <c r="T93" s="152"/>
      <c r="U93" s="152"/>
      <c r="V93" s="152"/>
      <c r="W93" s="152"/>
      <c r="X93" s="152"/>
      <c r="Y93" s="152"/>
      <c r="Z93" s="152"/>
      <c r="AA93" s="152"/>
      <c r="AB93" s="152"/>
      <c r="AC93" s="152"/>
      <c r="AD93" s="152"/>
      <c r="AE93" s="152"/>
      <c r="AF93" s="152"/>
      <c r="AG93" s="152"/>
      <c r="AH93" s="152"/>
      <c r="AI93" s="152"/>
      <c r="AJ93" s="152"/>
    </row>
    <row r="94" ht="15.75" customHeight="1">
      <c r="A94" s="148" t="s">
        <v>576</v>
      </c>
      <c r="B94" s="148">
        <v>6.0</v>
      </c>
      <c r="C94" s="148" t="s">
        <v>1503</v>
      </c>
      <c r="D94" s="149" t="s">
        <v>1502</v>
      </c>
      <c r="E94" s="150">
        <v>49.0</v>
      </c>
      <c r="F94" s="151">
        <v>87.0</v>
      </c>
      <c r="G94" s="151">
        <v>4.0</v>
      </c>
      <c r="H94" s="151">
        <v>1.0</v>
      </c>
      <c r="I94" s="151">
        <v>0.0</v>
      </c>
      <c r="J94" s="151">
        <v>1.0</v>
      </c>
      <c r="K94" s="152"/>
      <c r="L94" s="152"/>
      <c r="M94" s="152"/>
      <c r="N94" s="152"/>
      <c r="O94" s="152"/>
      <c r="P94" s="152"/>
      <c r="Q94" s="152"/>
      <c r="R94" s="152"/>
      <c r="S94" s="152"/>
      <c r="T94" s="152"/>
      <c r="U94" s="152"/>
      <c r="V94" s="152"/>
      <c r="W94" s="152"/>
      <c r="X94" s="152"/>
      <c r="Y94" s="152"/>
      <c r="Z94" s="152"/>
      <c r="AA94" s="152"/>
      <c r="AB94" s="152"/>
      <c r="AC94" s="152"/>
      <c r="AD94" s="152"/>
      <c r="AE94" s="152"/>
      <c r="AF94" s="152"/>
      <c r="AG94" s="152"/>
      <c r="AH94" s="152"/>
      <c r="AI94" s="152"/>
      <c r="AJ94" s="152"/>
    </row>
    <row r="95" ht="15.75" customHeight="1">
      <c r="A95" s="148" t="s">
        <v>576</v>
      </c>
      <c r="B95" s="148">
        <v>7.0</v>
      </c>
      <c r="C95" s="148" t="s">
        <v>1509</v>
      </c>
      <c r="D95" s="149" t="s">
        <v>1510</v>
      </c>
      <c r="E95" s="150">
        <v>65.0</v>
      </c>
      <c r="F95" s="151">
        <v>112.0</v>
      </c>
      <c r="G95" s="151">
        <v>1.0</v>
      </c>
      <c r="H95" s="151">
        <v>0.0</v>
      </c>
      <c r="I95" s="151">
        <v>0.0</v>
      </c>
      <c r="J95" s="151">
        <v>0.0</v>
      </c>
      <c r="K95" s="152"/>
      <c r="L95" s="152"/>
      <c r="M95" s="152"/>
      <c r="N95" s="152"/>
      <c r="O95" s="152"/>
      <c r="P95" s="152"/>
      <c r="Q95" s="152"/>
      <c r="R95" s="152"/>
      <c r="S95" s="152"/>
      <c r="T95" s="152"/>
      <c r="U95" s="152"/>
      <c r="V95" s="152"/>
      <c r="W95" s="152"/>
      <c r="X95" s="152"/>
      <c r="Y95" s="152"/>
      <c r="Z95" s="152"/>
      <c r="AA95" s="152"/>
      <c r="AB95" s="152"/>
      <c r="AC95" s="152"/>
      <c r="AD95" s="152"/>
      <c r="AE95" s="152"/>
      <c r="AF95" s="152"/>
      <c r="AG95" s="152"/>
      <c r="AH95" s="152"/>
      <c r="AI95" s="152"/>
      <c r="AJ95" s="152"/>
    </row>
    <row r="96" ht="15.75" customHeight="1">
      <c r="A96" s="148" t="s">
        <v>576</v>
      </c>
      <c r="B96" s="148">
        <v>8.0</v>
      </c>
      <c r="C96" s="148" t="s">
        <v>1513</v>
      </c>
      <c r="D96" s="149" t="s">
        <v>1514</v>
      </c>
      <c r="E96" s="150">
        <v>38.0</v>
      </c>
      <c r="F96" s="151">
        <v>78.0</v>
      </c>
      <c r="G96" s="151">
        <v>2.0</v>
      </c>
      <c r="H96" s="151">
        <v>0.0</v>
      </c>
      <c r="I96" s="151">
        <v>0.0</v>
      </c>
      <c r="J96" s="151">
        <v>0.0</v>
      </c>
      <c r="K96" s="152"/>
      <c r="L96" s="152"/>
      <c r="M96" s="152"/>
      <c r="N96" s="152"/>
      <c r="O96" s="152"/>
      <c r="P96" s="152"/>
      <c r="Q96" s="152"/>
      <c r="R96" s="152"/>
      <c r="S96" s="152"/>
      <c r="T96" s="152"/>
      <c r="U96" s="152"/>
      <c r="V96" s="152"/>
      <c r="W96" s="152"/>
      <c r="X96" s="152"/>
      <c r="Y96" s="152"/>
      <c r="Z96" s="152"/>
      <c r="AA96" s="152"/>
      <c r="AB96" s="152"/>
      <c r="AC96" s="152"/>
      <c r="AD96" s="152"/>
      <c r="AE96" s="152"/>
      <c r="AF96" s="152"/>
      <c r="AG96" s="152"/>
      <c r="AH96" s="152"/>
      <c r="AI96" s="152"/>
      <c r="AJ96" s="152"/>
    </row>
    <row r="97" ht="15.75" customHeight="1">
      <c r="A97" s="148" t="s">
        <v>576</v>
      </c>
      <c r="B97" s="148">
        <v>9.0</v>
      </c>
      <c r="C97" s="148" t="s">
        <v>1521</v>
      </c>
      <c r="D97" s="149" t="s">
        <v>1522</v>
      </c>
      <c r="E97" s="150">
        <v>55.0</v>
      </c>
      <c r="F97" s="151">
        <v>20.0</v>
      </c>
      <c r="G97" s="151">
        <v>0.0</v>
      </c>
      <c r="H97" s="151">
        <v>1.0</v>
      </c>
      <c r="I97" s="151">
        <v>4.0</v>
      </c>
      <c r="J97" s="151">
        <v>0.0</v>
      </c>
      <c r="K97" s="152"/>
      <c r="L97" s="152"/>
      <c r="M97" s="152"/>
      <c r="N97" s="152"/>
      <c r="O97" s="152"/>
      <c r="P97" s="152"/>
      <c r="Q97" s="152"/>
      <c r="R97" s="152"/>
      <c r="S97" s="152"/>
      <c r="T97" s="152"/>
      <c r="U97" s="152"/>
      <c r="V97" s="152"/>
      <c r="W97" s="152"/>
      <c r="X97" s="152"/>
      <c r="Y97" s="152"/>
      <c r="Z97" s="152"/>
      <c r="AA97" s="152"/>
      <c r="AB97" s="152"/>
      <c r="AC97" s="152"/>
      <c r="AD97" s="152"/>
      <c r="AE97" s="152"/>
      <c r="AF97" s="152"/>
      <c r="AG97" s="152"/>
      <c r="AH97" s="152"/>
      <c r="AI97" s="152"/>
      <c r="AJ97" s="152"/>
    </row>
    <row r="98" ht="15.75" customHeight="1">
      <c r="A98" s="148" t="s">
        <v>576</v>
      </c>
      <c r="B98" s="148">
        <v>10.0</v>
      </c>
      <c r="C98" s="148" t="s">
        <v>1559</v>
      </c>
      <c r="D98" s="149" t="s">
        <v>1561</v>
      </c>
      <c r="E98" s="150">
        <v>74.0</v>
      </c>
      <c r="F98" s="151">
        <v>1.0</v>
      </c>
      <c r="G98" s="151">
        <v>0.0</v>
      </c>
      <c r="H98" s="151">
        <v>0.0</v>
      </c>
      <c r="I98" s="151">
        <v>0.0</v>
      </c>
      <c r="J98" s="151">
        <v>0.0</v>
      </c>
      <c r="K98" s="152"/>
      <c r="L98" s="152"/>
      <c r="M98" s="152"/>
      <c r="N98" s="152"/>
      <c r="O98" s="152"/>
      <c r="P98" s="152"/>
      <c r="Q98" s="152"/>
      <c r="R98" s="152"/>
      <c r="S98" s="152"/>
      <c r="T98" s="152"/>
      <c r="U98" s="152"/>
      <c r="V98" s="152"/>
      <c r="W98" s="152"/>
      <c r="X98" s="152"/>
      <c r="Y98" s="152"/>
      <c r="Z98" s="152"/>
      <c r="AA98" s="152"/>
      <c r="AB98" s="152"/>
      <c r="AC98" s="152"/>
      <c r="AD98" s="152"/>
      <c r="AE98" s="152"/>
      <c r="AF98" s="152"/>
      <c r="AG98" s="152"/>
      <c r="AH98" s="152"/>
      <c r="AI98" s="152"/>
      <c r="AJ98" s="152"/>
    </row>
    <row r="99" ht="15.75" customHeight="1">
      <c r="A99" s="148" t="s">
        <v>576</v>
      </c>
      <c r="B99" s="148">
        <v>11.0</v>
      </c>
      <c r="C99" s="148" t="s">
        <v>578</v>
      </c>
      <c r="D99" s="149" t="s">
        <v>577</v>
      </c>
      <c r="E99" s="150">
        <v>52.0</v>
      </c>
      <c r="F99" s="151">
        <v>14.0</v>
      </c>
      <c r="G99" s="151">
        <v>0.0</v>
      </c>
      <c r="H99" s="151">
        <v>0.0</v>
      </c>
      <c r="I99" s="151">
        <v>0.0</v>
      </c>
      <c r="J99" s="151">
        <v>0.0</v>
      </c>
      <c r="K99" s="152"/>
      <c r="L99" s="152"/>
      <c r="M99" s="152"/>
      <c r="N99" s="152"/>
      <c r="O99" s="152"/>
      <c r="P99" s="152"/>
      <c r="Q99" s="152"/>
      <c r="R99" s="152"/>
      <c r="S99" s="152"/>
      <c r="T99" s="152"/>
      <c r="U99" s="152"/>
      <c r="V99" s="152"/>
      <c r="W99" s="152"/>
      <c r="X99" s="152"/>
      <c r="Y99" s="152"/>
      <c r="Z99" s="152"/>
      <c r="AA99" s="152"/>
      <c r="AB99" s="152"/>
      <c r="AC99" s="152"/>
      <c r="AD99" s="152"/>
      <c r="AE99" s="152"/>
      <c r="AF99" s="152"/>
      <c r="AG99" s="152"/>
      <c r="AH99" s="152"/>
      <c r="AI99" s="152"/>
      <c r="AJ99" s="152"/>
    </row>
    <row r="100" ht="15.75" customHeight="1">
      <c r="A100" s="148" t="s">
        <v>576</v>
      </c>
      <c r="B100" s="148">
        <v>12.0</v>
      </c>
      <c r="C100" s="148" t="s">
        <v>1601</v>
      </c>
      <c r="D100" s="149" t="s">
        <v>1433</v>
      </c>
      <c r="E100" s="150">
        <v>65.0</v>
      </c>
      <c r="F100" s="151">
        <v>109.0</v>
      </c>
      <c r="G100" s="151">
        <v>1.0</v>
      </c>
      <c r="H100" s="151">
        <v>0.0</v>
      </c>
      <c r="I100" s="151">
        <v>1.0</v>
      </c>
      <c r="J100" s="151">
        <v>0.0</v>
      </c>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c r="AI100" s="152"/>
      <c r="AJ100" s="152"/>
    </row>
    <row r="101" ht="15.75" customHeight="1">
      <c r="A101" s="148" t="s">
        <v>576</v>
      </c>
      <c r="B101" s="148">
        <v>13.0</v>
      </c>
      <c r="C101" s="148" t="s">
        <v>760</v>
      </c>
      <c r="D101" s="149" t="s">
        <v>762</v>
      </c>
      <c r="E101" s="150">
        <v>70.0</v>
      </c>
      <c r="F101" s="151">
        <v>0.0</v>
      </c>
      <c r="G101" s="151">
        <v>0.0</v>
      </c>
      <c r="H101" s="151">
        <v>1.0</v>
      </c>
      <c r="I101" s="151">
        <v>0.0</v>
      </c>
      <c r="J101" s="151">
        <v>0.0</v>
      </c>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c r="AI101" s="152"/>
      <c r="AJ101" s="152"/>
    </row>
    <row r="102" ht="15.75" customHeight="1">
      <c r="A102" s="148" t="s">
        <v>576</v>
      </c>
      <c r="B102" s="148">
        <v>14.0</v>
      </c>
      <c r="C102" s="148" t="s">
        <v>1635</v>
      </c>
      <c r="D102" s="149" t="s">
        <v>1636</v>
      </c>
      <c r="E102" s="150">
        <v>27.0</v>
      </c>
      <c r="F102" s="151">
        <v>0.0</v>
      </c>
      <c r="G102" s="151">
        <v>0.0</v>
      </c>
      <c r="H102" s="151">
        <v>0.0</v>
      </c>
      <c r="I102" s="151">
        <v>0.0</v>
      </c>
      <c r="J102" s="151">
        <v>0.0</v>
      </c>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c r="AI102" s="152"/>
      <c r="AJ102" s="152"/>
    </row>
    <row r="103" ht="15.75" customHeight="1">
      <c r="A103" s="148" t="s">
        <v>576</v>
      </c>
      <c r="B103" s="148">
        <v>15.0</v>
      </c>
      <c r="C103" s="148" t="s">
        <v>1654</v>
      </c>
      <c r="D103" s="149" t="s">
        <v>1655</v>
      </c>
      <c r="E103" s="150">
        <v>32.0</v>
      </c>
      <c r="F103" s="151">
        <v>23.0</v>
      </c>
      <c r="G103" s="151">
        <v>0.0</v>
      </c>
      <c r="H103" s="151">
        <v>0.0</v>
      </c>
      <c r="I103" s="151">
        <v>0.0</v>
      </c>
      <c r="J103" s="151">
        <v>0.0</v>
      </c>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c r="AI103" s="152"/>
      <c r="AJ103" s="152"/>
    </row>
    <row r="104" ht="15.75" customHeight="1">
      <c r="A104" s="148" t="s">
        <v>576</v>
      </c>
      <c r="B104" s="148">
        <v>16.0</v>
      </c>
      <c r="C104" s="148" t="s">
        <v>1670</v>
      </c>
      <c r="D104" s="149" t="s">
        <v>1346</v>
      </c>
      <c r="E104" s="150">
        <v>50.0</v>
      </c>
      <c r="F104" s="151">
        <v>9.0</v>
      </c>
      <c r="G104" s="151">
        <v>0.0</v>
      </c>
      <c r="H104" s="151">
        <v>3.0</v>
      </c>
      <c r="I104" s="151">
        <v>0.0</v>
      </c>
      <c r="J104" s="151">
        <v>0.0</v>
      </c>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2"/>
      <c r="AI104" s="152"/>
      <c r="AJ104" s="152"/>
    </row>
    <row r="105" ht="15.75" customHeight="1">
      <c r="A105" s="148" t="s">
        <v>576</v>
      </c>
      <c r="B105" s="148">
        <v>17.0</v>
      </c>
      <c r="C105" s="148" t="s">
        <v>1687</v>
      </c>
      <c r="D105" s="149" t="s">
        <v>700</v>
      </c>
      <c r="E105" s="150">
        <v>82.0</v>
      </c>
      <c r="F105" s="151">
        <v>17.0</v>
      </c>
      <c r="G105" s="151">
        <v>0.0</v>
      </c>
      <c r="H105" s="151">
        <v>3.0</v>
      </c>
      <c r="I105" s="151">
        <v>3.0</v>
      </c>
      <c r="J105" s="151">
        <v>0.0</v>
      </c>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c r="AI105" s="152"/>
      <c r="AJ105" s="152"/>
    </row>
    <row r="106" ht="15.75" customHeight="1">
      <c r="A106" s="148" t="s">
        <v>576</v>
      </c>
      <c r="B106" s="148">
        <v>18.0</v>
      </c>
      <c r="C106" s="148" t="s">
        <v>1702</v>
      </c>
      <c r="D106" s="149" t="s">
        <v>1703</v>
      </c>
      <c r="E106" s="150">
        <v>0.0</v>
      </c>
      <c r="F106" s="151">
        <v>0.0</v>
      </c>
      <c r="G106" s="151">
        <v>0.0</v>
      </c>
      <c r="H106" s="151">
        <v>0.0</v>
      </c>
      <c r="I106" s="151">
        <v>0.0</v>
      </c>
      <c r="J106" s="151">
        <v>0.0</v>
      </c>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c r="AI106" s="152"/>
      <c r="AJ106" s="152"/>
    </row>
    <row r="107" ht="15.75" customHeight="1">
      <c r="A107" s="148" t="s">
        <v>576</v>
      </c>
      <c r="B107" s="148">
        <v>19.0</v>
      </c>
      <c r="C107" s="148" t="s">
        <v>1021</v>
      </c>
      <c r="D107" s="149" t="s">
        <v>1022</v>
      </c>
      <c r="E107" s="150">
        <v>91.0</v>
      </c>
      <c r="F107" s="151">
        <v>88.0</v>
      </c>
      <c r="G107" s="151">
        <v>1.0</v>
      </c>
      <c r="H107" s="151">
        <v>0.0</v>
      </c>
      <c r="I107" s="151">
        <v>1.0</v>
      </c>
      <c r="J107" s="151">
        <v>0.0</v>
      </c>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c r="AI107" s="152"/>
      <c r="AJ107" s="152"/>
    </row>
    <row r="108" ht="15.75" customHeight="1">
      <c r="A108" s="148" t="s">
        <v>576</v>
      </c>
      <c r="B108" s="148">
        <v>20.0</v>
      </c>
      <c r="C108" s="148" t="s">
        <v>1733</v>
      </c>
      <c r="D108" s="149" t="s">
        <v>1734</v>
      </c>
      <c r="E108" s="150">
        <v>75.0</v>
      </c>
      <c r="F108" s="151">
        <v>70.0</v>
      </c>
      <c r="G108" s="151">
        <v>1.0</v>
      </c>
      <c r="H108" s="151">
        <v>0.0</v>
      </c>
      <c r="I108" s="151">
        <v>0.0</v>
      </c>
      <c r="J108" s="151">
        <v>0.0</v>
      </c>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c r="AI108" s="152"/>
      <c r="AJ108" s="152"/>
    </row>
    <row r="109" ht="15.75" customHeight="1">
      <c r="A109" s="148" t="s">
        <v>576</v>
      </c>
      <c r="B109" s="148">
        <v>21.0</v>
      </c>
      <c r="C109" s="148" t="s">
        <v>1750</v>
      </c>
      <c r="D109" s="149" t="s">
        <v>1752</v>
      </c>
      <c r="E109" s="150">
        <v>21.0</v>
      </c>
      <c r="F109" s="151">
        <v>0.0</v>
      </c>
      <c r="G109" s="151">
        <v>0.0</v>
      </c>
      <c r="H109" s="151">
        <v>0.0</v>
      </c>
      <c r="I109" s="151">
        <v>0.0</v>
      </c>
      <c r="J109" s="151">
        <v>0.0</v>
      </c>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c r="AI109" s="152"/>
      <c r="AJ109" s="152"/>
    </row>
    <row r="110" ht="15.75" customHeight="1">
      <c r="A110" s="148" t="s">
        <v>576</v>
      </c>
      <c r="B110" s="148">
        <v>22.0</v>
      </c>
      <c r="C110" s="148" t="s">
        <v>380</v>
      </c>
      <c r="D110" s="149" t="s">
        <v>379</v>
      </c>
      <c r="E110" s="150">
        <v>65.0</v>
      </c>
      <c r="F110" s="151">
        <v>6.0</v>
      </c>
      <c r="G110" s="151">
        <v>0.0</v>
      </c>
      <c r="H110" s="151">
        <v>0.0</v>
      </c>
      <c r="I110" s="151">
        <v>0.0</v>
      </c>
      <c r="J110" s="151">
        <v>0.0</v>
      </c>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c r="AI110" s="152"/>
      <c r="AJ110" s="152"/>
    </row>
    <row r="111" ht="15.75" customHeight="1">
      <c r="A111" s="148" t="s">
        <v>576</v>
      </c>
      <c r="B111" s="148">
        <v>23.0</v>
      </c>
      <c r="C111" s="148" t="s">
        <v>1778</v>
      </c>
      <c r="D111" s="149" t="s">
        <v>1781</v>
      </c>
      <c r="E111" s="150">
        <v>92.0</v>
      </c>
      <c r="F111" s="151">
        <v>465.0</v>
      </c>
      <c r="G111" s="151">
        <v>40.0</v>
      </c>
      <c r="H111" s="151">
        <v>4.0</v>
      </c>
      <c r="I111" s="151">
        <v>6.0</v>
      </c>
      <c r="J111" s="151">
        <v>10.0</v>
      </c>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c r="AI111" s="152"/>
      <c r="AJ111" s="152"/>
    </row>
    <row r="112" ht="15.75" customHeight="1">
      <c r="A112" s="148" t="s">
        <v>576</v>
      </c>
      <c r="B112" s="148">
        <v>24.0</v>
      </c>
      <c r="C112" s="148" t="s">
        <v>1406</v>
      </c>
      <c r="D112" s="149" t="s">
        <v>1357</v>
      </c>
      <c r="E112" s="150">
        <v>3.3</v>
      </c>
      <c r="F112" s="151">
        <v>0.0</v>
      </c>
      <c r="G112" s="151">
        <v>3.0</v>
      </c>
      <c r="H112" s="151">
        <v>3.0</v>
      </c>
      <c r="I112" s="151">
        <v>0.0</v>
      </c>
      <c r="J112" s="151">
        <v>0.0</v>
      </c>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c r="AI112" s="152"/>
      <c r="AJ112" s="152"/>
    </row>
    <row r="113" ht="15.75" customHeight="1">
      <c r="A113" s="164" t="s">
        <v>576</v>
      </c>
      <c r="B113" s="164">
        <v>25.0</v>
      </c>
      <c r="C113" s="164" t="s">
        <v>1810</v>
      </c>
      <c r="D113" s="165" t="s">
        <v>1812</v>
      </c>
      <c r="E113" s="166">
        <v>53.0</v>
      </c>
      <c r="F113" s="167">
        <v>298.0</v>
      </c>
      <c r="G113" s="167">
        <v>18.0</v>
      </c>
      <c r="H113" s="167">
        <v>1.0</v>
      </c>
      <c r="I113" s="167">
        <v>10.0</v>
      </c>
      <c r="J113" s="167">
        <v>7.0</v>
      </c>
      <c r="K113" s="168"/>
      <c r="L113" s="168"/>
      <c r="M113" s="168"/>
      <c r="N113" s="168"/>
      <c r="O113" s="168"/>
      <c r="P113" s="168"/>
      <c r="Q113" s="168"/>
      <c r="R113" s="168"/>
      <c r="S113" s="168"/>
      <c r="T113" s="168"/>
      <c r="U113" s="168"/>
      <c r="V113" s="168"/>
      <c r="W113" s="168"/>
      <c r="X113" s="168"/>
      <c r="Y113" s="168"/>
      <c r="Z113" s="168"/>
      <c r="AA113" s="168"/>
      <c r="AB113" s="168"/>
      <c r="AC113" s="168"/>
      <c r="AD113" s="168"/>
      <c r="AE113" s="168"/>
      <c r="AF113" s="168"/>
      <c r="AG113" s="168"/>
      <c r="AH113" s="168"/>
      <c r="AI113" s="168"/>
      <c r="AJ113" s="168"/>
    </row>
    <row r="114" ht="15.75" customHeight="1">
      <c r="A114" s="148" t="s">
        <v>576</v>
      </c>
      <c r="B114" s="148">
        <v>28.0</v>
      </c>
      <c r="C114" s="148" t="s">
        <v>912</v>
      </c>
      <c r="D114" s="149" t="s">
        <v>913</v>
      </c>
      <c r="E114" s="150">
        <v>82.0</v>
      </c>
      <c r="F114" s="151">
        <v>28.0</v>
      </c>
      <c r="G114" s="151">
        <v>4.0</v>
      </c>
      <c r="H114" s="151">
        <v>0.0</v>
      </c>
      <c r="I114" s="151">
        <v>0.0</v>
      </c>
      <c r="J114" s="151">
        <v>0.0</v>
      </c>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c r="AI114" s="152"/>
      <c r="AJ114" s="152"/>
    </row>
    <row r="115" ht="15.75" customHeight="1">
      <c r="A115" s="148" t="s">
        <v>576</v>
      </c>
      <c r="B115" s="148">
        <v>41.0</v>
      </c>
      <c r="C115" s="148" t="s">
        <v>1039</v>
      </c>
      <c r="D115" s="149" t="s">
        <v>1040</v>
      </c>
      <c r="E115" s="150">
        <v>81.0</v>
      </c>
      <c r="F115" s="151">
        <v>34.0</v>
      </c>
      <c r="G115" s="151">
        <v>0.0</v>
      </c>
      <c r="H115" s="151">
        <v>1.0</v>
      </c>
      <c r="I115" s="151">
        <v>0.0</v>
      </c>
      <c r="J115" s="151">
        <v>0.0</v>
      </c>
      <c r="K115" s="152"/>
      <c r="L115" s="152"/>
      <c r="M115" s="152"/>
      <c r="N115" s="152"/>
      <c r="O115" s="152"/>
      <c r="P115" s="152"/>
      <c r="Q115" s="152"/>
      <c r="R115" s="152"/>
      <c r="S115" s="152"/>
      <c r="T115" s="152"/>
      <c r="U115" s="152"/>
      <c r="V115" s="152"/>
      <c r="W115" s="152"/>
      <c r="X115" s="152"/>
      <c r="Y115" s="152"/>
      <c r="Z115" s="152"/>
      <c r="AA115" s="152"/>
      <c r="AB115" s="152"/>
      <c r="AC115" s="152"/>
      <c r="AD115" s="152"/>
      <c r="AE115" s="152"/>
      <c r="AF115" s="152"/>
      <c r="AG115" s="152"/>
      <c r="AH115" s="152"/>
      <c r="AI115" s="152"/>
      <c r="AJ115" s="152"/>
    </row>
    <row r="116" ht="15.75" customHeight="1">
      <c r="A116" s="148" t="s">
        <v>576</v>
      </c>
      <c r="B116" s="148">
        <v>101.0</v>
      </c>
      <c r="C116" s="148" t="s">
        <v>27</v>
      </c>
      <c r="D116" s="149" t="s">
        <v>35</v>
      </c>
      <c r="E116" s="150">
        <v>67.0</v>
      </c>
      <c r="F116" s="151">
        <v>1.0</v>
      </c>
      <c r="G116" s="151">
        <v>0.0</v>
      </c>
      <c r="H116" s="151">
        <v>0.0</v>
      </c>
      <c r="I116" s="151">
        <v>0.0</v>
      </c>
      <c r="J116" s="151">
        <v>0.0</v>
      </c>
      <c r="K116" s="152"/>
      <c r="L116" s="152"/>
      <c r="M116" s="152"/>
      <c r="N116" s="152"/>
      <c r="O116" s="152"/>
      <c r="P116" s="152"/>
      <c r="Q116" s="152"/>
      <c r="R116" s="152"/>
      <c r="S116" s="152"/>
      <c r="T116" s="152"/>
      <c r="U116" s="152"/>
      <c r="V116" s="152"/>
      <c r="W116" s="152"/>
      <c r="X116" s="152"/>
      <c r="Y116" s="152"/>
      <c r="Z116" s="152"/>
      <c r="AA116" s="152"/>
      <c r="AB116" s="152"/>
      <c r="AC116" s="152"/>
      <c r="AD116" s="152"/>
      <c r="AE116" s="152"/>
      <c r="AF116" s="152"/>
      <c r="AG116" s="152"/>
      <c r="AH116" s="152"/>
      <c r="AI116" s="152"/>
      <c r="AJ116" s="152"/>
    </row>
    <row r="117" ht="15.75" customHeight="1">
      <c r="A117" s="148" t="s">
        <v>576</v>
      </c>
      <c r="B117" s="148">
        <v>135.0</v>
      </c>
      <c r="C117" s="148" t="s">
        <v>1029</v>
      </c>
      <c r="D117" s="149" t="s">
        <v>1031</v>
      </c>
      <c r="E117" s="150">
        <v>75.0</v>
      </c>
      <c r="F117" s="151">
        <v>1.0</v>
      </c>
      <c r="G117" s="151">
        <v>0.0</v>
      </c>
      <c r="H117" s="151">
        <v>0.0</v>
      </c>
      <c r="I117" s="151">
        <v>0.0</v>
      </c>
      <c r="J117" s="151">
        <v>0.0</v>
      </c>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c r="AI117" s="152"/>
      <c r="AJ117" s="152"/>
    </row>
    <row r="118" ht="15.75" customHeight="1">
      <c r="A118" s="148" t="s">
        <v>576</v>
      </c>
      <c r="B118" s="148">
        <v>136.0</v>
      </c>
      <c r="C118" s="148" t="s">
        <v>1101</v>
      </c>
      <c r="D118" s="149" t="s">
        <v>1411</v>
      </c>
      <c r="E118" s="150">
        <v>53.0</v>
      </c>
      <c r="F118" s="151">
        <v>0.0</v>
      </c>
      <c r="G118" s="151">
        <v>0.0</v>
      </c>
      <c r="H118" s="151">
        <v>0.0</v>
      </c>
      <c r="I118" s="151">
        <v>0.0</v>
      </c>
      <c r="J118" s="151">
        <v>0.0</v>
      </c>
      <c r="K118" s="152"/>
      <c r="L118" s="152"/>
      <c r="M118" s="152"/>
      <c r="N118" s="152"/>
      <c r="O118" s="152"/>
      <c r="P118" s="152"/>
      <c r="Q118" s="152"/>
      <c r="R118" s="152"/>
      <c r="S118" s="152"/>
      <c r="T118" s="152"/>
      <c r="U118" s="152"/>
      <c r="V118" s="152"/>
      <c r="W118" s="152"/>
      <c r="X118" s="152"/>
      <c r="Y118" s="152"/>
      <c r="Z118" s="152"/>
      <c r="AA118" s="152"/>
      <c r="AB118" s="152"/>
      <c r="AC118" s="152"/>
      <c r="AD118" s="152"/>
      <c r="AE118" s="152"/>
      <c r="AF118" s="152"/>
      <c r="AG118" s="152"/>
      <c r="AH118" s="152"/>
      <c r="AI118" s="152"/>
      <c r="AJ118" s="152"/>
    </row>
    <row r="119" ht="15.75" customHeight="1">
      <c r="A119" s="148" t="s">
        <v>576</v>
      </c>
      <c r="B119" s="148">
        <v>137.0</v>
      </c>
      <c r="C119" s="148" t="s">
        <v>1055</v>
      </c>
      <c r="D119" s="149" t="s">
        <v>1056</v>
      </c>
      <c r="E119" s="150">
        <v>58.0</v>
      </c>
      <c r="F119" s="151">
        <v>1.0</v>
      </c>
      <c r="G119" s="151">
        <v>0.0</v>
      </c>
      <c r="H119" s="151">
        <v>0.0</v>
      </c>
      <c r="I119" s="151">
        <v>0.0</v>
      </c>
      <c r="J119" s="151">
        <v>0.0</v>
      </c>
      <c r="K119" s="152"/>
      <c r="L119" s="152"/>
      <c r="M119" s="152"/>
      <c r="N119" s="152"/>
      <c r="O119" s="152"/>
      <c r="P119" s="152"/>
      <c r="Q119" s="152"/>
      <c r="R119" s="152"/>
      <c r="S119" s="152"/>
      <c r="T119" s="152"/>
      <c r="U119" s="152"/>
      <c r="V119" s="152"/>
      <c r="W119" s="152"/>
      <c r="X119" s="152"/>
      <c r="Y119" s="152"/>
      <c r="Z119" s="152"/>
      <c r="AA119" s="152"/>
      <c r="AB119" s="152"/>
      <c r="AC119" s="152"/>
      <c r="AD119" s="152"/>
      <c r="AE119" s="152"/>
      <c r="AF119" s="152"/>
      <c r="AG119" s="152"/>
      <c r="AH119" s="152"/>
      <c r="AI119" s="152"/>
      <c r="AJ119" s="152"/>
    </row>
    <row r="120" ht="15.75" customHeight="1">
      <c r="A120" s="148" t="s">
        <v>576</v>
      </c>
      <c r="B120" s="148">
        <v>138.0</v>
      </c>
      <c r="C120" s="148" t="s">
        <v>1153</v>
      </c>
      <c r="D120" s="149" t="s">
        <v>1154</v>
      </c>
      <c r="E120" s="150">
        <v>59.0</v>
      </c>
      <c r="F120" s="151">
        <v>0.0</v>
      </c>
      <c r="G120" s="151">
        <v>0.0</v>
      </c>
      <c r="H120" s="151">
        <v>0.0</v>
      </c>
      <c r="I120" s="151">
        <v>1.0</v>
      </c>
      <c r="J120" s="151">
        <v>0.0</v>
      </c>
      <c r="K120" s="152"/>
      <c r="L120" s="152"/>
      <c r="M120" s="152"/>
      <c r="N120" s="152"/>
      <c r="O120" s="152"/>
      <c r="P120" s="152"/>
      <c r="Q120" s="152"/>
      <c r="R120" s="152"/>
      <c r="S120" s="152"/>
      <c r="T120" s="152"/>
      <c r="U120" s="152"/>
      <c r="V120" s="152"/>
      <c r="W120" s="152"/>
      <c r="X120" s="152"/>
      <c r="Y120" s="152"/>
      <c r="Z120" s="152"/>
      <c r="AA120" s="152"/>
      <c r="AB120" s="152"/>
      <c r="AC120" s="152"/>
      <c r="AD120" s="152"/>
      <c r="AE120" s="152"/>
      <c r="AF120" s="152"/>
      <c r="AG120" s="152"/>
      <c r="AH120" s="152"/>
      <c r="AI120" s="152"/>
      <c r="AJ120" s="152"/>
    </row>
    <row r="121" ht="15.75" customHeight="1">
      <c r="A121" s="148" t="s">
        <v>576</v>
      </c>
      <c r="B121" s="148">
        <v>139.0</v>
      </c>
      <c r="C121" s="148" t="s">
        <v>1130</v>
      </c>
      <c r="D121" s="149" t="s">
        <v>1131</v>
      </c>
      <c r="E121" s="150">
        <v>58.0</v>
      </c>
      <c r="F121" s="151">
        <v>3.0</v>
      </c>
      <c r="G121" s="151">
        <v>0.0</v>
      </c>
      <c r="H121" s="151">
        <v>0.0</v>
      </c>
      <c r="I121" s="151">
        <v>0.0</v>
      </c>
      <c r="J121" s="151">
        <v>0.0</v>
      </c>
      <c r="K121" s="152"/>
      <c r="L121" s="152"/>
      <c r="M121" s="152"/>
      <c r="N121" s="152"/>
      <c r="O121" s="152"/>
      <c r="P121" s="152"/>
      <c r="Q121" s="152"/>
      <c r="R121" s="152"/>
      <c r="S121" s="152"/>
      <c r="T121" s="152"/>
      <c r="U121" s="152"/>
      <c r="V121" s="152"/>
      <c r="W121" s="152"/>
      <c r="X121" s="152"/>
      <c r="Y121" s="152"/>
      <c r="Z121" s="152"/>
      <c r="AA121" s="152"/>
      <c r="AB121" s="152"/>
      <c r="AC121" s="152"/>
      <c r="AD121" s="152"/>
      <c r="AE121" s="152"/>
      <c r="AF121" s="152"/>
      <c r="AG121" s="152"/>
      <c r="AH121" s="152"/>
      <c r="AI121" s="152"/>
      <c r="AJ121" s="152"/>
    </row>
    <row r="122" ht="15.75" customHeight="1">
      <c r="A122" s="148" t="s">
        <v>576</v>
      </c>
      <c r="B122" s="148">
        <v>140.0</v>
      </c>
      <c r="C122" s="148" t="s">
        <v>1091</v>
      </c>
      <c r="D122" s="149" t="s">
        <v>1092</v>
      </c>
      <c r="E122" s="150">
        <v>73.0</v>
      </c>
      <c r="F122" s="151">
        <v>7.0</v>
      </c>
      <c r="G122" s="151">
        <v>0.0</v>
      </c>
      <c r="H122" s="151">
        <v>1.0</v>
      </c>
      <c r="I122" s="151">
        <v>0.0</v>
      </c>
      <c r="J122" s="151">
        <v>0.0</v>
      </c>
      <c r="K122" s="152"/>
      <c r="L122" s="152"/>
      <c r="M122" s="152"/>
      <c r="N122" s="152"/>
      <c r="O122" s="152"/>
      <c r="P122" s="152"/>
      <c r="Q122" s="152"/>
      <c r="R122" s="152"/>
      <c r="S122" s="152"/>
      <c r="T122" s="152"/>
      <c r="U122" s="152"/>
      <c r="V122" s="152"/>
      <c r="W122" s="152"/>
      <c r="X122" s="152"/>
      <c r="Y122" s="152"/>
      <c r="Z122" s="152"/>
      <c r="AA122" s="152"/>
      <c r="AB122" s="152"/>
      <c r="AC122" s="152"/>
      <c r="AD122" s="152"/>
      <c r="AE122" s="152"/>
      <c r="AF122" s="152"/>
      <c r="AG122" s="152"/>
      <c r="AH122" s="152"/>
      <c r="AI122" s="152"/>
      <c r="AJ122" s="152"/>
    </row>
    <row r="123" ht="15.75" customHeight="1">
      <c r="A123" s="148" t="s">
        <v>576</v>
      </c>
      <c r="B123" s="148">
        <v>141.0</v>
      </c>
      <c r="C123" s="148" t="s">
        <v>1138</v>
      </c>
      <c r="D123" s="149" t="s">
        <v>1139</v>
      </c>
      <c r="E123" s="150">
        <v>3.4</v>
      </c>
      <c r="F123" s="151">
        <v>0.0</v>
      </c>
      <c r="G123" s="151">
        <v>0.0</v>
      </c>
      <c r="H123" s="151">
        <v>0.0</v>
      </c>
      <c r="I123" s="151">
        <v>0.0</v>
      </c>
      <c r="J123" s="151">
        <v>0.0</v>
      </c>
      <c r="K123" s="152"/>
      <c r="L123" s="152"/>
      <c r="M123" s="152"/>
      <c r="N123" s="152"/>
      <c r="O123" s="152"/>
      <c r="P123" s="152"/>
      <c r="Q123" s="152"/>
      <c r="R123" s="152"/>
      <c r="S123" s="152"/>
      <c r="T123" s="152"/>
      <c r="U123" s="152"/>
      <c r="V123" s="152"/>
      <c r="W123" s="152"/>
      <c r="X123" s="152"/>
      <c r="Y123" s="152"/>
      <c r="Z123" s="152"/>
      <c r="AA123" s="152"/>
      <c r="AB123" s="152"/>
      <c r="AC123" s="152"/>
      <c r="AD123" s="152"/>
      <c r="AE123" s="152"/>
      <c r="AF123" s="152"/>
      <c r="AG123" s="152"/>
      <c r="AH123" s="152"/>
      <c r="AI123" s="152"/>
      <c r="AJ123" s="152"/>
    </row>
    <row r="124" ht="15.75" customHeight="1">
      <c r="A124" s="148" t="s">
        <v>576</v>
      </c>
      <c r="B124" s="148">
        <v>142.0</v>
      </c>
      <c r="C124" s="148" t="s">
        <v>1064</v>
      </c>
      <c r="D124" s="149" t="s">
        <v>1065</v>
      </c>
      <c r="E124" s="150">
        <v>0.4</v>
      </c>
      <c r="F124" s="151">
        <v>0.0</v>
      </c>
      <c r="G124" s="151">
        <v>0.0</v>
      </c>
      <c r="H124" s="151">
        <v>0.0</v>
      </c>
      <c r="I124" s="151">
        <v>0.0</v>
      </c>
      <c r="J124" s="151">
        <v>0.0</v>
      </c>
      <c r="K124" s="152"/>
      <c r="L124" s="152"/>
      <c r="M124" s="152"/>
      <c r="N124" s="152"/>
      <c r="O124" s="152"/>
      <c r="P124" s="152"/>
      <c r="Q124" s="152"/>
      <c r="R124" s="152"/>
      <c r="S124" s="152"/>
      <c r="T124" s="152"/>
      <c r="U124" s="152"/>
      <c r="V124" s="152"/>
      <c r="W124" s="152"/>
      <c r="X124" s="152"/>
      <c r="Y124" s="152"/>
      <c r="Z124" s="152"/>
      <c r="AA124" s="152"/>
      <c r="AB124" s="152"/>
      <c r="AC124" s="152"/>
      <c r="AD124" s="152"/>
      <c r="AE124" s="152"/>
      <c r="AF124" s="152"/>
      <c r="AG124" s="152"/>
      <c r="AH124" s="152"/>
      <c r="AI124" s="152"/>
      <c r="AJ124" s="152"/>
    </row>
    <row r="125" ht="15.75" customHeight="1">
      <c r="A125" s="148" t="s">
        <v>576</v>
      </c>
      <c r="B125" s="148">
        <v>143.0</v>
      </c>
      <c r="C125" s="148" t="s">
        <v>1012</v>
      </c>
      <c r="D125" s="148" t="s">
        <v>1013</v>
      </c>
      <c r="E125" s="150">
        <v>19.0</v>
      </c>
      <c r="F125" s="151">
        <v>0.0</v>
      </c>
      <c r="G125" s="151">
        <v>0.0</v>
      </c>
      <c r="H125" s="151">
        <v>0.0</v>
      </c>
      <c r="I125" s="151">
        <v>0.0</v>
      </c>
      <c r="J125" s="151">
        <v>0.0</v>
      </c>
      <c r="K125" s="152"/>
      <c r="L125" s="152"/>
      <c r="M125" s="152"/>
      <c r="N125" s="152"/>
      <c r="O125" s="152"/>
      <c r="P125" s="152"/>
      <c r="Q125" s="152"/>
      <c r="R125" s="152"/>
      <c r="S125" s="152"/>
      <c r="T125" s="152"/>
      <c r="U125" s="152"/>
      <c r="V125" s="152"/>
      <c r="W125" s="152"/>
      <c r="X125" s="152"/>
      <c r="Y125" s="152"/>
      <c r="Z125" s="152"/>
      <c r="AA125" s="152"/>
      <c r="AB125" s="152"/>
      <c r="AC125" s="152"/>
      <c r="AD125" s="152"/>
      <c r="AE125" s="152"/>
      <c r="AF125" s="152"/>
      <c r="AG125" s="152"/>
      <c r="AH125" s="152"/>
      <c r="AI125" s="152"/>
      <c r="AJ125" s="152"/>
    </row>
    <row r="126" ht="15.75" customHeight="1">
      <c r="A126" s="148" t="s">
        <v>576</v>
      </c>
      <c r="B126" s="148">
        <v>144.0</v>
      </c>
      <c r="C126" s="148" t="s">
        <v>1072</v>
      </c>
      <c r="D126" s="149" t="s">
        <v>572</v>
      </c>
      <c r="E126" s="150">
        <v>79.0</v>
      </c>
      <c r="F126" s="151">
        <v>21.0</v>
      </c>
      <c r="G126" s="151">
        <v>0.0</v>
      </c>
      <c r="H126" s="151">
        <v>1.0</v>
      </c>
      <c r="I126" s="151">
        <v>1.0</v>
      </c>
      <c r="J126" s="151">
        <v>1.0</v>
      </c>
      <c r="K126" s="152"/>
      <c r="L126" s="152"/>
      <c r="M126" s="152"/>
      <c r="N126" s="152"/>
      <c r="O126" s="152"/>
      <c r="P126" s="152"/>
      <c r="Q126" s="152"/>
      <c r="R126" s="152"/>
      <c r="S126" s="152"/>
      <c r="T126" s="152"/>
      <c r="U126" s="152"/>
      <c r="V126" s="152"/>
      <c r="W126" s="152"/>
      <c r="X126" s="152"/>
      <c r="Y126" s="152"/>
      <c r="Z126" s="152"/>
      <c r="AA126" s="152"/>
      <c r="AB126" s="152"/>
      <c r="AC126" s="152"/>
      <c r="AD126" s="152"/>
      <c r="AE126" s="152"/>
      <c r="AF126" s="152"/>
      <c r="AG126" s="152"/>
      <c r="AH126" s="152"/>
      <c r="AI126" s="152"/>
      <c r="AJ126" s="152"/>
    </row>
    <row r="127" ht="15.75" customHeight="1">
      <c r="A127" s="148" t="s">
        <v>576</v>
      </c>
      <c r="B127" s="148">
        <v>145.0</v>
      </c>
      <c r="C127" s="148" t="s">
        <v>862</v>
      </c>
      <c r="D127" s="149" t="s">
        <v>863</v>
      </c>
      <c r="E127" s="150">
        <v>19.0</v>
      </c>
      <c r="F127" s="151">
        <v>0.0</v>
      </c>
      <c r="G127" s="151">
        <v>0.0</v>
      </c>
      <c r="H127" s="151">
        <v>0.0</v>
      </c>
      <c r="I127" s="151">
        <v>0.0</v>
      </c>
      <c r="J127" s="151">
        <v>0.0</v>
      </c>
      <c r="K127" s="152"/>
      <c r="L127" s="152"/>
      <c r="M127" s="152"/>
      <c r="N127" s="152"/>
      <c r="O127" s="152"/>
      <c r="P127" s="152"/>
      <c r="Q127" s="152"/>
      <c r="R127" s="152"/>
      <c r="S127" s="152"/>
      <c r="T127" s="152"/>
      <c r="U127" s="152"/>
      <c r="V127" s="152"/>
      <c r="W127" s="152"/>
      <c r="X127" s="152"/>
      <c r="Y127" s="152"/>
      <c r="Z127" s="152"/>
      <c r="AA127" s="152"/>
      <c r="AB127" s="152"/>
      <c r="AC127" s="152"/>
      <c r="AD127" s="152"/>
      <c r="AE127" s="152"/>
      <c r="AF127" s="152"/>
      <c r="AG127" s="152"/>
      <c r="AH127" s="152"/>
      <c r="AI127" s="152"/>
      <c r="AJ127" s="152"/>
    </row>
    <row r="128" ht="15.75" customHeight="1">
      <c r="A128" s="148" t="s">
        <v>576</v>
      </c>
      <c r="B128" s="148">
        <v>146.0</v>
      </c>
      <c r="C128" s="148" t="s">
        <v>790</v>
      </c>
      <c r="D128" s="149" t="s">
        <v>791</v>
      </c>
      <c r="E128" s="150">
        <v>65.0</v>
      </c>
      <c r="F128" s="151">
        <v>1.0</v>
      </c>
      <c r="G128" s="151">
        <v>1.0</v>
      </c>
      <c r="H128" s="151">
        <v>0.0</v>
      </c>
      <c r="I128" s="151">
        <v>0.0</v>
      </c>
      <c r="J128" s="151">
        <v>0.0</v>
      </c>
      <c r="K128" s="152"/>
      <c r="L128" s="152"/>
      <c r="M128" s="152"/>
      <c r="N128" s="152"/>
      <c r="O128" s="152"/>
      <c r="P128" s="152"/>
      <c r="Q128" s="152"/>
      <c r="R128" s="152"/>
      <c r="S128" s="152"/>
      <c r="T128" s="152"/>
      <c r="U128" s="152"/>
      <c r="V128" s="152"/>
      <c r="W128" s="152"/>
      <c r="X128" s="152"/>
      <c r="Y128" s="152"/>
      <c r="Z128" s="152"/>
      <c r="AA128" s="152"/>
      <c r="AB128" s="152"/>
      <c r="AC128" s="152"/>
      <c r="AD128" s="152"/>
      <c r="AE128" s="152"/>
      <c r="AF128" s="152"/>
      <c r="AG128" s="152"/>
      <c r="AH128" s="152"/>
      <c r="AI128" s="152"/>
      <c r="AJ128" s="152"/>
    </row>
    <row r="129" ht="15.75" customHeight="1">
      <c r="A129" s="148" t="s">
        <v>576</v>
      </c>
      <c r="B129" s="148">
        <v>147.0</v>
      </c>
      <c r="C129" s="148" t="s">
        <v>1078</v>
      </c>
      <c r="D129" s="149" t="s">
        <v>1080</v>
      </c>
      <c r="E129" s="150">
        <v>53.0</v>
      </c>
      <c r="F129" s="151">
        <v>1.0</v>
      </c>
      <c r="G129" s="151">
        <v>0.0</v>
      </c>
      <c r="H129" s="151">
        <v>0.0</v>
      </c>
      <c r="I129" s="151">
        <v>0.0</v>
      </c>
      <c r="J129" s="151">
        <v>0.0</v>
      </c>
      <c r="K129" s="152"/>
      <c r="L129" s="152"/>
      <c r="M129" s="152"/>
      <c r="N129" s="152"/>
      <c r="O129" s="152"/>
      <c r="P129" s="152"/>
      <c r="Q129" s="152"/>
      <c r="R129" s="152"/>
      <c r="S129" s="152"/>
      <c r="T129" s="152"/>
      <c r="U129" s="152"/>
      <c r="V129" s="152"/>
      <c r="W129" s="152"/>
      <c r="X129" s="152"/>
      <c r="Y129" s="152"/>
      <c r="Z129" s="152"/>
      <c r="AA129" s="152"/>
      <c r="AB129" s="152"/>
      <c r="AC129" s="152"/>
      <c r="AD129" s="152"/>
      <c r="AE129" s="152"/>
      <c r="AF129" s="152"/>
      <c r="AG129" s="152"/>
      <c r="AH129" s="152"/>
      <c r="AI129" s="152"/>
      <c r="AJ129" s="152"/>
    </row>
    <row r="130" ht="15.75" customHeight="1">
      <c r="A130" s="148" t="s">
        <v>576</v>
      </c>
      <c r="B130" s="148">
        <v>148.0</v>
      </c>
      <c r="C130" s="148" t="s">
        <v>1046</v>
      </c>
      <c r="D130" s="149" t="s">
        <v>1047</v>
      </c>
      <c r="E130" s="150">
        <v>73.0</v>
      </c>
      <c r="F130" s="151">
        <v>1.0</v>
      </c>
      <c r="G130" s="151">
        <v>2.0</v>
      </c>
      <c r="H130" s="151">
        <v>1.0</v>
      </c>
      <c r="I130" s="151">
        <v>0.0</v>
      </c>
      <c r="J130" s="151">
        <v>0.0</v>
      </c>
      <c r="K130" s="152"/>
      <c r="L130" s="152"/>
      <c r="M130" s="152"/>
      <c r="N130" s="152"/>
      <c r="O130" s="152"/>
      <c r="P130" s="152"/>
      <c r="Q130" s="152"/>
      <c r="R130" s="152"/>
      <c r="S130" s="152"/>
      <c r="T130" s="152"/>
      <c r="U130" s="152"/>
      <c r="V130" s="152"/>
      <c r="W130" s="152"/>
      <c r="X130" s="152"/>
      <c r="Y130" s="152"/>
      <c r="Z130" s="152"/>
      <c r="AA130" s="152"/>
      <c r="AB130" s="152"/>
      <c r="AC130" s="152"/>
      <c r="AD130" s="152"/>
      <c r="AE130" s="152"/>
      <c r="AF130" s="152"/>
      <c r="AG130" s="152"/>
      <c r="AH130" s="152"/>
      <c r="AI130" s="152"/>
      <c r="AJ130" s="152"/>
    </row>
    <row r="131" ht="15.75" customHeight="1">
      <c r="A131" s="148" t="s">
        <v>576</v>
      </c>
      <c r="B131" s="148">
        <v>149.0</v>
      </c>
      <c r="C131" s="148" t="s">
        <v>1110</v>
      </c>
      <c r="D131" s="149" t="s">
        <v>1111</v>
      </c>
      <c r="E131" s="150">
        <v>49.0</v>
      </c>
      <c r="F131" s="151">
        <v>0.0</v>
      </c>
      <c r="G131" s="151">
        <v>0.0</v>
      </c>
      <c r="H131" s="151">
        <v>0.0</v>
      </c>
      <c r="I131" s="151">
        <v>0.0</v>
      </c>
      <c r="J131" s="151">
        <v>0.0</v>
      </c>
      <c r="K131" s="152"/>
      <c r="L131" s="152"/>
      <c r="M131" s="152"/>
      <c r="N131" s="152"/>
      <c r="O131" s="152"/>
      <c r="P131" s="152"/>
      <c r="Q131" s="152"/>
      <c r="R131" s="152"/>
      <c r="S131" s="152"/>
      <c r="T131" s="152"/>
      <c r="U131" s="152"/>
      <c r="V131" s="152"/>
      <c r="W131" s="152"/>
      <c r="X131" s="152"/>
      <c r="Y131" s="152"/>
      <c r="Z131" s="152"/>
      <c r="AA131" s="152"/>
      <c r="AB131" s="152"/>
      <c r="AC131" s="152"/>
      <c r="AD131" s="152"/>
      <c r="AE131" s="152"/>
      <c r="AF131" s="152"/>
      <c r="AG131" s="152"/>
      <c r="AH131" s="152"/>
      <c r="AI131" s="152"/>
      <c r="AJ131" s="152"/>
    </row>
    <row r="132" ht="15.75" customHeight="1">
      <c r="A132" s="148" t="s">
        <v>576</v>
      </c>
      <c r="B132" s="148">
        <v>150.0</v>
      </c>
      <c r="C132" s="148" t="s">
        <v>1147</v>
      </c>
      <c r="D132" s="149" t="s">
        <v>1148</v>
      </c>
      <c r="E132" s="150">
        <v>50.0</v>
      </c>
      <c r="F132" s="151">
        <v>1.0</v>
      </c>
      <c r="G132" s="151">
        <v>0.0</v>
      </c>
      <c r="H132" s="151">
        <v>0.0</v>
      </c>
      <c r="I132" s="151">
        <v>0.0</v>
      </c>
      <c r="J132" s="151">
        <v>0.0</v>
      </c>
      <c r="K132" s="152"/>
      <c r="L132" s="152"/>
      <c r="M132" s="152"/>
      <c r="N132" s="152"/>
      <c r="O132" s="152"/>
      <c r="P132" s="152"/>
      <c r="Q132" s="152"/>
      <c r="R132" s="152"/>
      <c r="S132" s="152"/>
      <c r="T132" s="152"/>
      <c r="U132" s="152"/>
      <c r="V132" s="152"/>
      <c r="W132" s="152"/>
      <c r="X132" s="152"/>
      <c r="Y132" s="152"/>
      <c r="Z132" s="152"/>
      <c r="AA132" s="152"/>
      <c r="AB132" s="152"/>
      <c r="AC132" s="152"/>
      <c r="AD132" s="152"/>
      <c r="AE132" s="152"/>
      <c r="AF132" s="152"/>
      <c r="AG132" s="152"/>
      <c r="AH132" s="152"/>
      <c r="AI132" s="152"/>
      <c r="AJ132" s="152"/>
    </row>
    <row r="133" ht="15.75" customHeight="1">
      <c r="A133" s="148" t="s">
        <v>576</v>
      </c>
      <c r="B133" s="148">
        <v>151.0</v>
      </c>
      <c r="C133" s="148" t="s">
        <v>1120</v>
      </c>
      <c r="D133" s="149" t="s">
        <v>1066</v>
      </c>
      <c r="E133" s="150">
        <v>60.0</v>
      </c>
      <c r="F133" s="151">
        <v>5.0</v>
      </c>
      <c r="G133" s="151">
        <v>0.0</v>
      </c>
      <c r="H133" s="151">
        <v>0.0</v>
      </c>
      <c r="I133" s="151">
        <v>0.0</v>
      </c>
      <c r="J133" s="151">
        <v>0.0</v>
      </c>
      <c r="K133" s="152"/>
      <c r="L133" s="152"/>
      <c r="M133" s="152"/>
      <c r="N133" s="152"/>
      <c r="O133" s="152"/>
      <c r="P133" s="152"/>
      <c r="Q133" s="152"/>
      <c r="R133" s="152"/>
      <c r="S133" s="152"/>
      <c r="T133" s="152"/>
      <c r="U133" s="152"/>
      <c r="V133" s="152"/>
      <c r="W133" s="152"/>
      <c r="X133" s="152"/>
      <c r="Y133" s="152"/>
      <c r="Z133" s="152"/>
      <c r="AA133" s="152"/>
      <c r="AB133" s="152"/>
      <c r="AC133" s="152"/>
      <c r="AD133" s="152"/>
      <c r="AE133" s="152"/>
      <c r="AF133" s="152"/>
      <c r="AG133" s="152"/>
      <c r="AH133" s="152"/>
      <c r="AI133" s="152"/>
      <c r="AJ133" s="152"/>
    </row>
    <row r="134" ht="15.75" customHeight="1">
      <c r="A134" s="152"/>
      <c r="B134" s="152"/>
      <c r="C134" s="152"/>
      <c r="D134" s="152"/>
      <c r="E134" s="169"/>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c r="AD134" s="152"/>
      <c r="AE134" s="152"/>
      <c r="AF134" s="152"/>
      <c r="AG134" s="152"/>
      <c r="AH134" s="152"/>
      <c r="AI134" s="152"/>
      <c r="AJ134" s="152"/>
    </row>
    <row r="135" ht="15.75" customHeight="1">
      <c r="A135" s="161" t="s">
        <v>315</v>
      </c>
      <c r="B135" s="161">
        <v>1.0</v>
      </c>
      <c r="C135" s="161" t="s">
        <v>1965</v>
      </c>
      <c r="D135" s="170" t="s">
        <v>1967</v>
      </c>
      <c r="E135" s="171">
        <v>50.0</v>
      </c>
      <c r="F135" s="172">
        <v>58.0</v>
      </c>
      <c r="G135" s="172">
        <v>2.0</v>
      </c>
      <c r="H135" s="172">
        <v>8.0</v>
      </c>
      <c r="I135" s="172">
        <v>1.0</v>
      </c>
      <c r="J135" s="172">
        <v>0.0</v>
      </c>
      <c r="K135" s="163"/>
      <c r="L135" s="163"/>
      <c r="M135" s="163"/>
      <c r="N135" s="163"/>
      <c r="O135" s="163"/>
      <c r="P135" s="163"/>
      <c r="Q135" s="163"/>
      <c r="R135" s="163"/>
      <c r="S135" s="163"/>
      <c r="T135" s="163"/>
      <c r="U135" s="163"/>
      <c r="V135" s="163"/>
      <c r="W135" s="163"/>
      <c r="X135" s="163"/>
      <c r="Y135" s="163"/>
      <c r="Z135" s="163"/>
      <c r="AA135" s="163"/>
      <c r="AB135" s="163"/>
      <c r="AC135" s="163"/>
      <c r="AD135" s="163"/>
      <c r="AE135" s="163"/>
      <c r="AF135" s="163"/>
      <c r="AG135" s="163"/>
      <c r="AH135" s="163"/>
      <c r="AI135" s="163"/>
      <c r="AJ135" s="163"/>
    </row>
    <row r="136" ht="15.75" customHeight="1">
      <c r="A136" s="148" t="s">
        <v>315</v>
      </c>
      <c r="B136" s="148">
        <v>2.0</v>
      </c>
      <c r="C136" s="148" t="s">
        <v>1977</v>
      </c>
      <c r="D136" s="149" t="s">
        <v>1978</v>
      </c>
      <c r="E136" s="150">
        <v>45.0</v>
      </c>
      <c r="F136" s="151">
        <v>12.0</v>
      </c>
      <c r="G136" s="151">
        <v>0.0</v>
      </c>
      <c r="H136" s="151">
        <v>0.0</v>
      </c>
      <c r="I136" s="151">
        <v>1.0</v>
      </c>
      <c r="J136" s="151">
        <v>0.0</v>
      </c>
      <c r="K136" s="152"/>
      <c r="L136" s="152"/>
      <c r="M136" s="152"/>
      <c r="N136" s="152"/>
      <c r="O136" s="152"/>
      <c r="P136" s="152"/>
      <c r="Q136" s="152"/>
      <c r="R136" s="152"/>
      <c r="S136" s="152"/>
      <c r="T136" s="152"/>
      <c r="U136" s="152"/>
      <c r="V136" s="152"/>
      <c r="W136" s="152"/>
      <c r="X136" s="152"/>
      <c r="Y136" s="152"/>
      <c r="Z136" s="152"/>
      <c r="AA136" s="152"/>
      <c r="AB136" s="152"/>
      <c r="AC136" s="152"/>
      <c r="AD136" s="152"/>
      <c r="AE136" s="152"/>
      <c r="AF136" s="152"/>
      <c r="AG136" s="152"/>
      <c r="AH136" s="152"/>
      <c r="AI136" s="152"/>
      <c r="AJ136" s="152"/>
    </row>
    <row r="137" ht="15.75" customHeight="1">
      <c r="A137" s="148" t="s">
        <v>315</v>
      </c>
      <c r="B137" s="148">
        <v>3.0</v>
      </c>
      <c r="C137" s="148" t="s">
        <v>1986</v>
      </c>
      <c r="D137" s="149" t="s">
        <v>1987</v>
      </c>
      <c r="E137" s="150">
        <v>21.0</v>
      </c>
      <c r="F137" s="151">
        <v>0.0</v>
      </c>
      <c r="G137" s="151">
        <v>0.0</v>
      </c>
      <c r="H137" s="151">
        <v>0.0</v>
      </c>
      <c r="I137" s="151">
        <v>0.0</v>
      </c>
      <c r="J137" s="151">
        <v>0.0</v>
      </c>
      <c r="K137" s="152"/>
      <c r="L137" s="152"/>
      <c r="M137" s="152"/>
      <c r="N137" s="152"/>
      <c r="O137" s="152"/>
      <c r="P137" s="152"/>
      <c r="Q137" s="152"/>
      <c r="R137" s="152"/>
      <c r="S137" s="152"/>
      <c r="T137" s="152"/>
      <c r="U137" s="152"/>
      <c r="V137" s="152"/>
      <c r="W137" s="152"/>
      <c r="X137" s="152"/>
      <c r="Y137" s="152"/>
      <c r="Z137" s="152"/>
      <c r="AA137" s="152"/>
      <c r="AB137" s="152"/>
      <c r="AC137" s="152"/>
      <c r="AD137" s="152"/>
      <c r="AE137" s="152"/>
      <c r="AF137" s="152"/>
      <c r="AG137" s="152"/>
      <c r="AH137" s="152"/>
      <c r="AI137" s="152"/>
      <c r="AJ137" s="152"/>
    </row>
    <row r="138" ht="15.75" customHeight="1">
      <c r="A138" s="148" t="s">
        <v>315</v>
      </c>
      <c r="B138" s="148">
        <v>4.0</v>
      </c>
      <c r="C138" s="148" t="s">
        <v>1991</v>
      </c>
      <c r="D138" s="149" t="s">
        <v>1992</v>
      </c>
      <c r="E138" s="150">
        <v>62.0</v>
      </c>
      <c r="F138" s="151">
        <v>75.0</v>
      </c>
      <c r="G138" s="151">
        <v>8.0</v>
      </c>
      <c r="H138" s="151">
        <v>7.0</v>
      </c>
      <c r="I138" s="151">
        <v>8.0</v>
      </c>
      <c r="J138" s="151">
        <v>5.0</v>
      </c>
      <c r="K138" s="152"/>
      <c r="L138" s="152"/>
      <c r="M138" s="152"/>
      <c r="N138" s="152"/>
      <c r="O138" s="152"/>
      <c r="P138" s="152"/>
      <c r="Q138" s="152"/>
      <c r="R138" s="152"/>
      <c r="S138" s="152"/>
      <c r="T138" s="152"/>
      <c r="U138" s="152"/>
      <c r="V138" s="152"/>
      <c r="W138" s="152"/>
      <c r="X138" s="152"/>
      <c r="Y138" s="152"/>
      <c r="Z138" s="152"/>
      <c r="AA138" s="152"/>
      <c r="AB138" s="152"/>
      <c r="AC138" s="152"/>
      <c r="AD138" s="152"/>
      <c r="AE138" s="152"/>
      <c r="AF138" s="152"/>
      <c r="AG138" s="152"/>
      <c r="AH138" s="152"/>
      <c r="AI138" s="152"/>
      <c r="AJ138" s="152"/>
    </row>
    <row r="139" ht="15.75" customHeight="1">
      <c r="A139" s="148" t="s">
        <v>315</v>
      </c>
      <c r="B139" s="148">
        <v>5.0</v>
      </c>
      <c r="C139" s="148" t="s">
        <v>1996</v>
      </c>
      <c r="D139" s="149" t="s">
        <v>1997</v>
      </c>
      <c r="E139" s="150">
        <v>77.0</v>
      </c>
      <c r="F139" s="151">
        <v>113.0</v>
      </c>
      <c r="G139" s="151">
        <v>1.0</v>
      </c>
      <c r="H139" s="151">
        <v>9.0</v>
      </c>
      <c r="I139" s="151">
        <v>20.0</v>
      </c>
      <c r="J139" s="151">
        <v>2.0</v>
      </c>
      <c r="K139" s="152"/>
      <c r="L139" s="152"/>
      <c r="M139" s="152"/>
      <c r="N139" s="152"/>
      <c r="O139" s="152"/>
      <c r="P139" s="152"/>
      <c r="Q139" s="152"/>
      <c r="R139" s="152"/>
      <c r="S139" s="152"/>
      <c r="T139" s="152"/>
      <c r="U139" s="152"/>
      <c r="V139" s="152"/>
      <c r="W139" s="152"/>
      <c r="X139" s="152"/>
      <c r="Y139" s="152"/>
      <c r="Z139" s="152"/>
      <c r="AA139" s="152"/>
      <c r="AB139" s="152"/>
      <c r="AC139" s="152"/>
      <c r="AD139" s="152"/>
      <c r="AE139" s="152"/>
      <c r="AF139" s="152"/>
      <c r="AG139" s="152"/>
      <c r="AH139" s="152"/>
      <c r="AI139" s="152"/>
      <c r="AJ139" s="152"/>
    </row>
    <row r="140" ht="15.75" customHeight="1">
      <c r="A140" s="148" t="s">
        <v>315</v>
      </c>
      <c r="B140" s="148">
        <v>6.0</v>
      </c>
      <c r="C140" s="148" t="s">
        <v>2001</v>
      </c>
      <c r="D140" s="149" t="s">
        <v>2002</v>
      </c>
      <c r="E140" s="150">
        <v>77.0</v>
      </c>
      <c r="F140" s="151">
        <v>1.0</v>
      </c>
      <c r="G140" s="151">
        <v>0.0</v>
      </c>
      <c r="H140" s="151">
        <v>0.0</v>
      </c>
      <c r="I140" s="151">
        <v>0.0</v>
      </c>
      <c r="J140" s="151">
        <v>0.0</v>
      </c>
      <c r="K140" s="152"/>
      <c r="L140" s="152"/>
      <c r="M140" s="152"/>
      <c r="N140" s="152"/>
      <c r="O140" s="152"/>
      <c r="P140" s="152"/>
      <c r="Q140" s="152"/>
      <c r="R140" s="152"/>
      <c r="S140" s="152"/>
      <c r="T140" s="152"/>
      <c r="U140" s="152"/>
      <c r="V140" s="152"/>
      <c r="W140" s="152"/>
      <c r="X140" s="152"/>
      <c r="Y140" s="152"/>
      <c r="Z140" s="152"/>
      <c r="AA140" s="152"/>
      <c r="AB140" s="152"/>
      <c r="AC140" s="152"/>
      <c r="AD140" s="152"/>
      <c r="AE140" s="152"/>
      <c r="AF140" s="152"/>
      <c r="AG140" s="152"/>
      <c r="AH140" s="152"/>
      <c r="AI140" s="152"/>
      <c r="AJ140" s="152"/>
    </row>
    <row r="141" ht="15.75" customHeight="1">
      <c r="A141" s="148" t="s">
        <v>315</v>
      </c>
      <c r="B141" s="148">
        <v>7.0</v>
      </c>
      <c r="C141" s="148" t="s">
        <v>2009</v>
      </c>
      <c r="D141" s="148" t="s">
        <v>2011</v>
      </c>
      <c r="E141" s="150">
        <v>31.0</v>
      </c>
      <c r="F141" s="151">
        <v>2.0</v>
      </c>
      <c r="G141" s="151">
        <v>1.0</v>
      </c>
      <c r="H141" s="151">
        <v>0.0</v>
      </c>
      <c r="I141" s="151">
        <v>2.0</v>
      </c>
      <c r="J141" s="151">
        <v>0.0</v>
      </c>
      <c r="K141" s="152"/>
      <c r="L141" s="152"/>
      <c r="M141" s="152"/>
      <c r="N141" s="152"/>
      <c r="O141" s="152"/>
      <c r="P141" s="152"/>
      <c r="Q141" s="152"/>
      <c r="R141" s="152"/>
      <c r="S141" s="152"/>
      <c r="T141" s="152"/>
      <c r="U141" s="152"/>
      <c r="V141" s="152"/>
      <c r="W141" s="152"/>
      <c r="X141" s="152"/>
      <c r="Y141" s="152"/>
      <c r="Z141" s="152"/>
      <c r="AA141" s="152"/>
      <c r="AB141" s="152"/>
      <c r="AC141" s="152"/>
      <c r="AD141" s="152"/>
      <c r="AE141" s="152"/>
      <c r="AF141" s="152"/>
      <c r="AG141" s="152"/>
      <c r="AH141" s="152"/>
      <c r="AI141" s="152"/>
      <c r="AJ141" s="152"/>
    </row>
    <row r="142" ht="15.75" customHeight="1">
      <c r="A142" s="148" t="s">
        <v>315</v>
      </c>
      <c r="B142" s="148">
        <v>8.0</v>
      </c>
      <c r="C142" s="148" t="s">
        <v>2017</v>
      </c>
      <c r="D142" s="149" t="s">
        <v>2018</v>
      </c>
      <c r="E142" s="150">
        <v>34.0</v>
      </c>
      <c r="F142" s="151">
        <v>20.0</v>
      </c>
      <c r="G142" s="151">
        <v>5.0</v>
      </c>
      <c r="H142" s="151">
        <v>0.0</v>
      </c>
      <c r="I142" s="151">
        <v>0.0</v>
      </c>
      <c r="J142" s="151">
        <v>3.0</v>
      </c>
      <c r="K142" s="152"/>
      <c r="L142" s="152"/>
      <c r="M142" s="152"/>
      <c r="N142" s="152"/>
      <c r="O142" s="152"/>
      <c r="P142" s="152"/>
      <c r="Q142" s="152"/>
      <c r="R142" s="152"/>
      <c r="S142" s="152"/>
      <c r="T142" s="152"/>
      <c r="U142" s="152"/>
      <c r="V142" s="152"/>
      <c r="W142" s="152"/>
      <c r="X142" s="152"/>
      <c r="Y142" s="152"/>
      <c r="Z142" s="152"/>
      <c r="AA142" s="152"/>
      <c r="AB142" s="152"/>
      <c r="AC142" s="152"/>
      <c r="AD142" s="152"/>
      <c r="AE142" s="152"/>
      <c r="AF142" s="152"/>
      <c r="AG142" s="152"/>
      <c r="AH142" s="152"/>
      <c r="AI142" s="152"/>
      <c r="AJ142" s="152"/>
    </row>
    <row r="143" ht="15.75" customHeight="1">
      <c r="A143" s="148" t="s">
        <v>315</v>
      </c>
      <c r="B143" s="148">
        <v>9.0</v>
      </c>
      <c r="C143" s="148" t="s">
        <v>2023</v>
      </c>
      <c r="D143" s="149" t="s">
        <v>2024</v>
      </c>
      <c r="E143" s="150">
        <v>34.0</v>
      </c>
      <c r="F143" s="151">
        <v>0.0</v>
      </c>
      <c r="G143" s="151">
        <v>0.0</v>
      </c>
      <c r="H143" s="151">
        <v>0.0</v>
      </c>
      <c r="I143" s="151">
        <v>0.0</v>
      </c>
      <c r="J143" s="151">
        <v>0.0</v>
      </c>
      <c r="K143" s="152"/>
      <c r="L143" s="152"/>
      <c r="M143" s="152"/>
      <c r="N143" s="152"/>
      <c r="O143" s="152"/>
      <c r="P143" s="152"/>
      <c r="Q143" s="152"/>
      <c r="R143" s="152"/>
      <c r="S143" s="152"/>
      <c r="T143" s="152"/>
      <c r="U143" s="152"/>
      <c r="V143" s="152"/>
      <c r="W143" s="152"/>
      <c r="X143" s="152"/>
      <c r="Y143" s="152"/>
      <c r="Z143" s="152"/>
      <c r="AA143" s="152"/>
      <c r="AB143" s="152"/>
      <c r="AC143" s="152"/>
      <c r="AD143" s="152"/>
      <c r="AE143" s="152"/>
      <c r="AF143" s="152"/>
      <c r="AG143" s="152"/>
      <c r="AH143" s="152"/>
      <c r="AI143" s="152"/>
      <c r="AJ143" s="152"/>
    </row>
    <row r="144" ht="15.75" customHeight="1">
      <c r="A144" s="148" t="s">
        <v>315</v>
      </c>
      <c r="B144" s="148">
        <v>10.0</v>
      </c>
      <c r="C144" s="148" t="s">
        <v>2031</v>
      </c>
      <c r="D144" s="149" t="s">
        <v>2032</v>
      </c>
      <c r="E144" s="150">
        <v>53.0</v>
      </c>
      <c r="F144" s="151">
        <v>1.0</v>
      </c>
      <c r="G144" s="151">
        <v>0.0</v>
      </c>
      <c r="H144" s="151">
        <v>0.0</v>
      </c>
      <c r="I144" s="151">
        <v>0.0</v>
      </c>
      <c r="J144" s="151">
        <v>0.0</v>
      </c>
      <c r="K144" s="152"/>
      <c r="L144" s="152"/>
      <c r="M144" s="152"/>
      <c r="N144" s="152"/>
      <c r="O144" s="152"/>
      <c r="P144" s="152"/>
      <c r="Q144" s="152"/>
      <c r="R144" s="152"/>
      <c r="S144" s="152"/>
      <c r="T144" s="152"/>
      <c r="U144" s="152"/>
      <c r="V144" s="152"/>
      <c r="W144" s="152"/>
      <c r="X144" s="152"/>
      <c r="Y144" s="152"/>
      <c r="Z144" s="152"/>
      <c r="AA144" s="152"/>
      <c r="AB144" s="152"/>
      <c r="AC144" s="152"/>
      <c r="AD144" s="152"/>
      <c r="AE144" s="152"/>
      <c r="AF144" s="152"/>
      <c r="AG144" s="152"/>
      <c r="AH144" s="152"/>
      <c r="AI144" s="152"/>
      <c r="AJ144" s="152"/>
    </row>
    <row r="145" ht="15.75" customHeight="1">
      <c r="A145" s="148" t="s">
        <v>315</v>
      </c>
      <c r="B145" s="148">
        <v>11.0</v>
      </c>
      <c r="C145" s="148" t="s">
        <v>2040</v>
      </c>
      <c r="D145" s="148" t="s">
        <v>2041</v>
      </c>
      <c r="E145" s="150">
        <v>50.0</v>
      </c>
      <c r="F145" s="151">
        <v>1.0</v>
      </c>
      <c r="G145" s="151">
        <v>0.0</v>
      </c>
      <c r="H145" s="151">
        <v>0.0</v>
      </c>
      <c r="I145" s="151">
        <v>0.0</v>
      </c>
      <c r="J145" s="151">
        <v>0.0</v>
      </c>
      <c r="K145" s="152"/>
      <c r="L145" s="152"/>
      <c r="M145" s="152"/>
      <c r="N145" s="152"/>
      <c r="O145" s="152"/>
      <c r="P145" s="152"/>
      <c r="Q145" s="152"/>
      <c r="R145" s="152"/>
      <c r="S145" s="152"/>
      <c r="T145" s="152"/>
      <c r="U145" s="152"/>
      <c r="V145" s="152"/>
      <c r="W145" s="152"/>
      <c r="X145" s="152"/>
      <c r="Y145" s="152"/>
      <c r="Z145" s="152"/>
      <c r="AA145" s="152"/>
      <c r="AB145" s="152"/>
      <c r="AC145" s="152"/>
      <c r="AD145" s="152"/>
      <c r="AE145" s="152"/>
      <c r="AF145" s="152"/>
      <c r="AG145" s="152"/>
      <c r="AH145" s="152"/>
      <c r="AI145" s="152"/>
      <c r="AJ145" s="152"/>
    </row>
    <row r="146" ht="15.75" customHeight="1">
      <c r="A146" s="148" t="s">
        <v>315</v>
      </c>
      <c r="B146" s="148">
        <v>12.0</v>
      </c>
      <c r="C146" s="148" t="s">
        <v>2045</v>
      </c>
      <c r="D146" s="149" t="s">
        <v>2046</v>
      </c>
      <c r="E146" s="150">
        <v>0.0</v>
      </c>
      <c r="F146" s="151">
        <v>0.0</v>
      </c>
      <c r="G146" s="151">
        <v>0.0</v>
      </c>
      <c r="H146" s="151">
        <v>0.0</v>
      </c>
      <c r="I146" s="151">
        <v>0.0</v>
      </c>
      <c r="J146" s="151">
        <v>0.0</v>
      </c>
      <c r="K146" s="152"/>
      <c r="L146" s="152"/>
      <c r="M146" s="152"/>
      <c r="N146" s="152"/>
      <c r="O146" s="152"/>
      <c r="P146" s="152"/>
      <c r="Q146" s="152"/>
      <c r="R146" s="152"/>
      <c r="S146" s="152"/>
      <c r="T146" s="152"/>
      <c r="U146" s="152"/>
      <c r="V146" s="152"/>
      <c r="W146" s="152"/>
      <c r="X146" s="152"/>
      <c r="Y146" s="152"/>
      <c r="Z146" s="152"/>
      <c r="AA146" s="152"/>
      <c r="AB146" s="152"/>
      <c r="AC146" s="152"/>
      <c r="AD146" s="152"/>
      <c r="AE146" s="152"/>
      <c r="AF146" s="152"/>
      <c r="AG146" s="152"/>
      <c r="AH146" s="152"/>
      <c r="AI146" s="152"/>
      <c r="AJ146" s="152"/>
    </row>
    <row r="147" ht="15.75" customHeight="1">
      <c r="A147" s="148" t="s">
        <v>315</v>
      </c>
      <c r="B147" s="148">
        <v>13.0</v>
      </c>
      <c r="C147" s="148" t="s">
        <v>2050</v>
      </c>
      <c r="D147" s="149" t="s">
        <v>2051</v>
      </c>
      <c r="E147" s="150">
        <v>73.0</v>
      </c>
      <c r="F147" s="151">
        <v>0.0</v>
      </c>
      <c r="G147" s="151">
        <v>0.0</v>
      </c>
      <c r="H147" s="151">
        <v>0.0</v>
      </c>
      <c r="I147" s="151">
        <v>0.0</v>
      </c>
      <c r="J147" s="151">
        <v>0.0</v>
      </c>
      <c r="K147" s="152"/>
      <c r="L147" s="152"/>
      <c r="M147" s="152"/>
      <c r="N147" s="152"/>
      <c r="O147" s="152"/>
      <c r="P147" s="152"/>
      <c r="Q147" s="152"/>
      <c r="R147" s="152"/>
      <c r="S147" s="152"/>
      <c r="T147" s="152"/>
      <c r="U147" s="152"/>
      <c r="V147" s="152"/>
      <c r="W147" s="152"/>
      <c r="X147" s="152"/>
      <c r="Y147" s="152"/>
      <c r="Z147" s="152"/>
      <c r="AA147" s="152"/>
      <c r="AB147" s="152"/>
      <c r="AC147" s="152"/>
      <c r="AD147" s="152"/>
      <c r="AE147" s="152"/>
      <c r="AF147" s="152"/>
      <c r="AG147" s="152"/>
      <c r="AH147" s="152"/>
      <c r="AI147" s="152"/>
      <c r="AJ147" s="152"/>
    </row>
    <row r="148" ht="15.75" customHeight="1">
      <c r="A148" s="148" t="s">
        <v>315</v>
      </c>
      <c r="B148" s="148">
        <v>14.0</v>
      </c>
      <c r="C148" s="148" t="s">
        <v>2055</v>
      </c>
      <c r="D148" s="149" t="s">
        <v>2057</v>
      </c>
      <c r="E148" s="150">
        <v>4.5</v>
      </c>
      <c r="F148" s="151">
        <v>0.0</v>
      </c>
      <c r="G148" s="151">
        <v>0.0</v>
      </c>
      <c r="H148" s="151">
        <v>0.0</v>
      </c>
      <c r="I148" s="151">
        <v>0.0</v>
      </c>
      <c r="J148" s="151">
        <v>0.0</v>
      </c>
      <c r="K148" s="152"/>
      <c r="L148" s="152"/>
      <c r="M148" s="152"/>
      <c r="N148" s="152"/>
      <c r="O148" s="152"/>
      <c r="P148" s="152"/>
      <c r="Q148" s="152"/>
      <c r="R148" s="152"/>
      <c r="S148" s="152"/>
      <c r="T148" s="152"/>
      <c r="U148" s="152"/>
      <c r="V148" s="152"/>
      <c r="W148" s="152"/>
      <c r="X148" s="152"/>
      <c r="Y148" s="152"/>
      <c r="Z148" s="152"/>
      <c r="AA148" s="152"/>
      <c r="AB148" s="152"/>
      <c r="AC148" s="152"/>
      <c r="AD148" s="152"/>
      <c r="AE148" s="152"/>
      <c r="AF148" s="152"/>
      <c r="AG148" s="152"/>
      <c r="AH148" s="152"/>
      <c r="AI148" s="152"/>
      <c r="AJ148" s="152"/>
    </row>
    <row r="149" ht="15.75" customHeight="1">
      <c r="A149" s="148" t="s">
        <v>315</v>
      </c>
      <c r="B149" s="148">
        <v>15.0</v>
      </c>
      <c r="C149" s="148" t="s">
        <v>799</v>
      </c>
      <c r="D149" s="149" t="s">
        <v>2064</v>
      </c>
      <c r="E149" s="150">
        <v>15.0</v>
      </c>
      <c r="F149" s="151">
        <v>11.0</v>
      </c>
      <c r="G149" s="151">
        <v>2.0</v>
      </c>
      <c r="H149" s="151">
        <v>0.0</v>
      </c>
      <c r="I149" s="151">
        <v>0.0</v>
      </c>
      <c r="J149" s="151">
        <v>0.0</v>
      </c>
      <c r="K149" s="152"/>
      <c r="L149" s="152"/>
      <c r="M149" s="152"/>
      <c r="N149" s="152"/>
      <c r="O149" s="152"/>
      <c r="P149" s="152"/>
      <c r="Q149" s="152"/>
      <c r="R149" s="152"/>
      <c r="S149" s="152"/>
      <c r="T149" s="152"/>
      <c r="U149" s="152"/>
      <c r="V149" s="152"/>
      <c r="W149" s="152"/>
      <c r="X149" s="152"/>
      <c r="Y149" s="152"/>
      <c r="Z149" s="152"/>
      <c r="AA149" s="152"/>
      <c r="AB149" s="152"/>
      <c r="AC149" s="152"/>
      <c r="AD149" s="152"/>
      <c r="AE149" s="152"/>
      <c r="AF149" s="152"/>
      <c r="AG149" s="152"/>
      <c r="AH149" s="152"/>
      <c r="AI149" s="152"/>
      <c r="AJ149" s="152"/>
    </row>
    <row r="150" ht="15.75" customHeight="1">
      <c r="A150" s="148" t="s">
        <v>315</v>
      </c>
      <c r="B150" s="148">
        <v>16.0</v>
      </c>
      <c r="C150" s="148" t="s">
        <v>2070</v>
      </c>
      <c r="D150" s="149" t="s">
        <v>2071</v>
      </c>
      <c r="E150" s="150">
        <v>91.0</v>
      </c>
      <c r="F150" s="151">
        <v>460.0</v>
      </c>
      <c r="G150" s="151">
        <v>10.0</v>
      </c>
      <c r="H150" s="151">
        <v>2.0</v>
      </c>
      <c r="I150" s="151">
        <v>1.0</v>
      </c>
      <c r="J150" s="151">
        <v>3.0</v>
      </c>
      <c r="K150" s="152"/>
      <c r="L150" s="152"/>
      <c r="M150" s="152"/>
      <c r="N150" s="152"/>
      <c r="O150" s="152"/>
      <c r="P150" s="152"/>
      <c r="Q150" s="152"/>
      <c r="R150" s="152"/>
      <c r="S150" s="152"/>
      <c r="T150" s="152"/>
      <c r="U150" s="152"/>
      <c r="V150" s="152"/>
      <c r="W150" s="152"/>
      <c r="X150" s="152"/>
      <c r="Y150" s="152"/>
      <c r="Z150" s="152"/>
      <c r="AA150" s="152"/>
      <c r="AB150" s="152"/>
      <c r="AC150" s="152"/>
      <c r="AD150" s="152"/>
      <c r="AE150" s="152"/>
      <c r="AF150" s="152"/>
      <c r="AG150" s="152"/>
      <c r="AH150" s="152"/>
      <c r="AI150" s="152"/>
      <c r="AJ150" s="152"/>
    </row>
    <row r="151" ht="15.75" customHeight="1">
      <c r="A151" s="148" t="s">
        <v>315</v>
      </c>
      <c r="B151" s="148">
        <v>17.0</v>
      </c>
      <c r="C151" s="148" t="s">
        <v>2073</v>
      </c>
      <c r="D151" s="149" t="s">
        <v>1283</v>
      </c>
      <c r="E151" s="150">
        <v>79.0</v>
      </c>
      <c r="F151" s="151">
        <v>0.0</v>
      </c>
      <c r="G151" s="151">
        <v>0.0</v>
      </c>
      <c r="H151" s="151">
        <v>0.0</v>
      </c>
      <c r="I151" s="151">
        <v>0.0</v>
      </c>
      <c r="J151" s="151">
        <v>0.0</v>
      </c>
      <c r="K151" s="152"/>
      <c r="L151" s="152"/>
      <c r="M151" s="152"/>
      <c r="N151" s="152"/>
      <c r="O151" s="152"/>
      <c r="P151" s="152"/>
      <c r="Q151" s="152"/>
      <c r="R151" s="152"/>
      <c r="S151" s="152"/>
      <c r="T151" s="152"/>
      <c r="U151" s="152"/>
      <c r="V151" s="152"/>
      <c r="W151" s="152"/>
      <c r="X151" s="152"/>
      <c r="Y151" s="152"/>
      <c r="Z151" s="152"/>
      <c r="AA151" s="152"/>
      <c r="AB151" s="152"/>
      <c r="AC151" s="152"/>
      <c r="AD151" s="152"/>
      <c r="AE151" s="152"/>
      <c r="AF151" s="152"/>
      <c r="AG151" s="152"/>
      <c r="AH151" s="152"/>
      <c r="AI151" s="152"/>
      <c r="AJ151" s="152"/>
    </row>
    <row r="152" ht="15.75" customHeight="1">
      <c r="A152" s="148" t="s">
        <v>315</v>
      </c>
      <c r="B152" s="148">
        <v>18.0</v>
      </c>
      <c r="C152" s="148" t="s">
        <v>2082</v>
      </c>
      <c r="D152" s="149" t="s">
        <v>2083</v>
      </c>
      <c r="E152" s="150">
        <v>42.0</v>
      </c>
      <c r="F152" s="151">
        <v>23.0</v>
      </c>
      <c r="G152" s="151">
        <v>1.0</v>
      </c>
      <c r="H152" s="151">
        <v>0.0</v>
      </c>
      <c r="I152" s="151">
        <v>0.0</v>
      </c>
      <c r="J152" s="151">
        <v>1.0</v>
      </c>
      <c r="K152" s="152"/>
      <c r="L152" s="152"/>
      <c r="M152" s="152"/>
      <c r="N152" s="152"/>
      <c r="O152" s="152"/>
      <c r="P152" s="152"/>
      <c r="Q152" s="152"/>
      <c r="R152" s="152"/>
      <c r="S152" s="152"/>
      <c r="T152" s="152"/>
      <c r="U152" s="152"/>
      <c r="V152" s="152"/>
      <c r="W152" s="152"/>
      <c r="X152" s="152"/>
      <c r="Y152" s="152"/>
      <c r="Z152" s="152"/>
      <c r="AA152" s="152"/>
      <c r="AB152" s="152"/>
      <c r="AC152" s="152"/>
      <c r="AD152" s="152"/>
      <c r="AE152" s="152"/>
      <c r="AF152" s="152"/>
      <c r="AG152" s="152"/>
      <c r="AH152" s="152"/>
      <c r="AI152" s="152"/>
      <c r="AJ152" s="152"/>
    </row>
    <row r="153" ht="15.75" customHeight="1">
      <c r="A153" s="148" t="s">
        <v>315</v>
      </c>
      <c r="B153" s="148">
        <v>19.0</v>
      </c>
      <c r="C153" s="148" t="s">
        <v>2090</v>
      </c>
      <c r="D153" s="149" t="s">
        <v>2091</v>
      </c>
      <c r="E153" s="150">
        <v>22.0</v>
      </c>
      <c r="F153" s="151">
        <v>2.0</v>
      </c>
      <c r="G153" s="151">
        <v>0.0</v>
      </c>
      <c r="H153" s="151">
        <v>0.0</v>
      </c>
      <c r="I153" s="151">
        <v>0.0</v>
      </c>
      <c r="J153" s="151">
        <v>0.0</v>
      </c>
      <c r="K153" s="152"/>
      <c r="L153" s="152"/>
      <c r="M153" s="152"/>
      <c r="N153" s="152"/>
      <c r="O153" s="152"/>
      <c r="P153" s="152"/>
      <c r="Q153" s="152"/>
      <c r="R153" s="152"/>
      <c r="S153" s="152"/>
      <c r="T153" s="152"/>
      <c r="U153" s="152"/>
      <c r="V153" s="152"/>
      <c r="W153" s="152"/>
      <c r="X153" s="152"/>
      <c r="Y153" s="152"/>
      <c r="Z153" s="152"/>
      <c r="AA153" s="152"/>
      <c r="AB153" s="152"/>
      <c r="AC153" s="152"/>
      <c r="AD153" s="152"/>
      <c r="AE153" s="152"/>
      <c r="AF153" s="152"/>
      <c r="AG153" s="152"/>
      <c r="AH153" s="152"/>
      <c r="AI153" s="152"/>
      <c r="AJ153" s="152"/>
    </row>
    <row r="154" ht="15.75" customHeight="1">
      <c r="A154" s="148" t="s">
        <v>315</v>
      </c>
      <c r="B154" s="148">
        <v>20.0</v>
      </c>
      <c r="C154" s="148" t="s">
        <v>1366</v>
      </c>
      <c r="D154" s="149" t="s">
        <v>1367</v>
      </c>
      <c r="E154" s="150">
        <v>79.0</v>
      </c>
      <c r="F154" s="151">
        <v>2.0</v>
      </c>
      <c r="G154" s="151">
        <v>1.0</v>
      </c>
      <c r="H154" s="151">
        <v>1.0</v>
      </c>
      <c r="I154" s="151">
        <v>0.0</v>
      </c>
      <c r="J154" s="151">
        <v>0.0</v>
      </c>
      <c r="K154" s="152"/>
      <c r="L154" s="152"/>
      <c r="M154" s="152"/>
      <c r="N154" s="152"/>
      <c r="O154" s="152"/>
      <c r="P154" s="152"/>
      <c r="Q154" s="152"/>
      <c r="R154" s="152"/>
      <c r="S154" s="152"/>
      <c r="T154" s="152"/>
      <c r="U154" s="152"/>
      <c r="V154" s="152"/>
      <c r="W154" s="152"/>
      <c r="X154" s="152"/>
      <c r="Y154" s="152"/>
      <c r="Z154" s="152"/>
      <c r="AA154" s="152"/>
      <c r="AB154" s="152"/>
      <c r="AC154" s="152"/>
      <c r="AD154" s="152"/>
      <c r="AE154" s="152"/>
      <c r="AF154" s="152"/>
      <c r="AG154" s="152"/>
      <c r="AH154" s="152"/>
      <c r="AI154" s="152"/>
      <c r="AJ154" s="152"/>
    </row>
    <row r="155" ht="15.75" customHeight="1">
      <c r="A155" s="148" t="s">
        <v>315</v>
      </c>
      <c r="B155" s="148">
        <v>21.0</v>
      </c>
      <c r="C155" s="148" t="s">
        <v>912</v>
      </c>
      <c r="D155" s="149" t="s">
        <v>913</v>
      </c>
      <c r="E155" s="150">
        <v>82.0</v>
      </c>
      <c r="F155" s="151">
        <v>6.0</v>
      </c>
      <c r="G155" s="151">
        <v>2.0</v>
      </c>
      <c r="H155" s="151">
        <v>0.0</v>
      </c>
      <c r="I155" s="151">
        <v>0.0</v>
      </c>
      <c r="J155" s="151">
        <v>0.0</v>
      </c>
      <c r="K155" s="152"/>
      <c r="L155" s="152"/>
      <c r="M155" s="152"/>
      <c r="N155" s="152"/>
      <c r="O155" s="152"/>
      <c r="P155" s="152"/>
      <c r="Q155" s="152"/>
      <c r="R155" s="152"/>
      <c r="S155" s="152"/>
      <c r="T155" s="152"/>
      <c r="U155" s="152"/>
      <c r="V155" s="152"/>
      <c r="W155" s="152"/>
      <c r="X155" s="152"/>
      <c r="Y155" s="152"/>
      <c r="Z155" s="152"/>
      <c r="AA155" s="152"/>
      <c r="AB155" s="152"/>
      <c r="AC155" s="152"/>
      <c r="AD155" s="152"/>
      <c r="AE155" s="152"/>
      <c r="AF155" s="152"/>
      <c r="AG155" s="152"/>
      <c r="AH155" s="152"/>
      <c r="AI155" s="152"/>
      <c r="AJ155" s="152"/>
    </row>
    <row r="156" ht="15.75" customHeight="1">
      <c r="A156" s="148" t="s">
        <v>315</v>
      </c>
      <c r="B156" s="148">
        <v>22.0</v>
      </c>
      <c r="C156" s="148" t="s">
        <v>2107</v>
      </c>
      <c r="D156" s="149" t="s">
        <v>2108</v>
      </c>
      <c r="E156" s="150">
        <v>70.0</v>
      </c>
      <c r="F156" s="151">
        <v>37.0</v>
      </c>
      <c r="G156" s="151">
        <v>0.0</v>
      </c>
      <c r="H156" s="151">
        <v>1.0</v>
      </c>
      <c r="I156" s="151">
        <v>1.0</v>
      </c>
      <c r="J156" s="151">
        <v>0.0</v>
      </c>
      <c r="K156" s="152"/>
      <c r="L156" s="152"/>
      <c r="M156" s="152"/>
      <c r="N156" s="152"/>
      <c r="O156" s="152"/>
      <c r="P156" s="152"/>
      <c r="Q156" s="152"/>
      <c r="R156" s="152"/>
      <c r="S156" s="152"/>
      <c r="T156" s="152"/>
      <c r="U156" s="152"/>
      <c r="V156" s="152"/>
      <c r="W156" s="152"/>
      <c r="X156" s="152"/>
      <c r="Y156" s="152"/>
      <c r="Z156" s="152"/>
      <c r="AA156" s="152"/>
      <c r="AB156" s="152"/>
      <c r="AC156" s="152"/>
      <c r="AD156" s="152"/>
      <c r="AE156" s="152"/>
      <c r="AF156" s="152"/>
      <c r="AG156" s="152"/>
      <c r="AH156" s="152"/>
      <c r="AI156" s="152"/>
      <c r="AJ156" s="152"/>
    </row>
    <row r="157" ht="15.75" customHeight="1">
      <c r="A157" s="148" t="s">
        <v>315</v>
      </c>
      <c r="B157" s="148">
        <v>23.0</v>
      </c>
      <c r="C157" s="148" t="s">
        <v>2116</v>
      </c>
      <c r="D157" s="149" t="s">
        <v>2117</v>
      </c>
      <c r="E157" s="150">
        <v>51.0</v>
      </c>
      <c r="F157" s="151">
        <v>34.0</v>
      </c>
      <c r="G157" s="151">
        <v>3.0</v>
      </c>
      <c r="H157" s="151">
        <v>1.0</v>
      </c>
      <c r="I157" s="151">
        <v>1.0</v>
      </c>
      <c r="J157" s="151">
        <v>0.0</v>
      </c>
      <c r="K157" s="152"/>
      <c r="L157" s="152"/>
      <c r="M157" s="152"/>
      <c r="N157" s="152"/>
      <c r="O157" s="152"/>
      <c r="P157" s="152"/>
      <c r="Q157" s="152"/>
      <c r="R157" s="152"/>
      <c r="S157" s="152"/>
      <c r="T157" s="152"/>
      <c r="U157" s="152"/>
      <c r="V157" s="152"/>
      <c r="W157" s="152"/>
      <c r="X157" s="152"/>
      <c r="Y157" s="152"/>
      <c r="Z157" s="152"/>
      <c r="AA157" s="152"/>
      <c r="AB157" s="152"/>
      <c r="AC157" s="152"/>
      <c r="AD157" s="152"/>
      <c r="AE157" s="152"/>
      <c r="AF157" s="152"/>
      <c r="AG157" s="152"/>
      <c r="AH157" s="152"/>
      <c r="AI157" s="152"/>
      <c r="AJ157" s="152"/>
    </row>
    <row r="158" ht="15.75" customHeight="1">
      <c r="A158" s="148" t="s">
        <v>315</v>
      </c>
      <c r="B158" s="148">
        <v>24.0</v>
      </c>
      <c r="C158" s="148" t="s">
        <v>2124</v>
      </c>
      <c r="D158" s="149" t="s">
        <v>2125</v>
      </c>
      <c r="E158" s="150">
        <v>25.0</v>
      </c>
      <c r="F158" s="151">
        <v>47.0</v>
      </c>
      <c r="G158" s="151">
        <v>2.0</v>
      </c>
      <c r="H158" s="151">
        <v>0.0</v>
      </c>
      <c r="I158" s="151">
        <v>1.0</v>
      </c>
      <c r="J158" s="151">
        <v>0.0</v>
      </c>
      <c r="K158" s="152"/>
      <c r="L158" s="152"/>
      <c r="M158" s="152"/>
      <c r="N158" s="152"/>
      <c r="O158" s="152"/>
      <c r="P158" s="152"/>
      <c r="Q158" s="152"/>
      <c r="R158" s="152"/>
      <c r="S158" s="152"/>
      <c r="T158" s="152"/>
      <c r="U158" s="152"/>
      <c r="V158" s="152"/>
      <c r="W158" s="152"/>
      <c r="X158" s="152"/>
      <c r="Y158" s="152"/>
      <c r="Z158" s="152"/>
      <c r="AA158" s="152"/>
      <c r="AB158" s="152"/>
      <c r="AC158" s="152"/>
      <c r="AD158" s="152"/>
      <c r="AE158" s="152"/>
      <c r="AF158" s="152"/>
      <c r="AG158" s="152"/>
      <c r="AH158" s="152"/>
      <c r="AI158" s="152"/>
      <c r="AJ158" s="152"/>
    </row>
    <row r="159" ht="15.75" customHeight="1">
      <c r="A159" s="164" t="s">
        <v>315</v>
      </c>
      <c r="B159" s="164">
        <v>25.0</v>
      </c>
      <c r="C159" s="164" t="s">
        <v>2128</v>
      </c>
      <c r="D159" s="165" t="s">
        <v>2129</v>
      </c>
      <c r="E159" s="166">
        <v>1.4</v>
      </c>
      <c r="F159" s="167">
        <v>0.0</v>
      </c>
      <c r="G159" s="167">
        <v>0.0</v>
      </c>
      <c r="H159" s="167">
        <v>0.0</v>
      </c>
      <c r="I159" s="167">
        <v>0.0</v>
      </c>
      <c r="J159" s="167">
        <v>0.0</v>
      </c>
      <c r="K159" s="168"/>
      <c r="L159" s="168"/>
      <c r="M159" s="168"/>
      <c r="N159" s="168"/>
      <c r="O159" s="168"/>
      <c r="P159" s="168"/>
      <c r="Q159" s="168"/>
      <c r="R159" s="168"/>
      <c r="S159" s="168"/>
      <c r="T159" s="168"/>
      <c r="U159" s="168"/>
      <c r="V159" s="168"/>
      <c r="W159" s="168"/>
      <c r="X159" s="168"/>
      <c r="Y159" s="168"/>
      <c r="Z159" s="168"/>
      <c r="AA159" s="168"/>
      <c r="AB159" s="168"/>
      <c r="AC159" s="168"/>
      <c r="AD159" s="168"/>
      <c r="AE159" s="168"/>
      <c r="AF159" s="168"/>
      <c r="AG159" s="168"/>
      <c r="AH159" s="168"/>
      <c r="AI159" s="168"/>
      <c r="AJ159" s="168"/>
    </row>
    <row r="160" ht="15.75" customHeight="1">
      <c r="A160" s="148" t="s">
        <v>315</v>
      </c>
      <c r="B160" s="148">
        <v>45.0</v>
      </c>
      <c r="C160" s="148" t="s">
        <v>1021</v>
      </c>
      <c r="D160" s="149" t="s">
        <v>1022</v>
      </c>
      <c r="E160" s="150">
        <v>91.0</v>
      </c>
      <c r="F160" s="151">
        <v>6.0</v>
      </c>
      <c r="G160" s="151">
        <v>0.0</v>
      </c>
      <c r="H160" s="151">
        <v>0.0</v>
      </c>
      <c r="I160" s="151">
        <v>0.0</v>
      </c>
      <c r="J160" s="151">
        <v>0.0</v>
      </c>
      <c r="K160" s="152"/>
      <c r="L160" s="152"/>
      <c r="M160" s="152"/>
      <c r="N160" s="152"/>
      <c r="O160" s="152"/>
      <c r="P160" s="152"/>
      <c r="Q160" s="152"/>
      <c r="R160" s="152"/>
      <c r="S160" s="152"/>
      <c r="T160" s="152"/>
      <c r="U160" s="152"/>
      <c r="V160" s="152"/>
      <c r="W160" s="152"/>
      <c r="X160" s="152"/>
      <c r="Y160" s="152"/>
      <c r="Z160" s="152"/>
      <c r="AA160" s="152"/>
      <c r="AB160" s="152"/>
      <c r="AC160" s="152"/>
      <c r="AD160" s="152"/>
      <c r="AE160" s="152"/>
      <c r="AF160" s="152"/>
      <c r="AG160" s="152"/>
      <c r="AH160" s="152"/>
      <c r="AI160" s="152"/>
      <c r="AJ160" s="152"/>
    </row>
    <row r="161" ht="15.75" customHeight="1">
      <c r="A161" s="148" t="s">
        <v>315</v>
      </c>
      <c r="B161" s="148">
        <v>60.0</v>
      </c>
      <c r="C161" s="148" t="s">
        <v>27</v>
      </c>
      <c r="D161" s="149" t="s">
        <v>35</v>
      </c>
      <c r="E161" s="150">
        <v>67.0</v>
      </c>
      <c r="F161" s="151">
        <v>2.0</v>
      </c>
      <c r="G161" s="151">
        <v>0.0</v>
      </c>
      <c r="H161" s="151">
        <v>0.0</v>
      </c>
      <c r="I161" s="151">
        <v>0.0</v>
      </c>
      <c r="J161" s="151">
        <v>0.0</v>
      </c>
      <c r="K161" s="152"/>
      <c r="L161" s="152"/>
      <c r="M161" s="152"/>
      <c r="N161" s="152"/>
      <c r="O161" s="152"/>
      <c r="P161" s="152"/>
      <c r="Q161" s="152"/>
      <c r="R161" s="152"/>
      <c r="S161" s="152"/>
      <c r="T161" s="152"/>
      <c r="U161" s="152"/>
      <c r="V161" s="152"/>
      <c r="W161" s="152"/>
      <c r="X161" s="152"/>
      <c r="Y161" s="152"/>
      <c r="Z161" s="152"/>
      <c r="AA161" s="152"/>
      <c r="AB161" s="152"/>
      <c r="AC161" s="152"/>
      <c r="AD161" s="152"/>
      <c r="AE161" s="152"/>
      <c r="AF161" s="152"/>
      <c r="AG161" s="152"/>
      <c r="AH161" s="152"/>
      <c r="AI161" s="152"/>
      <c r="AJ161" s="152"/>
    </row>
    <row r="162" ht="15.75" customHeight="1">
      <c r="A162" s="148" t="s">
        <v>315</v>
      </c>
      <c r="B162" s="148">
        <v>96.0</v>
      </c>
      <c r="C162" s="148" t="s">
        <v>1039</v>
      </c>
      <c r="D162" s="149" t="s">
        <v>1040</v>
      </c>
      <c r="E162" s="150">
        <v>81.0</v>
      </c>
      <c r="F162" s="151">
        <v>0.0</v>
      </c>
      <c r="G162" s="151">
        <v>0.0</v>
      </c>
      <c r="H162" s="151">
        <v>0.0</v>
      </c>
      <c r="I162" s="151">
        <v>0.0</v>
      </c>
      <c r="J162" s="151">
        <v>0.0</v>
      </c>
      <c r="K162" s="152"/>
      <c r="L162" s="152"/>
      <c r="M162" s="152"/>
      <c r="N162" s="152"/>
      <c r="O162" s="152"/>
      <c r="P162" s="152"/>
      <c r="Q162" s="152"/>
      <c r="R162" s="152"/>
      <c r="S162" s="152"/>
      <c r="T162" s="152"/>
      <c r="U162" s="152"/>
      <c r="V162" s="152"/>
      <c r="W162" s="152"/>
      <c r="X162" s="152"/>
      <c r="Y162" s="152"/>
      <c r="Z162" s="152"/>
      <c r="AA162" s="152"/>
      <c r="AB162" s="152"/>
      <c r="AC162" s="152"/>
      <c r="AD162" s="152"/>
      <c r="AE162" s="152"/>
      <c r="AF162" s="152"/>
      <c r="AG162" s="152"/>
      <c r="AH162" s="152"/>
      <c r="AI162" s="152"/>
      <c r="AJ162" s="152"/>
    </row>
    <row r="163" ht="15.75" customHeight="1">
      <c r="A163" s="148" t="s">
        <v>315</v>
      </c>
      <c r="B163" s="148">
        <v>104.0</v>
      </c>
      <c r="C163" s="148" t="s">
        <v>1101</v>
      </c>
      <c r="D163" s="149" t="s">
        <v>1411</v>
      </c>
      <c r="E163" s="150">
        <v>53.0</v>
      </c>
      <c r="F163" s="151">
        <v>0.0</v>
      </c>
      <c r="G163" s="151">
        <v>0.0</v>
      </c>
      <c r="H163" s="151">
        <v>0.0</v>
      </c>
      <c r="I163" s="151">
        <v>0.0</v>
      </c>
      <c r="J163" s="151">
        <v>0.0</v>
      </c>
      <c r="K163" s="152"/>
      <c r="L163" s="152"/>
      <c r="M163" s="152"/>
      <c r="N163" s="152"/>
      <c r="O163" s="152"/>
      <c r="P163" s="152"/>
      <c r="Q163" s="152"/>
      <c r="R163" s="152"/>
      <c r="S163" s="152"/>
      <c r="T163" s="152"/>
      <c r="U163" s="152"/>
      <c r="V163" s="152"/>
      <c r="W163" s="152"/>
      <c r="X163" s="152"/>
      <c r="Y163" s="152"/>
      <c r="Z163" s="152"/>
      <c r="AA163" s="152"/>
      <c r="AB163" s="152"/>
      <c r="AC163" s="152"/>
      <c r="AD163" s="152"/>
      <c r="AE163" s="152"/>
      <c r="AF163" s="152"/>
      <c r="AG163" s="152"/>
      <c r="AH163" s="152"/>
      <c r="AI163" s="152"/>
      <c r="AJ163" s="152"/>
    </row>
    <row r="164" ht="15.75" customHeight="1">
      <c r="A164" s="148" t="s">
        <v>315</v>
      </c>
      <c r="B164" s="148">
        <v>113.0</v>
      </c>
      <c r="C164" s="148" t="s">
        <v>1072</v>
      </c>
      <c r="D164" s="149" t="s">
        <v>572</v>
      </c>
      <c r="E164" s="150">
        <v>79.0</v>
      </c>
      <c r="F164" s="151">
        <v>2.0</v>
      </c>
      <c r="G164" s="151">
        <v>0.0</v>
      </c>
      <c r="H164" s="151">
        <v>0.0</v>
      </c>
      <c r="I164" s="151">
        <v>0.0</v>
      </c>
      <c r="J164" s="151">
        <v>0.0</v>
      </c>
      <c r="K164" s="152"/>
      <c r="L164" s="152"/>
      <c r="M164" s="152"/>
      <c r="N164" s="152"/>
      <c r="O164" s="152"/>
      <c r="P164" s="152"/>
      <c r="Q164" s="152"/>
      <c r="R164" s="152"/>
      <c r="S164" s="152"/>
      <c r="T164" s="152"/>
      <c r="U164" s="152"/>
      <c r="V164" s="152"/>
      <c r="W164" s="152"/>
      <c r="X164" s="152"/>
      <c r="Y164" s="152"/>
      <c r="Z164" s="152"/>
      <c r="AA164" s="152"/>
      <c r="AB164" s="152"/>
      <c r="AC164" s="152"/>
      <c r="AD164" s="152"/>
      <c r="AE164" s="152"/>
      <c r="AF164" s="152"/>
      <c r="AG164" s="152"/>
      <c r="AH164" s="152"/>
      <c r="AI164" s="152"/>
      <c r="AJ164" s="152"/>
    </row>
    <row r="165" ht="15.75" customHeight="1">
      <c r="A165" s="148" t="s">
        <v>315</v>
      </c>
      <c r="B165" s="148">
        <v>132.0</v>
      </c>
      <c r="C165" s="148" t="s">
        <v>1091</v>
      </c>
      <c r="D165" s="149" t="s">
        <v>1092</v>
      </c>
      <c r="E165" s="150">
        <v>73.0</v>
      </c>
      <c r="F165" s="151">
        <v>2.0</v>
      </c>
      <c r="G165" s="151">
        <v>0.0</v>
      </c>
      <c r="H165" s="151">
        <v>2.0</v>
      </c>
      <c r="I165" s="151">
        <v>0.0</v>
      </c>
      <c r="J165" s="151">
        <v>0.0</v>
      </c>
      <c r="K165" s="152"/>
      <c r="L165" s="152"/>
      <c r="M165" s="152"/>
      <c r="N165" s="152"/>
      <c r="O165" s="152"/>
      <c r="P165" s="152"/>
      <c r="Q165" s="152"/>
      <c r="R165" s="152"/>
      <c r="S165" s="152"/>
      <c r="T165" s="152"/>
      <c r="U165" s="152"/>
      <c r="V165" s="152"/>
      <c r="W165" s="152"/>
      <c r="X165" s="152"/>
      <c r="Y165" s="152"/>
      <c r="Z165" s="152"/>
      <c r="AA165" s="152"/>
      <c r="AB165" s="152"/>
      <c r="AC165" s="152"/>
      <c r="AD165" s="152"/>
      <c r="AE165" s="152"/>
      <c r="AF165" s="152"/>
      <c r="AG165" s="152"/>
      <c r="AH165" s="152"/>
      <c r="AI165" s="152"/>
      <c r="AJ165" s="152"/>
    </row>
    <row r="166" ht="15.75" customHeight="1">
      <c r="A166" s="148" t="s">
        <v>315</v>
      </c>
      <c r="B166" s="148">
        <v>133.0</v>
      </c>
      <c r="C166" s="148" t="s">
        <v>1078</v>
      </c>
      <c r="D166" s="149" t="s">
        <v>1080</v>
      </c>
      <c r="E166" s="150">
        <v>53.0</v>
      </c>
      <c r="F166" s="151">
        <v>1.0</v>
      </c>
      <c r="G166" s="151">
        <v>0.0</v>
      </c>
      <c r="H166" s="151">
        <v>0.0</v>
      </c>
      <c r="I166" s="151">
        <v>0.0</v>
      </c>
      <c r="J166" s="151">
        <v>0.0</v>
      </c>
      <c r="K166" s="152"/>
      <c r="L166" s="152"/>
      <c r="M166" s="152"/>
      <c r="N166" s="152"/>
      <c r="O166" s="152"/>
      <c r="P166" s="152"/>
      <c r="Q166" s="152"/>
      <c r="R166" s="152"/>
      <c r="S166" s="152"/>
      <c r="T166" s="152"/>
      <c r="U166" s="152"/>
      <c r="V166" s="152"/>
      <c r="W166" s="152"/>
      <c r="X166" s="152"/>
      <c r="Y166" s="152"/>
      <c r="Z166" s="152"/>
      <c r="AA166" s="152"/>
      <c r="AB166" s="152"/>
      <c r="AC166" s="152"/>
      <c r="AD166" s="152"/>
      <c r="AE166" s="152"/>
      <c r="AF166" s="152"/>
      <c r="AG166" s="152"/>
      <c r="AH166" s="152"/>
      <c r="AI166" s="152"/>
      <c r="AJ166" s="152"/>
    </row>
    <row r="167" ht="15.75" customHeight="1">
      <c r="A167" s="148" t="s">
        <v>315</v>
      </c>
      <c r="B167" s="148">
        <v>135.0</v>
      </c>
      <c r="C167" s="148" t="s">
        <v>1064</v>
      </c>
      <c r="D167" s="149" t="s">
        <v>1065</v>
      </c>
      <c r="E167" s="150">
        <v>0.4</v>
      </c>
      <c r="F167" s="151">
        <v>0.0</v>
      </c>
      <c r="G167" s="151">
        <v>0.0</v>
      </c>
      <c r="H167" s="151">
        <v>0.0</v>
      </c>
      <c r="I167" s="151">
        <v>0.0</v>
      </c>
      <c r="J167" s="151">
        <v>0.0</v>
      </c>
      <c r="K167" s="152"/>
      <c r="L167" s="152"/>
      <c r="M167" s="152"/>
      <c r="N167" s="152"/>
      <c r="O167" s="152"/>
      <c r="P167" s="152"/>
      <c r="Q167" s="152"/>
      <c r="R167" s="152"/>
      <c r="S167" s="152"/>
      <c r="T167" s="152"/>
      <c r="U167" s="152"/>
      <c r="V167" s="152"/>
      <c r="W167" s="152"/>
      <c r="X167" s="152"/>
      <c r="Y167" s="152"/>
      <c r="Z167" s="152"/>
      <c r="AA167" s="152"/>
      <c r="AB167" s="152"/>
      <c r="AC167" s="152"/>
      <c r="AD167" s="152"/>
      <c r="AE167" s="152"/>
      <c r="AF167" s="152"/>
      <c r="AG167" s="152"/>
      <c r="AH167" s="152"/>
      <c r="AI167" s="152"/>
      <c r="AJ167" s="152"/>
    </row>
    <row r="168" ht="15.75" customHeight="1">
      <c r="A168" s="148" t="s">
        <v>315</v>
      </c>
      <c r="B168" s="148">
        <v>137.0</v>
      </c>
      <c r="C168" s="148" t="s">
        <v>760</v>
      </c>
      <c r="D168" s="149" t="s">
        <v>762</v>
      </c>
      <c r="E168" s="150">
        <v>70.0</v>
      </c>
      <c r="F168" s="151">
        <v>0.0</v>
      </c>
      <c r="G168" s="151">
        <v>0.0</v>
      </c>
      <c r="H168" s="151">
        <v>0.0</v>
      </c>
      <c r="I168" s="151">
        <v>0.0</v>
      </c>
      <c r="J168" s="151">
        <v>1.0</v>
      </c>
      <c r="K168" s="152"/>
      <c r="L168" s="152"/>
      <c r="M168" s="152"/>
      <c r="N168" s="152"/>
      <c r="O168" s="152"/>
      <c r="P168" s="152"/>
      <c r="Q168" s="152"/>
      <c r="R168" s="152"/>
      <c r="S168" s="152"/>
      <c r="T168" s="152"/>
      <c r="U168" s="152"/>
      <c r="V168" s="152"/>
      <c r="W168" s="152"/>
      <c r="X168" s="152"/>
      <c r="Y168" s="152"/>
      <c r="Z168" s="152"/>
      <c r="AA168" s="152"/>
      <c r="AB168" s="152"/>
      <c r="AC168" s="152"/>
      <c r="AD168" s="152"/>
      <c r="AE168" s="152"/>
      <c r="AF168" s="152"/>
      <c r="AG168" s="152"/>
      <c r="AH168" s="152"/>
      <c r="AI168" s="152"/>
      <c r="AJ168" s="152"/>
    </row>
    <row r="169" ht="15.75" customHeight="1">
      <c r="A169" s="148" t="s">
        <v>315</v>
      </c>
      <c r="B169" s="148">
        <v>138.0</v>
      </c>
      <c r="C169" s="148" t="s">
        <v>1120</v>
      </c>
      <c r="D169" s="149" t="s">
        <v>1066</v>
      </c>
      <c r="E169" s="150">
        <v>60.0</v>
      </c>
      <c r="F169" s="151">
        <v>1.0</v>
      </c>
      <c r="G169" s="151">
        <v>0.0</v>
      </c>
      <c r="H169" s="151">
        <v>0.0</v>
      </c>
      <c r="I169" s="151">
        <v>0.0</v>
      </c>
      <c r="J169" s="151">
        <v>0.0</v>
      </c>
      <c r="K169" s="152"/>
      <c r="L169" s="152"/>
      <c r="M169" s="152"/>
      <c r="N169" s="152"/>
      <c r="O169" s="152"/>
      <c r="P169" s="152"/>
      <c r="Q169" s="152"/>
      <c r="R169" s="152"/>
      <c r="S169" s="152"/>
      <c r="T169" s="152"/>
      <c r="U169" s="152"/>
      <c r="V169" s="152"/>
      <c r="W169" s="152"/>
      <c r="X169" s="152"/>
      <c r="Y169" s="152"/>
      <c r="Z169" s="152"/>
      <c r="AA169" s="152"/>
      <c r="AB169" s="152"/>
      <c r="AC169" s="152"/>
      <c r="AD169" s="152"/>
      <c r="AE169" s="152"/>
      <c r="AF169" s="152"/>
      <c r="AG169" s="152"/>
      <c r="AH169" s="152"/>
      <c r="AI169" s="152"/>
      <c r="AJ169" s="152"/>
    </row>
    <row r="170" ht="15.75" customHeight="1">
      <c r="A170" s="148" t="s">
        <v>315</v>
      </c>
      <c r="B170" s="148">
        <v>139.0</v>
      </c>
      <c r="C170" s="148" t="s">
        <v>1029</v>
      </c>
      <c r="D170" s="149" t="s">
        <v>1031</v>
      </c>
      <c r="E170" s="150">
        <v>75.0</v>
      </c>
      <c r="F170" s="151">
        <v>0.0</v>
      </c>
      <c r="G170" s="151">
        <v>0.0</v>
      </c>
      <c r="H170" s="151">
        <v>0.0</v>
      </c>
      <c r="I170" s="151">
        <v>0.0</v>
      </c>
      <c r="J170" s="151">
        <v>0.0</v>
      </c>
      <c r="K170" s="152"/>
      <c r="L170" s="152"/>
      <c r="M170" s="152"/>
      <c r="N170" s="152"/>
      <c r="O170" s="152"/>
      <c r="P170" s="152"/>
      <c r="Q170" s="152"/>
      <c r="R170" s="152"/>
      <c r="S170" s="152"/>
      <c r="T170" s="152"/>
      <c r="U170" s="152"/>
      <c r="V170" s="152"/>
      <c r="W170" s="152"/>
      <c r="X170" s="152"/>
      <c r="Y170" s="152"/>
      <c r="Z170" s="152"/>
      <c r="AA170" s="152"/>
      <c r="AB170" s="152"/>
      <c r="AC170" s="152"/>
      <c r="AD170" s="152"/>
      <c r="AE170" s="152"/>
      <c r="AF170" s="152"/>
      <c r="AG170" s="152"/>
      <c r="AH170" s="152"/>
      <c r="AI170" s="152"/>
      <c r="AJ170" s="152"/>
    </row>
    <row r="171" ht="15.75" customHeight="1">
      <c r="A171" s="148" t="s">
        <v>315</v>
      </c>
      <c r="B171" s="148">
        <v>140.0</v>
      </c>
      <c r="C171" s="148" t="s">
        <v>1130</v>
      </c>
      <c r="D171" s="149" t="s">
        <v>1131</v>
      </c>
      <c r="E171" s="150">
        <v>58.0</v>
      </c>
      <c r="F171" s="151">
        <v>0.0</v>
      </c>
      <c r="G171" s="151">
        <v>0.0</v>
      </c>
      <c r="H171" s="151">
        <v>0.0</v>
      </c>
      <c r="I171" s="151">
        <v>0.0</v>
      </c>
      <c r="J171" s="151">
        <v>0.0</v>
      </c>
      <c r="K171" s="152"/>
      <c r="L171" s="152"/>
      <c r="M171" s="152"/>
      <c r="N171" s="152"/>
      <c r="O171" s="152"/>
      <c r="P171" s="152"/>
      <c r="Q171" s="152"/>
      <c r="R171" s="152"/>
      <c r="S171" s="152"/>
      <c r="T171" s="152"/>
      <c r="U171" s="152"/>
      <c r="V171" s="152"/>
      <c r="W171" s="152"/>
      <c r="X171" s="152"/>
      <c r="Y171" s="152"/>
      <c r="Z171" s="152"/>
      <c r="AA171" s="152"/>
      <c r="AB171" s="152"/>
      <c r="AC171" s="152"/>
      <c r="AD171" s="152"/>
      <c r="AE171" s="152"/>
      <c r="AF171" s="152"/>
      <c r="AG171" s="152"/>
      <c r="AH171" s="152"/>
      <c r="AI171" s="152"/>
      <c r="AJ171" s="152"/>
    </row>
    <row r="172" ht="15.75" customHeight="1">
      <c r="A172" s="148" t="s">
        <v>315</v>
      </c>
      <c r="B172" s="148">
        <v>141.0</v>
      </c>
      <c r="C172" s="148" t="s">
        <v>1153</v>
      </c>
      <c r="D172" s="149" t="s">
        <v>1154</v>
      </c>
      <c r="E172" s="150">
        <v>59.0</v>
      </c>
      <c r="F172" s="151">
        <v>0.0</v>
      </c>
      <c r="G172" s="151">
        <v>0.0</v>
      </c>
      <c r="H172" s="151">
        <v>0.0</v>
      </c>
      <c r="I172" s="151">
        <v>1.0</v>
      </c>
      <c r="J172" s="151">
        <v>0.0</v>
      </c>
      <c r="K172" s="152"/>
      <c r="L172" s="152"/>
      <c r="M172" s="152"/>
      <c r="N172" s="152"/>
      <c r="O172" s="152"/>
      <c r="P172" s="152"/>
      <c r="Q172" s="152"/>
      <c r="R172" s="152"/>
      <c r="S172" s="152"/>
      <c r="T172" s="152"/>
      <c r="U172" s="152"/>
      <c r="V172" s="152"/>
      <c r="W172" s="152"/>
      <c r="X172" s="152"/>
      <c r="Y172" s="152"/>
      <c r="Z172" s="152"/>
      <c r="AA172" s="152"/>
      <c r="AB172" s="152"/>
      <c r="AC172" s="152"/>
      <c r="AD172" s="152"/>
      <c r="AE172" s="152"/>
      <c r="AF172" s="152"/>
      <c r="AG172" s="152"/>
      <c r="AH172" s="152"/>
      <c r="AI172" s="152"/>
      <c r="AJ172" s="152"/>
    </row>
    <row r="173" ht="15.75" customHeight="1">
      <c r="A173" s="148" t="s">
        <v>315</v>
      </c>
      <c r="B173" s="148">
        <v>142.0</v>
      </c>
      <c r="C173" s="148" t="s">
        <v>1147</v>
      </c>
      <c r="D173" s="149" t="s">
        <v>1148</v>
      </c>
      <c r="E173" s="150">
        <v>50.0</v>
      </c>
      <c r="F173" s="151">
        <v>0.0</v>
      </c>
      <c r="G173" s="151">
        <v>0.0</v>
      </c>
      <c r="H173" s="151">
        <v>0.0</v>
      </c>
      <c r="I173" s="151">
        <v>0.0</v>
      </c>
      <c r="J173" s="151">
        <v>0.0</v>
      </c>
      <c r="K173" s="152"/>
      <c r="L173" s="152"/>
      <c r="M173" s="152"/>
      <c r="N173" s="152"/>
      <c r="O173" s="152"/>
      <c r="P173" s="152"/>
      <c r="Q173" s="152"/>
      <c r="R173" s="152"/>
      <c r="S173" s="152"/>
      <c r="T173" s="152"/>
      <c r="U173" s="152"/>
      <c r="V173" s="152"/>
      <c r="W173" s="152"/>
      <c r="X173" s="152"/>
      <c r="Y173" s="152"/>
      <c r="Z173" s="152"/>
      <c r="AA173" s="152"/>
      <c r="AB173" s="152"/>
      <c r="AC173" s="152"/>
      <c r="AD173" s="152"/>
      <c r="AE173" s="152"/>
      <c r="AF173" s="152"/>
      <c r="AG173" s="152"/>
      <c r="AH173" s="152"/>
      <c r="AI173" s="152"/>
      <c r="AJ173" s="152"/>
    </row>
    <row r="174" ht="15.75" customHeight="1">
      <c r="A174" s="148" t="s">
        <v>315</v>
      </c>
      <c r="B174" s="148">
        <v>143.0</v>
      </c>
      <c r="C174" s="148" t="s">
        <v>790</v>
      </c>
      <c r="D174" s="149" t="s">
        <v>791</v>
      </c>
      <c r="E174" s="150">
        <v>65.0</v>
      </c>
      <c r="F174" s="151">
        <v>0.0</v>
      </c>
      <c r="G174" s="151">
        <v>0.0</v>
      </c>
      <c r="H174" s="151">
        <v>0.0</v>
      </c>
      <c r="I174" s="151">
        <v>0.0</v>
      </c>
      <c r="J174" s="151">
        <v>0.0</v>
      </c>
      <c r="K174" s="152"/>
      <c r="L174" s="152"/>
      <c r="M174" s="152"/>
      <c r="N174" s="152"/>
      <c r="O174" s="152"/>
      <c r="P174" s="152"/>
      <c r="Q174" s="152"/>
      <c r="R174" s="152"/>
      <c r="S174" s="152"/>
      <c r="T174" s="152"/>
      <c r="U174" s="152"/>
      <c r="V174" s="152"/>
      <c r="W174" s="152"/>
      <c r="X174" s="152"/>
      <c r="Y174" s="152"/>
      <c r="Z174" s="152"/>
      <c r="AA174" s="152"/>
      <c r="AB174" s="152"/>
      <c r="AC174" s="152"/>
      <c r="AD174" s="152"/>
      <c r="AE174" s="152"/>
      <c r="AF174" s="152"/>
      <c r="AG174" s="152"/>
      <c r="AH174" s="152"/>
      <c r="AI174" s="152"/>
      <c r="AJ174" s="152"/>
    </row>
    <row r="175" ht="15.75" customHeight="1">
      <c r="A175" s="148" t="s">
        <v>315</v>
      </c>
      <c r="B175" s="148">
        <v>144.0</v>
      </c>
      <c r="C175" s="148" t="s">
        <v>1046</v>
      </c>
      <c r="D175" s="149" t="s">
        <v>1047</v>
      </c>
      <c r="E175" s="150">
        <v>73.0</v>
      </c>
      <c r="F175" s="151">
        <v>0.0</v>
      </c>
      <c r="G175" s="151">
        <v>2.0</v>
      </c>
      <c r="H175" s="151">
        <v>0.0</v>
      </c>
      <c r="I175" s="151">
        <v>0.0</v>
      </c>
      <c r="J175" s="151">
        <v>0.0</v>
      </c>
      <c r="K175" s="152"/>
      <c r="L175" s="152"/>
      <c r="M175" s="152"/>
      <c r="N175" s="152"/>
      <c r="O175" s="152"/>
      <c r="P175" s="152"/>
      <c r="Q175" s="152"/>
      <c r="R175" s="152"/>
      <c r="S175" s="152"/>
      <c r="T175" s="152"/>
      <c r="U175" s="152"/>
      <c r="V175" s="152"/>
      <c r="W175" s="152"/>
      <c r="X175" s="152"/>
      <c r="Y175" s="152"/>
      <c r="Z175" s="152"/>
      <c r="AA175" s="152"/>
      <c r="AB175" s="152"/>
      <c r="AC175" s="152"/>
      <c r="AD175" s="152"/>
      <c r="AE175" s="152"/>
      <c r="AF175" s="152"/>
      <c r="AG175" s="152"/>
      <c r="AH175" s="152"/>
      <c r="AI175" s="152"/>
      <c r="AJ175" s="152"/>
    </row>
    <row r="176" ht="15.75" customHeight="1">
      <c r="A176" s="148" t="s">
        <v>315</v>
      </c>
      <c r="B176" s="148">
        <v>145.0</v>
      </c>
      <c r="C176" s="148" t="s">
        <v>1138</v>
      </c>
      <c r="D176" s="149" t="s">
        <v>1139</v>
      </c>
      <c r="E176" s="150">
        <v>3.4</v>
      </c>
      <c r="F176" s="151">
        <v>0.0</v>
      </c>
      <c r="G176" s="151">
        <v>0.0</v>
      </c>
      <c r="H176" s="151">
        <v>0.0</v>
      </c>
      <c r="I176" s="151">
        <v>0.0</v>
      </c>
      <c r="J176" s="151">
        <v>0.0</v>
      </c>
      <c r="K176" s="152"/>
      <c r="L176" s="152"/>
      <c r="M176" s="152"/>
      <c r="N176" s="152"/>
      <c r="O176" s="152"/>
      <c r="P176" s="152"/>
      <c r="Q176" s="152"/>
      <c r="R176" s="152"/>
      <c r="S176" s="152"/>
      <c r="T176" s="152"/>
      <c r="U176" s="152"/>
      <c r="V176" s="152"/>
      <c r="W176" s="152"/>
      <c r="X176" s="152"/>
      <c r="Y176" s="152"/>
      <c r="Z176" s="152"/>
      <c r="AA176" s="152"/>
      <c r="AB176" s="152"/>
      <c r="AC176" s="152"/>
      <c r="AD176" s="152"/>
      <c r="AE176" s="152"/>
      <c r="AF176" s="152"/>
      <c r="AG176" s="152"/>
      <c r="AH176" s="152"/>
      <c r="AI176" s="152"/>
      <c r="AJ176" s="152"/>
    </row>
    <row r="177" ht="15.75" customHeight="1">
      <c r="A177" s="148" t="s">
        <v>315</v>
      </c>
      <c r="B177" s="148">
        <v>146.0</v>
      </c>
      <c r="C177" s="148" t="s">
        <v>1110</v>
      </c>
      <c r="D177" s="149" t="s">
        <v>1111</v>
      </c>
      <c r="E177" s="150">
        <v>49.0</v>
      </c>
      <c r="F177" s="151">
        <v>0.0</v>
      </c>
      <c r="G177" s="151">
        <v>0.0</v>
      </c>
      <c r="H177" s="151">
        <v>0.0</v>
      </c>
      <c r="I177" s="151">
        <v>0.0</v>
      </c>
      <c r="J177" s="151">
        <v>0.0</v>
      </c>
      <c r="K177" s="152"/>
      <c r="L177" s="152"/>
      <c r="M177" s="152"/>
      <c r="N177" s="152"/>
      <c r="O177" s="152"/>
      <c r="P177" s="152"/>
      <c r="Q177" s="152"/>
      <c r="R177" s="152"/>
      <c r="S177" s="152"/>
      <c r="T177" s="152"/>
      <c r="U177" s="152"/>
      <c r="V177" s="152"/>
      <c r="W177" s="152"/>
      <c r="X177" s="152"/>
      <c r="Y177" s="152"/>
      <c r="Z177" s="152"/>
      <c r="AA177" s="152"/>
      <c r="AB177" s="152"/>
      <c r="AC177" s="152"/>
      <c r="AD177" s="152"/>
      <c r="AE177" s="152"/>
      <c r="AF177" s="152"/>
      <c r="AG177" s="152"/>
      <c r="AH177" s="152"/>
      <c r="AI177" s="152"/>
      <c r="AJ177" s="152"/>
    </row>
    <row r="178" ht="15.75" customHeight="1">
      <c r="A178" s="148" t="s">
        <v>315</v>
      </c>
      <c r="B178" s="148">
        <v>147.0</v>
      </c>
      <c r="C178" s="148" t="s">
        <v>862</v>
      </c>
      <c r="D178" s="149" t="s">
        <v>863</v>
      </c>
      <c r="E178" s="150">
        <v>19.0</v>
      </c>
      <c r="F178" s="151">
        <v>0.0</v>
      </c>
      <c r="G178" s="151">
        <v>0.0</v>
      </c>
      <c r="H178" s="151">
        <v>0.0</v>
      </c>
      <c r="I178" s="151">
        <v>0.0</v>
      </c>
      <c r="J178" s="151">
        <v>0.0</v>
      </c>
      <c r="K178" s="152"/>
      <c r="L178" s="152"/>
      <c r="M178" s="152"/>
      <c r="N178" s="152"/>
      <c r="O178" s="152"/>
      <c r="P178" s="152"/>
      <c r="Q178" s="152"/>
      <c r="R178" s="152"/>
      <c r="S178" s="152"/>
      <c r="T178" s="152"/>
      <c r="U178" s="152"/>
      <c r="V178" s="152"/>
      <c r="W178" s="152"/>
      <c r="X178" s="152"/>
      <c r="Y178" s="152"/>
      <c r="Z178" s="152"/>
      <c r="AA178" s="152"/>
      <c r="AB178" s="152"/>
      <c r="AC178" s="152"/>
      <c r="AD178" s="152"/>
      <c r="AE178" s="152"/>
      <c r="AF178" s="152"/>
      <c r="AG178" s="152"/>
      <c r="AH178" s="152"/>
      <c r="AI178" s="152"/>
      <c r="AJ178" s="152"/>
    </row>
    <row r="179" ht="15.75" customHeight="1">
      <c r="A179" s="148" t="s">
        <v>315</v>
      </c>
      <c r="B179" s="148">
        <v>149.0</v>
      </c>
      <c r="C179" s="148" t="s">
        <v>1012</v>
      </c>
      <c r="D179" s="148" t="s">
        <v>1013</v>
      </c>
      <c r="E179" s="150">
        <v>19.0</v>
      </c>
      <c r="F179" s="151">
        <v>0.0</v>
      </c>
      <c r="G179" s="151">
        <v>0.0</v>
      </c>
      <c r="H179" s="151">
        <v>0.0</v>
      </c>
      <c r="I179" s="151">
        <v>0.0</v>
      </c>
      <c r="J179" s="151">
        <v>0.0</v>
      </c>
      <c r="K179" s="152"/>
      <c r="L179" s="152"/>
      <c r="M179" s="152"/>
      <c r="N179" s="152"/>
      <c r="O179" s="152"/>
      <c r="P179" s="152"/>
      <c r="Q179" s="152"/>
      <c r="R179" s="152"/>
      <c r="S179" s="152"/>
      <c r="T179" s="152"/>
      <c r="U179" s="152"/>
      <c r="V179" s="152"/>
      <c r="W179" s="152"/>
      <c r="X179" s="152"/>
      <c r="Y179" s="152"/>
      <c r="Z179" s="152"/>
      <c r="AA179" s="152"/>
      <c r="AB179" s="152"/>
      <c r="AC179" s="152"/>
      <c r="AD179" s="152"/>
      <c r="AE179" s="152"/>
      <c r="AF179" s="152"/>
      <c r="AG179" s="152"/>
      <c r="AH179" s="152"/>
      <c r="AI179" s="152"/>
      <c r="AJ179" s="152"/>
    </row>
    <row r="180" ht="15.75" customHeight="1">
      <c r="A180" s="148" t="s">
        <v>315</v>
      </c>
      <c r="B180" s="148">
        <v>150.0</v>
      </c>
      <c r="C180" s="148" t="s">
        <v>1055</v>
      </c>
      <c r="D180" s="149" t="s">
        <v>1056</v>
      </c>
      <c r="E180" s="150">
        <v>58.0</v>
      </c>
      <c r="F180" s="151">
        <v>0.0</v>
      </c>
      <c r="G180" s="151">
        <v>0.0</v>
      </c>
      <c r="H180" s="151">
        <v>0.0</v>
      </c>
      <c r="I180" s="151">
        <v>0.0</v>
      </c>
      <c r="J180" s="151">
        <v>0.0</v>
      </c>
      <c r="K180" s="152"/>
      <c r="L180" s="152"/>
      <c r="M180" s="152"/>
      <c r="N180" s="152"/>
      <c r="O180" s="152"/>
      <c r="P180" s="152"/>
      <c r="Q180" s="152"/>
      <c r="R180" s="152"/>
      <c r="S180" s="152"/>
      <c r="T180" s="152"/>
      <c r="U180" s="152"/>
      <c r="V180" s="152"/>
      <c r="W180" s="152"/>
      <c r="X180" s="152"/>
      <c r="Y180" s="152"/>
      <c r="Z180" s="152"/>
      <c r="AA180" s="152"/>
      <c r="AB180" s="152"/>
      <c r="AC180" s="152"/>
      <c r="AD180" s="152"/>
      <c r="AE180" s="152"/>
      <c r="AF180" s="152"/>
      <c r="AG180" s="152"/>
      <c r="AH180" s="152"/>
      <c r="AI180" s="152"/>
      <c r="AJ180" s="152"/>
    </row>
    <row r="181" ht="15.75" customHeight="1">
      <c r="A181" s="152"/>
      <c r="B181" s="152"/>
      <c r="C181" s="152"/>
      <c r="D181" s="152"/>
      <c r="E181" s="169"/>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c r="AD181" s="152"/>
      <c r="AE181" s="152"/>
      <c r="AF181" s="152"/>
      <c r="AG181" s="152"/>
      <c r="AH181" s="152"/>
      <c r="AI181" s="152"/>
      <c r="AJ181" s="152"/>
    </row>
    <row r="182" ht="15.75" customHeight="1">
      <c r="A182" s="161" t="s">
        <v>321</v>
      </c>
      <c r="B182" s="161">
        <v>1.0</v>
      </c>
      <c r="C182" s="161" t="s">
        <v>2231</v>
      </c>
      <c r="D182" s="170" t="s">
        <v>2233</v>
      </c>
      <c r="E182" s="171">
        <v>39.0</v>
      </c>
      <c r="F182" s="172">
        <v>3.0</v>
      </c>
      <c r="G182" s="172">
        <v>0.0</v>
      </c>
      <c r="H182" s="172">
        <v>0.0</v>
      </c>
      <c r="I182" s="172">
        <v>0.0</v>
      </c>
      <c r="J182" s="172">
        <v>0.0</v>
      </c>
      <c r="K182" s="163"/>
      <c r="L182" s="163"/>
      <c r="M182" s="163"/>
      <c r="N182" s="163"/>
      <c r="O182" s="163"/>
      <c r="P182" s="163"/>
      <c r="Q182" s="163"/>
      <c r="R182" s="163"/>
      <c r="S182" s="163"/>
      <c r="T182" s="163"/>
      <c r="U182" s="163"/>
      <c r="V182" s="163"/>
      <c r="W182" s="163"/>
      <c r="X182" s="163"/>
      <c r="Y182" s="163"/>
      <c r="Z182" s="163"/>
      <c r="AA182" s="163"/>
      <c r="AB182" s="163"/>
      <c r="AC182" s="163"/>
      <c r="AD182" s="163"/>
      <c r="AE182" s="163"/>
      <c r="AF182" s="163"/>
      <c r="AG182" s="163"/>
      <c r="AH182" s="163"/>
      <c r="AI182" s="163"/>
      <c r="AJ182" s="163"/>
    </row>
    <row r="183" ht="15.75" customHeight="1">
      <c r="A183" s="148" t="s">
        <v>321</v>
      </c>
      <c r="B183" s="148">
        <v>2.0</v>
      </c>
      <c r="C183" s="148" t="s">
        <v>2242</v>
      </c>
      <c r="D183" s="149" t="s">
        <v>2243</v>
      </c>
      <c r="E183" s="150">
        <v>31.0</v>
      </c>
      <c r="F183" s="151">
        <v>1.0</v>
      </c>
      <c r="G183" s="151">
        <v>0.0</v>
      </c>
      <c r="H183" s="151">
        <v>0.0</v>
      </c>
      <c r="I183" s="151">
        <v>0.0</v>
      </c>
      <c r="J183" s="151">
        <v>0.0</v>
      </c>
      <c r="K183" s="152"/>
      <c r="L183" s="152"/>
      <c r="M183" s="152"/>
      <c r="N183" s="152"/>
      <c r="O183" s="152"/>
      <c r="P183" s="152"/>
      <c r="Q183" s="152"/>
      <c r="R183" s="152"/>
      <c r="S183" s="152"/>
      <c r="T183" s="152"/>
      <c r="U183" s="152"/>
      <c r="V183" s="152"/>
      <c r="W183" s="152"/>
      <c r="X183" s="152"/>
      <c r="Y183" s="152"/>
      <c r="Z183" s="152"/>
      <c r="AA183" s="152"/>
      <c r="AB183" s="152"/>
      <c r="AC183" s="152"/>
      <c r="AD183" s="152"/>
      <c r="AE183" s="152"/>
      <c r="AF183" s="152"/>
      <c r="AG183" s="152"/>
      <c r="AH183" s="152"/>
      <c r="AI183" s="152"/>
      <c r="AJ183" s="152"/>
    </row>
    <row r="184" ht="15.75" customHeight="1">
      <c r="A184" s="148" t="s">
        <v>321</v>
      </c>
      <c r="B184" s="148">
        <v>3.0</v>
      </c>
      <c r="C184" s="148" t="s">
        <v>2250</v>
      </c>
      <c r="D184" s="149" t="s">
        <v>2251</v>
      </c>
      <c r="E184" s="150">
        <v>56.0</v>
      </c>
      <c r="F184" s="151">
        <v>61.0</v>
      </c>
      <c r="G184" s="151">
        <v>1.0</v>
      </c>
      <c r="H184" s="151">
        <v>3.0</v>
      </c>
      <c r="I184" s="151">
        <v>0.0</v>
      </c>
      <c r="J184" s="151">
        <v>0.0</v>
      </c>
      <c r="K184" s="152"/>
      <c r="L184" s="152"/>
      <c r="M184" s="152"/>
      <c r="N184" s="152"/>
      <c r="O184" s="152"/>
      <c r="P184" s="152"/>
      <c r="Q184" s="152"/>
      <c r="R184" s="152"/>
      <c r="S184" s="152"/>
      <c r="T184" s="152"/>
      <c r="U184" s="152"/>
      <c r="V184" s="152"/>
      <c r="W184" s="152"/>
      <c r="X184" s="152"/>
      <c r="Y184" s="152"/>
      <c r="Z184" s="152"/>
      <c r="AA184" s="152"/>
      <c r="AB184" s="152"/>
      <c r="AC184" s="152"/>
      <c r="AD184" s="152"/>
      <c r="AE184" s="152"/>
      <c r="AF184" s="152"/>
      <c r="AG184" s="152"/>
      <c r="AH184" s="152"/>
      <c r="AI184" s="152"/>
      <c r="AJ184" s="152"/>
    </row>
    <row r="185" ht="15.75" customHeight="1">
      <c r="A185" s="148" t="s">
        <v>321</v>
      </c>
      <c r="B185" s="148">
        <v>4.0</v>
      </c>
      <c r="C185" s="148" t="s">
        <v>2252</v>
      </c>
      <c r="D185" s="148" t="s">
        <v>2253</v>
      </c>
      <c r="E185" s="150">
        <v>55.0</v>
      </c>
      <c r="F185" s="151">
        <v>2.0</v>
      </c>
      <c r="G185" s="151">
        <v>0.0</v>
      </c>
      <c r="H185" s="151">
        <v>0.0</v>
      </c>
      <c r="I185" s="151">
        <v>0.0</v>
      </c>
      <c r="J185" s="151">
        <v>0.0</v>
      </c>
      <c r="K185" s="152"/>
      <c r="L185" s="152"/>
      <c r="M185" s="152"/>
      <c r="N185" s="152"/>
      <c r="O185" s="152"/>
      <c r="P185" s="152"/>
      <c r="Q185" s="152"/>
      <c r="R185" s="152"/>
      <c r="S185" s="152"/>
      <c r="T185" s="152"/>
      <c r="U185" s="152"/>
      <c r="V185" s="152"/>
      <c r="W185" s="152"/>
      <c r="X185" s="152"/>
      <c r="Y185" s="152"/>
      <c r="Z185" s="152"/>
      <c r="AA185" s="152"/>
      <c r="AB185" s="152"/>
      <c r="AC185" s="152"/>
      <c r="AD185" s="152"/>
      <c r="AE185" s="152"/>
      <c r="AF185" s="152"/>
      <c r="AG185" s="152"/>
      <c r="AH185" s="152"/>
      <c r="AI185" s="152"/>
      <c r="AJ185" s="152"/>
    </row>
    <row r="186" ht="15.75" customHeight="1">
      <c r="A186" s="148" t="s">
        <v>321</v>
      </c>
      <c r="B186" s="148">
        <v>5.0</v>
      </c>
      <c r="C186" s="148" t="s">
        <v>2254</v>
      </c>
      <c r="D186" s="149" t="s">
        <v>2255</v>
      </c>
      <c r="E186" s="150">
        <v>74.0</v>
      </c>
      <c r="F186" s="151">
        <v>28.0</v>
      </c>
      <c r="G186" s="151">
        <v>8.0</v>
      </c>
      <c r="H186" s="151">
        <v>0.0</v>
      </c>
      <c r="I186" s="151">
        <v>0.0</v>
      </c>
      <c r="J186" s="151">
        <v>3.0</v>
      </c>
      <c r="K186" s="152"/>
      <c r="L186" s="152"/>
      <c r="M186" s="152"/>
      <c r="N186" s="152"/>
      <c r="O186" s="152"/>
      <c r="P186" s="152"/>
      <c r="Q186" s="152"/>
      <c r="R186" s="152"/>
      <c r="S186" s="152"/>
      <c r="T186" s="152"/>
      <c r="U186" s="152"/>
      <c r="V186" s="152"/>
      <c r="W186" s="152"/>
      <c r="X186" s="152"/>
      <c r="Y186" s="152"/>
      <c r="Z186" s="152"/>
      <c r="AA186" s="152"/>
      <c r="AB186" s="152"/>
      <c r="AC186" s="152"/>
      <c r="AD186" s="152"/>
      <c r="AE186" s="152"/>
      <c r="AF186" s="152"/>
      <c r="AG186" s="152"/>
      <c r="AH186" s="152"/>
      <c r="AI186" s="152"/>
      <c r="AJ186" s="152"/>
    </row>
    <row r="187" ht="15.75" customHeight="1">
      <c r="A187" s="148" t="s">
        <v>321</v>
      </c>
      <c r="B187" s="148">
        <v>6.0</v>
      </c>
      <c r="C187" s="148" t="s">
        <v>2259</v>
      </c>
      <c r="D187" s="149" t="s">
        <v>2260</v>
      </c>
      <c r="E187" s="150">
        <v>62.0</v>
      </c>
      <c r="F187" s="151">
        <v>29.0</v>
      </c>
      <c r="G187" s="151">
        <v>0.0</v>
      </c>
      <c r="H187" s="151">
        <v>0.0</v>
      </c>
      <c r="I187" s="151">
        <v>0.0</v>
      </c>
      <c r="J187" s="151">
        <v>0.0</v>
      </c>
      <c r="K187" s="152"/>
      <c r="L187" s="152"/>
      <c r="M187" s="152"/>
      <c r="N187" s="152"/>
      <c r="O187" s="152"/>
      <c r="P187" s="152"/>
      <c r="Q187" s="152"/>
      <c r="R187" s="152"/>
      <c r="S187" s="152"/>
      <c r="T187" s="152"/>
      <c r="U187" s="152"/>
      <c r="V187" s="152"/>
      <c r="W187" s="152"/>
      <c r="X187" s="152"/>
      <c r="Y187" s="152"/>
      <c r="Z187" s="152"/>
      <c r="AA187" s="152"/>
      <c r="AB187" s="152"/>
      <c r="AC187" s="152"/>
      <c r="AD187" s="152"/>
      <c r="AE187" s="152"/>
      <c r="AF187" s="152"/>
      <c r="AG187" s="152"/>
      <c r="AH187" s="152"/>
      <c r="AI187" s="152"/>
      <c r="AJ187" s="152"/>
    </row>
    <row r="188" ht="15.75" customHeight="1">
      <c r="A188" s="148" t="s">
        <v>321</v>
      </c>
      <c r="B188" s="148">
        <v>7.0</v>
      </c>
      <c r="C188" s="148" t="s">
        <v>2338</v>
      </c>
      <c r="D188" s="149" t="s">
        <v>2340</v>
      </c>
      <c r="E188" s="150">
        <v>55.0</v>
      </c>
      <c r="F188" s="151">
        <v>375.0</v>
      </c>
      <c r="G188" s="151">
        <v>20.0</v>
      </c>
      <c r="H188" s="151">
        <v>16.0</v>
      </c>
      <c r="I188" s="151">
        <v>0.0</v>
      </c>
      <c r="J188" s="151">
        <v>14.0</v>
      </c>
      <c r="K188" s="152"/>
      <c r="L188" s="152"/>
      <c r="M188" s="152"/>
      <c r="N188" s="152"/>
      <c r="O188" s="152"/>
      <c r="P188" s="152"/>
      <c r="Q188" s="152"/>
      <c r="R188" s="152"/>
      <c r="S188" s="152"/>
      <c r="T188" s="152"/>
      <c r="U188" s="152"/>
      <c r="V188" s="152"/>
      <c r="W188" s="152"/>
      <c r="X188" s="152"/>
      <c r="Y188" s="152"/>
      <c r="Z188" s="152"/>
      <c r="AA188" s="152"/>
      <c r="AB188" s="152"/>
      <c r="AC188" s="152"/>
      <c r="AD188" s="152"/>
      <c r="AE188" s="152"/>
      <c r="AF188" s="152"/>
      <c r="AG188" s="152"/>
      <c r="AH188" s="152"/>
      <c r="AI188" s="152"/>
      <c r="AJ188" s="152"/>
    </row>
    <row r="189" ht="15.75" customHeight="1">
      <c r="A189" s="148" t="s">
        <v>321</v>
      </c>
      <c r="B189" s="148">
        <v>8.0</v>
      </c>
      <c r="C189" s="148" t="s">
        <v>2343</v>
      </c>
      <c r="D189" s="149" t="s">
        <v>2344</v>
      </c>
      <c r="E189" s="150">
        <v>39.0</v>
      </c>
      <c r="F189" s="151">
        <v>1.0</v>
      </c>
      <c r="G189" s="151">
        <v>0.0</v>
      </c>
      <c r="H189" s="151">
        <v>0.0</v>
      </c>
      <c r="I189" s="151">
        <v>0.0</v>
      </c>
      <c r="J189" s="151">
        <v>0.0</v>
      </c>
      <c r="K189" s="152"/>
      <c r="L189" s="152"/>
      <c r="M189" s="152"/>
      <c r="N189" s="152"/>
      <c r="O189" s="152"/>
      <c r="P189" s="152"/>
      <c r="Q189" s="152"/>
      <c r="R189" s="152"/>
      <c r="S189" s="152"/>
      <c r="T189" s="152"/>
      <c r="U189" s="152"/>
      <c r="V189" s="152"/>
      <c r="W189" s="152"/>
      <c r="X189" s="152"/>
      <c r="Y189" s="152"/>
      <c r="Z189" s="152"/>
      <c r="AA189" s="152"/>
      <c r="AB189" s="152"/>
      <c r="AC189" s="152"/>
      <c r="AD189" s="152"/>
      <c r="AE189" s="152"/>
      <c r="AF189" s="152"/>
      <c r="AG189" s="152"/>
      <c r="AH189" s="152"/>
      <c r="AI189" s="152"/>
      <c r="AJ189" s="152"/>
    </row>
    <row r="190" ht="15.75" customHeight="1">
      <c r="A190" s="148" t="s">
        <v>321</v>
      </c>
      <c r="B190" s="148">
        <v>9.0</v>
      </c>
      <c r="C190" s="148" t="s">
        <v>2348</v>
      </c>
      <c r="D190" s="149" t="s">
        <v>2349</v>
      </c>
      <c r="E190" s="150">
        <v>52.0</v>
      </c>
      <c r="F190" s="151">
        <v>5.0</v>
      </c>
      <c r="G190" s="151">
        <v>1.0</v>
      </c>
      <c r="H190" s="151">
        <v>1.0</v>
      </c>
      <c r="I190" s="151">
        <v>0.0</v>
      </c>
      <c r="J190" s="151">
        <v>0.0</v>
      </c>
      <c r="K190" s="152"/>
      <c r="L190" s="152"/>
      <c r="M190" s="152"/>
      <c r="N190" s="152"/>
      <c r="O190" s="152"/>
      <c r="P190" s="152"/>
      <c r="Q190" s="152"/>
      <c r="R190" s="152"/>
      <c r="S190" s="152"/>
      <c r="T190" s="152"/>
      <c r="U190" s="152"/>
      <c r="V190" s="152"/>
      <c r="W190" s="152"/>
      <c r="X190" s="152"/>
      <c r="Y190" s="152"/>
      <c r="Z190" s="152"/>
      <c r="AA190" s="152"/>
      <c r="AB190" s="152"/>
      <c r="AC190" s="152"/>
      <c r="AD190" s="152"/>
      <c r="AE190" s="152"/>
      <c r="AF190" s="152"/>
      <c r="AG190" s="152"/>
      <c r="AH190" s="152"/>
      <c r="AI190" s="152"/>
      <c r="AJ190" s="152"/>
    </row>
    <row r="191" ht="15.75" customHeight="1">
      <c r="A191" s="148" t="s">
        <v>321</v>
      </c>
      <c r="B191" s="148">
        <v>10.0</v>
      </c>
      <c r="C191" s="148" t="s">
        <v>2355</v>
      </c>
      <c r="D191" s="149" t="s">
        <v>2356</v>
      </c>
      <c r="E191" s="150">
        <v>64.0</v>
      </c>
      <c r="F191" s="151">
        <v>242.0</v>
      </c>
      <c r="G191" s="151">
        <v>1.0</v>
      </c>
      <c r="H191" s="151">
        <v>5.0</v>
      </c>
      <c r="I191" s="151">
        <v>0.0</v>
      </c>
      <c r="J191" s="151">
        <v>0.0</v>
      </c>
      <c r="K191" s="152"/>
      <c r="L191" s="152"/>
      <c r="M191" s="152"/>
      <c r="N191" s="152"/>
      <c r="O191" s="152"/>
      <c r="P191" s="152"/>
      <c r="Q191" s="152"/>
      <c r="R191" s="152"/>
      <c r="S191" s="152"/>
      <c r="T191" s="152"/>
      <c r="U191" s="152"/>
      <c r="V191" s="152"/>
      <c r="W191" s="152"/>
      <c r="X191" s="152"/>
      <c r="Y191" s="152"/>
      <c r="Z191" s="152"/>
      <c r="AA191" s="152"/>
      <c r="AB191" s="152"/>
      <c r="AC191" s="152"/>
      <c r="AD191" s="152"/>
      <c r="AE191" s="152"/>
      <c r="AF191" s="152"/>
      <c r="AG191" s="152"/>
      <c r="AH191" s="152"/>
      <c r="AI191" s="152"/>
      <c r="AJ191" s="152"/>
    </row>
    <row r="192" ht="15.75" customHeight="1">
      <c r="A192" s="148" t="s">
        <v>321</v>
      </c>
      <c r="B192" s="148">
        <v>11.0</v>
      </c>
      <c r="C192" s="148" t="s">
        <v>2360</v>
      </c>
      <c r="D192" s="149" t="s">
        <v>2362</v>
      </c>
      <c r="E192" s="150">
        <v>70.0</v>
      </c>
      <c r="F192" s="151">
        <v>4.0</v>
      </c>
      <c r="G192" s="151">
        <v>1.0</v>
      </c>
      <c r="H192" s="151">
        <v>0.0</v>
      </c>
      <c r="I192" s="151">
        <v>0.0</v>
      </c>
      <c r="J192" s="151">
        <v>0.0</v>
      </c>
      <c r="K192" s="152"/>
      <c r="L192" s="152"/>
      <c r="M192" s="152"/>
      <c r="N192" s="152"/>
      <c r="O192" s="152"/>
      <c r="P192" s="152"/>
      <c r="Q192" s="152"/>
      <c r="R192" s="152"/>
      <c r="S192" s="152"/>
      <c r="T192" s="152"/>
      <c r="U192" s="152"/>
      <c r="V192" s="152"/>
      <c r="W192" s="152"/>
      <c r="X192" s="152"/>
      <c r="Y192" s="152"/>
      <c r="Z192" s="152"/>
      <c r="AA192" s="152"/>
      <c r="AB192" s="152"/>
      <c r="AC192" s="152"/>
      <c r="AD192" s="152"/>
      <c r="AE192" s="152"/>
      <c r="AF192" s="152"/>
      <c r="AG192" s="152"/>
      <c r="AH192" s="152"/>
      <c r="AI192" s="152"/>
      <c r="AJ192" s="152"/>
    </row>
    <row r="193" ht="15.75" customHeight="1">
      <c r="A193" s="148" t="s">
        <v>321</v>
      </c>
      <c r="B193" s="148">
        <v>12.0</v>
      </c>
      <c r="C193" s="148" t="s">
        <v>2370</v>
      </c>
      <c r="D193" s="149" t="s">
        <v>2371</v>
      </c>
      <c r="E193" s="150">
        <v>44.0</v>
      </c>
      <c r="F193" s="151">
        <v>21.0</v>
      </c>
      <c r="G193" s="151">
        <v>0.0</v>
      </c>
      <c r="H193" s="151">
        <v>0.0</v>
      </c>
      <c r="I193" s="151">
        <v>0.0</v>
      </c>
      <c r="J193" s="151">
        <v>0.0</v>
      </c>
      <c r="K193" s="152"/>
      <c r="L193" s="152"/>
      <c r="M193" s="152"/>
      <c r="N193" s="152"/>
      <c r="O193" s="152"/>
      <c r="P193" s="152"/>
      <c r="Q193" s="152"/>
      <c r="R193" s="152"/>
      <c r="S193" s="152"/>
      <c r="T193" s="152"/>
      <c r="U193" s="152"/>
      <c r="V193" s="152"/>
      <c r="W193" s="152"/>
      <c r="X193" s="152"/>
      <c r="Y193" s="152"/>
      <c r="Z193" s="152"/>
      <c r="AA193" s="152"/>
      <c r="AB193" s="152"/>
      <c r="AC193" s="152"/>
      <c r="AD193" s="152"/>
      <c r="AE193" s="152"/>
      <c r="AF193" s="152"/>
      <c r="AG193" s="152"/>
      <c r="AH193" s="152"/>
      <c r="AI193" s="152"/>
      <c r="AJ193" s="152"/>
    </row>
    <row r="194" ht="15.75" customHeight="1">
      <c r="A194" s="148" t="s">
        <v>321</v>
      </c>
      <c r="B194" s="148">
        <v>13.0</v>
      </c>
      <c r="C194" s="148" t="s">
        <v>1342</v>
      </c>
      <c r="D194" s="149" t="s">
        <v>2375</v>
      </c>
      <c r="E194" s="150">
        <v>4.1</v>
      </c>
      <c r="F194" s="151">
        <v>0.0</v>
      </c>
      <c r="G194" s="151">
        <v>0.0</v>
      </c>
      <c r="H194" s="151">
        <v>0.0</v>
      </c>
      <c r="I194" s="151">
        <v>0.0</v>
      </c>
      <c r="J194" s="151">
        <v>0.0</v>
      </c>
      <c r="K194" s="152"/>
      <c r="L194" s="152"/>
      <c r="M194" s="152"/>
      <c r="N194" s="152"/>
      <c r="O194" s="152"/>
      <c r="P194" s="152"/>
      <c r="Q194" s="152"/>
      <c r="R194" s="152"/>
      <c r="S194" s="152"/>
      <c r="T194" s="152"/>
      <c r="U194" s="152"/>
      <c r="V194" s="152"/>
      <c r="W194" s="152"/>
      <c r="X194" s="152"/>
      <c r="Y194" s="152"/>
      <c r="Z194" s="152"/>
      <c r="AA194" s="152"/>
      <c r="AB194" s="152"/>
      <c r="AC194" s="152"/>
      <c r="AD194" s="152"/>
      <c r="AE194" s="152"/>
      <c r="AF194" s="152"/>
      <c r="AG194" s="152"/>
      <c r="AH194" s="152"/>
      <c r="AI194" s="152"/>
      <c r="AJ194" s="152"/>
    </row>
    <row r="195" ht="15.75" customHeight="1">
      <c r="A195" s="148" t="s">
        <v>321</v>
      </c>
      <c r="B195" s="148">
        <v>14.0</v>
      </c>
      <c r="C195" s="148" t="s">
        <v>2382</v>
      </c>
      <c r="D195" s="149" t="s">
        <v>2383</v>
      </c>
      <c r="E195" s="150">
        <v>57.0</v>
      </c>
      <c r="F195" s="151">
        <v>278.0</v>
      </c>
      <c r="G195" s="151">
        <v>5.0</v>
      </c>
      <c r="H195" s="151">
        <v>6.0</v>
      </c>
      <c r="I195" s="151">
        <v>0.0</v>
      </c>
      <c r="J195" s="151">
        <v>0.0</v>
      </c>
      <c r="K195" s="152"/>
      <c r="L195" s="152"/>
      <c r="M195" s="152"/>
      <c r="N195" s="152"/>
      <c r="O195" s="152"/>
      <c r="P195" s="152"/>
      <c r="Q195" s="152"/>
      <c r="R195" s="152"/>
      <c r="S195" s="152"/>
      <c r="T195" s="152"/>
      <c r="U195" s="152"/>
      <c r="V195" s="152"/>
      <c r="W195" s="152"/>
      <c r="X195" s="152"/>
      <c r="Y195" s="152"/>
      <c r="Z195" s="152"/>
      <c r="AA195" s="152"/>
      <c r="AB195" s="152"/>
      <c r="AC195" s="152"/>
      <c r="AD195" s="152"/>
      <c r="AE195" s="152"/>
      <c r="AF195" s="152"/>
      <c r="AG195" s="152"/>
      <c r="AH195" s="152"/>
      <c r="AI195" s="152"/>
      <c r="AJ195" s="152"/>
    </row>
    <row r="196" ht="15.75" customHeight="1">
      <c r="A196" s="148" t="s">
        <v>321</v>
      </c>
      <c r="B196" s="148">
        <v>15.0</v>
      </c>
      <c r="C196" s="148" t="s">
        <v>912</v>
      </c>
      <c r="D196" s="149" t="s">
        <v>913</v>
      </c>
      <c r="E196" s="150">
        <v>82.0</v>
      </c>
      <c r="F196" s="151">
        <v>15.0</v>
      </c>
      <c r="G196" s="151">
        <v>1.0</v>
      </c>
      <c r="H196" s="151">
        <v>0.0</v>
      </c>
      <c r="I196" s="151">
        <v>0.0</v>
      </c>
      <c r="J196" s="151">
        <v>2.0</v>
      </c>
      <c r="K196" s="152"/>
      <c r="L196" s="152"/>
      <c r="M196" s="152"/>
      <c r="N196" s="152"/>
      <c r="O196" s="152"/>
      <c r="P196" s="152"/>
      <c r="Q196" s="152"/>
      <c r="R196" s="152"/>
      <c r="S196" s="152"/>
      <c r="T196" s="152"/>
      <c r="U196" s="152"/>
      <c r="V196" s="152"/>
      <c r="W196" s="152"/>
      <c r="X196" s="152"/>
      <c r="Y196" s="152"/>
      <c r="Z196" s="152"/>
      <c r="AA196" s="152"/>
      <c r="AB196" s="152"/>
      <c r="AC196" s="152"/>
      <c r="AD196" s="152"/>
      <c r="AE196" s="152"/>
      <c r="AF196" s="152"/>
      <c r="AG196" s="152"/>
      <c r="AH196" s="152"/>
      <c r="AI196" s="152"/>
      <c r="AJ196" s="152"/>
    </row>
    <row r="197" ht="15.75" customHeight="1">
      <c r="A197" s="148" t="s">
        <v>321</v>
      </c>
      <c r="B197" s="148">
        <v>16.0</v>
      </c>
      <c r="C197" s="148" t="s">
        <v>2396</v>
      </c>
      <c r="D197" s="149" t="s">
        <v>2397</v>
      </c>
      <c r="E197" s="150">
        <v>30.0</v>
      </c>
      <c r="F197" s="151">
        <v>13.0</v>
      </c>
      <c r="G197" s="151">
        <v>0.0</v>
      </c>
      <c r="H197" s="151">
        <v>0.0</v>
      </c>
      <c r="I197" s="151">
        <v>0.0</v>
      </c>
      <c r="J197" s="151">
        <v>0.0</v>
      </c>
      <c r="K197" s="152"/>
      <c r="L197" s="152"/>
      <c r="M197" s="152"/>
      <c r="N197" s="152"/>
      <c r="O197" s="152"/>
      <c r="P197" s="152"/>
      <c r="Q197" s="152"/>
      <c r="R197" s="152"/>
      <c r="S197" s="152"/>
      <c r="T197" s="152"/>
      <c r="U197" s="152"/>
      <c r="V197" s="152"/>
      <c r="W197" s="152"/>
      <c r="X197" s="152"/>
      <c r="Y197" s="152"/>
      <c r="Z197" s="152"/>
      <c r="AA197" s="152"/>
      <c r="AB197" s="152"/>
      <c r="AC197" s="152"/>
      <c r="AD197" s="152"/>
      <c r="AE197" s="152"/>
      <c r="AF197" s="152"/>
      <c r="AG197" s="152"/>
      <c r="AH197" s="152"/>
      <c r="AI197" s="152"/>
      <c r="AJ197" s="152"/>
    </row>
    <row r="198" ht="15.75" customHeight="1">
      <c r="A198" s="148" t="s">
        <v>321</v>
      </c>
      <c r="B198" s="148">
        <v>17.0</v>
      </c>
      <c r="C198" s="148" t="s">
        <v>2403</v>
      </c>
      <c r="D198" s="149" t="s">
        <v>2404</v>
      </c>
      <c r="E198" s="150">
        <v>44.0</v>
      </c>
      <c r="F198" s="151">
        <v>0.0</v>
      </c>
      <c r="G198" s="151">
        <v>0.0</v>
      </c>
      <c r="H198" s="151">
        <v>0.0</v>
      </c>
      <c r="I198" s="151">
        <v>0.0</v>
      </c>
      <c r="J198" s="151">
        <v>0.0</v>
      </c>
      <c r="K198" s="152"/>
      <c r="L198" s="152"/>
      <c r="M198" s="152"/>
      <c r="N198" s="152"/>
      <c r="O198" s="152"/>
      <c r="P198" s="152"/>
      <c r="Q198" s="152"/>
      <c r="R198" s="152"/>
      <c r="S198" s="152"/>
      <c r="T198" s="152"/>
      <c r="U198" s="152"/>
      <c r="V198" s="152"/>
      <c r="W198" s="152"/>
      <c r="X198" s="152"/>
      <c r="Y198" s="152"/>
      <c r="Z198" s="152"/>
      <c r="AA198" s="152"/>
      <c r="AB198" s="152"/>
      <c r="AC198" s="152"/>
      <c r="AD198" s="152"/>
      <c r="AE198" s="152"/>
      <c r="AF198" s="152"/>
      <c r="AG198" s="152"/>
      <c r="AH198" s="152"/>
      <c r="AI198" s="152"/>
      <c r="AJ198" s="152"/>
    </row>
    <row r="199" ht="15.75" customHeight="1">
      <c r="A199" s="148" t="s">
        <v>321</v>
      </c>
      <c r="B199" s="148">
        <v>18.0</v>
      </c>
      <c r="C199" s="148" t="s">
        <v>2411</v>
      </c>
      <c r="D199" s="148" t="s">
        <v>2412</v>
      </c>
      <c r="E199" s="150">
        <v>64.0</v>
      </c>
      <c r="F199" s="151">
        <v>8.0</v>
      </c>
      <c r="G199" s="151">
        <v>1.0</v>
      </c>
      <c r="H199" s="151">
        <v>1.0</v>
      </c>
      <c r="I199" s="151">
        <v>0.0</v>
      </c>
      <c r="J199" s="151">
        <v>0.0</v>
      </c>
      <c r="K199" s="152"/>
      <c r="L199" s="152"/>
      <c r="M199" s="152"/>
      <c r="N199" s="152"/>
      <c r="O199" s="152"/>
      <c r="P199" s="152"/>
      <c r="Q199" s="152"/>
      <c r="R199" s="152"/>
      <c r="S199" s="152"/>
      <c r="T199" s="152"/>
      <c r="U199" s="152"/>
      <c r="V199" s="152"/>
      <c r="W199" s="152"/>
      <c r="X199" s="152"/>
      <c r="Y199" s="152"/>
      <c r="Z199" s="152"/>
      <c r="AA199" s="152"/>
      <c r="AB199" s="152"/>
      <c r="AC199" s="152"/>
      <c r="AD199" s="152"/>
      <c r="AE199" s="152"/>
      <c r="AF199" s="152"/>
      <c r="AG199" s="152"/>
      <c r="AH199" s="152"/>
      <c r="AI199" s="152"/>
      <c r="AJ199" s="152"/>
    </row>
    <row r="200" ht="15.75" customHeight="1">
      <c r="A200" s="148" t="s">
        <v>321</v>
      </c>
      <c r="B200" s="148">
        <v>19.0</v>
      </c>
      <c r="C200" s="148" t="s">
        <v>380</v>
      </c>
      <c r="D200" s="149" t="s">
        <v>379</v>
      </c>
      <c r="E200" s="150">
        <v>65.0</v>
      </c>
      <c r="F200" s="151">
        <v>6.0</v>
      </c>
      <c r="G200" s="151">
        <v>0.0</v>
      </c>
      <c r="H200" s="151">
        <v>0.0</v>
      </c>
      <c r="I200" s="151">
        <v>0.0</v>
      </c>
      <c r="J200" s="151">
        <v>0.0</v>
      </c>
      <c r="K200" s="152"/>
      <c r="L200" s="152"/>
      <c r="M200" s="152"/>
      <c r="N200" s="152"/>
      <c r="O200" s="152"/>
      <c r="P200" s="152"/>
      <c r="Q200" s="152"/>
      <c r="R200" s="152"/>
      <c r="S200" s="152"/>
      <c r="T200" s="152"/>
      <c r="U200" s="152"/>
      <c r="V200" s="152"/>
      <c r="W200" s="152"/>
      <c r="X200" s="152"/>
      <c r="Y200" s="152"/>
      <c r="Z200" s="152"/>
      <c r="AA200" s="152"/>
      <c r="AB200" s="152"/>
      <c r="AC200" s="152"/>
      <c r="AD200" s="152"/>
      <c r="AE200" s="152"/>
      <c r="AF200" s="152"/>
      <c r="AG200" s="152"/>
      <c r="AH200" s="152"/>
      <c r="AI200" s="152"/>
      <c r="AJ200" s="152"/>
    </row>
    <row r="201" ht="15.75" customHeight="1">
      <c r="A201" s="148" t="s">
        <v>321</v>
      </c>
      <c r="B201" s="148">
        <v>20.0</v>
      </c>
      <c r="C201" s="148" t="s">
        <v>2418</v>
      </c>
      <c r="D201" s="149" t="s">
        <v>2419</v>
      </c>
      <c r="E201" s="150">
        <v>72.0</v>
      </c>
      <c r="F201" s="151">
        <v>0.0</v>
      </c>
      <c r="G201" s="151">
        <v>0.0</v>
      </c>
      <c r="H201" s="151">
        <v>0.0</v>
      </c>
      <c r="I201" s="151">
        <v>0.0</v>
      </c>
      <c r="J201" s="151">
        <v>0.0</v>
      </c>
      <c r="K201" s="152"/>
      <c r="L201" s="152"/>
      <c r="M201" s="152"/>
      <c r="N201" s="152"/>
      <c r="O201" s="152"/>
      <c r="P201" s="152"/>
      <c r="Q201" s="152"/>
      <c r="R201" s="152"/>
      <c r="S201" s="152"/>
      <c r="T201" s="152"/>
      <c r="U201" s="152"/>
      <c r="V201" s="152"/>
      <c r="W201" s="152"/>
      <c r="X201" s="152"/>
      <c r="Y201" s="152"/>
      <c r="Z201" s="152"/>
      <c r="AA201" s="152"/>
      <c r="AB201" s="152"/>
      <c r="AC201" s="152"/>
      <c r="AD201" s="152"/>
      <c r="AE201" s="152"/>
      <c r="AF201" s="152"/>
      <c r="AG201" s="152"/>
      <c r="AH201" s="152"/>
      <c r="AI201" s="152"/>
      <c r="AJ201" s="152"/>
    </row>
    <row r="202" ht="15.75" customHeight="1">
      <c r="A202" s="148" t="s">
        <v>321</v>
      </c>
      <c r="B202" s="148">
        <v>21.0</v>
      </c>
      <c r="C202" s="148" t="s">
        <v>2420</v>
      </c>
      <c r="D202" s="149" t="s">
        <v>2421</v>
      </c>
      <c r="E202" s="150">
        <v>73.0</v>
      </c>
      <c r="F202" s="151">
        <v>454.0</v>
      </c>
      <c r="G202" s="151">
        <v>3.0</v>
      </c>
      <c r="H202" s="151">
        <v>4.0</v>
      </c>
      <c r="I202" s="151">
        <v>0.0</v>
      </c>
      <c r="J202" s="151">
        <v>3.0</v>
      </c>
      <c r="K202" s="152"/>
      <c r="L202" s="152"/>
      <c r="M202" s="152"/>
      <c r="N202" s="152"/>
      <c r="O202" s="152"/>
      <c r="P202" s="152"/>
      <c r="Q202" s="152"/>
      <c r="R202" s="152"/>
      <c r="S202" s="152"/>
      <c r="T202" s="152"/>
      <c r="U202" s="152"/>
      <c r="V202" s="152"/>
      <c r="W202" s="152"/>
      <c r="X202" s="152"/>
      <c r="Y202" s="152"/>
      <c r="Z202" s="152"/>
      <c r="AA202" s="152"/>
      <c r="AB202" s="152"/>
      <c r="AC202" s="152"/>
      <c r="AD202" s="152"/>
      <c r="AE202" s="152"/>
      <c r="AF202" s="152"/>
      <c r="AG202" s="152"/>
      <c r="AH202" s="152"/>
      <c r="AI202" s="152"/>
      <c r="AJ202" s="152"/>
    </row>
    <row r="203" ht="15.75" customHeight="1">
      <c r="A203" s="148" t="s">
        <v>321</v>
      </c>
      <c r="B203" s="148">
        <v>22.0</v>
      </c>
      <c r="C203" s="148" t="s">
        <v>1021</v>
      </c>
      <c r="D203" s="149" t="s">
        <v>1022</v>
      </c>
      <c r="E203" s="150">
        <v>91.0</v>
      </c>
      <c r="F203" s="151">
        <v>66.0</v>
      </c>
      <c r="G203" s="151">
        <v>2.0</v>
      </c>
      <c r="H203" s="151">
        <v>1.0</v>
      </c>
      <c r="I203" s="151">
        <v>0.0</v>
      </c>
      <c r="J203" s="151">
        <v>2.0</v>
      </c>
      <c r="K203" s="152"/>
      <c r="L203" s="152"/>
      <c r="M203" s="152"/>
      <c r="N203" s="152"/>
      <c r="O203" s="152"/>
      <c r="P203" s="152"/>
      <c r="Q203" s="152"/>
      <c r="R203" s="152"/>
      <c r="S203" s="152"/>
      <c r="T203" s="152"/>
      <c r="U203" s="152"/>
      <c r="V203" s="152"/>
      <c r="W203" s="152"/>
      <c r="X203" s="152"/>
      <c r="Y203" s="152"/>
      <c r="Z203" s="152"/>
      <c r="AA203" s="152"/>
      <c r="AB203" s="152"/>
      <c r="AC203" s="152"/>
      <c r="AD203" s="152"/>
      <c r="AE203" s="152"/>
      <c r="AF203" s="152"/>
      <c r="AG203" s="152"/>
      <c r="AH203" s="152"/>
      <c r="AI203" s="152"/>
      <c r="AJ203" s="152"/>
    </row>
    <row r="204" ht="15.75" customHeight="1">
      <c r="A204" s="148" t="s">
        <v>321</v>
      </c>
      <c r="B204" s="148">
        <v>23.0</v>
      </c>
      <c r="C204" s="148" t="s">
        <v>2434</v>
      </c>
      <c r="D204" s="149" t="s">
        <v>951</v>
      </c>
      <c r="E204" s="150">
        <v>77.0</v>
      </c>
      <c r="F204" s="151">
        <v>18.0</v>
      </c>
      <c r="G204" s="151">
        <v>3.0</v>
      </c>
      <c r="H204" s="151">
        <v>3.0</v>
      </c>
      <c r="I204" s="151">
        <v>0.0</v>
      </c>
      <c r="J204" s="151">
        <v>6.0</v>
      </c>
      <c r="K204" s="152"/>
      <c r="L204" s="152"/>
      <c r="M204" s="152"/>
      <c r="N204" s="152"/>
      <c r="O204" s="152"/>
      <c r="P204" s="152"/>
      <c r="Q204" s="152"/>
      <c r="R204" s="152"/>
      <c r="S204" s="152"/>
      <c r="T204" s="152"/>
      <c r="U204" s="152"/>
      <c r="V204" s="152"/>
      <c r="W204" s="152"/>
      <c r="X204" s="152"/>
      <c r="Y204" s="152"/>
      <c r="Z204" s="152"/>
      <c r="AA204" s="152"/>
      <c r="AB204" s="152"/>
      <c r="AC204" s="152"/>
      <c r="AD204" s="152"/>
      <c r="AE204" s="152"/>
      <c r="AF204" s="152"/>
      <c r="AG204" s="152"/>
      <c r="AH204" s="152"/>
      <c r="AI204" s="152"/>
      <c r="AJ204" s="152"/>
    </row>
    <row r="205" ht="15.75" customHeight="1">
      <c r="A205" s="148" t="s">
        <v>321</v>
      </c>
      <c r="B205" s="148">
        <v>24.0</v>
      </c>
      <c r="C205" s="148" t="s">
        <v>369</v>
      </c>
      <c r="D205" s="149" t="s">
        <v>368</v>
      </c>
      <c r="E205" s="150">
        <v>53.0</v>
      </c>
      <c r="F205" s="151">
        <v>6.0</v>
      </c>
      <c r="G205" s="151">
        <v>0.0</v>
      </c>
      <c r="H205" s="151">
        <v>0.0</v>
      </c>
      <c r="I205" s="151">
        <v>0.0</v>
      </c>
      <c r="J205" s="151">
        <v>0.0</v>
      </c>
      <c r="K205" s="152"/>
      <c r="L205" s="152"/>
      <c r="M205" s="152"/>
      <c r="N205" s="152"/>
      <c r="O205" s="152"/>
      <c r="P205" s="152"/>
      <c r="Q205" s="152"/>
      <c r="R205" s="152"/>
      <c r="S205" s="152"/>
      <c r="T205" s="152"/>
      <c r="U205" s="152"/>
      <c r="V205" s="152"/>
      <c r="W205" s="152"/>
      <c r="X205" s="152"/>
      <c r="Y205" s="152"/>
      <c r="Z205" s="152"/>
      <c r="AA205" s="152"/>
      <c r="AB205" s="152"/>
      <c r="AC205" s="152"/>
      <c r="AD205" s="152"/>
      <c r="AE205" s="152"/>
      <c r="AF205" s="152"/>
      <c r="AG205" s="152"/>
      <c r="AH205" s="152"/>
      <c r="AI205" s="152"/>
      <c r="AJ205" s="152"/>
    </row>
    <row r="206" ht="15.75" customHeight="1">
      <c r="A206" s="164" t="s">
        <v>321</v>
      </c>
      <c r="B206" s="164">
        <v>25.0</v>
      </c>
      <c r="C206" s="164" t="s">
        <v>2438</v>
      </c>
      <c r="D206" s="165" t="s">
        <v>2439</v>
      </c>
      <c r="E206" s="166">
        <v>59.0</v>
      </c>
      <c r="F206" s="167">
        <v>77.0</v>
      </c>
      <c r="G206" s="167">
        <v>4.0</v>
      </c>
      <c r="H206" s="167">
        <v>6.0</v>
      </c>
      <c r="I206" s="167">
        <v>0.0</v>
      </c>
      <c r="J206" s="167">
        <v>1.0</v>
      </c>
      <c r="K206" s="168"/>
      <c r="L206" s="168"/>
      <c r="M206" s="168"/>
      <c r="N206" s="168"/>
      <c r="O206" s="168"/>
      <c r="P206" s="168"/>
      <c r="Q206" s="168"/>
      <c r="R206" s="168"/>
      <c r="S206" s="168"/>
      <c r="T206" s="168"/>
      <c r="U206" s="168"/>
      <c r="V206" s="168"/>
      <c r="W206" s="168"/>
      <c r="X206" s="168"/>
      <c r="Y206" s="168"/>
      <c r="Z206" s="168"/>
      <c r="AA206" s="168"/>
      <c r="AB206" s="168"/>
      <c r="AC206" s="168"/>
      <c r="AD206" s="168"/>
      <c r="AE206" s="168"/>
      <c r="AF206" s="168"/>
      <c r="AG206" s="168"/>
      <c r="AH206" s="168"/>
      <c r="AI206" s="168"/>
      <c r="AJ206" s="168"/>
    </row>
    <row r="207" ht="15.75" customHeight="1">
      <c r="A207" s="148" t="s">
        <v>321</v>
      </c>
      <c r="B207" s="148">
        <v>40.0</v>
      </c>
      <c r="C207" s="148" t="s">
        <v>27</v>
      </c>
      <c r="D207" s="149" t="s">
        <v>35</v>
      </c>
      <c r="E207" s="150">
        <v>67.0</v>
      </c>
      <c r="F207" s="151">
        <v>0.0</v>
      </c>
      <c r="G207" s="151">
        <v>0.0</v>
      </c>
      <c r="H207" s="151">
        <v>0.0</v>
      </c>
      <c r="I207" s="151">
        <v>0.0</v>
      </c>
      <c r="J207" s="151">
        <v>0.0</v>
      </c>
      <c r="K207" s="152"/>
      <c r="L207" s="152"/>
      <c r="M207" s="152"/>
      <c r="N207" s="152"/>
      <c r="O207" s="152"/>
      <c r="P207" s="152"/>
      <c r="Q207" s="152"/>
      <c r="R207" s="152"/>
      <c r="S207" s="152"/>
      <c r="T207" s="152"/>
      <c r="U207" s="152"/>
      <c r="V207" s="152"/>
      <c r="W207" s="152"/>
      <c r="X207" s="152"/>
      <c r="Y207" s="152"/>
      <c r="Z207" s="152"/>
      <c r="AA207" s="152"/>
      <c r="AB207" s="152"/>
      <c r="AC207" s="152"/>
      <c r="AD207" s="152"/>
      <c r="AE207" s="152"/>
      <c r="AF207" s="152"/>
      <c r="AG207" s="152"/>
      <c r="AH207" s="152"/>
      <c r="AI207" s="152"/>
      <c r="AJ207" s="152"/>
    </row>
    <row r="208" ht="15.75" customHeight="1">
      <c r="A208" s="148" t="s">
        <v>321</v>
      </c>
      <c r="B208" s="148">
        <v>65.0</v>
      </c>
      <c r="C208" s="148" t="s">
        <v>1039</v>
      </c>
      <c r="D208" s="149" t="s">
        <v>1040</v>
      </c>
      <c r="E208" s="150">
        <v>81.0</v>
      </c>
      <c r="F208" s="151">
        <v>8.0</v>
      </c>
      <c r="G208" s="151">
        <v>0.0</v>
      </c>
      <c r="H208" s="151">
        <v>1.0</v>
      </c>
      <c r="I208" s="151">
        <v>0.0</v>
      </c>
      <c r="J208" s="151">
        <v>0.0</v>
      </c>
      <c r="K208" s="152"/>
      <c r="L208" s="152"/>
      <c r="M208" s="152"/>
      <c r="N208" s="152"/>
      <c r="O208" s="152"/>
      <c r="P208" s="152"/>
      <c r="Q208" s="152"/>
      <c r="R208" s="152"/>
      <c r="S208" s="152"/>
      <c r="T208" s="152"/>
      <c r="U208" s="152"/>
      <c r="V208" s="152"/>
      <c r="W208" s="152"/>
      <c r="X208" s="152"/>
      <c r="Y208" s="152"/>
      <c r="Z208" s="152"/>
      <c r="AA208" s="152"/>
      <c r="AB208" s="152"/>
      <c r="AC208" s="152"/>
      <c r="AD208" s="152"/>
      <c r="AE208" s="152"/>
      <c r="AF208" s="152"/>
      <c r="AG208" s="152"/>
      <c r="AH208" s="152"/>
      <c r="AI208" s="152"/>
      <c r="AJ208" s="152"/>
    </row>
    <row r="209" ht="15.75" customHeight="1">
      <c r="A209" s="148" t="s">
        <v>321</v>
      </c>
      <c r="B209" s="148">
        <v>94.0</v>
      </c>
      <c r="C209" s="148" t="s">
        <v>760</v>
      </c>
      <c r="D209" s="149" t="s">
        <v>762</v>
      </c>
      <c r="E209" s="150">
        <v>70.0</v>
      </c>
      <c r="F209" s="151">
        <v>0.0</v>
      </c>
      <c r="G209" s="151">
        <v>0.0</v>
      </c>
      <c r="H209" s="151">
        <v>0.0</v>
      </c>
      <c r="I209" s="151">
        <v>0.0</v>
      </c>
      <c r="J209" s="151">
        <v>0.0</v>
      </c>
      <c r="K209" s="152"/>
      <c r="L209" s="152"/>
      <c r="M209" s="152"/>
      <c r="N209" s="152"/>
      <c r="O209" s="152"/>
      <c r="P209" s="152"/>
      <c r="Q209" s="152"/>
      <c r="R209" s="152"/>
      <c r="S209" s="152"/>
      <c r="T209" s="152"/>
      <c r="U209" s="152"/>
      <c r="V209" s="152"/>
      <c r="W209" s="152"/>
      <c r="X209" s="152"/>
      <c r="Y209" s="152"/>
      <c r="Z209" s="152"/>
      <c r="AA209" s="152"/>
      <c r="AB209" s="152"/>
      <c r="AC209" s="152"/>
      <c r="AD209" s="152"/>
      <c r="AE209" s="152"/>
      <c r="AF209" s="152"/>
      <c r="AG209" s="152"/>
      <c r="AH209" s="152"/>
      <c r="AI209" s="152"/>
      <c r="AJ209" s="152"/>
    </row>
    <row r="210" ht="15.75" customHeight="1">
      <c r="A210" s="148" t="s">
        <v>321</v>
      </c>
      <c r="B210" s="148">
        <v>108.0</v>
      </c>
      <c r="C210" s="148" t="s">
        <v>1029</v>
      </c>
      <c r="D210" s="149" t="s">
        <v>1031</v>
      </c>
      <c r="E210" s="150">
        <v>75.0</v>
      </c>
      <c r="F210" s="151">
        <v>0.0</v>
      </c>
      <c r="G210" s="151">
        <v>0.0</v>
      </c>
      <c r="H210" s="151">
        <v>0.0</v>
      </c>
      <c r="I210" s="151">
        <v>0.0</v>
      </c>
      <c r="J210" s="151">
        <v>0.0</v>
      </c>
      <c r="K210" s="152"/>
      <c r="L210" s="152"/>
      <c r="M210" s="152"/>
      <c r="N210" s="152"/>
      <c r="O210" s="152"/>
      <c r="P210" s="152"/>
      <c r="Q210" s="152"/>
      <c r="R210" s="152"/>
      <c r="S210" s="152"/>
      <c r="T210" s="152"/>
      <c r="U210" s="152"/>
      <c r="V210" s="152"/>
      <c r="W210" s="152"/>
      <c r="X210" s="152"/>
      <c r="Y210" s="152"/>
      <c r="Z210" s="152"/>
      <c r="AA210" s="152"/>
      <c r="AB210" s="152"/>
      <c r="AC210" s="152"/>
      <c r="AD210" s="152"/>
      <c r="AE210" s="152"/>
      <c r="AF210" s="152"/>
      <c r="AG210" s="152"/>
      <c r="AH210" s="152"/>
      <c r="AI210" s="152"/>
      <c r="AJ210" s="152"/>
    </row>
    <row r="211" ht="15.75" customHeight="1">
      <c r="A211" s="148" t="s">
        <v>321</v>
      </c>
      <c r="B211" s="148">
        <v>109.0</v>
      </c>
      <c r="C211" s="148" t="s">
        <v>1072</v>
      </c>
      <c r="D211" s="149" t="s">
        <v>572</v>
      </c>
      <c r="E211" s="150">
        <v>79.0</v>
      </c>
      <c r="F211" s="151">
        <v>2.0</v>
      </c>
      <c r="G211" s="151">
        <v>0.0</v>
      </c>
      <c r="H211" s="151">
        <v>0.0</v>
      </c>
      <c r="I211" s="151">
        <v>0.0</v>
      </c>
      <c r="J211" s="151">
        <v>0.0</v>
      </c>
      <c r="K211" s="152"/>
      <c r="L211" s="152"/>
      <c r="M211" s="152"/>
      <c r="N211" s="152"/>
      <c r="O211" s="152"/>
      <c r="P211" s="152"/>
      <c r="Q211" s="152"/>
      <c r="R211" s="152"/>
      <c r="S211" s="152"/>
      <c r="T211" s="152"/>
      <c r="U211" s="152"/>
      <c r="V211" s="152"/>
      <c r="W211" s="152"/>
      <c r="X211" s="152"/>
      <c r="Y211" s="152"/>
      <c r="Z211" s="152"/>
      <c r="AA211" s="152"/>
      <c r="AB211" s="152"/>
      <c r="AC211" s="152"/>
      <c r="AD211" s="152"/>
      <c r="AE211" s="152"/>
      <c r="AF211" s="152"/>
      <c r="AG211" s="152"/>
      <c r="AH211" s="152"/>
      <c r="AI211" s="152"/>
      <c r="AJ211" s="152"/>
    </row>
    <row r="212" ht="15.75" customHeight="1">
      <c r="A212" s="148" t="s">
        <v>321</v>
      </c>
      <c r="B212" s="148">
        <v>129.0</v>
      </c>
      <c r="C212" s="148" t="s">
        <v>1055</v>
      </c>
      <c r="D212" s="149" t="s">
        <v>1056</v>
      </c>
      <c r="E212" s="150">
        <v>58.0</v>
      </c>
      <c r="F212" s="151">
        <v>0.0</v>
      </c>
      <c r="G212" s="151">
        <v>0.0</v>
      </c>
      <c r="H212" s="151">
        <v>0.0</v>
      </c>
      <c r="I212" s="151">
        <v>0.0</v>
      </c>
      <c r="J212" s="151">
        <v>0.0</v>
      </c>
      <c r="K212" s="152"/>
      <c r="L212" s="152"/>
      <c r="M212" s="152"/>
      <c r="N212" s="152"/>
      <c r="O212" s="152"/>
      <c r="P212" s="152"/>
      <c r="Q212" s="152"/>
      <c r="R212" s="152"/>
      <c r="S212" s="152"/>
      <c r="T212" s="152"/>
      <c r="U212" s="152"/>
      <c r="V212" s="152"/>
      <c r="W212" s="152"/>
      <c r="X212" s="152"/>
      <c r="Y212" s="152"/>
      <c r="Z212" s="152"/>
      <c r="AA212" s="152"/>
      <c r="AB212" s="152"/>
      <c r="AC212" s="152"/>
      <c r="AD212" s="152"/>
      <c r="AE212" s="152"/>
      <c r="AF212" s="152"/>
      <c r="AG212" s="152"/>
      <c r="AH212" s="152"/>
      <c r="AI212" s="152"/>
      <c r="AJ212" s="152"/>
    </row>
    <row r="213" ht="15.75" customHeight="1">
      <c r="A213" s="148" t="s">
        <v>321</v>
      </c>
      <c r="B213" s="148">
        <v>130.0</v>
      </c>
      <c r="C213" s="148" t="s">
        <v>1078</v>
      </c>
      <c r="D213" s="149" t="s">
        <v>1080</v>
      </c>
      <c r="E213" s="150">
        <v>53.0</v>
      </c>
      <c r="F213" s="151">
        <v>1.0</v>
      </c>
      <c r="G213" s="151">
        <v>1.0</v>
      </c>
      <c r="H213" s="151">
        <v>1.0</v>
      </c>
      <c r="I213" s="151">
        <v>0.0</v>
      </c>
      <c r="J213" s="151">
        <v>0.0</v>
      </c>
      <c r="K213" s="152"/>
      <c r="L213" s="152"/>
      <c r="M213" s="152"/>
      <c r="N213" s="152"/>
      <c r="O213" s="152"/>
      <c r="P213" s="152"/>
      <c r="Q213" s="152"/>
      <c r="R213" s="152"/>
      <c r="S213" s="152"/>
      <c r="T213" s="152"/>
      <c r="U213" s="152"/>
      <c r="V213" s="152"/>
      <c r="W213" s="152"/>
      <c r="X213" s="152"/>
      <c r="Y213" s="152"/>
      <c r="Z213" s="152"/>
      <c r="AA213" s="152"/>
      <c r="AB213" s="152"/>
      <c r="AC213" s="152"/>
      <c r="AD213" s="152"/>
      <c r="AE213" s="152"/>
      <c r="AF213" s="152"/>
      <c r="AG213" s="152"/>
      <c r="AH213" s="152"/>
      <c r="AI213" s="152"/>
      <c r="AJ213" s="152"/>
    </row>
    <row r="214" ht="15.75" customHeight="1">
      <c r="A214" s="148" t="s">
        <v>321</v>
      </c>
      <c r="B214" s="148">
        <v>132.0</v>
      </c>
      <c r="C214" s="148" t="s">
        <v>1101</v>
      </c>
      <c r="D214" s="149" t="s">
        <v>1411</v>
      </c>
      <c r="E214" s="150">
        <v>53.0</v>
      </c>
      <c r="F214" s="151">
        <v>0.0</v>
      </c>
      <c r="G214" s="151">
        <v>0.0</v>
      </c>
      <c r="H214" s="151">
        <v>0.0</v>
      </c>
      <c r="I214" s="151">
        <v>0.0</v>
      </c>
      <c r="J214" s="151">
        <v>0.0</v>
      </c>
      <c r="K214" s="152"/>
      <c r="L214" s="152"/>
      <c r="M214" s="152"/>
      <c r="N214" s="152"/>
      <c r="O214" s="152"/>
      <c r="P214" s="152"/>
      <c r="Q214" s="152"/>
      <c r="R214" s="152"/>
      <c r="S214" s="152"/>
      <c r="T214" s="152"/>
      <c r="U214" s="152"/>
      <c r="V214" s="152"/>
      <c r="W214" s="152"/>
      <c r="X214" s="152"/>
      <c r="Y214" s="152"/>
      <c r="Z214" s="152"/>
      <c r="AA214" s="152"/>
      <c r="AB214" s="152"/>
      <c r="AC214" s="152"/>
      <c r="AD214" s="152"/>
      <c r="AE214" s="152"/>
      <c r="AF214" s="152"/>
      <c r="AG214" s="152"/>
      <c r="AH214" s="152"/>
      <c r="AI214" s="152"/>
      <c r="AJ214" s="152"/>
    </row>
    <row r="215" ht="15.75" customHeight="1">
      <c r="A215" s="148" t="s">
        <v>321</v>
      </c>
      <c r="B215" s="148">
        <v>133.0</v>
      </c>
      <c r="C215" s="148" t="s">
        <v>1046</v>
      </c>
      <c r="D215" s="149" t="s">
        <v>1047</v>
      </c>
      <c r="E215" s="150">
        <v>73.0</v>
      </c>
      <c r="F215" s="151">
        <v>0.0</v>
      </c>
      <c r="G215" s="151">
        <v>1.0</v>
      </c>
      <c r="H215" s="151">
        <v>0.0</v>
      </c>
      <c r="I215" s="151">
        <v>0.0</v>
      </c>
      <c r="J215" s="151">
        <v>0.0</v>
      </c>
      <c r="K215" s="152"/>
      <c r="L215" s="152"/>
      <c r="M215" s="152"/>
      <c r="N215" s="152"/>
      <c r="O215" s="152"/>
      <c r="P215" s="152"/>
      <c r="Q215" s="152"/>
      <c r="R215" s="152"/>
      <c r="S215" s="152"/>
      <c r="T215" s="152"/>
      <c r="U215" s="152"/>
      <c r="V215" s="152"/>
      <c r="W215" s="152"/>
      <c r="X215" s="152"/>
      <c r="Y215" s="152"/>
      <c r="Z215" s="152"/>
      <c r="AA215" s="152"/>
      <c r="AB215" s="152"/>
      <c r="AC215" s="152"/>
      <c r="AD215" s="152"/>
      <c r="AE215" s="152"/>
      <c r="AF215" s="152"/>
      <c r="AG215" s="152"/>
      <c r="AH215" s="152"/>
      <c r="AI215" s="152"/>
      <c r="AJ215" s="152"/>
    </row>
    <row r="216" ht="15.75" customHeight="1">
      <c r="A216" s="148" t="s">
        <v>321</v>
      </c>
      <c r="B216" s="148">
        <v>137.0</v>
      </c>
      <c r="C216" s="148" t="s">
        <v>1110</v>
      </c>
      <c r="D216" s="149" t="s">
        <v>1111</v>
      </c>
      <c r="E216" s="150">
        <v>49.0</v>
      </c>
      <c r="F216" s="151">
        <v>0.0</v>
      </c>
      <c r="G216" s="151">
        <v>0.0</v>
      </c>
      <c r="H216" s="151">
        <v>0.0</v>
      </c>
      <c r="I216" s="151">
        <v>0.0</v>
      </c>
      <c r="J216" s="151">
        <v>0.0</v>
      </c>
      <c r="K216" s="152"/>
      <c r="L216" s="152"/>
      <c r="M216" s="152"/>
      <c r="N216" s="152"/>
      <c r="O216" s="152"/>
      <c r="P216" s="152"/>
      <c r="Q216" s="152"/>
      <c r="R216" s="152"/>
      <c r="S216" s="152"/>
      <c r="T216" s="152"/>
      <c r="U216" s="152"/>
      <c r="V216" s="152"/>
      <c r="W216" s="152"/>
      <c r="X216" s="152"/>
      <c r="Y216" s="152"/>
      <c r="Z216" s="152"/>
      <c r="AA216" s="152"/>
      <c r="AB216" s="152"/>
      <c r="AC216" s="152"/>
      <c r="AD216" s="152"/>
      <c r="AE216" s="152"/>
      <c r="AF216" s="152"/>
      <c r="AG216" s="152"/>
      <c r="AH216" s="152"/>
      <c r="AI216" s="152"/>
      <c r="AJ216" s="152"/>
    </row>
    <row r="217" ht="15.75" customHeight="1">
      <c r="A217" s="148" t="s">
        <v>321</v>
      </c>
      <c r="B217" s="148">
        <v>144.0</v>
      </c>
      <c r="C217" s="148" t="s">
        <v>1091</v>
      </c>
      <c r="D217" s="149" t="s">
        <v>1092</v>
      </c>
      <c r="E217" s="150">
        <v>73.0</v>
      </c>
      <c r="F217" s="151">
        <v>3.0</v>
      </c>
      <c r="G217" s="151">
        <v>0.0</v>
      </c>
      <c r="H217" s="151">
        <v>0.0</v>
      </c>
      <c r="I217" s="151">
        <v>0.0</v>
      </c>
      <c r="J217" s="151">
        <v>0.0</v>
      </c>
      <c r="K217" s="152"/>
      <c r="L217" s="152"/>
      <c r="M217" s="152"/>
      <c r="N217" s="152"/>
      <c r="O217" s="152"/>
      <c r="P217" s="152"/>
      <c r="Q217" s="152"/>
      <c r="R217" s="152"/>
      <c r="S217" s="152"/>
      <c r="T217" s="152"/>
      <c r="U217" s="152"/>
      <c r="V217" s="152"/>
      <c r="W217" s="152"/>
      <c r="X217" s="152"/>
      <c r="Y217" s="152"/>
      <c r="Z217" s="152"/>
      <c r="AA217" s="152"/>
      <c r="AB217" s="152"/>
      <c r="AC217" s="152"/>
      <c r="AD217" s="152"/>
      <c r="AE217" s="152"/>
      <c r="AF217" s="152"/>
      <c r="AG217" s="152"/>
      <c r="AH217" s="152"/>
      <c r="AI217" s="152"/>
      <c r="AJ217" s="152"/>
    </row>
    <row r="218" ht="15.75" customHeight="1">
      <c r="A218" s="148" t="s">
        <v>321</v>
      </c>
      <c r="B218" s="148">
        <v>145.0</v>
      </c>
      <c r="C218" s="148" t="s">
        <v>790</v>
      </c>
      <c r="D218" s="149" t="s">
        <v>791</v>
      </c>
      <c r="E218" s="150">
        <v>65.0</v>
      </c>
      <c r="F218" s="151">
        <v>1.0</v>
      </c>
      <c r="G218" s="151">
        <v>0.0</v>
      </c>
      <c r="H218" s="151">
        <v>0.0</v>
      </c>
      <c r="I218" s="151">
        <v>0.0</v>
      </c>
      <c r="J218" s="151">
        <v>0.0</v>
      </c>
      <c r="K218" s="152"/>
      <c r="L218" s="152"/>
      <c r="M218" s="152"/>
      <c r="N218" s="152"/>
      <c r="O218" s="152"/>
      <c r="P218" s="152"/>
      <c r="Q218" s="152"/>
      <c r="R218" s="152"/>
      <c r="S218" s="152"/>
      <c r="T218" s="152"/>
      <c r="U218" s="152"/>
      <c r="V218" s="152"/>
      <c r="W218" s="152"/>
      <c r="X218" s="152"/>
      <c r="Y218" s="152"/>
      <c r="Z218" s="152"/>
      <c r="AA218" s="152"/>
      <c r="AB218" s="152"/>
      <c r="AC218" s="152"/>
      <c r="AD218" s="152"/>
      <c r="AE218" s="152"/>
      <c r="AF218" s="152"/>
      <c r="AG218" s="152"/>
      <c r="AH218" s="152"/>
      <c r="AI218" s="152"/>
      <c r="AJ218" s="152"/>
    </row>
    <row r="219" ht="15.75" customHeight="1">
      <c r="A219" s="148" t="s">
        <v>321</v>
      </c>
      <c r="B219" s="148">
        <v>146.0</v>
      </c>
      <c r="C219" s="148" t="s">
        <v>1064</v>
      </c>
      <c r="D219" s="149" t="s">
        <v>1065</v>
      </c>
      <c r="E219" s="150">
        <v>0.4</v>
      </c>
      <c r="F219" s="151">
        <v>0.0</v>
      </c>
      <c r="G219" s="151">
        <v>0.0</v>
      </c>
      <c r="H219" s="151">
        <v>0.0</v>
      </c>
      <c r="I219" s="151">
        <v>0.0</v>
      </c>
      <c r="J219" s="151">
        <v>0.0</v>
      </c>
      <c r="K219" s="152"/>
      <c r="L219" s="152"/>
      <c r="M219" s="152"/>
      <c r="N219" s="152"/>
      <c r="O219" s="152"/>
      <c r="P219" s="152"/>
      <c r="Q219" s="152"/>
      <c r="R219" s="152"/>
      <c r="S219" s="152"/>
      <c r="T219" s="152"/>
      <c r="U219" s="152"/>
      <c r="V219" s="152"/>
      <c r="W219" s="152"/>
      <c r="X219" s="152"/>
      <c r="Y219" s="152"/>
      <c r="Z219" s="152"/>
      <c r="AA219" s="152"/>
      <c r="AB219" s="152"/>
      <c r="AC219" s="152"/>
      <c r="AD219" s="152"/>
      <c r="AE219" s="152"/>
      <c r="AF219" s="152"/>
      <c r="AG219" s="152"/>
      <c r="AH219" s="152"/>
      <c r="AI219" s="152"/>
      <c r="AJ219" s="152"/>
    </row>
    <row r="220" ht="15.75" customHeight="1">
      <c r="A220" s="148" t="s">
        <v>321</v>
      </c>
      <c r="B220" s="148">
        <v>147.0</v>
      </c>
      <c r="C220" s="148" t="s">
        <v>1138</v>
      </c>
      <c r="D220" s="149" t="s">
        <v>1139</v>
      </c>
      <c r="E220" s="150">
        <v>3.4</v>
      </c>
      <c r="F220" s="151">
        <v>0.0</v>
      </c>
      <c r="G220" s="151">
        <v>0.0</v>
      </c>
      <c r="H220" s="151">
        <v>0.0</v>
      </c>
      <c r="I220" s="151">
        <v>0.0</v>
      </c>
      <c r="J220" s="151">
        <v>0.0</v>
      </c>
      <c r="K220" s="152"/>
      <c r="L220" s="152"/>
      <c r="M220" s="152"/>
      <c r="N220" s="152"/>
      <c r="O220" s="152"/>
      <c r="P220" s="152"/>
      <c r="Q220" s="152"/>
      <c r="R220" s="152"/>
      <c r="S220" s="152"/>
      <c r="T220" s="152"/>
      <c r="U220" s="152"/>
      <c r="V220" s="152"/>
      <c r="W220" s="152"/>
      <c r="X220" s="152"/>
      <c r="Y220" s="152"/>
      <c r="Z220" s="152"/>
      <c r="AA220" s="152"/>
      <c r="AB220" s="152"/>
      <c r="AC220" s="152"/>
      <c r="AD220" s="152"/>
      <c r="AE220" s="152"/>
      <c r="AF220" s="152"/>
      <c r="AG220" s="152"/>
      <c r="AH220" s="152"/>
      <c r="AI220" s="152"/>
      <c r="AJ220" s="152"/>
    </row>
    <row r="221" ht="15.75" customHeight="1">
      <c r="A221" s="148" t="s">
        <v>321</v>
      </c>
      <c r="B221" s="148">
        <v>148.0</v>
      </c>
      <c r="C221" s="148" t="s">
        <v>1120</v>
      </c>
      <c r="D221" s="149" t="s">
        <v>1066</v>
      </c>
      <c r="E221" s="150">
        <v>60.0</v>
      </c>
      <c r="F221" s="151">
        <v>1.0</v>
      </c>
      <c r="G221" s="151">
        <v>0.0</v>
      </c>
      <c r="H221" s="151">
        <v>0.0</v>
      </c>
      <c r="I221" s="151">
        <v>0.0</v>
      </c>
      <c r="J221" s="151">
        <v>0.0</v>
      </c>
      <c r="K221" s="152"/>
      <c r="L221" s="152"/>
      <c r="M221" s="152"/>
      <c r="N221" s="152"/>
      <c r="O221" s="152"/>
      <c r="P221" s="152"/>
      <c r="Q221" s="152"/>
      <c r="R221" s="152"/>
      <c r="S221" s="152"/>
      <c r="T221" s="152"/>
      <c r="U221" s="152"/>
      <c r="V221" s="152"/>
      <c r="W221" s="152"/>
      <c r="X221" s="152"/>
      <c r="Y221" s="152"/>
      <c r="Z221" s="152"/>
      <c r="AA221" s="152"/>
      <c r="AB221" s="152"/>
      <c r="AC221" s="152"/>
      <c r="AD221" s="152"/>
      <c r="AE221" s="152"/>
      <c r="AF221" s="152"/>
      <c r="AG221" s="152"/>
      <c r="AH221" s="152"/>
      <c r="AI221" s="152"/>
      <c r="AJ221" s="152"/>
    </row>
    <row r="222" ht="15.75" customHeight="1">
      <c r="A222" s="148" t="s">
        <v>321</v>
      </c>
      <c r="B222" s="148">
        <v>149.0</v>
      </c>
      <c r="C222" s="148" t="s">
        <v>1147</v>
      </c>
      <c r="D222" s="149" t="s">
        <v>1148</v>
      </c>
      <c r="E222" s="150">
        <v>50.0</v>
      </c>
      <c r="F222" s="151">
        <v>1.0</v>
      </c>
      <c r="G222" s="151">
        <v>0.0</v>
      </c>
      <c r="H222" s="151">
        <v>0.0</v>
      </c>
      <c r="I222" s="151">
        <v>0.0</v>
      </c>
      <c r="J222" s="151">
        <v>0.0</v>
      </c>
      <c r="K222" s="152"/>
      <c r="L222" s="152"/>
      <c r="M222" s="152"/>
      <c r="N222" s="152"/>
      <c r="O222" s="152"/>
      <c r="P222" s="152"/>
      <c r="Q222" s="152"/>
      <c r="R222" s="152"/>
      <c r="S222" s="152"/>
      <c r="T222" s="152"/>
      <c r="U222" s="152"/>
      <c r="V222" s="152"/>
      <c r="W222" s="152"/>
      <c r="X222" s="152"/>
      <c r="Y222" s="152"/>
      <c r="Z222" s="152"/>
      <c r="AA222" s="152"/>
      <c r="AB222" s="152"/>
      <c r="AC222" s="152"/>
      <c r="AD222" s="152"/>
      <c r="AE222" s="152"/>
      <c r="AF222" s="152"/>
      <c r="AG222" s="152"/>
      <c r="AH222" s="152"/>
      <c r="AI222" s="152"/>
      <c r="AJ222" s="152"/>
    </row>
    <row r="223" ht="15.75" customHeight="1">
      <c r="A223" s="148" t="s">
        <v>321</v>
      </c>
      <c r="B223" s="148">
        <v>150.0</v>
      </c>
      <c r="C223" s="148" t="s">
        <v>1012</v>
      </c>
      <c r="D223" s="148" t="s">
        <v>1013</v>
      </c>
      <c r="E223" s="150">
        <v>19.0</v>
      </c>
      <c r="F223" s="151">
        <v>0.0</v>
      </c>
      <c r="G223" s="151">
        <v>0.0</v>
      </c>
      <c r="H223" s="151">
        <v>0.0</v>
      </c>
      <c r="I223" s="151">
        <v>0.0</v>
      </c>
      <c r="J223" s="151">
        <v>0.0</v>
      </c>
      <c r="K223" s="152"/>
      <c r="L223" s="152"/>
      <c r="M223" s="152"/>
      <c r="N223" s="152"/>
      <c r="O223" s="152"/>
      <c r="P223" s="152"/>
      <c r="Q223" s="152"/>
      <c r="R223" s="152"/>
      <c r="S223" s="152"/>
      <c r="T223" s="152"/>
      <c r="U223" s="152"/>
      <c r="V223" s="152"/>
      <c r="W223" s="152"/>
      <c r="X223" s="152"/>
      <c r="Y223" s="152"/>
      <c r="Z223" s="152"/>
      <c r="AA223" s="152"/>
      <c r="AB223" s="152"/>
      <c r="AC223" s="152"/>
      <c r="AD223" s="152"/>
      <c r="AE223" s="152"/>
      <c r="AF223" s="152"/>
      <c r="AG223" s="152"/>
      <c r="AH223" s="152"/>
      <c r="AI223" s="152"/>
      <c r="AJ223" s="152"/>
    </row>
    <row r="224" ht="15.75" customHeight="1">
      <c r="A224" s="148" t="s">
        <v>321</v>
      </c>
      <c r="B224" s="148">
        <v>151.0</v>
      </c>
      <c r="C224" s="148" t="s">
        <v>1153</v>
      </c>
      <c r="D224" s="149" t="s">
        <v>1154</v>
      </c>
      <c r="E224" s="150">
        <v>59.0</v>
      </c>
      <c r="F224" s="151">
        <v>0.0</v>
      </c>
      <c r="G224" s="151">
        <v>0.0</v>
      </c>
      <c r="H224" s="151">
        <v>0.0</v>
      </c>
      <c r="I224" s="151">
        <v>0.0</v>
      </c>
      <c r="J224" s="151">
        <v>0.0</v>
      </c>
      <c r="K224" s="152"/>
      <c r="L224" s="152"/>
      <c r="M224" s="152"/>
      <c r="N224" s="152"/>
      <c r="O224" s="152"/>
      <c r="P224" s="152"/>
      <c r="Q224" s="152"/>
      <c r="R224" s="152"/>
      <c r="S224" s="152"/>
      <c r="T224" s="152"/>
      <c r="U224" s="152"/>
      <c r="V224" s="152"/>
      <c r="W224" s="152"/>
      <c r="X224" s="152"/>
      <c r="Y224" s="152"/>
      <c r="Z224" s="152"/>
      <c r="AA224" s="152"/>
      <c r="AB224" s="152"/>
      <c r="AC224" s="152"/>
      <c r="AD224" s="152"/>
      <c r="AE224" s="152"/>
      <c r="AF224" s="152"/>
      <c r="AG224" s="152"/>
      <c r="AH224" s="152"/>
      <c r="AI224" s="152"/>
      <c r="AJ224" s="152"/>
    </row>
    <row r="225" ht="15.75" customHeight="1">
      <c r="A225" s="148" t="s">
        <v>321</v>
      </c>
      <c r="B225" s="148">
        <v>152.0</v>
      </c>
      <c r="C225" s="148" t="s">
        <v>1130</v>
      </c>
      <c r="D225" s="149" t="s">
        <v>1131</v>
      </c>
      <c r="E225" s="150">
        <v>58.0</v>
      </c>
      <c r="F225" s="151">
        <v>0.0</v>
      </c>
      <c r="G225" s="151">
        <v>0.0</v>
      </c>
      <c r="H225" s="151">
        <v>0.0</v>
      </c>
      <c r="I225" s="151">
        <v>0.0</v>
      </c>
      <c r="J225" s="151">
        <v>0.0</v>
      </c>
      <c r="K225" s="152"/>
      <c r="L225" s="152"/>
      <c r="M225" s="152"/>
      <c r="N225" s="152"/>
      <c r="O225" s="152"/>
      <c r="P225" s="152"/>
      <c r="Q225" s="152"/>
      <c r="R225" s="152"/>
      <c r="S225" s="152"/>
      <c r="T225" s="152"/>
      <c r="U225" s="152"/>
      <c r="V225" s="152"/>
      <c r="W225" s="152"/>
      <c r="X225" s="152"/>
      <c r="Y225" s="152"/>
      <c r="Z225" s="152"/>
      <c r="AA225" s="152"/>
      <c r="AB225" s="152"/>
      <c r="AC225" s="152"/>
      <c r="AD225" s="152"/>
      <c r="AE225" s="152"/>
      <c r="AF225" s="152"/>
      <c r="AG225" s="152"/>
      <c r="AH225" s="152"/>
      <c r="AI225" s="152"/>
      <c r="AJ225" s="152"/>
    </row>
    <row r="226" ht="15.75" customHeight="1">
      <c r="A226" s="148" t="s">
        <v>321</v>
      </c>
      <c r="B226" s="148">
        <v>153.0</v>
      </c>
      <c r="C226" s="148" t="s">
        <v>862</v>
      </c>
      <c r="D226" s="149" t="s">
        <v>863</v>
      </c>
      <c r="E226" s="150">
        <v>19.0</v>
      </c>
      <c r="F226" s="151">
        <v>0.0</v>
      </c>
      <c r="G226" s="151">
        <v>0.0</v>
      </c>
      <c r="H226" s="151">
        <v>0.0</v>
      </c>
      <c r="I226" s="151">
        <v>0.0</v>
      </c>
      <c r="J226" s="151">
        <v>0.0</v>
      </c>
      <c r="K226" s="152"/>
      <c r="L226" s="152"/>
      <c r="M226" s="152"/>
      <c r="N226" s="152"/>
      <c r="O226" s="152"/>
      <c r="P226" s="152"/>
      <c r="Q226" s="152"/>
      <c r="R226" s="152"/>
      <c r="S226" s="152"/>
      <c r="T226" s="152"/>
      <c r="U226" s="152"/>
      <c r="V226" s="152"/>
      <c r="W226" s="152"/>
      <c r="X226" s="152"/>
      <c r="Y226" s="152"/>
      <c r="Z226" s="152"/>
      <c r="AA226" s="152"/>
      <c r="AB226" s="152"/>
      <c r="AC226" s="152"/>
      <c r="AD226" s="152"/>
      <c r="AE226" s="152"/>
      <c r="AF226" s="152"/>
      <c r="AG226" s="152"/>
      <c r="AH226" s="152"/>
      <c r="AI226" s="152"/>
      <c r="AJ226" s="152"/>
    </row>
    <row r="227" ht="15.75" customHeight="1">
      <c r="A227" s="207"/>
      <c r="B227" s="207"/>
      <c r="C227" s="207"/>
      <c r="D227" s="207"/>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c r="AA227" s="152"/>
      <c r="AB227" s="152"/>
      <c r="AC227" s="152"/>
      <c r="AD227" s="152"/>
      <c r="AE227" s="152"/>
      <c r="AF227" s="152"/>
      <c r="AG227" s="152"/>
      <c r="AH227" s="152"/>
      <c r="AI227" s="152"/>
      <c r="AJ227" s="152"/>
    </row>
    <row r="228" ht="15.75" customHeight="1">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c r="X228" s="207"/>
      <c r="Y228" s="207"/>
      <c r="Z228" s="207"/>
      <c r="AA228" s="207"/>
      <c r="AB228" s="207"/>
      <c r="AC228" s="207"/>
      <c r="AD228" s="207"/>
      <c r="AE228" s="207"/>
      <c r="AF228" s="207"/>
      <c r="AG228" s="207"/>
      <c r="AH228" s="207"/>
      <c r="AI228" s="207"/>
      <c r="AJ228" s="207"/>
    </row>
    <row r="229" ht="15.75" customHeight="1">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c r="X229" s="207"/>
      <c r="Y229" s="207"/>
      <c r="Z229" s="207"/>
      <c r="AA229" s="207"/>
      <c r="AB229" s="207"/>
      <c r="AC229" s="207"/>
      <c r="AD229" s="207"/>
      <c r="AE229" s="207"/>
      <c r="AF229" s="207"/>
      <c r="AG229" s="207"/>
      <c r="AH229" s="207"/>
      <c r="AI229" s="207"/>
      <c r="AJ229" s="207"/>
    </row>
    <row r="230" ht="15.75" customHeight="1">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c r="X230" s="207"/>
      <c r="Y230" s="207"/>
      <c r="Z230" s="207"/>
      <c r="AA230" s="207"/>
      <c r="AB230" s="207"/>
      <c r="AC230" s="207"/>
      <c r="AD230" s="207"/>
      <c r="AE230" s="207"/>
      <c r="AF230" s="207"/>
      <c r="AG230" s="207"/>
      <c r="AH230" s="207"/>
      <c r="AI230" s="207"/>
      <c r="AJ230" s="207"/>
    </row>
    <row r="231" ht="15.75" customHeight="1">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c r="X231" s="207"/>
      <c r="Y231" s="207"/>
      <c r="Z231" s="207"/>
      <c r="AA231" s="207"/>
      <c r="AB231" s="207"/>
      <c r="AC231" s="207"/>
      <c r="AD231" s="207"/>
      <c r="AE231" s="207"/>
      <c r="AF231" s="207"/>
      <c r="AG231" s="207"/>
      <c r="AH231" s="207"/>
      <c r="AI231" s="207"/>
      <c r="AJ231" s="207"/>
    </row>
    <row r="232" ht="15.75" customHeight="1">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c r="X232" s="207"/>
      <c r="Y232" s="207"/>
      <c r="Z232" s="207"/>
      <c r="AA232" s="207"/>
      <c r="AB232" s="207"/>
      <c r="AC232" s="207"/>
      <c r="AD232" s="207"/>
      <c r="AE232" s="207"/>
      <c r="AF232" s="207"/>
      <c r="AG232" s="207"/>
      <c r="AH232" s="207"/>
      <c r="AI232" s="207"/>
      <c r="AJ232" s="207"/>
    </row>
    <row r="233" ht="15.75" customHeight="1">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c r="X233" s="207"/>
      <c r="Y233" s="207"/>
      <c r="Z233" s="207"/>
      <c r="AA233" s="207"/>
      <c r="AB233" s="207"/>
      <c r="AC233" s="207"/>
      <c r="AD233" s="207"/>
      <c r="AE233" s="207"/>
      <c r="AF233" s="207"/>
      <c r="AG233" s="207"/>
      <c r="AH233" s="207"/>
      <c r="AI233" s="207"/>
      <c r="AJ233" s="207"/>
    </row>
    <row r="234" ht="15.75" customHeight="1">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c r="X234" s="207"/>
      <c r="Y234" s="207"/>
      <c r="Z234" s="207"/>
      <c r="AA234" s="207"/>
      <c r="AB234" s="207"/>
      <c r="AC234" s="207"/>
      <c r="AD234" s="207"/>
      <c r="AE234" s="207"/>
      <c r="AF234" s="207"/>
      <c r="AG234" s="207"/>
      <c r="AH234" s="207"/>
      <c r="AI234" s="207"/>
      <c r="AJ234" s="207"/>
    </row>
    <row r="235" ht="15.75" customHeight="1">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c r="X235" s="207"/>
      <c r="Y235" s="207"/>
      <c r="Z235" s="207"/>
      <c r="AA235" s="207"/>
      <c r="AB235" s="207"/>
      <c r="AC235" s="207"/>
      <c r="AD235" s="207"/>
      <c r="AE235" s="207"/>
      <c r="AF235" s="207"/>
      <c r="AG235" s="207"/>
      <c r="AH235" s="207"/>
      <c r="AI235" s="207"/>
      <c r="AJ235" s="207"/>
    </row>
    <row r="236" ht="15.75" customHeight="1">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c r="X236" s="207"/>
      <c r="Y236" s="207"/>
      <c r="Z236" s="207"/>
      <c r="AA236" s="207"/>
      <c r="AB236" s="207"/>
      <c r="AC236" s="207"/>
      <c r="AD236" s="207"/>
      <c r="AE236" s="207"/>
      <c r="AF236" s="207"/>
      <c r="AG236" s="207"/>
      <c r="AH236" s="207"/>
      <c r="AI236" s="207"/>
      <c r="AJ236" s="207"/>
    </row>
    <row r="237" ht="15.75" customHeight="1">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c r="X237" s="207"/>
      <c r="Y237" s="207"/>
      <c r="Z237" s="207"/>
      <c r="AA237" s="207"/>
      <c r="AB237" s="207"/>
      <c r="AC237" s="207"/>
      <c r="AD237" s="207"/>
      <c r="AE237" s="207"/>
      <c r="AF237" s="207"/>
      <c r="AG237" s="207"/>
      <c r="AH237" s="207"/>
      <c r="AI237" s="207"/>
      <c r="AJ237" s="207"/>
    </row>
    <row r="238" ht="15.75" customHeight="1">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c r="X238" s="207"/>
      <c r="Y238" s="207"/>
      <c r="Z238" s="207"/>
      <c r="AA238" s="207"/>
      <c r="AB238" s="207"/>
      <c r="AC238" s="207"/>
      <c r="AD238" s="207"/>
      <c r="AE238" s="207"/>
      <c r="AF238" s="207"/>
      <c r="AG238" s="207"/>
      <c r="AH238" s="207"/>
      <c r="AI238" s="207"/>
      <c r="AJ238" s="207"/>
    </row>
    <row r="239" ht="15.75" customHeight="1">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c r="X239" s="207"/>
      <c r="Y239" s="207"/>
      <c r="Z239" s="207"/>
      <c r="AA239" s="207"/>
      <c r="AB239" s="207"/>
      <c r="AC239" s="207"/>
      <c r="AD239" s="207"/>
      <c r="AE239" s="207"/>
      <c r="AF239" s="207"/>
      <c r="AG239" s="207"/>
      <c r="AH239" s="207"/>
      <c r="AI239" s="207"/>
      <c r="AJ239" s="207"/>
    </row>
    <row r="240" ht="15.75" customHeight="1">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c r="X240" s="207"/>
      <c r="Y240" s="207"/>
      <c r="Z240" s="207"/>
      <c r="AA240" s="207"/>
      <c r="AB240" s="207"/>
      <c r="AC240" s="207"/>
      <c r="AD240" s="207"/>
      <c r="AE240" s="207"/>
      <c r="AF240" s="207"/>
      <c r="AG240" s="207"/>
      <c r="AH240" s="207"/>
      <c r="AI240" s="207"/>
      <c r="AJ240" s="207"/>
    </row>
    <row r="241" ht="15.75" customHeight="1">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c r="X241" s="207"/>
      <c r="Y241" s="207"/>
      <c r="Z241" s="207"/>
      <c r="AA241" s="207"/>
      <c r="AB241" s="207"/>
      <c r="AC241" s="207"/>
      <c r="AD241" s="207"/>
      <c r="AE241" s="207"/>
      <c r="AF241" s="207"/>
      <c r="AG241" s="207"/>
      <c r="AH241" s="207"/>
      <c r="AI241" s="207"/>
      <c r="AJ241" s="207"/>
    </row>
    <row r="242" ht="15.75" customHeight="1">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c r="X242" s="207"/>
      <c r="Y242" s="207"/>
      <c r="Z242" s="207"/>
      <c r="AA242" s="207"/>
      <c r="AB242" s="207"/>
      <c r="AC242" s="207"/>
      <c r="AD242" s="207"/>
      <c r="AE242" s="207"/>
      <c r="AF242" s="207"/>
      <c r="AG242" s="207"/>
      <c r="AH242" s="207"/>
      <c r="AI242" s="207"/>
      <c r="AJ242" s="207"/>
    </row>
    <row r="243" ht="15.75" customHeight="1">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c r="X243" s="207"/>
      <c r="Y243" s="207"/>
      <c r="Z243" s="207"/>
      <c r="AA243" s="207"/>
      <c r="AB243" s="207"/>
      <c r="AC243" s="207"/>
      <c r="AD243" s="207"/>
      <c r="AE243" s="207"/>
      <c r="AF243" s="207"/>
      <c r="AG243" s="207"/>
      <c r="AH243" s="207"/>
      <c r="AI243" s="207"/>
      <c r="AJ243" s="207"/>
    </row>
    <row r="244" ht="15.75" customHeight="1">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7"/>
      <c r="AH244" s="207"/>
      <c r="AI244" s="207"/>
      <c r="AJ244" s="207"/>
    </row>
    <row r="245" ht="15.75" customHeight="1">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c r="X245" s="207"/>
      <c r="Y245" s="207"/>
      <c r="Z245" s="207"/>
      <c r="AA245" s="207"/>
      <c r="AB245" s="207"/>
      <c r="AC245" s="207"/>
      <c r="AD245" s="207"/>
      <c r="AE245" s="207"/>
      <c r="AF245" s="207"/>
      <c r="AG245" s="207"/>
      <c r="AH245" s="207"/>
      <c r="AI245" s="207"/>
      <c r="AJ245" s="207"/>
    </row>
    <row r="246" ht="15.75" customHeight="1">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c r="X246" s="207"/>
      <c r="Y246" s="207"/>
      <c r="Z246" s="207"/>
      <c r="AA246" s="207"/>
      <c r="AB246" s="207"/>
      <c r="AC246" s="207"/>
      <c r="AD246" s="207"/>
      <c r="AE246" s="207"/>
      <c r="AF246" s="207"/>
      <c r="AG246" s="207"/>
      <c r="AH246" s="207"/>
      <c r="AI246" s="207"/>
      <c r="AJ246" s="207"/>
    </row>
    <row r="247" ht="15.75" customHeight="1">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c r="X247" s="207"/>
      <c r="Y247" s="207"/>
      <c r="Z247" s="207"/>
      <c r="AA247" s="207"/>
      <c r="AB247" s="207"/>
      <c r="AC247" s="207"/>
      <c r="AD247" s="207"/>
      <c r="AE247" s="207"/>
      <c r="AF247" s="207"/>
      <c r="AG247" s="207"/>
      <c r="AH247" s="207"/>
      <c r="AI247" s="207"/>
      <c r="AJ247" s="207"/>
    </row>
    <row r="248" ht="15.75" customHeight="1">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c r="X248" s="207"/>
      <c r="Y248" s="207"/>
      <c r="Z248" s="207"/>
      <c r="AA248" s="207"/>
      <c r="AB248" s="207"/>
      <c r="AC248" s="207"/>
      <c r="AD248" s="207"/>
      <c r="AE248" s="207"/>
      <c r="AF248" s="207"/>
      <c r="AG248" s="207"/>
      <c r="AH248" s="207"/>
      <c r="AI248" s="207"/>
      <c r="AJ248" s="207"/>
    </row>
    <row r="249" ht="15.75" customHeight="1">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c r="X249" s="207"/>
      <c r="Y249" s="207"/>
      <c r="Z249" s="207"/>
      <c r="AA249" s="207"/>
      <c r="AB249" s="207"/>
      <c r="AC249" s="207"/>
      <c r="AD249" s="207"/>
      <c r="AE249" s="207"/>
      <c r="AF249" s="207"/>
      <c r="AG249" s="207"/>
      <c r="AH249" s="207"/>
      <c r="AI249" s="207"/>
      <c r="AJ249" s="207"/>
    </row>
    <row r="250" ht="15.75" customHeight="1">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c r="X250" s="207"/>
      <c r="Y250" s="207"/>
      <c r="Z250" s="207"/>
      <c r="AA250" s="207"/>
      <c r="AB250" s="207"/>
      <c r="AC250" s="207"/>
      <c r="AD250" s="207"/>
      <c r="AE250" s="207"/>
      <c r="AF250" s="207"/>
      <c r="AG250" s="207"/>
      <c r="AH250" s="207"/>
      <c r="AI250" s="207"/>
      <c r="AJ250" s="207"/>
    </row>
    <row r="251" ht="15.75" customHeight="1">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c r="X251" s="207"/>
      <c r="Y251" s="207"/>
      <c r="Z251" s="207"/>
      <c r="AA251" s="207"/>
      <c r="AB251" s="207"/>
      <c r="AC251" s="207"/>
      <c r="AD251" s="207"/>
      <c r="AE251" s="207"/>
      <c r="AF251" s="207"/>
      <c r="AG251" s="207"/>
      <c r="AH251" s="207"/>
      <c r="AI251" s="207"/>
      <c r="AJ251" s="207"/>
    </row>
    <row r="252" ht="15.75" customHeight="1">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c r="X252" s="207"/>
      <c r="Y252" s="207"/>
      <c r="Z252" s="207"/>
      <c r="AA252" s="207"/>
      <c r="AB252" s="207"/>
      <c r="AC252" s="207"/>
      <c r="AD252" s="207"/>
      <c r="AE252" s="207"/>
      <c r="AF252" s="207"/>
      <c r="AG252" s="207"/>
      <c r="AH252" s="207"/>
      <c r="AI252" s="207"/>
      <c r="AJ252" s="207"/>
    </row>
    <row r="253" ht="15.75" customHeight="1">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207"/>
      <c r="AH253" s="207"/>
      <c r="AI253" s="207"/>
      <c r="AJ253" s="207"/>
    </row>
    <row r="254" ht="15.75" customHeight="1">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c r="X254" s="207"/>
      <c r="Y254" s="207"/>
      <c r="Z254" s="207"/>
      <c r="AA254" s="207"/>
      <c r="AB254" s="207"/>
      <c r="AC254" s="207"/>
      <c r="AD254" s="207"/>
      <c r="AE254" s="207"/>
      <c r="AF254" s="207"/>
      <c r="AG254" s="207"/>
      <c r="AH254" s="207"/>
      <c r="AI254" s="207"/>
      <c r="AJ254" s="207"/>
    </row>
    <row r="255" ht="15.75" customHeight="1">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c r="X255" s="207"/>
      <c r="Y255" s="207"/>
      <c r="Z255" s="207"/>
      <c r="AA255" s="207"/>
      <c r="AB255" s="207"/>
      <c r="AC255" s="207"/>
      <c r="AD255" s="207"/>
      <c r="AE255" s="207"/>
      <c r="AF255" s="207"/>
      <c r="AG255" s="207"/>
      <c r="AH255" s="207"/>
      <c r="AI255" s="207"/>
      <c r="AJ255" s="207"/>
    </row>
    <row r="256" ht="15.75" customHeight="1">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c r="X256" s="207"/>
      <c r="Y256" s="207"/>
      <c r="Z256" s="207"/>
      <c r="AA256" s="207"/>
      <c r="AB256" s="207"/>
      <c r="AC256" s="207"/>
      <c r="AD256" s="207"/>
      <c r="AE256" s="207"/>
      <c r="AF256" s="207"/>
      <c r="AG256" s="207"/>
      <c r="AH256" s="207"/>
      <c r="AI256" s="207"/>
      <c r="AJ256" s="207"/>
    </row>
    <row r="257" ht="15.75" customHeight="1">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c r="X257" s="207"/>
      <c r="Y257" s="207"/>
      <c r="Z257" s="207"/>
      <c r="AA257" s="207"/>
      <c r="AB257" s="207"/>
      <c r="AC257" s="207"/>
      <c r="AD257" s="207"/>
      <c r="AE257" s="207"/>
      <c r="AF257" s="207"/>
      <c r="AG257" s="207"/>
      <c r="AH257" s="207"/>
      <c r="AI257" s="207"/>
      <c r="AJ257" s="207"/>
    </row>
    <row r="258" ht="15.75" customHeight="1">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c r="X258" s="207"/>
      <c r="Y258" s="207"/>
      <c r="Z258" s="207"/>
      <c r="AA258" s="207"/>
      <c r="AB258" s="207"/>
      <c r="AC258" s="207"/>
      <c r="AD258" s="207"/>
      <c r="AE258" s="207"/>
      <c r="AF258" s="207"/>
      <c r="AG258" s="207"/>
      <c r="AH258" s="207"/>
      <c r="AI258" s="207"/>
      <c r="AJ258" s="207"/>
    </row>
    <row r="259" ht="15.75" customHeight="1">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7"/>
      <c r="AH259" s="207"/>
      <c r="AI259" s="207"/>
      <c r="AJ259" s="207"/>
    </row>
    <row r="260" ht="15.75" customHeight="1">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c r="X260" s="207"/>
      <c r="Y260" s="207"/>
      <c r="Z260" s="207"/>
      <c r="AA260" s="207"/>
      <c r="AB260" s="207"/>
      <c r="AC260" s="207"/>
      <c r="AD260" s="207"/>
      <c r="AE260" s="207"/>
      <c r="AF260" s="207"/>
      <c r="AG260" s="207"/>
      <c r="AH260" s="207"/>
      <c r="AI260" s="207"/>
      <c r="AJ260" s="207"/>
    </row>
    <row r="261" ht="15.75" customHeight="1">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c r="X261" s="207"/>
      <c r="Y261" s="207"/>
      <c r="Z261" s="207"/>
      <c r="AA261" s="207"/>
      <c r="AB261" s="207"/>
      <c r="AC261" s="207"/>
      <c r="AD261" s="207"/>
      <c r="AE261" s="207"/>
      <c r="AF261" s="207"/>
      <c r="AG261" s="207"/>
      <c r="AH261" s="207"/>
      <c r="AI261" s="207"/>
      <c r="AJ261" s="207"/>
    </row>
    <row r="262" ht="15.75" customHeight="1">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c r="X262" s="207"/>
      <c r="Y262" s="207"/>
      <c r="Z262" s="207"/>
      <c r="AA262" s="207"/>
      <c r="AB262" s="207"/>
      <c r="AC262" s="207"/>
      <c r="AD262" s="207"/>
      <c r="AE262" s="207"/>
      <c r="AF262" s="207"/>
      <c r="AG262" s="207"/>
      <c r="AH262" s="207"/>
      <c r="AI262" s="207"/>
      <c r="AJ262" s="207"/>
    </row>
    <row r="263" ht="15.75" customHeight="1">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c r="X263" s="207"/>
      <c r="Y263" s="207"/>
      <c r="Z263" s="207"/>
      <c r="AA263" s="207"/>
      <c r="AB263" s="207"/>
      <c r="AC263" s="207"/>
      <c r="AD263" s="207"/>
      <c r="AE263" s="207"/>
      <c r="AF263" s="207"/>
      <c r="AG263" s="207"/>
      <c r="AH263" s="207"/>
      <c r="AI263" s="207"/>
      <c r="AJ263" s="207"/>
    </row>
    <row r="264" ht="15.75" customHeight="1">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c r="X264" s="207"/>
      <c r="Y264" s="207"/>
      <c r="Z264" s="207"/>
      <c r="AA264" s="207"/>
      <c r="AB264" s="207"/>
      <c r="AC264" s="207"/>
      <c r="AD264" s="207"/>
      <c r="AE264" s="207"/>
      <c r="AF264" s="207"/>
      <c r="AG264" s="207"/>
      <c r="AH264" s="207"/>
      <c r="AI264" s="207"/>
      <c r="AJ264" s="207"/>
    </row>
    <row r="265" ht="15.75" customHeight="1">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c r="X265" s="207"/>
      <c r="Y265" s="207"/>
      <c r="Z265" s="207"/>
      <c r="AA265" s="207"/>
      <c r="AB265" s="207"/>
      <c r="AC265" s="207"/>
      <c r="AD265" s="207"/>
      <c r="AE265" s="207"/>
      <c r="AF265" s="207"/>
      <c r="AG265" s="207"/>
      <c r="AH265" s="207"/>
      <c r="AI265" s="207"/>
      <c r="AJ265" s="207"/>
    </row>
    <row r="266" ht="15.75" customHeight="1">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c r="X266" s="207"/>
      <c r="Y266" s="207"/>
      <c r="Z266" s="207"/>
      <c r="AA266" s="207"/>
      <c r="AB266" s="207"/>
      <c r="AC266" s="207"/>
      <c r="AD266" s="207"/>
      <c r="AE266" s="207"/>
      <c r="AF266" s="207"/>
      <c r="AG266" s="207"/>
      <c r="AH266" s="207"/>
      <c r="AI266" s="207"/>
      <c r="AJ266" s="207"/>
    </row>
    <row r="267" ht="15.75" customHeight="1">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c r="X267" s="207"/>
      <c r="Y267" s="207"/>
      <c r="Z267" s="207"/>
      <c r="AA267" s="207"/>
      <c r="AB267" s="207"/>
      <c r="AC267" s="207"/>
      <c r="AD267" s="207"/>
      <c r="AE267" s="207"/>
      <c r="AF267" s="207"/>
      <c r="AG267" s="207"/>
      <c r="AH267" s="207"/>
      <c r="AI267" s="207"/>
      <c r="AJ267" s="207"/>
    </row>
    <row r="268" ht="15.75" customHeight="1">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c r="X268" s="207"/>
      <c r="Y268" s="207"/>
      <c r="Z268" s="207"/>
      <c r="AA268" s="207"/>
      <c r="AB268" s="207"/>
      <c r="AC268" s="207"/>
      <c r="AD268" s="207"/>
      <c r="AE268" s="207"/>
      <c r="AF268" s="207"/>
      <c r="AG268" s="207"/>
      <c r="AH268" s="207"/>
      <c r="AI268" s="207"/>
      <c r="AJ268" s="207"/>
    </row>
    <row r="269" ht="15.75" customHeight="1">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c r="X269" s="207"/>
      <c r="Y269" s="207"/>
      <c r="Z269" s="207"/>
      <c r="AA269" s="207"/>
      <c r="AB269" s="207"/>
      <c r="AC269" s="207"/>
      <c r="AD269" s="207"/>
      <c r="AE269" s="207"/>
      <c r="AF269" s="207"/>
      <c r="AG269" s="207"/>
      <c r="AH269" s="207"/>
      <c r="AI269" s="207"/>
      <c r="AJ269" s="207"/>
    </row>
    <row r="270" ht="15.75" customHeight="1">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07"/>
      <c r="AH270" s="207"/>
      <c r="AI270" s="207"/>
      <c r="AJ270" s="207"/>
    </row>
    <row r="271" ht="15.75" customHeight="1">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c r="X271" s="207"/>
      <c r="Y271" s="207"/>
      <c r="Z271" s="207"/>
      <c r="AA271" s="207"/>
      <c r="AB271" s="207"/>
      <c r="AC271" s="207"/>
      <c r="AD271" s="207"/>
      <c r="AE271" s="207"/>
      <c r="AF271" s="207"/>
      <c r="AG271" s="207"/>
      <c r="AH271" s="207"/>
      <c r="AI271" s="207"/>
      <c r="AJ271" s="207"/>
    </row>
    <row r="272" ht="15.75" customHeight="1">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c r="X272" s="207"/>
      <c r="Y272" s="207"/>
      <c r="Z272" s="207"/>
      <c r="AA272" s="207"/>
      <c r="AB272" s="207"/>
      <c r="AC272" s="207"/>
      <c r="AD272" s="207"/>
      <c r="AE272" s="207"/>
      <c r="AF272" s="207"/>
      <c r="AG272" s="207"/>
      <c r="AH272" s="207"/>
      <c r="AI272" s="207"/>
      <c r="AJ272" s="207"/>
    </row>
    <row r="273" ht="15.75" customHeight="1">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c r="X273" s="207"/>
      <c r="Y273" s="207"/>
      <c r="Z273" s="207"/>
      <c r="AA273" s="207"/>
      <c r="AB273" s="207"/>
      <c r="AC273" s="207"/>
      <c r="AD273" s="207"/>
      <c r="AE273" s="207"/>
      <c r="AF273" s="207"/>
      <c r="AG273" s="207"/>
      <c r="AH273" s="207"/>
      <c r="AI273" s="207"/>
      <c r="AJ273" s="207"/>
    </row>
    <row r="274" ht="15.75" customHeight="1">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c r="X274" s="207"/>
      <c r="Y274" s="207"/>
      <c r="Z274" s="207"/>
      <c r="AA274" s="207"/>
      <c r="AB274" s="207"/>
      <c r="AC274" s="207"/>
      <c r="AD274" s="207"/>
      <c r="AE274" s="207"/>
      <c r="AF274" s="207"/>
      <c r="AG274" s="207"/>
      <c r="AH274" s="207"/>
      <c r="AI274" s="207"/>
      <c r="AJ274" s="207"/>
    </row>
    <row r="275" ht="15.75" customHeight="1">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c r="X275" s="207"/>
      <c r="Y275" s="207"/>
      <c r="Z275" s="207"/>
      <c r="AA275" s="207"/>
      <c r="AB275" s="207"/>
      <c r="AC275" s="207"/>
      <c r="AD275" s="207"/>
      <c r="AE275" s="207"/>
      <c r="AF275" s="207"/>
      <c r="AG275" s="207"/>
      <c r="AH275" s="207"/>
      <c r="AI275" s="207"/>
      <c r="AJ275" s="207"/>
    </row>
    <row r="276" ht="15.75" customHeight="1">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c r="AA276" s="207"/>
      <c r="AB276" s="207"/>
      <c r="AC276" s="207"/>
      <c r="AD276" s="207"/>
      <c r="AE276" s="207"/>
      <c r="AF276" s="207"/>
      <c r="AG276" s="207"/>
      <c r="AH276" s="207"/>
      <c r="AI276" s="207"/>
      <c r="AJ276" s="207"/>
    </row>
    <row r="277" ht="15.75" customHeight="1">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c r="X277" s="207"/>
      <c r="Y277" s="207"/>
      <c r="Z277" s="207"/>
      <c r="AA277" s="207"/>
      <c r="AB277" s="207"/>
      <c r="AC277" s="207"/>
      <c r="AD277" s="207"/>
      <c r="AE277" s="207"/>
      <c r="AF277" s="207"/>
      <c r="AG277" s="207"/>
      <c r="AH277" s="207"/>
      <c r="AI277" s="207"/>
      <c r="AJ277" s="207"/>
    </row>
    <row r="278" ht="15.75" customHeight="1">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c r="X278" s="207"/>
      <c r="Y278" s="207"/>
      <c r="Z278" s="207"/>
      <c r="AA278" s="207"/>
      <c r="AB278" s="207"/>
      <c r="AC278" s="207"/>
      <c r="AD278" s="207"/>
      <c r="AE278" s="207"/>
      <c r="AF278" s="207"/>
      <c r="AG278" s="207"/>
      <c r="AH278" s="207"/>
      <c r="AI278" s="207"/>
      <c r="AJ278" s="207"/>
    </row>
    <row r="279" ht="15.75" customHeight="1">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c r="X279" s="207"/>
      <c r="Y279" s="207"/>
      <c r="Z279" s="207"/>
      <c r="AA279" s="207"/>
      <c r="AB279" s="207"/>
      <c r="AC279" s="207"/>
      <c r="AD279" s="207"/>
      <c r="AE279" s="207"/>
      <c r="AF279" s="207"/>
      <c r="AG279" s="207"/>
      <c r="AH279" s="207"/>
      <c r="AI279" s="207"/>
      <c r="AJ279" s="207"/>
    </row>
    <row r="280" ht="15.75" customHeight="1">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c r="X280" s="207"/>
      <c r="Y280" s="207"/>
      <c r="Z280" s="207"/>
      <c r="AA280" s="207"/>
      <c r="AB280" s="207"/>
      <c r="AC280" s="207"/>
      <c r="AD280" s="207"/>
      <c r="AE280" s="207"/>
      <c r="AF280" s="207"/>
      <c r="AG280" s="207"/>
      <c r="AH280" s="207"/>
      <c r="AI280" s="207"/>
      <c r="AJ280" s="207"/>
    </row>
    <row r="281" ht="15.75" customHeight="1">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c r="X281" s="207"/>
      <c r="Y281" s="207"/>
      <c r="Z281" s="207"/>
      <c r="AA281" s="207"/>
      <c r="AB281" s="207"/>
      <c r="AC281" s="207"/>
      <c r="AD281" s="207"/>
      <c r="AE281" s="207"/>
      <c r="AF281" s="207"/>
      <c r="AG281" s="207"/>
      <c r="AH281" s="207"/>
      <c r="AI281" s="207"/>
      <c r="AJ281" s="207"/>
    </row>
    <row r="282" ht="15.75" customHeight="1">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c r="X282" s="207"/>
      <c r="Y282" s="207"/>
      <c r="Z282" s="207"/>
      <c r="AA282" s="207"/>
      <c r="AB282" s="207"/>
      <c r="AC282" s="207"/>
      <c r="AD282" s="207"/>
      <c r="AE282" s="207"/>
      <c r="AF282" s="207"/>
      <c r="AG282" s="207"/>
      <c r="AH282" s="207"/>
      <c r="AI282" s="207"/>
      <c r="AJ282" s="207"/>
    </row>
    <row r="283" ht="15.75" customHeight="1">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c r="X283" s="207"/>
      <c r="Y283" s="207"/>
      <c r="Z283" s="207"/>
      <c r="AA283" s="207"/>
      <c r="AB283" s="207"/>
      <c r="AC283" s="207"/>
      <c r="AD283" s="207"/>
      <c r="AE283" s="207"/>
      <c r="AF283" s="207"/>
      <c r="AG283" s="207"/>
      <c r="AH283" s="207"/>
      <c r="AI283" s="207"/>
      <c r="AJ283" s="207"/>
    </row>
    <row r="284" ht="15.75" customHeight="1">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c r="X284" s="207"/>
      <c r="Y284" s="207"/>
      <c r="Z284" s="207"/>
      <c r="AA284" s="207"/>
      <c r="AB284" s="207"/>
      <c r="AC284" s="207"/>
      <c r="AD284" s="207"/>
      <c r="AE284" s="207"/>
      <c r="AF284" s="207"/>
      <c r="AG284" s="207"/>
      <c r="AH284" s="207"/>
      <c r="AI284" s="207"/>
      <c r="AJ284" s="207"/>
    </row>
    <row r="285" ht="15.75" customHeight="1">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c r="X285" s="207"/>
      <c r="Y285" s="207"/>
      <c r="Z285" s="207"/>
      <c r="AA285" s="207"/>
      <c r="AB285" s="207"/>
      <c r="AC285" s="207"/>
      <c r="AD285" s="207"/>
      <c r="AE285" s="207"/>
      <c r="AF285" s="207"/>
      <c r="AG285" s="207"/>
      <c r="AH285" s="207"/>
      <c r="AI285" s="207"/>
      <c r="AJ285" s="207"/>
    </row>
    <row r="286" ht="15.75" customHeight="1">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c r="X286" s="207"/>
      <c r="Y286" s="207"/>
      <c r="Z286" s="207"/>
      <c r="AA286" s="207"/>
      <c r="AB286" s="207"/>
      <c r="AC286" s="207"/>
      <c r="AD286" s="207"/>
      <c r="AE286" s="207"/>
      <c r="AF286" s="207"/>
      <c r="AG286" s="207"/>
      <c r="AH286" s="207"/>
      <c r="AI286" s="207"/>
      <c r="AJ286" s="207"/>
    </row>
    <row r="287" ht="15.75" customHeight="1">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c r="X287" s="207"/>
      <c r="Y287" s="207"/>
      <c r="Z287" s="207"/>
      <c r="AA287" s="207"/>
      <c r="AB287" s="207"/>
      <c r="AC287" s="207"/>
      <c r="AD287" s="207"/>
      <c r="AE287" s="207"/>
      <c r="AF287" s="207"/>
      <c r="AG287" s="207"/>
      <c r="AH287" s="207"/>
      <c r="AI287" s="207"/>
      <c r="AJ287" s="207"/>
    </row>
    <row r="288" ht="15.75" customHeight="1">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c r="X288" s="207"/>
      <c r="Y288" s="207"/>
      <c r="Z288" s="207"/>
      <c r="AA288" s="207"/>
      <c r="AB288" s="207"/>
      <c r="AC288" s="207"/>
      <c r="AD288" s="207"/>
      <c r="AE288" s="207"/>
      <c r="AF288" s="207"/>
      <c r="AG288" s="207"/>
      <c r="AH288" s="207"/>
      <c r="AI288" s="207"/>
      <c r="AJ288" s="207"/>
    </row>
    <row r="289" ht="15.75" customHeight="1">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c r="X289" s="207"/>
      <c r="Y289" s="207"/>
      <c r="Z289" s="207"/>
      <c r="AA289" s="207"/>
      <c r="AB289" s="207"/>
      <c r="AC289" s="207"/>
      <c r="AD289" s="207"/>
      <c r="AE289" s="207"/>
      <c r="AF289" s="207"/>
      <c r="AG289" s="207"/>
      <c r="AH289" s="207"/>
      <c r="AI289" s="207"/>
      <c r="AJ289" s="207"/>
    </row>
    <row r="290" ht="15.75" customHeight="1">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c r="X290" s="207"/>
      <c r="Y290" s="207"/>
      <c r="Z290" s="207"/>
      <c r="AA290" s="207"/>
      <c r="AB290" s="207"/>
      <c r="AC290" s="207"/>
      <c r="AD290" s="207"/>
      <c r="AE290" s="207"/>
      <c r="AF290" s="207"/>
      <c r="AG290" s="207"/>
      <c r="AH290" s="207"/>
      <c r="AI290" s="207"/>
      <c r="AJ290" s="207"/>
    </row>
    <row r="291" ht="15.75" customHeight="1">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7"/>
      <c r="AH291" s="207"/>
      <c r="AI291" s="207"/>
      <c r="AJ291" s="207"/>
    </row>
    <row r="292" ht="15.75" customHeight="1">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c r="X292" s="207"/>
      <c r="Y292" s="207"/>
      <c r="Z292" s="207"/>
      <c r="AA292" s="207"/>
      <c r="AB292" s="207"/>
      <c r="AC292" s="207"/>
      <c r="AD292" s="207"/>
      <c r="AE292" s="207"/>
      <c r="AF292" s="207"/>
      <c r="AG292" s="207"/>
      <c r="AH292" s="207"/>
      <c r="AI292" s="207"/>
      <c r="AJ292" s="207"/>
    </row>
    <row r="293" ht="15.75" customHeight="1">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c r="X293" s="207"/>
      <c r="Y293" s="207"/>
      <c r="Z293" s="207"/>
      <c r="AA293" s="207"/>
      <c r="AB293" s="207"/>
      <c r="AC293" s="207"/>
      <c r="AD293" s="207"/>
      <c r="AE293" s="207"/>
      <c r="AF293" s="207"/>
      <c r="AG293" s="207"/>
      <c r="AH293" s="207"/>
      <c r="AI293" s="207"/>
      <c r="AJ293" s="207"/>
    </row>
    <row r="294" ht="15.75" customHeight="1">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c r="X294" s="207"/>
      <c r="Y294" s="207"/>
      <c r="Z294" s="207"/>
      <c r="AA294" s="207"/>
      <c r="AB294" s="207"/>
      <c r="AC294" s="207"/>
      <c r="AD294" s="207"/>
      <c r="AE294" s="207"/>
      <c r="AF294" s="207"/>
      <c r="AG294" s="207"/>
      <c r="AH294" s="207"/>
      <c r="AI294" s="207"/>
      <c r="AJ294" s="207"/>
    </row>
    <row r="295" ht="15.75" customHeight="1">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c r="X295" s="207"/>
      <c r="Y295" s="207"/>
      <c r="Z295" s="207"/>
      <c r="AA295" s="207"/>
      <c r="AB295" s="207"/>
      <c r="AC295" s="207"/>
      <c r="AD295" s="207"/>
      <c r="AE295" s="207"/>
      <c r="AF295" s="207"/>
      <c r="AG295" s="207"/>
      <c r="AH295" s="207"/>
      <c r="AI295" s="207"/>
      <c r="AJ295" s="207"/>
    </row>
    <row r="296" ht="15.75" customHeight="1">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c r="X296" s="207"/>
      <c r="Y296" s="207"/>
      <c r="Z296" s="207"/>
      <c r="AA296" s="207"/>
      <c r="AB296" s="207"/>
      <c r="AC296" s="207"/>
      <c r="AD296" s="207"/>
      <c r="AE296" s="207"/>
      <c r="AF296" s="207"/>
      <c r="AG296" s="207"/>
      <c r="AH296" s="207"/>
      <c r="AI296" s="207"/>
      <c r="AJ296" s="207"/>
    </row>
    <row r="297" ht="15.75" customHeight="1">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c r="X297" s="207"/>
      <c r="Y297" s="207"/>
      <c r="Z297" s="207"/>
      <c r="AA297" s="207"/>
      <c r="AB297" s="207"/>
      <c r="AC297" s="207"/>
      <c r="AD297" s="207"/>
      <c r="AE297" s="207"/>
      <c r="AF297" s="207"/>
      <c r="AG297" s="207"/>
      <c r="AH297" s="207"/>
      <c r="AI297" s="207"/>
      <c r="AJ297" s="207"/>
    </row>
    <row r="298" ht="15.75" customHeight="1">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c r="X298" s="207"/>
      <c r="Y298" s="207"/>
      <c r="Z298" s="207"/>
      <c r="AA298" s="207"/>
      <c r="AB298" s="207"/>
      <c r="AC298" s="207"/>
      <c r="AD298" s="207"/>
      <c r="AE298" s="207"/>
      <c r="AF298" s="207"/>
      <c r="AG298" s="207"/>
      <c r="AH298" s="207"/>
      <c r="AI298" s="207"/>
      <c r="AJ298" s="207"/>
    </row>
    <row r="299" ht="15.75" customHeight="1">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c r="X299" s="207"/>
      <c r="Y299" s="207"/>
      <c r="Z299" s="207"/>
      <c r="AA299" s="207"/>
      <c r="AB299" s="207"/>
      <c r="AC299" s="207"/>
      <c r="AD299" s="207"/>
      <c r="AE299" s="207"/>
      <c r="AF299" s="207"/>
      <c r="AG299" s="207"/>
      <c r="AH299" s="207"/>
      <c r="AI299" s="207"/>
      <c r="AJ299" s="207"/>
    </row>
    <row r="300" ht="15.75" customHeight="1">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c r="X300" s="207"/>
      <c r="Y300" s="207"/>
      <c r="Z300" s="207"/>
      <c r="AA300" s="207"/>
      <c r="AB300" s="207"/>
      <c r="AC300" s="207"/>
      <c r="AD300" s="207"/>
      <c r="AE300" s="207"/>
      <c r="AF300" s="207"/>
      <c r="AG300" s="207"/>
      <c r="AH300" s="207"/>
      <c r="AI300" s="207"/>
      <c r="AJ300" s="207"/>
    </row>
    <row r="301" ht="15.75" customHeight="1">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c r="X301" s="207"/>
      <c r="Y301" s="207"/>
      <c r="Z301" s="207"/>
      <c r="AA301" s="207"/>
      <c r="AB301" s="207"/>
      <c r="AC301" s="207"/>
      <c r="AD301" s="207"/>
      <c r="AE301" s="207"/>
      <c r="AF301" s="207"/>
      <c r="AG301" s="207"/>
      <c r="AH301" s="207"/>
      <c r="AI301" s="207"/>
      <c r="AJ301" s="207"/>
    </row>
    <row r="302" ht="15.75" customHeight="1">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07"/>
      <c r="AH302" s="207"/>
      <c r="AI302" s="207"/>
      <c r="AJ302" s="207"/>
    </row>
    <row r="303" ht="15.75" customHeight="1">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c r="X303" s="207"/>
      <c r="Y303" s="207"/>
      <c r="Z303" s="207"/>
      <c r="AA303" s="207"/>
      <c r="AB303" s="207"/>
      <c r="AC303" s="207"/>
      <c r="AD303" s="207"/>
      <c r="AE303" s="207"/>
      <c r="AF303" s="207"/>
      <c r="AG303" s="207"/>
      <c r="AH303" s="207"/>
      <c r="AI303" s="207"/>
      <c r="AJ303" s="207"/>
    </row>
    <row r="304" ht="15.75" customHeight="1">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c r="X304" s="207"/>
      <c r="Y304" s="207"/>
      <c r="Z304" s="207"/>
      <c r="AA304" s="207"/>
      <c r="AB304" s="207"/>
      <c r="AC304" s="207"/>
      <c r="AD304" s="207"/>
      <c r="AE304" s="207"/>
      <c r="AF304" s="207"/>
      <c r="AG304" s="207"/>
      <c r="AH304" s="207"/>
      <c r="AI304" s="207"/>
      <c r="AJ304" s="207"/>
    </row>
    <row r="305" ht="15.75" customHeight="1">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c r="X305" s="207"/>
      <c r="Y305" s="207"/>
      <c r="Z305" s="207"/>
      <c r="AA305" s="207"/>
      <c r="AB305" s="207"/>
      <c r="AC305" s="207"/>
      <c r="AD305" s="207"/>
      <c r="AE305" s="207"/>
      <c r="AF305" s="207"/>
      <c r="AG305" s="207"/>
      <c r="AH305" s="207"/>
      <c r="AI305" s="207"/>
      <c r="AJ305" s="207"/>
    </row>
    <row r="306" ht="15.75" customHeight="1">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c r="X306" s="207"/>
      <c r="Y306" s="207"/>
      <c r="Z306" s="207"/>
      <c r="AA306" s="207"/>
      <c r="AB306" s="207"/>
      <c r="AC306" s="207"/>
      <c r="AD306" s="207"/>
      <c r="AE306" s="207"/>
      <c r="AF306" s="207"/>
      <c r="AG306" s="207"/>
      <c r="AH306" s="207"/>
      <c r="AI306" s="207"/>
      <c r="AJ306" s="207"/>
    </row>
    <row r="307" ht="15.75" customHeight="1">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c r="X307" s="207"/>
      <c r="Y307" s="207"/>
      <c r="Z307" s="207"/>
      <c r="AA307" s="207"/>
      <c r="AB307" s="207"/>
      <c r="AC307" s="207"/>
      <c r="AD307" s="207"/>
      <c r="AE307" s="207"/>
      <c r="AF307" s="207"/>
      <c r="AG307" s="207"/>
      <c r="AH307" s="207"/>
      <c r="AI307" s="207"/>
      <c r="AJ307" s="207"/>
    </row>
    <row r="308" ht="15.75" customHeight="1">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c r="X308" s="207"/>
      <c r="Y308" s="207"/>
      <c r="Z308" s="207"/>
      <c r="AA308" s="207"/>
      <c r="AB308" s="207"/>
      <c r="AC308" s="207"/>
      <c r="AD308" s="207"/>
      <c r="AE308" s="207"/>
      <c r="AF308" s="207"/>
      <c r="AG308" s="207"/>
      <c r="AH308" s="207"/>
      <c r="AI308" s="207"/>
      <c r="AJ308" s="207"/>
    </row>
    <row r="309" ht="15.75" customHeight="1">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c r="X309" s="207"/>
      <c r="Y309" s="207"/>
      <c r="Z309" s="207"/>
      <c r="AA309" s="207"/>
      <c r="AB309" s="207"/>
      <c r="AC309" s="207"/>
      <c r="AD309" s="207"/>
      <c r="AE309" s="207"/>
      <c r="AF309" s="207"/>
      <c r="AG309" s="207"/>
      <c r="AH309" s="207"/>
      <c r="AI309" s="207"/>
      <c r="AJ309" s="207"/>
    </row>
    <row r="310" ht="15.75" customHeight="1">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c r="X310" s="207"/>
      <c r="Y310" s="207"/>
      <c r="Z310" s="207"/>
      <c r="AA310" s="207"/>
      <c r="AB310" s="207"/>
      <c r="AC310" s="207"/>
      <c r="AD310" s="207"/>
      <c r="AE310" s="207"/>
      <c r="AF310" s="207"/>
      <c r="AG310" s="207"/>
      <c r="AH310" s="207"/>
      <c r="AI310" s="207"/>
      <c r="AJ310" s="207"/>
    </row>
    <row r="311" ht="15.75" customHeight="1">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c r="X311" s="207"/>
      <c r="Y311" s="207"/>
      <c r="Z311" s="207"/>
      <c r="AA311" s="207"/>
      <c r="AB311" s="207"/>
      <c r="AC311" s="207"/>
      <c r="AD311" s="207"/>
      <c r="AE311" s="207"/>
      <c r="AF311" s="207"/>
      <c r="AG311" s="207"/>
      <c r="AH311" s="207"/>
      <c r="AI311" s="207"/>
      <c r="AJ311" s="207"/>
    </row>
    <row r="312" ht="15.75" customHeight="1">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c r="X312" s="207"/>
      <c r="Y312" s="207"/>
      <c r="Z312" s="207"/>
      <c r="AA312" s="207"/>
      <c r="AB312" s="207"/>
      <c r="AC312" s="207"/>
      <c r="AD312" s="207"/>
      <c r="AE312" s="207"/>
      <c r="AF312" s="207"/>
      <c r="AG312" s="207"/>
      <c r="AH312" s="207"/>
      <c r="AI312" s="207"/>
      <c r="AJ312" s="207"/>
    </row>
    <row r="313" ht="15.75" customHeight="1">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c r="X313" s="207"/>
      <c r="Y313" s="207"/>
      <c r="Z313" s="207"/>
      <c r="AA313" s="207"/>
      <c r="AB313" s="207"/>
      <c r="AC313" s="207"/>
      <c r="AD313" s="207"/>
      <c r="AE313" s="207"/>
      <c r="AF313" s="207"/>
      <c r="AG313" s="207"/>
      <c r="AH313" s="207"/>
      <c r="AI313" s="207"/>
      <c r="AJ313" s="207"/>
    </row>
    <row r="314" ht="15.75" customHeight="1">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c r="X314" s="207"/>
      <c r="Y314" s="207"/>
      <c r="Z314" s="207"/>
      <c r="AA314" s="207"/>
      <c r="AB314" s="207"/>
      <c r="AC314" s="207"/>
      <c r="AD314" s="207"/>
      <c r="AE314" s="207"/>
      <c r="AF314" s="207"/>
      <c r="AG314" s="207"/>
      <c r="AH314" s="207"/>
      <c r="AI314" s="207"/>
      <c r="AJ314" s="207"/>
    </row>
    <row r="315" ht="15.75" customHeight="1">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c r="X315" s="207"/>
      <c r="Y315" s="207"/>
      <c r="Z315" s="207"/>
      <c r="AA315" s="207"/>
      <c r="AB315" s="207"/>
      <c r="AC315" s="207"/>
      <c r="AD315" s="207"/>
      <c r="AE315" s="207"/>
      <c r="AF315" s="207"/>
      <c r="AG315" s="207"/>
      <c r="AH315" s="207"/>
      <c r="AI315" s="207"/>
      <c r="AJ315" s="207"/>
    </row>
    <row r="316" ht="15.75" customHeight="1">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c r="X316" s="207"/>
      <c r="Y316" s="207"/>
      <c r="Z316" s="207"/>
      <c r="AA316" s="207"/>
      <c r="AB316" s="207"/>
      <c r="AC316" s="207"/>
      <c r="AD316" s="207"/>
      <c r="AE316" s="207"/>
      <c r="AF316" s="207"/>
      <c r="AG316" s="207"/>
      <c r="AH316" s="207"/>
      <c r="AI316" s="207"/>
      <c r="AJ316" s="207"/>
    </row>
    <row r="317" ht="15.75" customHeight="1">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c r="X317" s="207"/>
      <c r="Y317" s="207"/>
      <c r="Z317" s="207"/>
      <c r="AA317" s="207"/>
      <c r="AB317" s="207"/>
      <c r="AC317" s="207"/>
      <c r="AD317" s="207"/>
      <c r="AE317" s="207"/>
      <c r="AF317" s="207"/>
      <c r="AG317" s="207"/>
      <c r="AH317" s="207"/>
      <c r="AI317" s="207"/>
      <c r="AJ317" s="207"/>
    </row>
    <row r="318" ht="15.75" customHeight="1">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c r="X318" s="207"/>
      <c r="Y318" s="207"/>
      <c r="Z318" s="207"/>
      <c r="AA318" s="207"/>
      <c r="AB318" s="207"/>
      <c r="AC318" s="207"/>
      <c r="AD318" s="207"/>
      <c r="AE318" s="207"/>
      <c r="AF318" s="207"/>
      <c r="AG318" s="207"/>
      <c r="AH318" s="207"/>
      <c r="AI318" s="207"/>
      <c r="AJ318" s="207"/>
    </row>
    <row r="319" ht="15.75" customHeight="1">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c r="X319" s="207"/>
      <c r="Y319" s="207"/>
      <c r="Z319" s="207"/>
      <c r="AA319" s="207"/>
      <c r="AB319" s="207"/>
      <c r="AC319" s="207"/>
      <c r="AD319" s="207"/>
      <c r="AE319" s="207"/>
      <c r="AF319" s="207"/>
      <c r="AG319" s="207"/>
      <c r="AH319" s="207"/>
      <c r="AI319" s="207"/>
      <c r="AJ319" s="207"/>
    </row>
    <row r="320" ht="15.75" customHeight="1">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c r="X320" s="207"/>
      <c r="Y320" s="207"/>
      <c r="Z320" s="207"/>
      <c r="AA320" s="207"/>
      <c r="AB320" s="207"/>
      <c r="AC320" s="207"/>
      <c r="AD320" s="207"/>
      <c r="AE320" s="207"/>
      <c r="AF320" s="207"/>
      <c r="AG320" s="207"/>
      <c r="AH320" s="207"/>
      <c r="AI320" s="207"/>
      <c r="AJ320" s="207"/>
    </row>
    <row r="321" ht="15.75" customHeight="1">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c r="X321" s="207"/>
      <c r="Y321" s="207"/>
      <c r="Z321" s="207"/>
      <c r="AA321" s="207"/>
      <c r="AB321" s="207"/>
      <c r="AC321" s="207"/>
      <c r="AD321" s="207"/>
      <c r="AE321" s="207"/>
      <c r="AF321" s="207"/>
      <c r="AG321" s="207"/>
      <c r="AH321" s="207"/>
      <c r="AI321" s="207"/>
      <c r="AJ321" s="207"/>
    </row>
    <row r="322" ht="15.75" customHeight="1">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c r="X322" s="207"/>
      <c r="Y322" s="207"/>
      <c r="Z322" s="207"/>
      <c r="AA322" s="207"/>
      <c r="AB322" s="207"/>
      <c r="AC322" s="207"/>
      <c r="AD322" s="207"/>
      <c r="AE322" s="207"/>
      <c r="AF322" s="207"/>
      <c r="AG322" s="207"/>
      <c r="AH322" s="207"/>
      <c r="AI322" s="207"/>
      <c r="AJ322" s="207"/>
    </row>
    <row r="323" ht="15.75" customHeight="1">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c r="X323" s="207"/>
      <c r="Y323" s="207"/>
      <c r="Z323" s="207"/>
      <c r="AA323" s="207"/>
      <c r="AB323" s="207"/>
      <c r="AC323" s="207"/>
      <c r="AD323" s="207"/>
      <c r="AE323" s="207"/>
      <c r="AF323" s="207"/>
      <c r="AG323" s="207"/>
      <c r="AH323" s="207"/>
      <c r="AI323" s="207"/>
      <c r="AJ323" s="207"/>
    </row>
    <row r="324" ht="15.75" customHeight="1">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c r="X324" s="207"/>
      <c r="Y324" s="207"/>
      <c r="Z324" s="207"/>
      <c r="AA324" s="207"/>
      <c r="AB324" s="207"/>
      <c r="AC324" s="207"/>
      <c r="AD324" s="207"/>
      <c r="AE324" s="207"/>
      <c r="AF324" s="207"/>
      <c r="AG324" s="207"/>
      <c r="AH324" s="207"/>
      <c r="AI324" s="207"/>
      <c r="AJ324" s="207"/>
    </row>
    <row r="325" ht="15.75" customHeight="1">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c r="X325" s="207"/>
      <c r="Y325" s="207"/>
      <c r="Z325" s="207"/>
      <c r="AA325" s="207"/>
      <c r="AB325" s="207"/>
      <c r="AC325" s="207"/>
      <c r="AD325" s="207"/>
      <c r="AE325" s="207"/>
      <c r="AF325" s="207"/>
      <c r="AG325" s="207"/>
      <c r="AH325" s="207"/>
      <c r="AI325" s="207"/>
      <c r="AJ325" s="207"/>
    </row>
    <row r="326" ht="15.75" customHeight="1">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c r="X326" s="207"/>
      <c r="Y326" s="207"/>
      <c r="Z326" s="207"/>
      <c r="AA326" s="207"/>
      <c r="AB326" s="207"/>
      <c r="AC326" s="207"/>
      <c r="AD326" s="207"/>
      <c r="AE326" s="207"/>
      <c r="AF326" s="207"/>
      <c r="AG326" s="207"/>
      <c r="AH326" s="207"/>
      <c r="AI326" s="207"/>
      <c r="AJ326" s="207"/>
    </row>
    <row r="327" ht="15.75" customHeight="1">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c r="X327" s="207"/>
      <c r="Y327" s="207"/>
      <c r="Z327" s="207"/>
      <c r="AA327" s="207"/>
      <c r="AB327" s="207"/>
      <c r="AC327" s="207"/>
      <c r="AD327" s="207"/>
      <c r="AE327" s="207"/>
      <c r="AF327" s="207"/>
      <c r="AG327" s="207"/>
      <c r="AH327" s="207"/>
      <c r="AI327" s="207"/>
      <c r="AJ327" s="207"/>
    </row>
    <row r="328" ht="15.75" customHeight="1">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c r="X328" s="207"/>
      <c r="Y328" s="207"/>
      <c r="Z328" s="207"/>
      <c r="AA328" s="207"/>
      <c r="AB328" s="207"/>
      <c r="AC328" s="207"/>
      <c r="AD328" s="207"/>
      <c r="AE328" s="207"/>
      <c r="AF328" s="207"/>
      <c r="AG328" s="207"/>
      <c r="AH328" s="207"/>
      <c r="AI328" s="207"/>
      <c r="AJ328" s="207"/>
    </row>
    <row r="329" ht="15.75" customHeight="1">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c r="X329" s="207"/>
      <c r="Y329" s="207"/>
      <c r="Z329" s="207"/>
      <c r="AA329" s="207"/>
      <c r="AB329" s="207"/>
      <c r="AC329" s="207"/>
      <c r="AD329" s="207"/>
      <c r="AE329" s="207"/>
      <c r="AF329" s="207"/>
      <c r="AG329" s="207"/>
      <c r="AH329" s="207"/>
      <c r="AI329" s="207"/>
      <c r="AJ329" s="207"/>
    </row>
    <row r="330" ht="15.75" customHeight="1">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c r="X330" s="207"/>
      <c r="Y330" s="207"/>
      <c r="Z330" s="207"/>
      <c r="AA330" s="207"/>
      <c r="AB330" s="207"/>
      <c r="AC330" s="207"/>
      <c r="AD330" s="207"/>
      <c r="AE330" s="207"/>
      <c r="AF330" s="207"/>
      <c r="AG330" s="207"/>
      <c r="AH330" s="207"/>
      <c r="AI330" s="207"/>
      <c r="AJ330" s="207"/>
    </row>
    <row r="331" ht="15.75" customHeight="1">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c r="X331" s="207"/>
      <c r="Y331" s="207"/>
      <c r="Z331" s="207"/>
      <c r="AA331" s="207"/>
      <c r="AB331" s="207"/>
      <c r="AC331" s="207"/>
      <c r="AD331" s="207"/>
      <c r="AE331" s="207"/>
      <c r="AF331" s="207"/>
      <c r="AG331" s="207"/>
      <c r="AH331" s="207"/>
      <c r="AI331" s="207"/>
      <c r="AJ331" s="207"/>
    </row>
    <row r="332" ht="15.75" customHeight="1">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c r="X332" s="207"/>
      <c r="Y332" s="207"/>
      <c r="Z332" s="207"/>
      <c r="AA332" s="207"/>
      <c r="AB332" s="207"/>
      <c r="AC332" s="207"/>
      <c r="AD332" s="207"/>
      <c r="AE332" s="207"/>
      <c r="AF332" s="207"/>
      <c r="AG332" s="207"/>
      <c r="AH332" s="207"/>
      <c r="AI332" s="207"/>
      <c r="AJ332" s="207"/>
    </row>
    <row r="333" ht="15.75" customHeight="1">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c r="X333" s="207"/>
      <c r="Y333" s="207"/>
      <c r="Z333" s="207"/>
      <c r="AA333" s="207"/>
      <c r="AB333" s="207"/>
      <c r="AC333" s="207"/>
      <c r="AD333" s="207"/>
      <c r="AE333" s="207"/>
      <c r="AF333" s="207"/>
      <c r="AG333" s="207"/>
      <c r="AH333" s="207"/>
      <c r="AI333" s="207"/>
      <c r="AJ333" s="207"/>
    </row>
    <row r="334" ht="15.75" customHeight="1">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c r="X334" s="207"/>
      <c r="Y334" s="207"/>
      <c r="Z334" s="207"/>
      <c r="AA334" s="207"/>
      <c r="AB334" s="207"/>
      <c r="AC334" s="207"/>
      <c r="AD334" s="207"/>
      <c r="AE334" s="207"/>
      <c r="AF334" s="207"/>
      <c r="AG334" s="207"/>
      <c r="AH334" s="207"/>
      <c r="AI334" s="207"/>
      <c r="AJ334" s="207"/>
    </row>
    <row r="335" ht="15.75" customHeight="1">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c r="X335" s="207"/>
      <c r="Y335" s="207"/>
      <c r="Z335" s="207"/>
      <c r="AA335" s="207"/>
      <c r="AB335" s="207"/>
      <c r="AC335" s="207"/>
      <c r="AD335" s="207"/>
      <c r="AE335" s="207"/>
      <c r="AF335" s="207"/>
      <c r="AG335" s="207"/>
      <c r="AH335" s="207"/>
      <c r="AI335" s="207"/>
      <c r="AJ335" s="207"/>
    </row>
    <row r="336" ht="15.75" customHeight="1">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c r="X336" s="207"/>
      <c r="Y336" s="207"/>
      <c r="Z336" s="207"/>
      <c r="AA336" s="207"/>
      <c r="AB336" s="207"/>
      <c r="AC336" s="207"/>
      <c r="AD336" s="207"/>
      <c r="AE336" s="207"/>
      <c r="AF336" s="207"/>
      <c r="AG336" s="207"/>
      <c r="AH336" s="207"/>
      <c r="AI336" s="207"/>
      <c r="AJ336" s="207"/>
    </row>
    <row r="337" ht="15.75" customHeight="1">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c r="X337" s="207"/>
      <c r="Y337" s="207"/>
      <c r="Z337" s="207"/>
      <c r="AA337" s="207"/>
      <c r="AB337" s="207"/>
      <c r="AC337" s="207"/>
      <c r="AD337" s="207"/>
      <c r="AE337" s="207"/>
      <c r="AF337" s="207"/>
      <c r="AG337" s="207"/>
      <c r="AH337" s="207"/>
      <c r="AI337" s="207"/>
      <c r="AJ337" s="207"/>
    </row>
    <row r="338" ht="15.75" customHeight="1">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c r="X338" s="207"/>
      <c r="Y338" s="207"/>
      <c r="Z338" s="207"/>
      <c r="AA338" s="207"/>
      <c r="AB338" s="207"/>
      <c r="AC338" s="207"/>
      <c r="AD338" s="207"/>
      <c r="AE338" s="207"/>
      <c r="AF338" s="207"/>
      <c r="AG338" s="207"/>
      <c r="AH338" s="207"/>
      <c r="AI338" s="207"/>
      <c r="AJ338" s="207"/>
    </row>
    <row r="339" ht="15.75" customHeight="1">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c r="AG339" s="207"/>
      <c r="AH339" s="207"/>
      <c r="AI339" s="207"/>
      <c r="AJ339" s="207"/>
    </row>
    <row r="340" ht="15.75" customHeight="1">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c r="X340" s="207"/>
      <c r="Y340" s="207"/>
      <c r="Z340" s="207"/>
      <c r="AA340" s="207"/>
      <c r="AB340" s="207"/>
      <c r="AC340" s="207"/>
      <c r="AD340" s="207"/>
      <c r="AE340" s="207"/>
      <c r="AF340" s="207"/>
      <c r="AG340" s="207"/>
      <c r="AH340" s="207"/>
      <c r="AI340" s="207"/>
      <c r="AJ340" s="207"/>
    </row>
    <row r="341" ht="15.75" customHeight="1">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c r="X341" s="207"/>
      <c r="Y341" s="207"/>
      <c r="Z341" s="207"/>
      <c r="AA341" s="207"/>
      <c r="AB341" s="207"/>
      <c r="AC341" s="207"/>
      <c r="AD341" s="207"/>
      <c r="AE341" s="207"/>
      <c r="AF341" s="207"/>
      <c r="AG341" s="207"/>
      <c r="AH341" s="207"/>
      <c r="AI341" s="207"/>
      <c r="AJ341" s="207"/>
    </row>
    <row r="342" ht="15.75" customHeight="1">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c r="X342" s="207"/>
      <c r="Y342" s="207"/>
      <c r="Z342" s="207"/>
      <c r="AA342" s="207"/>
      <c r="AB342" s="207"/>
      <c r="AC342" s="207"/>
      <c r="AD342" s="207"/>
      <c r="AE342" s="207"/>
      <c r="AF342" s="207"/>
      <c r="AG342" s="207"/>
      <c r="AH342" s="207"/>
      <c r="AI342" s="207"/>
      <c r="AJ342" s="207"/>
    </row>
    <row r="343" ht="15.75" customHeight="1">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c r="X343" s="207"/>
      <c r="Y343" s="207"/>
      <c r="Z343" s="207"/>
      <c r="AA343" s="207"/>
      <c r="AB343" s="207"/>
      <c r="AC343" s="207"/>
      <c r="AD343" s="207"/>
      <c r="AE343" s="207"/>
      <c r="AF343" s="207"/>
      <c r="AG343" s="207"/>
      <c r="AH343" s="207"/>
      <c r="AI343" s="207"/>
      <c r="AJ343" s="207"/>
    </row>
    <row r="344" ht="15.75" customHeight="1">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c r="X344" s="207"/>
      <c r="Y344" s="207"/>
      <c r="Z344" s="207"/>
      <c r="AA344" s="207"/>
      <c r="AB344" s="207"/>
      <c r="AC344" s="207"/>
      <c r="AD344" s="207"/>
      <c r="AE344" s="207"/>
      <c r="AF344" s="207"/>
      <c r="AG344" s="207"/>
      <c r="AH344" s="207"/>
      <c r="AI344" s="207"/>
      <c r="AJ344" s="207"/>
    </row>
    <row r="345" ht="15.75" customHeight="1">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c r="X345" s="207"/>
      <c r="Y345" s="207"/>
      <c r="Z345" s="207"/>
      <c r="AA345" s="207"/>
      <c r="AB345" s="207"/>
      <c r="AC345" s="207"/>
      <c r="AD345" s="207"/>
      <c r="AE345" s="207"/>
      <c r="AF345" s="207"/>
      <c r="AG345" s="207"/>
      <c r="AH345" s="207"/>
      <c r="AI345" s="207"/>
      <c r="AJ345" s="207"/>
    </row>
    <row r="346" ht="15.75" customHeight="1">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c r="X346" s="207"/>
      <c r="Y346" s="207"/>
      <c r="Z346" s="207"/>
      <c r="AA346" s="207"/>
      <c r="AB346" s="207"/>
      <c r="AC346" s="207"/>
      <c r="AD346" s="207"/>
      <c r="AE346" s="207"/>
      <c r="AF346" s="207"/>
      <c r="AG346" s="207"/>
      <c r="AH346" s="207"/>
      <c r="AI346" s="207"/>
      <c r="AJ346" s="207"/>
    </row>
    <row r="347" ht="15.75" customHeight="1">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c r="X347" s="207"/>
      <c r="Y347" s="207"/>
      <c r="Z347" s="207"/>
      <c r="AA347" s="207"/>
      <c r="AB347" s="207"/>
      <c r="AC347" s="207"/>
      <c r="AD347" s="207"/>
      <c r="AE347" s="207"/>
      <c r="AF347" s="207"/>
      <c r="AG347" s="207"/>
      <c r="AH347" s="207"/>
      <c r="AI347" s="207"/>
      <c r="AJ347" s="207"/>
    </row>
    <row r="348" ht="15.75" customHeight="1">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c r="X348" s="207"/>
      <c r="Y348" s="207"/>
      <c r="Z348" s="207"/>
      <c r="AA348" s="207"/>
      <c r="AB348" s="207"/>
      <c r="AC348" s="207"/>
      <c r="AD348" s="207"/>
      <c r="AE348" s="207"/>
      <c r="AF348" s="207"/>
      <c r="AG348" s="207"/>
      <c r="AH348" s="207"/>
      <c r="AI348" s="207"/>
      <c r="AJ348" s="207"/>
    </row>
    <row r="349" ht="15.75" customHeight="1">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c r="X349" s="207"/>
      <c r="Y349" s="207"/>
      <c r="Z349" s="207"/>
      <c r="AA349" s="207"/>
      <c r="AB349" s="207"/>
      <c r="AC349" s="207"/>
      <c r="AD349" s="207"/>
      <c r="AE349" s="207"/>
      <c r="AF349" s="207"/>
      <c r="AG349" s="207"/>
      <c r="AH349" s="207"/>
      <c r="AI349" s="207"/>
      <c r="AJ349" s="207"/>
    </row>
    <row r="350" ht="15.75" customHeight="1">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c r="X350" s="207"/>
      <c r="Y350" s="207"/>
      <c r="Z350" s="207"/>
      <c r="AA350" s="207"/>
      <c r="AB350" s="207"/>
      <c r="AC350" s="207"/>
      <c r="AD350" s="207"/>
      <c r="AE350" s="207"/>
      <c r="AF350" s="207"/>
      <c r="AG350" s="207"/>
      <c r="AH350" s="207"/>
      <c r="AI350" s="207"/>
      <c r="AJ350" s="207"/>
    </row>
    <row r="351" ht="15.75" customHeight="1">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c r="X351" s="207"/>
      <c r="Y351" s="207"/>
      <c r="Z351" s="207"/>
      <c r="AA351" s="207"/>
      <c r="AB351" s="207"/>
      <c r="AC351" s="207"/>
      <c r="AD351" s="207"/>
      <c r="AE351" s="207"/>
      <c r="AF351" s="207"/>
      <c r="AG351" s="207"/>
      <c r="AH351" s="207"/>
      <c r="AI351" s="207"/>
      <c r="AJ351" s="207"/>
    </row>
    <row r="352" ht="15.75" customHeight="1">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c r="X352" s="207"/>
      <c r="Y352" s="207"/>
      <c r="Z352" s="207"/>
      <c r="AA352" s="207"/>
      <c r="AB352" s="207"/>
      <c r="AC352" s="207"/>
      <c r="AD352" s="207"/>
      <c r="AE352" s="207"/>
      <c r="AF352" s="207"/>
      <c r="AG352" s="207"/>
      <c r="AH352" s="207"/>
      <c r="AI352" s="207"/>
      <c r="AJ352" s="207"/>
    </row>
    <row r="353" ht="15.75" customHeight="1">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c r="X353" s="207"/>
      <c r="Y353" s="207"/>
      <c r="Z353" s="207"/>
      <c r="AA353" s="207"/>
      <c r="AB353" s="207"/>
      <c r="AC353" s="207"/>
      <c r="AD353" s="207"/>
      <c r="AE353" s="207"/>
      <c r="AF353" s="207"/>
      <c r="AG353" s="207"/>
      <c r="AH353" s="207"/>
      <c r="AI353" s="207"/>
      <c r="AJ353" s="207"/>
    </row>
    <row r="354" ht="15.75" customHeight="1">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c r="X354" s="207"/>
      <c r="Y354" s="207"/>
      <c r="Z354" s="207"/>
      <c r="AA354" s="207"/>
      <c r="AB354" s="207"/>
      <c r="AC354" s="207"/>
      <c r="AD354" s="207"/>
      <c r="AE354" s="207"/>
      <c r="AF354" s="207"/>
      <c r="AG354" s="207"/>
      <c r="AH354" s="207"/>
      <c r="AI354" s="207"/>
      <c r="AJ354" s="207"/>
    </row>
    <row r="355" ht="15.75" customHeight="1">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c r="X355" s="207"/>
      <c r="Y355" s="207"/>
      <c r="Z355" s="207"/>
      <c r="AA355" s="207"/>
      <c r="AB355" s="207"/>
      <c r="AC355" s="207"/>
      <c r="AD355" s="207"/>
      <c r="AE355" s="207"/>
      <c r="AF355" s="207"/>
      <c r="AG355" s="207"/>
      <c r="AH355" s="207"/>
      <c r="AI355" s="207"/>
      <c r="AJ355" s="207"/>
    </row>
    <row r="356" ht="15.75" customHeight="1">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c r="X356" s="207"/>
      <c r="Y356" s="207"/>
      <c r="Z356" s="207"/>
      <c r="AA356" s="207"/>
      <c r="AB356" s="207"/>
      <c r="AC356" s="207"/>
      <c r="AD356" s="207"/>
      <c r="AE356" s="207"/>
      <c r="AF356" s="207"/>
      <c r="AG356" s="207"/>
      <c r="AH356" s="207"/>
      <c r="AI356" s="207"/>
      <c r="AJ356" s="207"/>
    </row>
    <row r="357" ht="15.75" customHeight="1">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c r="X357" s="207"/>
      <c r="Y357" s="207"/>
      <c r="Z357" s="207"/>
      <c r="AA357" s="207"/>
      <c r="AB357" s="207"/>
      <c r="AC357" s="207"/>
      <c r="AD357" s="207"/>
      <c r="AE357" s="207"/>
      <c r="AF357" s="207"/>
      <c r="AG357" s="207"/>
      <c r="AH357" s="207"/>
      <c r="AI357" s="207"/>
      <c r="AJ357" s="207"/>
    </row>
    <row r="358" ht="15.75" customHeight="1">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c r="X358" s="207"/>
      <c r="Y358" s="207"/>
      <c r="Z358" s="207"/>
      <c r="AA358" s="207"/>
      <c r="AB358" s="207"/>
      <c r="AC358" s="207"/>
      <c r="AD358" s="207"/>
      <c r="AE358" s="207"/>
      <c r="AF358" s="207"/>
      <c r="AG358" s="207"/>
      <c r="AH358" s="207"/>
      <c r="AI358" s="207"/>
      <c r="AJ358" s="207"/>
    </row>
    <row r="359" ht="15.75" customHeight="1">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c r="X359" s="207"/>
      <c r="Y359" s="207"/>
      <c r="Z359" s="207"/>
      <c r="AA359" s="207"/>
      <c r="AB359" s="207"/>
      <c r="AC359" s="207"/>
      <c r="AD359" s="207"/>
      <c r="AE359" s="207"/>
      <c r="AF359" s="207"/>
      <c r="AG359" s="207"/>
      <c r="AH359" s="207"/>
      <c r="AI359" s="207"/>
      <c r="AJ359" s="207"/>
    </row>
    <row r="360" ht="15.75" customHeight="1">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c r="X360" s="207"/>
      <c r="Y360" s="207"/>
      <c r="Z360" s="207"/>
      <c r="AA360" s="207"/>
      <c r="AB360" s="207"/>
      <c r="AC360" s="207"/>
      <c r="AD360" s="207"/>
      <c r="AE360" s="207"/>
      <c r="AF360" s="207"/>
      <c r="AG360" s="207"/>
      <c r="AH360" s="207"/>
      <c r="AI360" s="207"/>
      <c r="AJ360" s="207"/>
    </row>
    <row r="361" ht="15.75" customHeight="1">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c r="X361" s="207"/>
      <c r="Y361" s="207"/>
      <c r="Z361" s="207"/>
      <c r="AA361" s="207"/>
      <c r="AB361" s="207"/>
      <c r="AC361" s="207"/>
      <c r="AD361" s="207"/>
      <c r="AE361" s="207"/>
      <c r="AF361" s="207"/>
      <c r="AG361" s="207"/>
      <c r="AH361" s="207"/>
      <c r="AI361" s="207"/>
      <c r="AJ361" s="207"/>
    </row>
    <row r="362" ht="15.75" customHeight="1">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c r="X362" s="207"/>
      <c r="Y362" s="207"/>
      <c r="Z362" s="207"/>
      <c r="AA362" s="207"/>
      <c r="AB362" s="207"/>
      <c r="AC362" s="207"/>
      <c r="AD362" s="207"/>
      <c r="AE362" s="207"/>
      <c r="AF362" s="207"/>
      <c r="AG362" s="207"/>
      <c r="AH362" s="207"/>
      <c r="AI362" s="207"/>
      <c r="AJ362" s="207"/>
    </row>
    <row r="363" ht="15.75" customHeight="1">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c r="X363" s="207"/>
      <c r="Y363" s="207"/>
      <c r="Z363" s="207"/>
      <c r="AA363" s="207"/>
      <c r="AB363" s="207"/>
      <c r="AC363" s="207"/>
      <c r="AD363" s="207"/>
      <c r="AE363" s="207"/>
      <c r="AF363" s="207"/>
      <c r="AG363" s="207"/>
      <c r="AH363" s="207"/>
      <c r="AI363" s="207"/>
      <c r="AJ363" s="207"/>
    </row>
    <row r="364" ht="15.75" customHeight="1">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c r="X364" s="207"/>
      <c r="Y364" s="207"/>
      <c r="Z364" s="207"/>
      <c r="AA364" s="207"/>
      <c r="AB364" s="207"/>
      <c r="AC364" s="207"/>
      <c r="AD364" s="207"/>
      <c r="AE364" s="207"/>
      <c r="AF364" s="207"/>
      <c r="AG364" s="207"/>
      <c r="AH364" s="207"/>
      <c r="AI364" s="207"/>
      <c r="AJ364" s="207"/>
    </row>
    <row r="365" ht="15.75" customHeight="1">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c r="X365" s="207"/>
      <c r="Y365" s="207"/>
      <c r="Z365" s="207"/>
      <c r="AA365" s="207"/>
      <c r="AB365" s="207"/>
      <c r="AC365" s="207"/>
      <c r="AD365" s="207"/>
      <c r="AE365" s="207"/>
      <c r="AF365" s="207"/>
      <c r="AG365" s="207"/>
      <c r="AH365" s="207"/>
      <c r="AI365" s="207"/>
      <c r="AJ365" s="207"/>
    </row>
    <row r="366" ht="15.75" customHeight="1">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c r="X366" s="207"/>
      <c r="Y366" s="207"/>
      <c r="Z366" s="207"/>
      <c r="AA366" s="207"/>
      <c r="AB366" s="207"/>
      <c r="AC366" s="207"/>
      <c r="AD366" s="207"/>
      <c r="AE366" s="207"/>
      <c r="AF366" s="207"/>
      <c r="AG366" s="207"/>
      <c r="AH366" s="207"/>
      <c r="AI366" s="207"/>
      <c r="AJ366" s="207"/>
    </row>
    <row r="367" ht="15.75" customHeight="1">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c r="X367" s="207"/>
      <c r="Y367" s="207"/>
      <c r="Z367" s="207"/>
      <c r="AA367" s="207"/>
      <c r="AB367" s="207"/>
      <c r="AC367" s="207"/>
      <c r="AD367" s="207"/>
      <c r="AE367" s="207"/>
      <c r="AF367" s="207"/>
      <c r="AG367" s="207"/>
      <c r="AH367" s="207"/>
      <c r="AI367" s="207"/>
      <c r="AJ367" s="207"/>
    </row>
    <row r="368" ht="15.75" customHeight="1">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c r="X368" s="207"/>
      <c r="Y368" s="207"/>
      <c r="Z368" s="207"/>
      <c r="AA368" s="207"/>
      <c r="AB368" s="207"/>
      <c r="AC368" s="207"/>
      <c r="AD368" s="207"/>
      <c r="AE368" s="207"/>
      <c r="AF368" s="207"/>
      <c r="AG368" s="207"/>
      <c r="AH368" s="207"/>
      <c r="AI368" s="207"/>
      <c r="AJ368" s="207"/>
    </row>
    <row r="369" ht="15.75" customHeight="1">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c r="X369" s="207"/>
      <c r="Y369" s="207"/>
      <c r="Z369" s="207"/>
      <c r="AA369" s="207"/>
      <c r="AB369" s="207"/>
      <c r="AC369" s="207"/>
      <c r="AD369" s="207"/>
      <c r="AE369" s="207"/>
      <c r="AF369" s="207"/>
      <c r="AG369" s="207"/>
      <c r="AH369" s="207"/>
      <c r="AI369" s="207"/>
      <c r="AJ369" s="207"/>
    </row>
    <row r="370" ht="15.75" customHeight="1">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c r="X370" s="207"/>
      <c r="Y370" s="207"/>
      <c r="Z370" s="207"/>
      <c r="AA370" s="207"/>
      <c r="AB370" s="207"/>
      <c r="AC370" s="207"/>
      <c r="AD370" s="207"/>
      <c r="AE370" s="207"/>
      <c r="AF370" s="207"/>
      <c r="AG370" s="207"/>
      <c r="AH370" s="207"/>
      <c r="AI370" s="207"/>
      <c r="AJ370" s="207"/>
    </row>
    <row r="371" ht="15.75" customHeight="1">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c r="X371" s="207"/>
      <c r="Y371" s="207"/>
      <c r="Z371" s="207"/>
      <c r="AA371" s="207"/>
      <c r="AB371" s="207"/>
      <c r="AC371" s="207"/>
      <c r="AD371" s="207"/>
      <c r="AE371" s="207"/>
      <c r="AF371" s="207"/>
      <c r="AG371" s="207"/>
      <c r="AH371" s="207"/>
      <c r="AI371" s="207"/>
      <c r="AJ371" s="207"/>
    </row>
    <row r="372" ht="15.75" customHeight="1">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c r="X372" s="207"/>
      <c r="Y372" s="207"/>
      <c r="Z372" s="207"/>
      <c r="AA372" s="207"/>
      <c r="AB372" s="207"/>
      <c r="AC372" s="207"/>
      <c r="AD372" s="207"/>
      <c r="AE372" s="207"/>
      <c r="AF372" s="207"/>
      <c r="AG372" s="207"/>
      <c r="AH372" s="207"/>
      <c r="AI372" s="207"/>
      <c r="AJ372" s="207"/>
    </row>
    <row r="373" ht="15.75" customHeight="1">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c r="X373" s="207"/>
      <c r="Y373" s="207"/>
      <c r="Z373" s="207"/>
      <c r="AA373" s="207"/>
      <c r="AB373" s="207"/>
      <c r="AC373" s="207"/>
      <c r="AD373" s="207"/>
      <c r="AE373" s="207"/>
      <c r="AF373" s="207"/>
      <c r="AG373" s="207"/>
      <c r="AH373" s="207"/>
      <c r="AI373" s="207"/>
      <c r="AJ373" s="207"/>
    </row>
    <row r="374" ht="15.75" customHeight="1">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c r="X374" s="207"/>
      <c r="Y374" s="207"/>
      <c r="Z374" s="207"/>
      <c r="AA374" s="207"/>
      <c r="AB374" s="207"/>
      <c r="AC374" s="207"/>
      <c r="AD374" s="207"/>
      <c r="AE374" s="207"/>
      <c r="AF374" s="207"/>
      <c r="AG374" s="207"/>
      <c r="AH374" s="207"/>
      <c r="AI374" s="207"/>
      <c r="AJ374" s="207"/>
    </row>
    <row r="375" ht="15.75" customHeight="1">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c r="X375" s="207"/>
      <c r="Y375" s="207"/>
      <c r="Z375" s="207"/>
      <c r="AA375" s="207"/>
      <c r="AB375" s="207"/>
      <c r="AC375" s="207"/>
      <c r="AD375" s="207"/>
      <c r="AE375" s="207"/>
      <c r="AF375" s="207"/>
      <c r="AG375" s="207"/>
      <c r="AH375" s="207"/>
      <c r="AI375" s="207"/>
      <c r="AJ375" s="207"/>
    </row>
    <row r="376" ht="15.75" customHeight="1">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c r="X376" s="207"/>
      <c r="Y376" s="207"/>
      <c r="Z376" s="207"/>
      <c r="AA376" s="207"/>
      <c r="AB376" s="207"/>
      <c r="AC376" s="207"/>
      <c r="AD376" s="207"/>
      <c r="AE376" s="207"/>
      <c r="AF376" s="207"/>
      <c r="AG376" s="207"/>
      <c r="AH376" s="207"/>
      <c r="AI376" s="207"/>
      <c r="AJ376" s="207"/>
    </row>
    <row r="377" ht="15.75" customHeight="1">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c r="X377" s="207"/>
      <c r="Y377" s="207"/>
      <c r="Z377" s="207"/>
      <c r="AA377" s="207"/>
      <c r="AB377" s="207"/>
      <c r="AC377" s="207"/>
      <c r="AD377" s="207"/>
      <c r="AE377" s="207"/>
      <c r="AF377" s="207"/>
      <c r="AG377" s="207"/>
      <c r="AH377" s="207"/>
      <c r="AI377" s="207"/>
      <c r="AJ377" s="207"/>
    </row>
    <row r="378" ht="15.75" customHeight="1">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c r="AG378" s="207"/>
      <c r="AH378" s="207"/>
      <c r="AI378" s="207"/>
      <c r="AJ378" s="207"/>
    </row>
    <row r="379" ht="15.75" customHeight="1">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c r="X379" s="207"/>
      <c r="Y379" s="207"/>
      <c r="Z379" s="207"/>
      <c r="AA379" s="207"/>
      <c r="AB379" s="207"/>
      <c r="AC379" s="207"/>
      <c r="AD379" s="207"/>
      <c r="AE379" s="207"/>
      <c r="AF379" s="207"/>
      <c r="AG379" s="207"/>
      <c r="AH379" s="207"/>
      <c r="AI379" s="207"/>
      <c r="AJ379" s="207"/>
    </row>
    <row r="380" ht="15.75" customHeight="1">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c r="X380" s="207"/>
      <c r="Y380" s="207"/>
      <c r="Z380" s="207"/>
      <c r="AA380" s="207"/>
      <c r="AB380" s="207"/>
      <c r="AC380" s="207"/>
      <c r="AD380" s="207"/>
      <c r="AE380" s="207"/>
      <c r="AF380" s="207"/>
      <c r="AG380" s="207"/>
      <c r="AH380" s="207"/>
      <c r="AI380" s="207"/>
      <c r="AJ380" s="207"/>
    </row>
    <row r="381" ht="15.75" customHeight="1">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c r="X381" s="207"/>
      <c r="Y381" s="207"/>
      <c r="Z381" s="207"/>
      <c r="AA381" s="207"/>
      <c r="AB381" s="207"/>
      <c r="AC381" s="207"/>
      <c r="AD381" s="207"/>
      <c r="AE381" s="207"/>
      <c r="AF381" s="207"/>
      <c r="AG381" s="207"/>
      <c r="AH381" s="207"/>
      <c r="AI381" s="207"/>
      <c r="AJ381" s="207"/>
    </row>
    <row r="382" ht="15.75" customHeight="1">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c r="X382" s="207"/>
      <c r="Y382" s="207"/>
      <c r="Z382" s="207"/>
      <c r="AA382" s="207"/>
      <c r="AB382" s="207"/>
      <c r="AC382" s="207"/>
      <c r="AD382" s="207"/>
      <c r="AE382" s="207"/>
      <c r="AF382" s="207"/>
      <c r="AG382" s="207"/>
      <c r="AH382" s="207"/>
      <c r="AI382" s="207"/>
      <c r="AJ382" s="207"/>
    </row>
    <row r="383" ht="15.75" customHeight="1">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c r="X383" s="207"/>
      <c r="Y383" s="207"/>
      <c r="Z383" s="207"/>
      <c r="AA383" s="207"/>
      <c r="AB383" s="207"/>
      <c r="AC383" s="207"/>
      <c r="AD383" s="207"/>
      <c r="AE383" s="207"/>
      <c r="AF383" s="207"/>
      <c r="AG383" s="207"/>
      <c r="AH383" s="207"/>
      <c r="AI383" s="207"/>
      <c r="AJ383" s="207"/>
    </row>
    <row r="384" ht="15.75" customHeight="1">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c r="X384" s="207"/>
      <c r="Y384" s="207"/>
      <c r="Z384" s="207"/>
      <c r="AA384" s="207"/>
      <c r="AB384" s="207"/>
      <c r="AC384" s="207"/>
      <c r="AD384" s="207"/>
      <c r="AE384" s="207"/>
      <c r="AF384" s="207"/>
      <c r="AG384" s="207"/>
      <c r="AH384" s="207"/>
      <c r="AI384" s="207"/>
      <c r="AJ384" s="207"/>
    </row>
    <row r="385" ht="15.75" customHeight="1">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c r="X385" s="207"/>
      <c r="Y385" s="207"/>
      <c r="Z385" s="207"/>
      <c r="AA385" s="207"/>
      <c r="AB385" s="207"/>
      <c r="AC385" s="207"/>
      <c r="AD385" s="207"/>
      <c r="AE385" s="207"/>
      <c r="AF385" s="207"/>
      <c r="AG385" s="207"/>
      <c r="AH385" s="207"/>
      <c r="AI385" s="207"/>
      <c r="AJ385" s="207"/>
    </row>
    <row r="386" ht="15.75" customHeight="1">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c r="X386" s="207"/>
      <c r="Y386" s="207"/>
      <c r="Z386" s="207"/>
      <c r="AA386" s="207"/>
      <c r="AB386" s="207"/>
      <c r="AC386" s="207"/>
      <c r="AD386" s="207"/>
      <c r="AE386" s="207"/>
      <c r="AF386" s="207"/>
      <c r="AG386" s="207"/>
      <c r="AH386" s="207"/>
      <c r="AI386" s="207"/>
      <c r="AJ386" s="207"/>
    </row>
    <row r="387" ht="15.75" customHeight="1">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c r="X387" s="207"/>
      <c r="Y387" s="207"/>
      <c r="Z387" s="207"/>
      <c r="AA387" s="207"/>
      <c r="AB387" s="207"/>
      <c r="AC387" s="207"/>
      <c r="AD387" s="207"/>
      <c r="AE387" s="207"/>
      <c r="AF387" s="207"/>
      <c r="AG387" s="207"/>
      <c r="AH387" s="207"/>
      <c r="AI387" s="207"/>
      <c r="AJ387" s="207"/>
    </row>
    <row r="388" ht="15.75" customHeight="1">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c r="X388" s="207"/>
      <c r="Y388" s="207"/>
      <c r="Z388" s="207"/>
      <c r="AA388" s="207"/>
      <c r="AB388" s="207"/>
      <c r="AC388" s="207"/>
      <c r="AD388" s="207"/>
      <c r="AE388" s="207"/>
      <c r="AF388" s="207"/>
      <c r="AG388" s="207"/>
      <c r="AH388" s="207"/>
      <c r="AI388" s="207"/>
      <c r="AJ388" s="207"/>
    </row>
    <row r="389" ht="15.75" customHeight="1">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c r="X389" s="207"/>
      <c r="Y389" s="207"/>
      <c r="Z389" s="207"/>
      <c r="AA389" s="207"/>
      <c r="AB389" s="207"/>
      <c r="AC389" s="207"/>
      <c r="AD389" s="207"/>
      <c r="AE389" s="207"/>
      <c r="AF389" s="207"/>
      <c r="AG389" s="207"/>
      <c r="AH389" s="207"/>
      <c r="AI389" s="207"/>
      <c r="AJ389" s="207"/>
    </row>
    <row r="390" ht="15.75" customHeight="1">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c r="X390" s="207"/>
      <c r="Y390" s="207"/>
      <c r="Z390" s="207"/>
      <c r="AA390" s="207"/>
      <c r="AB390" s="207"/>
      <c r="AC390" s="207"/>
      <c r="AD390" s="207"/>
      <c r="AE390" s="207"/>
      <c r="AF390" s="207"/>
      <c r="AG390" s="207"/>
      <c r="AH390" s="207"/>
      <c r="AI390" s="207"/>
      <c r="AJ390" s="207"/>
    </row>
    <row r="391" ht="15.75" customHeight="1">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c r="X391" s="207"/>
      <c r="Y391" s="207"/>
      <c r="Z391" s="207"/>
      <c r="AA391" s="207"/>
      <c r="AB391" s="207"/>
      <c r="AC391" s="207"/>
      <c r="AD391" s="207"/>
      <c r="AE391" s="207"/>
      <c r="AF391" s="207"/>
      <c r="AG391" s="207"/>
      <c r="AH391" s="207"/>
      <c r="AI391" s="207"/>
      <c r="AJ391" s="207"/>
    </row>
    <row r="392" ht="15.75" customHeight="1">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c r="X392" s="207"/>
      <c r="Y392" s="207"/>
      <c r="Z392" s="207"/>
      <c r="AA392" s="207"/>
      <c r="AB392" s="207"/>
      <c r="AC392" s="207"/>
      <c r="AD392" s="207"/>
      <c r="AE392" s="207"/>
      <c r="AF392" s="207"/>
      <c r="AG392" s="207"/>
      <c r="AH392" s="207"/>
      <c r="AI392" s="207"/>
      <c r="AJ392" s="207"/>
    </row>
    <row r="393" ht="15.75" customHeight="1">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c r="X393" s="207"/>
      <c r="Y393" s="207"/>
      <c r="Z393" s="207"/>
      <c r="AA393" s="207"/>
      <c r="AB393" s="207"/>
      <c r="AC393" s="207"/>
      <c r="AD393" s="207"/>
      <c r="AE393" s="207"/>
      <c r="AF393" s="207"/>
      <c r="AG393" s="207"/>
      <c r="AH393" s="207"/>
      <c r="AI393" s="207"/>
      <c r="AJ393" s="207"/>
    </row>
    <row r="394" ht="15.75" customHeight="1">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c r="X394" s="207"/>
      <c r="Y394" s="207"/>
      <c r="Z394" s="207"/>
      <c r="AA394" s="207"/>
      <c r="AB394" s="207"/>
      <c r="AC394" s="207"/>
      <c r="AD394" s="207"/>
      <c r="AE394" s="207"/>
      <c r="AF394" s="207"/>
      <c r="AG394" s="207"/>
      <c r="AH394" s="207"/>
      <c r="AI394" s="207"/>
      <c r="AJ394" s="207"/>
    </row>
    <row r="395" ht="15.75" customHeight="1">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c r="X395" s="207"/>
      <c r="Y395" s="207"/>
      <c r="Z395" s="207"/>
      <c r="AA395" s="207"/>
      <c r="AB395" s="207"/>
      <c r="AC395" s="207"/>
      <c r="AD395" s="207"/>
      <c r="AE395" s="207"/>
      <c r="AF395" s="207"/>
      <c r="AG395" s="207"/>
      <c r="AH395" s="207"/>
      <c r="AI395" s="207"/>
      <c r="AJ395" s="207"/>
    </row>
    <row r="396" ht="15.75" customHeight="1">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c r="X396" s="207"/>
      <c r="Y396" s="207"/>
      <c r="Z396" s="207"/>
      <c r="AA396" s="207"/>
      <c r="AB396" s="207"/>
      <c r="AC396" s="207"/>
      <c r="AD396" s="207"/>
      <c r="AE396" s="207"/>
      <c r="AF396" s="207"/>
      <c r="AG396" s="207"/>
      <c r="AH396" s="207"/>
      <c r="AI396" s="207"/>
      <c r="AJ396" s="207"/>
    </row>
    <row r="397" ht="15.75" customHeight="1">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c r="X397" s="207"/>
      <c r="Y397" s="207"/>
      <c r="Z397" s="207"/>
      <c r="AA397" s="207"/>
      <c r="AB397" s="207"/>
      <c r="AC397" s="207"/>
      <c r="AD397" s="207"/>
      <c r="AE397" s="207"/>
      <c r="AF397" s="207"/>
      <c r="AG397" s="207"/>
      <c r="AH397" s="207"/>
      <c r="AI397" s="207"/>
      <c r="AJ397" s="207"/>
    </row>
    <row r="398" ht="15.75" customHeight="1">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c r="X398" s="207"/>
      <c r="Y398" s="207"/>
      <c r="Z398" s="207"/>
      <c r="AA398" s="207"/>
      <c r="AB398" s="207"/>
      <c r="AC398" s="207"/>
      <c r="AD398" s="207"/>
      <c r="AE398" s="207"/>
      <c r="AF398" s="207"/>
      <c r="AG398" s="207"/>
      <c r="AH398" s="207"/>
      <c r="AI398" s="207"/>
      <c r="AJ398" s="207"/>
    </row>
    <row r="399" ht="15.75" customHeight="1">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c r="X399" s="207"/>
      <c r="Y399" s="207"/>
      <c r="Z399" s="207"/>
      <c r="AA399" s="207"/>
      <c r="AB399" s="207"/>
      <c r="AC399" s="207"/>
      <c r="AD399" s="207"/>
      <c r="AE399" s="207"/>
      <c r="AF399" s="207"/>
      <c r="AG399" s="207"/>
      <c r="AH399" s="207"/>
      <c r="AI399" s="207"/>
      <c r="AJ399" s="207"/>
    </row>
    <row r="400" ht="15.75" customHeight="1">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c r="X400" s="207"/>
      <c r="Y400" s="207"/>
      <c r="Z400" s="207"/>
      <c r="AA400" s="207"/>
      <c r="AB400" s="207"/>
      <c r="AC400" s="207"/>
      <c r="AD400" s="207"/>
      <c r="AE400" s="207"/>
      <c r="AF400" s="207"/>
      <c r="AG400" s="207"/>
      <c r="AH400" s="207"/>
      <c r="AI400" s="207"/>
      <c r="AJ400" s="207"/>
    </row>
    <row r="401" ht="15.75" customHeight="1">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c r="X401" s="207"/>
      <c r="Y401" s="207"/>
      <c r="Z401" s="207"/>
      <c r="AA401" s="207"/>
      <c r="AB401" s="207"/>
      <c r="AC401" s="207"/>
      <c r="AD401" s="207"/>
      <c r="AE401" s="207"/>
      <c r="AF401" s="207"/>
      <c r="AG401" s="207"/>
      <c r="AH401" s="207"/>
      <c r="AI401" s="207"/>
      <c r="AJ401" s="207"/>
    </row>
    <row r="402" ht="15.75" customHeight="1">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c r="X402" s="207"/>
      <c r="Y402" s="207"/>
      <c r="Z402" s="207"/>
      <c r="AA402" s="207"/>
      <c r="AB402" s="207"/>
      <c r="AC402" s="207"/>
      <c r="AD402" s="207"/>
      <c r="AE402" s="207"/>
      <c r="AF402" s="207"/>
      <c r="AG402" s="207"/>
      <c r="AH402" s="207"/>
      <c r="AI402" s="207"/>
      <c r="AJ402" s="207"/>
    </row>
    <row r="403" ht="15.75" customHeight="1">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c r="X403" s="207"/>
      <c r="Y403" s="207"/>
      <c r="Z403" s="207"/>
      <c r="AA403" s="207"/>
      <c r="AB403" s="207"/>
      <c r="AC403" s="207"/>
      <c r="AD403" s="207"/>
      <c r="AE403" s="207"/>
      <c r="AF403" s="207"/>
      <c r="AG403" s="207"/>
      <c r="AH403" s="207"/>
      <c r="AI403" s="207"/>
      <c r="AJ403" s="207"/>
    </row>
    <row r="404" ht="15.75" customHeight="1">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c r="X404" s="207"/>
      <c r="Y404" s="207"/>
      <c r="Z404" s="207"/>
      <c r="AA404" s="207"/>
      <c r="AB404" s="207"/>
      <c r="AC404" s="207"/>
      <c r="AD404" s="207"/>
      <c r="AE404" s="207"/>
      <c r="AF404" s="207"/>
      <c r="AG404" s="207"/>
      <c r="AH404" s="207"/>
      <c r="AI404" s="207"/>
      <c r="AJ404" s="207"/>
    </row>
    <row r="405" ht="15.75" customHeight="1">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c r="X405" s="207"/>
      <c r="Y405" s="207"/>
      <c r="Z405" s="207"/>
      <c r="AA405" s="207"/>
      <c r="AB405" s="207"/>
      <c r="AC405" s="207"/>
      <c r="AD405" s="207"/>
      <c r="AE405" s="207"/>
      <c r="AF405" s="207"/>
      <c r="AG405" s="207"/>
      <c r="AH405" s="207"/>
      <c r="AI405" s="207"/>
      <c r="AJ405" s="207"/>
    </row>
    <row r="406" ht="15.75" customHeight="1">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c r="X406" s="207"/>
      <c r="Y406" s="207"/>
      <c r="Z406" s="207"/>
      <c r="AA406" s="207"/>
      <c r="AB406" s="207"/>
      <c r="AC406" s="207"/>
      <c r="AD406" s="207"/>
      <c r="AE406" s="207"/>
      <c r="AF406" s="207"/>
      <c r="AG406" s="207"/>
      <c r="AH406" s="207"/>
      <c r="AI406" s="207"/>
      <c r="AJ406" s="207"/>
    </row>
    <row r="407" ht="15.75" customHeight="1">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c r="X407" s="207"/>
      <c r="Y407" s="207"/>
      <c r="Z407" s="207"/>
      <c r="AA407" s="207"/>
      <c r="AB407" s="207"/>
      <c r="AC407" s="207"/>
      <c r="AD407" s="207"/>
      <c r="AE407" s="207"/>
      <c r="AF407" s="207"/>
      <c r="AG407" s="207"/>
      <c r="AH407" s="207"/>
      <c r="AI407" s="207"/>
      <c r="AJ407" s="207"/>
    </row>
    <row r="408" ht="15.75" customHeight="1">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c r="X408" s="207"/>
      <c r="Y408" s="207"/>
      <c r="Z408" s="207"/>
      <c r="AA408" s="207"/>
      <c r="AB408" s="207"/>
      <c r="AC408" s="207"/>
      <c r="AD408" s="207"/>
      <c r="AE408" s="207"/>
      <c r="AF408" s="207"/>
      <c r="AG408" s="207"/>
      <c r="AH408" s="207"/>
      <c r="AI408" s="207"/>
      <c r="AJ408" s="207"/>
    </row>
    <row r="409" ht="15.75" customHeight="1">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c r="X409" s="207"/>
      <c r="Y409" s="207"/>
      <c r="Z409" s="207"/>
      <c r="AA409" s="207"/>
      <c r="AB409" s="207"/>
      <c r="AC409" s="207"/>
      <c r="AD409" s="207"/>
      <c r="AE409" s="207"/>
      <c r="AF409" s="207"/>
      <c r="AG409" s="207"/>
      <c r="AH409" s="207"/>
      <c r="AI409" s="207"/>
      <c r="AJ409" s="207"/>
    </row>
    <row r="410" ht="15.75" customHeight="1">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c r="X410" s="207"/>
      <c r="Y410" s="207"/>
      <c r="Z410" s="207"/>
      <c r="AA410" s="207"/>
      <c r="AB410" s="207"/>
      <c r="AC410" s="207"/>
      <c r="AD410" s="207"/>
      <c r="AE410" s="207"/>
      <c r="AF410" s="207"/>
      <c r="AG410" s="207"/>
      <c r="AH410" s="207"/>
      <c r="AI410" s="207"/>
      <c r="AJ410" s="207"/>
    </row>
    <row r="411" ht="15.75" customHeight="1">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c r="X411" s="207"/>
      <c r="Y411" s="207"/>
      <c r="Z411" s="207"/>
      <c r="AA411" s="207"/>
      <c r="AB411" s="207"/>
      <c r="AC411" s="207"/>
      <c r="AD411" s="207"/>
      <c r="AE411" s="207"/>
      <c r="AF411" s="207"/>
      <c r="AG411" s="207"/>
      <c r="AH411" s="207"/>
      <c r="AI411" s="207"/>
      <c r="AJ411" s="207"/>
    </row>
    <row r="412" ht="15.75" customHeight="1">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c r="X412" s="207"/>
      <c r="Y412" s="207"/>
      <c r="Z412" s="207"/>
      <c r="AA412" s="207"/>
      <c r="AB412" s="207"/>
      <c r="AC412" s="207"/>
      <c r="AD412" s="207"/>
      <c r="AE412" s="207"/>
      <c r="AF412" s="207"/>
      <c r="AG412" s="207"/>
      <c r="AH412" s="207"/>
      <c r="AI412" s="207"/>
      <c r="AJ412" s="207"/>
    </row>
    <row r="413" ht="15.75" customHeight="1">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c r="X413" s="207"/>
      <c r="Y413" s="207"/>
      <c r="Z413" s="207"/>
      <c r="AA413" s="207"/>
      <c r="AB413" s="207"/>
      <c r="AC413" s="207"/>
      <c r="AD413" s="207"/>
      <c r="AE413" s="207"/>
      <c r="AF413" s="207"/>
      <c r="AG413" s="207"/>
      <c r="AH413" s="207"/>
      <c r="AI413" s="207"/>
      <c r="AJ413" s="207"/>
    </row>
    <row r="414" ht="15.75" customHeight="1">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c r="X414" s="207"/>
      <c r="Y414" s="207"/>
      <c r="Z414" s="207"/>
      <c r="AA414" s="207"/>
      <c r="AB414" s="207"/>
      <c r="AC414" s="207"/>
      <c r="AD414" s="207"/>
      <c r="AE414" s="207"/>
      <c r="AF414" s="207"/>
      <c r="AG414" s="207"/>
      <c r="AH414" s="207"/>
      <c r="AI414" s="207"/>
      <c r="AJ414" s="207"/>
    </row>
    <row r="415" ht="15.75" customHeight="1">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c r="X415" s="207"/>
      <c r="Y415" s="207"/>
      <c r="Z415" s="207"/>
      <c r="AA415" s="207"/>
      <c r="AB415" s="207"/>
      <c r="AC415" s="207"/>
      <c r="AD415" s="207"/>
      <c r="AE415" s="207"/>
      <c r="AF415" s="207"/>
      <c r="AG415" s="207"/>
      <c r="AH415" s="207"/>
      <c r="AI415" s="207"/>
      <c r="AJ415" s="207"/>
    </row>
    <row r="416" ht="15.75" customHeight="1">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c r="X416" s="207"/>
      <c r="Y416" s="207"/>
      <c r="Z416" s="207"/>
      <c r="AA416" s="207"/>
      <c r="AB416" s="207"/>
      <c r="AC416" s="207"/>
      <c r="AD416" s="207"/>
      <c r="AE416" s="207"/>
      <c r="AF416" s="207"/>
      <c r="AG416" s="207"/>
      <c r="AH416" s="207"/>
      <c r="AI416" s="207"/>
      <c r="AJ416" s="207"/>
    </row>
    <row r="417" ht="15.75" customHeight="1">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c r="X417" s="207"/>
      <c r="Y417" s="207"/>
      <c r="Z417" s="207"/>
      <c r="AA417" s="207"/>
      <c r="AB417" s="207"/>
      <c r="AC417" s="207"/>
      <c r="AD417" s="207"/>
      <c r="AE417" s="207"/>
      <c r="AF417" s="207"/>
      <c r="AG417" s="207"/>
      <c r="AH417" s="207"/>
      <c r="AI417" s="207"/>
      <c r="AJ417" s="207"/>
    </row>
    <row r="418" ht="15.75" customHeight="1">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c r="X418" s="207"/>
      <c r="Y418" s="207"/>
      <c r="Z418" s="207"/>
      <c r="AA418" s="207"/>
      <c r="AB418" s="207"/>
      <c r="AC418" s="207"/>
      <c r="AD418" s="207"/>
      <c r="AE418" s="207"/>
      <c r="AF418" s="207"/>
      <c r="AG418" s="207"/>
      <c r="AH418" s="207"/>
      <c r="AI418" s="207"/>
      <c r="AJ418" s="207"/>
    </row>
    <row r="419" ht="15.75" customHeight="1">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c r="X419" s="207"/>
      <c r="Y419" s="207"/>
      <c r="Z419" s="207"/>
      <c r="AA419" s="207"/>
      <c r="AB419" s="207"/>
      <c r="AC419" s="207"/>
      <c r="AD419" s="207"/>
      <c r="AE419" s="207"/>
      <c r="AF419" s="207"/>
      <c r="AG419" s="207"/>
      <c r="AH419" s="207"/>
      <c r="AI419" s="207"/>
      <c r="AJ419" s="207"/>
    </row>
    <row r="420" ht="15.75" customHeight="1">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c r="X420" s="207"/>
      <c r="Y420" s="207"/>
      <c r="Z420" s="207"/>
      <c r="AA420" s="207"/>
      <c r="AB420" s="207"/>
      <c r="AC420" s="207"/>
      <c r="AD420" s="207"/>
      <c r="AE420" s="207"/>
      <c r="AF420" s="207"/>
      <c r="AG420" s="207"/>
      <c r="AH420" s="207"/>
      <c r="AI420" s="207"/>
      <c r="AJ420" s="207"/>
    </row>
    <row r="421" ht="15.75" customHeight="1">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c r="X421" s="207"/>
      <c r="Y421" s="207"/>
      <c r="Z421" s="207"/>
      <c r="AA421" s="207"/>
      <c r="AB421" s="207"/>
      <c r="AC421" s="207"/>
      <c r="AD421" s="207"/>
      <c r="AE421" s="207"/>
      <c r="AF421" s="207"/>
      <c r="AG421" s="207"/>
      <c r="AH421" s="207"/>
      <c r="AI421" s="207"/>
      <c r="AJ421" s="207"/>
    </row>
    <row r="422" ht="15.75" customHeight="1">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c r="X422" s="207"/>
      <c r="Y422" s="207"/>
      <c r="Z422" s="207"/>
      <c r="AA422" s="207"/>
      <c r="AB422" s="207"/>
      <c r="AC422" s="207"/>
      <c r="AD422" s="207"/>
      <c r="AE422" s="207"/>
      <c r="AF422" s="207"/>
      <c r="AG422" s="207"/>
      <c r="AH422" s="207"/>
      <c r="AI422" s="207"/>
      <c r="AJ422" s="207"/>
    </row>
    <row r="423" ht="15.75" customHeight="1">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c r="X423" s="207"/>
      <c r="Y423" s="207"/>
      <c r="Z423" s="207"/>
      <c r="AA423" s="207"/>
      <c r="AB423" s="207"/>
      <c r="AC423" s="207"/>
      <c r="AD423" s="207"/>
      <c r="AE423" s="207"/>
      <c r="AF423" s="207"/>
      <c r="AG423" s="207"/>
      <c r="AH423" s="207"/>
      <c r="AI423" s="207"/>
      <c r="AJ423" s="207"/>
    </row>
    <row r="424" ht="15.75" customHeight="1">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c r="X424" s="207"/>
      <c r="Y424" s="207"/>
      <c r="Z424" s="207"/>
      <c r="AA424" s="207"/>
      <c r="AB424" s="207"/>
      <c r="AC424" s="207"/>
      <c r="AD424" s="207"/>
      <c r="AE424" s="207"/>
      <c r="AF424" s="207"/>
      <c r="AG424" s="207"/>
      <c r="AH424" s="207"/>
      <c r="AI424" s="207"/>
      <c r="AJ424" s="207"/>
    </row>
    <row r="425" ht="15.75" customHeight="1">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c r="X425" s="207"/>
      <c r="Y425" s="207"/>
      <c r="Z425" s="207"/>
      <c r="AA425" s="207"/>
      <c r="AB425" s="207"/>
      <c r="AC425" s="207"/>
      <c r="AD425" s="207"/>
      <c r="AE425" s="207"/>
      <c r="AF425" s="207"/>
      <c r="AG425" s="207"/>
      <c r="AH425" s="207"/>
      <c r="AI425" s="207"/>
      <c r="AJ425" s="207"/>
    </row>
    <row r="426" ht="15.75" customHeight="1">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c r="X426" s="207"/>
      <c r="Y426" s="207"/>
      <c r="Z426" s="207"/>
      <c r="AA426" s="207"/>
      <c r="AB426" s="207"/>
      <c r="AC426" s="207"/>
      <c r="AD426" s="207"/>
      <c r="AE426" s="207"/>
      <c r="AF426" s="207"/>
      <c r="AG426" s="207"/>
      <c r="AH426" s="207"/>
      <c r="AI426" s="207"/>
      <c r="AJ426" s="207"/>
    </row>
    <row r="427" ht="15.75" customHeight="1">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c r="X427" s="207"/>
      <c r="Y427" s="207"/>
      <c r="Z427" s="207"/>
      <c r="AA427" s="207"/>
      <c r="AB427" s="207"/>
      <c r="AC427" s="207"/>
      <c r="AD427" s="207"/>
      <c r="AE427" s="207"/>
      <c r="AF427" s="207"/>
      <c r="AG427" s="207"/>
      <c r="AH427" s="207"/>
      <c r="AI427" s="207"/>
      <c r="AJ427" s="207"/>
    </row>
    <row r="428" ht="15.75" customHeight="1">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c r="X428" s="207"/>
      <c r="Y428" s="207"/>
      <c r="Z428" s="207"/>
      <c r="AA428" s="207"/>
      <c r="AB428" s="207"/>
      <c r="AC428" s="207"/>
      <c r="AD428" s="207"/>
      <c r="AE428" s="207"/>
      <c r="AF428" s="207"/>
      <c r="AG428" s="207"/>
      <c r="AH428" s="207"/>
      <c r="AI428" s="207"/>
      <c r="AJ428" s="207"/>
    </row>
    <row r="429" ht="15.75" customHeight="1">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c r="X429" s="207"/>
      <c r="Y429" s="207"/>
      <c r="Z429" s="207"/>
      <c r="AA429" s="207"/>
      <c r="AB429" s="207"/>
      <c r="AC429" s="207"/>
      <c r="AD429" s="207"/>
      <c r="AE429" s="207"/>
      <c r="AF429" s="207"/>
      <c r="AG429" s="207"/>
      <c r="AH429" s="207"/>
      <c r="AI429" s="207"/>
      <c r="AJ429" s="207"/>
    </row>
    <row r="430" ht="15.75" customHeight="1">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c r="X430" s="207"/>
      <c r="Y430" s="207"/>
      <c r="Z430" s="207"/>
      <c r="AA430" s="207"/>
      <c r="AB430" s="207"/>
      <c r="AC430" s="207"/>
      <c r="AD430" s="207"/>
      <c r="AE430" s="207"/>
      <c r="AF430" s="207"/>
      <c r="AG430" s="207"/>
      <c r="AH430" s="207"/>
      <c r="AI430" s="207"/>
      <c r="AJ430" s="207"/>
    </row>
    <row r="431" ht="15.75" customHeight="1">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c r="X431" s="207"/>
      <c r="Y431" s="207"/>
      <c r="Z431" s="207"/>
      <c r="AA431" s="207"/>
      <c r="AB431" s="207"/>
      <c r="AC431" s="207"/>
      <c r="AD431" s="207"/>
      <c r="AE431" s="207"/>
      <c r="AF431" s="207"/>
      <c r="AG431" s="207"/>
      <c r="AH431" s="207"/>
      <c r="AI431" s="207"/>
      <c r="AJ431" s="207"/>
    </row>
    <row r="432" ht="15.75" customHeight="1">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c r="X432" s="207"/>
      <c r="Y432" s="207"/>
      <c r="Z432" s="207"/>
      <c r="AA432" s="207"/>
      <c r="AB432" s="207"/>
      <c r="AC432" s="207"/>
      <c r="AD432" s="207"/>
      <c r="AE432" s="207"/>
      <c r="AF432" s="207"/>
      <c r="AG432" s="207"/>
      <c r="AH432" s="207"/>
      <c r="AI432" s="207"/>
      <c r="AJ432" s="207"/>
    </row>
    <row r="433" ht="15.75" customHeight="1">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c r="X433" s="207"/>
      <c r="Y433" s="207"/>
      <c r="Z433" s="207"/>
      <c r="AA433" s="207"/>
      <c r="AB433" s="207"/>
      <c r="AC433" s="207"/>
      <c r="AD433" s="207"/>
      <c r="AE433" s="207"/>
      <c r="AF433" s="207"/>
      <c r="AG433" s="207"/>
      <c r="AH433" s="207"/>
      <c r="AI433" s="207"/>
      <c r="AJ433" s="207"/>
    </row>
    <row r="434" ht="15.75" customHeight="1">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c r="X434" s="207"/>
      <c r="Y434" s="207"/>
      <c r="Z434" s="207"/>
      <c r="AA434" s="207"/>
      <c r="AB434" s="207"/>
      <c r="AC434" s="207"/>
      <c r="AD434" s="207"/>
      <c r="AE434" s="207"/>
      <c r="AF434" s="207"/>
      <c r="AG434" s="207"/>
      <c r="AH434" s="207"/>
      <c r="AI434" s="207"/>
      <c r="AJ434" s="207"/>
    </row>
    <row r="435" ht="15.75" customHeight="1">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c r="X435" s="207"/>
      <c r="Y435" s="207"/>
      <c r="Z435" s="207"/>
      <c r="AA435" s="207"/>
      <c r="AB435" s="207"/>
      <c r="AC435" s="207"/>
      <c r="AD435" s="207"/>
      <c r="AE435" s="207"/>
      <c r="AF435" s="207"/>
      <c r="AG435" s="207"/>
      <c r="AH435" s="207"/>
      <c r="AI435" s="207"/>
      <c r="AJ435" s="207"/>
    </row>
    <row r="436" ht="15.75" customHeight="1">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c r="X436" s="207"/>
      <c r="Y436" s="207"/>
      <c r="Z436" s="207"/>
      <c r="AA436" s="207"/>
      <c r="AB436" s="207"/>
      <c r="AC436" s="207"/>
      <c r="AD436" s="207"/>
      <c r="AE436" s="207"/>
      <c r="AF436" s="207"/>
      <c r="AG436" s="207"/>
      <c r="AH436" s="207"/>
      <c r="AI436" s="207"/>
      <c r="AJ436" s="207"/>
    </row>
    <row r="437" ht="15.75" customHeight="1">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c r="X437" s="207"/>
      <c r="Y437" s="207"/>
      <c r="Z437" s="207"/>
      <c r="AA437" s="207"/>
      <c r="AB437" s="207"/>
      <c r="AC437" s="207"/>
      <c r="AD437" s="207"/>
      <c r="AE437" s="207"/>
      <c r="AF437" s="207"/>
      <c r="AG437" s="207"/>
      <c r="AH437" s="207"/>
      <c r="AI437" s="207"/>
      <c r="AJ437" s="207"/>
    </row>
    <row r="438" ht="15.75" customHeight="1">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c r="X438" s="207"/>
      <c r="Y438" s="207"/>
      <c r="Z438" s="207"/>
      <c r="AA438" s="207"/>
      <c r="AB438" s="207"/>
      <c r="AC438" s="207"/>
      <c r="AD438" s="207"/>
      <c r="AE438" s="207"/>
      <c r="AF438" s="207"/>
      <c r="AG438" s="207"/>
      <c r="AH438" s="207"/>
      <c r="AI438" s="207"/>
      <c r="AJ438" s="207"/>
    </row>
    <row r="439" ht="15.75" customHeight="1">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c r="X439" s="207"/>
      <c r="Y439" s="207"/>
      <c r="Z439" s="207"/>
      <c r="AA439" s="207"/>
      <c r="AB439" s="207"/>
      <c r="AC439" s="207"/>
      <c r="AD439" s="207"/>
      <c r="AE439" s="207"/>
      <c r="AF439" s="207"/>
      <c r="AG439" s="207"/>
      <c r="AH439" s="207"/>
      <c r="AI439" s="207"/>
      <c r="AJ439" s="207"/>
    </row>
    <row r="440" ht="15.75" customHeight="1">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c r="X440" s="207"/>
      <c r="Y440" s="207"/>
      <c r="Z440" s="207"/>
      <c r="AA440" s="207"/>
      <c r="AB440" s="207"/>
      <c r="AC440" s="207"/>
      <c r="AD440" s="207"/>
      <c r="AE440" s="207"/>
      <c r="AF440" s="207"/>
      <c r="AG440" s="207"/>
      <c r="AH440" s="207"/>
      <c r="AI440" s="207"/>
      <c r="AJ440" s="207"/>
    </row>
    <row r="441" ht="15.75" customHeight="1">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c r="X441" s="207"/>
      <c r="Y441" s="207"/>
      <c r="Z441" s="207"/>
      <c r="AA441" s="207"/>
      <c r="AB441" s="207"/>
      <c r="AC441" s="207"/>
      <c r="AD441" s="207"/>
      <c r="AE441" s="207"/>
      <c r="AF441" s="207"/>
      <c r="AG441" s="207"/>
      <c r="AH441" s="207"/>
      <c r="AI441" s="207"/>
      <c r="AJ441" s="207"/>
    </row>
    <row r="442" ht="15.75" customHeight="1">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c r="X442" s="207"/>
      <c r="Y442" s="207"/>
      <c r="Z442" s="207"/>
      <c r="AA442" s="207"/>
      <c r="AB442" s="207"/>
      <c r="AC442" s="207"/>
      <c r="AD442" s="207"/>
      <c r="AE442" s="207"/>
      <c r="AF442" s="207"/>
      <c r="AG442" s="207"/>
      <c r="AH442" s="207"/>
      <c r="AI442" s="207"/>
      <c r="AJ442" s="207"/>
    </row>
    <row r="443" ht="15.75" customHeight="1">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c r="X443" s="207"/>
      <c r="Y443" s="207"/>
      <c r="Z443" s="207"/>
      <c r="AA443" s="207"/>
      <c r="AB443" s="207"/>
      <c r="AC443" s="207"/>
      <c r="AD443" s="207"/>
      <c r="AE443" s="207"/>
      <c r="AF443" s="207"/>
      <c r="AG443" s="207"/>
      <c r="AH443" s="207"/>
      <c r="AI443" s="207"/>
      <c r="AJ443" s="207"/>
    </row>
    <row r="444" ht="15.75" customHeight="1">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c r="X444" s="207"/>
      <c r="Y444" s="207"/>
      <c r="Z444" s="207"/>
      <c r="AA444" s="207"/>
      <c r="AB444" s="207"/>
      <c r="AC444" s="207"/>
      <c r="AD444" s="207"/>
      <c r="AE444" s="207"/>
      <c r="AF444" s="207"/>
      <c r="AG444" s="207"/>
      <c r="AH444" s="207"/>
      <c r="AI444" s="207"/>
      <c r="AJ444" s="207"/>
    </row>
    <row r="445" ht="15.75" customHeight="1">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c r="X445" s="207"/>
      <c r="Y445" s="207"/>
      <c r="Z445" s="207"/>
      <c r="AA445" s="207"/>
      <c r="AB445" s="207"/>
      <c r="AC445" s="207"/>
      <c r="AD445" s="207"/>
      <c r="AE445" s="207"/>
      <c r="AF445" s="207"/>
      <c r="AG445" s="207"/>
      <c r="AH445" s="207"/>
      <c r="AI445" s="207"/>
      <c r="AJ445" s="207"/>
    </row>
    <row r="446" ht="15.75" customHeight="1">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c r="X446" s="207"/>
      <c r="Y446" s="207"/>
      <c r="Z446" s="207"/>
      <c r="AA446" s="207"/>
      <c r="AB446" s="207"/>
      <c r="AC446" s="207"/>
      <c r="AD446" s="207"/>
      <c r="AE446" s="207"/>
      <c r="AF446" s="207"/>
      <c r="AG446" s="207"/>
      <c r="AH446" s="207"/>
      <c r="AI446" s="207"/>
      <c r="AJ446" s="207"/>
    </row>
    <row r="447" ht="15.75" customHeight="1">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c r="X447" s="207"/>
      <c r="Y447" s="207"/>
      <c r="Z447" s="207"/>
      <c r="AA447" s="207"/>
      <c r="AB447" s="207"/>
      <c r="AC447" s="207"/>
      <c r="AD447" s="207"/>
      <c r="AE447" s="207"/>
      <c r="AF447" s="207"/>
      <c r="AG447" s="207"/>
      <c r="AH447" s="207"/>
      <c r="AI447" s="207"/>
      <c r="AJ447" s="207"/>
    </row>
    <row r="448" ht="15.75" customHeight="1">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c r="X448" s="207"/>
      <c r="Y448" s="207"/>
      <c r="Z448" s="207"/>
      <c r="AA448" s="207"/>
      <c r="AB448" s="207"/>
      <c r="AC448" s="207"/>
      <c r="AD448" s="207"/>
      <c r="AE448" s="207"/>
      <c r="AF448" s="207"/>
      <c r="AG448" s="207"/>
      <c r="AH448" s="207"/>
      <c r="AI448" s="207"/>
      <c r="AJ448" s="207"/>
    </row>
    <row r="449" ht="15.75" customHeight="1">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c r="X449" s="207"/>
      <c r="Y449" s="207"/>
      <c r="Z449" s="207"/>
      <c r="AA449" s="207"/>
      <c r="AB449" s="207"/>
      <c r="AC449" s="207"/>
      <c r="AD449" s="207"/>
      <c r="AE449" s="207"/>
      <c r="AF449" s="207"/>
      <c r="AG449" s="207"/>
      <c r="AH449" s="207"/>
      <c r="AI449" s="207"/>
      <c r="AJ449" s="207"/>
    </row>
    <row r="450" ht="15.75" customHeight="1">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c r="X450" s="207"/>
      <c r="Y450" s="207"/>
      <c r="Z450" s="207"/>
      <c r="AA450" s="207"/>
      <c r="AB450" s="207"/>
      <c r="AC450" s="207"/>
      <c r="AD450" s="207"/>
      <c r="AE450" s="207"/>
      <c r="AF450" s="207"/>
      <c r="AG450" s="207"/>
      <c r="AH450" s="207"/>
      <c r="AI450" s="207"/>
      <c r="AJ450" s="207"/>
    </row>
    <row r="451" ht="15.75" customHeight="1">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c r="X451" s="207"/>
      <c r="Y451" s="207"/>
      <c r="Z451" s="207"/>
      <c r="AA451" s="207"/>
      <c r="AB451" s="207"/>
      <c r="AC451" s="207"/>
      <c r="AD451" s="207"/>
      <c r="AE451" s="207"/>
      <c r="AF451" s="207"/>
      <c r="AG451" s="207"/>
      <c r="AH451" s="207"/>
      <c r="AI451" s="207"/>
      <c r="AJ451" s="207"/>
    </row>
    <row r="452" ht="15.75" customHeight="1">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c r="AG452" s="207"/>
      <c r="AH452" s="207"/>
      <c r="AI452" s="207"/>
      <c r="AJ452" s="207"/>
    </row>
    <row r="453" ht="15.75" customHeight="1">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c r="X453" s="207"/>
      <c r="Y453" s="207"/>
      <c r="Z453" s="207"/>
      <c r="AA453" s="207"/>
      <c r="AB453" s="207"/>
      <c r="AC453" s="207"/>
      <c r="AD453" s="207"/>
      <c r="AE453" s="207"/>
      <c r="AF453" s="207"/>
      <c r="AG453" s="207"/>
      <c r="AH453" s="207"/>
      <c r="AI453" s="207"/>
      <c r="AJ453" s="207"/>
    </row>
    <row r="454" ht="15.75" customHeight="1">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c r="X454" s="207"/>
      <c r="Y454" s="207"/>
      <c r="Z454" s="207"/>
      <c r="AA454" s="207"/>
      <c r="AB454" s="207"/>
      <c r="AC454" s="207"/>
      <c r="AD454" s="207"/>
      <c r="AE454" s="207"/>
      <c r="AF454" s="207"/>
      <c r="AG454" s="207"/>
      <c r="AH454" s="207"/>
      <c r="AI454" s="207"/>
      <c r="AJ454" s="207"/>
    </row>
    <row r="455" ht="15.75" customHeight="1">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c r="X455" s="207"/>
      <c r="Y455" s="207"/>
      <c r="Z455" s="207"/>
      <c r="AA455" s="207"/>
      <c r="AB455" s="207"/>
      <c r="AC455" s="207"/>
      <c r="AD455" s="207"/>
      <c r="AE455" s="207"/>
      <c r="AF455" s="207"/>
      <c r="AG455" s="207"/>
      <c r="AH455" s="207"/>
      <c r="AI455" s="207"/>
      <c r="AJ455" s="207"/>
    </row>
    <row r="456" ht="15.75" customHeight="1">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c r="X456" s="207"/>
      <c r="Y456" s="207"/>
      <c r="Z456" s="207"/>
      <c r="AA456" s="207"/>
      <c r="AB456" s="207"/>
      <c r="AC456" s="207"/>
      <c r="AD456" s="207"/>
      <c r="AE456" s="207"/>
      <c r="AF456" s="207"/>
      <c r="AG456" s="207"/>
      <c r="AH456" s="207"/>
      <c r="AI456" s="207"/>
      <c r="AJ456" s="207"/>
    </row>
    <row r="457" ht="15.75" customHeight="1">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c r="X457" s="207"/>
      <c r="Y457" s="207"/>
      <c r="Z457" s="207"/>
      <c r="AA457" s="207"/>
      <c r="AB457" s="207"/>
      <c r="AC457" s="207"/>
      <c r="AD457" s="207"/>
      <c r="AE457" s="207"/>
      <c r="AF457" s="207"/>
      <c r="AG457" s="207"/>
      <c r="AH457" s="207"/>
      <c r="AI457" s="207"/>
      <c r="AJ457" s="207"/>
    </row>
    <row r="458" ht="15.75" customHeight="1">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c r="X458" s="207"/>
      <c r="Y458" s="207"/>
      <c r="Z458" s="207"/>
      <c r="AA458" s="207"/>
      <c r="AB458" s="207"/>
      <c r="AC458" s="207"/>
      <c r="AD458" s="207"/>
      <c r="AE458" s="207"/>
      <c r="AF458" s="207"/>
      <c r="AG458" s="207"/>
      <c r="AH458" s="207"/>
      <c r="AI458" s="207"/>
      <c r="AJ458" s="207"/>
    </row>
    <row r="459" ht="15.75" customHeight="1">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c r="X459" s="207"/>
      <c r="Y459" s="207"/>
      <c r="Z459" s="207"/>
      <c r="AA459" s="207"/>
      <c r="AB459" s="207"/>
      <c r="AC459" s="207"/>
      <c r="AD459" s="207"/>
      <c r="AE459" s="207"/>
      <c r="AF459" s="207"/>
      <c r="AG459" s="207"/>
      <c r="AH459" s="207"/>
      <c r="AI459" s="207"/>
      <c r="AJ459" s="207"/>
    </row>
    <row r="460" ht="15.75" customHeight="1">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c r="X460" s="207"/>
      <c r="Y460" s="207"/>
      <c r="Z460" s="207"/>
      <c r="AA460" s="207"/>
      <c r="AB460" s="207"/>
      <c r="AC460" s="207"/>
      <c r="AD460" s="207"/>
      <c r="AE460" s="207"/>
      <c r="AF460" s="207"/>
      <c r="AG460" s="207"/>
      <c r="AH460" s="207"/>
      <c r="AI460" s="207"/>
      <c r="AJ460" s="207"/>
    </row>
    <row r="461" ht="15.75" customHeight="1">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c r="X461" s="207"/>
      <c r="Y461" s="207"/>
      <c r="Z461" s="207"/>
      <c r="AA461" s="207"/>
      <c r="AB461" s="207"/>
      <c r="AC461" s="207"/>
      <c r="AD461" s="207"/>
      <c r="AE461" s="207"/>
      <c r="AF461" s="207"/>
      <c r="AG461" s="207"/>
      <c r="AH461" s="207"/>
      <c r="AI461" s="207"/>
      <c r="AJ461" s="207"/>
    </row>
    <row r="462" ht="15.75" customHeight="1">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c r="X462" s="207"/>
      <c r="Y462" s="207"/>
      <c r="Z462" s="207"/>
      <c r="AA462" s="207"/>
      <c r="AB462" s="207"/>
      <c r="AC462" s="207"/>
      <c r="AD462" s="207"/>
      <c r="AE462" s="207"/>
      <c r="AF462" s="207"/>
      <c r="AG462" s="207"/>
      <c r="AH462" s="207"/>
      <c r="AI462" s="207"/>
      <c r="AJ462" s="207"/>
    </row>
    <row r="463" ht="15.75" customHeight="1">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c r="X463" s="207"/>
      <c r="Y463" s="207"/>
      <c r="Z463" s="207"/>
      <c r="AA463" s="207"/>
      <c r="AB463" s="207"/>
      <c r="AC463" s="207"/>
      <c r="AD463" s="207"/>
      <c r="AE463" s="207"/>
      <c r="AF463" s="207"/>
      <c r="AG463" s="207"/>
      <c r="AH463" s="207"/>
      <c r="AI463" s="207"/>
      <c r="AJ463" s="207"/>
    </row>
    <row r="464" ht="15.75" customHeight="1">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c r="X464" s="207"/>
      <c r="Y464" s="207"/>
      <c r="Z464" s="207"/>
      <c r="AA464" s="207"/>
      <c r="AB464" s="207"/>
      <c r="AC464" s="207"/>
      <c r="AD464" s="207"/>
      <c r="AE464" s="207"/>
      <c r="AF464" s="207"/>
      <c r="AG464" s="207"/>
      <c r="AH464" s="207"/>
      <c r="AI464" s="207"/>
      <c r="AJ464" s="207"/>
    </row>
    <row r="465" ht="15.75" customHeight="1">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c r="X465" s="207"/>
      <c r="Y465" s="207"/>
      <c r="Z465" s="207"/>
      <c r="AA465" s="207"/>
      <c r="AB465" s="207"/>
      <c r="AC465" s="207"/>
      <c r="AD465" s="207"/>
      <c r="AE465" s="207"/>
      <c r="AF465" s="207"/>
      <c r="AG465" s="207"/>
      <c r="AH465" s="207"/>
      <c r="AI465" s="207"/>
      <c r="AJ465" s="207"/>
    </row>
    <row r="466" ht="15.75" customHeight="1">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c r="X466" s="207"/>
      <c r="Y466" s="207"/>
      <c r="Z466" s="207"/>
      <c r="AA466" s="207"/>
      <c r="AB466" s="207"/>
      <c r="AC466" s="207"/>
      <c r="AD466" s="207"/>
      <c r="AE466" s="207"/>
      <c r="AF466" s="207"/>
      <c r="AG466" s="207"/>
      <c r="AH466" s="207"/>
      <c r="AI466" s="207"/>
      <c r="AJ466" s="207"/>
    </row>
    <row r="467" ht="15.75" customHeight="1">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c r="X467" s="207"/>
      <c r="Y467" s="207"/>
      <c r="Z467" s="207"/>
      <c r="AA467" s="207"/>
      <c r="AB467" s="207"/>
      <c r="AC467" s="207"/>
      <c r="AD467" s="207"/>
      <c r="AE467" s="207"/>
      <c r="AF467" s="207"/>
      <c r="AG467" s="207"/>
      <c r="AH467" s="207"/>
      <c r="AI467" s="207"/>
      <c r="AJ467" s="207"/>
    </row>
    <row r="468" ht="15.75" customHeight="1">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c r="X468" s="207"/>
      <c r="Y468" s="207"/>
      <c r="Z468" s="207"/>
      <c r="AA468" s="207"/>
      <c r="AB468" s="207"/>
      <c r="AC468" s="207"/>
      <c r="AD468" s="207"/>
      <c r="AE468" s="207"/>
      <c r="AF468" s="207"/>
      <c r="AG468" s="207"/>
      <c r="AH468" s="207"/>
      <c r="AI468" s="207"/>
      <c r="AJ468" s="207"/>
    </row>
    <row r="469" ht="15.75" customHeight="1">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c r="X469" s="207"/>
      <c r="Y469" s="207"/>
      <c r="Z469" s="207"/>
      <c r="AA469" s="207"/>
      <c r="AB469" s="207"/>
      <c r="AC469" s="207"/>
      <c r="AD469" s="207"/>
      <c r="AE469" s="207"/>
      <c r="AF469" s="207"/>
      <c r="AG469" s="207"/>
      <c r="AH469" s="207"/>
      <c r="AI469" s="207"/>
      <c r="AJ469" s="207"/>
    </row>
    <row r="470" ht="15.75" customHeight="1">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c r="X470" s="207"/>
      <c r="Y470" s="207"/>
      <c r="Z470" s="207"/>
      <c r="AA470" s="207"/>
      <c r="AB470" s="207"/>
      <c r="AC470" s="207"/>
      <c r="AD470" s="207"/>
      <c r="AE470" s="207"/>
      <c r="AF470" s="207"/>
      <c r="AG470" s="207"/>
      <c r="AH470" s="207"/>
      <c r="AI470" s="207"/>
      <c r="AJ470" s="207"/>
    </row>
    <row r="471" ht="15.75" customHeight="1">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c r="X471" s="207"/>
      <c r="Y471" s="207"/>
      <c r="Z471" s="207"/>
      <c r="AA471" s="207"/>
      <c r="AB471" s="207"/>
      <c r="AC471" s="207"/>
      <c r="AD471" s="207"/>
      <c r="AE471" s="207"/>
      <c r="AF471" s="207"/>
      <c r="AG471" s="207"/>
      <c r="AH471" s="207"/>
      <c r="AI471" s="207"/>
      <c r="AJ471" s="207"/>
    </row>
    <row r="472" ht="15.75" customHeight="1">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c r="X472" s="207"/>
      <c r="Y472" s="207"/>
      <c r="Z472" s="207"/>
      <c r="AA472" s="207"/>
      <c r="AB472" s="207"/>
      <c r="AC472" s="207"/>
      <c r="AD472" s="207"/>
      <c r="AE472" s="207"/>
      <c r="AF472" s="207"/>
      <c r="AG472" s="207"/>
      <c r="AH472" s="207"/>
      <c r="AI472" s="207"/>
      <c r="AJ472" s="207"/>
    </row>
    <row r="473" ht="15.75" customHeight="1">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c r="X473" s="207"/>
      <c r="Y473" s="207"/>
      <c r="Z473" s="207"/>
      <c r="AA473" s="207"/>
      <c r="AB473" s="207"/>
      <c r="AC473" s="207"/>
      <c r="AD473" s="207"/>
      <c r="AE473" s="207"/>
      <c r="AF473" s="207"/>
      <c r="AG473" s="207"/>
      <c r="AH473" s="207"/>
      <c r="AI473" s="207"/>
      <c r="AJ473" s="207"/>
    </row>
    <row r="474" ht="15.75" customHeight="1">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c r="X474" s="207"/>
      <c r="Y474" s="207"/>
      <c r="Z474" s="207"/>
      <c r="AA474" s="207"/>
      <c r="AB474" s="207"/>
      <c r="AC474" s="207"/>
      <c r="AD474" s="207"/>
      <c r="AE474" s="207"/>
      <c r="AF474" s="207"/>
      <c r="AG474" s="207"/>
      <c r="AH474" s="207"/>
      <c r="AI474" s="207"/>
      <c r="AJ474" s="207"/>
    </row>
    <row r="475" ht="15.75" customHeight="1">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c r="X475" s="207"/>
      <c r="Y475" s="207"/>
      <c r="Z475" s="207"/>
      <c r="AA475" s="207"/>
      <c r="AB475" s="207"/>
      <c r="AC475" s="207"/>
      <c r="AD475" s="207"/>
      <c r="AE475" s="207"/>
      <c r="AF475" s="207"/>
      <c r="AG475" s="207"/>
      <c r="AH475" s="207"/>
      <c r="AI475" s="207"/>
      <c r="AJ475" s="207"/>
    </row>
    <row r="476" ht="15.75" customHeight="1">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c r="X476" s="207"/>
      <c r="Y476" s="207"/>
      <c r="Z476" s="207"/>
      <c r="AA476" s="207"/>
      <c r="AB476" s="207"/>
      <c r="AC476" s="207"/>
      <c r="AD476" s="207"/>
      <c r="AE476" s="207"/>
      <c r="AF476" s="207"/>
      <c r="AG476" s="207"/>
      <c r="AH476" s="207"/>
      <c r="AI476" s="207"/>
      <c r="AJ476" s="207"/>
    </row>
    <row r="477" ht="15.75" customHeight="1">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c r="X477" s="207"/>
      <c r="Y477" s="207"/>
      <c r="Z477" s="207"/>
      <c r="AA477" s="207"/>
      <c r="AB477" s="207"/>
      <c r="AC477" s="207"/>
      <c r="AD477" s="207"/>
      <c r="AE477" s="207"/>
      <c r="AF477" s="207"/>
      <c r="AG477" s="207"/>
      <c r="AH477" s="207"/>
      <c r="AI477" s="207"/>
      <c r="AJ477" s="207"/>
    </row>
    <row r="478" ht="15.75" customHeight="1">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c r="X478" s="207"/>
      <c r="Y478" s="207"/>
      <c r="Z478" s="207"/>
      <c r="AA478" s="207"/>
      <c r="AB478" s="207"/>
      <c r="AC478" s="207"/>
      <c r="AD478" s="207"/>
      <c r="AE478" s="207"/>
      <c r="AF478" s="207"/>
      <c r="AG478" s="207"/>
      <c r="AH478" s="207"/>
      <c r="AI478" s="207"/>
      <c r="AJ478" s="207"/>
    </row>
    <row r="479" ht="15.75" customHeight="1">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c r="X479" s="207"/>
      <c r="Y479" s="207"/>
      <c r="Z479" s="207"/>
      <c r="AA479" s="207"/>
      <c r="AB479" s="207"/>
      <c r="AC479" s="207"/>
      <c r="AD479" s="207"/>
      <c r="AE479" s="207"/>
      <c r="AF479" s="207"/>
      <c r="AG479" s="207"/>
      <c r="AH479" s="207"/>
      <c r="AI479" s="207"/>
      <c r="AJ479" s="207"/>
    </row>
    <row r="480" ht="15.75" customHeight="1">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c r="X480" s="207"/>
      <c r="Y480" s="207"/>
      <c r="Z480" s="207"/>
      <c r="AA480" s="207"/>
      <c r="AB480" s="207"/>
      <c r="AC480" s="207"/>
      <c r="AD480" s="207"/>
      <c r="AE480" s="207"/>
      <c r="AF480" s="207"/>
      <c r="AG480" s="207"/>
      <c r="AH480" s="207"/>
      <c r="AI480" s="207"/>
      <c r="AJ480" s="207"/>
    </row>
    <row r="481" ht="15.75" customHeight="1">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c r="AA481" s="207"/>
      <c r="AB481" s="207"/>
      <c r="AC481" s="207"/>
      <c r="AD481" s="207"/>
      <c r="AE481" s="207"/>
      <c r="AF481" s="207"/>
      <c r="AG481" s="207"/>
      <c r="AH481" s="207"/>
      <c r="AI481" s="207"/>
      <c r="AJ481" s="207"/>
    </row>
    <row r="482" ht="15.75" customHeight="1">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c r="X482" s="207"/>
      <c r="Y482" s="207"/>
      <c r="Z482" s="207"/>
      <c r="AA482" s="207"/>
      <c r="AB482" s="207"/>
      <c r="AC482" s="207"/>
      <c r="AD482" s="207"/>
      <c r="AE482" s="207"/>
      <c r="AF482" s="207"/>
      <c r="AG482" s="207"/>
      <c r="AH482" s="207"/>
      <c r="AI482" s="207"/>
      <c r="AJ482" s="207"/>
    </row>
    <row r="483" ht="15.75" customHeight="1">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c r="X483" s="207"/>
      <c r="Y483" s="207"/>
      <c r="Z483" s="207"/>
      <c r="AA483" s="207"/>
      <c r="AB483" s="207"/>
      <c r="AC483" s="207"/>
      <c r="AD483" s="207"/>
      <c r="AE483" s="207"/>
      <c r="AF483" s="207"/>
      <c r="AG483" s="207"/>
      <c r="AH483" s="207"/>
      <c r="AI483" s="207"/>
      <c r="AJ483" s="207"/>
    </row>
    <row r="484" ht="15.75" customHeight="1">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c r="X484" s="207"/>
      <c r="Y484" s="207"/>
      <c r="Z484" s="207"/>
      <c r="AA484" s="207"/>
      <c r="AB484" s="207"/>
      <c r="AC484" s="207"/>
      <c r="AD484" s="207"/>
      <c r="AE484" s="207"/>
      <c r="AF484" s="207"/>
      <c r="AG484" s="207"/>
      <c r="AH484" s="207"/>
      <c r="AI484" s="207"/>
      <c r="AJ484" s="207"/>
    </row>
    <row r="485" ht="15.75" customHeight="1">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c r="X485" s="207"/>
      <c r="Y485" s="207"/>
      <c r="Z485" s="207"/>
      <c r="AA485" s="207"/>
      <c r="AB485" s="207"/>
      <c r="AC485" s="207"/>
      <c r="AD485" s="207"/>
      <c r="AE485" s="207"/>
      <c r="AF485" s="207"/>
      <c r="AG485" s="207"/>
      <c r="AH485" s="207"/>
      <c r="AI485" s="207"/>
      <c r="AJ485" s="207"/>
    </row>
    <row r="486" ht="15.75" customHeight="1">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c r="AA486" s="207"/>
      <c r="AB486" s="207"/>
      <c r="AC486" s="207"/>
      <c r="AD486" s="207"/>
      <c r="AE486" s="207"/>
      <c r="AF486" s="207"/>
      <c r="AG486" s="207"/>
      <c r="AH486" s="207"/>
      <c r="AI486" s="207"/>
      <c r="AJ486" s="207"/>
    </row>
    <row r="487" ht="15.75" customHeight="1">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c r="X487" s="207"/>
      <c r="Y487" s="207"/>
      <c r="Z487" s="207"/>
      <c r="AA487" s="207"/>
      <c r="AB487" s="207"/>
      <c r="AC487" s="207"/>
      <c r="AD487" s="207"/>
      <c r="AE487" s="207"/>
      <c r="AF487" s="207"/>
      <c r="AG487" s="207"/>
      <c r="AH487" s="207"/>
      <c r="AI487" s="207"/>
      <c r="AJ487" s="207"/>
    </row>
    <row r="488" ht="15.75" customHeight="1">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c r="X488" s="207"/>
      <c r="Y488" s="207"/>
      <c r="Z488" s="207"/>
      <c r="AA488" s="207"/>
      <c r="AB488" s="207"/>
      <c r="AC488" s="207"/>
      <c r="AD488" s="207"/>
      <c r="AE488" s="207"/>
      <c r="AF488" s="207"/>
      <c r="AG488" s="207"/>
      <c r="AH488" s="207"/>
      <c r="AI488" s="207"/>
      <c r="AJ488" s="207"/>
    </row>
    <row r="489" ht="15.75" customHeight="1">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c r="X489" s="207"/>
      <c r="Y489" s="207"/>
      <c r="Z489" s="207"/>
      <c r="AA489" s="207"/>
      <c r="AB489" s="207"/>
      <c r="AC489" s="207"/>
      <c r="AD489" s="207"/>
      <c r="AE489" s="207"/>
      <c r="AF489" s="207"/>
      <c r="AG489" s="207"/>
      <c r="AH489" s="207"/>
      <c r="AI489" s="207"/>
      <c r="AJ489" s="207"/>
    </row>
    <row r="490" ht="15.75" customHeight="1">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c r="X490" s="207"/>
      <c r="Y490" s="207"/>
      <c r="Z490" s="207"/>
      <c r="AA490" s="207"/>
      <c r="AB490" s="207"/>
      <c r="AC490" s="207"/>
      <c r="AD490" s="207"/>
      <c r="AE490" s="207"/>
      <c r="AF490" s="207"/>
      <c r="AG490" s="207"/>
      <c r="AH490" s="207"/>
      <c r="AI490" s="207"/>
      <c r="AJ490" s="207"/>
    </row>
    <row r="491" ht="15.75" customHeight="1">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c r="X491" s="207"/>
      <c r="Y491" s="207"/>
      <c r="Z491" s="207"/>
      <c r="AA491" s="207"/>
      <c r="AB491" s="207"/>
      <c r="AC491" s="207"/>
      <c r="AD491" s="207"/>
      <c r="AE491" s="207"/>
      <c r="AF491" s="207"/>
      <c r="AG491" s="207"/>
      <c r="AH491" s="207"/>
      <c r="AI491" s="207"/>
      <c r="AJ491" s="207"/>
    </row>
    <row r="492" ht="15.75" customHeight="1">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c r="X492" s="207"/>
      <c r="Y492" s="207"/>
      <c r="Z492" s="207"/>
      <c r="AA492" s="207"/>
      <c r="AB492" s="207"/>
      <c r="AC492" s="207"/>
      <c r="AD492" s="207"/>
      <c r="AE492" s="207"/>
      <c r="AF492" s="207"/>
      <c r="AG492" s="207"/>
      <c r="AH492" s="207"/>
      <c r="AI492" s="207"/>
      <c r="AJ492" s="207"/>
    </row>
    <row r="493" ht="15.75" customHeight="1">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c r="X493" s="207"/>
      <c r="Y493" s="207"/>
      <c r="Z493" s="207"/>
      <c r="AA493" s="207"/>
      <c r="AB493" s="207"/>
      <c r="AC493" s="207"/>
      <c r="AD493" s="207"/>
      <c r="AE493" s="207"/>
      <c r="AF493" s="207"/>
      <c r="AG493" s="207"/>
      <c r="AH493" s="207"/>
      <c r="AI493" s="207"/>
      <c r="AJ493" s="207"/>
    </row>
    <row r="494" ht="15.75" customHeight="1">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c r="X494" s="207"/>
      <c r="Y494" s="207"/>
      <c r="Z494" s="207"/>
      <c r="AA494" s="207"/>
      <c r="AB494" s="207"/>
      <c r="AC494" s="207"/>
      <c r="AD494" s="207"/>
      <c r="AE494" s="207"/>
      <c r="AF494" s="207"/>
      <c r="AG494" s="207"/>
      <c r="AH494" s="207"/>
      <c r="AI494" s="207"/>
      <c r="AJ494" s="207"/>
    </row>
    <row r="495" ht="15.75" customHeight="1">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c r="AA495" s="207"/>
      <c r="AB495" s="207"/>
      <c r="AC495" s="207"/>
      <c r="AD495" s="207"/>
      <c r="AE495" s="207"/>
      <c r="AF495" s="207"/>
      <c r="AG495" s="207"/>
      <c r="AH495" s="207"/>
      <c r="AI495" s="207"/>
      <c r="AJ495" s="207"/>
    </row>
    <row r="496" ht="15.75" customHeight="1">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c r="X496" s="207"/>
      <c r="Y496" s="207"/>
      <c r="Z496" s="207"/>
      <c r="AA496" s="207"/>
      <c r="AB496" s="207"/>
      <c r="AC496" s="207"/>
      <c r="AD496" s="207"/>
      <c r="AE496" s="207"/>
      <c r="AF496" s="207"/>
      <c r="AG496" s="207"/>
      <c r="AH496" s="207"/>
      <c r="AI496" s="207"/>
      <c r="AJ496" s="207"/>
    </row>
    <row r="497" ht="15.75" customHeight="1">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c r="X497" s="207"/>
      <c r="Y497" s="207"/>
      <c r="Z497" s="207"/>
      <c r="AA497" s="207"/>
      <c r="AB497" s="207"/>
      <c r="AC497" s="207"/>
      <c r="AD497" s="207"/>
      <c r="AE497" s="207"/>
      <c r="AF497" s="207"/>
      <c r="AG497" s="207"/>
      <c r="AH497" s="207"/>
      <c r="AI497" s="207"/>
      <c r="AJ497" s="207"/>
    </row>
    <row r="498" ht="15.75" customHeight="1">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c r="X498" s="207"/>
      <c r="Y498" s="207"/>
      <c r="Z498" s="207"/>
      <c r="AA498" s="207"/>
      <c r="AB498" s="207"/>
      <c r="AC498" s="207"/>
      <c r="AD498" s="207"/>
      <c r="AE498" s="207"/>
      <c r="AF498" s="207"/>
      <c r="AG498" s="207"/>
      <c r="AH498" s="207"/>
      <c r="AI498" s="207"/>
      <c r="AJ498" s="207"/>
    </row>
    <row r="499" ht="15.75" customHeight="1">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c r="X499" s="207"/>
      <c r="Y499" s="207"/>
      <c r="Z499" s="207"/>
      <c r="AA499" s="207"/>
      <c r="AB499" s="207"/>
      <c r="AC499" s="207"/>
      <c r="AD499" s="207"/>
      <c r="AE499" s="207"/>
      <c r="AF499" s="207"/>
      <c r="AG499" s="207"/>
      <c r="AH499" s="207"/>
      <c r="AI499" s="207"/>
      <c r="AJ499" s="207"/>
    </row>
    <row r="500" ht="15.75" customHeight="1">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c r="X500" s="207"/>
      <c r="Y500" s="207"/>
      <c r="Z500" s="207"/>
      <c r="AA500" s="207"/>
      <c r="AB500" s="207"/>
      <c r="AC500" s="207"/>
      <c r="AD500" s="207"/>
      <c r="AE500" s="207"/>
      <c r="AF500" s="207"/>
      <c r="AG500" s="207"/>
      <c r="AH500" s="207"/>
      <c r="AI500" s="207"/>
      <c r="AJ500" s="207"/>
    </row>
    <row r="501" ht="15.75" customHeight="1">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c r="X501" s="207"/>
      <c r="Y501" s="207"/>
      <c r="Z501" s="207"/>
      <c r="AA501" s="207"/>
      <c r="AB501" s="207"/>
      <c r="AC501" s="207"/>
      <c r="AD501" s="207"/>
      <c r="AE501" s="207"/>
      <c r="AF501" s="207"/>
      <c r="AG501" s="207"/>
      <c r="AH501" s="207"/>
      <c r="AI501" s="207"/>
      <c r="AJ501" s="207"/>
    </row>
    <row r="502" ht="15.75" customHeight="1">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c r="X502" s="207"/>
      <c r="Y502" s="207"/>
      <c r="Z502" s="207"/>
      <c r="AA502" s="207"/>
      <c r="AB502" s="207"/>
      <c r="AC502" s="207"/>
      <c r="AD502" s="207"/>
      <c r="AE502" s="207"/>
      <c r="AF502" s="207"/>
      <c r="AG502" s="207"/>
      <c r="AH502" s="207"/>
      <c r="AI502" s="207"/>
      <c r="AJ502" s="207"/>
    </row>
    <row r="503" ht="15.75" customHeight="1">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c r="X503" s="207"/>
      <c r="Y503" s="207"/>
      <c r="Z503" s="207"/>
      <c r="AA503" s="207"/>
      <c r="AB503" s="207"/>
      <c r="AC503" s="207"/>
      <c r="AD503" s="207"/>
      <c r="AE503" s="207"/>
      <c r="AF503" s="207"/>
      <c r="AG503" s="207"/>
      <c r="AH503" s="207"/>
      <c r="AI503" s="207"/>
      <c r="AJ503" s="207"/>
    </row>
    <row r="504" ht="15.75" customHeight="1">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c r="X504" s="207"/>
      <c r="Y504" s="207"/>
      <c r="Z504" s="207"/>
      <c r="AA504" s="207"/>
      <c r="AB504" s="207"/>
      <c r="AC504" s="207"/>
      <c r="AD504" s="207"/>
      <c r="AE504" s="207"/>
      <c r="AF504" s="207"/>
      <c r="AG504" s="207"/>
      <c r="AH504" s="207"/>
      <c r="AI504" s="207"/>
      <c r="AJ504" s="207"/>
    </row>
    <row r="505" ht="15.75" customHeight="1">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c r="X505" s="207"/>
      <c r="Y505" s="207"/>
      <c r="Z505" s="207"/>
      <c r="AA505" s="207"/>
      <c r="AB505" s="207"/>
      <c r="AC505" s="207"/>
      <c r="AD505" s="207"/>
      <c r="AE505" s="207"/>
      <c r="AF505" s="207"/>
      <c r="AG505" s="207"/>
      <c r="AH505" s="207"/>
      <c r="AI505" s="207"/>
      <c r="AJ505" s="207"/>
    </row>
    <row r="506" ht="15.75" customHeight="1">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c r="X506" s="207"/>
      <c r="Y506" s="207"/>
      <c r="Z506" s="207"/>
      <c r="AA506" s="207"/>
      <c r="AB506" s="207"/>
      <c r="AC506" s="207"/>
      <c r="AD506" s="207"/>
      <c r="AE506" s="207"/>
      <c r="AF506" s="207"/>
      <c r="AG506" s="207"/>
      <c r="AH506" s="207"/>
      <c r="AI506" s="207"/>
      <c r="AJ506" s="207"/>
    </row>
    <row r="507" ht="15.75" customHeight="1">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c r="X507" s="207"/>
      <c r="Y507" s="207"/>
      <c r="Z507" s="207"/>
      <c r="AA507" s="207"/>
      <c r="AB507" s="207"/>
      <c r="AC507" s="207"/>
      <c r="AD507" s="207"/>
      <c r="AE507" s="207"/>
      <c r="AF507" s="207"/>
      <c r="AG507" s="207"/>
      <c r="AH507" s="207"/>
      <c r="AI507" s="207"/>
      <c r="AJ507" s="207"/>
    </row>
    <row r="508" ht="15.75" customHeight="1">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c r="X508" s="207"/>
      <c r="Y508" s="207"/>
      <c r="Z508" s="207"/>
      <c r="AA508" s="207"/>
      <c r="AB508" s="207"/>
      <c r="AC508" s="207"/>
      <c r="AD508" s="207"/>
      <c r="AE508" s="207"/>
      <c r="AF508" s="207"/>
      <c r="AG508" s="207"/>
      <c r="AH508" s="207"/>
      <c r="AI508" s="207"/>
      <c r="AJ508" s="207"/>
    </row>
    <row r="509" ht="15.75" customHeight="1">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c r="X509" s="207"/>
      <c r="Y509" s="207"/>
      <c r="Z509" s="207"/>
      <c r="AA509" s="207"/>
      <c r="AB509" s="207"/>
      <c r="AC509" s="207"/>
      <c r="AD509" s="207"/>
      <c r="AE509" s="207"/>
      <c r="AF509" s="207"/>
      <c r="AG509" s="207"/>
      <c r="AH509" s="207"/>
      <c r="AI509" s="207"/>
      <c r="AJ509" s="207"/>
    </row>
    <row r="510" ht="15.75" customHeight="1">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c r="X510" s="207"/>
      <c r="Y510" s="207"/>
      <c r="Z510" s="207"/>
      <c r="AA510" s="207"/>
      <c r="AB510" s="207"/>
      <c r="AC510" s="207"/>
      <c r="AD510" s="207"/>
      <c r="AE510" s="207"/>
      <c r="AF510" s="207"/>
      <c r="AG510" s="207"/>
      <c r="AH510" s="207"/>
      <c r="AI510" s="207"/>
      <c r="AJ510" s="207"/>
    </row>
    <row r="511" ht="15.75" customHeight="1">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c r="X511" s="207"/>
      <c r="Y511" s="207"/>
      <c r="Z511" s="207"/>
      <c r="AA511" s="207"/>
      <c r="AB511" s="207"/>
      <c r="AC511" s="207"/>
      <c r="AD511" s="207"/>
      <c r="AE511" s="207"/>
      <c r="AF511" s="207"/>
      <c r="AG511" s="207"/>
      <c r="AH511" s="207"/>
      <c r="AI511" s="207"/>
      <c r="AJ511" s="207"/>
    </row>
    <row r="512" ht="15.75" customHeight="1">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c r="X512" s="207"/>
      <c r="Y512" s="207"/>
      <c r="Z512" s="207"/>
      <c r="AA512" s="207"/>
      <c r="AB512" s="207"/>
      <c r="AC512" s="207"/>
      <c r="AD512" s="207"/>
      <c r="AE512" s="207"/>
      <c r="AF512" s="207"/>
      <c r="AG512" s="207"/>
      <c r="AH512" s="207"/>
      <c r="AI512" s="207"/>
      <c r="AJ512" s="207"/>
    </row>
    <row r="513" ht="15.75" customHeight="1">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c r="X513" s="207"/>
      <c r="Y513" s="207"/>
      <c r="Z513" s="207"/>
      <c r="AA513" s="207"/>
      <c r="AB513" s="207"/>
      <c r="AC513" s="207"/>
      <c r="AD513" s="207"/>
      <c r="AE513" s="207"/>
      <c r="AF513" s="207"/>
      <c r="AG513" s="207"/>
      <c r="AH513" s="207"/>
      <c r="AI513" s="207"/>
      <c r="AJ513" s="207"/>
    </row>
    <row r="514" ht="15.75" customHeight="1">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c r="X514" s="207"/>
      <c r="Y514" s="207"/>
      <c r="Z514" s="207"/>
      <c r="AA514" s="207"/>
      <c r="AB514" s="207"/>
      <c r="AC514" s="207"/>
      <c r="AD514" s="207"/>
      <c r="AE514" s="207"/>
      <c r="AF514" s="207"/>
      <c r="AG514" s="207"/>
      <c r="AH514" s="207"/>
      <c r="AI514" s="207"/>
      <c r="AJ514" s="207"/>
    </row>
    <row r="515" ht="15.75" customHeight="1">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c r="X515" s="207"/>
      <c r="Y515" s="207"/>
      <c r="Z515" s="207"/>
      <c r="AA515" s="207"/>
      <c r="AB515" s="207"/>
      <c r="AC515" s="207"/>
      <c r="AD515" s="207"/>
      <c r="AE515" s="207"/>
      <c r="AF515" s="207"/>
      <c r="AG515" s="207"/>
      <c r="AH515" s="207"/>
      <c r="AI515" s="207"/>
      <c r="AJ515" s="207"/>
    </row>
    <row r="516" ht="15.75" customHeight="1">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c r="X516" s="207"/>
      <c r="Y516" s="207"/>
      <c r="Z516" s="207"/>
      <c r="AA516" s="207"/>
      <c r="AB516" s="207"/>
      <c r="AC516" s="207"/>
      <c r="AD516" s="207"/>
      <c r="AE516" s="207"/>
      <c r="AF516" s="207"/>
      <c r="AG516" s="207"/>
      <c r="AH516" s="207"/>
      <c r="AI516" s="207"/>
      <c r="AJ516" s="207"/>
    </row>
    <row r="517" ht="15.75" customHeight="1">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c r="X517" s="207"/>
      <c r="Y517" s="207"/>
      <c r="Z517" s="207"/>
      <c r="AA517" s="207"/>
      <c r="AB517" s="207"/>
      <c r="AC517" s="207"/>
      <c r="AD517" s="207"/>
      <c r="AE517" s="207"/>
      <c r="AF517" s="207"/>
      <c r="AG517" s="207"/>
      <c r="AH517" s="207"/>
      <c r="AI517" s="207"/>
      <c r="AJ517" s="207"/>
    </row>
    <row r="518" ht="15.75" customHeight="1">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c r="X518" s="207"/>
      <c r="Y518" s="207"/>
      <c r="Z518" s="207"/>
      <c r="AA518" s="207"/>
      <c r="AB518" s="207"/>
      <c r="AC518" s="207"/>
      <c r="AD518" s="207"/>
      <c r="AE518" s="207"/>
      <c r="AF518" s="207"/>
      <c r="AG518" s="207"/>
      <c r="AH518" s="207"/>
      <c r="AI518" s="207"/>
      <c r="AJ518" s="207"/>
    </row>
    <row r="519" ht="15.75" customHeight="1">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c r="X519" s="207"/>
      <c r="Y519" s="207"/>
      <c r="Z519" s="207"/>
      <c r="AA519" s="207"/>
      <c r="AB519" s="207"/>
      <c r="AC519" s="207"/>
      <c r="AD519" s="207"/>
      <c r="AE519" s="207"/>
      <c r="AF519" s="207"/>
      <c r="AG519" s="207"/>
      <c r="AH519" s="207"/>
      <c r="AI519" s="207"/>
      <c r="AJ519" s="207"/>
    </row>
    <row r="520" ht="15.75" customHeight="1">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c r="X520" s="207"/>
      <c r="Y520" s="207"/>
      <c r="Z520" s="207"/>
      <c r="AA520" s="207"/>
      <c r="AB520" s="207"/>
      <c r="AC520" s="207"/>
      <c r="AD520" s="207"/>
      <c r="AE520" s="207"/>
      <c r="AF520" s="207"/>
      <c r="AG520" s="207"/>
      <c r="AH520" s="207"/>
      <c r="AI520" s="207"/>
      <c r="AJ520" s="207"/>
    </row>
    <row r="521" ht="15.75" customHeight="1">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c r="X521" s="207"/>
      <c r="Y521" s="207"/>
      <c r="Z521" s="207"/>
      <c r="AA521" s="207"/>
      <c r="AB521" s="207"/>
      <c r="AC521" s="207"/>
      <c r="AD521" s="207"/>
      <c r="AE521" s="207"/>
      <c r="AF521" s="207"/>
      <c r="AG521" s="207"/>
      <c r="AH521" s="207"/>
      <c r="AI521" s="207"/>
      <c r="AJ521" s="207"/>
    </row>
    <row r="522" ht="15.75" customHeight="1">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c r="X522" s="207"/>
      <c r="Y522" s="207"/>
      <c r="Z522" s="207"/>
      <c r="AA522" s="207"/>
      <c r="AB522" s="207"/>
      <c r="AC522" s="207"/>
      <c r="AD522" s="207"/>
      <c r="AE522" s="207"/>
      <c r="AF522" s="207"/>
      <c r="AG522" s="207"/>
      <c r="AH522" s="207"/>
      <c r="AI522" s="207"/>
      <c r="AJ522" s="207"/>
    </row>
    <row r="523" ht="15.75" customHeight="1">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c r="X523" s="207"/>
      <c r="Y523" s="207"/>
      <c r="Z523" s="207"/>
      <c r="AA523" s="207"/>
      <c r="AB523" s="207"/>
      <c r="AC523" s="207"/>
      <c r="AD523" s="207"/>
      <c r="AE523" s="207"/>
      <c r="AF523" s="207"/>
      <c r="AG523" s="207"/>
      <c r="AH523" s="207"/>
      <c r="AI523" s="207"/>
      <c r="AJ523" s="207"/>
    </row>
    <row r="524" ht="15.75" customHeight="1">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c r="X524" s="207"/>
      <c r="Y524" s="207"/>
      <c r="Z524" s="207"/>
      <c r="AA524" s="207"/>
      <c r="AB524" s="207"/>
      <c r="AC524" s="207"/>
      <c r="AD524" s="207"/>
      <c r="AE524" s="207"/>
      <c r="AF524" s="207"/>
      <c r="AG524" s="207"/>
      <c r="AH524" s="207"/>
      <c r="AI524" s="207"/>
      <c r="AJ524" s="207"/>
    </row>
    <row r="525" ht="15.75" customHeight="1">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c r="X525" s="207"/>
      <c r="Y525" s="207"/>
      <c r="Z525" s="207"/>
      <c r="AA525" s="207"/>
      <c r="AB525" s="207"/>
      <c r="AC525" s="207"/>
      <c r="AD525" s="207"/>
      <c r="AE525" s="207"/>
      <c r="AF525" s="207"/>
      <c r="AG525" s="207"/>
      <c r="AH525" s="207"/>
      <c r="AI525" s="207"/>
      <c r="AJ525" s="207"/>
    </row>
    <row r="526" ht="15.75" customHeight="1">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c r="X526" s="207"/>
      <c r="Y526" s="207"/>
      <c r="Z526" s="207"/>
      <c r="AA526" s="207"/>
      <c r="AB526" s="207"/>
      <c r="AC526" s="207"/>
      <c r="AD526" s="207"/>
      <c r="AE526" s="207"/>
      <c r="AF526" s="207"/>
      <c r="AG526" s="207"/>
      <c r="AH526" s="207"/>
      <c r="AI526" s="207"/>
      <c r="AJ526" s="207"/>
    </row>
    <row r="527" ht="15.75" customHeight="1">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c r="AI527" s="207"/>
      <c r="AJ527" s="207"/>
    </row>
    <row r="528" ht="15.75" customHeight="1">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c r="X528" s="207"/>
      <c r="Y528" s="207"/>
      <c r="Z528" s="207"/>
      <c r="AA528" s="207"/>
      <c r="AB528" s="207"/>
      <c r="AC528" s="207"/>
      <c r="AD528" s="207"/>
      <c r="AE528" s="207"/>
      <c r="AF528" s="207"/>
      <c r="AG528" s="207"/>
      <c r="AH528" s="207"/>
      <c r="AI528" s="207"/>
      <c r="AJ528" s="207"/>
    </row>
    <row r="529" ht="15.75" customHeight="1">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c r="X529" s="207"/>
      <c r="Y529" s="207"/>
      <c r="Z529" s="207"/>
      <c r="AA529" s="207"/>
      <c r="AB529" s="207"/>
      <c r="AC529" s="207"/>
      <c r="AD529" s="207"/>
      <c r="AE529" s="207"/>
      <c r="AF529" s="207"/>
      <c r="AG529" s="207"/>
      <c r="AH529" s="207"/>
      <c r="AI529" s="207"/>
      <c r="AJ529" s="207"/>
    </row>
    <row r="530" ht="15.75" customHeight="1">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c r="X530" s="207"/>
      <c r="Y530" s="207"/>
      <c r="Z530" s="207"/>
      <c r="AA530" s="207"/>
      <c r="AB530" s="207"/>
      <c r="AC530" s="207"/>
      <c r="AD530" s="207"/>
      <c r="AE530" s="207"/>
      <c r="AF530" s="207"/>
      <c r="AG530" s="207"/>
      <c r="AH530" s="207"/>
      <c r="AI530" s="207"/>
      <c r="AJ530" s="207"/>
    </row>
    <row r="531" ht="15.75" customHeight="1">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c r="X531" s="207"/>
      <c r="Y531" s="207"/>
      <c r="Z531" s="207"/>
      <c r="AA531" s="207"/>
      <c r="AB531" s="207"/>
      <c r="AC531" s="207"/>
      <c r="AD531" s="207"/>
      <c r="AE531" s="207"/>
      <c r="AF531" s="207"/>
      <c r="AG531" s="207"/>
      <c r="AH531" s="207"/>
      <c r="AI531" s="207"/>
      <c r="AJ531" s="207"/>
    </row>
    <row r="532" ht="15.75" customHeight="1">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c r="X532" s="207"/>
      <c r="Y532" s="207"/>
      <c r="Z532" s="207"/>
      <c r="AA532" s="207"/>
      <c r="AB532" s="207"/>
      <c r="AC532" s="207"/>
      <c r="AD532" s="207"/>
      <c r="AE532" s="207"/>
      <c r="AF532" s="207"/>
      <c r="AG532" s="207"/>
      <c r="AH532" s="207"/>
      <c r="AI532" s="207"/>
      <c r="AJ532" s="207"/>
    </row>
    <row r="533" ht="15.75" customHeight="1">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c r="X533" s="207"/>
      <c r="Y533" s="207"/>
      <c r="Z533" s="207"/>
      <c r="AA533" s="207"/>
      <c r="AB533" s="207"/>
      <c r="AC533" s="207"/>
      <c r="AD533" s="207"/>
      <c r="AE533" s="207"/>
      <c r="AF533" s="207"/>
      <c r="AG533" s="207"/>
      <c r="AH533" s="207"/>
      <c r="AI533" s="207"/>
      <c r="AJ533" s="207"/>
    </row>
    <row r="534" ht="15.75" customHeight="1">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c r="X534" s="207"/>
      <c r="Y534" s="207"/>
      <c r="Z534" s="207"/>
      <c r="AA534" s="207"/>
      <c r="AB534" s="207"/>
      <c r="AC534" s="207"/>
      <c r="AD534" s="207"/>
      <c r="AE534" s="207"/>
      <c r="AF534" s="207"/>
      <c r="AG534" s="207"/>
      <c r="AH534" s="207"/>
      <c r="AI534" s="207"/>
      <c r="AJ534" s="207"/>
    </row>
    <row r="535" ht="15.75" customHeight="1">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c r="X535" s="207"/>
      <c r="Y535" s="207"/>
      <c r="Z535" s="207"/>
      <c r="AA535" s="207"/>
      <c r="AB535" s="207"/>
      <c r="AC535" s="207"/>
      <c r="AD535" s="207"/>
      <c r="AE535" s="207"/>
      <c r="AF535" s="207"/>
      <c r="AG535" s="207"/>
      <c r="AH535" s="207"/>
      <c r="AI535" s="207"/>
      <c r="AJ535" s="207"/>
    </row>
    <row r="536" ht="15.75" customHeight="1">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c r="X536" s="207"/>
      <c r="Y536" s="207"/>
      <c r="Z536" s="207"/>
      <c r="AA536" s="207"/>
      <c r="AB536" s="207"/>
      <c r="AC536" s="207"/>
      <c r="AD536" s="207"/>
      <c r="AE536" s="207"/>
      <c r="AF536" s="207"/>
      <c r="AG536" s="207"/>
      <c r="AH536" s="207"/>
      <c r="AI536" s="207"/>
      <c r="AJ536" s="207"/>
    </row>
    <row r="537" ht="15.75" customHeight="1">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c r="X537" s="207"/>
      <c r="Y537" s="207"/>
      <c r="Z537" s="207"/>
      <c r="AA537" s="207"/>
      <c r="AB537" s="207"/>
      <c r="AC537" s="207"/>
      <c r="AD537" s="207"/>
      <c r="AE537" s="207"/>
      <c r="AF537" s="207"/>
      <c r="AG537" s="207"/>
      <c r="AH537" s="207"/>
      <c r="AI537" s="207"/>
      <c r="AJ537" s="207"/>
    </row>
    <row r="538" ht="15.75" customHeight="1">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c r="X538" s="207"/>
      <c r="Y538" s="207"/>
      <c r="Z538" s="207"/>
      <c r="AA538" s="207"/>
      <c r="AB538" s="207"/>
      <c r="AC538" s="207"/>
      <c r="AD538" s="207"/>
      <c r="AE538" s="207"/>
      <c r="AF538" s="207"/>
      <c r="AG538" s="207"/>
      <c r="AH538" s="207"/>
      <c r="AI538" s="207"/>
      <c r="AJ538" s="207"/>
    </row>
    <row r="539" ht="15.75" customHeight="1">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c r="X539" s="207"/>
      <c r="Y539" s="207"/>
      <c r="Z539" s="207"/>
      <c r="AA539" s="207"/>
      <c r="AB539" s="207"/>
      <c r="AC539" s="207"/>
      <c r="AD539" s="207"/>
      <c r="AE539" s="207"/>
      <c r="AF539" s="207"/>
      <c r="AG539" s="207"/>
      <c r="AH539" s="207"/>
      <c r="AI539" s="207"/>
      <c r="AJ539" s="207"/>
    </row>
    <row r="540" ht="15.75" customHeight="1">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c r="X540" s="207"/>
      <c r="Y540" s="207"/>
      <c r="Z540" s="207"/>
      <c r="AA540" s="207"/>
      <c r="AB540" s="207"/>
      <c r="AC540" s="207"/>
      <c r="AD540" s="207"/>
      <c r="AE540" s="207"/>
      <c r="AF540" s="207"/>
      <c r="AG540" s="207"/>
      <c r="AH540" s="207"/>
      <c r="AI540" s="207"/>
      <c r="AJ540" s="207"/>
    </row>
    <row r="541" ht="15.75" customHeight="1">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c r="X541" s="207"/>
      <c r="Y541" s="207"/>
      <c r="Z541" s="207"/>
      <c r="AA541" s="207"/>
      <c r="AB541" s="207"/>
      <c r="AC541" s="207"/>
      <c r="AD541" s="207"/>
      <c r="AE541" s="207"/>
      <c r="AF541" s="207"/>
      <c r="AG541" s="207"/>
      <c r="AH541" s="207"/>
      <c r="AI541" s="207"/>
      <c r="AJ541" s="207"/>
    </row>
    <row r="542" ht="15.75" customHeight="1">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c r="X542" s="207"/>
      <c r="Y542" s="207"/>
      <c r="Z542" s="207"/>
      <c r="AA542" s="207"/>
      <c r="AB542" s="207"/>
      <c r="AC542" s="207"/>
      <c r="AD542" s="207"/>
      <c r="AE542" s="207"/>
      <c r="AF542" s="207"/>
      <c r="AG542" s="207"/>
      <c r="AH542" s="207"/>
      <c r="AI542" s="207"/>
      <c r="AJ542" s="207"/>
    </row>
    <row r="543" ht="15.75" customHeight="1">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c r="X543" s="207"/>
      <c r="Y543" s="207"/>
      <c r="Z543" s="207"/>
      <c r="AA543" s="207"/>
      <c r="AB543" s="207"/>
      <c r="AC543" s="207"/>
      <c r="AD543" s="207"/>
      <c r="AE543" s="207"/>
      <c r="AF543" s="207"/>
      <c r="AG543" s="207"/>
      <c r="AH543" s="207"/>
      <c r="AI543" s="207"/>
      <c r="AJ543" s="207"/>
    </row>
    <row r="544" ht="15.75" customHeight="1">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c r="X544" s="207"/>
      <c r="Y544" s="207"/>
      <c r="Z544" s="207"/>
      <c r="AA544" s="207"/>
      <c r="AB544" s="207"/>
      <c r="AC544" s="207"/>
      <c r="AD544" s="207"/>
      <c r="AE544" s="207"/>
      <c r="AF544" s="207"/>
      <c r="AG544" s="207"/>
      <c r="AH544" s="207"/>
      <c r="AI544" s="207"/>
      <c r="AJ544" s="207"/>
    </row>
    <row r="545" ht="15.75" customHeight="1">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c r="X545" s="207"/>
      <c r="Y545" s="207"/>
      <c r="Z545" s="207"/>
      <c r="AA545" s="207"/>
      <c r="AB545" s="207"/>
      <c r="AC545" s="207"/>
      <c r="AD545" s="207"/>
      <c r="AE545" s="207"/>
      <c r="AF545" s="207"/>
      <c r="AG545" s="207"/>
      <c r="AH545" s="207"/>
      <c r="AI545" s="207"/>
      <c r="AJ545" s="207"/>
    </row>
    <row r="546" ht="15.75" customHeight="1">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c r="X546" s="207"/>
      <c r="Y546" s="207"/>
      <c r="Z546" s="207"/>
      <c r="AA546" s="207"/>
      <c r="AB546" s="207"/>
      <c r="AC546" s="207"/>
      <c r="AD546" s="207"/>
      <c r="AE546" s="207"/>
      <c r="AF546" s="207"/>
      <c r="AG546" s="207"/>
      <c r="AH546" s="207"/>
      <c r="AI546" s="207"/>
      <c r="AJ546" s="207"/>
    </row>
    <row r="547" ht="15.75" customHeight="1">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c r="X547" s="207"/>
      <c r="Y547" s="207"/>
      <c r="Z547" s="207"/>
      <c r="AA547" s="207"/>
      <c r="AB547" s="207"/>
      <c r="AC547" s="207"/>
      <c r="AD547" s="207"/>
      <c r="AE547" s="207"/>
      <c r="AF547" s="207"/>
      <c r="AG547" s="207"/>
      <c r="AH547" s="207"/>
      <c r="AI547" s="207"/>
      <c r="AJ547" s="207"/>
    </row>
    <row r="548" ht="15.75" customHeight="1">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c r="X548" s="207"/>
      <c r="Y548" s="207"/>
      <c r="Z548" s="207"/>
      <c r="AA548" s="207"/>
      <c r="AB548" s="207"/>
      <c r="AC548" s="207"/>
      <c r="AD548" s="207"/>
      <c r="AE548" s="207"/>
      <c r="AF548" s="207"/>
      <c r="AG548" s="207"/>
      <c r="AH548" s="207"/>
      <c r="AI548" s="207"/>
      <c r="AJ548" s="207"/>
    </row>
    <row r="549" ht="15.75" customHeight="1">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c r="X549" s="207"/>
      <c r="Y549" s="207"/>
      <c r="Z549" s="207"/>
      <c r="AA549" s="207"/>
      <c r="AB549" s="207"/>
      <c r="AC549" s="207"/>
      <c r="AD549" s="207"/>
      <c r="AE549" s="207"/>
      <c r="AF549" s="207"/>
      <c r="AG549" s="207"/>
      <c r="AH549" s="207"/>
      <c r="AI549" s="207"/>
      <c r="AJ549" s="207"/>
    </row>
    <row r="550" ht="15.75" customHeight="1">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c r="X550" s="207"/>
      <c r="Y550" s="207"/>
      <c r="Z550" s="207"/>
      <c r="AA550" s="207"/>
      <c r="AB550" s="207"/>
      <c r="AC550" s="207"/>
      <c r="AD550" s="207"/>
      <c r="AE550" s="207"/>
      <c r="AF550" s="207"/>
      <c r="AG550" s="207"/>
      <c r="AH550" s="207"/>
      <c r="AI550" s="207"/>
      <c r="AJ550" s="207"/>
    </row>
    <row r="551" ht="15.75" customHeight="1">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c r="X551" s="207"/>
      <c r="Y551" s="207"/>
      <c r="Z551" s="207"/>
      <c r="AA551" s="207"/>
      <c r="AB551" s="207"/>
      <c r="AC551" s="207"/>
      <c r="AD551" s="207"/>
      <c r="AE551" s="207"/>
      <c r="AF551" s="207"/>
      <c r="AG551" s="207"/>
      <c r="AH551" s="207"/>
      <c r="AI551" s="207"/>
      <c r="AJ551" s="207"/>
    </row>
    <row r="552" ht="15.75" customHeight="1">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c r="X552" s="207"/>
      <c r="Y552" s="207"/>
      <c r="Z552" s="207"/>
      <c r="AA552" s="207"/>
      <c r="AB552" s="207"/>
      <c r="AC552" s="207"/>
      <c r="AD552" s="207"/>
      <c r="AE552" s="207"/>
      <c r="AF552" s="207"/>
      <c r="AG552" s="207"/>
      <c r="AH552" s="207"/>
      <c r="AI552" s="207"/>
      <c r="AJ552" s="207"/>
    </row>
    <row r="553" ht="15.75" customHeight="1">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c r="X553" s="207"/>
      <c r="Y553" s="207"/>
      <c r="Z553" s="207"/>
      <c r="AA553" s="207"/>
      <c r="AB553" s="207"/>
      <c r="AC553" s="207"/>
      <c r="AD553" s="207"/>
      <c r="AE553" s="207"/>
      <c r="AF553" s="207"/>
      <c r="AG553" s="207"/>
      <c r="AH553" s="207"/>
      <c r="AI553" s="207"/>
      <c r="AJ553" s="207"/>
    </row>
    <row r="554" ht="15.75" customHeight="1">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c r="X554" s="207"/>
      <c r="Y554" s="207"/>
      <c r="Z554" s="207"/>
      <c r="AA554" s="207"/>
      <c r="AB554" s="207"/>
      <c r="AC554" s="207"/>
      <c r="AD554" s="207"/>
      <c r="AE554" s="207"/>
      <c r="AF554" s="207"/>
      <c r="AG554" s="207"/>
      <c r="AH554" s="207"/>
      <c r="AI554" s="207"/>
      <c r="AJ554" s="207"/>
    </row>
    <row r="555" ht="15.75" customHeight="1">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c r="X555" s="207"/>
      <c r="Y555" s="207"/>
      <c r="Z555" s="207"/>
      <c r="AA555" s="207"/>
      <c r="AB555" s="207"/>
      <c r="AC555" s="207"/>
      <c r="AD555" s="207"/>
      <c r="AE555" s="207"/>
      <c r="AF555" s="207"/>
      <c r="AG555" s="207"/>
      <c r="AH555" s="207"/>
      <c r="AI555" s="207"/>
      <c r="AJ555" s="207"/>
    </row>
    <row r="556" ht="15.75" customHeight="1">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c r="X556" s="207"/>
      <c r="Y556" s="207"/>
      <c r="Z556" s="207"/>
      <c r="AA556" s="207"/>
      <c r="AB556" s="207"/>
      <c r="AC556" s="207"/>
      <c r="AD556" s="207"/>
      <c r="AE556" s="207"/>
      <c r="AF556" s="207"/>
      <c r="AG556" s="207"/>
      <c r="AH556" s="207"/>
      <c r="AI556" s="207"/>
      <c r="AJ556" s="207"/>
    </row>
    <row r="557" ht="15.75" customHeight="1">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c r="X557" s="207"/>
      <c r="Y557" s="207"/>
      <c r="Z557" s="207"/>
      <c r="AA557" s="207"/>
      <c r="AB557" s="207"/>
      <c r="AC557" s="207"/>
      <c r="AD557" s="207"/>
      <c r="AE557" s="207"/>
      <c r="AF557" s="207"/>
      <c r="AG557" s="207"/>
      <c r="AH557" s="207"/>
      <c r="AI557" s="207"/>
      <c r="AJ557" s="207"/>
    </row>
    <row r="558" ht="15.75" customHeight="1">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c r="X558" s="207"/>
      <c r="Y558" s="207"/>
      <c r="Z558" s="207"/>
      <c r="AA558" s="207"/>
      <c r="AB558" s="207"/>
      <c r="AC558" s="207"/>
      <c r="AD558" s="207"/>
      <c r="AE558" s="207"/>
      <c r="AF558" s="207"/>
      <c r="AG558" s="207"/>
      <c r="AH558" s="207"/>
      <c r="AI558" s="207"/>
      <c r="AJ558" s="207"/>
    </row>
    <row r="559" ht="15.75" customHeight="1">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c r="X559" s="207"/>
      <c r="Y559" s="207"/>
      <c r="Z559" s="207"/>
      <c r="AA559" s="207"/>
      <c r="AB559" s="207"/>
      <c r="AC559" s="207"/>
      <c r="AD559" s="207"/>
      <c r="AE559" s="207"/>
      <c r="AF559" s="207"/>
      <c r="AG559" s="207"/>
      <c r="AH559" s="207"/>
      <c r="AI559" s="207"/>
      <c r="AJ559" s="207"/>
    </row>
    <row r="560" ht="15.75" customHeight="1">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c r="X560" s="207"/>
      <c r="Y560" s="207"/>
      <c r="Z560" s="207"/>
      <c r="AA560" s="207"/>
      <c r="AB560" s="207"/>
      <c r="AC560" s="207"/>
      <c r="AD560" s="207"/>
      <c r="AE560" s="207"/>
      <c r="AF560" s="207"/>
      <c r="AG560" s="207"/>
      <c r="AH560" s="207"/>
      <c r="AI560" s="207"/>
      <c r="AJ560" s="207"/>
    </row>
    <row r="561" ht="15.75" customHeight="1">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c r="X561" s="207"/>
      <c r="Y561" s="207"/>
      <c r="Z561" s="207"/>
      <c r="AA561" s="207"/>
      <c r="AB561" s="207"/>
      <c r="AC561" s="207"/>
      <c r="AD561" s="207"/>
      <c r="AE561" s="207"/>
      <c r="AF561" s="207"/>
      <c r="AG561" s="207"/>
      <c r="AH561" s="207"/>
      <c r="AI561" s="207"/>
      <c r="AJ561" s="207"/>
    </row>
    <row r="562" ht="15.75" customHeight="1">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c r="X562" s="207"/>
      <c r="Y562" s="207"/>
      <c r="Z562" s="207"/>
      <c r="AA562" s="207"/>
      <c r="AB562" s="207"/>
      <c r="AC562" s="207"/>
      <c r="AD562" s="207"/>
      <c r="AE562" s="207"/>
      <c r="AF562" s="207"/>
      <c r="AG562" s="207"/>
      <c r="AH562" s="207"/>
      <c r="AI562" s="207"/>
      <c r="AJ562" s="207"/>
    </row>
    <row r="563" ht="15.75" customHeight="1">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c r="X563" s="207"/>
      <c r="Y563" s="207"/>
      <c r="Z563" s="207"/>
      <c r="AA563" s="207"/>
      <c r="AB563" s="207"/>
      <c r="AC563" s="207"/>
      <c r="AD563" s="207"/>
      <c r="AE563" s="207"/>
      <c r="AF563" s="207"/>
      <c r="AG563" s="207"/>
      <c r="AH563" s="207"/>
      <c r="AI563" s="207"/>
      <c r="AJ563" s="207"/>
    </row>
    <row r="564" ht="15.75" customHeight="1">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c r="X564" s="207"/>
      <c r="Y564" s="207"/>
      <c r="Z564" s="207"/>
      <c r="AA564" s="207"/>
      <c r="AB564" s="207"/>
      <c r="AC564" s="207"/>
      <c r="AD564" s="207"/>
      <c r="AE564" s="207"/>
      <c r="AF564" s="207"/>
      <c r="AG564" s="207"/>
      <c r="AH564" s="207"/>
      <c r="AI564" s="207"/>
      <c r="AJ564" s="207"/>
    </row>
    <row r="565" ht="15.75" customHeight="1">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c r="AG565" s="207"/>
      <c r="AH565" s="207"/>
      <c r="AI565" s="207"/>
      <c r="AJ565" s="207"/>
    </row>
    <row r="566" ht="15.75" customHeight="1">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c r="X566" s="207"/>
      <c r="Y566" s="207"/>
      <c r="Z566" s="207"/>
      <c r="AA566" s="207"/>
      <c r="AB566" s="207"/>
      <c r="AC566" s="207"/>
      <c r="AD566" s="207"/>
      <c r="AE566" s="207"/>
      <c r="AF566" s="207"/>
      <c r="AG566" s="207"/>
      <c r="AH566" s="207"/>
      <c r="AI566" s="207"/>
      <c r="AJ566" s="207"/>
    </row>
    <row r="567" ht="15.75" customHeight="1">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c r="X567" s="207"/>
      <c r="Y567" s="207"/>
      <c r="Z567" s="207"/>
      <c r="AA567" s="207"/>
      <c r="AB567" s="207"/>
      <c r="AC567" s="207"/>
      <c r="AD567" s="207"/>
      <c r="AE567" s="207"/>
      <c r="AF567" s="207"/>
      <c r="AG567" s="207"/>
      <c r="AH567" s="207"/>
      <c r="AI567" s="207"/>
      <c r="AJ567" s="207"/>
    </row>
    <row r="568" ht="15.75" customHeight="1">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c r="X568" s="207"/>
      <c r="Y568" s="207"/>
      <c r="Z568" s="207"/>
      <c r="AA568" s="207"/>
      <c r="AB568" s="207"/>
      <c r="AC568" s="207"/>
      <c r="AD568" s="207"/>
      <c r="AE568" s="207"/>
      <c r="AF568" s="207"/>
      <c r="AG568" s="207"/>
      <c r="AH568" s="207"/>
      <c r="AI568" s="207"/>
      <c r="AJ568" s="207"/>
    </row>
    <row r="569" ht="15.75" customHeight="1">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c r="X569" s="207"/>
      <c r="Y569" s="207"/>
      <c r="Z569" s="207"/>
      <c r="AA569" s="207"/>
      <c r="AB569" s="207"/>
      <c r="AC569" s="207"/>
      <c r="AD569" s="207"/>
      <c r="AE569" s="207"/>
      <c r="AF569" s="207"/>
      <c r="AG569" s="207"/>
      <c r="AH569" s="207"/>
      <c r="AI569" s="207"/>
      <c r="AJ569" s="207"/>
    </row>
    <row r="570" ht="15.75" customHeight="1">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c r="X570" s="207"/>
      <c r="Y570" s="207"/>
      <c r="Z570" s="207"/>
      <c r="AA570" s="207"/>
      <c r="AB570" s="207"/>
      <c r="AC570" s="207"/>
      <c r="AD570" s="207"/>
      <c r="AE570" s="207"/>
      <c r="AF570" s="207"/>
      <c r="AG570" s="207"/>
      <c r="AH570" s="207"/>
      <c r="AI570" s="207"/>
      <c r="AJ570" s="207"/>
    </row>
    <row r="571" ht="15.75" customHeight="1">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c r="X571" s="207"/>
      <c r="Y571" s="207"/>
      <c r="Z571" s="207"/>
      <c r="AA571" s="207"/>
      <c r="AB571" s="207"/>
      <c r="AC571" s="207"/>
      <c r="AD571" s="207"/>
      <c r="AE571" s="207"/>
      <c r="AF571" s="207"/>
      <c r="AG571" s="207"/>
      <c r="AH571" s="207"/>
      <c r="AI571" s="207"/>
      <c r="AJ571" s="207"/>
    </row>
    <row r="572" ht="15.75" customHeight="1">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c r="X572" s="207"/>
      <c r="Y572" s="207"/>
      <c r="Z572" s="207"/>
      <c r="AA572" s="207"/>
      <c r="AB572" s="207"/>
      <c r="AC572" s="207"/>
      <c r="AD572" s="207"/>
      <c r="AE572" s="207"/>
      <c r="AF572" s="207"/>
      <c r="AG572" s="207"/>
      <c r="AH572" s="207"/>
      <c r="AI572" s="207"/>
      <c r="AJ572" s="207"/>
    </row>
    <row r="573" ht="15.75" customHeight="1">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c r="X573" s="207"/>
      <c r="Y573" s="207"/>
      <c r="Z573" s="207"/>
      <c r="AA573" s="207"/>
      <c r="AB573" s="207"/>
      <c r="AC573" s="207"/>
      <c r="AD573" s="207"/>
      <c r="AE573" s="207"/>
      <c r="AF573" s="207"/>
      <c r="AG573" s="207"/>
      <c r="AH573" s="207"/>
      <c r="AI573" s="207"/>
      <c r="AJ573" s="207"/>
    </row>
    <row r="574" ht="15.75" customHeight="1">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c r="X574" s="207"/>
      <c r="Y574" s="207"/>
      <c r="Z574" s="207"/>
      <c r="AA574" s="207"/>
      <c r="AB574" s="207"/>
      <c r="AC574" s="207"/>
      <c r="AD574" s="207"/>
      <c r="AE574" s="207"/>
      <c r="AF574" s="207"/>
      <c r="AG574" s="207"/>
      <c r="AH574" s="207"/>
      <c r="AI574" s="207"/>
      <c r="AJ574" s="207"/>
    </row>
    <row r="575" ht="15.75" customHeight="1">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c r="X575" s="207"/>
      <c r="Y575" s="207"/>
      <c r="Z575" s="207"/>
      <c r="AA575" s="207"/>
      <c r="AB575" s="207"/>
      <c r="AC575" s="207"/>
      <c r="AD575" s="207"/>
      <c r="AE575" s="207"/>
      <c r="AF575" s="207"/>
      <c r="AG575" s="207"/>
      <c r="AH575" s="207"/>
      <c r="AI575" s="207"/>
      <c r="AJ575" s="207"/>
    </row>
    <row r="576" ht="15.75" customHeight="1">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c r="X576" s="207"/>
      <c r="Y576" s="207"/>
      <c r="Z576" s="207"/>
      <c r="AA576" s="207"/>
      <c r="AB576" s="207"/>
      <c r="AC576" s="207"/>
      <c r="AD576" s="207"/>
      <c r="AE576" s="207"/>
      <c r="AF576" s="207"/>
      <c r="AG576" s="207"/>
      <c r="AH576" s="207"/>
      <c r="AI576" s="207"/>
      <c r="AJ576" s="207"/>
    </row>
    <row r="577" ht="15.75" customHeight="1">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c r="X577" s="207"/>
      <c r="Y577" s="207"/>
      <c r="Z577" s="207"/>
      <c r="AA577" s="207"/>
      <c r="AB577" s="207"/>
      <c r="AC577" s="207"/>
      <c r="AD577" s="207"/>
      <c r="AE577" s="207"/>
      <c r="AF577" s="207"/>
      <c r="AG577" s="207"/>
      <c r="AH577" s="207"/>
      <c r="AI577" s="207"/>
      <c r="AJ577" s="207"/>
    </row>
    <row r="578" ht="15.75" customHeight="1">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c r="X578" s="207"/>
      <c r="Y578" s="207"/>
      <c r="Z578" s="207"/>
      <c r="AA578" s="207"/>
      <c r="AB578" s="207"/>
      <c r="AC578" s="207"/>
      <c r="AD578" s="207"/>
      <c r="AE578" s="207"/>
      <c r="AF578" s="207"/>
      <c r="AG578" s="207"/>
      <c r="AH578" s="207"/>
      <c r="AI578" s="207"/>
      <c r="AJ578" s="207"/>
    </row>
    <row r="579" ht="15.75" customHeight="1">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c r="X579" s="207"/>
      <c r="Y579" s="207"/>
      <c r="Z579" s="207"/>
      <c r="AA579" s="207"/>
      <c r="AB579" s="207"/>
      <c r="AC579" s="207"/>
      <c r="AD579" s="207"/>
      <c r="AE579" s="207"/>
      <c r="AF579" s="207"/>
      <c r="AG579" s="207"/>
      <c r="AH579" s="207"/>
      <c r="AI579" s="207"/>
      <c r="AJ579" s="207"/>
    </row>
    <row r="580" ht="15.75" customHeight="1">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c r="X580" s="207"/>
      <c r="Y580" s="207"/>
      <c r="Z580" s="207"/>
      <c r="AA580" s="207"/>
      <c r="AB580" s="207"/>
      <c r="AC580" s="207"/>
      <c r="AD580" s="207"/>
      <c r="AE580" s="207"/>
      <c r="AF580" s="207"/>
      <c r="AG580" s="207"/>
      <c r="AH580" s="207"/>
      <c r="AI580" s="207"/>
      <c r="AJ580" s="207"/>
    </row>
    <row r="581" ht="15.75" customHeight="1">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c r="X581" s="207"/>
      <c r="Y581" s="207"/>
      <c r="Z581" s="207"/>
      <c r="AA581" s="207"/>
      <c r="AB581" s="207"/>
      <c r="AC581" s="207"/>
      <c r="AD581" s="207"/>
      <c r="AE581" s="207"/>
      <c r="AF581" s="207"/>
      <c r="AG581" s="207"/>
      <c r="AH581" s="207"/>
      <c r="AI581" s="207"/>
      <c r="AJ581" s="207"/>
    </row>
    <row r="582" ht="15.75" customHeight="1">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c r="X582" s="207"/>
      <c r="Y582" s="207"/>
      <c r="Z582" s="207"/>
      <c r="AA582" s="207"/>
      <c r="AB582" s="207"/>
      <c r="AC582" s="207"/>
      <c r="AD582" s="207"/>
      <c r="AE582" s="207"/>
      <c r="AF582" s="207"/>
      <c r="AG582" s="207"/>
      <c r="AH582" s="207"/>
      <c r="AI582" s="207"/>
      <c r="AJ582" s="207"/>
    </row>
    <row r="583" ht="15.75" customHeight="1">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c r="X583" s="207"/>
      <c r="Y583" s="207"/>
      <c r="Z583" s="207"/>
      <c r="AA583" s="207"/>
      <c r="AB583" s="207"/>
      <c r="AC583" s="207"/>
      <c r="AD583" s="207"/>
      <c r="AE583" s="207"/>
      <c r="AF583" s="207"/>
      <c r="AG583" s="207"/>
      <c r="AH583" s="207"/>
      <c r="AI583" s="207"/>
      <c r="AJ583" s="207"/>
    </row>
    <row r="584" ht="15.75" customHeight="1">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c r="X584" s="207"/>
      <c r="Y584" s="207"/>
      <c r="Z584" s="207"/>
      <c r="AA584" s="207"/>
      <c r="AB584" s="207"/>
      <c r="AC584" s="207"/>
      <c r="AD584" s="207"/>
      <c r="AE584" s="207"/>
      <c r="AF584" s="207"/>
      <c r="AG584" s="207"/>
      <c r="AH584" s="207"/>
      <c r="AI584" s="207"/>
      <c r="AJ584" s="207"/>
    </row>
    <row r="585" ht="15.75" customHeight="1">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c r="X585" s="207"/>
      <c r="Y585" s="207"/>
      <c r="Z585" s="207"/>
      <c r="AA585" s="207"/>
      <c r="AB585" s="207"/>
      <c r="AC585" s="207"/>
      <c r="AD585" s="207"/>
      <c r="AE585" s="207"/>
      <c r="AF585" s="207"/>
      <c r="AG585" s="207"/>
      <c r="AH585" s="207"/>
      <c r="AI585" s="207"/>
      <c r="AJ585" s="207"/>
    </row>
    <row r="586" ht="15.75" customHeight="1">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c r="X586" s="207"/>
      <c r="Y586" s="207"/>
      <c r="Z586" s="207"/>
      <c r="AA586" s="207"/>
      <c r="AB586" s="207"/>
      <c r="AC586" s="207"/>
      <c r="AD586" s="207"/>
      <c r="AE586" s="207"/>
      <c r="AF586" s="207"/>
      <c r="AG586" s="207"/>
      <c r="AH586" s="207"/>
      <c r="AI586" s="207"/>
      <c r="AJ586" s="207"/>
    </row>
    <row r="587" ht="15.75" customHeight="1">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c r="X587" s="207"/>
      <c r="Y587" s="207"/>
      <c r="Z587" s="207"/>
      <c r="AA587" s="207"/>
      <c r="AB587" s="207"/>
      <c r="AC587" s="207"/>
      <c r="AD587" s="207"/>
      <c r="AE587" s="207"/>
      <c r="AF587" s="207"/>
      <c r="AG587" s="207"/>
      <c r="AH587" s="207"/>
      <c r="AI587" s="207"/>
      <c r="AJ587" s="207"/>
    </row>
    <row r="588" ht="15.75" customHeight="1">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c r="X588" s="207"/>
      <c r="Y588" s="207"/>
      <c r="Z588" s="207"/>
      <c r="AA588" s="207"/>
      <c r="AB588" s="207"/>
      <c r="AC588" s="207"/>
      <c r="AD588" s="207"/>
      <c r="AE588" s="207"/>
      <c r="AF588" s="207"/>
      <c r="AG588" s="207"/>
      <c r="AH588" s="207"/>
      <c r="AI588" s="207"/>
      <c r="AJ588" s="207"/>
    </row>
    <row r="589" ht="15.75" customHeight="1">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c r="X589" s="207"/>
      <c r="Y589" s="207"/>
      <c r="Z589" s="207"/>
      <c r="AA589" s="207"/>
      <c r="AB589" s="207"/>
      <c r="AC589" s="207"/>
      <c r="AD589" s="207"/>
      <c r="AE589" s="207"/>
      <c r="AF589" s="207"/>
      <c r="AG589" s="207"/>
      <c r="AH589" s="207"/>
      <c r="AI589" s="207"/>
      <c r="AJ589" s="207"/>
    </row>
    <row r="590" ht="15.75" customHeight="1">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c r="X590" s="207"/>
      <c r="Y590" s="207"/>
      <c r="Z590" s="207"/>
      <c r="AA590" s="207"/>
      <c r="AB590" s="207"/>
      <c r="AC590" s="207"/>
      <c r="AD590" s="207"/>
      <c r="AE590" s="207"/>
      <c r="AF590" s="207"/>
      <c r="AG590" s="207"/>
      <c r="AH590" s="207"/>
      <c r="AI590" s="207"/>
      <c r="AJ590" s="207"/>
    </row>
    <row r="591" ht="15.75" customHeight="1">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c r="X591" s="207"/>
      <c r="Y591" s="207"/>
      <c r="Z591" s="207"/>
      <c r="AA591" s="207"/>
      <c r="AB591" s="207"/>
      <c r="AC591" s="207"/>
      <c r="AD591" s="207"/>
      <c r="AE591" s="207"/>
      <c r="AF591" s="207"/>
      <c r="AG591" s="207"/>
      <c r="AH591" s="207"/>
      <c r="AI591" s="207"/>
      <c r="AJ591" s="207"/>
    </row>
    <row r="592" ht="15.75" customHeight="1">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c r="X592" s="207"/>
      <c r="Y592" s="207"/>
      <c r="Z592" s="207"/>
      <c r="AA592" s="207"/>
      <c r="AB592" s="207"/>
      <c r="AC592" s="207"/>
      <c r="AD592" s="207"/>
      <c r="AE592" s="207"/>
      <c r="AF592" s="207"/>
      <c r="AG592" s="207"/>
      <c r="AH592" s="207"/>
      <c r="AI592" s="207"/>
      <c r="AJ592" s="207"/>
    </row>
    <row r="593" ht="15.75" customHeight="1">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c r="X593" s="207"/>
      <c r="Y593" s="207"/>
      <c r="Z593" s="207"/>
      <c r="AA593" s="207"/>
      <c r="AB593" s="207"/>
      <c r="AC593" s="207"/>
      <c r="AD593" s="207"/>
      <c r="AE593" s="207"/>
      <c r="AF593" s="207"/>
      <c r="AG593" s="207"/>
      <c r="AH593" s="207"/>
      <c r="AI593" s="207"/>
      <c r="AJ593" s="207"/>
    </row>
    <row r="594" ht="15.75" customHeight="1">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c r="X594" s="207"/>
      <c r="Y594" s="207"/>
      <c r="Z594" s="207"/>
      <c r="AA594" s="207"/>
      <c r="AB594" s="207"/>
      <c r="AC594" s="207"/>
      <c r="AD594" s="207"/>
      <c r="AE594" s="207"/>
      <c r="AF594" s="207"/>
      <c r="AG594" s="207"/>
      <c r="AH594" s="207"/>
      <c r="AI594" s="207"/>
      <c r="AJ594" s="207"/>
    </row>
    <row r="595" ht="15.75" customHeight="1">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c r="X595" s="207"/>
      <c r="Y595" s="207"/>
      <c r="Z595" s="207"/>
      <c r="AA595" s="207"/>
      <c r="AB595" s="207"/>
      <c r="AC595" s="207"/>
      <c r="AD595" s="207"/>
      <c r="AE595" s="207"/>
      <c r="AF595" s="207"/>
      <c r="AG595" s="207"/>
      <c r="AH595" s="207"/>
      <c r="AI595" s="207"/>
      <c r="AJ595" s="207"/>
    </row>
    <row r="596" ht="15.75" customHeight="1">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c r="X596" s="207"/>
      <c r="Y596" s="207"/>
      <c r="Z596" s="207"/>
      <c r="AA596" s="207"/>
      <c r="AB596" s="207"/>
      <c r="AC596" s="207"/>
      <c r="AD596" s="207"/>
      <c r="AE596" s="207"/>
      <c r="AF596" s="207"/>
      <c r="AG596" s="207"/>
      <c r="AH596" s="207"/>
      <c r="AI596" s="207"/>
      <c r="AJ596" s="207"/>
    </row>
    <row r="597" ht="15.75" customHeight="1">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c r="X597" s="207"/>
      <c r="Y597" s="207"/>
      <c r="Z597" s="207"/>
      <c r="AA597" s="207"/>
      <c r="AB597" s="207"/>
      <c r="AC597" s="207"/>
      <c r="AD597" s="207"/>
      <c r="AE597" s="207"/>
      <c r="AF597" s="207"/>
      <c r="AG597" s="207"/>
      <c r="AH597" s="207"/>
      <c r="AI597" s="207"/>
      <c r="AJ597" s="207"/>
    </row>
    <row r="598" ht="15.75" customHeight="1">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c r="X598" s="207"/>
      <c r="Y598" s="207"/>
      <c r="Z598" s="207"/>
      <c r="AA598" s="207"/>
      <c r="AB598" s="207"/>
      <c r="AC598" s="207"/>
      <c r="AD598" s="207"/>
      <c r="AE598" s="207"/>
      <c r="AF598" s="207"/>
      <c r="AG598" s="207"/>
      <c r="AH598" s="207"/>
      <c r="AI598" s="207"/>
      <c r="AJ598" s="207"/>
    </row>
    <row r="599" ht="15.75" customHeight="1">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c r="X599" s="207"/>
      <c r="Y599" s="207"/>
      <c r="Z599" s="207"/>
      <c r="AA599" s="207"/>
      <c r="AB599" s="207"/>
      <c r="AC599" s="207"/>
      <c r="AD599" s="207"/>
      <c r="AE599" s="207"/>
      <c r="AF599" s="207"/>
      <c r="AG599" s="207"/>
      <c r="AH599" s="207"/>
      <c r="AI599" s="207"/>
      <c r="AJ599" s="207"/>
    </row>
    <row r="600" ht="15.75" customHeight="1">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c r="X600" s="207"/>
      <c r="Y600" s="207"/>
      <c r="Z600" s="207"/>
      <c r="AA600" s="207"/>
      <c r="AB600" s="207"/>
      <c r="AC600" s="207"/>
      <c r="AD600" s="207"/>
      <c r="AE600" s="207"/>
      <c r="AF600" s="207"/>
      <c r="AG600" s="207"/>
      <c r="AH600" s="207"/>
      <c r="AI600" s="207"/>
      <c r="AJ600" s="207"/>
    </row>
    <row r="601" ht="15.75" customHeight="1">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c r="X601" s="207"/>
      <c r="Y601" s="207"/>
      <c r="Z601" s="207"/>
      <c r="AA601" s="207"/>
      <c r="AB601" s="207"/>
      <c r="AC601" s="207"/>
      <c r="AD601" s="207"/>
      <c r="AE601" s="207"/>
      <c r="AF601" s="207"/>
      <c r="AG601" s="207"/>
      <c r="AH601" s="207"/>
      <c r="AI601" s="207"/>
      <c r="AJ601" s="207"/>
    </row>
    <row r="602" ht="15.75" customHeight="1">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c r="X602" s="207"/>
      <c r="Y602" s="207"/>
      <c r="Z602" s="207"/>
      <c r="AA602" s="207"/>
      <c r="AB602" s="207"/>
      <c r="AC602" s="207"/>
      <c r="AD602" s="207"/>
      <c r="AE602" s="207"/>
      <c r="AF602" s="207"/>
      <c r="AG602" s="207"/>
      <c r="AH602" s="207"/>
      <c r="AI602" s="207"/>
      <c r="AJ602" s="207"/>
    </row>
    <row r="603" ht="15.75" customHeight="1">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c r="X603" s="207"/>
      <c r="Y603" s="207"/>
      <c r="Z603" s="207"/>
      <c r="AA603" s="207"/>
      <c r="AB603" s="207"/>
      <c r="AC603" s="207"/>
      <c r="AD603" s="207"/>
      <c r="AE603" s="207"/>
      <c r="AF603" s="207"/>
      <c r="AG603" s="207"/>
      <c r="AH603" s="207"/>
      <c r="AI603" s="207"/>
      <c r="AJ603" s="207"/>
    </row>
    <row r="604" ht="15.75" customHeight="1">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c r="X604" s="207"/>
      <c r="Y604" s="207"/>
      <c r="Z604" s="207"/>
      <c r="AA604" s="207"/>
      <c r="AB604" s="207"/>
      <c r="AC604" s="207"/>
      <c r="AD604" s="207"/>
      <c r="AE604" s="207"/>
      <c r="AF604" s="207"/>
      <c r="AG604" s="207"/>
      <c r="AH604" s="207"/>
      <c r="AI604" s="207"/>
      <c r="AJ604" s="207"/>
    </row>
    <row r="605" ht="15.75" customHeight="1">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c r="X605" s="207"/>
      <c r="Y605" s="207"/>
      <c r="Z605" s="207"/>
      <c r="AA605" s="207"/>
      <c r="AB605" s="207"/>
      <c r="AC605" s="207"/>
      <c r="AD605" s="207"/>
      <c r="AE605" s="207"/>
      <c r="AF605" s="207"/>
      <c r="AG605" s="207"/>
      <c r="AH605" s="207"/>
      <c r="AI605" s="207"/>
      <c r="AJ605" s="207"/>
    </row>
    <row r="606" ht="15.75" customHeight="1">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c r="X606" s="207"/>
      <c r="Y606" s="207"/>
      <c r="Z606" s="207"/>
      <c r="AA606" s="207"/>
      <c r="AB606" s="207"/>
      <c r="AC606" s="207"/>
      <c r="AD606" s="207"/>
      <c r="AE606" s="207"/>
      <c r="AF606" s="207"/>
      <c r="AG606" s="207"/>
      <c r="AH606" s="207"/>
      <c r="AI606" s="207"/>
      <c r="AJ606" s="207"/>
    </row>
    <row r="607" ht="15.75" customHeight="1">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c r="X607" s="207"/>
      <c r="Y607" s="207"/>
      <c r="Z607" s="207"/>
      <c r="AA607" s="207"/>
      <c r="AB607" s="207"/>
      <c r="AC607" s="207"/>
      <c r="AD607" s="207"/>
      <c r="AE607" s="207"/>
      <c r="AF607" s="207"/>
      <c r="AG607" s="207"/>
      <c r="AH607" s="207"/>
      <c r="AI607" s="207"/>
      <c r="AJ607" s="207"/>
    </row>
    <row r="608" ht="15.75" customHeight="1">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c r="X608" s="207"/>
      <c r="Y608" s="207"/>
      <c r="Z608" s="207"/>
      <c r="AA608" s="207"/>
      <c r="AB608" s="207"/>
      <c r="AC608" s="207"/>
      <c r="AD608" s="207"/>
      <c r="AE608" s="207"/>
      <c r="AF608" s="207"/>
      <c r="AG608" s="207"/>
      <c r="AH608" s="207"/>
      <c r="AI608" s="207"/>
      <c r="AJ608" s="207"/>
    </row>
    <row r="609" ht="15.75" customHeight="1">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c r="X609" s="207"/>
      <c r="Y609" s="207"/>
      <c r="Z609" s="207"/>
      <c r="AA609" s="207"/>
      <c r="AB609" s="207"/>
      <c r="AC609" s="207"/>
      <c r="AD609" s="207"/>
      <c r="AE609" s="207"/>
      <c r="AF609" s="207"/>
      <c r="AG609" s="207"/>
      <c r="AH609" s="207"/>
      <c r="AI609" s="207"/>
      <c r="AJ609" s="207"/>
    </row>
    <row r="610" ht="15.75" customHeight="1">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c r="X610" s="207"/>
      <c r="Y610" s="207"/>
      <c r="Z610" s="207"/>
      <c r="AA610" s="207"/>
      <c r="AB610" s="207"/>
      <c r="AC610" s="207"/>
      <c r="AD610" s="207"/>
      <c r="AE610" s="207"/>
      <c r="AF610" s="207"/>
      <c r="AG610" s="207"/>
      <c r="AH610" s="207"/>
      <c r="AI610" s="207"/>
      <c r="AJ610" s="207"/>
    </row>
    <row r="611" ht="15.75" customHeight="1">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c r="X611" s="207"/>
      <c r="Y611" s="207"/>
      <c r="Z611" s="207"/>
      <c r="AA611" s="207"/>
      <c r="AB611" s="207"/>
      <c r="AC611" s="207"/>
      <c r="AD611" s="207"/>
      <c r="AE611" s="207"/>
      <c r="AF611" s="207"/>
      <c r="AG611" s="207"/>
      <c r="AH611" s="207"/>
      <c r="AI611" s="207"/>
      <c r="AJ611" s="207"/>
    </row>
    <row r="612" ht="15.75" customHeight="1">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c r="X612" s="207"/>
      <c r="Y612" s="207"/>
      <c r="Z612" s="207"/>
      <c r="AA612" s="207"/>
      <c r="AB612" s="207"/>
      <c r="AC612" s="207"/>
      <c r="AD612" s="207"/>
      <c r="AE612" s="207"/>
      <c r="AF612" s="207"/>
      <c r="AG612" s="207"/>
      <c r="AH612" s="207"/>
      <c r="AI612" s="207"/>
      <c r="AJ612" s="207"/>
    </row>
    <row r="613" ht="15.75" customHeight="1">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c r="X613" s="207"/>
      <c r="Y613" s="207"/>
      <c r="Z613" s="207"/>
      <c r="AA613" s="207"/>
      <c r="AB613" s="207"/>
      <c r="AC613" s="207"/>
      <c r="AD613" s="207"/>
      <c r="AE613" s="207"/>
      <c r="AF613" s="207"/>
      <c r="AG613" s="207"/>
      <c r="AH613" s="207"/>
      <c r="AI613" s="207"/>
      <c r="AJ613" s="207"/>
    </row>
    <row r="614" ht="15.75" customHeight="1">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c r="X614" s="207"/>
      <c r="Y614" s="207"/>
      <c r="Z614" s="207"/>
      <c r="AA614" s="207"/>
      <c r="AB614" s="207"/>
      <c r="AC614" s="207"/>
      <c r="AD614" s="207"/>
      <c r="AE614" s="207"/>
      <c r="AF614" s="207"/>
      <c r="AG614" s="207"/>
      <c r="AH614" s="207"/>
      <c r="AI614" s="207"/>
      <c r="AJ614" s="207"/>
    </row>
    <row r="615" ht="15.75" customHeight="1">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c r="X615" s="207"/>
      <c r="Y615" s="207"/>
      <c r="Z615" s="207"/>
      <c r="AA615" s="207"/>
      <c r="AB615" s="207"/>
      <c r="AC615" s="207"/>
      <c r="AD615" s="207"/>
      <c r="AE615" s="207"/>
      <c r="AF615" s="207"/>
      <c r="AG615" s="207"/>
      <c r="AH615" s="207"/>
      <c r="AI615" s="207"/>
      <c r="AJ615" s="207"/>
    </row>
    <row r="616" ht="15.75" customHeight="1">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c r="X616" s="207"/>
      <c r="Y616" s="207"/>
      <c r="Z616" s="207"/>
      <c r="AA616" s="207"/>
      <c r="AB616" s="207"/>
      <c r="AC616" s="207"/>
      <c r="AD616" s="207"/>
      <c r="AE616" s="207"/>
      <c r="AF616" s="207"/>
      <c r="AG616" s="207"/>
      <c r="AH616" s="207"/>
      <c r="AI616" s="207"/>
      <c r="AJ616" s="207"/>
    </row>
    <row r="617" ht="15.75" customHeight="1">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c r="X617" s="207"/>
      <c r="Y617" s="207"/>
      <c r="Z617" s="207"/>
      <c r="AA617" s="207"/>
      <c r="AB617" s="207"/>
      <c r="AC617" s="207"/>
      <c r="AD617" s="207"/>
      <c r="AE617" s="207"/>
      <c r="AF617" s="207"/>
      <c r="AG617" s="207"/>
      <c r="AH617" s="207"/>
      <c r="AI617" s="207"/>
      <c r="AJ617" s="207"/>
    </row>
    <row r="618" ht="15.75" customHeight="1">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c r="X618" s="207"/>
      <c r="Y618" s="207"/>
      <c r="Z618" s="207"/>
      <c r="AA618" s="207"/>
      <c r="AB618" s="207"/>
      <c r="AC618" s="207"/>
      <c r="AD618" s="207"/>
      <c r="AE618" s="207"/>
      <c r="AF618" s="207"/>
      <c r="AG618" s="207"/>
      <c r="AH618" s="207"/>
      <c r="AI618" s="207"/>
      <c r="AJ618" s="207"/>
    </row>
    <row r="619" ht="15.75" customHeight="1">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c r="X619" s="207"/>
      <c r="Y619" s="207"/>
      <c r="Z619" s="207"/>
      <c r="AA619" s="207"/>
      <c r="AB619" s="207"/>
      <c r="AC619" s="207"/>
      <c r="AD619" s="207"/>
      <c r="AE619" s="207"/>
      <c r="AF619" s="207"/>
      <c r="AG619" s="207"/>
      <c r="AH619" s="207"/>
      <c r="AI619" s="207"/>
      <c r="AJ619" s="207"/>
    </row>
    <row r="620" ht="15.75" customHeight="1">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c r="X620" s="207"/>
      <c r="Y620" s="207"/>
      <c r="Z620" s="207"/>
      <c r="AA620" s="207"/>
      <c r="AB620" s="207"/>
      <c r="AC620" s="207"/>
      <c r="AD620" s="207"/>
      <c r="AE620" s="207"/>
      <c r="AF620" s="207"/>
      <c r="AG620" s="207"/>
      <c r="AH620" s="207"/>
      <c r="AI620" s="207"/>
      <c r="AJ620" s="207"/>
    </row>
    <row r="621" ht="15.75" customHeight="1">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c r="X621" s="207"/>
      <c r="Y621" s="207"/>
      <c r="Z621" s="207"/>
      <c r="AA621" s="207"/>
      <c r="AB621" s="207"/>
      <c r="AC621" s="207"/>
      <c r="AD621" s="207"/>
      <c r="AE621" s="207"/>
      <c r="AF621" s="207"/>
      <c r="AG621" s="207"/>
      <c r="AH621" s="207"/>
      <c r="AI621" s="207"/>
      <c r="AJ621" s="207"/>
    </row>
    <row r="622" ht="15.75" customHeight="1">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c r="X622" s="207"/>
      <c r="Y622" s="207"/>
      <c r="Z622" s="207"/>
      <c r="AA622" s="207"/>
      <c r="AB622" s="207"/>
      <c r="AC622" s="207"/>
      <c r="AD622" s="207"/>
      <c r="AE622" s="207"/>
      <c r="AF622" s="207"/>
      <c r="AG622" s="207"/>
      <c r="AH622" s="207"/>
      <c r="AI622" s="207"/>
      <c r="AJ622" s="207"/>
    </row>
    <row r="623" ht="15.75" customHeight="1">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c r="AA623" s="207"/>
      <c r="AB623" s="207"/>
      <c r="AC623" s="207"/>
      <c r="AD623" s="207"/>
      <c r="AE623" s="207"/>
      <c r="AF623" s="207"/>
      <c r="AG623" s="207"/>
      <c r="AH623" s="207"/>
      <c r="AI623" s="207"/>
      <c r="AJ623" s="207"/>
    </row>
    <row r="624" ht="15.75" customHeight="1">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c r="X624" s="207"/>
      <c r="Y624" s="207"/>
      <c r="Z624" s="207"/>
      <c r="AA624" s="207"/>
      <c r="AB624" s="207"/>
      <c r="AC624" s="207"/>
      <c r="AD624" s="207"/>
      <c r="AE624" s="207"/>
      <c r="AF624" s="207"/>
      <c r="AG624" s="207"/>
      <c r="AH624" s="207"/>
      <c r="AI624" s="207"/>
      <c r="AJ624" s="207"/>
    </row>
    <row r="625" ht="15.75" customHeight="1">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c r="X625" s="207"/>
      <c r="Y625" s="207"/>
      <c r="Z625" s="207"/>
      <c r="AA625" s="207"/>
      <c r="AB625" s="207"/>
      <c r="AC625" s="207"/>
      <c r="AD625" s="207"/>
      <c r="AE625" s="207"/>
      <c r="AF625" s="207"/>
      <c r="AG625" s="207"/>
      <c r="AH625" s="207"/>
      <c r="AI625" s="207"/>
      <c r="AJ625" s="207"/>
    </row>
    <row r="626" ht="15.75" customHeight="1">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c r="X626" s="207"/>
      <c r="Y626" s="207"/>
      <c r="Z626" s="207"/>
      <c r="AA626" s="207"/>
      <c r="AB626" s="207"/>
      <c r="AC626" s="207"/>
      <c r="AD626" s="207"/>
      <c r="AE626" s="207"/>
      <c r="AF626" s="207"/>
      <c r="AG626" s="207"/>
      <c r="AH626" s="207"/>
      <c r="AI626" s="207"/>
      <c r="AJ626" s="207"/>
    </row>
    <row r="627" ht="15.75" customHeight="1">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c r="X627" s="207"/>
      <c r="Y627" s="207"/>
      <c r="Z627" s="207"/>
      <c r="AA627" s="207"/>
      <c r="AB627" s="207"/>
      <c r="AC627" s="207"/>
      <c r="AD627" s="207"/>
      <c r="AE627" s="207"/>
      <c r="AF627" s="207"/>
      <c r="AG627" s="207"/>
      <c r="AH627" s="207"/>
      <c r="AI627" s="207"/>
      <c r="AJ627" s="207"/>
    </row>
    <row r="628" ht="15.75" customHeight="1">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c r="X628" s="207"/>
      <c r="Y628" s="207"/>
      <c r="Z628" s="207"/>
      <c r="AA628" s="207"/>
      <c r="AB628" s="207"/>
      <c r="AC628" s="207"/>
      <c r="AD628" s="207"/>
      <c r="AE628" s="207"/>
      <c r="AF628" s="207"/>
      <c r="AG628" s="207"/>
      <c r="AH628" s="207"/>
      <c r="AI628" s="207"/>
      <c r="AJ628" s="207"/>
    </row>
    <row r="629" ht="15.75" customHeight="1">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c r="X629" s="207"/>
      <c r="Y629" s="207"/>
      <c r="Z629" s="207"/>
      <c r="AA629" s="207"/>
      <c r="AB629" s="207"/>
      <c r="AC629" s="207"/>
      <c r="AD629" s="207"/>
      <c r="AE629" s="207"/>
      <c r="AF629" s="207"/>
      <c r="AG629" s="207"/>
      <c r="AH629" s="207"/>
      <c r="AI629" s="207"/>
      <c r="AJ629" s="207"/>
    </row>
    <row r="630" ht="15.75" customHeight="1">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c r="X630" s="207"/>
      <c r="Y630" s="207"/>
      <c r="Z630" s="207"/>
      <c r="AA630" s="207"/>
      <c r="AB630" s="207"/>
      <c r="AC630" s="207"/>
      <c r="AD630" s="207"/>
      <c r="AE630" s="207"/>
      <c r="AF630" s="207"/>
      <c r="AG630" s="207"/>
      <c r="AH630" s="207"/>
      <c r="AI630" s="207"/>
      <c r="AJ630" s="207"/>
    </row>
    <row r="631" ht="15.75" customHeight="1">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c r="X631" s="207"/>
      <c r="Y631" s="207"/>
      <c r="Z631" s="207"/>
      <c r="AA631" s="207"/>
      <c r="AB631" s="207"/>
      <c r="AC631" s="207"/>
      <c r="AD631" s="207"/>
      <c r="AE631" s="207"/>
      <c r="AF631" s="207"/>
      <c r="AG631" s="207"/>
      <c r="AH631" s="207"/>
      <c r="AI631" s="207"/>
      <c r="AJ631" s="207"/>
    </row>
    <row r="632" ht="15.75" customHeight="1">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c r="X632" s="207"/>
      <c r="Y632" s="207"/>
      <c r="Z632" s="207"/>
      <c r="AA632" s="207"/>
      <c r="AB632" s="207"/>
      <c r="AC632" s="207"/>
      <c r="AD632" s="207"/>
      <c r="AE632" s="207"/>
      <c r="AF632" s="207"/>
      <c r="AG632" s="207"/>
      <c r="AH632" s="207"/>
      <c r="AI632" s="207"/>
      <c r="AJ632" s="207"/>
    </row>
    <row r="633" ht="15.75" customHeight="1">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c r="X633" s="207"/>
      <c r="Y633" s="207"/>
      <c r="Z633" s="207"/>
      <c r="AA633" s="207"/>
      <c r="AB633" s="207"/>
      <c r="AC633" s="207"/>
      <c r="AD633" s="207"/>
      <c r="AE633" s="207"/>
      <c r="AF633" s="207"/>
      <c r="AG633" s="207"/>
      <c r="AH633" s="207"/>
      <c r="AI633" s="207"/>
      <c r="AJ633" s="207"/>
    </row>
    <row r="634" ht="15.75" customHeight="1">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c r="X634" s="207"/>
      <c r="Y634" s="207"/>
      <c r="Z634" s="207"/>
      <c r="AA634" s="207"/>
      <c r="AB634" s="207"/>
      <c r="AC634" s="207"/>
      <c r="AD634" s="207"/>
      <c r="AE634" s="207"/>
      <c r="AF634" s="207"/>
      <c r="AG634" s="207"/>
      <c r="AH634" s="207"/>
      <c r="AI634" s="207"/>
      <c r="AJ634" s="207"/>
    </row>
    <row r="635" ht="15.75" customHeight="1">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c r="X635" s="207"/>
      <c r="Y635" s="207"/>
      <c r="Z635" s="207"/>
      <c r="AA635" s="207"/>
      <c r="AB635" s="207"/>
      <c r="AC635" s="207"/>
      <c r="AD635" s="207"/>
      <c r="AE635" s="207"/>
      <c r="AF635" s="207"/>
      <c r="AG635" s="207"/>
      <c r="AH635" s="207"/>
      <c r="AI635" s="207"/>
      <c r="AJ635" s="207"/>
    </row>
    <row r="636" ht="15.75" customHeight="1">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c r="X636" s="207"/>
      <c r="Y636" s="207"/>
      <c r="Z636" s="207"/>
      <c r="AA636" s="207"/>
      <c r="AB636" s="207"/>
      <c r="AC636" s="207"/>
      <c r="AD636" s="207"/>
      <c r="AE636" s="207"/>
      <c r="AF636" s="207"/>
      <c r="AG636" s="207"/>
      <c r="AH636" s="207"/>
      <c r="AI636" s="207"/>
      <c r="AJ636" s="207"/>
    </row>
    <row r="637" ht="15.75" customHeight="1">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c r="X637" s="207"/>
      <c r="Y637" s="207"/>
      <c r="Z637" s="207"/>
      <c r="AA637" s="207"/>
      <c r="AB637" s="207"/>
      <c r="AC637" s="207"/>
      <c r="AD637" s="207"/>
      <c r="AE637" s="207"/>
      <c r="AF637" s="207"/>
      <c r="AG637" s="207"/>
      <c r="AH637" s="207"/>
      <c r="AI637" s="207"/>
      <c r="AJ637" s="207"/>
    </row>
    <row r="638" ht="15.75" customHeight="1">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c r="X638" s="207"/>
      <c r="Y638" s="207"/>
      <c r="Z638" s="207"/>
      <c r="AA638" s="207"/>
      <c r="AB638" s="207"/>
      <c r="AC638" s="207"/>
      <c r="AD638" s="207"/>
      <c r="AE638" s="207"/>
      <c r="AF638" s="207"/>
      <c r="AG638" s="207"/>
      <c r="AH638" s="207"/>
      <c r="AI638" s="207"/>
      <c r="AJ638" s="207"/>
    </row>
    <row r="639" ht="15.75" customHeight="1">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c r="X639" s="207"/>
      <c r="Y639" s="207"/>
      <c r="Z639" s="207"/>
      <c r="AA639" s="207"/>
      <c r="AB639" s="207"/>
      <c r="AC639" s="207"/>
      <c r="AD639" s="207"/>
      <c r="AE639" s="207"/>
      <c r="AF639" s="207"/>
      <c r="AG639" s="207"/>
      <c r="AH639" s="207"/>
      <c r="AI639" s="207"/>
      <c r="AJ639" s="207"/>
    </row>
    <row r="640" ht="15.75" customHeight="1">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c r="X640" s="207"/>
      <c r="Y640" s="207"/>
      <c r="Z640" s="207"/>
      <c r="AA640" s="207"/>
      <c r="AB640" s="207"/>
      <c r="AC640" s="207"/>
      <c r="AD640" s="207"/>
      <c r="AE640" s="207"/>
      <c r="AF640" s="207"/>
      <c r="AG640" s="207"/>
      <c r="AH640" s="207"/>
      <c r="AI640" s="207"/>
      <c r="AJ640" s="207"/>
    </row>
    <row r="641" ht="15.75" customHeight="1">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c r="X641" s="207"/>
      <c r="Y641" s="207"/>
      <c r="Z641" s="207"/>
      <c r="AA641" s="207"/>
      <c r="AB641" s="207"/>
      <c r="AC641" s="207"/>
      <c r="AD641" s="207"/>
      <c r="AE641" s="207"/>
      <c r="AF641" s="207"/>
      <c r="AG641" s="207"/>
      <c r="AH641" s="207"/>
      <c r="AI641" s="207"/>
      <c r="AJ641" s="207"/>
    </row>
    <row r="642" ht="15.75" customHeight="1">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c r="X642" s="207"/>
      <c r="Y642" s="207"/>
      <c r="Z642" s="207"/>
      <c r="AA642" s="207"/>
      <c r="AB642" s="207"/>
      <c r="AC642" s="207"/>
      <c r="AD642" s="207"/>
      <c r="AE642" s="207"/>
      <c r="AF642" s="207"/>
      <c r="AG642" s="207"/>
      <c r="AH642" s="207"/>
      <c r="AI642" s="207"/>
      <c r="AJ642" s="207"/>
    </row>
    <row r="643" ht="15.75" customHeight="1">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c r="X643" s="207"/>
      <c r="Y643" s="207"/>
      <c r="Z643" s="207"/>
      <c r="AA643" s="207"/>
      <c r="AB643" s="207"/>
      <c r="AC643" s="207"/>
      <c r="AD643" s="207"/>
      <c r="AE643" s="207"/>
      <c r="AF643" s="207"/>
      <c r="AG643" s="207"/>
      <c r="AH643" s="207"/>
      <c r="AI643" s="207"/>
      <c r="AJ643" s="207"/>
    </row>
    <row r="644" ht="15.75" customHeight="1">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c r="X644" s="207"/>
      <c r="Y644" s="207"/>
      <c r="Z644" s="207"/>
      <c r="AA644" s="207"/>
      <c r="AB644" s="207"/>
      <c r="AC644" s="207"/>
      <c r="AD644" s="207"/>
      <c r="AE644" s="207"/>
      <c r="AF644" s="207"/>
      <c r="AG644" s="207"/>
      <c r="AH644" s="207"/>
      <c r="AI644" s="207"/>
      <c r="AJ644" s="207"/>
    </row>
    <row r="645" ht="15.75" customHeight="1">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c r="X645" s="207"/>
      <c r="Y645" s="207"/>
      <c r="Z645" s="207"/>
      <c r="AA645" s="207"/>
      <c r="AB645" s="207"/>
      <c r="AC645" s="207"/>
      <c r="AD645" s="207"/>
      <c r="AE645" s="207"/>
      <c r="AF645" s="207"/>
      <c r="AG645" s="207"/>
      <c r="AH645" s="207"/>
      <c r="AI645" s="207"/>
      <c r="AJ645" s="207"/>
    </row>
    <row r="646" ht="15.75" customHeight="1">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c r="X646" s="207"/>
      <c r="Y646" s="207"/>
      <c r="Z646" s="207"/>
      <c r="AA646" s="207"/>
      <c r="AB646" s="207"/>
      <c r="AC646" s="207"/>
      <c r="AD646" s="207"/>
      <c r="AE646" s="207"/>
      <c r="AF646" s="207"/>
      <c r="AG646" s="207"/>
      <c r="AH646" s="207"/>
      <c r="AI646" s="207"/>
      <c r="AJ646" s="207"/>
    </row>
    <row r="647" ht="15.75" customHeight="1">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c r="AA647" s="207"/>
      <c r="AB647" s="207"/>
      <c r="AC647" s="207"/>
      <c r="AD647" s="207"/>
      <c r="AE647" s="207"/>
      <c r="AF647" s="207"/>
      <c r="AG647" s="207"/>
      <c r="AH647" s="207"/>
      <c r="AI647" s="207"/>
      <c r="AJ647" s="207"/>
    </row>
    <row r="648" ht="15.75" customHeight="1">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c r="X648" s="207"/>
      <c r="Y648" s="207"/>
      <c r="Z648" s="207"/>
      <c r="AA648" s="207"/>
      <c r="AB648" s="207"/>
      <c r="AC648" s="207"/>
      <c r="AD648" s="207"/>
      <c r="AE648" s="207"/>
      <c r="AF648" s="207"/>
      <c r="AG648" s="207"/>
      <c r="AH648" s="207"/>
      <c r="AI648" s="207"/>
      <c r="AJ648" s="207"/>
    </row>
    <row r="649" ht="15.75" customHeight="1">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c r="X649" s="207"/>
      <c r="Y649" s="207"/>
      <c r="Z649" s="207"/>
      <c r="AA649" s="207"/>
      <c r="AB649" s="207"/>
      <c r="AC649" s="207"/>
      <c r="AD649" s="207"/>
      <c r="AE649" s="207"/>
      <c r="AF649" s="207"/>
      <c r="AG649" s="207"/>
      <c r="AH649" s="207"/>
      <c r="AI649" s="207"/>
      <c r="AJ649" s="207"/>
    </row>
    <row r="650" ht="15.75" customHeight="1">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c r="X650" s="207"/>
      <c r="Y650" s="207"/>
      <c r="Z650" s="207"/>
      <c r="AA650" s="207"/>
      <c r="AB650" s="207"/>
      <c r="AC650" s="207"/>
      <c r="AD650" s="207"/>
      <c r="AE650" s="207"/>
      <c r="AF650" s="207"/>
      <c r="AG650" s="207"/>
      <c r="AH650" s="207"/>
      <c r="AI650" s="207"/>
      <c r="AJ650" s="207"/>
    </row>
    <row r="651" ht="15.75" customHeight="1">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c r="X651" s="207"/>
      <c r="Y651" s="207"/>
      <c r="Z651" s="207"/>
      <c r="AA651" s="207"/>
      <c r="AB651" s="207"/>
      <c r="AC651" s="207"/>
      <c r="AD651" s="207"/>
      <c r="AE651" s="207"/>
      <c r="AF651" s="207"/>
      <c r="AG651" s="207"/>
      <c r="AH651" s="207"/>
      <c r="AI651" s="207"/>
      <c r="AJ651" s="207"/>
    </row>
    <row r="652" ht="15.75" customHeight="1">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c r="X652" s="207"/>
      <c r="Y652" s="207"/>
      <c r="Z652" s="207"/>
      <c r="AA652" s="207"/>
      <c r="AB652" s="207"/>
      <c r="AC652" s="207"/>
      <c r="AD652" s="207"/>
      <c r="AE652" s="207"/>
      <c r="AF652" s="207"/>
      <c r="AG652" s="207"/>
      <c r="AH652" s="207"/>
      <c r="AI652" s="207"/>
      <c r="AJ652" s="207"/>
    </row>
    <row r="653" ht="15.75" customHeight="1">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c r="X653" s="207"/>
      <c r="Y653" s="207"/>
      <c r="Z653" s="207"/>
      <c r="AA653" s="207"/>
      <c r="AB653" s="207"/>
      <c r="AC653" s="207"/>
      <c r="AD653" s="207"/>
      <c r="AE653" s="207"/>
      <c r="AF653" s="207"/>
      <c r="AG653" s="207"/>
      <c r="AH653" s="207"/>
      <c r="AI653" s="207"/>
      <c r="AJ653" s="207"/>
    </row>
    <row r="654" ht="15.75" customHeight="1">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c r="X654" s="207"/>
      <c r="Y654" s="207"/>
      <c r="Z654" s="207"/>
      <c r="AA654" s="207"/>
      <c r="AB654" s="207"/>
      <c r="AC654" s="207"/>
      <c r="AD654" s="207"/>
      <c r="AE654" s="207"/>
      <c r="AF654" s="207"/>
      <c r="AG654" s="207"/>
      <c r="AH654" s="207"/>
      <c r="AI654" s="207"/>
      <c r="AJ654" s="207"/>
    </row>
    <row r="655" ht="15.75" customHeight="1">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c r="X655" s="207"/>
      <c r="Y655" s="207"/>
      <c r="Z655" s="207"/>
      <c r="AA655" s="207"/>
      <c r="AB655" s="207"/>
      <c r="AC655" s="207"/>
      <c r="AD655" s="207"/>
      <c r="AE655" s="207"/>
      <c r="AF655" s="207"/>
      <c r="AG655" s="207"/>
      <c r="AH655" s="207"/>
      <c r="AI655" s="207"/>
      <c r="AJ655" s="207"/>
    </row>
    <row r="656" ht="15.75" customHeight="1">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c r="X656" s="207"/>
      <c r="Y656" s="207"/>
      <c r="Z656" s="207"/>
      <c r="AA656" s="207"/>
      <c r="AB656" s="207"/>
      <c r="AC656" s="207"/>
      <c r="AD656" s="207"/>
      <c r="AE656" s="207"/>
      <c r="AF656" s="207"/>
      <c r="AG656" s="207"/>
      <c r="AH656" s="207"/>
      <c r="AI656" s="207"/>
      <c r="AJ656" s="207"/>
    </row>
    <row r="657" ht="15.75" customHeight="1">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c r="X657" s="207"/>
      <c r="Y657" s="207"/>
      <c r="Z657" s="207"/>
      <c r="AA657" s="207"/>
      <c r="AB657" s="207"/>
      <c r="AC657" s="207"/>
      <c r="AD657" s="207"/>
      <c r="AE657" s="207"/>
      <c r="AF657" s="207"/>
      <c r="AG657" s="207"/>
      <c r="AH657" s="207"/>
      <c r="AI657" s="207"/>
      <c r="AJ657" s="207"/>
    </row>
    <row r="658" ht="15.75" customHeight="1">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c r="X658" s="207"/>
      <c r="Y658" s="207"/>
      <c r="Z658" s="207"/>
      <c r="AA658" s="207"/>
      <c r="AB658" s="207"/>
      <c r="AC658" s="207"/>
      <c r="AD658" s="207"/>
      <c r="AE658" s="207"/>
      <c r="AF658" s="207"/>
      <c r="AG658" s="207"/>
      <c r="AH658" s="207"/>
      <c r="AI658" s="207"/>
      <c r="AJ658" s="207"/>
    </row>
    <row r="659" ht="15.75" customHeight="1">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c r="X659" s="207"/>
      <c r="Y659" s="207"/>
      <c r="Z659" s="207"/>
      <c r="AA659" s="207"/>
      <c r="AB659" s="207"/>
      <c r="AC659" s="207"/>
      <c r="AD659" s="207"/>
      <c r="AE659" s="207"/>
      <c r="AF659" s="207"/>
      <c r="AG659" s="207"/>
      <c r="AH659" s="207"/>
      <c r="AI659" s="207"/>
      <c r="AJ659" s="207"/>
    </row>
    <row r="660" ht="15.75" customHeight="1">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c r="X660" s="207"/>
      <c r="Y660" s="207"/>
      <c r="Z660" s="207"/>
      <c r="AA660" s="207"/>
      <c r="AB660" s="207"/>
      <c r="AC660" s="207"/>
      <c r="AD660" s="207"/>
      <c r="AE660" s="207"/>
      <c r="AF660" s="207"/>
      <c r="AG660" s="207"/>
      <c r="AH660" s="207"/>
      <c r="AI660" s="207"/>
      <c r="AJ660" s="207"/>
    </row>
    <row r="661" ht="15.75" customHeight="1">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c r="X661" s="207"/>
      <c r="Y661" s="207"/>
      <c r="Z661" s="207"/>
      <c r="AA661" s="207"/>
      <c r="AB661" s="207"/>
      <c r="AC661" s="207"/>
      <c r="AD661" s="207"/>
      <c r="AE661" s="207"/>
      <c r="AF661" s="207"/>
      <c r="AG661" s="207"/>
      <c r="AH661" s="207"/>
      <c r="AI661" s="207"/>
      <c r="AJ661" s="207"/>
    </row>
    <row r="662" ht="15.75" customHeight="1">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c r="X662" s="207"/>
      <c r="Y662" s="207"/>
      <c r="Z662" s="207"/>
      <c r="AA662" s="207"/>
      <c r="AB662" s="207"/>
      <c r="AC662" s="207"/>
      <c r="AD662" s="207"/>
      <c r="AE662" s="207"/>
      <c r="AF662" s="207"/>
      <c r="AG662" s="207"/>
      <c r="AH662" s="207"/>
      <c r="AI662" s="207"/>
      <c r="AJ662" s="207"/>
    </row>
    <row r="663" ht="15.75" customHeight="1">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c r="AG663" s="207"/>
      <c r="AH663" s="207"/>
      <c r="AI663" s="207"/>
      <c r="AJ663" s="207"/>
    </row>
    <row r="664" ht="15.75" customHeight="1">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c r="X664" s="207"/>
      <c r="Y664" s="207"/>
      <c r="Z664" s="207"/>
      <c r="AA664" s="207"/>
      <c r="AB664" s="207"/>
      <c r="AC664" s="207"/>
      <c r="AD664" s="207"/>
      <c r="AE664" s="207"/>
      <c r="AF664" s="207"/>
      <c r="AG664" s="207"/>
      <c r="AH664" s="207"/>
      <c r="AI664" s="207"/>
      <c r="AJ664" s="207"/>
    </row>
    <row r="665" ht="15.75" customHeight="1">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c r="X665" s="207"/>
      <c r="Y665" s="207"/>
      <c r="Z665" s="207"/>
      <c r="AA665" s="207"/>
      <c r="AB665" s="207"/>
      <c r="AC665" s="207"/>
      <c r="AD665" s="207"/>
      <c r="AE665" s="207"/>
      <c r="AF665" s="207"/>
      <c r="AG665" s="207"/>
      <c r="AH665" s="207"/>
      <c r="AI665" s="207"/>
      <c r="AJ665" s="207"/>
    </row>
    <row r="666" ht="15.75" customHeight="1">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c r="X666" s="207"/>
      <c r="Y666" s="207"/>
      <c r="Z666" s="207"/>
      <c r="AA666" s="207"/>
      <c r="AB666" s="207"/>
      <c r="AC666" s="207"/>
      <c r="AD666" s="207"/>
      <c r="AE666" s="207"/>
      <c r="AF666" s="207"/>
      <c r="AG666" s="207"/>
      <c r="AH666" s="207"/>
      <c r="AI666" s="207"/>
      <c r="AJ666" s="207"/>
    </row>
    <row r="667" ht="15.75" customHeight="1">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c r="X667" s="207"/>
      <c r="Y667" s="207"/>
      <c r="Z667" s="207"/>
      <c r="AA667" s="207"/>
      <c r="AB667" s="207"/>
      <c r="AC667" s="207"/>
      <c r="AD667" s="207"/>
      <c r="AE667" s="207"/>
      <c r="AF667" s="207"/>
      <c r="AG667" s="207"/>
      <c r="AH667" s="207"/>
      <c r="AI667" s="207"/>
      <c r="AJ667" s="207"/>
    </row>
    <row r="668" ht="15.75" customHeight="1">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c r="X668" s="207"/>
      <c r="Y668" s="207"/>
      <c r="Z668" s="207"/>
      <c r="AA668" s="207"/>
      <c r="AB668" s="207"/>
      <c r="AC668" s="207"/>
      <c r="AD668" s="207"/>
      <c r="AE668" s="207"/>
      <c r="AF668" s="207"/>
      <c r="AG668" s="207"/>
      <c r="AH668" s="207"/>
      <c r="AI668" s="207"/>
      <c r="AJ668" s="207"/>
    </row>
    <row r="669" ht="15.75" customHeight="1">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c r="X669" s="207"/>
      <c r="Y669" s="207"/>
      <c r="Z669" s="207"/>
      <c r="AA669" s="207"/>
      <c r="AB669" s="207"/>
      <c r="AC669" s="207"/>
      <c r="AD669" s="207"/>
      <c r="AE669" s="207"/>
      <c r="AF669" s="207"/>
      <c r="AG669" s="207"/>
      <c r="AH669" s="207"/>
      <c r="AI669" s="207"/>
      <c r="AJ669" s="207"/>
    </row>
    <row r="670" ht="15.75" customHeight="1">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c r="X670" s="207"/>
      <c r="Y670" s="207"/>
      <c r="Z670" s="207"/>
      <c r="AA670" s="207"/>
      <c r="AB670" s="207"/>
      <c r="AC670" s="207"/>
      <c r="AD670" s="207"/>
      <c r="AE670" s="207"/>
      <c r="AF670" s="207"/>
      <c r="AG670" s="207"/>
      <c r="AH670" s="207"/>
      <c r="AI670" s="207"/>
      <c r="AJ670" s="207"/>
    </row>
    <row r="671" ht="15.75" customHeight="1">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c r="X671" s="207"/>
      <c r="Y671" s="207"/>
      <c r="Z671" s="207"/>
      <c r="AA671" s="207"/>
      <c r="AB671" s="207"/>
      <c r="AC671" s="207"/>
      <c r="AD671" s="207"/>
      <c r="AE671" s="207"/>
      <c r="AF671" s="207"/>
      <c r="AG671" s="207"/>
      <c r="AH671" s="207"/>
      <c r="AI671" s="207"/>
      <c r="AJ671" s="207"/>
    </row>
    <row r="672" ht="15.75" customHeight="1">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c r="X672" s="207"/>
      <c r="Y672" s="207"/>
      <c r="Z672" s="207"/>
      <c r="AA672" s="207"/>
      <c r="AB672" s="207"/>
      <c r="AC672" s="207"/>
      <c r="AD672" s="207"/>
      <c r="AE672" s="207"/>
      <c r="AF672" s="207"/>
      <c r="AG672" s="207"/>
      <c r="AH672" s="207"/>
      <c r="AI672" s="207"/>
      <c r="AJ672" s="207"/>
    </row>
    <row r="673" ht="15.75" customHeight="1">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c r="X673" s="207"/>
      <c r="Y673" s="207"/>
      <c r="Z673" s="207"/>
      <c r="AA673" s="207"/>
      <c r="AB673" s="207"/>
      <c r="AC673" s="207"/>
      <c r="AD673" s="207"/>
      <c r="AE673" s="207"/>
      <c r="AF673" s="207"/>
      <c r="AG673" s="207"/>
      <c r="AH673" s="207"/>
      <c r="AI673" s="207"/>
      <c r="AJ673" s="207"/>
    </row>
    <row r="674" ht="15.75" customHeight="1">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c r="X674" s="207"/>
      <c r="Y674" s="207"/>
      <c r="Z674" s="207"/>
      <c r="AA674" s="207"/>
      <c r="AB674" s="207"/>
      <c r="AC674" s="207"/>
      <c r="AD674" s="207"/>
      <c r="AE674" s="207"/>
      <c r="AF674" s="207"/>
      <c r="AG674" s="207"/>
      <c r="AH674" s="207"/>
      <c r="AI674" s="207"/>
      <c r="AJ674" s="207"/>
    </row>
    <row r="675" ht="15.75" customHeight="1">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c r="X675" s="207"/>
      <c r="Y675" s="207"/>
      <c r="Z675" s="207"/>
      <c r="AA675" s="207"/>
      <c r="AB675" s="207"/>
      <c r="AC675" s="207"/>
      <c r="AD675" s="207"/>
      <c r="AE675" s="207"/>
      <c r="AF675" s="207"/>
      <c r="AG675" s="207"/>
      <c r="AH675" s="207"/>
      <c r="AI675" s="207"/>
      <c r="AJ675" s="207"/>
    </row>
    <row r="676" ht="15.75" customHeight="1">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c r="X676" s="207"/>
      <c r="Y676" s="207"/>
      <c r="Z676" s="207"/>
      <c r="AA676" s="207"/>
      <c r="AB676" s="207"/>
      <c r="AC676" s="207"/>
      <c r="AD676" s="207"/>
      <c r="AE676" s="207"/>
      <c r="AF676" s="207"/>
      <c r="AG676" s="207"/>
      <c r="AH676" s="207"/>
      <c r="AI676" s="207"/>
      <c r="AJ676" s="207"/>
    </row>
    <row r="677" ht="15.75" customHeight="1">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c r="X677" s="207"/>
      <c r="Y677" s="207"/>
      <c r="Z677" s="207"/>
      <c r="AA677" s="207"/>
      <c r="AB677" s="207"/>
      <c r="AC677" s="207"/>
      <c r="AD677" s="207"/>
      <c r="AE677" s="207"/>
      <c r="AF677" s="207"/>
      <c r="AG677" s="207"/>
      <c r="AH677" s="207"/>
      <c r="AI677" s="207"/>
      <c r="AJ677" s="207"/>
    </row>
    <row r="678" ht="15.75" customHeight="1">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c r="X678" s="207"/>
      <c r="Y678" s="207"/>
      <c r="Z678" s="207"/>
      <c r="AA678" s="207"/>
      <c r="AB678" s="207"/>
      <c r="AC678" s="207"/>
      <c r="AD678" s="207"/>
      <c r="AE678" s="207"/>
      <c r="AF678" s="207"/>
      <c r="AG678" s="207"/>
      <c r="AH678" s="207"/>
      <c r="AI678" s="207"/>
      <c r="AJ678" s="207"/>
    </row>
    <row r="679" ht="15.75" customHeight="1">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c r="X679" s="207"/>
      <c r="Y679" s="207"/>
      <c r="Z679" s="207"/>
      <c r="AA679" s="207"/>
      <c r="AB679" s="207"/>
      <c r="AC679" s="207"/>
      <c r="AD679" s="207"/>
      <c r="AE679" s="207"/>
      <c r="AF679" s="207"/>
      <c r="AG679" s="207"/>
      <c r="AH679" s="207"/>
      <c r="AI679" s="207"/>
      <c r="AJ679" s="207"/>
    </row>
    <row r="680" ht="15.75" customHeight="1">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c r="X680" s="207"/>
      <c r="Y680" s="207"/>
      <c r="Z680" s="207"/>
      <c r="AA680" s="207"/>
      <c r="AB680" s="207"/>
      <c r="AC680" s="207"/>
      <c r="AD680" s="207"/>
      <c r="AE680" s="207"/>
      <c r="AF680" s="207"/>
      <c r="AG680" s="207"/>
      <c r="AH680" s="207"/>
      <c r="AI680" s="207"/>
      <c r="AJ680" s="207"/>
    </row>
    <row r="681" ht="15.75" customHeight="1">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c r="X681" s="207"/>
      <c r="Y681" s="207"/>
      <c r="Z681" s="207"/>
      <c r="AA681" s="207"/>
      <c r="AB681" s="207"/>
      <c r="AC681" s="207"/>
      <c r="AD681" s="207"/>
      <c r="AE681" s="207"/>
      <c r="AF681" s="207"/>
      <c r="AG681" s="207"/>
      <c r="AH681" s="207"/>
      <c r="AI681" s="207"/>
      <c r="AJ681" s="207"/>
    </row>
    <row r="682" ht="15.75" customHeight="1">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c r="X682" s="207"/>
      <c r="Y682" s="207"/>
      <c r="Z682" s="207"/>
      <c r="AA682" s="207"/>
      <c r="AB682" s="207"/>
      <c r="AC682" s="207"/>
      <c r="AD682" s="207"/>
      <c r="AE682" s="207"/>
      <c r="AF682" s="207"/>
      <c r="AG682" s="207"/>
      <c r="AH682" s="207"/>
      <c r="AI682" s="207"/>
      <c r="AJ682" s="207"/>
    </row>
    <row r="683" ht="15.75" customHeight="1">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c r="X683" s="207"/>
      <c r="Y683" s="207"/>
      <c r="Z683" s="207"/>
      <c r="AA683" s="207"/>
      <c r="AB683" s="207"/>
      <c r="AC683" s="207"/>
      <c r="AD683" s="207"/>
      <c r="AE683" s="207"/>
      <c r="AF683" s="207"/>
      <c r="AG683" s="207"/>
      <c r="AH683" s="207"/>
      <c r="AI683" s="207"/>
      <c r="AJ683" s="207"/>
    </row>
    <row r="684" ht="15.75" customHeight="1">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c r="X684" s="207"/>
      <c r="Y684" s="207"/>
      <c r="Z684" s="207"/>
      <c r="AA684" s="207"/>
      <c r="AB684" s="207"/>
      <c r="AC684" s="207"/>
      <c r="AD684" s="207"/>
      <c r="AE684" s="207"/>
      <c r="AF684" s="207"/>
      <c r="AG684" s="207"/>
      <c r="AH684" s="207"/>
      <c r="AI684" s="207"/>
      <c r="AJ684" s="207"/>
    </row>
    <row r="685" ht="15.75" customHeight="1">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c r="X685" s="207"/>
      <c r="Y685" s="207"/>
      <c r="Z685" s="207"/>
      <c r="AA685" s="207"/>
      <c r="AB685" s="207"/>
      <c r="AC685" s="207"/>
      <c r="AD685" s="207"/>
      <c r="AE685" s="207"/>
      <c r="AF685" s="207"/>
      <c r="AG685" s="207"/>
      <c r="AH685" s="207"/>
      <c r="AI685" s="207"/>
      <c r="AJ685" s="207"/>
    </row>
    <row r="686" ht="15.75" customHeight="1">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c r="X686" s="207"/>
      <c r="Y686" s="207"/>
      <c r="Z686" s="207"/>
      <c r="AA686" s="207"/>
      <c r="AB686" s="207"/>
      <c r="AC686" s="207"/>
      <c r="AD686" s="207"/>
      <c r="AE686" s="207"/>
      <c r="AF686" s="207"/>
      <c r="AG686" s="207"/>
      <c r="AH686" s="207"/>
      <c r="AI686" s="207"/>
      <c r="AJ686" s="207"/>
    </row>
    <row r="687" ht="15.75" customHeight="1">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c r="X687" s="207"/>
      <c r="Y687" s="207"/>
      <c r="Z687" s="207"/>
      <c r="AA687" s="207"/>
      <c r="AB687" s="207"/>
      <c r="AC687" s="207"/>
      <c r="AD687" s="207"/>
      <c r="AE687" s="207"/>
      <c r="AF687" s="207"/>
      <c r="AG687" s="207"/>
      <c r="AH687" s="207"/>
      <c r="AI687" s="207"/>
      <c r="AJ687" s="207"/>
    </row>
    <row r="688" ht="15.75" customHeight="1">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c r="X688" s="207"/>
      <c r="Y688" s="207"/>
      <c r="Z688" s="207"/>
      <c r="AA688" s="207"/>
      <c r="AB688" s="207"/>
      <c r="AC688" s="207"/>
      <c r="AD688" s="207"/>
      <c r="AE688" s="207"/>
      <c r="AF688" s="207"/>
      <c r="AG688" s="207"/>
      <c r="AH688" s="207"/>
      <c r="AI688" s="207"/>
      <c r="AJ688" s="207"/>
    </row>
    <row r="689" ht="15.75" customHeight="1">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c r="X689" s="207"/>
      <c r="Y689" s="207"/>
      <c r="Z689" s="207"/>
      <c r="AA689" s="207"/>
      <c r="AB689" s="207"/>
      <c r="AC689" s="207"/>
      <c r="AD689" s="207"/>
      <c r="AE689" s="207"/>
      <c r="AF689" s="207"/>
      <c r="AG689" s="207"/>
      <c r="AH689" s="207"/>
      <c r="AI689" s="207"/>
      <c r="AJ689" s="207"/>
    </row>
    <row r="690" ht="15.75" customHeight="1">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c r="X690" s="207"/>
      <c r="Y690" s="207"/>
      <c r="Z690" s="207"/>
      <c r="AA690" s="207"/>
      <c r="AB690" s="207"/>
      <c r="AC690" s="207"/>
      <c r="AD690" s="207"/>
      <c r="AE690" s="207"/>
      <c r="AF690" s="207"/>
      <c r="AG690" s="207"/>
      <c r="AH690" s="207"/>
      <c r="AI690" s="207"/>
      <c r="AJ690" s="207"/>
    </row>
    <row r="691" ht="15.75" customHeight="1">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c r="X691" s="207"/>
      <c r="Y691" s="207"/>
      <c r="Z691" s="207"/>
      <c r="AA691" s="207"/>
      <c r="AB691" s="207"/>
      <c r="AC691" s="207"/>
      <c r="AD691" s="207"/>
      <c r="AE691" s="207"/>
      <c r="AF691" s="207"/>
      <c r="AG691" s="207"/>
      <c r="AH691" s="207"/>
      <c r="AI691" s="207"/>
      <c r="AJ691" s="207"/>
    </row>
    <row r="692" ht="15.75" customHeight="1">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c r="X692" s="207"/>
      <c r="Y692" s="207"/>
      <c r="Z692" s="207"/>
      <c r="AA692" s="207"/>
      <c r="AB692" s="207"/>
      <c r="AC692" s="207"/>
      <c r="AD692" s="207"/>
      <c r="AE692" s="207"/>
      <c r="AF692" s="207"/>
      <c r="AG692" s="207"/>
      <c r="AH692" s="207"/>
      <c r="AI692" s="207"/>
      <c r="AJ692" s="207"/>
    </row>
    <row r="693" ht="15.75" customHeight="1">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c r="X693" s="207"/>
      <c r="Y693" s="207"/>
      <c r="Z693" s="207"/>
      <c r="AA693" s="207"/>
      <c r="AB693" s="207"/>
      <c r="AC693" s="207"/>
      <c r="AD693" s="207"/>
      <c r="AE693" s="207"/>
      <c r="AF693" s="207"/>
      <c r="AG693" s="207"/>
      <c r="AH693" s="207"/>
      <c r="AI693" s="207"/>
      <c r="AJ693" s="207"/>
    </row>
    <row r="694" ht="15.75" customHeight="1">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c r="X694" s="207"/>
      <c r="Y694" s="207"/>
      <c r="Z694" s="207"/>
      <c r="AA694" s="207"/>
      <c r="AB694" s="207"/>
      <c r="AC694" s="207"/>
      <c r="AD694" s="207"/>
      <c r="AE694" s="207"/>
      <c r="AF694" s="207"/>
      <c r="AG694" s="207"/>
      <c r="AH694" s="207"/>
      <c r="AI694" s="207"/>
      <c r="AJ694" s="207"/>
    </row>
    <row r="695" ht="15.75" customHeight="1">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c r="X695" s="207"/>
      <c r="Y695" s="207"/>
      <c r="Z695" s="207"/>
      <c r="AA695" s="207"/>
      <c r="AB695" s="207"/>
      <c r="AC695" s="207"/>
      <c r="AD695" s="207"/>
      <c r="AE695" s="207"/>
      <c r="AF695" s="207"/>
      <c r="AG695" s="207"/>
      <c r="AH695" s="207"/>
      <c r="AI695" s="207"/>
      <c r="AJ695" s="207"/>
    </row>
    <row r="696" ht="15.75" customHeight="1">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c r="X696" s="207"/>
      <c r="Y696" s="207"/>
      <c r="Z696" s="207"/>
      <c r="AA696" s="207"/>
      <c r="AB696" s="207"/>
      <c r="AC696" s="207"/>
      <c r="AD696" s="207"/>
      <c r="AE696" s="207"/>
      <c r="AF696" s="207"/>
      <c r="AG696" s="207"/>
      <c r="AH696" s="207"/>
      <c r="AI696" s="207"/>
      <c r="AJ696" s="207"/>
    </row>
    <row r="697" ht="15.75" customHeight="1">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c r="X697" s="207"/>
      <c r="Y697" s="207"/>
      <c r="Z697" s="207"/>
      <c r="AA697" s="207"/>
      <c r="AB697" s="207"/>
      <c r="AC697" s="207"/>
      <c r="AD697" s="207"/>
      <c r="AE697" s="207"/>
      <c r="AF697" s="207"/>
      <c r="AG697" s="207"/>
      <c r="AH697" s="207"/>
      <c r="AI697" s="207"/>
      <c r="AJ697" s="207"/>
    </row>
    <row r="698" ht="15.75" customHeight="1">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c r="X698" s="207"/>
      <c r="Y698" s="207"/>
      <c r="Z698" s="207"/>
      <c r="AA698" s="207"/>
      <c r="AB698" s="207"/>
      <c r="AC698" s="207"/>
      <c r="AD698" s="207"/>
      <c r="AE698" s="207"/>
      <c r="AF698" s="207"/>
      <c r="AG698" s="207"/>
      <c r="AH698" s="207"/>
      <c r="AI698" s="207"/>
      <c r="AJ698" s="207"/>
    </row>
    <row r="699" ht="15.75" customHeight="1">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c r="X699" s="207"/>
      <c r="Y699" s="207"/>
      <c r="Z699" s="207"/>
      <c r="AA699" s="207"/>
      <c r="AB699" s="207"/>
      <c r="AC699" s="207"/>
      <c r="AD699" s="207"/>
      <c r="AE699" s="207"/>
      <c r="AF699" s="207"/>
      <c r="AG699" s="207"/>
      <c r="AH699" s="207"/>
      <c r="AI699" s="207"/>
      <c r="AJ699" s="207"/>
    </row>
    <row r="700" ht="15.75" customHeight="1">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c r="X700" s="207"/>
      <c r="Y700" s="207"/>
      <c r="Z700" s="207"/>
      <c r="AA700" s="207"/>
      <c r="AB700" s="207"/>
      <c r="AC700" s="207"/>
      <c r="AD700" s="207"/>
      <c r="AE700" s="207"/>
      <c r="AF700" s="207"/>
      <c r="AG700" s="207"/>
      <c r="AH700" s="207"/>
      <c r="AI700" s="207"/>
      <c r="AJ700" s="207"/>
    </row>
    <row r="701" ht="15.75" customHeight="1">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c r="X701" s="207"/>
      <c r="Y701" s="207"/>
      <c r="Z701" s="207"/>
      <c r="AA701" s="207"/>
      <c r="AB701" s="207"/>
      <c r="AC701" s="207"/>
      <c r="AD701" s="207"/>
      <c r="AE701" s="207"/>
      <c r="AF701" s="207"/>
      <c r="AG701" s="207"/>
      <c r="AH701" s="207"/>
      <c r="AI701" s="207"/>
      <c r="AJ701" s="207"/>
    </row>
    <row r="702" ht="15.75" customHeight="1">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c r="X702" s="207"/>
      <c r="Y702" s="207"/>
      <c r="Z702" s="207"/>
      <c r="AA702" s="207"/>
      <c r="AB702" s="207"/>
      <c r="AC702" s="207"/>
      <c r="AD702" s="207"/>
      <c r="AE702" s="207"/>
      <c r="AF702" s="207"/>
      <c r="AG702" s="207"/>
      <c r="AH702" s="207"/>
      <c r="AI702" s="207"/>
      <c r="AJ702" s="207"/>
    </row>
    <row r="703" ht="15.75" customHeight="1">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c r="X703" s="207"/>
      <c r="Y703" s="207"/>
      <c r="Z703" s="207"/>
      <c r="AA703" s="207"/>
      <c r="AB703" s="207"/>
      <c r="AC703" s="207"/>
      <c r="AD703" s="207"/>
      <c r="AE703" s="207"/>
      <c r="AF703" s="207"/>
      <c r="AG703" s="207"/>
      <c r="AH703" s="207"/>
      <c r="AI703" s="207"/>
      <c r="AJ703" s="207"/>
    </row>
    <row r="704" ht="15.75" customHeight="1">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c r="X704" s="207"/>
      <c r="Y704" s="207"/>
      <c r="Z704" s="207"/>
      <c r="AA704" s="207"/>
      <c r="AB704" s="207"/>
      <c r="AC704" s="207"/>
      <c r="AD704" s="207"/>
      <c r="AE704" s="207"/>
      <c r="AF704" s="207"/>
      <c r="AG704" s="207"/>
      <c r="AH704" s="207"/>
      <c r="AI704" s="207"/>
      <c r="AJ704" s="207"/>
    </row>
    <row r="705" ht="15.75" customHeight="1">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c r="X705" s="207"/>
      <c r="Y705" s="207"/>
      <c r="Z705" s="207"/>
      <c r="AA705" s="207"/>
      <c r="AB705" s="207"/>
      <c r="AC705" s="207"/>
      <c r="AD705" s="207"/>
      <c r="AE705" s="207"/>
      <c r="AF705" s="207"/>
      <c r="AG705" s="207"/>
      <c r="AH705" s="207"/>
      <c r="AI705" s="207"/>
      <c r="AJ705" s="207"/>
    </row>
    <row r="706" ht="15.75" customHeight="1">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c r="X706" s="207"/>
      <c r="Y706" s="207"/>
      <c r="Z706" s="207"/>
      <c r="AA706" s="207"/>
      <c r="AB706" s="207"/>
      <c r="AC706" s="207"/>
      <c r="AD706" s="207"/>
      <c r="AE706" s="207"/>
      <c r="AF706" s="207"/>
      <c r="AG706" s="207"/>
      <c r="AH706" s="207"/>
      <c r="AI706" s="207"/>
      <c r="AJ706" s="207"/>
    </row>
    <row r="707" ht="15.75" customHeight="1">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c r="X707" s="207"/>
      <c r="Y707" s="207"/>
      <c r="Z707" s="207"/>
      <c r="AA707" s="207"/>
      <c r="AB707" s="207"/>
      <c r="AC707" s="207"/>
      <c r="AD707" s="207"/>
      <c r="AE707" s="207"/>
      <c r="AF707" s="207"/>
      <c r="AG707" s="207"/>
      <c r="AH707" s="207"/>
      <c r="AI707" s="207"/>
      <c r="AJ707" s="207"/>
    </row>
    <row r="708" ht="15.75" customHeight="1">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c r="X708" s="207"/>
      <c r="Y708" s="207"/>
      <c r="Z708" s="207"/>
      <c r="AA708" s="207"/>
      <c r="AB708" s="207"/>
      <c r="AC708" s="207"/>
      <c r="AD708" s="207"/>
      <c r="AE708" s="207"/>
      <c r="AF708" s="207"/>
      <c r="AG708" s="207"/>
      <c r="AH708" s="207"/>
      <c r="AI708" s="207"/>
      <c r="AJ708" s="207"/>
    </row>
    <row r="709" ht="15.75" customHeight="1">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c r="X709" s="207"/>
      <c r="Y709" s="207"/>
      <c r="Z709" s="207"/>
      <c r="AA709" s="207"/>
      <c r="AB709" s="207"/>
      <c r="AC709" s="207"/>
      <c r="AD709" s="207"/>
      <c r="AE709" s="207"/>
      <c r="AF709" s="207"/>
      <c r="AG709" s="207"/>
      <c r="AH709" s="207"/>
      <c r="AI709" s="207"/>
      <c r="AJ709" s="207"/>
    </row>
    <row r="710" ht="15.75" customHeight="1">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c r="X710" s="207"/>
      <c r="Y710" s="207"/>
      <c r="Z710" s="207"/>
      <c r="AA710" s="207"/>
      <c r="AB710" s="207"/>
      <c r="AC710" s="207"/>
      <c r="AD710" s="207"/>
      <c r="AE710" s="207"/>
      <c r="AF710" s="207"/>
      <c r="AG710" s="207"/>
      <c r="AH710" s="207"/>
      <c r="AI710" s="207"/>
      <c r="AJ710" s="207"/>
    </row>
    <row r="711" ht="15.75" customHeight="1">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c r="X711" s="207"/>
      <c r="Y711" s="207"/>
      <c r="Z711" s="207"/>
      <c r="AA711" s="207"/>
      <c r="AB711" s="207"/>
      <c r="AC711" s="207"/>
      <c r="AD711" s="207"/>
      <c r="AE711" s="207"/>
      <c r="AF711" s="207"/>
      <c r="AG711" s="207"/>
      <c r="AH711" s="207"/>
      <c r="AI711" s="207"/>
      <c r="AJ711" s="207"/>
    </row>
    <row r="712" ht="15.75" customHeight="1">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c r="X712" s="207"/>
      <c r="Y712" s="207"/>
      <c r="Z712" s="207"/>
      <c r="AA712" s="207"/>
      <c r="AB712" s="207"/>
      <c r="AC712" s="207"/>
      <c r="AD712" s="207"/>
      <c r="AE712" s="207"/>
      <c r="AF712" s="207"/>
      <c r="AG712" s="207"/>
      <c r="AH712" s="207"/>
      <c r="AI712" s="207"/>
      <c r="AJ712" s="207"/>
    </row>
    <row r="713" ht="15.75" customHeight="1">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c r="X713" s="207"/>
      <c r="Y713" s="207"/>
      <c r="Z713" s="207"/>
      <c r="AA713" s="207"/>
      <c r="AB713" s="207"/>
      <c r="AC713" s="207"/>
      <c r="AD713" s="207"/>
      <c r="AE713" s="207"/>
      <c r="AF713" s="207"/>
      <c r="AG713" s="207"/>
      <c r="AH713" s="207"/>
      <c r="AI713" s="207"/>
      <c r="AJ713" s="207"/>
    </row>
    <row r="714" ht="15.75" customHeight="1">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c r="X714" s="207"/>
      <c r="Y714" s="207"/>
      <c r="Z714" s="207"/>
      <c r="AA714" s="207"/>
      <c r="AB714" s="207"/>
      <c r="AC714" s="207"/>
      <c r="AD714" s="207"/>
      <c r="AE714" s="207"/>
      <c r="AF714" s="207"/>
      <c r="AG714" s="207"/>
      <c r="AH714" s="207"/>
      <c r="AI714" s="207"/>
      <c r="AJ714" s="207"/>
    </row>
    <row r="715" ht="15.75" customHeight="1">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c r="X715" s="207"/>
      <c r="Y715" s="207"/>
      <c r="Z715" s="207"/>
      <c r="AA715" s="207"/>
      <c r="AB715" s="207"/>
      <c r="AC715" s="207"/>
      <c r="AD715" s="207"/>
      <c r="AE715" s="207"/>
      <c r="AF715" s="207"/>
      <c r="AG715" s="207"/>
      <c r="AH715" s="207"/>
      <c r="AI715" s="207"/>
      <c r="AJ715" s="207"/>
    </row>
    <row r="716" ht="15.75" customHeight="1">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c r="X716" s="207"/>
      <c r="Y716" s="207"/>
      <c r="Z716" s="207"/>
      <c r="AA716" s="207"/>
      <c r="AB716" s="207"/>
      <c r="AC716" s="207"/>
      <c r="AD716" s="207"/>
      <c r="AE716" s="207"/>
      <c r="AF716" s="207"/>
      <c r="AG716" s="207"/>
      <c r="AH716" s="207"/>
      <c r="AI716" s="207"/>
      <c r="AJ716" s="207"/>
    </row>
    <row r="717" ht="15.75" customHeight="1">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c r="X717" s="207"/>
      <c r="Y717" s="207"/>
      <c r="Z717" s="207"/>
      <c r="AA717" s="207"/>
      <c r="AB717" s="207"/>
      <c r="AC717" s="207"/>
      <c r="AD717" s="207"/>
      <c r="AE717" s="207"/>
      <c r="AF717" s="207"/>
      <c r="AG717" s="207"/>
      <c r="AH717" s="207"/>
      <c r="AI717" s="207"/>
      <c r="AJ717" s="207"/>
    </row>
    <row r="718" ht="15.75" customHeight="1">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c r="X718" s="207"/>
      <c r="Y718" s="207"/>
      <c r="Z718" s="207"/>
      <c r="AA718" s="207"/>
      <c r="AB718" s="207"/>
      <c r="AC718" s="207"/>
      <c r="AD718" s="207"/>
      <c r="AE718" s="207"/>
      <c r="AF718" s="207"/>
      <c r="AG718" s="207"/>
      <c r="AH718" s="207"/>
      <c r="AI718" s="207"/>
      <c r="AJ718" s="207"/>
    </row>
    <row r="719" ht="15.75" customHeight="1">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c r="X719" s="207"/>
      <c r="Y719" s="207"/>
      <c r="Z719" s="207"/>
      <c r="AA719" s="207"/>
      <c r="AB719" s="207"/>
      <c r="AC719" s="207"/>
      <c r="AD719" s="207"/>
      <c r="AE719" s="207"/>
      <c r="AF719" s="207"/>
      <c r="AG719" s="207"/>
      <c r="AH719" s="207"/>
      <c r="AI719" s="207"/>
      <c r="AJ719" s="207"/>
    </row>
    <row r="720" ht="15.75" customHeight="1">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c r="X720" s="207"/>
      <c r="Y720" s="207"/>
      <c r="Z720" s="207"/>
      <c r="AA720" s="207"/>
      <c r="AB720" s="207"/>
      <c r="AC720" s="207"/>
      <c r="AD720" s="207"/>
      <c r="AE720" s="207"/>
      <c r="AF720" s="207"/>
      <c r="AG720" s="207"/>
      <c r="AH720" s="207"/>
      <c r="AI720" s="207"/>
      <c r="AJ720" s="207"/>
    </row>
    <row r="721" ht="15.75" customHeight="1">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c r="X721" s="207"/>
      <c r="Y721" s="207"/>
      <c r="Z721" s="207"/>
      <c r="AA721" s="207"/>
      <c r="AB721" s="207"/>
      <c r="AC721" s="207"/>
      <c r="AD721" s="207"/>
      <c r="AE721" s="207"/>
      <c r="AF721" s="207"/>
      <c r="AG721" s="207"/>
      <c r="AH721" s="207"/>
      <c r="AI721" s="207"/>
      <c r="AJ721" s="207"/>
    </row>
    <row r="722" ht="15.75" customHeight="1">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c r="X722" s="207"/>
      <c r="Y722" s="207"/>
      <c r="Z722" s="207"/>
      <c r="AA722" s="207"/>
      <c r="AB722" s="207"/>
      <c r="AC722" s="207"/>
      <c r="AD722" s="207"/>
      <c r="AE722" s="207"/>
      <c r="AF722" s="207"/>
      <c r="AG722" s="207"/>
      <c r="AH722" s="207"/>
      <c r="AI722" s="207"/>
      <c r="AJ722" s="207"/>
    </row>
    <row r="723" ht="15.75" customHeight="1">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c r="X723" s="207"/>
      <c r="Y723" s="207"/>
      <c r="Z723" s="207"/>
      <c r="AA723" s="207"/>
      <c r="AB723" s="207"/>
      <c r="AC723" s="207"/>
      <c r="AD723" s="207"/>
      <c r="AE723" s="207"/>
      <c r="AF723" s="207"/>
      <c r="AG723" s="207"/>
      <c r="AH723" s="207"/>
      <c r="AI723" s="207"/>
      <c r="AJ723" s="207"/>
    </row>
    <row r="724" ht="15.75" customHeight="1">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c r="X724" s="207"/>
      <c r="Y724" s="207"/>
      <c r="Z724" s="207"/>
      <c r="AA724" s="207"/>
      <c r="AB724" s="207"/>
      <c r="AC724" s="207"/>
      <c r="AD724" s="207"/>
      <c r="AE724" s="207"/>
      <c r="AF724" s="207"/>
      <c r="AG724" s="207"/>
      <c r="AH724" s="207"/>
      <c r="AI724" s="207"/>
      <c r="AJ724" s="207"/>
    </row>
    <row r="725" ht="15.75" customHeight="1">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c r="X725" s="207"/>
      <c r="Y725" s="207"/>
      <c r="Z725" s="207"/>
      <c r="AA725" s="207"/>
      <c r="AB725" s="207"/>
      <c r="AC725" s="207"/>
      <c r="AD725" s="207"/>
      <c r="AE725" s="207"/>
      <c r="AF725" s="207"/>
      <c r="AG725" s="207"/>
      <c r="AH725" s="207"/>
      <c r="AI725" s="207"/>
      <c r="AJ725" s="207"/>
    </row>
    <row r="726" ht="15.75" customHeight="1">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c r="X726" s="207"/>
      <c r="Y726" s="207"/>
      <c r="Z726" s="207"/>
      <c r="AA726" s="207"/>
      <c r="AB726" s="207"/>
      <c r="AC726" s="207"/>
      <c r="AD726" s="207"/>
      <c r="AE726" s="207"/>
      <c r="AF726" s="207"/>
      <c r="AG726" s="207"/>
      <c r="AH726" s="207"/>
      <c r="AI726" s="207"/>
      <c r="AJ726" s="207"/>
    </row>
    <row r="727" ht="15.75" customHeight="1">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c r="X727" s="207"/>
      <c r="Y727" s="207"/>
      <c r="Z727" s="207"/>
      <c r="AA727" s="207"/>
      <c r="AB727" s="207"/>
      <c r="AC727" s="207"/>
      <c r="AD727" s="207"/>
      <c r="AE727" s="207"/>
      <c r="AF727" s="207"/>
      <c r="AG727" s="207"/>
      <c r="AH727" s="207"/>
      <c r="AI727" s="207"/>
      <c r="AJ727" s="207"/>
    </row>
    <row r="728" ht="15.75" customHeight="1">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c r="X728" s="207"/>
      <c r="Y728" s="207"/>
      <c r="Z728" s="207"/>
      <c r="AA728" s="207"/>
      <c r="AB728" s="207"/>
      <c r="AC728" s="207"/>
      <c r="AD728" s="207"/>
      <c r="AE728" s="207"/>
      <c r="AF728" s="207"/>
      <c r="AG728" s="207"/>
      <c r="AH728" s="207"/>
      <c r="AI728" s="207"/>
      <c r="AJ728" s="207"/>
    </row>
    <row r="729" ht="15.75" customHeight="1">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c r="X729" s="207"/>
      <c r="Y729" s="207"/>
      <c r="Z729" s="207"/>
      <c r="AA729" s="207"/>
      <c r="AB729" s="207"/>
      <c r="AC729" s="207"/>
      <c r="AD729" s="207"/>
      <c r="AE729" s="207"/>
      <c r="AF729" s="207"/>
      <c r="AG729" s="207"/>
      <c r="AH729" s="207"/>
      <c r="AI729" s="207"/>
      <c r="AJ729" s="207"/>
    </row>
    <row r="730" ht="15.75" customHeight="1">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c r="X730" s="207"/>
      <c r="Y730" s="207"/>
      <c r="Z730" s="207"/>
      <c r="AA730" s="207"/>
      <c r="AB730" s="207"/>
      <c r="AC730" s="207"/>
      <c r="AD730" s="207"/>
      <c r="AE730" s="207"/>
      <c r="AF730" s="207"/>
      <c r="AG730" s="207"/>
      <c r="AH730" s="207"/>
      <c r="AI730" s="207"/>
      <c r="AJ730" s="207"/>
    </row>
    <row r="731" ht="15.75" customHeight="1">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c r="X731" s="207"/>
      <c r="Y731" s="207"/>
      <c r="Z731" s="207"/>
      <c r="AA731" s="207"/>
      <c r="AB731" s="207"/>
      <c r="AC731" s="207"/>
      <c r="AD731" s="207"/>
      <c r="AE731" s="207"/>
      <c r="AF731" s="207"/>
      <c r="AG731" s="207"/>
      <c r="AH731" s="207"/>
      <c r="AI731" s="207"/>
      <c r="AJ731" s="207"/>
    </row>
    <row r="732" ht="15.75" customHeight="1">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c r="X732" s="207"/>
      <c r="Y732" s="207"/>
      <c r="Z732" s="207"/>
      <c r="AA732" s="207"/>
      <c r="AB732" s="207"/>
      <c r="AC732" s="207"/>
      <c r="AD732" s="207"/>
      <c r="AE732" s="207"/>
      <c r="AF732" s="207"/>
      <c r="AG732" s="207"/>
      <c r="AH732" s="207"/>
      <c r="AI732" s="207"/>
      <c r="AJ732" s="207"/>
    </row>
    <row r="733" ht="15.75" customHeight="1">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c r="X733" s="207"/>
      <c r="Y733" s="207"/>
      <c r="Z733" s="207"/>
      <c r="AA733" s="207"/>
      <c r="AB733" s="207"/>
      <c r="AC733" s="207"/>
      <c r="AD733" s="207"/>
      <c r="AE733" s="207"/>
      <c r="AF733" s="207"/>
      <c r="AG733" s="207"/>
      <c r="AH733" s="207"/>
      <c r="AI733" s="207"/>
      <c r="AJ733" s="207"/>
    </row>
    <row r="734" ht="15.75" customHeight="1">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c r="X734" s="207"/>
      <c r="Y734" s="207"/>
      <c r="Z734" s="207"/>
      <c r="AA734" s="207"/>
      <c r="AB734" s="207"/>
      <c r="AC734" s="207"/>
      <c r="AD734" s="207"/>
      <c r="AE734" s="207"/>
      <c r="AF734" s="207"/>
      <c r="AG734" s="207"/>
      <c r="AH734" s="207"/>
      <c r="AI734" s="207"/>
      <c r="AJ734" s="207"/>
    </row>
    <row r="735" ht="15.75" customHeight="1">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c r="AG735" s="207"/>
      <c r="AH735" s="207"/>
      <c r="AI735" s="207"/>
      <c r="AJ735" s="207"/>
    </row>
    <row r="736" ht="15.75" customHeight="1">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c r="X736" s="207"/>
      <c r="Y736" s="207"/>
      <c r="Z736" s="207"/>
      <c r="AA736" s="207"/>
      <c r="AB736" s="207"/>
      <c r="AC736" s="207"/>
      <c r="AD736" s="207"/>
      <c r="AE736" s="207"/>
      <c r="AF736" s="207"/>
      <c r="AG736" s="207"/>
      <c r="AH736" s="207"/>
      <c r="AI736" s="207"/>
      <c r="AJ736" s="207"/>
    </row>
    <row r="737" ht="15.75" customHeight="1">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c r="X737" s="207"/>
      <c r="Y737" s="207"/>
      <c r="Z737" s="207"/>
      <c r="AA737" s="207"/>
      <c r="AB737" s="207"/>
      <c r="AC737" s="207"/>
      <c r="AD737" s="207"/>
      <c r="AE737" s="207"/>
      <c r="AF737" s="207"/>
      <c r="AG737" s="207"/>
      <c r="AH737" s="207"/>
      <c r="AI737" s="207"/>
      <c r="AJ737" s="207"/>
    </row>
    <row r="738" ht="15.75" customHeight="1">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c r="X738" s="207"/>
      <c r="Y738" s="207"/>
      <c r="Z738" s="207"/>
      <c r="AA738" s="207"/>
      <c r="AB738" s="207"/>
      <c r="AC738" s="207"/>
      <c r="AD738" s="207"/>
      <c r="AE738" s="207"/>
      <c r="AF738" s="207"/>
      <c r="AG738" s="207"/>
      <c r="AH738" s="207"/>
      <c r="AI738" s="207"/>
      <c r="AJ738" s="207"/>
    </row>
    <row r="739" ht="15.75" customHeight="1">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c r="X739" s="207"/>
      <c r="Y739" s="207"/>
      <c r="Z739" s="207"/>
      <c r="AA739" s="207"/>
      <c r="AB739" s="207"/>
      <c r="AC739" s="207"/>
      <c r="AD739" s="207"/>
      <c r="AE739" s="207"/>
      <c r="AF739" s="207"/>
      <c r="AG739" s="207"/>
      <c r="AH739" s="207"/>
      <c r="AI739" s="207"/>
      <c r="AJ739" s="207"/>
    </row>
    <row r="740" ht="15.75" customHeight="1">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c r="X740" s="207"/>
      <c r="Y740" s="207"/>
      <c r="Z740" s="207"/>
      <c r="AA740" s="207"/>
      <c r="AB740" s="207"/>
      <c r="AC740" s="207"/>
      <c r="AD740" s="207"/>
      <c r="AE740" s="207"/>
      <c r="AF740" s="207"/>
      <c r="AG740" s="207"/>
      <c r="AH740" s="207"/>
      <c r="AI740" s="207"/>
      <c r="AJ740" s="207"/>
    </row>
    <row r="741" ht="15.75" customHeight="1">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c r="X741" s="207"/>
      <c r="Y741" s="207"/>
      <c r="Z741" s="207"/>
      <c r="AA741" s="207"/>
      <c r="AB741" s="207"/>
      <c r="AC741" s="207"/>
      <c r="AD741" s="207"/>
      <c r="AE741" s="207"/>
      <c r="AF741" s="207"/>
      <c r="AG741" s="207"/>
      <c r="AH741" s="207"/>
      <c r="AI741" s="207"/>
      <c r="AJ741" s="207"/>
    </row>
    <row r="742" ht="15.75" customHeight="1">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c r="X742" s="207"/>
      <c r="Y742" s="207"/>
      <c r="Z742" s="207"/>
      <c r="AA742" s="207"/>
      <c r="AB742" s="207"/>
      <c r="AC742" s="207"/>
      <c r="AD742" s="207"/>
      <c r="AE742" s="207"/>
      <c r="AF742" s="207"/>
      <c r="AG742" s="207"/>
      <c r="AH742" s="207"/>
      <c r="AI742" s="207"/>
      <c r="AJ742" s="207"/>
    </row>
    <row r="743" ht="15.75" customHeight="1">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c r="X743" s="207"/>
      <c r="Y743" s="207"/>
      <c r="Z743" s="207"/>
      <c r="AA743" s="207"/>
      <c r="AB743" s="207"/>
      <c r="AC743" s="207"/>
      <c r="AD743" s="207"/>
      <c r="AE743" s="207"/>
      <c r="AF743" s="207"/>
      <c r="AG743" s="207"/>
      <c r="AH743" s="207"/>
      <c r="AI743" s="207"/>
      <c r="AJ743" s="207"/>
    </row>
    <row r="744" ht="15.75" customHeight="1">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c r="X744" s="207"/>
      <c r="Y744" s="207"/>
      <c r="Z744" s="207"/>
      <c r="AA744" s="207"/>
      <c r="AB744" s="207"/>
      <c r="AC744" s="207"/>
      <c r="AD744" s="207"/>
      <c r="AE744" s="207"/>
      <c r="AF744" s="207"/>
      <c r="AG744" s="207"/>
      <c r="AH744" s="207"/>
      <c r="AI744" s="207"/>
      <c r="AJ744" s="207"/>
    </row>
    <row r="745" ht="15.75" customHeight="1">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c r="X745" s="207"/>
      <c r="Y745" s="207"/>
      <c r="Z745" s="207"/>
      <c r="AA745" s="207"/>
      <c r="AB745" s="207"/>
      <c r="AC745" s="207"/>
      <c r="AD745" s="207"/>
      <c r="AE745" s="207"/>
      <c r="AF745" s="207"/>
      <c r="AG745" s="207"/>
      <c r="AH745" s="207"/>
      <c r="AI745" s="207"/>
      <c r="AJ745" s="207"/>
    </row>
    <row r="746" ht="15.75" customHeight="1">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c r="X746" s="207"/>
      <c r="Y746" s="207"/>
      <c r="Z746" s="207"/>
      <c r="AA746" s="207"/>
      <c r="AB746" s="207"/>
      <c r="AC746" s="207"/>
      <c r="AD746" s="207"/>
      <c r="AE746" s="207"/>
      <c r="AF746" s="207"/>
      <c r="AG746" s="207"/>
      <c r="AH746" s="207"/>
      <c r="AI746" s="207"/>
      <c r="AJ746" s="207"/>
    </row>
    <row r="747" ht="15.75" customHeight="1">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c r="AA747" s="207"/>
      <c r="AB747" s="207"/>
      <c r="AC747" s="207"/>
      <c r="AD747" s="207"/>
      <c r="AE747" s="207"/>
      <c r="AF747" s="207"/>
      <c r="AG747" s="207"/>
      <c r="AH747" s="207"/>
      <c r="AI747" s="207"/>
      <c r="AJ747" s="207"/>
    </row>
    <row r="748" ht="15.75" customHeight="1">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c r="X748" s="207"/>
      <c r="Y748" s="207"/>
      <c r="Z748" s="207"/>
      <c r="AA748" s="207"/>
      <c r="AB748" s="207"/>
      <c r="AC748" s="207"/>
      <c r="AD748" s="207"/>
      <c r="AE748" s="207"/>
      <c r="AF748" s="207"/>
      <c r="AG748" s="207"/>
      <c r="AH748" s="207"/>
      <c r="AI748" s="207"/>
      <c r="AJ748" s="207"/>
    </row>
    <row r="749" ht="15.75" customHeight="1">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c r="X749" s="207"/>
      <c r="Y749" s="207"/>
      <c r="Z749" s="207"/>
      <c r="AA749" s="207"/>
      <c r="AB749" s="207"/>
      <c r="AC749" s="207"/>
      <c r="AD749" s="207"/>
      <c r="AE749" s="207"/>
      <c r="AF749" s="207"/>
      <c r="AG749" s="207"/>
      <c r="AH749" s="207"/>
      <c r="AI749" s="207"/>
      <c r="AJ749" s="207"/>
    </row>
    <row r="750" ht="15.75" customHeight="1">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c r="X750" s="207"/>
      <c r="Y750" s="207"/>
      <c r="Z750" s="207"/>
      <c r="AA750" s="207"/>
      <c r="AB750" s="207"/>
      <c r="AC750" s="207"/>
      <c r="AD750" s="207"/>
      <c r="AE750" s="207"/>
      <c r="AF750" s="207"/>
      <c r="AG750" s="207"/>
      <c r="AH750" s="207"/>
      <c r="AI750" s="207"/>
      <c r="AJ750" s="207"/>
    </row>
    <row r="751" ht="15.75" customHeight="1">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c r="X751" s="207"/>
      <c r="Y751" s="207"/>
      <c r="Z751" s="207"/>
      <c r="AA751" s="207"/>
      <c r="AB751" s="207"/>
      <c r="AC751" s="207"/>
      <c r="AD751" s="207"/>
      <c r="AE751" s="207"/>
      <c r="AF751" s="207"/>
      <c r="AG751" s="207"/>
      <c r="AH751" s="207"/>
      <c r="AI751" s="207"/>
      <c r="AJ751" s="207"/>
    </row>
    <row r="752" ht="15.75" customHeight="1">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c r="X752" s="207"/>
      <c r="Y752" s="207"/>
      <c r="Z752" s="207"/>
      <c r="AA752" s="207"/>
      <c r="AB752" s="207"/>
      <c r="AC752" s="207"/>
      <c r="AD752" s="207"/>
      <c r="AE752" s="207"/>
      <c r="AF752" s="207"/>
      <c r="AG752" s="207"/>
      <c r="AH752" s="207"/>
      <c r="AI752" s="207"/>
      <c r="AJ752" s="207"/>
    </row>
    <row r="753" ht="15.75" customHeight="1">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c r="X753" s="207"/>
      <c r="Y753" s="207"/>
      <c r="Z753" s="207"/>
      <c r="AA753" s="207"/>
      <c r="AB753" s="207"/>
      <c r="AC753" s="207"/>
      <c r="AD753" s="207"/>
      <c r="AE753" s="207"/>
      <c r="AF753" s="207"/>
      <c r="AG753" s="207"/>
      <c r="AH753" s="207"/>
      <c r="AI753" s="207"/>
      <c r="AJ753" s="207"/>
    </row>
    <row r="754" ht="15.75" customHeight="1">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c r="X754" s="207"/>
      <c r="Y754" s="207"/>
      <c r="Z754" s="207"/>
      <c r="AA754" s="207"/>
      <c r="AB754" s="207"/>
      <c r="AC754" s="207"/>
      <c r="AD754" s="207"/>
      <c r="AE754" s="207"/>
      <c r="AF754" s="207"/>
      <c r="AG754" s="207"/>
      <c r="AH754" s="207"/>
      <c r="AI754" s="207"/>
      <c r="AJ754" s="207"/>
    </row>
    <row r="755" ht="15.75" customHeight="1">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c r="X755" s="207"/>
      <c r="Y755" s="207"/>
      <c r="Z755" s="207"/>
      <c r="AA755" s="207"/>
      <c r="AB755" s="207"/>
      <c r="AC755" s="207"/>
      <c r="AD755" s="207"/>
      <c r="AE755" s="207"/>
      <c r="AF755" s="207"/>
      <c r="AG755" s="207"/>
      <c r="AH755" s="207"/>
      <c r="AI755" s="207"/>
      <c r="AJ755" s="207"/>
    </row>
    <row r="756" ht="15.75" customHeight="1">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c r="X756" s="207"/>
      <c r="Y756" s="207"/>
      <c r="Z756" s="207"/>
      <c r="AA756" s="207"/>
      <c r="AB756" s="207"/>
      <c r="AC756" s="207"/>
      <c r="AD756" s="207"/>
      <c r="AE756" s="207"/>
      <c r="AF756" s="207"/>
      <c r="AG756" s="207"/>
      <c r="AH756" s="207"/>
      <c r="AI756" s="207"/>
      <c r="AJ756" s="207"/>
    </row>
    <row r="757" ht="15.75" customHeight="1">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c r="X757" s="207"/>
      <c r="Y757" s="207"/>
      <c r="Z757" s="207"/>
      <c r="AA757" s="207"/>
      <c r="AB757" s="207"/>
      <c r="AC757" s="207"/>
      <c r="AD757" s="207"/>
      <c r="AE757" s="207"/>
      <c r="AF757" s="207"/>
      <c r="AG757" s="207"/>
      <c r="AH757" s="207"/>
      <c r="AI757" s="207"/>
      <c r="AJ757" s="207"/>
    </row>
    <row r="758" ht="15.75" customHeight="1">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c r="X758" s="207"/>
      <c r="Y758" s="207"/>
      <c r="Z758" s="207"/>
      <c r="AA758" s="207"/>
      <c r="AB758" s="207"/>
      <c r="AC758" s="207"/>
      <c r="AD758" s="207"/>
      <c r="AE758" s="207"/>
      <c r="AF758" s="207"/>
      <c r="AG758" s="207"/>
      <c r="AH758" s="207"/>
      <c r="AI758" s="207"/>
      <c r="AJ758" s="207"/>
    </row>
    <row r="759" ht="15.75" customHeight="1">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c r="X759" s="207"/>
      <c r="Y759" s="207"/>
      <c r="Z759" s="207"/>
      <c r="AA759" s="207"/>
      <c r="AB759" s="207"/>
      <c r="AC759" s="207"/>
      <c r="AD759" s="207"/>
      <c r="AE759" s="207"/>
      <c r="AF759" s="207"/>
      <c r="AG759" s="207"/>
      <c r="AH759" s="207"/>
      <c r="AI759" s="207"/>
      <c r="AJ759" s="207"/>
    </row>
    <row r="760" ht="15.75" customHeight="1">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c r="X760" s="207"/>
      <c r="Y760" s="207"/>
      <c r="Z760" s="207"/>
      <c r="AA760" s="207"/>
      <c r="AB760" s="207"/>
      <c r="AC760" s="207"/>
      <c r="AD760" s="207"/>
      <c r="AE760" s="207"/>
      <c r="AF760" s="207"/>
      <c r="AG760" s="207"/>
      <c r="AH760" s="207"/>
      <c r="AI760" s="207"/>
      <c r="AJ760" s="207"/>
    </row>
    <row r="761" ht="15.75" customHeight="1">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c r="X761" s="207"/>
      <c r="Y761" s="207"/>
      <c r="Z761" s="207"/>
      <c r="AA761" s="207"/>
      <c r="AB761" s="207"/>
      <c r="AC761" s="207"/>
      <c r="AD761" s="207"/>
      <c r="AE761" s="207"/>
      <c r="AF761" s="207"/>
      <c r="AG761" s="207"/>
      <c r="AH761" s="207"/>
      <c r="AI761" s="207"/>
      <c r="AJ761" s="207"/>
    </row>
    <row r="762" ht="15.75" customHeight="1">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c r="X762" s="207"/>
      <c r="Y762" s="207"/>
      <c r="Z762" s="207"/>
      <c r="AA762" s="207"/>
      <c r="AB762" s="207"/>
      <c r="AC762" s="207"/>
      <c r="AD762" s="207"/>
      <c r="AE762" s="207"/>
      <c r="AF762" s="207"/>
      <c r="AG762" s="207"/>
      <c r="AH762" s="207"/>
      <c r="AI762" s="207"/>
      <c r="AJ762" s="207"/>
    </row>
    <row r="763" ht="15.75" customHeight="1">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c r="X763" s="207"/>
      <c r="Y763" s="207"/>
      <c r="Z763" s="207"/>
      <c r="AA763" s="207"/>
      <c r="AB763" s="207"/>
      <c r="AC763" s="207"/>
      <c r="AD763" s="207"/>
      <c r="AE763" s="207"/>
      <c r="AF763" s="207"/>
      <c r="AG763" s="207"/>
      <c r="AH763" s="207"/>
      <c r="AI763" s="207"/>
      <c r="AJ763" s="207"/>
    </row>
    <row r="764" ht="15.75" customHeight="1">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c r="X764" s="207"/>
      <c r="Y764" s="207"/>
      <c r="Z764" s="207"/>
      <c r="AA764" s="207"/>
      <c r="AB764" s="207"/>
      <c r="AC764" s="207"/>
      <c r="AD764" s="207"/>
      <c r="AE764" s="207"/>
      <c r="AF764" s="207"/>
      <c r="AG764" s="207"/>
      <c r="AH764" s="207"/>
      <c r="AI764" s="207"/>
      <c r="AJ764" s="207"/>
    </row>
    <row r="765" ht="15.75" customHeight="1">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c r="X765" s="207"/>
      <c r="Y765" s="207"/>
      <c r="Z765" s="207"/>
      <c r="AA765" s="207"/>
      <c r="AB765" s="207"/>
      <c r="AC765" s="207"/>
      <c r="AD765" s="207"/>
      <c r="AE765" s="207"/>
      <c r="AF765" s="207"/>
      <c r="AG765" s="207"/>
      <c r="AH765" s="207"/>
      <c r="AI765" s="207"/>
      <c r="AJ765" s="207"/>
    </row>
    <row r="766" ht="15.75" customHeight="1">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c r="X766" s="207"/>
      <c r="Y766" s="207"/>
      <c r="Z766" s="207"/>
      <c r="AA766" s="207"/>
      <c r="AB766" s="207"/>
      <c r="AC766" s="207"/>
      <c r="AD766" s="207"/>
      <c r="AE766" s="207"/>
      <c r="AF766" s="207"/>
      <c r="AG766" s="207"/>
      <c r="AH766" s="207"/>
      <c r="AI766" s="207"/>
      <c r="AJ766" s="207"/>
    </row>
    <row r="767" ht="15.75" customHeight="1">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c r="X767" s="207"/>
      <c r="Y767" s="207"/>
      <c r="Z767" s="207"/>
      <c r="AA767" s="207"/>
      <c r="AB767" s="207"/>
      <c r="AC767" s="207"/>
      <c r="AD767" s="207"/>
      <c r="AE767" s="207"/>
      <c r="AF767" s="207"/>
      <c r="AG767" s="207"/>
      <c r="AH767" s="207"/>
      <c r="AI767" s="207"/>
      <c r="AJ767" s="207"/>
    </row>
    <row r="768" ht="15.75" customHeight="1">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c r="X768" s="207"/>
      <c r="Y768" s="207"/>
      <c r="Z768" s="207"/>
      <c r="AA768" s="207"/>
      <c r="AB768" s="207"/>
      <c r="AC768" s="207"/>
      <c r="AD768" s="207"/>
      <c r="AE768" s="207"/>
      <c r="AF768" s="207"/>
      <c r="AG768" s="207"/>
      <c r="AH768" s="207"/>
      <c r="AI768" s="207"/>
      <c r="AJ768" s="207"/>
    </row>
    <row r="769" ht="15.75" customHeight="1">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c r="X769" s="207"/>
      <c r="Y769" s="207"/>
      <c r="Z769" s="207"/>
      <c r="AA769" s="207"/>
      <c r="AB769" s="207"/>
      <c r="AC769" s="207"/>
      <c r="AD769" s="207"/>
      <c r="AE769" s="207"/>
      <c r="AF769" s="207"/>
      <c r="AG769" s="207"/>
      <c r="AH769" s="207"/>
      <c r="AI769" s="207"/>
      <c r="AJ769" s="207"/>
    </row>
    <row r="770" ht="15.75" customHeight="1">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c r="X770" s="207"/>
      <c r="Y770" s="207"/>
      <c r="Z770" s="207"/>
      <c r="AA770" s="207"/>
      <c r="AB770" s="207"/>
      <c r="AC770" s="207"/>
      <c r="AD770" s="207"/>
      <c r="AE770" s="207"/>
      <c r="AF770" s="207"/>
      <c r="AG770" s="207"/>
      <c r="AH770" s="207"/>
      <c r="AI770" s="207"/>
      <c r="AJ770" s="207"/>
    </row>
    <row r="771" ht="15.75" customHeight="1">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c r="X771" s="207"/>
      <c r="Y771" s="207"/>
      <c r="Z771" s="207"/>
      <c r="AA771" s="207"/>
      <c r="AB771" s="207"/>
      <c r="AC771" s="207"/>
      <c r="AD771" s="207"/>
      <c r="AE771" s="207"/>
      <c r="AF771" s="207"/>
      <c r="AG771" s="207"/>
      <c r="AH771" s="207"/>
      <c r="AI771" s="207"/>
      <c r="AJ771" s="207"/>
    </row>
    <row r="772" ht="15.75" customHeight="1">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c r="X772" s="207"/>
      <c r="Y772" s="207"/>
      <c r="Z772" s="207"/>
      <c r="AA772" s="207"/>
      <c r="AB772" s="207"/>
      <c r="AC772" s="207"/>
      <c r="AD772" s="207"/>
      <c r="AE772" s="207"/>
      <c r="AF772" s="207"/>
      <c r="AG772" s="207"/>
      <c r="AH772" s="207"/>
      <c r="AI772" s="207"/>
      <c r="AJ772" s="207"/>
    </row>
    <row r="773" ht="15.75" customHeight="1">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c r="X773" s="207"/>
      <c r="Y773" s="207"/>
      <c r="Z773" s="207"/>
      <c r="AA773" s="207"/>
      <c r="AB773" s="207"/>
      <c r="AC773" s="207"/>
      <c r="AD773" s="207"/>
      <c r="AE773" s="207"/>
      <c r="AF773" s="207"/>
      <c r="AG773" s="207"/>
      <c r="AH773" s="207"/>
      <c r="AI773" s="207"/>
      <c r="AJ773" s="207"/>
    </row>
    <row r="774" ht="15.75" customHeight="1">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c r="X774" s="207"/>
      <c r="Y774" s="207"/>
      <c r="Z774" s="207"/>
      <c r="AA774" s="207"/>
      <c r="AB774" s="207"/>
      <c r="AC774" s="207"/>
      <c r="AD774" s="207"/>
      <c r="AE774" s="207"/>
      <c r="AF774" s="207"/>
      <c r="AG774" s="207"/>
      <c r="AH774" s="207"/>
      <c r="AI774" s="207"/>
      <c r="AJ774" s="207"/>
    </row>
    <row r="775" ht="15.75" customHeight="1">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c r="X775" s="207"/>
      <c r="Y775" s="207"/>
      <c r="Z775" s="207"/>
      <c r="AA775" s="207"/>
      <c r="AB775" s="207"/>
      <c r="AC775" s="207"/>
      <c r="AD775" s="207"/>
      <c r="AE775" s="207"/>
      <c r="AF775" s="207"/>
      <c r="AG775" s="207"/>
      <c r="AH775" s="207"/>
      <c r="AI775" s="207"/>
      <c r="AJ775" s="207"/>
    </row>
    <row r="776" ht="15.75" customHeight="1">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c r="X776" s="207"/>
      <c r="Y776" s="207"/>
      <c r="Z776" s="207"/>
      <c r="AA776" s="207"/>
      <c r="AB776" s="207"/>
      <c r="AC776" s="207"/>
      <c r="AD776" s="207"/>
      <c r="AE776" s="207"/>
      <c r="AF776" s="207"/>
      <c r="AG776" s="207"/>
      <c r="AH776" s="207"/>
      <c r="AI776" s="207"/>
      <c r="AJ776" s="207"/>
    </row>
    <row r="777" ht="15.75" customHeight="1">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c r="X777" s="207"/>
      <c r="Y777" s="207"/>
      <c r="Z777" s="207"/>
      <c r="AA777" s="207"/>
      <c r="AB777" s="207"/>
      <c r="AC777" s="207"/>
      <c r="AD777" s="207"/>
      <c r="AE777" s="207"/>
      <c r="AF777" s="207"/>
      <c r="AG777" s="207"/>
      <c r="AH777" s="207"/>
      <c r="AI777" s="207"/>
      <c r="AJ777" s="207"/>
    </row>
    <row r="778" ht="15.75" customHeight="1">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c r="X778" s="207"/>
      <c r="Y778" s="207"/>
      <c r="Z778" s="207"/>
      <c r="AA778" s="207"/>
      <c r="AB778" s="207"/>
      <c r="AC778" s="207"/>
      <c r="AD778" s="207"/>
      <c r="AE778" s="207"/>
      <c r="AF778" s="207"/>
      <c r="AG778" s="207"/>
      <c r="AH778" s="207"/>
      <c r="AI778" s="207"/>
      <c r="AJ778" s="207"/>
    </row>
    <row r="779" ht="15.75" customHeight="1">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c r="X779" s="207"/>
      <c r="Y779" s="207"/>
      <c r="Z779" s="207"/>
      <c r="AA779" s="207"/>
      <c r="AB779" s="207"/>
      <c r="AC779" s="207"/>
      <c r="AD779" s="207"/>
      <c r="AE779" s="207"/>
      <c r="AF779" s="207"/>
      <c r="AG779" s="207"/>
      <c r="AH779" s="207"/>
      <c r="AI779" s="207"/>
      <c r="AJ779" s="207"/>
    </row>
    <row r="780" ht="15.75" customHeight="1">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c r="X780" s="207"/>
      <c r="Y780" s="207"/>
      <c r="Z780" s="207"/>
      <c r="AA780" s="207"/>
      <c r="AB780" s="207"/>
      <c r="AC780" s="207"/>
      <c r="AD780" s="207"/>
      <c r="AE780" s="207"/>
      <c r="AF780" s="207"/>
      <c r="AG780" s="207"/>
      <c r="AH780" s="207"/>
      <c r="AI780" s="207"/>
      <c r="AJ780" s="207"/>
    </row>
    <row r="781" ht="15.75" customHeight="1">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c r="X781" s="207"/>
      <c r="Y781" s="207"/>
      <c r="Z781" s="207"/>
      <c r="AA781" s="207"/>
      <c r="AB781" s="207"/>
      <c r="AC781" s="207"/>
      <c r="AD781" s="207"/>
      <c r="AE781" s="207"/>
      <c r="AF781" s="207"/>
      <c r="AG781" s="207"/>
      <c r="AH781" s="207"/>
      <c r="AI781" s="207"/>
      <c r="AJ781" s="207"/>
    </row>
    <row r="782" ht="15.75" customHeight="1">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c r="X782" s="207"/>
      <c r="Y782" s="207"/>
      <c r="Z782" s="207"/>
      <c r="AA782" s="207"/>
      <c r="AB782" s="207"/>
      <c r="AC782" s="207"/>
      <c r="AD782" s="207"/>
      <c r="AE782" s="207"/>
      <c r="AF782" s="207"/>
      <c r="AG782" s="207"/>
      <c r="AH782" s="207"/>
      <c r="AI782" s="207"/>
      <c r="AJ782" s="207"/>
    </row>
    <row r="783" ht="15.75" customHeight="1">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c r="X783" s="207"/>
      <c r="Y783" s="207"/>
      <c r="Z783" s="207"/>
      <c r="AA783" s="207"/>
      <c r="AB783" s="207"/>
      <c r="AC783" s="207"/>
      <c r="AD783" s="207"/>
      <c r="AE783" s="207"/>
      <c r="AF783" s="207"/>
      <c r="AG783" s="207"/>
      <c r="AH783" s="207"/>
      <c r="AI783" s="207"/>
      <c r="AJ783" s="207"/>
    </row>
    <row r="784" ht="15.75" customHeight="1">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c r="X784" s="207"/>
      <c r="Y784" s="207"/>
      <c r="Z784" s="207"/>
      <c r="AA784" s="207"/>
      <c r="AB784" s="207"/>
      <c r="AC784" s="207"/>
      <c r="AD784" s="207"/>
      <c r="AE784" s="207"/>
      <c r="AF784" s="207"/>
      <c r="AG784" s="207"/>
      <c r="AH784" s="207"/>
      <c r="AI784" s="207"/>
      <c r="AJ784" s="207"/>
    </row>
    <row r="785" ht="15.75" customHeight="1">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c r="X785" s="207"/>
      <c r="Y785" s="207"/>
      <c r="Z785" s="207"/>
      <c r="AA785" s="207"/>
      <c r="AB785" s="207"/>
      <c r="AC785" s="207"/>
      <c r="AD785" s="207"/>
      <c r="AE785" s="207"/>
      <c r="AF785" s="207"/>
      <c r="AG785" s="207"/>
      <c r="AH785" s="207"/>
      <c r="AI785" s="207"/>
      <c r="AJ785" s="207"/>
    </row>
    <row r="786" ht="15.75" customHeight="1">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c r="X786" s="207"/>
      <c r="Y786" s="207"/>
      <c r="Z786" s="207"/>
      <c r="AA786" s="207"/>
      <c r="AB786" s="207"/>
      <c r="AC786" s="207"/>
      <c r="AD786" s="207"/>
      <c r="AE786" s="207"/>
      <c r="AF786" s="207"/>
      <c r="AG786" s="207"/>
      <c r="AH786" s="207"/>
      <c r="AI786" s="207"/>
      <c r="AJ786" s="207"/>
    </row>
    <row r="787" ht="15.75" customHeight="1">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c r="X787" s="207"/>
      <c r="Y787" s="207"/>
      <c r="Z787" s="207"/>
      <c r="AA787" s="207"/>
      <c r="AB787" s="207"/>
      <c r="AC787" s="207"/>
      <c r="AD787" s="207"/>
      <c r="AE787" s="207"/>
      <c r="AF787" s="207"/>
      <c r="AG787" s="207"/>
      <c r="AH787" s="207"/>
      <c r="AI787" s="207"/>
      <c r="AJ787" s="207"/>
    </row>
    <row r="788" ht="15.75" customHeight="1">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c r="X788" s="207"/>
      <c r="Y788" s="207"/>
      <c r="Z788" s="207"/>
      <c r="AA788" s="207"/>
      <c r="AB788" s="207"/>
      <c r="AC788" s="207"/>
      <c r="AD788" s="207"/>
      <c r="AE788" s="207"/>
      <c r="AF788" s="207"/>
      <c r="AG788" s="207"/>
      <c r="AH788" s="207"/>
      <c r="AI788" s="207"/>
      <c r="AJ788" s="207"/>
    </row>
    <row r="789" ht="15.75" customHeight="1">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c r="X789" s="207"/>
      <c r="Y789" s="207"/>
      <c r="Z789" s="207"/>
      <c r="AA789" s="207"/>
      <c r="AB789" s="207"/>
      <c r="AC789" s="207"/>
      <c r="AD789" s="207"/>
      <c r="AE789" s="207"/>
      <c r="AF789" s="207"/>
      <c r="AG789" s="207"/>
      <c r="AH789" s="207"/>
      <c r="AI789" s="207"/>
      <c r="AJ789" s="207"/>
    </row>
    <row r="790" ht="15.75" customHeight="1">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c r="X790" s="207"/>
      <c r="Y790" s="207"/>
      <c r="Z790" s="207"/>
      <c r="AA790" s="207"/>
      <c r="AB790" s="207"/>
      <c r="AC790" s="207"/>
      <c r="AD790" s="207"/>
      <c r="AE790" s="207"/>
      <c r="AF790" s="207"/>
      <c r="AG790" s="207"/>
      <c r="AH790" s="207"/>
      <c r="AI790" s="207"/>
      <c r="AJ790" s="207"/>
    </row>
    <row r="791" ht="15.75" customHeight="1">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c r="X791" s="207"/>
      <c r="Y791" s="207"/>
      <c r="Z791" s="207"/>
      <c r="AA791" s="207"/>
      <c r="AB791" s="207"/>
      <c r="AC791" s="207"/>
      <c r="AD791" s="207"/>
      <c r="AE791" s="207"/>
      <c r="AF791" s="207"/>
      <c r="AG791" s="207"/>
      <c r="AH791" s="207"/>
      <c r="AI791" s="207"/>
      <c r="AJ791" s="207"/>
    </row>
    <row r="792" ht="15.75" customHeight="1">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c r="X792" s="207"/>
      <c r="Y792" s="207"/>
      <c r="Z792" s="207"/>
      <c r="AA792" s="207"/>
      <c r="AB792" s="207"/>
      <c r="AC792" s="207"/>
      <c r="AD792" s="207"/>
      <c r="AE792" s="207"/>
      <c r="AF792" s="207"/>
      <c r="AG792" s="207"/>
      <c r="AH792" s="207"/>
      <c r="AI792" s="207"/>
      <c r="AJ792" s="207"/>
    </row>
    <row r="793" ht="15.75" customHeight="1">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c r="X793" s="207"/>
      <c r="Y793" s="207"/>
      <c r="Z793" s="207"/>
      <c r="AA793" s="207"/>
      <c r="AB793" s="207"/>
      <c r="AC793" s="207"/>
      <c r="AD793" s="207"/>
      <c r="AE793" s="207"/>
      <c r="AF793" s="207"/>
      <c r="AG793" s="207"/>
      <c r="AH793" s="207"/>
      <c r="AI793" s="207"/>
      <c r="AJ793" s="207"/>
    </row>
    <row r="794" ht="15.75" customHeight="1">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c r="X794" s="207"/>
      <c r="Y794" s="207"/>
      <c r="Z794" s="207"/>
      <c r="AA794" s="207"/>
      <c r="AB794" s="207"/>
      <c r="AC794" s="207"/>
      <c r="AD794" s="207"/>
      <c r="AE794" s="207"/>
      <c r="AF794" s="207"/>
      <c r="AG794" s="207"/>
      <c r="AH794" s="207"/>
      <c r="AI794" s="207"/>
      <c r="AJ794" s="207"/>
    </row>
    <row r="795" ht="15.75" customHeight="1">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c r="X795" s="207"/>
      <c r="Y795" s="207"/>
      <c r="Z795" s="207"/>
      <c r="AA795" s="207"/>
      <c r="AB795" s="207"/>
      <c r="AC795" s="207"/>
      <c r="AD795" s="207"/>
      <c r="AE795" s="207"/>
      <c r="AF795" s="207"/>
      <c r="AG795" s="207"/>
      <c r="AH795" s="207"/>
      <c r="AI795" s="207"/>
      <c r="AJ795" s="207"/>
    </row>
    <row r="796" ht="15.75" customHeight="1">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c r="X796" s="207"/>
      <c r="Y796" s="207"/>
      <c r="Z796" s="207"/>
      <c r="AA796" s="207"/>
      <c r="AB796" s="207"/>
      <c r="AC796" s="207"/>
      <c r="AD796" s="207"/>
      <c r="AE796" s="207"/>
      <c r="AF796" s="207"/>
      <c r="AG796" s="207"/>
      <c r="AH796" s="207"/>
      <c r="AI796" s="207"/>
      <c r="AJ796" s="207"/>
    </row>
    <row r="797" ht="15.75" customHeight="1">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c r="X797" s="207"/>
      <c r="Y797" s="207"/>
      <c r="Z797" s="207"/>
      <c r="AA797" s="207"/>
      <c r="AB797" s="207"/>
      <c r="AC797" s="207"/>
      <c r="AD797" s="207"/>
      <c r="AE797" s="207"/>
      <c r="AF797" s="207"/>
      <c r="AG797" s="207"/>
      <c r="AH797" s="207"/>
      <c r="AI797" s="207"/>
      <c r="AJ797" s="207"/>
    </row>
    <row r="798" ht="15.75" customHeight="1">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c r="X798" s="207"/>
      <c r="Y798" s="207"/>
      <c r="Z798" s="207"/>
      <c r="AA798" s="207"/>
      <c r="AB798" s="207"/>
      <c r="AC798" s="207"/>
      <c r="AD798" s="207"/>
      <c r="AE798" s="207"/>
      <c r="AF798" s="207"/>
      <c r="AG798" s="207"/>
      <c r="AH798" s="207"/>
      <c r="AI798" s="207"/>
      <c r="AJ798" s="207"/>
    </row>
    <row r="799" ht="15.75" customHeight="1">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c r="X799" s="207"/>
      <c r="Y799" s="207"/>
      <c r="Z799" s="207"/>
      <c r="AA799" s="207"/>
      <c r="AB799" s="207"/>
      <c r="AC799" s="207"/>
      <c r="AD799" s="207"/>
      <c r="AE799" s="207"/>
      <c r="AF799" s="207"/>
      <c r="AG799" s="207"/>
      <c r="AH799" s="207"/>
      <c r="AI799" s="207"/>
      <c r="AJ799" s="207"/>
    </row>
    <row r="800" ht="15.75" customHeight="1">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c r="X800" s="207"/>
      <c r="Y800" s="207"/>
      <c r="Z800" s="207"/>
      <c r="AA800" s="207"/>
      <c r="AB800" s="207"/>
      <c r="AC800" s="207"/>
      <c r="AD800" s="207"/>
      <c r="AE800" s="207"/>
      <c r="AF800" s="207"/>
      <c r="AG800" s="207"/>
      <c r="AH800" s="207"/>
      <c r="AI800" s="207"/>
      <c r="AJ800" s="207"/>
    </row>
    <row r="801" ht="15.75" customHeight="1">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c r="X801" s="207"/>
      <c r="Y801" s="207"/>
      <c r="Z801" s="207"/>
      <c r="AA801" s="207"/>
      <c r="AB801" s="207"/>
      <c r="AC801" s="207"/>
      <c r="AD801" s="207"/>
      <c r="AE801" s="207"/>
      <c r="AF801" s="207"/>
      <c r="AG801" s="207"/>
      <c r="AH801" s="207"/>
      <c r="AI801" s="207"/>
      <c r="AJ801" s="207"/>
    </row>
    <row r="802" ht="15.75" customHeight="1">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c r="X802" s="207"/>
      <c r="Y802" s="207"/>
      <c r="Z802" s="207"/>
      <c r="AA802" s="207"/>
      <c r="AB802" s="207"/>
      <c r="AC802" s="207"/>
      <c r="AD802" s="207"/>
      <c r="AE802" s="207"/>
      <c r="AF802" s="207"/>
      <c r="AG802" s="207"/>
      <c r="AH802" s="207"/>
      <c r="AI802" s="207"/>
      <c r="AJ802" s="207"/>
    </row>
    <row r="803" ht="15.75" customHeight="1">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c r="X803" s="207"/>
      <c r="Y803" s="207"/>
      <c r="Z803" s="207"/>
      <c r="AA803" s="207"/>
      <c r="AB803" s="207"/>
      <c r="AC803" s="207"/>
      <c r="AD803" s="207"/>
      <c r="AE803" s="207"/>
      <c r="AF803" s="207"/>
      <c r="AG803" s="207"/>
      <c r="AH803" s="207"/>
      <c r="AI803" s="207"/>
      <c r="AJ803" s="207"/>
    </row>
    <row r="804" ht="15.75" customHeight="1">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c r="X804" s="207"/>
      <c r="Y804" s="207"/>
      <c r="Z804" s="207"/>
      <c r="AA804" s="207"/>
      <c r="AB804" s="207"/>
      <c r="AC804" s="207"/>
      <c r="AD804" s="207"/>
      <c r="AE804" s="207"/>
      <c r="AF804" s="207"/>
      <c r="AG804" s="207"/>
      <c r="AH804" s="207"/>
      <c r="AI804" s="207"/>
      <c r="AJ804" s="207"/>
    </row>
    <row r="805" ht="15.75" customHeight="1">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c r="X805" s="207"/>
      <c r="Y805" s="207"/>
      <c r="Z805" s="207"/>
      <c r="AA805" s="207"/>
      <c r="AB805" s="207"/>
      <c r="AC805" s="207"/>
      <c r="AD805" s="207"/>
      <c r="AE805" s="207"/>
      <c r="AF805" s="207"/>
      <c r="AG805" s="207"/>
      <c r="AH805" s="207"/>
      <c r="AI805" s="207"/>
      <c r="AJ805" s="207"/>
    </row>
    <row r="806" ht="15.75" customHeight="1">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c r="X806" s="207"/>
      <c r="Y806" s="207"/>
      <c r="Z806" s="207"/>
      <c r="AA806" s="207"/>
      <c r="AB806" s="207"/>
      <c r="AC806" s="207"/>
      <c r="AD806" s="207"/>
      <c r="AE806" s="207"/>
      <c r="AF806" s="207"/>
      <c r="AG806" s="207"/>
      <c r="AH806" s="207"/>
      <c r="AI806" s="207"/>
      <c r="AJ806" s="207"/>
    </row>
    <row r="807" ht="15.75" customHeight="1">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c r="X807" s="207"/>
      <c r="Y807" s="207"/>
      <c r="Z807" s="207"/>
      <c r="AA807" s="207"/>
      <c r="AB807" s="207"/>
      <c r="AC807" s="207"/>
      <c r="AD807" s="207"/>
      <c r="AE807" s="207"/>
      <c r="AF807" s="207"/>
      <c r="AG807" s="207"/>
      <c r="AH807" s="207"/>
      <c r="AI807" s="207"/>
      <c r="AJ807" s="207"/>
    </row>
    <row r="808" ht="15.75" customHeight="1">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c r="X808" s="207"/>
      <c r="Y808" s="207"/>
      <c r="Z808" s="207"/>
      <c r="AA808" s="207"/>
      <c r="AB808" s="207"/>
      <c r="AC808" s="207"/>
      <c r="AD808" s="207"/>
      <c r="AE808" s="207"/>
      <c r="AF808" s="207"/>
      <c r="AG808" s="207"/>
      <c r="AH808" s="207"/>
      <c r="AI808" s="207"/>
      <c r="AJ808" s="207"/>
    </row>
    <row r="809" ht="15.75" customHeight="1">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c r="X809" s="207"/>
      <c r="Y809" s="207"/>
      <c r="Z809" s="207"/>
      <c r="AA809" s="207"/>
      <c r="AB809" s="207"/>
      <c r="AC809" s="207"/>
      <c r="AD809" s="207"/>
      <c r="AE809" s="207"/>
      <c r="AF809" s="207"/>
      <c r="AG809" s="207"/>
      <c r="AH809" s="207"/>
      <c r="AI809" s="207"/>
      <c r="AJ809" s="207"/>
    </row>
    <row r="810" ht="15.75" customHeight="1">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c r="X810" s="207"/>
      <c r="Y810" s="207"/>
      <c r="Z810" s="207"/>
      <c r="AA810" s="207"/>
      <c r="AB810" s="207"/>
      <c r="AC810" s="207"/>
      <c r="AD810" s="207"/>
      <c r="AE810" s="207"/>
      <c r="AF810" s="207"/>
      <c r="AG810" s="207"/>
      <c r="AH810" s="207"/>
      <c r="AI810" s="207"/>
      <c r="AJ810" s="207"/>
    </row>
    <row r="811" ht="15.75" customHeight="1">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c r="X811" s="207"/>
      <c r="Y811" s="207"/>
      <c r="Z811" s="207"/>
      <c r="AA811" s="207"/>
      <c r="AB811" s="207"/>
      <c r="AC811" s="207"/>
      <c r="AD811" s="207"/>
      <c r="AE811" s="207"/>
      <c r="AF811" s="207"/>
      <c r="AG811" s="207"/>
      <c r="AH811" s="207"/>
      <c r="AI811" s="207"/>
      <c r="AJ811" s="207"/>
    </row>
    <row r="812" ht="15.75" customHeight="1">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c r="X812" s="207"/>
      <c r="Y812" s="207"/>
      <c r="Z812" s="207"/>
      <c r="AA812" s="207"/>
      <c r="AB812" s="207"/>
      <c r="AC812" s="207"/>
      <c r="AD812" s="207"/>
      <c r="AE812" s="207"/>
      <c r="AF812" s="207"/>
      <c r="AG812" s="207"/>
      <c r="AH812" s="207"/>
      <c r="AI812" s="207"/>
      <c r="AJ812" s="207"/>
    </row>
    <row r="813" ht="15.75" customHeight="1">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c r="X813" s="207"/>
      <c r="Y813" s="207"/>
      <c r="Z813" s="207"/>
      <c r="AA813" s="207"/>
      <c r="AB813" s="207"/>
      <c r="AC813" s="207"/>
      <c r="AD813" s="207"/>
      <c r="AE813" s="207"/>
      <c r="AF813" s="207"/>
      <c r="AG813" s="207"/>
      <c r="AH813" s="207"/>
      <c r="AI813" s="207"/>
      <c r="AJ813" s="207"/>
    </row>
    <row r="814" ht="15.75" customHeight="1">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c r="X814" s="207"/>
      <c r="Y814" s="207"/>
      <c r="Z814" s="207"/>
      <c r="AA814" s="207"/>
      <c r="AB814" s="207"/>
      <c r="AC814" s="207"/>
      <c r="AD814" s="207"/>
      <c r="AE814" s="207"/>
      <c r="AF814" s="207"/>
      <c r="AG814" s="207"/>
      <c r="AH814" s="207"/>
      <c r="AI814" s="207"/>
      <c r="AJ814" s="207"/>
    </row>
    <row r="815" ht="15.75" customHeight="1">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c r="X815" s="207"/>
      <c r="Y815" s="207"/>
      <c r="Z815" s="207"/>
      <c r="AA815" s="207"/>
      <c r="AB815" s="207"/>
      <c r="AC815" s="207"/>
      <c r="AD815" s="207"/>
      <c r="AE815" s="207"/>
      <c r="AF815" s="207"/>
      <c r="AG815" s="207"/>
      <c r="AH815" s="207"/>
      <c r="AI815" s="207"/>
      <c r="AJ815" s="207"/>
    </row>
    <row r="816" ht="15.75" customHeight="1">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c r="X816" s="207"/>
      <c r="Y816" s="207"/>
      <c r="Z816" s="207"/>
      <c r="AA816" s="207"/>
      <c r="AB816" s="207"/>
      <c r="AC816" s="207"/>
      <c r="AD816" s="207"/>
      <c r="AE816" s="207"/>
      <c r="AF816" s="207"/>
      <c r="AG816" s="207"/>
      <c r="AH816" s="207"/>
      <c r="AI816" s="207"/>
      <c r="AJ816" s="207"/>
    </row>
    <row r="817" ht="15.75" customHeight="1">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c r="X817" s="207"/>
      <c r="Y817" s="207"/>
      <c r="Z817" s="207"/>
      <c r="AA817" s="207"/>
      <c r="AB817" s="207"/>
      <c r="AC817" s="207"/>
      <c r="AD817" s="207"/>
      <c r="AE817" s="207"/>
      <c r="AF817" s="207"/>
      <c r="AG817" s="207"/>
      <c r="AH817" s="207"/>
      <c r="AI817" s="207"/>
      <c r="AJ817" s="207"/>
    </row>
    <row r="818" ht="15.75" customHeight="1">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c r="X818" s="207"/>
      <c r="Y818" s="207"/>
      <c r="Z818" s="207"/>
      <c r="AA818" s="207"/>
      <c r="AB818" s="207"/>
      <c r="AC818" s="207"/>
      <c r="AD818" s="207"/>
      <c r="AE818" s="207"/>
      <c r="AF818" s="207"/>
      <c r="AG818" s="207"/>
      <c r="AH818" s="207"/>
      <c r="AI818" s="207"/>
      <c r="AJ818" s="207"/>
    </row>
    <row r="819" ht="15.75" customHeight="1">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c r="X819" s="207"/>
      <c r="Y819" s="207"/>
      <c r="Z819" s="207"/>
      <c r="AA819" s="207"/>
      <c r="AB819" s="207"/>
      <c r="AC819" s="207"/>
      <c r="AD819" s="207"/>
      <c r="AE819" s="207"/>
      <c r="AF819" s="207"/>
      <c r="AG819" s="207"/>
      <c r="AH819" s="207"/>
      <c r="AI819" s="207"/>
      <c r="AJ819" s="207"/>
    </row>
    <row r="820" ht="15.75" customHeight="1">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c r="X820" s="207"/>
      <c r="Y820" s="207"/>
      <c r="Z820" s="207"/>
      <c r="AA820" s="207"/>
      <c r="AB820" s="207"/>
      <c r="AC820" s="207"/>
      <c r="AD820" s="207"/>
      <c r="AE820" s="207"/>
      <c r="AF820" s="207"/>
      <c r="AG820" s="207"/>
      <c r="AH820" s="207"/>
      <c r="AI820" s="207"/>
      <c r="AJ820" s="207"/>
    </row>
    <row r="821" ht="15.75" customHeight="1">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c r="X821" s="207"/>
      <c r="Y821" s="207"/>
      <c r="Z821" s="207"/>
      <c r="AA821" s="207"/>
      <c r="AB821" s="207"/>
      <c r="AC821" s="207"/>
      <c r="AD821" s="207"/>
      <c r="AE821" s="207"/>
      <c r="AF821" s="207"/>
      <c r="AG821" s="207"/>
      <c r="AH821" s="207"/>
      <c r="AI821" s="207"/>
      <c r="AJ821" s="207"/>
    </row>
    <row r="822" ht="15.75" customHeight="1">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c r="X822" s="207"/>
      <c r="Y822" s="207"/>
      <c r="Z822" s="207"/>
      <c r="AA822" s="207"/>
      <c r="AB822" s="207"/>
      <c r="AC822" s="207"/>
      <c r="AD822" s="207"/>
      <c r="AE822" s="207"/>
      <c r="AF822" s="207"/>
      <c r="AG822" s="207"/>
      <c r="AH822" s="207"/>
      <c r="AI822" s="207"/>
      <c r="AJ822" s="207"/>
    </row>
    <row r="823" ht="15.75" customHeight="1">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c r="X823" s="207"/>
      <c r="Y823" s="207"/>
      <c r="Z823" s="207"/>
      <c r="AA823" s="207"/>
      <c r="AB823" s="207"/>
      <c r="AC823" s="207"/>
      <c r="AD823" s="207"/>
      <c r="AE823" s="207"/>
      <c r="AF823" s="207"/>
      <c r="AG823" s="207"/>
      <c r="AH823" s="207"/>
      <c r="AI823" s="207"/>
      <c r="AJ823" s="207"/>
    </row>
    <row r="824" ht="15.75" customHeight="1">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c r="X824" s="207"/>
      <c r="Y824" s="207"/>
      <c r="Z824" s="207"/>
      <c r="AA824" s="207"/>
      <c r="AB824" s="207"/>
      <c r="AC824" s="207"/>
      <c r="AD824" s="207"/>
      <c r="AE824" s="207"/>
      <c r="AF824" s="207"/>
      <c r="AG824" s="207"/>
      <c r="AH824" s="207"/>
      <c r="AI824" s="207"/>
      <c r="AJ824" s="207"/>
    </row>
    <row r="825" ht="15.75" customHeight="1">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c r="X825" s="207"/>
      <c r="Y825" s="207"/>
      <c r="Z825" s="207"/>
      <c r="AA825" s="207"/>
      <c r="AB825" s="207"/>
      <c r="AC825" s="207"/>
      <c r="AD825" s="207"/>
      <c r="AE825" s="207"/>
      <c r="AF825" s="207"/>
      <c r="AG825" s="207"/>
      <c r="AH825" s="207"/>
      <c r="AI825" s="207"/>
      <c r="AJ825" s="207"/>
    </row>
    <row r="826" ht="15.75" customHeight="1">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c r="X826" s="207"/>
      <c r="Y826" s="207"/>
      <c r="Z826" s="207"/>
      <c r="AA826" s="207"/>
      <c r="AB826" s="207"/>
      <c r="AC826" s="207"/>
      <c r="AD826" s="207"/>
      <c r="AE826" s="207"/>
      <c r="AF826" s="207"/>
      <c r="AG826" s="207"/>
      <c r="AH826" s="207"/>
      <c r="AI826" s="207"/>
      <c r="AJ826" s="207"/>
    </row>
    <row r="827" ht="15.75" customHeight="1">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c r="X827" s="207"/>
      <c r="Y827" s="207"/>
      <c r="Z827" s="207"/>
      <c r="AA827" s="207"/>
      <c r="AB827" s="207"/>
      <c r="AC827" s="207"/>
      <c r="AD827" s="207"/>
      <c r="AE827" s="207"/>
      <c r="AF827" s="207"/>
      <c r="AG827" s="207"/>
      <c r="AH827" s="207"/>
      <c r="AI827" s="207"/>
      <c r="AJ827" s="207"/>
    </row>
    <row r="828" ht="15.75" customHeight="1">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c r="X828" s="207"/>
      <c r="Y828" s="207"/>
      <c r="Z828" s="207"/>
      <c r="AA828" s="207"/>
      <c r="AB828" s="207"/>
      <c r="AC828" s="207"/>
      <c r="AD828" s="207"/>
      <c r="AE828" s="207"/>
      <c r="AF828" s="207"/>
      <c r="AG828" s="207"/>
      <c r="AH828" s="207"/>
      <c r="AI828" s="207"/>
      <c r="AJ828" s="207"/>
    </row>
    <row r="829" ht="15.75" customHeight="1">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c r="X829" s="207"/>
      <c r="Y829" s="207"/>
      <c r="Z829" s="207"/>
      <c r="AA829" s="207"/>
      <c r="AB829" s="207"/>
      <c r="AC829" s="207"/>
      <c r="AD829" s="207"/>
      <c r="AE829" s="207"/>
      <c r="AF829" s="207"/>
      <c r="AG829" s="207"/>
      <c r="AH829" s="207"/>
      <c r="AI829" s="207"/>
      <c r="AJ829" s="207"/>
    </row>
    <row r="830" ht="15.75" customHeight="1">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c r="X830" s="207"/>
      <c r="Y830" s="207"/>
      <c r="Z830" s="207"/>
      <c r="AA830" s="207"/>
      <c r="AB830" s="207"/>
      <c r="AC830" s="207"/>
      <c r="AD830" s="207"/>
      <c r="AE830" s="207"/>
      <c r="AF830" s="207"/>
      <c r="AG830" s="207"/>
      <c r="AH830" s="207"/>
      <c r="AI830" s="207"/>
      <c r="AJ830" s="207"/>
    </row>
    <row r="831" ht="15.75" customHeight="1">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c r="X831" s="207"/>
      <c r="Y831" s="207"/>
      <c r="Z831" s="207"/>
      <c r="AA831" s="207"/>
      <c r="AB831" s="207"/>
      <c r="AC831" s="207"/>
      <c r="AD831" s="207"/>
      <c r="AE831" s="207"/>
      <c r="AF831" s="207"/>
      <c r="AG831" s="207"/>
      <c r="AH831" s="207"/>
      <c r="AI831" s="207"/>
      <c r="AJ831" s="207"/>
    </row>
    <row r="832" ht="15.75" customHeight="1">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c r="X832" s="207"/>
      <c r="Y832" s="207"/>
      <c r="Z832" s="207"/>
      <c r="AA832" s="207"/>
      <c r="AB832" s="207"/>
      <c r="AC832" s="207"/>
      <c r="AD832" s="207"/>
      <c r="AE832" s="207"/>
      <c r="AF832" s="207"/>
      <c r="AG832" s="207"/>
      <c r="AH832" s="207"/>
      <c r="AI832" s="207"/>
      <c r="AJ832" s="207"/>
    </row>
    <row r="833" ht="15.75" customHeight="1">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c r="AA833" s="207"/>
      <c r="AB833" s="207"/>
      <c r="AC833" s="207"/>
      <c r="AD833" s="207"/>
      <c r="AE833" s="207"/>
      <c r="AF833" s="207"/>
      <c r="AG833" s="207"/>
      <c r="AH833" s="207"/>
      <c r="AI833" s="207"/>
      <c r="AJ833" s="207"/>
    </row>
    <row r="834" ht="15.75" customHeight="1">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c r="X834" s="207"/>
      <c r="Y834" s="207"/>
      <c r="Z834" s="207"/>
      <c r="AA834" s="207"/>
      <c r="AB834" s="207"/>
      <c r="AC834" s="207"/>
      <c r="AD834" s="207"/>
      <c r="AE834" s="207"/>
      <c r="AF834" s="207"/>
      <c r="AG834" s="207"/>
      <c r="AH834" s="207"/>
      <c r="AI834" s="207"/>
      <c r="AJ834" s="207"/>
    </row>
    <row r="835" ht="15.75" customHeight="1">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c r="X835" s="207"/>
      <c r="Y835" s="207"/>
      <c r="Z835" s="207"/>
      <c r="AA835" s="207"/>
      <c r="AB835" s="207"/>
      <c r="AC835" s="207"/>
      <c r="AD835" s="207"/>
      <c r="AE835" s="207"/>
      <c r="AF835" s="207"/>
      <c r="AG835" s="207"/>
      <c r="AH835" s="207"/>
      <c r="AI835" s="207"/>
      <c r="AJ835" s="207"/>
    </row>
    <row r="836" ht="15.75" customHeight="1">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c r="X836" s="207"/>
      <c r="Y836" s="207"/>
      <c r="Z836" s="207"/>
      <c r="AA836" s="207"/>
      <c r="AB836" s="207"/>
      <c r="AC836" s="207"/>
      <c r="AD836" s="207"/>
      <c r="AE836" s="207"/>
      <c r="AF836" s="207"/>
      <c r="AG836" s="207"/>
      <c r="AH836" s="207"/>
      <c r="AI836" s="207"/>
      <c r="AJ836" s="207"/>
    </row>
    <row r="837" ht="15.75" customHeight="1">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c r="X837" s="207"/>
      <c r="Y837" s="207"/>
      <c r="Z837" s="207"/>
      <c r="AA837" s="207"/>
      <c r="AB837" s="207"/>
      <c r="AC837" s="207"/>
      <c r="AD837" s="207"/>
      <c r="AE837" s="207"/>
      <c r="AF837" s="207"/>
      <c r="AG837" s="207"/>
      <c r="AH837" s="207"/>
      <c r="AI837" s="207"/>
      <c r="AJ837" s="207"/>
    </row>
    <row r="838" ht="15.75" customHeight="1">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c r="AA838" s="207"/>
      <c r="AB838" s="207"/>
      <c r="AC838" s="207"/>
      <c r="AD838" s="207"/>
      <c r="AE838" s="207"/>
      <c r="AF838" s="207"/>
      <c r="AG838" s="207"/>
      <c r="AH838" s="207"/>
      <c r="AI838" s="207"/>
      <c r="AJ838" s="207"/>
    </row>
    <row r="839" ht="15.75" customHeight="1">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c r="X839" s="207"/>
      <c r="Y839" s="207"/>
      <c r="Z839" s="207"/>
      <c r="AA839" s="207"/>
      <c r="AB839" s="207"/>
      <c r="AC839" s="207"/>
      <c r="AD839" s="207"/>
      <c r="AE839" s="207"/>
      <c r="AF839" s="207"/>
      <c r="AG839" s="207"/>
      <c r="AH839" s="207"/>
      <c r="AI839" s="207"/>
      <c r="AJ839" s="207"/>
    </row>
    <row r="840" ht="15.75" customHeight="1">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c r="X840" s="207"/>
      <c r="Y840" s="207"/>
      <c r="Z840" s="207"/>
      <c r="AA840" s="207"/>
      <c r="AB840" s="207"/>
      <c r="AC840" s="207"/>
      <c r="AD840" s="207"/>
      <c r="AE840" s="207"/>
      <c r="AF840" s="207"/>
      <c r="AG840" s="207"/>
      <c r="AH840" s="207"/>
      <c r="AI840" s="207"/>
      <c r="AJ840" s="207"/>
    </row>
    <row r="841" ht="15.75" customHeight="1">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c r="X841" s="207"/>
      <c r="Y841" s="207"/>
      <c r="Z841" s="207"/>
      <c r="AA841" s="207"/>
      <c r="AB841" s="207"/>
      <c r="AC841" s="207"/>
      <c r="AD841" s="207"/>
      <c r="AE841" s="207"/>
      <c r="AF841" s="207"/>
      <c r="AG841" s="207"/>
      <c r="AH841" s="207"/>
      <c r="AI841" s="207"/>
      <c r="AJ841" s="207"/>
    </row>
    <row r="842" ht="15.75" customHeight="1">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c r="X842" s="207"/>
      <c r="Y842" s="207"/>
      <c r="Z842" s="207"/>
      <c r="AA842" s="207"/>
      <c r="AB842" s="207"/>
      <c r="AC842" s="207"/>
      <c r="AD842" s="207"/>
      <c r="AE842" s="207"/>
      <c r="AF842" s="207"/>
      <c r="AG842" s="207"/>
      <c r="AH842" s="207"/>
      <c r="AI842" s="207"/>
      <c r="AJ842" s="207"/>
    </row>
    <row r="843" ht="15.75" customHeight="1">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c r="X843" s="207"/>
      <c r="Y843" s="207"/>
      <c r="Z843" s="207"/>
      <c r="AA843" s="207"/>
      <c r="AB843" s="207"/>
      <c r="AC843" s="207"/>
      <c r="AD843" s="207"/>
      <c r="AE843" s="207"/>
      <c r="AF843" s="207"/>
      <c r="AG843" s="207"/>
      <c r="AH843" s="207"/>
      <c r="AI843" s="207"/>
      <c r="AJ843" s="207"/>
    </row>
    <row r="844" ht="15.75" customHeight="1">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c r="X844" s="207"/>
      <c r="Y844" s="207"/>
      <c r="Z844" s="207"/>
      <c r="AA844" s="207"/>
      <c r="AB844" s="207"/>
      <c r="AC844" s="207"/>
      <c r="AD844" s="207"/>
      <c r="AE844" s="207"/>
      <c r="AF844" s="207"/>
      <c r="AG844" s="207"/>
      <c r="AH844" s="207"/>
      <c r="AI844" s="207"/>
      <c r="AJ844" s="207"/>
    </row>
    <row r="845" ht="15.75" customHeight="1">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c r="X845" s="207"/>
      <c r="Y845" s="207"/>
      <c r="Z845" s="207"/>
      <c r="AA845" s="207"/>
      <c r="AB845" s="207"/>
      <c r="AC845" s="207"/>
      <c r="AD845" s="207"/>
      <c r="AE845" s="207"/>
      <c r="AF845" s="207"/>
      <c r="AG845" s="207"/>
      <c r="AH845" s="207"/>
      <c r="AI845" s="207"/>
      <c r="AJ845" s="207"/>
    </row>
    <row r="846" ht="15.75" customHeight="1">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c r="X846" s="207"/>
      <c r="Y846" s="207"/>
      <c r="Z846" s="207"/>
      <c r="AA846" s="207"/>
      <c r="AB846" s="207"/>
      <c r="AC846" s="207"/>
      <c r="AD846" s="207"/>
      <c r="AE846" s="207"/>
      <c r="AF846" s="207"/>
      <c r="AG846" s="207"/>
      <c r="AH846" s="207"/>
      <c r="AI846" s="207"/>
      <c r="AJ846" s="207"/>
    </row>
    <row r="847" ht="15.75" customHeight="1">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c r="X847" s="207"/>
      <c r="Y847" s="207"/>
      <c r="Z847" s="207"/>
      <c r="AA847" s="207"/>
      <c r="AB847" s="207"/>
      <c r="AC847" s="207"/>
      <c r="AD847" s="207"/>
      <c r="AE847" s="207"/>
      <c r="AF847" s="207"/>
      <c r="AG847" s="207"/>
      <c r="AH847" s="207"/>
      <c r="AI847" s="207"/>
      <c r="AJ847" s="207"/>
    </row>
    <row r="848" ht="15.75" customHeight="1">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c r="X848" s="207"/>
      <c r="Y848" s="207"/>
      <c r="Z848" s="207"/>
      <c r="AA848" s="207"/>
      <c r="AB848" s="207"/>
      <c r="AC848" s="207"/>
      <c r="AD848" s="207"/>
      <c r="AE848" s="207"/>
      <c r="AF848" s="207"/>
      <c r="AG848" s="207"/>
      <c r="AH848" s="207"/>
      <c r="AI848" s="207"/>
      <c r="AJ848" s="207"/>
    </row>
    <row r="849" ht="15.75" customHeight="1">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c r="X849" s="207"/>
      <c r="Y849" s="207"/>
      <c r="Z849" s="207"/>
      <c r="AA849" s="207"/>
      <c r="AB849" s="207"/>
      <c r="AC849" s="207"/>
      <c r="AD849" s="207"/>
      <c r="AE849" s="207"/>
      <c r="AF849" s="207"/>
      <c r="AG849" s="207"/>
      <c r="AH849" s="207"/>
      <c r="AI849" s="207"/>
      <c r="AJ849" s="207"/>
    </row>
    <row r="850" ht="15.75" customHeight="1">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c r="X850" s="207"/>
      <c r="Y850" s="207"/>
      <c r="Z850" s="207"/>
      <c r="AA850" s="207"/>
      <c r="AB850" s="207"/>
      <c r="AC850" s="207"/>
      <c r="AD850" s="207"/>
      <c r="AE850" s="207"/>
      <c r="AF850" s="207"/>
      <c r="AG850" s="207"/>
      <c r="AH850" s="207"/>
      <c r="AI850" s="207"/>
      <c r="AJ850" s="207"/>
    </row>
    <row r="851" ht="15.75" customHeight="1">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c r="X851" s="207"/>
      <c r="Y851" s="207"/>
      <c r="Z851" s="207"/>
      <c r="AA851" s="207"/>
      <c r="AB851" s="207"/>
      <c r="AC851" s="207"/>
      <c r="AD851" s="207"/>
      <c r="AE851" s="207"/>
      <c r="AF851" s="207"/>
      <c r="AG851" s="207"/>
      <c r="AH851" s="207"/>
      <c r="AI851" s="207"/>
      <c r="AJ851" s="207"/>
    </row>
    <row r="852" ht="15.75" customHeight="1">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c r="X852" s="207"/>
      <c r="Y852" s="207"/>
      <c r="Z852" s="207"/>
      <c r="AA852" s="207"/>
      <c r="AB852" s="207"/>
      <c r="AC852" s="207"/>
      <c r="AD852" s="207"/>
      <c r="AE852" s="207"/>
      <c r="AF852" s="207"/>
      <c r="AG852" s="207"/>
      <c r="AH852" s="207"/>
      <c r="AI852" s="207"/>
      <c r="AJ852" s="207"/>
    </row>
    <row r="853" ht="15.75" customHeight="1">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c r="X853" s="207"/>
      <c r="Y853" s="207"/>
      <c r="Z853" s="207"/>
      <c r="AA853" s="207"/>
      <c r="AB853" s="207"/>
      <c r="AC853" s="207"/>
      <c r="AD853" s="207"/>
      <c r="AE853" s="207"/>
      <c r="AF853" s="207"/>
      <c r="AG853" s="207"/>
      <c r="AH853" s="207"/>
      <c r="AI853" s="207"/>
      <c r="AJ853" s="207"/>
    </row>
    <row r="854" ht="15.75" customHeight="1">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c r="X854" s="207"/>
      <c r="Y854" s="207"/>
      <c r="Z854" s="207"/>
      <c r="AA854" s="207"/>
      <c r="AB854" s="207"/>
      <c r="AC854" s="207"/>
      <c r="AD854" s="207"/>
      <c r="AE854" s="207"/>
      <c r="AF854" s="207"/>
      <c r="AG854" s="207"/>
      <c r="AH854" s="207"/>
      <c r="AI854" s="207"/>
      <c r="AJ854" s="207"/>
    </row>
    <row r="855" ht="15.75" customHeight="1">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c r="X855" s="207"/>
      <c r="Y855" s="207"/>
      <c r="Z855" s="207"/>
      <c r="AA855" s="207"/>
      <c r="AB855" s="207"/>
      <c r="AC855" s="207"/>
      <c r="AD855" s="207"/>
      <c r="AE855" s="207"/>
      <c r="AF855" s="207"/>
      <c r="AG855" s="207"/>
      <c r="AH855" s="207"/>
      <c r="AI855" s="207"/>
      <c r="AJ855" s="207"/>
    </row>
    <row r="856" ht="15.75" customHeight="1">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c r="X856" s="207"/>
      <c r="Y856" s="207"/>
      <c r="Z856" s="207"/>
      <c r="AA856" s="207"/>
      <c r="AB856" s="207"/>
      <c r="AC856" s="207"/>
      <c r="AD856" s="207"/>
      <c r="AE856" s="207"/>
      <c r="AF856" s="207"/>
      <c r="AG856" s="207"/>
      <c r="AH856" s="207"/>
      <c r="AI856" s="207"/>
      <c r="AJ856" s="207"/>
    </row>
    <row r="857" ht="15.75" customHeight="1">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c r="X857" s="207"/>
      <c r="Y857" s="207"/>
      <c r="Z857" s="207"/>
      <c r="AA857" s="207"/>
      <c r="AB857" s="207"/>
      <c r="AC857" s="207"/>
      <c r="AD857" s="207"/>
      <c r="AE857" s="207"/>
      <c r="AF857" s="207"/>
      <c r="AG857" s="207"/>
      <c r="AH857" s="207"/>
      <c r="AI857" s="207"/>
      <c r="AJ857" s="207"/>
    </row>
    <row r="858" ht="15.75" customHeight="1">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c r="X858" s="207"/>
      <c r="Y858" s="207"/>
      <c r="Z858" s="207"/>
      <c r="AA858" s="207"/>
      <c r="AB858" s="207"/>
      <c r="AC858" s="207"/>
      <c r="AD858" s="207"/>
      <c r="AE858" s="207"/>
      <c r="AF858" s="207"/>
      <c r="AG858" s="207"/>
      <c r="AH858" s="207"/>
      <c r="AI858" s="207"/>
      <c r="AJ858" s="207"/>
    </row>
    <row r="859" ht="15.75" customHeight="1">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c r="X859" s="207"/>
      <c r="Y859" s="207"/>
      <c r="Z859" s="207"/>
      <c r="AA859" s="207"/>
      <c r="AB859" s="207"/>
      <c r="AC859" s="207"/>
      <c r="AD859" s="207"/>
      <c r="AE859" s="207"/>
      <c r="AF859" s="207"/>
      <c r="AG859" s="207"/>
      <c r="AH859" s="207"/>
      <c r="AI859" s="207"/>
      <c r="AJ859" s="207"/>
    </row>
    <row r="860" ht="15.75" customHeight="1">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c r="X860" s="207"/>
      <c r="Y860" s="207"/>
      <c r="Z860" s="207"/>
      <c r="AA860" s="207"/>
      <c r="AB860" s="207"/>
      <c r="AC860" s="207"/>
      <c r="AD860" s="207"/>
      <c r="AE860" s="207"/>
      <c r="AF860" s="207"/>
      <c r="AG860" s="207"/>
      <c r="AH860" s="207"/>
      <c r="AI860" s="207"/>
      <c r="AJ860" s="207"/>
    </row>
    <row r="861" ht="15.75" customHeight="1">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c r="X861" s="207"/>
      <c r="Y861" s="207"/>
      <c r="Z861" s="207"/>
      <c r="AA861" s="207"/>
      <c r="AB861" s="207"/>
      <c r="AC861" s="207"/>
      <c r="AD861" s="207"/>
      <c r="AE861" s="207"/>
      <c r="AF861" s="207"/>
      <c r="AG861" s="207"/>
      <c r="AH861" s="207"/>
      <c r="AI861" s="207"/>
      <c r="AJ861" s="207"/>
    </row>
    <row r="862" ht="15.75" customHeight="1">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c r="X862" s="207"/>
      <c r="Y862" s="207"/>
      <c r="Z862" s="207"/>
      <c r="AA862" s="207"/>
      <c r="AB862" s="207"/>
      <c r="AC862" s="207"/>
      <c r="AD862" s="207"/>
      <c r="AE862" s="207"/>
      <c r="AF862" s="207"/>
      <c r="AG862" s="207"/>
      <c r="AH862" s="207"/>
      <c r="AI862" s="207"/>
      <c r="AJ862" s="207"/>
    </row>
    <row r="863" ht="15.75" customHeight="1">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c r="X863" s="207"/>
      <c r="Y863" s="207"/>
      <c r="Z863" s="207"/>
      <c r="AA863" s="207"/>
      <c r="AB863" s="207"/>
      <c r="AC863" s="207"/>
      <c r="AD863" s="207"/>
      <c r="AE863" s="207"/>
      <c r="AF863" s="207"/>
      <c r="AG863" s="207"/>
      <c r="AH863" s="207"/>
      <c r="AI863" s="207"/>
      <c r="AJ863" s="207"/>
    </row>
    <row r="864" ht="15.75" customHeight="1">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c r="X864" s="207"/>
      <c r="Y864" s="207"/>
      <c r="Z864" s="207"/>
      <c r="AA864" s="207"/>
      <c r="AB864" s="207"/>
      <c r="AC864" s="207"/>
      <c r="AD864" s="207"/>
      <c r="AE864" s="207"/>
      <c r="AF864" s="207"/>
      <c r="AG864" s="207"/>
      <c r="AH864" s="207"/>
      <c r="AI864" s="207"/>
      <c r="AJ864" s="207"/>
    </row>
    <row r="865" ht="15.75" customHeight="1">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c r="X865" s="207"/>
      <c r="Y865" s="207"/>
      <c r="Z865" s="207"/>
      <c r="AA865" s="207"/>
      <c r="AB865" s="207"/>
      <c r="AC865" s="207"/>
      <c r="AD865" s="207"/>
      <c r="AE865" s="207"/>
      <c r="AF865" s="207"/>
      <c r="AG865" s="207"/>
      <c r="AH865" s="207"/>
      <c r="AI865" s="207"/>
      <c r="AJ865" s="207"/>
    </row>
    <row r="866" ht="15.75" customHeight="1">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c r="X866" s="207"/>
      <c r="Y866" s="207"/>
      <c r="Z866" s="207"/>
      <c r="AA866" s="207"/>
      <c r="AB866" s="207"/>
      <c r="AC866" s="207"/>
      <c r="AD866" s="207"/>
      <c r="AE866" s="207"/>
      <c r="AF866" s="207"/>
      <c r="AG866" s="207"/>
      <c r="AH866" s="207"/>
      <c r="AI866" s="207"/>
      <c r="AJ866" s="207"/>
    </row>
    <row r="867" ht="15.75" customHeight="1">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c r="X867" s="207"/>
      <c r="Y867" s="207"/>
      <c r="Z867" s="207"/>
      <c r="AA867" s="207"/>
      <c r="AB867" s="207"/>
      <c r="AC867" s="207"/>
      <c r="AD867" s="207"/>
      <c r="AE867" s="207"/>
      <c r="AF867" s="207"/>
      <c r="AG867" s="207"/>
      <c r="AH867" s="207"/>
      <c r="AI867" s="207"/>
      <c r="AJ867" s="207"/>
    </row>
    <row r="868" ht="15.75" customHeight="1">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c r="X868" s="207"/>
      <c r="Y868" s="207"/>
      <c r="Z868" s="207"/>
      <c r="AA868" s="207"/>
      <c r="AB868" s="207"/>
      <c r="AC868" s="207"/>
      <c r="AD868" s="207"/>
      <c r="AE868" s="207"/>
      <c r="AF868" s="207"/>
      <c r="AG868" s="207"/>
      <c r="AH868" s="207"/>
      <c r="AI868" s="207"/>
      <c r="AJ868" s="207"/>
    </row>
    <row r="869" ht="15.75" customHeight="1">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c r="X869" s="207"/>
      <c r="Y869" s="207"/>
      <c r="Z869" s="207"/>
      <c r="AA869" s="207"/>
      <c r="AB869" s="207"/>
      <c r="AC869" s="207"/>
      <c r="AD869" s="207"/>
      <c r="AE869" s="207"/>
      <c r="AF869" s="207"/>
      <c r="AG869" s="207"/>
      <c r="AH869" s="207"/>
      <c r="AI869" s="207"/>
      <c r="AJ869" s="207"/>
    </row>
    <row r="870" ht="15.75" customHeight="1">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c r="X870" s="207"/>
      <c r="Y870" s="207"/>
      <c r="Z870" s="207"/>
      <c r="AA870" s="207"/>
      <c r="AB870" s="207"/>
      <c r="AC870" s="207"/>
      <c r="AD870" s="207"/>
      <c r="AE870" s="207"/>
      <c r="AF870" s="207"/>
      <c r="AG870" s="207"/>
      <c r="AH870" s="207"/>
      <c r="AI870" s="207"/>
      <c r="AJ870" s="207"/>
    </row>
    <row r="871" ht="15.75" customHeight="1">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c r="X871" s="207"/>
      <c r="Y871" s="207"/>
      <c r="Z871" s="207"/>
      <c r="AA871" s="207"/>
      <c r="AB871" s="207"/>
      <c r="AC871" s="207"/>
      <c r="AD871" s="207"/>
      <c r="AE871" s="207"/>
      <c r="AF871" s="207"/>
      <c r="AG871" s="207"/>
      <c r="AH871" s="207"/>
      <c r="AI871" s="207"/>
      <c r="AJ871" s="207"/>
    </row>
    <row r="872" ht="15.75" customHeight="1">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c r="X872" s="207"/>
      <c r="Y872" s="207"/>
      <c r="Z872" s="207"/>
      <c r="AA872" s="207"/>
      <c r="AB872" s="207"/>
      <c r="AC872" s="207"/>
      <c r="AD872" s="207"/>
      <c r="AE872" s="207"/>
      <c r="AF872" s="207"/>
      <c r="AG872" s="207"/>
      <c r="AH872" s="207"/>
      <c r="AI872" s="207"/>
      <c r="AJ872" s="207"/>
    </row>
    <row r="873" ht="15.75" customHeight="1">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c r="X873" s="207"/>
      <c r="Y873" s="207"/>
      <c r="Z873" s="207"/>
      <c r="AA873" s="207"/>
      <c r="AB873" s="207"/>
      <c r="AC873" s="207"/>
      <c r="AD873" s="207"/>
      <c r="AE873" s="207"/>
      <c r="AF873" s="207"/>
      <c r="AG873" s="207"/>
      <c r="AH873" s="207"/>
      <c r="AI873" s="207"/>
      <c r="AJ873" s="207"/>
    </row>
    <row r="874" ht="15.75" customHeight="1">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c r="X874" s="207"/>
      <c r="Y874" s="207"/>
      <c r="Z874" s="207"/>
      <c r="AA874" s="207"/>
      <c r="AB874" s="207"/>
      <c r="AC874" s="207"/>
      <c r="AD874" s="207"/>
      <c r="AE874" s="207"/>
      <c r="AF874" s="207"/>
      <c r="AG874" s="207"/>
      <c r="AH874" s="207"/>
      <c r="AI874" s="207"/>
      <c r="AJ874" s="207"/>
    </row>
    <row r="875" ht="15.75" customHeight="1">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c r="X875" s="207"/>
      <c r="Y875" s="207"/>
      <c r="Z875" s="207"/>
      <c r="AA875" s="207"/>
      <c r="AB875" s="207"/>
      <c r="AC875" s="207"/>
      <c r="AD875" s="207"/>
      <c r="AE875" s="207"/>
      <c r="AF875" s="207"/>
      <c r="AG875" s="207"/>
      <c r="AH875" s="207"/>
      <c r="AI875" s="207"/>
      <c r="AJ875" s="207"/>
    </row>
    <row r="876" ht="15.75" customHeight="1">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c r="X876" s="207"/>
      <c r="Y876" s="207"/>
      <c r="Z876" s="207"/>
      <c r="AA876" s="207"/>
      <c r="AB876" s="207"/>
      <c r="AC876" s="207"/>
      <c r="AD876" s="207"/>
      <c r="AE876" s="207"/>
      <c r="AF876" s="207"/>
      <c r="AG876" s="207"/>
      <c r="AH876" s="207"/>
      <c r="AI876" s="207"/>
      <c r="AJ876" s="207"/>
    </row>
    <row r="877" ht="15.75" customHeight="1">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c r="X877" s="207"/>
      <c r="Y877" s="207"/>
      <c r="Z877" s="207"/>
      <c r="AA877" s="207"/>
      <c r="AB877" s="207"/>
      <c r="AC877" s="207"/>
      <c r="AD877" s="207"/>
      <c r="AE877" s="207"/>
      <c r="AF877" s="207"/>
      <c r="AG877" s="207"/>
      <c r="AH877" s="207"/>
      <c r="AI877" s="207"/>
      <c r="AJ877" s="207"/>
    </row>
    <row r="878" ht="15.75" customHeight="1">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c r="X878" s="207"/>
      <c r="Y878" s="207"/>
      <c r="Z878" s="207"/>
      <c r="AA878" s="207"/>
      <c r="AB878" s="207"/>
      <c r="AC878" s="207"/>
      <c r="AD878" s="207"/>
      <c r="AE878" s="207"/>
      <c r="AF878" s="207"/>
      <c r="AG878" s="207"/>
      <c r="AH878" s="207"/>
      <c r="AI878" s="207"/>
      <c r="AJ878" s="207"/>
    </row>
    <row r="879" ht="15.75" customHeight="1">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c r="X879" s="207"/>
      <c r="Y879" s="207"/>
      <c r="Z879" s="207"/>
      <c r="AA879" s="207"/>
      <c r="AB879" s="207"/>
      <c r="AC879" s="207"/>
      <c r="AD879" s="207"/>
      <c r="AE879" s="207"/>
      <c r="AF879" s="207"/>
      <c r="AG879" s="207"/>
      <c r="AH879" s="207"/>
      <c r="AI879" s="207"/>
      <c r="AJ879" s="207"/>
    </row>
    <row r="880" ht="15.75" customHeight="1">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c r="X880" s="207"/>
      <c r="Y880" s="207"/>
      <c r="Z880" s="207"/>
      <c r="AA880" s="207"/>
      <c r="AB880" s="207"/>
      <c r="AC880" s="207"/>
      <c r="AD880" s="207"/>
      <c r="AE880" s="207"/>
      <c r="AF880" s="207"/>
      <c r="AG880" s="207"/>
      <c r="AH880" s="207"/>
      <c r="AI880" s="207"/>
      <c r="AJ880" s="207"/>
    </row>
    <row r="881" ht="15.75" customHeight="1">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c r="X881" s="207"/>
      <c r="Y881" s="207"/>
      <c r="Z881" s="207"/>
      <c r="AA881" s="207"/>
      <c r="AB881" s="207"/>
      <c r="AC881" s="207"/>
      <c r="AD881" s="207"/>
      <c r="AE881" s="207"/>
      <c r="AF881" s="207"/>
      <c r="AG881" s="207"/>
      <c r="AH881" s="207"/>
      <c r="AI881" s="207"/>
      <c r="AJ881" s="207"/>
    </row>
    <row r="882" ht="15.75" customHeight="1">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c r="X882" s="207"/>
      <c r="Y882" s="207"/>
      <c r="Z882" s="207"/>
      <c r="AA882" s="207"/>
      <c r="AB882" s="207"/>
      <c r="AC882" s="207"/>
      <c r="AD882" s="207"/>
      <c r="AE882" s="207"/>
      <c r="AF882" s="207"/>
      <c r="AG882" s="207"/>
      <c r="AH882" s="207"/>
      <c r="AI882" s="207"/>
      <c r="AJ882" s="207"/>
    </row>
    <row r="883" ht="15.75" customHeight="1">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c r="X883" s="207"/>
      <c r="Y883" s="207"/>
      <c r="Z883" s="207"/>
      <c r="AA883" s="207"/>
      <c r="AB883" s="207"/>
      <c r="AC883" s="207"/>
      <c r="AD883" s="207"/>
      <c r="AE883" s="207"/>
      <c r="AF883" s="207"/>
      <c r="AG883" s="207"/>
      <c r="AH883" s="207"/>
      <c r="AI883" s="207"/>
      <c r="AJ883" s="207"/>
    </row>
    <row r="884" ht="15.75" customHeight="1">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c r="X884" s="207"/>
      <c r="Y884" s="207"/>
      <c r="Z884" s="207"/>
      <c r="AA884" s="207"/>
      <c r="AB884" s="207"/>
      <c r="AC884" s="207"/>
      <c r="AD884" s="207"/>
      <c r="AE884" s="207"/>
      <c r="AF884" s="207"/>
      <c r="AG884" s="207"/>
      <c r="AH884" s="207"/>
      <c r="AI884" s="207"/>
      <c r="AJ884" s="207"/>
    </row>
    <row r="885" ht="15.75" customHeight="1">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c r="X885" s="207"/>
      <c r="Y885" s="207"/>
      <c r="Z885" s="207"/>
      <c r="AA885" s="207"/>
      <c r="AB885" s="207"/>
      <c r="AC885" s="207"/>
      <c r="AD885" s="207"/>
      <c r="AE885" s="207"/>
      <c r="AF885" s="207"/>
      <c r="AG885" s="207"/>
      <c r="AH885" s="207"/>
      <c r="AI885" s="207"/>
      <c r="AJ885" s="207"/>
    </row>
    <row r="886" ht="15.75" customHeight="1">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c r="X886" s="207"/>
      <c r="Y886" s="207"/>
      <c r="Z886" s="207"/>
      <c r="AA886" s="207"/>
      <c r="AB886" s="207"/>
      <c r="AC886" s="207"/>
      <c r="AD886" s="207"/>
      <c r="AE886" s="207"/>
      <c r="AF886" s="207"/>
      <c r="AG886" s="207"/>
      <c r="AH886" s="207"/>
      <c r="AI886" s="207"/>
      <c r="AJ886" s="207"/>
    </row>
    <row r="887" ht="15.75" customHeight="1">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c r="X887" s="207"/>
      <c r="Y887" s="207"/>
      <c r="Z887" s="207"/>
      <c r="AA887" s="207"/>
      <c r="AB887" s="207"/>
      <c r="AC887" s="207"/>
      <c r="AD887" s="207"/>
      <c r="AE887" s="207"/>
      <c r="AF887" s="207"/>
      <c r="AG887" s="207"/>
      <c r="AH887" s="207"/>
      <c r="AI887" s="207"/>
      <c r="AJ887" s="207"/>
    </row>
    <row r="888" ht="15.75" customHeight="1">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c r="X888" s="207"/>
      <c r="Y888" s="207"/>
      <c r="Z888" s="207"/>
      <c r="AA888" s="207"/>
      <c r="AB888" s="207"/>
      <c r="AC888" s="207"/>
      <c r="AD888" s="207"/>
      <c r="AE888" s="207"/>
      <c r="AF888" s="207"/>
      <c r="AG888" s="207"/>
      <c r="AH888" s="207"/>
      <c r="AI888" s="207"/>
      <c r="AJ888" s="207"/>
    </row>
    <row r="889" ht="15.75" customHeight="1">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c r="X889" s="207"/>
      <c r="Y889" s="207"/>
      <c r="Z889" s="207"/>
      <c r="AA889" s="207"/>
      <c r="AB889" s="207"/>
      <c r="AC889" s="207"/>
      <c r="AD889" s="207"/>
      <c r="AE889" s="207"/>
      <c r="AF889" s="207"/>
      <c r="AG889" s="207"/>
      <c r="AH889" s="207"/>
      <c r="AI889" s="207"/>
      <c r="AJ889" s="207"/>
    </row>
    <row r="890" ht="15.75" customHeight="1">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c r="X890" s="207"/>
      <c r="Y890" s="207"/>
      <c r="Z890" s="207"/>
      <c r="AA890" s="207"/>
      <c r="AB890" s="207"/>
      <c r="AC890" s="207"/>
      <c r="AD890" s="207"/>
      <c r="AE890" s="207"/>
      <c r="AF890" s="207"/>
      <c r="AG890" s="207"/>
      <c r="AH890" s="207"/>
      <c r="AI890" s="207"/>
      <c r="AJ890" s="207"/>
    </row>
    <row r="891" ht="15.75" customHeight="1">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c r="X891" s="207"/>
      <c r="Y891" s="207"/>
      <c r="Z891" s="207"/>
      <c r="AA891" s="207"/>
      <c r="AB891" s="207"/>
      <c r="AC891" s="207"/>
      <c r="AD891" s="207"/>
      <c r="AE891" s="207"/>
      <c r="AF891" s="207"/>
      <c r="AG891" s="207"/>
      <c r="AH891" s="207"/>
      <c r="AI891" s="207"/>
      <c r="AJ891" s="207"/>
    </row>
    <row r="892" ht="15.75" customHeight="1">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c r="X892" s="207"/>
      <c r="Y892" s="207"/>
      <c r="Z892" s="207"/>
      <c r="AA892" s="207"/>
      <c r="AB892" s="207"/>
      <c r="AC892" s="207"/>
      <c r="AD892" s="207"/>
      <c r="AE892" s="207"/>
      <c r="AF892" s="207"/>
      <c r="AG892" s="207"/>
      <c r="AH892" s="207"/>
      <c r="AI892" s="207"/>
      <c r="AJ892" s="207"/>
    </row>
    <row r="893" ht="15.75" customHeight="1">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c r="X893" s="207"/>
      <c r="Y893" s="207"/>
      <c r="Z893" s="207"/>
      <c r="AA893" s="207"/>
      <c r="AB893" s="207"/>
      <c r="AC893" s="207"/>
      <c r="AD893" s="207"/>
      <c r="AE893" s="207"/>
      <c r="AF893" s="207"/>
      <c r="AG893" s="207"/>
      <c r="AH893" s="207"/>
      <c r="AI893" s="207"/>
      <c r="AJ893" s="207"/>
    </row>
    <row r="894" ht="15.75" customHeight="1">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c r="X894" s="207"/>
      <c r="Y894" s="207"/>
      <c r="Z894" s="207"/>
      <c r="AA894" s="207"/>
      <c r="AB894" s="207"/>
      <c r="AC894" s="207"/>
      <c r="AD894" s="207"/>
      <c r="AE894" s="207"/>
      <c r="AF894" s="207"/>
      <c r="AG894" s="207"/>
      <c r="AH894" s="207"/>
      <c r="AI894" s="207"/>
      <c r="AJ894" s="207"/>
    </row>
    <row r="895" ht="15.75" customHeight="1">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c r="X895" s="207"/>
      <c r="Y895" s="207"/>
      <c r="Z895" s="207"/>
      <c r="AA895" s="207"/>
      <c r="AB895" s="207"/>
      <c r="AC895" s="207"/>
      <c r="AD895" s="207"/>
      <c r="AE895" s="207"/>
      <c r="AF895" s="207"/>
      <c r="AG895" s="207"/>
      <c r="AH895" s="207"/>
      <c r="AI895" s="207"/>
      <c r="AJ895" s="207"/>
    </row>
    <row r="896" ht="15.75" customHeight="1">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c r="X896" s="207"/>
      <c r="Y896" s="207"/>
      <c r="Z896" s="207"/>
      <c r="AA896" s="207"/>
      <c r="AB896" s="207"/>
      <c r="AC896" s="207"/>
      <c r="AD896" s="207"/>
      <c r="AE896" s="207"/>
      <c r="AF896" s="207"/>
      <c r="AG896" s="207"/>
      <c r="AH896" s="207"/>
      <c r="AI896" s="207"/>
      <c r="AJ896" s="207"/>
    </row>
    <row r="897" ht="15.75" customHeight="1">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c r="X897" s="207"/>
      <c r="Y897" s="207"/>
      <c r="Z897" s="207"/>
      <c r="AA897" s="207"/>
      <c r="AB897" s="207"/>
      <c r="AC897" s="207"/>
      <c r="AD897" s="207"/>
      <c r="AE897" s="207"/>
      <c r="AF897" s="207"/>
      <c r="AG897" s="207"/>
      <c r="AH897" s="207"/>
      <c r="AI897" s="207"/>
      <c r="AJ897" s="207"/>
    </row>
    <row r="898" ht="15.75" customHeight="1">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c r="AA898" s="207"/>
      <c r="AB898" s="207"/>
      <c r="AC898" s="207"/>
      <c r="AD898" s="207"/>
      <c r="AE898" s="207"/>
      <c r="AF898" s="207"/>
      <c r="AG898" s="207"/>
      <c r="AH898" s="207"/>
      <c r="AI898" s="207"/>
      <c r="AJ898" s="207"/>
    </row>
    <row r="899" ht="15.75" customHeight="1">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c r="X899" s="207"/>
      <c r="Y899" s="207"/>
      <c r="Z899" s="207"/>
      <c r="AA899" s="207"/>
      <c r="AB899" s="207"/>
      <c r="AC899" s="207"/>
      <c r="AD899" s="207"/>
      <c r="AE899" s="207"/>
      <c r="AF899" s="207"/>
      <c r="AG899" s="207"/>
      <c r="AH899" s="207"/>
      <c r="AI899" s="207"/>
      <c r="AJ899" s="207"/>
    </row>
    <row r="900" ht="15.75" customHeight="1">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c r="X900" s="207"/>
      <c r="Y900" s="207"/>
      <c r="Z900" s="207"/>
      <c r="AA900" s="207"/>
      <c r="AB900" s="207"/>
      <c r="AC900" s="207"/>
      <c r="AD900" s="207"/>
      <c r="AE900" s="207"/>
      <c r="AF900" s="207"/>
      <c r="AG900" s="207"/>
      <c r="AH900" s="207"/>
      <c r="AI900" s="207"/>
      <c r="AJ900" s="207"/>
    </row>
    <row r="901" ht="15.75" customHeight="1">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c r="X901" s="207"/>
      <c r="Y901" s="207"/>
      <c r="Z901" s="207"/>
      <c r="AA901" s="207"/>
      <c r="AB901" s="207"/>
      <c r="AC901" s="207"/>
      <c r="AD901" s="207"/>
      <c r="AE901" s="207"/>
      <c r="AF901" s="207"/>
      <c r="AG901" s="207"/>
      <c r="AH901" s="207"/>
      <c r="AI901" s="207"/>
      <c r="AJ901" s="207"/>
    </row>
    <row r="902" ht="15.75" customHeight="1">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c r="X902" s="207"/>
      <c r="Y902" s="207"/>
      <c r="Z902" s="207"/>
      <c r="AA902" s="207"/>
      <c r="AB902" s="207"/>
      <c r="AC902" s="207"/>
      <c r="AD902" s="207"/>
      <c r="AE902" s="207"/>
      <c r="AF902" s="207"/>
      <c r="AG902" s="207"/>
      <c r="AH902" s="207"/>
      <c r="AI902" s="207"/>
      <c r="AJ902" s="207"/>
    </row>
    <row r="903" ht="15.75" customHeight="1">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c r="X903" s="207"/>
      <c r="Y903" s="207"/>
      <c r="Z903" s="207"/>
      <c r="AA903" s="207"/>
      <c r="AB903" s="207"/>
      <c r="AC903" s="207"/>
      <c r="AD903" s="207"/>
      <c r="AE903" s="207"/>
      <c r="AF903" s="207"/>
      <c r="AG903" s="207"/>
      <c r="AH903" s="207"/>
      <c r="AI903" s="207"/>
      <c r="AJ903" s="207"/>
    </row>
    <row r="904" ht="15.75" customHeight="1">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c r="AA904" s="207"/>
      <c r="AB904" s="207"/>
      <c r="AC904" s="207"/>
      <c r="AD904" s="207"/>
      <c r="AE904" s="207"/>
      <c r="AF904" s="207"/>
      <c r="AG904" s="207"/>
      <c r="AH904" s="207"/>
      <c r="AI904" s="207"/>
      <c r="AJ904" s="207"/>
    </row>
    <row r="905" ht="15.75" customHeight="1">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c r="X905" s="207"/>
      <c r="Y905" s="207"/>
      <c r="Z905" s="207"/>
      <c r="AA905" s="207"/>
      <c r="AB905" s="207"/>
      <c r="AC905" s="207"/>
      <c r="AD905" s="207"/>
      <c r="AE905" s="207"/>
      <c r="AF905" s="207"/>
      <c r="AG905" s="207"/>
      <c r="AH905" s="207"/>
      <c r="AI905" s="207"/>
      <c r="AJ905" s="207"/>
    </row>
    <row r="906" ht="15.75" customHeight="1">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c r="X906" s="207"/>
      <c r="Y906" s="207"/>
      <c r="Z906" s="207"/>
      <c r="AA906" s="207"/>
      <c r="AB906" s="207"/>
      <c r="AC906" s="207"/>
      <c r="AD906" s="207"/>
      <c r="AE906" s="207"/>
      <c r="AF906" s="207"/>
      <c r="AG906" s="207"/>
      <c r="AH906" s="207"/>
      <c r="AI906" s="207"/>
      <c r="AJ906" s="207"/>
    </row>
    <row r="907" ht="15.75" customHeight="1">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c r="X907" s="207"/>
      <c r="Y907" s="207"/>
      <c r="Z907" s="207"/>
      <c r="AA907" s="207"/>
      <c r="AB907" s="207"/>
      <c r="AC907" s="207"/>
      <c r="AD907" s="207"/>
      <c r="AE907" s="207"/>
      <c r="AF907" s="207"/>
      <c r="AG907" s="207"/>
      <c r="AH907" s="207"/>
      <c r="AI907" s="207"/>
      <c r="AJ907" s="207"/>
    </row>
    <row r="908" ht="15.75" customHeight="1">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c r="X908" s="207"/>
      <c r="Y908" s="207"/>
      <c r="Z908" s="207"/>
      <c r="AA908" s="207"/>
      <c r="AB908" s="207"/>
      <c r="AC908" s="207"/>
      <c r="AD908" s="207"/>
      <c r="AE908" s="207"/>
      <c r="AF908" s="207"/>
      <c r="AG908" s="207"/>
      <c r="AH908" s="207"/>
      <c r="AI908" s="207"/>
      <c r="AJ908" s="207"/>
    </row>
    <row r="909" ht="15.75" customHeight="1">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c r="AA909" s="207"/>
      <c r="AB909" s="207"/>
      <c r="AC909" s="207"/>
      <c r="AD909" s="207"/>
      <c r="AE909" s="207"/>
      <c r="AF909" s="207"/>
      <c r="AG909" s="207"/>
      <c r="AH909" s="207"/>
      <c r="AI909" s="207"/>
      <c r="AJ909" s="207"/>
    </row>
    <row r="910" ht="15.75" customHeight="1">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c r="X910" s="207"/>
      <c r="Y910" s="207"/>
      <c r="Z910" s="207"/>
      <c r="AA910" s="207"/>
      <c r="AB910" s="207"/>
      <c r="AC910" s="207"/>
      <c r="AD910" s="207"/>
      <c r="AE910" s="207"/>
      <c r="AF910" s="207"/>
      <c r="AG910" s="207"/>
      <c r="AH910" s="207"/>
      <c r="AI910" s="207"/>
      <c r="AJ910" s="207"/>
    </row>
    <row r="911" ht="15.75" customHeight="1">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c r="AG911" s="207"/>
      <c r="AH911" s="207"/>
      <c r="AI911" s="207"/>
      <c r="AJ911" s="207"/>
    </row>
    <row r="912" ht="15.75" customHeight="1">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c r="X912" s="207"/>
      <c r="Y912" s="207"/>
      <c r="Z912" s="207"/>
      <c r="AA912" s="207"/>
      <c r="AB912" s="207"/>
      <c r="AC912" s="207"/>
      <c r="AD912" s="207"/>
      <c r="AE912" s="207"/>
      <c r="AF912" s="207"/>
      <c r="AG912" s="207"/>
      <c r="AH912" s="207"/>
      <c r="AI912" s="207"/>
      <c r="AJ912" s="207"/>
    </row>
    <row r="913" ht="15.75" customHeight="1">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c r="X913" s="207"/>
      <c r="Y913" s="207"/>
      <c r="Z913" s="207"/>
      <c r="AA913" s="207"/>
      <c r="AB913" s="207"/>
      <c r="AC913" s="207"/>
      <c r="AD913" s="207"/>
      <c r="AE913" s="207"/>
      <c r="AF913" s="207"/>
      <c r="AG913" s="207"/>
      <c r="AH913" s="207"/>
      <c r="AI913" s="207"/>
      <c r="AJ913" s="207"/>
    </row>
    <row r="914" ht="15.75" customHeight="1">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c r="X914" s="207"/>
      <c r="Y914" s="207"/>
      <c r="Z914" s="207"/>
      <c r="AA914" s="207"/>
      <c r="AB914" s="207"/>
      <c r="AC914" s="207"/>
      <c r="AD914" s="207"/>
      <c r="AE914" s="207"/>
      <c r="AF914" s="207"/>
      <c r="AG914" s="207"/>
      <c r="AH914" s="207"/>
      <c r="AI914" s="207"/>
      <c r="AJ914" s="207"/>
    </row>
    <row r="915" ht="15.75" customHeight="1">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c r="X915" s="207"/>
      <c r="Y915" s="207"/>
      <c r="Z915" s="207"/>
      <c r="AA915" s="207"/>
      <c r="AB915" s="207"/>
      <c r="AC915" s="207"/>
      <c r="AD915" s="207"/>
      <c r="AE915" s="207"/>
      <c r="AF915" s="207"/>
      <c r="AG915" s="207"/>
      <c r="AH915" s="207"/>
      <c r="AI915" s="207"/>
      <c r="AJ915" s="207"/>
    </row>
    <row r="916" ht="15.75" customHeight="1">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c r="X916" s="207"/>
      <c r="Y916" s="207"/>
      <c r="Z916" s="207"/>
      <c r="AA916" s="207"/>
      <c r="AB916" s="207"/>
      <c r="AC916" s="207"/>
      <c r="AD916" s="207"/>
      <c r="AE916" s="207"/>
      <c r="AF916" s="207"/>
      <c r="AG916" s="207"/>
      <c r="AH916" s="207"/>
      <c r="AI916" s="207"/>
      <c r="AJ916" s="207"/>
    </row>
    <row r="917" ht="15.75" customHeight="1">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c r="X917" s="207"/>
      <c r="Y917" s="207"/>
      <c r="Z917" s="207"/>
      <c r="AA917" s="207"/>
      <c r="AB917" s="207"/>
      <c r="AC917" s="207"/>
      <c r="AD917" s="207"/>
      <c r="AE917" s="207"/>
      <c r="AF917" s="207"/>
      <c r="AG917" s="207"/>
      <c r="AH917" s="207"/>
      <c r="AI917" s="207"/>
      <c r="AJ917" s="207"/>
    </row>
    <row r="918" ht="15.75" customHeight="1">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c r="X918" s="207"/>
      <c r="Y918" s="207"/>
      <c r="Z918" s="207"/>
      <c r="AA918" s="207"/>
      <c r="AB918" s="207"/>
      <c r="AC918" s="207"/>
      <c r="AD918" s="207"/>
      <c r="AE918" s="207"/>
      <c r="AF918" s="207"/>
      <c r="AG918" s="207"/>
      <c r="AH918" s="207"/>
      <c r="AI918" s="207"/>
      <c r="AJ918" s="207"/>
    </row>
    <row r="919" ht="15.75" customHeight="1">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c r="X919" s="207"/>
      <c r="Y919" s="207"/>
      <c r="Z919" s="207"/>
      <c r="AA919" s="207"/>
      <c r="AB919" s="207"/>
      <c r="AC919" s="207"/>
      <c r="AD919" s="207"/>
      <c r="AE919" s="207"/>
      <c r="AF919" s="207"/>
      <c r="AG919" s="207"/>
      <c r="AH919" s="207"/>
      <c r="AI919" s="207"/>
      <c r="AJ919" s="207"/>
    </row>
    <row r="920" ht="15.75" customHeight="1">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c r="X920" s="207"/>
      <c r="Y920" s="207"/>
      <c r="Z920" s="207"/>
      <c r="AA920" s="207"/>
      <c r="AB920" s="207"/>
      <c r="AC920" s="207"/>
      <c r="AD920" s="207"/>
      <c r="AE920" s="207"/>
      <c r="AF920" s="207"/>
      <c r="AG920" s="207"/>
      <c r="AH920" s="207"/>
      <c r="AI920" s="207"/>
      <c r="AJ920" s="207"/>
    </row>
    <row r="921" ht="15.75" customHeight="1">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c r="X921" s="207"/>
      <c r="Y921" s="207"/>
      <c r="Z921" s="207"/>
      <c r="AA921" s="207"/>
      <c r="AB921" s="207"/>
      <c r="AC921" s="207"/>
      <c r="AD921" s="207"/>
      <c r="AE921" s="207"/>
      <c r="AF921" s="207"/>
      <c r="AG921" s="207"/>
      <c r="AH921" s="207"/>
      <c r="AI921" s="207"/>
      <c r="AJ921" s="207"/>
    </row>
    <row r="922" ht="15.75" customHeight="1">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c r="X922" s="207"/>
      <c r="Y922" s="207"/>
      <c r="Z922" s="207"/>
      <c r="AA922" s="207"/>
      <c r="AB922" s="207"/>
      <c r="AC922" s="207"/>
      <c r="AD922" s="207"/>
      <c r="AE922" s="207"/>
      <c r="AF922" s="207"/>
      <c r="AG922" s="207"/>
      <c r="AH922" s="207"/>
      <c r="AI922" s="207"/>
      <c r="AJ922" s="207"/>
    </row>
    <row r="923" ht="15.75" customHeight="1">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c r="X923" s="207"/>
      <c r="Y923" s="207"/>
      <c r="Z923" s="207"/>
      <c r="AA923" s="207"/>
      <c r="AB923" s="207"/>
      <c r="AC923" s="207"/>
      <c r="AD923" s="207"/>
      <c r="AE923" s="207"/>
      <c r="AF923" s="207"/>
      <c r="AG923" s="207"/>
      <c r="AH923" s="207"/>
      <c r="AI923" s="207"/>
      <c r="AJ923" s="207"/>
    </row>
    <row r="924" ht="15.75" customHeight="1">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c r="X924" s="207"/>
      <c r="Y924" s="207"/>
      <c r="Z924" s="207"/>
      <c r="AA924" s="207"/>
      <c r="AB924" s="207"/>
      <c r="AC924" s="207"/>
      <c r="AD924" s="207"/>
      <c r="AE924" s="207"/>
      <c r="AF924" s="207"/>
      <c r="AG924" s="207"/>
      <c r="AH924" s="207"/>
      <c r="AI924" s="207"/>
      <c r="AJ924" s="207"/>
    </row>
    <row r="925" ht="15.75" customHeight="1">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c r="X925" s="207"/>
      <c r="Y925" s="207"/>
      <c r="Z925" s="207"/>
      <c r="AA925" s="207"/>
      <c r="AB925" s="207"/>
      <c r="AC925" s="207"/>
      <c r="AD925" s="207"/>
      <c r="AE925" s="207"/>
      <c r="AF925" s="207"/>
      <c r="AG925" s="207"/>
      <c r="AH925" s="207"/>
      <c r="AI925" s="207"/>
      <c r="AJ925" s="207"/>
    </row>
    <row r="926" ht="15.75" customHeight="1">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c r="X926" s="207"/>
      <c r="Y926" s="207"/>
      <c r="Z926" s="207"/>
      <c r="AA926" s="207"/>
      <c r="AB926" s="207"/>
      <c r="AC926" s="207"/>
      <c r="AD926" s="207"/>
      <c r="AE926" s="207"/>
      <c r="AF926" s="207"/>
      <c r="AG926" s="207"/>
      <c r="AH926" s="207"/>
      <c r="AI926" s="207"/>
      <c r="AJ926" s="207"/>
    </row>
    <row r="927" ht="15.75" customHeight="1">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c r="X927" s="207"/>
      <c r="Y927" s="207"/>
      <c r="Z927" s="207"/>
      <c r="AA927" s="207"/>
      <c r="AB927" s="207"/>
      <c r="AC927" s="207"/>
      <c r="AD927" s="207"/>
      <c r="AE927" s="207"/>
      <c r="AF927" s="207"/>
      <c r="AG927" s="207"/>
      <c r="AH927" s="207"/>
      <c r="AI927" s="207"/>
      <c r="AJ927" s="207"/>
    </row>
    <row r="928" ht="15.75" customHeight="1">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c r="X928" s="207"/>
      <c r="Y928" s="207"/>
      <c r="Z928" s="207"/>
      <c r="AA928" s="207"/>
      <c r="AB928" s="207"/>
      <c r="AC928" s="207"/>
      <c r="AD928" s="207"/>
      <c r="AE928" s="207"/>
      <c r="AF928" s="207"/>
      <c r="AG928" s="207"/>
      <c r="AH928" s="207"/>
      <c r="AI928" s="207"/>
      <c r="AJ928" s="207"/>
    </row>
    <row r="929" ht="15.75" customHeight="1">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c r="X929" s="207"/>
      <c r="Y929" s="207"/>
      <c r="Z929" s="207"/>
      <c r="AA929" s="207"/>
      <c r="AB929" s="207"/>
      <c r="AC929" s="207"/>
      <c r="AD929" s="207"/>
      <c r="AE929" s="207"/>
      <c r="AF929" s="207"/>
      <c r="AG929" s="207"/>
      <c r="AH929" s="207"/>
      <c r="AI929" s="207"/>
      <c r="AJ929" s="207"/>
    </row>
    <row r="930" ht="15.75" customHeight="1">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c r="X930" s="207"/>
      <c r="Y930" s="207"/>
      <c r="Z930" s="207"/>
      <c r="AA930" s="207"/>
      <c r="AB930" s="207"/>
      <c r="AC930" s="207"/>
      <c r="AD930" s="207"/>
      <c r="AE930" s="207"/>
      <c r="AF930" s="207"/>
      <c r="AG930" s="207"/>
      <c r="AH930" s="207"/>
      <c r="AI930" s="207"/>
      <c r="AJ930" s="207"/>
    </row>
    <row r="931" ht="15.75" customHeight="1">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c r="X931" s="207"/>
      <c r="Y931" s="207"/>
      <c r="Z931" s="207"/>
      <c r="AA931" s="207"/>
      <c r="AB931" s="207"/>
      <c r="AC931" s="207"/>
      <c r="AD931" s="207"/>
      <c r="AE931" s="207"/>
      <c r="AF931" s="207"/>
      <c r="AG931" s="207"/>
      <c r="AH931" s="207"/>
      <c r="AI931" s="207"/>
      <c r="AJ931" s="207"/>
    </row>
    <row r="932" ht="15.75" customHeight="1">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c r="X932" s="207"/>
      <c r="Y932" s="207"/>
      <c r="Z932" s="207"/>
      <c r="AA932" s="207"/>
      <c r="AB932" s="207"/>
      <c r="AC932" s="207"/>
      <c r="AD932" s="207"/>
      <c r="AE932" s="207"/>
      <c r="AF932" s="207"/>
      <c r="AG932" s="207"/>
      <c r="AH932" s="207"/>
      <c r="AI932" s="207"/>
      <c r="AJ932" s="207"/>
    </row>
    <row r="933" ht="15.75" customHeight="1">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c r="X933" s="207"/>
      <c r="Y933" s="207"/>
      <c r="Z933" s="207"/>
      <c r="AA933" s="207"/>
      <c r="AB933" s="207"/>
      <c r="AC933" s="207"/>
      <c r="AD933" s="207"/>
      <c r="AE933" s="207"/>
      <c r="AF933" s="207"/>
      <c r="AG933" s="207"/>
      <c r="AH933" s="207"/>
      <c r="AI933" s="207"/>
      <c r="AJ933" s="207"/>
    </row>
    <row r="934" ht="15.75" customHeight="1">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c r="X934" s="207"/>
      <c r="Y934" s="207"/>
      <c r="Z934" s="207"/>
      <c r="AA934" s="207"/>
      <c r="AB934" s="207"/>
      <c r="AC934" s="207"/>
      <c r="AD934" s="207"/>
      <c r="AE934" s="207"/>
      <c r="AF934" s="207"/>
      <c r="AG934" s="207"/>
      <c r="AH934" s="207"/>
      <c r="AI934" s="207"/>
      <c r="AJ934" s="207"/>
    </row>
    <row r="935" ht="15.75" customHeight="1">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c r="X935" s="207"/>
      <c r="Y935" s="207"/>
      <c r="Z935" s="207"/>
      <c r="AA935" s="207"/>
      <c r="AB935" s="207"/>
      <c r="AC935" s="207"/>
      <c r="AD935" s="207"/>
      <c r="AE935" s="207"/>
      <c r="AF935" s="207"/>
      <c r="AG935" s="207"/>
      <c r="AH935" s="207"/>
      <c r="AI935" s="207"/>
      <c r="AJ935" s="207"/>
    </row>
    <row r="936" ht="15.75" customHeight="1">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c r="X936" s="207"/>
      <c r="Y936" s="207"/>
      <c r="Z936" s="207"/>
      <c r="AA936" s="207"/>
      <c r="AB936" s="207"/>
      <c r="AC936" s="207"/>
      <c r="AD936" s="207"/>
      <c r="AE936" s="207"/>
      <c r="AF936" s="207"/>
      <c r="AG936" s="207"/>
      <c r="AH936" s="207"/>
      <c r="AI936" s="207"/>
      <c r="AJ936" s="207"/>
    </row>
    <row r="937" ht="15.75" customHeight="1">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c r="X937" s="207"/>
      <c r="Y937" s="207"/>
      <c r="Z937" s="207"/>
      <c r="AA937" s="207"/>
      <c r="AB937" s="207"/>
      <c r="AC937" s="207"/>
      <c r="AD937" s="207"/>
      <c r="AE937" s="207"/>
      <c r="AF937" s="207"/>
      <c r="AG937" s="207"/>
      <c r="AH937" s="207"/>
      <c r="AI937" s="207"/>
      <c r="AJ937" s="207"/>
    </row>
    <row r="938" ht="15.75" customHeight="1">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c r="X938" s="207"/>
      <c r="Y938" s="207"/>
      <c r="Z938" s="207"/>
      <c r="AA938" s="207"/>
      <c r="AB938" s="207"/>
      <c r="AC938" s="207"/>
      <c r="AD938" s="207"/>
      <c r="AE938" s="207"/>
      <c r="AF938" s="207"/>
      <c r="AG938" s="207"/>
      <c r="AH938" s="207"/>
      <c r="AI938" s="207"/>
      <c r="AJ938" s="207"/>
    </row>
    <row r="939" ht="15.75" customHeight="1">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c r="X939" s="207"/>
      <c r="Y939" s="207"/>
      <c r="Z939" s="207"/>
      <c r="AA939" s="207"/>
      <c r="AB939" s="207"/>
      <c r="AC939" s="207"/>
      <c r="AD939" s="207"/>
      <c r="AE939" s="207"/>
      <c r="AF939" s="207"/>
      <c r="AG939" s="207"/>
      <c r="AH939" s="207"/>
      <c r="AI939" s="207"/>
      <c r="AJ939" s="207"/>
    </row>
    <row r="940" ht="15.75" customHeight="1">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c r="X940" s="207"/>
      <c r="Y940" s="207"/>
      <c r="Z940" s="207"/>
      <c r="AA940" s="207"/>
      <c r="AB940" s="207"/>
      <c r="AC940" s="207"/>
      <c r="AD940" s="207"/>
      <c r="AE940" s="207"/>
      <c r="AF940" s="207"/>
      <c r="AG940" s="207"/>
      <c r="AH940" s="207"/>
      <c r="AI940" s="207"/>
      <c r="AJ940" s="207"/>
    </row>
    <row r="941" ht="15.75" customHeight="1">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c r="X941" s="207"/>
      <c r="Y941" s="207"/>
      <c r="Z941" s="207"/>
      <c r="AA941" s="207"/>
      <c r="AB941" s="207"/>
      <c r="AC941" s="207"/>
      <c r="AD941" s="207"/>
      <c r="AE941" s="207"/>
      <c r="AF941" s="207"/>
      <c r="AG941" s="207"/>
      <c r="AH941" s="207"/>
      <c r="AI941" s="207"/>
      <c r="AJ941" s="207"/>
    </row>
    <row r="942" ht="15.75" customHeight="1">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c r="X942" s="207"/>
      <c r="Y942" s="207"/>
      <c r="Z942" s="207"/>
      <c r="AA942" s="207"/>
      <c r="AB942" s="207"/>
      <c r="AC942" s="207"/>
      <c r="AD942" s="207"/>
      <c r="AE942" s="207"/>
      <c r="AF942" s="207"/>
      <c r="AG942" s="207"/>
      <c r="AH942" s="207"/>
      <c r="AI942" s="207"/>
      <c r="AJ942" s="207"/>
    </row>
    <row r="943" ht="15.75" customHeight="1">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c r="X943" s="207"/>
      <c r="Y943" s="207"/>
      <c r="Z943" s="207"/>
      <c r="AA943" s="207"/>
      <c r="AB943" s="207"/>
      <c r="AC943" s="207"/>
      <c r="AD943" s="207"/>
      <c r="AE943" s="207"/>
      <c r="AF943" s="207"/>
      <c r="AG943" s="207"/>
      <c r="AH943" s="207"/>
      <c r="AI943" s="207"/>
      <c r="AJ943" s="207"/>
    </row>
    <row r="944" ht="15.75" customHeight="1">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c r="X944" s="207"/>
      <c r="Y944" s="207"/>
      <c r="Z944" s="207"/>
      <c r="AA944" s="207"/>
      <c r="AB944" s="207"/>
      <c r="AC944" s="207"/>
      <c r="AD944" s="207"/>
      <c r="AE944" s="207"/>
      <c r="AF944" s="207"/>
      <c r="AG944" s="207"/>
      <c r="AH944" s="207"/>
      <c r="AI944" s="207"/>
      <c r="AJ944" s="207"/>
    </row>
    <row r="945" ht="15.75" customHeight="1">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c r="X945" s="207"/>
      <c r="Y945" s="207"/>
      <c r="Z945" s="207"/>
      <c r="AA945" s="207"/>
      <c r="AB945" s="207"/>
      <c r="AC945" s="207"/>
      <c r="AD945" s="207"/>
      <c r="AE945" s="207"/>
      <c r="AF945" s="207"/>
      <c r="AG945" s="207"/>
      <c r="AH945" s="207"/>
      <c r="AI945" s="207"/>
      <c r="AJ945" s="207"/>
    </row>
    <row r="946" ht="15.75" customHeight="1">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c r="X946" s="207"/>
      <c r="Y946" s="207"/>
      <c r="Z946" s="207"/>
      <c r="AA946" s="207"/>
      <c r="AB946" s="207"/>
      <c r="AC946" s="207"/>
      <c r="AD946" s="207"/>
      <c r="AE946" s="207"/>
      <c r="AF946" s="207"/>
      <c r="AG946" s="207"/>
      <c r="AH946" s="207"/>
      <c r="AI946" s="207"/>
      <c r="AJ946" s="207"/>
    </row>
    <row r="947" ht="15.75" customHeight="1">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c r="X947" s="207"/>
      <c r="Y947" s="207"/>
      <c r="Z947" s="207"/>
      <c r="AA947" s="207"/>
      <c r="AB947" s="207"/>
      <c r="AC947" s="207"/>
      <c r="AD947" s="207"/>
      <c r="AE947" s="207"/>
      <c r="AF947" s="207"/>
      <c r="AG947" s="207"/>
      <c r="AH947" s="207"/>
      <c r="AI947" s="207"/>
      <c r="AJ947" s="207"/>
    </row>
    <row r="948" ht="15.75" customHeight="1">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c r="X948" s="207"/>
      <c r="Y948" s="207"/>
      <c r="Z948" s="207"/>
      <c r="AA948" s="207"/>
      <c r="AB948" s="207"/>
      <c r="AC948" s="207"/>
      <c r="AD948" s="207"/>
      <c r="AE948" s="207"/>
      <c r="AF948" s="207"/>
      <c r="AG948" s="207"/>
      <c r="AH948" s="207"/>
      <c r="AI948" s="207"/>
      <c r="AJ948" s="207"/>
    </row>
    <row r="949" ht="15.75" customHeight="1">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c r="X949" s="207"/>
      <c r="Y949" s="207"/>
      <c r="Z949" s="207"/>
      <c r="AA949" s="207"/>
      <c r="AB949" s="207"/>
      <c r="AC949" s="207"/>
      <c r="AD949" s="207"/>
      <c r="AE949" s="207"/>
      <c r="AF949" s="207"/>
      <c r="AG949" s="207"/>
      <c r="AH949" s="207"/>
      <c r="AI949" s="207"/>
      <c r="AJ949" s="207"/>
    </row>
    <row r="950" ht="15.75" customHeight="1">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c r="X950" s="207"/>
      <c r="Y950" s="207"/>
      <c r="Z950" s="207"/>
      <c r="AA950" s="207"/>
      <c r="AB950" s="207"/>
      <c r="AC950" s="207"/>
      <c r="AD950" s="207"/>
      <c r="AE950" s="207"/>
      <c r="AF950" s="207"/>
      <c r="AG950" s="207"/>
      <c r="AH950" s="207"/>
      <c r="AI950" s="207"/>
      <c r="AJ950" s="207"/>
    </row>
    <row r="951" ht="15.75" customHeight="1">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c r="X951" s="207"/>
      <c r="Y951" s="207"/>
      <c r="Z951" s="207"/>
      <c r="AA951" s="207"/>
      <c r="AB951" s="207"/>
      <c r="AC951" s="207"/>
      <c r="AD951" s="207"/>
      <c r="AE951" s="207"/>
      <c r="AF951" s="207"/>
      <c r="AG951" s="207"/>
      <c r="AH951" s="207"/>
      <c r="AI951" s="207"/>
      <c r="AJ951" s="207"/>
    </row>
    <row r="952" ht="15.75" customHeight="1">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c r="X952" s="207"/>
      <c r="Y952" s="207"/>
      <c r="Z952" s="207"/>
      <c r="AA952" s="207"/>
      <c r="AB952" s="207"/>
      <c r="AC952" s="207"/>
      <c r="AD952" s="207"/>
      <c r="AE952" s="207"/>
      <c r="AF952" s="207"/>
      <c r="AG952" s="207"/>
      <c r="AH952" s="207"/>
      <c r="AI952" s="207"/>
      <c r="AJ952" s="207"/>
    </row>
    <row r="953" ht="15.75" customHeight="1">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c r="X953" s="207"/>
      <c r="Y953" s="207"/>
      <c r="Z953" s="207"/>
      <c r="AA953" s="207"/>
      <c r="AB953" s="207"/>
      <c r="AC953" s="207"/>
      <c r="AD953" s="207"/>
      <c r="AE953" s="207"/>
      <c r="AF953" s="207"/>
      <c r="AG953" s="207"/>
      <c r="AH953" s="207"/>
      <c r="AI953" s="207"/>
      <c r="AJ953" s="207"/>
    </row>
    <row r="954" ht="15.75" customHeight="1">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c r="X954" s="207"/>
      <c r="Y954" s="207"/>
      <c r="Z954" s="207"/>
      <c r="AA954" s="207"/>
      <c r="AB954" s="207"/>
      <c r="AC954" s="207"/>
      <c r="AD954" s="207"/>
      <c r="AE954" s="207"/>
      <c r="AF954" s="207"/>
      <c r="AG954" s="207"/>
      <c r="AH954" s="207"/>
      <c r="AI954" s="207"/>
      <c r="AJ954" s="207"/>
    </row>
    <row r="955" ht="15.75" customHeight="1">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c r="X955" s="207"/>
      <c r="Y955" s="207"/>
      <c r="Z955" s="207"/>
      <c r="AA955" s="207"/>
      <c r="AB955" s="207"/>
      <c r="AC955" s="207"/>
      <c r="AD955" s="207"/>
      <c r="AE955" s="207"/>
      <c r="AF955" s="207"/>
      <c r="AG955" s="207"/>
      <c r="AH955" s="207"/>
      <c r="AI955" s="207"/>
      <c r="AJ955" s="207"/>
    </row>
    <row r="956" ht="15.75" customHeight="1">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c r="X956" s="207"/>
      <c r="Y956" s="207"/>
      <c r="Z956" s="207"/>
      <c r="AA956" s="207"/>
      <c r="AB956" s="207"/>
      <c r="AC956" s="207"/>
      <c r="AD956" s="207"/>
      <c r="AE956" s="207"/>
      <c r="AF956" s="207"/>
      <c r="AG956" s="207"/>
      <c r="AH956" s="207"/>
      <c r="AI956" s="207"/>
      <c r="AJ956" s="207"/>
    </row>
    <row r="957" ht="15.75" customHeight="1">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c r="X957" s="207"/>
      <c r="Y957" s="207"/>
      <c r="Z957" s="207"/>
      <c r="AA957" s="207"/>
      <c r="AB957" s="207"/>
      <c r="AC957" s="207"/>
      <c r="AD957" s="207"/>
      <c r="AE957" s="207"/>
      <c r="AF957" s="207"/>
      <c r="AG957" s="207"/>
      <c r="AH957" s="207"/>
      <c r="AI957" s="207"/>
      <c r="AJ957" s="207"/>
    </row>
    <row r="958" ht="15.75" customHeight="1">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c r="X958" s="207"/>
      <c r="Y958" s="207"/>
      <c r="Z958" s="207"/>
      <c r="AA958" s="207"/>
      <c r="AB958" s="207"/>
      <c r="AC958" s="207"/>
      <c r="AD958" s="207"/>
      <c r="AE958" s="207"/>
      <c r="AF958" s="207"/>
      <c r="AG958" s="207"/>
      <c r="AH958" s="207"/>
      <c r="AI958" s="207"/>
      <c r="AJ958" s="207"/>
    </row>
    <row r="959" ht="15.75" customHeight="1">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c r="X959" s="207"/>
      <c r="Y959" s="207"/>
      <c r="Z959" s="207"/>
      <c r="AA959" s="207"/>
      <c r="AB959" s="207"/>
      <c r="AC959" s="207"/>
      <c r="AD959" s="207"/>
      <c r="AE959" s="207"/>
      <c r="AF959" s="207"/>
      <c r="AG959" s="207"/>
      <c r="AH959" s="207"/>
      <c r="AI959" s="207"/>
      <c r="AJ959" s="207"/>
    </row>
    <row r="960" ht="15.75" customHeight="1">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c r="X960" s="207"/>
      <c r="Y960" s="207"/>
      <c r="Z960" s="207"/>
      <c r="AA960" s="207"/>
      <c r="AB960" s="207"/>
      <c r="AC960" s="207"/>
      <c r="AD960" s="207"/>
      <c r="AE960" s="207"/>
      <c r="AF960" s="207"/>
      <c r="AG960" s="207"/>
      <c r="AH960" s="207"/>
      <c r="AI960" s="207"/>
      <c r="AJ960" s="207"/>
    </row>
    <row r="961" ht="15.75" customHeight="1">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c r="X961" s="207"/>
      <c r="Y961" s="207"/>
      <c r="Z961" s="207"/>
      <c r="AA961" s="207"/>
      <c r="AB961" s="207"/>
      <c r="AC961" s="207"/>
      <c r="AD961" s="207"/>
      <c r="AE961" s="207"/>
      <c r="AF961" s="207"/>
      <c r="AG961" s="207"/>
      <c r="AH961" s="207"/>
      <c r="AI961" s="207"/>
      <c r="AJ961" s="207"/>
    </row>
    <row r="962" ht="15.75" customHeight="1">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c r="X962" s="207"/>
      <c r="Y962" s="207"/>
      <c r="Z962" s="207"/>
      <c r="AA962" s="207"/>
      <c r="AB962" s="207"/>
      <c r="AC962" s="207"/>
      <c r="AD962" s="207"/>
      <c r="AE962" s="207"/>
      <c r="AF962" s="207"/>
      <c r="AG962" s="207"/>
      <c r="AH962" s="207"/>
      <c r="AI962" s="207"/>
      <c r="AJ962" s="207"/>
    </row>
    <row r="963" ht="15.75" customHeight="1">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c r="X963" s="207"/>
      <c r="Y963" s="207"/>
      <c r="Z963" s="207"/>
      <c r="AA963" s="207"/>
      <c r="AB963" s="207"/>
      <c r="AC963" s="207"/>
      <c r="AD963" s="207"/>
      <c r="AE963" s="207"/>
      <c r="AF963" s="207"/>
      <c r="AG963" s="207"/>
      <c r="AH963" s="207"/>
      <c r="AI963" s="207"/>
      <c r="AJ963" s="207"/>
    </row>
    <row r="964" ht="15.75" customHeight="1">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c r="X964" s="207"/>
      <c r="Y964" s="207"/>
      <c r="Z964" s="207"/>
      <c r="AA964" s="207"/>
      <c r="AB964" s="207"/>
      <c r="AC964" s="207"/>
      <c r="AD964" s="207"/>
      <c r="AE964" s="207"/>
      <c r="AF964" s="207"/>
      <c r="AG964" s="207"/>
      <c r="AH964" s="207"/>
      <c r="AI964" s="207"/>
      <c r="AJ964" s="207"/>
    </row>
    <row r="965" ht="15.75" customHeight="1">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c r="X965" s="207"/>
      <c r="Y965" s="207"/>
      <c r="Z965" s="207"/>
      <c r="AA965" s="207"/>
      <c r="AB965" s="207"/>
      <c r="AC965" s="207"/>
      <c r="AD965" s="207"/>
      <c r="AE965" s="207"/>
      <c r="AF965" s="207"/>
      <c r="AG965" s="207"/>
      <c r="AH965" s="207"/>
      <c r="AI965" s="207"/>
      <c r="AJ965" s="207"/>
    </row>
    <row r="966" ht="15.75" customHeight="1">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c r="X966" s="207"/>
      <c r="Y966" s="207"/>
      <c r="Z966" s="207"/>
      <c r="AA966" s="207"/>
      <c r="AB966" s="207"/>
      <c r="AC966" s="207"/>
      <c r="AD966" s="207"/>
      <c r="AE966" s="207"/>
      <c r="AF966" s="207"/>
      <c r="AG966" s="207"/>
      <c r="AH966" s="207"/>
      <c r="AI966" s="207"/>
      <c r="AJ966" s="207"/>
    </row>
    <row r="967" ht="15.75" customHeight="1">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c r="X967" s="207"/>
      <c r="Y967" s="207"/>
      <c r="Z967" s="207"/>
      <c r="AA967" s="207"/>
      <c r="AB967" s="207"/>
      <c r="AC967" s="207"/>
      <c r="AD967" s="207"/>
      <c r="AE967" s="207"/>
      <c r="AF967" s="207"/>
      <c r="AG967" s="207"/>
      <c r="AH967" s="207"/>
      <c r="AI967" s="207"/>
      <c r="AJ967" s="207"/>
    </row>
    <row r="968" ht="15.75" customHeight="1">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c r="X968" s="207"/>
      <c r="Y968" s="207"/>
      <c r="Z968" s="207"/>
      <c r="AA968" s="207"/>
      <c r="AB968" s="207"/>
      <c r="AC968" s="207"/>
      <c r="AD968" s="207"/>
      <c r="AE968" s="207"/>
      <c r="AF968" s="207"/>
      <c r="AG968" s="207"/>
      <c r="AH968" s="207"/>
      <c r="AI968" s="207"/>
      <c r="AJ968" s="207"/>
    </row>
    <row r="969" ht="15.75" customHeight="1">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c r="X969" s="207"/>
      <c r="Y969" s="207"/>
      <c r="Z969" s="207"/>
      <c r="AA969" s="207"/>
      <c r="AB969" s="207"/>
      <c r="AC969" s="207"/>
      <c r="AD969" s="207"/>
      <c r="AE969" s="207"/>
      <c r="AF969" s="207"/>
      <c r="AG969" s="207"/>
      <c r="AH969" s="207"/>
      <c r="AI969" s="207"/>
      <c r="AJ969" s="207"/>
    </row>
    <row r="970" ht="15.75" customHeight="1">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c r="X970" s="207"/>
      <c r="Y970" s="207"/>
      <c r="Z970" s="207"/>
      <c r="AA970" s="207"/>
      <c r="AB970" s="207"/>
      <c r="AC970" s="207"/>
      <c r="AD970" s="207"/>
      <c r="AE970" s="207"/>
      <c r="AF970" s="207"/>
      <c r="AG970" s="207"/>
      <c r="AH970" s="207"/>
      <c r="AI970" s="207"/>
      <c r="AJ970" s="207"/>
    </row>
    <row r="971" ht="15.75" customHeight="1">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c r="X971" s="207"/>
      <c r="Y971" s="207"/>
      <c r="Z971" s="207"/>
      <c r="AA971" s="207"/>
      <c r="AB971" s="207"/>
      <c r="AC971" s="207"/>
      <c r="AD971" s="207"/>
      <c r="AE971" s="207"/>
      <c r="AF971" s="207"/>
      <c r="AG971" s="207"/>
      <c r="AH971" s="207"/>
      <c r="AI971" s="207"/>
      <c r="AJ971" s="207"/>
    </row>
    <row r="972" ht="15.75" customHeight="1">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c r="X972" s="207"/>
      <c r="Y972" s="207"/>
      <c r="Z972" s="207"/>
      <c r="AA972" s="207"/>
      <c r="AB972" s="207"/>
      <c r="AC972" s="207"/>
      <c r="AD972" s="207"/>
      <c r="AE972" s="207"/>
      <c r="AF972" s="207"/>
      <c r="AG972" s="207"/>
      <c r="AH972" s="207"/>
      <c r="AI972" s="207"/>
      <c r="AJ972" s="207"/>
    </row>
    <row r="973" ht="15.75" customHeight="1">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c r="X973" s="207"/>
      <c r="Y973" s="207"/>
      <c r="Z973" s="207"/>
      <c r="AA973" s="207"/>
      <c r="AB973" s="207"/>
      <c r="AC973" s="207"/>
      <c r="AD973" s="207"/>
      <c r="AE973" s="207"/>
      <c r="AF973" s="207"/>
      <c r="AG973" s="207"/>
      <c r="AH973" s="207"/>
      <c r="AI973" s="207"/>
      <c r="AJ973" s="207"/>
    </row>
    <row r="974" ht="15.75" customHeight="1">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c r="X974" s="207"/>
      <c r="Y974" s="207"/>
      <c r="Z974" s="207"/>
      <c r="AA974" s="207"/>
      <c r="AB974" s="207"/>
      <c r="AC974" s="207"/>
      <c r="AD974" s="207"/>
      <c r="AE974" s="207"/>
      <c r="AF974" s="207"/>
      <c r="AG974" s="207"/>
      <c r="AH974" s="207"/>
      <c r="AI974" s="207"/>
      <c r="AJ974" s="207"/>
    </row>
    <row r="975" ht="15.75" customHeight="1">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c r="X975" s="207"/>
      <c r="Y975" s="207"/>
      <c r="Z975" s="207"/>
      <c r="AA975" s="207"/>
      <c r="AB975" s="207"/>
      <c r="AC975" s="207"/>
      <c r="AD975" s="207"/>
      <c r="AE975" s="207"/>
      <c r="AF975" s="207"/>
      <c r="AG975" s="207"/>
      <c r="AH975" s="207"/>
      <c r="AI975" s="207"/>
      <c r="AJ975" s="207"/>
    </row>
    <row r="976" ht="15.75" customHeight="1">
      <c r="A976" s="211"/>
      <c r="B976" s="211"/>
      <c r="C976" s="211"/>
      <c r="D976" s="211"/>
      <c r="E976" s="207"/>
      <c r="F976" s="207"/>
      <c r="G976" s="207"/>
      <c r="H976" s="207"/>
      <c r="I976" s="207"/>
      <c r="J976" s="207"/>
      <c r="K976" s="207"/>
      <c r="L976" s="207"/>
      <c r="M976" s="207"/>
      <c r="N976" s="207"/>
      <c r="O976" s="207"/>
      <c r="P976" s="207"/>
      <c r="Q976" s="207"/>
      <c r="R976" s="207"/>
      <c r="S976" s="207"/>
      <c r="T976" s="207"/>
      <c r="U976" s="207"/>
      <c r="V976" s="207"/>
      <c r="W976" s="207"/>
      <c r="X976" s="207"/>
      <c r="Y976" s="207"/>
      <c r="Z976" s="207"/>
      <c r="AA976" s="207"/>
      <c r="AB976" s="207"/>
      <c r="AC976" s="207"/>
      <c r="AD976" s="207"/>
      <c r="AE976" s="207"/>
      <c r="AF976" s="207"/>
      <c r="AG976" s="207"/>
      <c r="AH976" s="207"/>
      <c r="AI976" s="207"/>
      <c r="AJ976" s="207"/>
    </row>
    <row r="977" ht="15.75" customHeight="1">
      <c r="A977" s="211"/>
      <c r="B977" s="211"/>
      <c r="C977" s="211"/>
      <c r="D977" s="211"/>
      <c r="E977" s="211"/>
      <c r="F977" s="211"/>
      <c r="G977" s="211"/>
      <c r="H977" s="211"/>
      <c r="I977" s="211"/>
      <c r="J977" s="211"/>
      <c r="K977" s="211"/>
      <c r="L977" s="211"/>
      <c r="M977" s="211"/>
      <c r="N977" s="211"/>
      <c r="O977" s="211"/>
      <c r="P977" s="211"/>
      <c r="Q977" s="211"/>
      <c r="R977" s="211"/>
      <c r="S977" s="211"/>
      <c r="T977" s="211"/>
      <c r="U977" s="211"/>
      <c r="V977" s="211"/>
      <c r="W977" s="211"/>
      <c r="X977" s="211"/>
      <c r="Y977" s="211"/>
      <c r="Z977" s="211"/>
      <c r="AA977" s="211"/>
      <c r="AB977" s="211"/>
      <c r="AC977" s="211"/>
      <c r="AD977" s="211"/>
      <c r="AE977" s="211"/>
      <c r="AF977" s="211"/>
      <c r="AG977" s="211"/>
      <c r="AH977" s="211"/>
      <c r="AI977" s="211"/>
      <c r="AJ977" s="211"/>
    </row>
    <row r="978" ht="15.75" customHeight="1">
      <c r="A978" s="211"/>
      <c r="B978" s="211"/>
      <c r="C978" s="211"/>
      <c r="D978" s="211"/>
      <c r="E978" s="211"/>
      <c r="F978" s="211"/>
      <c r="G978" s="211"/>
      <c r="H978" s="211"/>
      <c r="I978" s="211"/>
      <c r="J978" s="211"/>
      <c r="K978" s="211"/>
      <c r="L978" s="211"/>
      <c r="M978" s="211"/>
      <c r="N978" s="211"/>
      <c r="O978" s="211"/>
      <c r="P978" s="211"/>
      <c r="Q978" s="211"/>
      <c r="R978" s="211"/>
      <c r="S978" s="211"/>
      <c r="T978" s="211"/>
      <c r="U978" s="211"/>
      <c r="V978" s="211"/>
      <c r="W978" s="211"/>
      <c r="X978" s="211"/>
      <c r="Y978" s="211"/>
      <c r="Z978" s="211"/>
      <c r="AA978" s="211"/>
      <c r="AB978" s="211"/>
      <c r="AC978" s="211"/>
      <c r="AD978" s="211"/>
      <c r="AE978" s="211"/>
      <c r="AF978" s="211"/>
      <c r="AG978" s="211"/>
      <c r="AH978" s="211"/>
      <c r="AI978" s="211"/>
      <c r="AJ978" s="211"/>
    </row>
    <row r="979" ht="15.75" customHeight="1">
      <c r="A979" s="211"/>
      <c r="B979" s="211"/>
      <c r="C979" s="211"/>
      <c r="D979" s="211"/>
      <c r="E979" s="211"/>
      <c r="F979" s="211"/>
      <c r="G979" s="211"/>
      <c r="H979" s="211"/>
      <c r="I979" s="211"/>
      <c r="J979" s="211"/>
      <c r="K979" s="211"/>
      <c r="L979" s="211"/>
      <c r="M979" s="211"/>
      <c r="N979" s="211"/>
      <c r="O979" s="211"/>
      <c r="P979" s="211"/>
      <c r="Q979" s="211"/>
      <c r="R979" s="211"/>
      <c r="S979" s="211"/>
      <c r="T979" s="211"/>
      <c r="U979" s="211"/>
      <c r="V979" s="211"/>
      <c r="W979" s="211"/>
      <c r="X979" s="211"/>
      <c r="Y979" s="211"/>
      <c r="Z979" s="211"/>
      <c r="AA979" s="211"/>
      <c r="AB979" s="211"/>
      <c r="AC979" s="211"/>
      <c r="AD979" s="211"/>
      <c r="AE979" s="211"/>
      <c r="AF979" s="211"/>
      <c r="AG979" s="211"/>
      <c r="AH979" s="211"/>
      <c r="AI979" s="211"/>
      <c r="AJ979" s="211"/>
    </row>
    <row r="980" ht="15.75" customHeight="1">
      <c r="A980" s="211"/>
      <c r="B980" s="211"/>
      <c r="C980" s="211"/>
      <c r="D980" s="211"/>
      <c r="E980" s="211"/>
      <c r="F980" s="211"/>
      <c r="G980" s="211"/>
      <c r="H980" s="211"/>
      <c r="I980" s="211"/>
      <c r="J980" s="211"/>
      <c r="K980" s="211"/>
      <c r="L980" s="211"/>
      <c r="M980" s="211"/>
      <c r="N980" s="211"/>
      <c r="O980" s="211"/>
      <c r="P980" s="211"/>
      <c r="Q980" s="211"/>
      <c r="R980" s="211"/>
      <c r="S980" s="211"/>
      <c r="T980" s="211"/>
      <c r="U980" s="211"/>
      <c r="V980" s="211"/>
      <c r="W980" s="211"/>
      <c r="X980" s="211"/>
      <c r="Y980" s="211"/>
      <c r="Z980" s="211"/>
      <c r="AA980" s="211"/>
      <c r="AB980" s="211"/>
      <c r="AC980" s="211"/>
      <c r="AD980" s="211"/>
      <c r="AE980" s="211"/>
      <c r="AF980" s="211"/>
      <c r="AG980" s="211"/>
      <c r="AH980" s="211"/>
      <c r="AI980" s="211"/>
      <c r="AJ980" s="211"/>
    </row>
    <row r="981" ht="15.75" customHeight="1">
      <c r="A981" s="211"/>
      <c r="B981" s="211"/>
      <c r="C981" s="211"/>
      <c r="D981" s="211"/>
      <c r="E981" s="211"/>
      <c r="F981" s="211"/>
      <c r="G981" s="211"/>
      <c r="H981" s="211"/>
      <c r="I981" s="211"/>
      <c r="J981" s="211"/>
      <c r="K981" s="211"/>
      <c r="L981" s="211"/>
      <c r="M981" s="211"/>
      <c r="N981" s="211"/>
      <c r="O981" s="211"/>
      <c r="P981" s="211"/>
      <c r="Q981" s="211"/>
      <c r="R981" s="211"/>
      <c r="S981" s="211"/>
      <c r="T981" s="211"/>
      <c r="U981" s="211"/>
      <c r="V981" s="211"/>
      <c r="W981" s="211"/>
      <c r="X981" s="211"/>
      <c r="Y981" s="211"/>
      <c r="Z981" s="211"/>
      <c r="AA981" s="211"/>
      <c r="AB981" s="211"/>
      <c r="AC981" s="211"/>
      <c r="AD981" s="211"/>
      <c r="AE981" s="211"/>
      <c r="AF981" s="211"/>
      <c r="AG981" s="211"/>
      <c r="AH981" s="211"/>
      <c r="AI981" s="211"/>
      <c r="AJ981" s="211"/>
    </row>
    <row r="982" ht="15.75" customHeight="1">
      <c r="A982" s="211"/>
      <c r="B982" s="211"/>
      <c r="C982" s="211"/>
      <c r="D982" s="211"/>
      <c r="E982" s="211"/>
      <c r="F982" s="211"/>
      <c r="G982" s="211"/>
      <c r="H982" s="211"/>
      <c r="I982" s="211"/>
      <c r="J982" s="211"/>
      <c r="K982" s="211"/>
      <c r="L982" s="211"/>
      <c r="M982" s="211"/>
      <c r="N982" s="211"/>
      <c r="O982" s="211"/>
      <c r="P982" s="211"/>
      <c r="Q982" s="211"/>
      <c r="R982" s="211"/>
      <c r="S982" s="211"/>
      <c r="T982" s="211"/>
      <c r="U982" s="211"/>
      <c r="V982" s="211"/>
      <c r="W982" s="211"/>
      <c r="X982" s="211"/>
      <c r="Y982" s="211"/>
      <c r="Z982" s="211"/>
      <c r="AA982" s="211"/>
      <c r="AB982" s="211"/>
      <c r="AC982" s="211"/>
      <c r="AD982" s="211"/>
      <c r="AE982" s="211"/>
      <c r="AF982" s="211"/>
      <c r="AG982" s="211"/>
      <c r="AH982" s="211"/>
      <c r="AI982" s="211"/>
      <c r="AJ982" s="211"/>
    </row>
    <row r="983" ht="15.75" customHeight="1">
      <c r="A983" s="211"/>
      <c r="B983" s="211"/>
      <c r="C983" s="211"/>
      <c r="D983" s="211"/>
      <c r="E983" s="211"/>
      <c r="F983" s="211"/>
      <c r="G983" s="211"/>
      <c r="H983" s="211"/>
      <c r="I983" s="211"/>
      <c r="J983" s="211"/>
      <c r="K983" s="211"/>
      <c r="L983" s="211"/>
      <c r="M983" s="211"/>
      <c r="N983" s="211"/>
      <c r="O983" s="211"/>
      <c r="P983" s="211"/>
      <c r="Q983" s="211"/>
      <c r="R983" s="211"/>
      <c r="S983" s="211"/>
      <c r="T983" s="211"/>
      <c r="U983" s="211"/>
      <c r="V983" s="211"/>
      <c r="W983" s="211"/>
      <c r="X983" s="211"/>
      <c r="Y983" s="211"/>
      <c r="Z983" s="211"/>
      <c r="AA983" s="211"/>
      <c r="AB983" s="211"/>
      <c r="AC983" s="211"/>
      <c r="AD983" s="211"/>
      <c r="AE983" s="211"/>
      <c r="AF983" s="211"/>
      <c r="AG983" s="211"/>
      <c r="AH983" s="211"/>
      <c r="AI983" s="211"/>
      <c r="AJ983" s="211"/>
    </row>
    <row r="984" ht="15.75" customHeight="1">
      <c r="A984" s="211"/>
      <c r="B984" s="211"/>
      <c r="C984" s="211"/>
      <c r="D984" s="211"/>
      <c r="E984" s="211"/>
      <c r="F984" s="211"/>
      <c r="G984" s="211"/>
      <c r="H984" s="211"/>
      <c r="I984" s="211"/>
      <c r="J984" s="211"/>
      <c r="K984" s="211"/>
      <c r="L984" s="211"/>
      <c r="M984" s="211"/>
      <c r="N984" s="211"/>
      <c r="O984" s="211"/>
      <c r="P984" s="211"/>
      <c r="Q984" s="211"/>
      <c r="R984" s="211"/>
      <c r="S984" s="211"/>
      <c r="T984" s="211"/>
      <c r="U984" s="211"/>
      <c r="V984" s="211"/>
      <c r="W984" s="211"/>
      <c r="X984" s="211"/>
      <c r="Y984" s="211"/>
      <c r="Z984" s="211"/>
      <c r="AA984" s="211"/>
      <c r="AB984" s="211"/>
      <c r="AC984" s="211"/>
      <c r="AD984" s="211"/>
      <c r="AE984" s="211"/>
      <c r="AF984" s="211"/>
      <c r="AG984" s="211"/>
      <c r="AH984" s="211"/>
      <c r="AI984" s="211"/>
      <c r="AJ984" s="211"/>
    </row>
    <row r="985" ht="15.75" customHeight="1">
      <c r="A985" s="211"/>
      <c r="B985" s="211"/>
      <c r="C985" s="211"/>
      <c r="D985" s="211"/>
      <c r="E985" s="211"/>
      <c r="F985" s="211"/>
      <c r="G985" s="211"/>
      <c r="H985" s="211"/>
      <c r="I985" s="211"/>
      <c r="J985" s="211"/>
      <c r="K985" s="211"/>
      <c r="L985" s="211"/>
      <c r="M985" s="211"/>
      <c r="N985" s="211"/>
      <c r="O985" s="211"/>
      <c r="P985" s="211"/>
      <c r="Q985" s="211"/>
      <c r="R985" s="211"/>
      <c r="S985" s="211"/>
      <c r="T985" s="211"/>
      <c r="U985" s="211"/>
      <c r="V985" s="211"/>
      <c r="W985" s="211"/>
      <c r="X985" s="211"/>
      <c r="Y985" s="211"/>
      <c r="Z985" s="211"/>
      <c r="AA985" s="211"/>
      <c r="AB985" s="211"/>
      <c r="AC985" s="211"/>
      <c r="AD985" s="211"/>
      <c r="AE985" s="211"/>
      <c r="AF985" s="211"/>
      <c r="AG985" s="211"/>
      <c r="AH985" s="211"/>
      <c r="AI985" s="211"/>
      <c r="AJ985" s="211"/>
    </row>
    <row r="986" ht="15.75" customHeight="1">
      <c r="A986" s="211"/>
      <c r="B986" s="211"/>
      <c r="C986" s="211"/>
      <c r="D986" s="211"/>
      <c r="E986" s="211"/>
      <c r="F986" s="211"/>
      <c r="G986" s="211"/>
      <c r="H986" s="211"/>
      <c r="I986" s="211"/>
      <c r="J986" s="211"/>
      <c r="K986" s="211"/>
      <c r="L986" s="211"/>
      <c r="M986" s="211"/>
      <c r="N986" s="211"/>
      <c r="O986" s="211"/>
      <c r="P986" s="211"/>
      <c r="Q986" s="211"/>
      <c r="R986" s="211"/>
      <c r="S986" s="211"/>
      <c r="T986" s="211"/>
      <c r="U986" s="211"/>
      <c r="V986" s="211"/>
      <c r="W986" s="211"/>
      <c r="X986" s="211"/>
      <c r="Y986" s="211"/>
      <c r="Z986" s="211"/>
      <c r="AA986" s="211"/>
      <c r="AB986" s="211"/>
      <c r="AC986" s="211"/>
      <c r="AD986" s="211"/>
      <c r="AE986" s="211"/>
      <c r="AF986" s="211"/>
      <c r="AG986" s="211"/>
      <c r="AH986" s="211"/>
      <c r="AI986" s="211"/>
      <c r="AJ986" s="211"/>
    </row>
    <row r="987" ht="15.75" customHeight="1">
      <c r="A987" s="211"/>
      <c r="B987" s="211"/>
      <c r="C987" s="211"/>
      <c r="D987" s="211"/>
      <c r="E987" s="211"/>
      <c r="F987" s="211"/>
      <c r="G987" s="211"/>
      <c r="H987" s="211"/>
      <c r="I987" s="211"/>
      <c r="J987" s="211"/>
      <c r="K987" s="211"/>
      <c r="L987" s="211"/>
      <c r="M987" s="211"/>
      <c r="N987" s="211"/>
      <c r="O987" s="211"/>
      <c r="P987" s="211"/>
      <c r="Q987" s="211"/>
      <c r="R987" s="211"/>
      <c r="S987" s="211"/>
      <c r="T987" s="211"/>
      <c r="U987" s="211"/>
      <c r="V987" s="211"/>
      <c r="W987" s="211"/>
      <c r="X987" s="211"/>
      <c r="Y987" s="211"/>
      <c r="Z987" s="211"/>
      <c r="AA987" s="211"/>
      <c r="AB987" s="211"/>
      <c r="AC987" s="211"/>
      <c r="AD987" s="211"/>
      <c r="AE987" s="211"/>
      <c r="AF987" s="211"/>
      <c r="AG987" s="211"/>
      <c r="AH987" s="211"/>
      <c r="AI987" s="211"/>
      <c r="AJ987" s="211"/>
    </row>
    <row r="988" ht="15.75" customHeight="1">
      <c r="A988" s="211"/>
      <c r="B988" s="211"/>
      <c r="C988" s="211"/>
      <c r="D988" s="211"/>
      <c r="E988" s="211"/>
      <c r="F988" s="211"/>
      <c r="G988" s="211"/>
      <c r="H988" s="211"/>
      <c r="I988" s="211"/>
      <c r="J988" s="211"/>
      <c r="K988" s="211"/>
      <c r="L988" s="211"/>
      <c r="M988" s="211"/>
      <c r="N988" s="211"/>
      <c r="O988" s="211"/>
      <c r="P988" s="211"/>
      <c r="Q988" s="211"/>
      <c r="R988" s="211"/>
      <c r="S988" s="211"/>
      <c r="T988" s="211"/>
      <c r="U988" s="211"/>
      <c r="V988" s="211"/>
      <c r="W988" s="211"/>
      <c r="X988" s="211"/>
      <c r="Y988" s="211"/>
      <c r="Z988" s="211"/>
      <c r="AA988" s="211"/>
      <c r="AB988" s="211"/>
      <c r="AC988" s="211"/>
      <c r="AD988" s="211"/>
      <c r="AE988" s="211"/>
      <c r="AF988" s="211"/>
      <c r="AG988" s="211"/>
      <c r="AH988" s="211"/>
      <c r="AI988" s="211"/>
      <c r="AJ988" s="211"/>
    </row>
    <row r="989" ht="15.75" customHeight="1">
      <c r="A989" s="211"/>
      <c r="B989" s="211"/>
      <c r="C989" s="211"/>
      <c r="D989" s="211"/>
      <c r="E989" s="211"/>
      <c r="F989" s="211"/>
      <c r="G989" s="211"/>
      <c r="H989" s="211"/>
      <c r="I989" s="211"/>
      <c r="J989" s="211"/>
      <c r="K989" s="211"/>
      <c r="L989" s="211"/>
      <c r="M989" s="211"/>
      <c r="N989" s="211"/>
      <c r="O989" s="211"/>
      <c r="P989" s="211"/>
      <c r="Q989" s="211"/>
      <c r="R989" s="211"/>
      <c r="S989" s="211"/>
      <c r="T989" s="211"/>
      <c r="U989" s="211"/>
      <c r="V989" s="211"/>
      <c r="W989" s="211"/>
      <c r="X989" s="211"/>
      <c r="Y989" s="211"/>
      <c r="Z989" s="211"/>
      <c r="AA989" s="211"/>
      <c r="AB989" s="211"/>
      <c r="AC989" s="211"/>
      <c r="AD989" s="211"/>
      <c r="AE989" s="211"/>
      <c r="AF989" s="211"/>
      <c r="AG989" s="211"/>
      <c r="AH989" s="211"/>
      <c r="AI989" s="211"/>
      <c r="AJ989" s="211"/>
    </row>
    <row r="990" ht="15.75" customHeight="1">
      <c r="A990" s="211"/>
      <c r="B990" s="211"/>
      <c r="C990" s="211"/>
      <c r="D990" s="211"/>
      <c r="E990" s="211"/>
      <c r="F990" s="211"/>
      <c r="G990" s="211"/>
      <c r="H990" s="211"/>
      <c r="I990" s="211"/>
      <c r="J990" s="211"/>
      <c r="K990" s="211"/>
      <c r="L990" s="211"/>
      <c r="M990" s="211"/>
      <c r="N990" s="211"/>
      <c r="O990" s="211"/>
      <c r="P990" s="211"/>
      <c r="Q990" s="211"/>
      <c r="R990" s="211"/>
      <c r="S990" s="211"/>
      <c r="T990" s="211"/>
      <c r="U990" s="211"/>
      <c r="V990" s="211"/>
      <c r="W990" s="211"/>
      <c r="X990" s="211"/>
      <c r="Y990" s="211"/>
      <c r="Z990" s="211"/>
      <c r="AA990" s="211"/>
      <c r="AB990" s="211"/>
      <c r="AC990" s="211"/>
      <c r="AD990" s="211"/>
      <c r="AE990" s="211"/>
      <c r="AF990" s="211"/>
      <c r="AG990" s="211"/>
      <c r="AH990" s="211"/>
      <c r="AI990" s="211"/>
      <c r="AJ990" s="211"/>
    </row>
    <row r="991" ht="15.75" customHeight="1">
      <c r="A991" s="211"/>
      <c r="B991" s="211"/>
      <c r="C991" s="211"/>
      <c r="D991" s="211"/>
      <c r="E991" s="211"/>
      <c r="F991" s="211"/>
      <c r="G991" s="211"/>
      <c r="H991" s="211"/>
      <c r="I991" s="211"/>
      <c r="J991" s="211"/>
      <c r="K991" s="211"/>
      <c r="L991" s="211"/>
      <c r="M991" s="211"/>
      <c r="N991" s="211"/>
      <c r="O991" s="211"/>
      <c r="P991" s="211"/>
      <c r="Q991" s="211"/>
      <c r="R991" s="211"/>
      <c r="S991" s="211"/>
      <c r="T991" s="211"/>
      <c r="U991" s="211"/>
      <c r="V991" s="211"/>
      <c r="W991" s="211"/>
      <c r="X991" s="211"/>
      <c r="Y991" s="211"/>
      <c r="Z991" s="211"/>
      <c r="AA991" s="211"/>
      <c r="AB991" s="211"/>
      <c r="AC991" s="211"/>
      <c r="AD991" s="211"/>
      <c r="AE991" s="211"/>
      <c r="AF991" s="211"/>
      <c r="AG991" s="211"/>
      <c r="AH991" s="211"/>
      <c r="AI991" s="211"/>
      <c r="AJ991" s="211"/>
    </row>
    <row r="992" ht="15.75" customHeight="1">
      <c r="A992" s="211"/>
      <c r="B992" s="211"/>
      <c r="C992" s="211"/>
      <c r="D992" s="211"/>
      <c r="E992" s="211"/>
      <c r="F992" s="211"/>
      <c r="G992" s="211"/>
      <c r="H992" s="211"/>
      <c r="I992" s="211"/>
      <c r="J992" s="211"/>
      <c r="K992" s="211"/>
      <c r="L992" s="211"/>
      <c r="M992" s="211"/>
      <c r="N992" s="211"/>
      <c r="O992" s="211"/>
      <c r="P992" s="211"/>
      <c r="Q992" s="211"/>
      <c r="R992" s="211"/>
      <c r="S992" s="211"/>
      <c r="T992" s="211"/>
      <c r="U992" s="211"/>
      <c r="V992" s="211"/>
      <c r="W992" s="211"/>
      <c r="X992" s="211"/>
      <c r="Y992" s="211"/>
      <c r="Z992" s="211"/>
      <c r="AA992" s="211"/>
      <c r="AB992" s="211"/>
      <c r="AC992" s="211"/>
      <c r="AD992" s="211"/>
      <c r="AE992" s="211"/>
      <c r="AF992" s="211"/>
      <c r="AG992" s="211"/>
      <c r="AH992" s="211"/>
      <c r="AI992" s="211"/>
      <c r="AJ992" s="211"/>
    </row>
    <row r="993" ht="15.75" customHeight="1">
      <c r="A993" s="211"/>
      <c r="B993" s="211"/>
      <c r="C993" s="211"/>
      <c r="D993" s="211"/>
      <c r="E993" s="211"/>
      <c r="F993" s="211"/>
      <c r="G993" s="211"/>
      <c r="H993" s="211"/>
      <c r="I993" s="211"/>
      <c r="J993" s="211"/>
      <c r="K993" s="211"/>
      <c r="L993" s="211"/>
      <c r="M993" s="211"/>
      <c r="N993" s="211"/>
      <c r="O993" s="211"/>
      <c r="P993" s="211"/>
      <c r="Q993" s="211"/>
      <c r="R993" s="211"/>
      <c r="S993" s="211"/>
      <c r="T993" s="211"/>
      <c r="U993" s="211"/>
      <c r="V993" s="211"/>
      <c r="W993" s="211"/>
      <c r="X993" s="211"/>
      <c r="Y993" s="211"/>
      <c r="Z993" s="211"/>
      <c r="AA993" s="211"/>
      <c r="AB993" s="211"/>
      <c r="AC993" s="211"/>
      <c r="AD993" s="211"/>
      <c r="AE993" s="211"/>
      <c r="AF993" s="211"/>
      <c r="AG993" s="211"/>
      <c r="AH993" s="211"/>
      <c r="AI993" s="211"/>
      <c r="AJ993" s="211"/>
    </row>
    <row r="994" ht="15.75" customHeight="1">
      <c r="A994" s="211"/>
      <c r="B994" s="211"/>
      <c r="C994" s="211"/>
      <c r="D994" s="211"/>
      <c r="E994" s="211"/>
      <c r="F994" s="211"/>
      <c r="G994" s="211"/>
      <c r="H994" s="211"/>
      <c r="I994" s="211"/>
      <c r="J994" s="211"/>
      <c r="K994" s="211"/>
      <c r="L994" s="211"/>
      <c r="M994" s="211"/>
      <c r="N994" s="211"/>
      <c r="O994" s="211"/>
      <c r="P994" s="211"/>
      <c r="Q994" s="211"/>
      <c r="R994" s="211"/>
      <c r="S994" s="211"/>
      <c r="T994" s="211"/>
      <c r="U994" s="211"/>
      <c r="V994" s="211"/>
      <c r="W994" s="211"/>
      <c r="X994" s="211"/>
      <c r="Y994" s="211"/>
      <c r="Z994" s="211"/>
      <c r="AA994" s="211"/>
      <c r="AB994" s="211"/>
      <c r="AC994" s="211"/>
      <c r="AD994" s="211"/>
      <c r="AE994" s="211"/>
      <c r="AF994" s="211"/>
      <c r="AG994" s="211"/>
      <c r="AH994" s="211"/>
      <c r="AI994" s="211"/>
      <c r="AJ994" s="211"/>
    </row>
    <row r="995" ht="15.75" customHeight="1">
      <c r="A995" s="211"/>
      <c r="B995" s="211"/>
      <c r="C995" s="211"/>
      <c r="D995" s="211"/>
      <c r="E995" s="211"/>
      <c r="F995" s="211"/>
      <c r="G995" s="211"/>
      <c r="H995" s="211"/>
      <c r="I995" s="211"/>
      <c r="J995" s="211"/>
      <c r="K995" s="211"/>
      <c r="L995" s="211"/>
      <c r="M995" s="211"/>
      <c r="N995" s="211"/>
      <c r="O995" s="211"/>
      <c r="P995" s="211"/>
      <c r="Q995" s="211"/>
      <c r="R995" s="211"/>
      <c r="S995" s="211"/>
      <c r="T995" s="211"/>
      <c r="U995" s="211"/>
      <c r="V995" s="211"/>
      <c r="W995" s="211"/>
      <c r="X995" s="211"/>
      <c r="Y995" s="211"/>
      <c r="Z995" s="211"/>
      <c r="AA995" s="211"/>
      <c r="AB995" s="211"/>
      <c r="AC995" s="211"/>
      <c r="AD995" s="211"/>
      <c r="AE995" s="211"/>
      <c r="AF995" s="211"/>
      <c r="AG995" s="211"/>
      <c r="AH995" s="211"/>
      <c r="AI995" s="211"/>
      <c r="AJ995" s="211"/>
    </row>
    <row r="996" ht="15.75" customHeight="1">
      <c r="A996" s="211"/>
      <c r="B996" s="211"/>
      <c r="C996" s="211"/>
      <c r="D996" s="211"/>
      <c r="E996" s="211"/>
      <c r="F996" s="211"/>
      <c r="G996" s="211"/>
      <c r="H996" s="211"/>
      <c r="I996" s="211"/>
      <c r="J996" s="211"/>
      <c r="K996" s="211"/>
      <c r="L996" s="211"/>
      <c r="M996" s="211"/>
      <c r="N996" s="211"/>
      <c r="O996" s="211"/>
      <c r="P996" s="211"/>
      <c r="Q996" s="211"/>
      <c r="R996" s="211"/>
      <c r="S996" s="211"/>
      <c r="T996" s="211"/>
      <c r="U996" s="211"/>
      <c r="V996" s="211"/>
      <c r="W996" s="211"/>
      <c r="X996" s="211"/>
      <c r="Y996" s="211"/>
      <c r="Z996" s="211"/>
      <c r="AA996" s="211"/>
      <c r="AB996" s="211"/>
      <c r="AC996" s="211"/>
      <c r="AD996" s="211"/>
      <c r="AE996" s="211"/>
      <c r="AF996" s="211"/>
      <c r="AG996" s="211"/>
      <c r="AH996" s="211"/>
      <c r="AI996" s="211"/>
      <c r="AJ996" s="211"/>
    </row>
    <row r="997" ht="15.75" customHeight="1">
      <c r="A997" s="211"/>
      <c r="B997" s="211"/>
      <c r="C997" s="211"/>
      <c r="D997" s="211"/>
      <c r="E997" s="211"/>
      <c r="F997" s="211"/>
      <c r="G997" s="211"/>
      <c r="H997" s="211"/>
      <c r="I997" s="211"/>
      <c r="J997" s="211"/>
      <c r="K997" s="211"/>
      <c r="L997" s="211"/>
      <c r="M997" s="211"/>
      <c r="N997" s="211"/>
      <c r="O997" s="211"/>
      <c r="P997" s="211"/>
      <c r="Q997" s="211"/>
      <c r="R997" s="211"/>
      <c r="S997" s="211"/>
      <c r="T997" s="211"/>
      <c r="U997" s="211"/>
      <c r="V997" s="211"/>
      <c r="W997" s="211"/>
      <c r="X997" s="211"/>
      <c r="Y997" s="211"/>
      <c r="Z997" s="211"/>
      <c r="AA997" s="211"/>
      <c r="AB997" s="211"/>
      <c r="AC997" s="211"/>
      <c r="AD997" s="211"/>
      <c r="AE997" s="211"/>
      <c r="AF997" s="211"/>
      <c r="AG997" s="211"/>
      <c r="AH997" s="211"/>
      <c r="AI997" s="211"/>
      <c r="AJ997" s="211"/>
    </row>
    <row r="998" ht="15.75" customHeight="1">
      <c r="A998" s="211"/>
      <c r="B998" s="211"/>
      <c r="C998" s="211"/>
      <c r="D998" s="211"/>
      <c r="E998" s="211"/>
      <c r="F998" s="211"/>
      <c r="G998" s="211"/>
      <c r="H998" s="211"/>
      <c r="I998" s="211"/>
      <c r="J998" s="211"/>
      <c r="K998" s="211"/>
      <c r="L998" s="211"/>
      <c r="M998" s="211"/>
      <c r="N998" s="211"/>
      <c r="O998" s="211"/>
      <c r="P998" s="211"/>
      <c r="Q998" s="211"/>
      <c r="R998" s="211"/>
      <c r="S998" s="211"/>
      <c r="T998" s="211"/>
      <c r="U998" s="211"/>
      <c r="V998" s="211"/>
      <c r="W998" s="211"/>
      <c r="X998" s="211"/>
      <c r="Y998" s="211"/>
      <c r="Z998" s="211"/>
      <c r="AA998" s="211"/>
      <c r="AB998" s="211"/>
      <c r="AC998" s="211"/>
      <c r="AD998" s="211"/>
      <c r="AE998" s="211"/>
      <c r="AF998" s="211"/>
      <c r="AG998" s="211"/>
      <c r="AH998" s="211"/>
      <c r="AI998" s="211"/>
      <c r="AJ998" s="211"/>
    </row>
    <row r="999" ht="15.75" customHeight="1">
      <c r="A999" s="211"/>
      <c r="B999" s="211"/>
      <c r="C999" s="211"/>
      <c r="D999" s="211"/>
      <c r="E999" s="211"/>
      <c r="F999" s="211"/>
      <c r="G999" s="211"/>
      <c r="H999" s="211"/>
      <c r="I999" s="211"/>
      <c r="J999" s="211"/>
      <c r="K999" s="211"/>
      <c r="L999" s="211"/>
      <c r="M999" s="211"/>
      <c r="N999" s="211"/>
      <c r="O999" s="211"/>
      <c r="P999" s="211"/>
      <c r="Q999" s="211"/>
      <c r="R999" s="211"/>
      <c r="S999" s="211"/>
      <c r="T999" s="211"/>
      <c r="U999" s="211"/>
      <c r="V999" s="211"/>
      <c r="W999" s="211"/>
      <c r="X999" s="211"/>
      <c r="Y999" s="211"/>
      <c r="Z999" s="211"/>
      <c r="AA999" s="211"/>
      <c r="AB999" s="211"/>
      <c r="AC999" s="211"/>
      <c r="AD999" s="211"/>
      <c r="AE999" s="211"/>
      <c r="AF999" s="211"/>
      <c r="AG999" s="211"/>
      <c r="AH999" s="211"/>
      <c r="AI999" s="211"/>
      <c r="AJ999" s="211"/>
    </row>
    <row r="1000" ht="15.75" customHeight="1">
      <c r="A1000" s="211"/>
      <c r="B1000" s="211"/>
      <c r="C1000" s="211"/>
      <c r="D1000" s="211"/>
      <c r="E1000" s="211"/>
      <c r="F1000" s="211"/>
      <c r="G1000" s="211"/>
      <c r="H1000" s="211"/>
      <c r="I1000" s="211"/>
      <c r="J1000" s="211"/>
      <c r="K1000" s="211"/>
      <c r="L1000" s="211"/>
      <c r="M1000" s="211"/>
      <c r="N1000" s="211"/>
      <c r="O1000" s="211"/>
      <c r="P1000" s="211"/>
      <c r="Q1000" s="211"/>
      <c r="R1000" s="211"/>
      <c r="S1000" s="211"/>
      <c r="T1000" s="211"/>
      <c r="U1000" s="211"/>
      <c r="V1000" s="211"/>
      <c r="W1000" s="211"/>
      <c r="X1000" s="211"/>
      <c r="Y1000" s="211"/>
      <c r="Z1000" s="211"/>
      <c r="AA1000" s="211"/>
      <c r="AB1000" s="211"/>
      <c r="AC1000" s="211"/>
      <c r="AD1000" s="211"/>
      <c r="AE1000" s="211"/>
      <c r="AF1000" s="211"/>
      <c r="AG1000" s="211"/>
      <c r="AH1000" s="211"/>
      <c r="AI1000" s="211"/>
      <c r="AJ1000" s="211"/>
    </row>
    <row r="1001" ht="15.75" customHeight="1">
      <c r="A1001" s="212"/>
      <c r="B1001" s="212"/>
      <c r="C1001" s="212"/>
      <c r="D1001" s="212"/>
      <c r="E1001" s="211"/>
      <c r="F1001" s="211"/>
      <c r="G1001" s="211"/>
      <c r="H1001" s="211"/>
      <c r="I1001" s="211"/>
      <c r="J1001" s="211"/>
      <c r="K1001" s="211"/>
      <c r="L1001" s="211"/>
      <c r="M1001" s="211"/>
      <c r="N1001" s="211"/>
      <c r="O1001" s="211"/>
      <c r="P1001" s="211"/>
      <c r="Q1001" s="211"/>
      <c r="R1001" s="211"/>
      <c r="S1001" s="211"/>
      <c r="T1001" s="211"/>
      <c r="U1001" s="211"/>
      <c r="V1001" s="211"/>
      <c r="W1001" s="211"/>
      <c r="X1001" s="211"/>
      <c r="Y1001" s="211"/>
      <c r="Z1001" s="211"/>
      <c r="AA1001" s="211"/>
      <c r="AB1001" s="211"/>
      <c r="AC1001" s="211"/>
      <c r="AD1001" s="211"/>
      <c r="AE1001" s="211"/>
      <c r="AF1001" s="211"/>
      <c r="AG1001" s="211"/>
      <c r="AH1001" s="211"/>
      <c r="AI1001" s="211"/>
      <c r="AJ1001" s="211"/>
    </row>
  </sheetData>
  <autoFilter ref="$B$1:$J$27"/>
  <conditionalFormatting sqref="C1:C226">
    <cfRule type="expression" dxfId="5" priority="1">
      <formula>COUNTIF({"Power Digital";"Momentum";"PMG";"Further Group";"MSQ Partners";"Huge";"Brandtech";"Dentsu";"Croud";"New Engen";"Acadia";"Tinuiti";"Adswerve";"Labelium";"IDHL";"Accenture Song";"Deloitte Digital";"Brainlabs";"Making Science";"weDiscover";"Bark London"},C1)&gt;0</formula>
    </cfRule>
  </conditionalFormatting>
  <conditionalFormatting sqref="C1:C1001">
    <cfRule type="containsText" dxfId="6" priority="2" operator="containsText" text="Incubeta">
      <formula>NOT(ISERROR(SEARCH(("Incubeta"),(C1))))</formula>
    </cfRule>
  </conditionalFormatting>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6"/>
    <hyperlink r:id="rId44" ref="D47"/>
    <hyperlink r:id="rId45" ref="D48"/>
    <hyperlink r:id="rId46" ref="D49"/>
    <hyperlink r:id="rId47" ref="D50"/>
    <hyperlink r:id="rId48" ref="D51"/>
    <hyperlink r:id="rId49" ref="D52"/>
    <hyperlink r:id="rId50" ref="D53"/>
    <hyperlink r:id="rId51" ref="D54"/>
    <hyperlink r:id="rId52" ref="D55"/>
    <hyperlink r:id="rId53" ref="D56"/>
    <hyperlink r:id="rId54" ref="D57"/>
    <hyperlink r:id="rId55" ref="D58"/>
    <hyperlink r:id="rId56" ref="D59"/>
    <hyperlink r:id="rId57" ref="D60"/>
    <hyperlink r:id="rId58" ref="D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3"/>
    <hyperlink r:id="rId80" ref="D84"/>
    <hyperlink r:id="rId81" ref="D85"/>
    <hyperlink r:id="rId82" ref="D86"/>
    <hyperlink r:id="rId83" ref="D87"/>
    <hyperlink r:id="rId84" ref="D89"/>
    <hyperlink r:id="rId85" ref="D90"/>
    <hyperlink r:id="rId86" ref="D91"/>
    <hyperlink r:id="rId87" ref="D92"/>
    <hyperlink r:id="rId88" ref="D93"/>
    <hyperlink r:id="rId89" ref="D94"/>
    <hyperlink r:id="rId90" ref="D95"/>
    <hyperlink r:id="rId91" ref="D96"/>
    <hyperlink r:id="rId92" ref="D97"/>
    <hyperlink r:id="rId93" ref="D98"/>
    <hyperlink r:id="rId94" ref="D99"/>
    <hyperlink r:id="rId95" ref="D100"/>
    <hyperlink r:id="rId96" ref="D101"/>
    <hyperlink r:id="rId97" ref="D102"/>
    <hyperlink r:id="rId98" ref="D103"/>
    <hyperlink r:id="rId99" ref="D104"/>
    <hyperlink r:id="rId100" ref="D105"/>
    <hyperlink r:id="rId101" ref="D106"/>
    <hyperlink r:id="rId102" ref="D107"/>
    <hyperlink r:id="rId103" ref="D108"/>
    <hyperlink r:id="rId104" ref="D109"/>
    <hyperlink r:id="rId105" ref="D110"/>
    <hyperlink r:id="rId106" ref="D111"/>
    <hyperlink r:id="rId107" ref="D112"/>
    <hyperlink r:id="rId108" ref="D113"/>
    <hyperlink r:id="rId109" ref="D114"/>
    <hyperlink r:id="rId110" ref="D115"/>
    <hyperlink r:id="rId111" ref="D116"/>
    <hyperlink r:id="rId112" ref="D117"/>
    <hyperlink r:id="rId113" ref="D118"/>
    <hyperlink r:id="rId114" ref="D119"/>
    <hyperlink r:id="rId115" ref="D120"/>
    <hyperlink r:id="rId116" ref="D121"/>
    <hyperlink r:id="rId117" ref="D122"/>
    <hyperlink r:id="rId118" ref="D123"/>
    <hyperlink r:id="rId119" ref="D124"/>
    <hyperlink r:id="rId120" ref="D126"/>
    <hyperlink r:id="rId121" ref="D127"/>
    <hyperlink r:id="rId122" ref="D128"/>
    <hyperlink r:id="rId123" ref="D129"/>
    <hyperlink r:id="rId124" ref="D130"/>
    <hyperlink r:id="rId125" ref="D131"/>
    <hyperlink r:id="rId126" ref="D132"/>
    <hyperlink r:id="rId127" ref="D133"/>
    <hyperlink r:id="rId128" ref="D135"/>
    <hyperlink r:id="rId129" ref="D136"/>
    <hyperlink r:id="rId130" ref="D137"/>
    <hyperlink r:id="rId131" ref="D138"/>
    <hyperlink r:id="rId132" ref="D139"/>
    <hyperlink r:id="rId133" ref="D140"/>
    <hyperlink r:id="rId134" ref="D142"/>
    <hyperlink r:id="rId135" ref="D143"/>
    <hyperlink r:id="rId136" ref="D144"/>
    <hyperlink r:id="rId137" ref="D146"/>
    <hyperlink r:id="rId138" ref="D147"/>
    <hyperlink r:id="rId139" ref="D148"/>
    <hyperlink r:id="rId140" ref="D149"/>
    <hyperlink r:id="rId141" ref="D150"/>
    <hyperlink r:id="rId142" ref="D151"/>
    <hyperlink r:id="rId143" ref="D152"/>
    <hyperlink r:id="rId144" ref="D153"/>
    <hyperlink r:id="rId145" ref="D154"/>
    <hyperlink r:id="rId146" ref="D155"/>
    <hyperlink r:id="rId147" ref="D156"/>
    <hyperlink r:id="rId148" ref="D157"/>
    <hyperlink r:id="rId149" ref="D158"/>
    <hyperlink r:id="rId150" ref="D159"/>
    <hyperlink r:id="rId151" ref="D160"/>
    <hyperlink r:id="rId152" ref="D161"/>
    <hyperlink r:id="rId153" ref="D162"/>
    <hyperlink r:id="rId154" ref="D163"/>
    <hyperlink r:id="rId155" ref="D164"/>
    <hyperlink r:id="rId156" ref="D165"/>
    <hyperlink r:id="rId157" ref="D166"/>
    <hyperlink r:id="rId158" ref="D167"/>
    <hyperlink r:id="rId159" ref="D168"/>
    <hyperlink r:id="rId160" ref="D169"/>
    <hyperlink r:id="rId161" ref="D170"/>
    <hyperlink r:id="rId162" ref="D171"/>
    <hyperlink r:id="rId163" ref="D172"/>
    <hyperlink r:id="rId164" ref="D173"/>
    <hyperlink r:id="rId165" ref="D174"/>
    <hyperlink r:id="rId166" ref="D175"/>
    <hyperlink r:id="rId167" ref="D176"/>
    <hyperlink r:id="rId168" ref="D177"/>
    <hyperlink r:id="rId169" ref="D178"/>
    <hyperlink r:id="rId170" ref="D180"/>
    <hyperlink r:id="rId171" ref="D182"/>
    <hyperlink r:id="rId172" ref="D183"/>
    <hyperlink r:id="rId173" ref="D184"/>
    <hyperlink r:id="rId174" ref="D186"/>
    <hyperlink r:id="rId175" ref="D187"/>
    <hyperlink r:id="rId176" ref="D188"/>
    <hyperlink r:id="rId177" ref="D189"/>
    <hyperlink r:id="rId178" ref="D190"/>
    <hyperlink r:id="rId179" ref="D191"/>
    <hyperlink r:id="rId180" ref="D192"/>
    <hyperlink r:id="rId181" ref="D193"/>
    <hyperlink r:id="rId182" ref="D194"/>
    <hyperlink r:id="rId183" ref="D195"/>
    <hyperlink r:id="rId184" ref="D196"/>
    <hyperlink r:id="rId185" ref="D197"/>
    <hyperlink r:id="rId186" ref="D198"/>
    <hyperlink r:id="rId187" ref="D200"/>
    <hyperlink r:id="rId188" ref="D201"/>
    <hyperlink r:id="rId189" ref="D202"/>
    <hyperlink r:id="rId190" ref="D203"/>
    <hyperlink r:id="rId191" ref="D204"/>
    <hyperlink r:id="rId192" ref="D205"/>
    <hyperlink r:id="rId193" ref="D206"/>
    <hyperlink r:id="rId194" ref="D207"/>
    <hyperlink r:id="rId195" ref="D208"/>
    <hyperlink r:id="rId196" ref="D209"/>
    <hyperlink r:id="rId197" ref="D210"/>
    <hyperlink r:id="rId198" ref="D211"/>
    <hyperlink r:id="rId199" ref="D212"/>
    <hyperlink r:id="rId200" ref="D213"/>
    <hyperlink r:id="rId201" ref="D214"/>
    <hyperlink r:id="rId202" ref="D215"/>
    <hyperlink r:id="rId203" ref="D216"/>
    <hyperlink r:id="rId204" ref="D217"/>
    <hyperlink r:id="rId205" ref="D218"/>
    <hyperlink r:id="rId206" ref="D219"/>
    <hyperlink r:id="rId207" ref="D220"/>
    <hyperlink r:id="rId208" ref="D221"/>
    <hyperlink r:id="rId209" ref="D222"/>
    <hyperlink r:id="rId210" ref="D224"/>
    <hyperlink r:id="rId211" ref="D225"/>
    <hyperlink r:id="rId212" ref="D226"/>
  </hyperlinks>
  <drawing r:id="rId2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 width="24.56"/>
    <col customWidth="1" min="3" max="3" width="16.78"/>
    <col customWidth="1" min="4" max="4" width="12.33"/>
    <col customWidth="1" min="5" max="5" width="13.44"/>
    <col customWidth="1" min="6" max="6" width="16.78"/>
    <col customWidth="1" min="7" max="7" width="36.78"/>
    <col customWidth="1" min="8" max="8" width="33.44"/>
    <col customWidth="1" min="9" max="9" width="29.0"/>
    <col customWidth="1" min="10" max="10" width="33.44"/>
  </cols>
  <sheetData>
    <row r="1">
      <c r="A1" s="173" t="s">
        <v>1518</v>
      </c>
      <c r="B1" s="173" t="s">
        <v>1523</v>
      </c>
      <c r="C1" s="173" t="s">
        <v>1525</v>
      </c>
      <c r="D1" s="173" t="s">
        <v>292</v>
      </c>
      <c r="E1" s="173" t="s">
        <v>1526</v>
      </c>
      <c r="F1" s="173" t="s">
        <v>1529</v>
      </c>
      <c r="G1" s="173" t="s">
        <v>1530</v>
      </c>
      <c r="H1" s="173" t="s">
        <v>1531</v>
      </c>
      <c r="I1" s="173" t="s">
        <v>1533</v>
      </c>
      <c r="J1" s="173" t="s">
        <v>1534</v>
      </c>
    </row>
    <row r="2">
      <c r="A2" s="174" t="s">
        <v>1535</v>
      </c>
      <c r="B2" s="174" t="s">
        <v>1548</v>
      </c>
      <c r="C2" s="174" t="s">
        <v>1552</v>
      </c>
      <c r="D2" s="174" t="s">
        <v>616</v>
      </c>
      <c r="E2" s="174" t="s">
        <v>1555</v>
      </c>
      <c r="F2" s="174" t="s">
        <v>1556</v>
      </c>
      <c r="G2" s="174" t="s">
        <v>1557</v>
      </c>
      <c r="H2" s="174" t="s">
        <v>1558</v>
      </c>
      <c r="I2" s="174" t="s">
        <v>1560</v>
      </c>
      <c r="J2" s="175" t="s">
        <v>1562</v>
      </c>
    </row>
    <row r="3">
      <c r="A3" s="174" t="s">
        <v>1535</v>
      </c>
      <c r="B3" s="174" t="s">
        <v>1567</v>
      </c>
      <c r="C3" s="174" t="s">
        <v>321</v>
      </c>
      <c r="D3" s="174" t="s">
        <v>616</v>
      </c>
      <c r="E3" s="174" t="s">
        <v>1555</v>
      </c>
      <c r="F3" s="174" t="s">
        <v>1556</v>
      </c>
      <c r="G3" s="174" t="s">
        <v>1568</v>
      </c>
      <c r="H3" s="176" t="s">
        <v>1569</v>
      </c>
      <c r="I3" s="177" t="s">
        <v>1571</v>
      </c>
      <c r="J3" s="178" t="s">
        <v>1574</v>
      </c>
    </row>
    <row r="4">
      <c r="A4" s="179" t="s">
        <v>1535</v>
      </c>
      <c r="B4" s="174" t="s">
        <v>1577</v>
      </c>
      <c r="C4" s="174" t="s">
        <v>1578</v>
      </c>
      <c r="D4" s="174" t="s">
        <v>1580</v>
      </c>
      <c r="E4" s="174" t="s">
        <v>1555</v>
      </c>
      <c r="F4" s="174" t="s">
        <v>1582</v>
      </c>
      <c r="G4" s="174" t="s">
        <v>1583</v>
      </c>
      <c r="H4" s="176" t="s">
        <v>1585</v>
      </c>
      <c r="I4" s="177" t="s">
        <v>1586</v>
      </c>
      <c r="J4" s="178" t="s">
        <v>1587</v>
      </c>
    </row>
    <row r="5">
      <c r="A5" s="179" t="s">
        <v>1589</v>
      </c>
      <c r="B5" s="180" t="s">
        <v>1591</v>
      </c>
      <c r="C5" s="174" t="s">
        <v>321</v>
      </c>
      <c r="D5" s="174" t="s">
        <v>306</v>
      </c>
      <c r="E5" s="174" t="s">
        <v>1555</v>
      </c>
      <c r="F5" s="174" t="s">
        <v>1582</v>
      </c>
      <c r="G5" s="174" t="s">
        <v>1595</v>
      </c>
      <c r="H5" s="176" t="s">
        <v>1597</v>
      </c>
      <c r="I5" s="177" t="s">
        <v>1598</v>
      </c>
      <c r="J5" s="178" t="s">
        <v>1599</v>
      </c>
    </row>
    <row r="6">
      <c r="A6" s="179" t="s">
        <v>1602</v>
      </c>
      <c r="B6" s="179" t="s">
        <v>1603</v>
      </c>
      <c r="C6" s="174" t="s">
        <v>321</v>
      </c>
      <c r="D6" s="174" t="s">
        <v>306</v>
      </c>
      <c r="E6" s="174" t="s">
        <v>1606</v>
      </c>
      <c r="F6" s="174" t="s">
        <v>1608</v>
      </c>
      <c r="G6" s="174" t="s">
        <v>1609</v>
      </c>
      <c r="H6" s="176" t="s">
        <v>1611</v>
      </c>
      <c r="I6" s="177" t="s">
        <v>1612</v>
      </c>
      <c r="J6" s="178" t="s">
        <v>1613</v>
      </c>
    </row>
    <row r="7">
      <c r="A7" s="179" t="s">
        <v>1616</v>
      </c>
      <c r="B7" s="179" t="s">
        <v>1617</v>
      </c>
      <c r="C7" s="174" t="s">
        <v>1618</v>
      </c>
      <c r="D7" s="174" t="s">
        <v>306</v>
      </c>
      <c r="E7" s="174" t="s">
        <v>1555</v>
      </c>
      <c r="F7" s="174" t="s">
        <v>1582</v>
      </c>
      <c r="G7" s="174" t="s">
        <v>1621</v>
      </c>
      <c r="H7" s="176" t="s">
        <v>1623</v>
      </c>
      <c r="I7" s="177" t="s">
        <v>1624</v>
      </c>
      <c r="J7" s="178" t="s">
        <v>1625</v>
      </c>
    </row>
    <row r="8">
      <c r="A8" s="179" t="s">
        <v>1627</v>
      </c>
      <c r="B8" s="179" t="s">
        <v>1628</v>
      </c>
      <c r="C8" s="174" t="s">
        <v>1630</v>
      </c>
      <c r="D8" s="174" t="s">
        <v>306</v>
      </c>
      <c r="E8" s="174" t="s">
        <v>1606</v>
      </c>
      <c r="F8" s="174" t="s">
        <v>1582</v>
      </c>
      <c r="G8" s="174" t="s">
        <v>1632</v>
      </c>
      <c r="H8" s="176" t="s">
        <v>1633</v>
      </c>
      <c r="I8" s="177" t="s">
        <v>1634</v>
      </c>
      <c r="J8" s="178" t="s">
        <v>1637</v>
      </c>
    </row>
    <row r="9">
      <c r="A9" s="179" t="s">
        <v>1639</v>
      </c>
      <c r="B9" s="179" t="s">
        <v>384</v>
      </c>
      <c r="C9" s="174" t="s">
        <v>1640</v>
      </c>
      <c r="D9" s="174" t="s">
        <v>1642</v>
      </c>
      <c r="E9" s="174" t="s">
        <v>1555</v>
      </c>
      <c r="F9" s="174" t="s">
        <v>1556</v>
      </c>
      <c r="G9" s="174" t="s">
        <v>1645</v>
      </c>
      <c r="H9" s="176" t="s">
        <v>1647</v>
      </c>
      <c r="I9" s="177" t="s">
        <v>1648</v>
      </c>
      <c r="J9" s="178" t="s">
        <v>1649</v>
      </c>
    </row>
    <row r="10">
      <c r="A10" s="179" t="s">
        <v>1639</v>
      </c>
      <c r="B10" s="179" t="s">
        <v>1652</v>
      </c>
      <c r="C10" s="174" t="s">
        <v>1630</v>
      </c>
      <c r="D10" s="174" t="s">
        <v>306</v>
      </c>
      <c r="E10" s="174" t="s">
        <v>1555</v>
      </c>
      <c r="F10" s="174" t="s">
        <v>1582</v>
      </c>
      <c r="G10" s="174" t="s">
        <v>1657</v>
      </c>
      <c r="H10" s="176" t="s">
        <v>1659</v>
      </c>
      <c r="I10" s="177" t="s">
        <v>1660</v>
      </c>
      <c r="J10" s="178" t="s">
        <v>1661</v>
      </c>
    </row>
    <row r="11">
      <c r="A11" s="179" t="s">
        <v>1663</v>
      </c>
      <c r="B11" s="179" t="s">
        <v>1664</v>
      </c>
      <c r="C11" s="174" t="s">
        <v>1630</v>
      </c>
      <c r="D11" s="174" t="s">
        <v>306</v>
      </c>
      <c r="E11" s="174" t="s">
        <v>1555</v>
      </c>
      <c r="F11" s="174" t="s">
        <v>1582</v>
      </c>
      <c r="G11" s="174" t="s">
        <v>1668</v>
      </c>
      <c r="H11" s="176" t="s">
        <v>1669</v>
      </c>
      <c r="I11" s="177" t="s">
        <v>1671</v>
      </c>
      <c r="J11" s="178" t="s">
        <v>1674</v>
      </c>
    </row>
    <row r="12">
      <c r="A12" s="180" t="s">
        <v>1675</v>
      </c>
      <c r="B12" s="180" t="s">
        <v>1677</v>
      </c>
      <c r="C12" s="174" t="s">
        <v>1630</v>
      </c>
      <c r="D12" s="174" t="s">
        <v>306</v>
      </c>
      <c r="E12" s="174" t="s">
        <v>1606</v>
      </c>
      <c r="F12" s="174" t="s">
        <v>1582</v>
      </c>
      <c r="G12" s="174" t="s">
        <v>1678</v>
      </c>
      <c r="H12" s="176" t="s">
        <v>1679</v>
      </c>
      <c r="I12" s="177" t="s">
        <v>1681</v>
      </c>
      <c r="J12" s="178" t="s">
        <v>1682</v>
      </c>
    </row>
    <row r="13">
      <c r="A13" s="180" t="s">
        <v>1639</v>
      </c>
      <c r="B13" s="180" t="s">
        <v>1685</v>
      </c>
      <c r="C13" s="174" t="s">
        <v>1686</v>
      </c>
      <c r="D13" s="174" t="s">
        <v>306</v>
      </c>
      <c r="E13" s="174" t="s">
        <v>1606</v>
      </c>
      <c r="F13" s="174" t="s">
        <v>1689</v>
      </c>
      <c r="G13" s="174" t="s">
        <v>1690</v>
      </c>
      <c r="H13" s="176" t="s">
        <v>1693</v>
      </c>
      <c r="I13" s="177" t="s">
        <v>1695</v>
      </c>
      <c r="J13" s="178" t="s">
        <v>1696</v>
      </c>
    </row>
    <row r="14">
      <c r="A14" s="180" t="s">
        <v>1675</v>
      </c>
      <c r="B14" s="180" t="s">
        <v>1698</v>
      </c>
      <c r="C14" s="174" t="s">
        <v>1699</v>
      </c>
      <c r="D14" s="174" t="s">
        <v>306</v>
      </c>
      <c r="E14" s="174" t="s">
        <v>1606</v>
      </c>
      <c r="F14" s="174" t="s">
        <v>1689</v>
      </c>
      <c r="G14" s="174" t="s">
        <v>1704</v>
      </c>
      <c r="H14" s="176" t="s">
        <v>1706</v>
      </c>
      <c r="I14" s="177" t="s">
        <v>1707</v>
      </c>
      <c r="J14" s="178" t="s">
        <v>1708</v>
      </c>
    </row>
    <row r="15">
      <c r="A15" s="180" t="s">
        <v>1711</v>
      </c>
      <c r="B15" s="180" t="s">
        <v>1712</v>
      </c>
      <c r="C15" s="174" t="s">
        <v>1713</v>
      </c>
      <c r="D15" s="174" t="s">
        <v>306</v>
      </c>
      <c r="E15" s="174" t="s">
        <v>1715</v>
      </c>
      <c r="F15" s="174" t="s">
        <v>1608</v>
      </c>
      <c r="G15" s="174" t="s">
        <v>1716</v>
      </c>
      <c r="H15" s="176" t="s">
        <v>1719</v>
      </c>
      <c r="I15" s="177" t="s">
        <v>1720</v>
      </c>
      <c r="J15" s="178" t="s">
        <v>1721</v>
      </c>
    </row>
    <row r="16">
      <c r="A16" s="180" t="s">
        <v>1723</v>
      </c>
      <c r="B16" s="180" t="s">
        <v>1724</v>
      </c>
      <c r="C16" s="174" t="s">
        <v>1725</v>
      </c>
      <c r="D16" s="174" t="s">
        <v>306</v>
      </c>
      <c r="E16" s="174" t="s">
        <v>1715</v>
      </c>
      <c r="F16" s="174" t="s">
        <v>1728</v>
      </c>
      <c r="G16" s="174" t="s">
        <v>1729</v>
      </c>
      <c r="H16" s="176" t="s">
        <v>1731</v>
      </c>
      <c r="I16" s="177" t="s">
        <v>1732</v>
      </c>
      <c r="J16" s="178" t="s">
        <v>1735</v>
      </c>
    </row>
    <row r="17">
      <c r="A17" s="180" t="s">
        <v>1738</v>
      </c>
      <c r="B17" s="180" t="s">
        <v>1739</v>
      </c>
      <c r="C17" s="174" t="s">
        <v>303</v>
      </c>
      <c r="D17" s="174" t="s">
        <v>616</v>
      </c>
      <c r="E17" s="174" t="s">
        <v>1555</v>
      </c>
      <c r="F17" s="174" t="s">
        <v>1556</v>
      </c>
      <c r="G17" s="174" t="s">
        <v>1742</v>
      </c>
      <c r="H17" s="176" t="s">
        <v>1744</v>
      </c>
      <c r="I17" s="177" t="s">
        <v>1746</v>
      </c>
      <c r="J17" s="178" t="s">
        <v>1747</v>
      </c>
    </row>
    <row r="18">
      <c r="A18" s="180" t="s">
        <v>1738</v>
      </c>
      <c r="B18" s="180" t="s">
        <v>1749</v>
      </c>
      <c r="C18" s="174" t="s">
        <v>576</v>
      </c>
      <c r="D18" s="174" t="s">
        <v>306</v>
      </c>
      <c r="E18" s="174" t="s">
        <v>1555</v>
      </c>
      <c r="F18" s="174" t="s">
        <v>1582</v>
      </c>
      <c r="G18" s="174" t="s">
        <v>1755</v>
      </c>
      <c r="H18" s="176" t="s">
        <v>1756</v>
      </c>
      <c r="I18" s="177" t="s">
        <v>1758</v>
      </c>
      <c r="J18" s="178" t="s">
        <v>1759</v>
      </c>
    </row>
    <row r="19">
      <c r="A19" s="180" t="s">
        <v>1760</v>
      </c>
      <c r="B19" s="180" t="s">
        <v>1762</v>
      </c>
      <c r="C19" s="174" t="s">
        <v>576</v>
      </c>
      <c r="D19" s="174" t="s">
        <v>306</v>
      </c>
      <c r="E19" s="174" t="s">
        <v>1555</v>
      </c>
      <c r="F19" s="174" t="s">
        <v>1582</v>
      </c>
      <c r="G19" s="174" t="s">
        <v>1765</v>
      </c>
      <c r="H19" s="176" t="s">
        <v>1766</v>
      </c>
      <c r="I19" s="177" t="s">
        <v>1768</v>
      </c>
      <c r="J19" s="178" t="s">
        <v>1770</v>
      </c>
    </row>
    <row r="20">
      <c r="A20" s="180" t="s">
        <v>1738</v>
      </c>
      <c r="B20" s="180" t="s">
        <v>1772</v>
      </c>
      <c r="C20" s="174" t="s">
        <v>576</v>
      </c>
      <c r="D20" s="174" t="s">
        <v>306</v>
      </c>
      <c r="E20" s="174" t="s">
        <v>1606</v>
      </c>
      <c r="F20" s="174" t="s">
        <v>1689</v>
      </c>
      <c r="G20" s="174" t="s">
        <v>1774</v>
      </c>
      <c r="H20" s="176" t="s">
        <v>1775</v>
      </c>
      <c r="I20" s="177" t="s">
        <v>1777</v>
      </c>
      <c r="J20" s="178" t="s">
        <v>1779</v>
      </c>
    </row>
    <row r="21">
      <c r="A21" s="180" t="s">
        <v>1738</v>
      </c>
      <c r="B21" s="180" t="s">
        <v>1784</v>
      </c>
      <c r="C21" s="174" t="s">
        <v>576</v>
      </c>
      <c r="D21" s="174" t="s">
        <v>306</v>
      </c>
      <c r="E21" s="174" t="s">
        <v>1606</v>
      </c>
      <c r="F21" s="174" t="s">
        <v>1689</v>
      </c>
      <c r="G21" s="174" t="s">
        <v>1788</v>
      </c>
      <c r="H21" s="176" t="s">
        <v>1789</v>
      </c>
      <c r="I21" s="177" t="s">
        <v>1790</v>
      </c>
      <c r="J21" s="178" t="s">
        <v>1792</v>
      </c>
    </row>
    <row r="22">
      <c r="A22" s="180" t="s">
        <v>1738</v>
      </c>
      <c r="B22" s="180" t="s">
        <v>1793</v>
      </c>
      <c r="C22" s="174" t="s">
        <v>321</v>
      </c>
      <c r="D22" s="174" t="s">
        <v>306</v>
      </c>
      <c r="E22" s="174" t="s">
        <v>1555</v>
      </c>
      <c r="F22" s="174" t="s">
        <v>1582</v>
      </c>
      <c r="G22" s="174" t="s">
        <v>1794</v>
      </c>
      <c r="H22" s="176" t="s">
        <v>1795</v>
      </c>
      <c r="I22" s="177" t="s">
        <v>1797</v>
      </c>
      <c r="J22" s="178" t="s">
        <v>1799</v>
      </c>
    </row>
    <row r="23">
      <c r="A23" s="180" t="s">
        <v>1738</v>
      </c>
      <c r="B23" s="180" t="s">
        <v>1800</v>
      </c>
      <c r="C23" s="174" t="s">
        <v>321</v>
      </c>
      <c r="D23" s="174" t="s">
        <v>306</v>
      </c>
      <c r="E23" s="174" t="s">
        <v>1802</v>
      </c>
      <c r="F23" s="174" t="s">
        <v>1582</v>
      </c>
      <c r="G23" s="174" t="s">
        <v>1804</v>
      </c>
      <c r="H23" s="176" t="s">
        <v>1806</v>
      </c>
      <c r="I23" s="177" t="s">
        <v>1807</v>
      </c>
      <c r="J23" s="178" t="s">
        <v>1808</v>
      </c>
    </row>
    <row r="24">
      <c r="A24" s="180" t="s">
        <v>1811</v>
      </c>
      <c r="B24" s="180" t="s">
        <v>1813</v>
      </c>
      <c r="C24" s="174" t="s">
        <v>321</v>
      </c>
      <c r="D24" s="174" t="s">
        <v>306</v>
      </c>
      <c r="E24" s="174" t="s">
        <v>1606</v>
      </c>
      <c r="F24" s="174" t="s">
        <v>1689</v>
      </c>
      <c r="G24" s="174" t="s">
        <v>1817</v>
      </c>
      <c r="H24" s="176" t="s">
        <v>1818</v>
      </c>
      <c r="I24" s="177" t="s">
        <v>1819</v>
      </c>
      <c r="J24" s="178" t="s">
        <v>1820</v>
      </c>
    </row>
    <row r="25">
      <c r="A25" s="180" t="s">
        <v>1821</v>
      </c>
      <c r="B25" s="180" t="s">
        <v>1822</v>
      </c>
      <c r="C25" s="174" t="s">
        <v>315</v>
      </c>
      <c r="D25" s="174" t="s">
        <v>306</v>
      </c>
      <c r="E25" s="174" t="s">
        <v>1606</v>
      </c>
      <c r="F25" s="174" t="s">
        <v>1689</v>
      </c>
      <c r="G25" s="174" t="s">
        <v>1825</v>
      </c>
      <c r="H25" s="176" t="s">
        <v>1827</v>
      </c>
      <c r="I25" s="177" t="s">
        <v>1828</v>
      </c>
      <c r="J25" s="178" t="s">
        <v>1829</v>
      </c>
    </row>
    <row r="26">
      <c r="A26" s="180" t="s">
        <v>1831</v>
      </c>
      <c r="B26" s="180" t="s">
        <v>1832</v>
      </c>
      <c r="C26" s="174" t="s">
        <v>315</v>
      </c>
      <c r="D26" s="174" t="s">
        <v>616</v>
      </c>
      <c r="E26" s="174" t="s">
        <v>1802</v>
      </c>
      <c r="F26" s="174" t="s">
        <v>1834</v>
      </c>
      <c r="G26" s="174" t="s">
        <v>1835</v>
      </c>
      <c r="H26" s="176" t="s">
        <v>1837</v>
      </c>
      <c r="I26" s="177" t="s">
        <v>1838</v>
      </c>
      <c r="J26" s="178" t="s">
        <v>1839</v>
      </c>
    </row>
    <row r="27">
      <c r="A27" s="180" t="s">
        <v>1841</v>
      </c>
      <c r="B27" s="180" t="s">
        <v>1843</v>
      </c>
      <c r="C27" s="174" t="s">
        <v>315</v>
      </c>
      <c r="D27" s="174" t="s">
        <v>616</v>
      </c>
      <c r="E27" s="174" t="s">
        <v>1606</v>
      </c>
      <c r="F27" s="174" t="s">
        <v>1608</v>
      </c>
      <c r="G27" s="174" t="s">
        <v>1845</v>
      </c>
      <c r="H27" s="176" t="s">
        <v>1847</v>
      </c>
      <c r="I27" s="177" t="s">
        <v>1850</v>
      </c>
      <c r="J27" s="178" t="s">
        <v>1851</v>
      </c>
    </row>
    <row r="28">
      <c r="A28" s="179" t="s">
        <v>1852</v>
      </c>
      <c r="B28" s="174" t="s">
        <v>1854</v>
      </c>
      <c r="C28" s="174" t="s">
        <v>1855</v>
      </c>
      <c r="D28" s="174" t="s">
        <v>306</v>
      </c>
      <c r="E28" s="174" t="s">
        <v>1606</v>
      </c>
      <c r="F28" s="174" t="s">
        <v>1689</v>
      </c>
      <c r="G28" s="174" t="s">
        <v>1858</v>
      </c>
      <c r="H28" s="176" t="s">
        <v>1859</v>
      </c>
      <c r="I28" s="177" t="s">
        <v>1860</v>
      </c>
      <c r="J28" s="178" t="s">
        <v>1861</v>
      </c>
    </row>
    <row r="29">
      <c r="A29" s="179" t="s">
        <v>1863</v>
      </c>
      <c r="B29" s="180" t="s">
        <v>614</v>
      </c>
      <c r="C29" s="174" t="s">
        <v>1865</v>
      </c>
      <c r="D29" s="174" t="s">
        <v>616</v>
      </c>
      <c r="E29" s="174" t="s">
        <v>1715</v>
      </c>
      <c r="F29" s="174" t="s">
        <v>1867</v>
      </c>
      <c r="G29" s="174" t="s">
        <v>1868</v>
      </c>
      <c r="H29" s="176" t="s">
        <v>1869</v>
      </c>
      <c r="I29" s="177" t="s">
        <v>1870</v>
      </c>
      <c r="J29" s="178" t="s">
        <v>1871</v>
      </c>
    </row>
    <row r="30">
      <c r="A30" s="184" t="s">
        <v>1863</v>
      </c>
      <c r="B30" s="179" t="s">
        <v>375</v>
      </c>
      <c r="C30" s="174" t="s">
        <v>321</v>
      </c>
      <c r="D30" s="174" t="s">
        <v>616</v>
      </c>
      <c r="E30" s="174" t="s">
        <v>1715</v>
      </c>
      <c r="F30" s="174" t="s">
        <v>1867</v>
      </c>
      <c r="G30" s="174" t="s">
        <v>1878</v>
      </c>
      <c r="H30" s="176" t="s">
        <v>1879</v>
      </c>
      <c r="I30" s="177" t="s">
        <v>1880</v>
      </c>
      <c r="J30" s="178" t="s">
        <v>1881</v>
      </c>
    </row>
    <row r="31">
      <c r="A31" s="184" t="s">
        <v>1863</v>
      </c>
      <c r="B31" s="179" t="s">
        <v>1882</v>
      </c>
      <c r="C31" s="174" t="s">
        <v>321</v>
      </c>
      <c r="D31" s="174" t="s">
        <v>616</v>
      </c>
      <c r="E31" s="174" t="s">
        <v>1715</v>
      </c>
      <c r="F31" s="174" t="s">
        <v>1867</v>
      </c>
      <c r="G31" s="174" t="s">
        <v>1883</v>
      </c>
      <c r="H31" s="176" t="s">
        <v>1884</v>
      </c>
      <c r="I31" s="177" t="s">
        <v>1886</v>
      </c>
      <c r="J31" s="178" t="s">
        <v>1888</v>
      </c>
    </row>
    <row r="32">
      <c r="A32" s="184" t="s">
        <v>1863</v>
      </c>
      <c r="B32" s="179" t="s">
        <v>626</v>
      </c>
      <c r="C32" s="174" t="s">
        <v>311</v>
      </c>
      <c r="D32" s="174" t="s">
        <v>616</v>
      </c>
      <c r="E32" s="174" t="s">
        <v>1715</v>
      </c>
      <c r="F32" s="174" t="s">
        <v>1867</v>
      </c>
      <c r="G32" s="174" t="s">
        <v>1891</v>
      </c>
      <c r="H32" s="176" t="s">
        <v>1892</v>
      </c>
      <c r="I32" s="177" t="s">
        <v>1894</v>
      </c>
      <c r="J32" s="178" t="s">
        <v>1896</v>
      </c>
    </row>
    <row r="33">
      <c r="A33" s="184" t="s">
        <v>1863</v>
      </c>
      <c r="B33" s="179" t="s">
        <v>1898</v>
      </c>
      <c r="C33" s="174" t="s">
        <v>315</v>
      </c>
      <c r="D33" s="174" t="s">
        <v>616</v>
      </c>
      <c r="E33" s="174" t="s">
        <v>1900</v>
      </c>
      <c r="F33" s="174" t="s">
        <v>1901</v>
      </c>
      <c r="G33" s="174" t="s">
        <v>1903</v>
      </c>
      <c r="H33" s="176" t="s">
        <v>1905</v>
      </c>
      <c r="I33" s="177" t="s">
        <v>1906</v>
      </c>
      <c r="J33" s="178" t="s">
        <v>1908</v>
      </c>
    </row>
    <row r="34">
      <c r="A34" s="184"/>
      <c r="B34" s="179"/>
      <c r="C34" s="185"/>
      <c r="D34" s="185"/>
      <c r="E34" s="185"/>
      <c r="F34" s="185"/>
      <c r="G34" s="185"/>
      <c r="H34" s="187"/>
      <c r="I34" s="188"/>
      <c r="J34" s="190"/>
    </row>
    <row r="35">
      <c r="A35" s="184"/>
      <c r="B35" s="180"/>
      <c r="C35" s="185"/>
      <c r="D35" s="185"/>
      <c r="E35" s="185"/>
      <c r="F35" s="185"/>
      <c r="G35" s="185"/>
      <c r="H35" s="187"/>
      <c r="I35" s="188"/>
      <c r="J35" s="190"/>
    </row>
    <row r="36">
      <c r="A36" s="179"/>
      <c r="B36" s="191"/>
      <c r="C36" s="185"/>
      <c r="D36" s="185"/>
      <c r="E36" s="185"/>
      <c r="F36" s="185"/>
      <c r="G36" s="185"/>
      <c r="H36" s="187"/>
      <c r="I36" s="188"/>
      <c r="J36" s="190"/>
    </row>
    <row r="37">
      <c r="A37" s="184"/>
      <c r="B37" s="191"/>
      <c r="C37" s="185"/>
      <c r="D37" s="185"/>
      <c r="E37" s="185"/>
      <c r="F37" s="185"/>
      <c r="G37" s="185"/>
      <c r="H37" s="187"/>
      <c r="I37" s="188"/>
      <c r="J37" s="190"/>
    </row>
    <row r="38">
      <c r="A38" s="184"/>
      <c r="B38" s="180"/>
      <c r="C38" s="185"/>
      <c r="D38" s="185"/>
      <c r="E38" s="185"/>
      <c r="F38" s="185"/>
      <c r="G38" s="185"/>
      <c r="H38" s="187"/>
      <c r="I38" s="188"/>
      <c r="J38" s="190"/>
    </row>
    <row r="39">
      <c r="A39" s="184"/>
      <c r="B39" s="180"/>
      <c r="C39" s="185"/>
      <c r="D39" s="185"/>
      <c r="E39" s="185"/>
      <c r="F39" s="185"/>
      <c r="G39" s="185"/>
      <c r="H39" s="187"/>
      <c r="I39" s="188"/>
      <c r="J39" s="190"/>
    </row>
    <row r="40">
      <c r="A40" s="184"/>
      <c r="B40" s="191"/>
      <c r="C40" s="185"/>
      <c r="D40" s="185"/>
      <c r="E40" s="185"/>
      <c r="F40" s="185"/>
      <c r="G40" s="185"/>
      <c r="H40" s="187"/>
      <c r="I40" s="188"/>
      <c r="J40" s="190"/>
    </row>
    <row r="41">
      <c r="A41" s="184"/>
      <c r="B41" s="191"/>
      <c r="C41" s="185"/>
      <c r="D41" s="185"/>
      <c r="E41" s="185"/>
      <c r="F41" s="185"/>
      <c r="G41" s="185"/>
      <c r="H41" s="187"/>
      <c r="I41" s="188"/>
      <c r="J41" s="190"/>
    </row>
    <row r="42">
      <c r="A42" s="184"/>
      <c r="B42" s="180"/>
      <c r="C42" s="185"/>
      <c r="D42" s="185"/>
      <c r="E42" s="185"/>
      <c r="F42" s="185"/>
      <c r="G42" s="185"/>
      <c r="H42" s="187"/>
      <c r="I42" s="188"/>
      <c r="J42" s="190"/>
    </row>
    <row r="43">
      <c r="A43" s="184"/>
      <c r="B43" s="191"/>
      <c r="C43" s="185"/>
      <c r="D43" s="185"/>
      <c r="E43" s="185"/>
      <c r="F43" s="185"/>
      <c r="G43" s="185"/>
      <c r="H43" s="187"/>
      <c r="I43" s="188"/>
      <c r="J43" s="188"/>
    </row>
    <row r="44">
      <c r="A44" s="184"/>
      <c r="B44" s="191"/>
      <c r="C44" s="185"/>
      <c r="D44" s="185"/>
      <c r="E44" s="185"/>
      <c r="F44" s="185"/>
      <c r="G44" s="185"/>
      <c r="H44" s="187"/>
      <c r="I44" s="188"/>
      <c r="J44" s="188"/>
    </row>
    <row r="45">
      <c r="A45" s="184"/>
      <c r="B45" s="180"/>
      <c r="C45" s="185"/>
      <c r="D45" s="185"/>
      <c r="E45" s="185"/>
      <c r="F45" s="185"/>
      <c r="G45" s="185"/>
      <c r="H45" s="187"/>
      <c r="I45" s="188"/>
      <c r="J45" s="188"/>
    </row>
    <row r="46">
      <c r="A46" s="184"/>
      <c r="B46" s="191"/>
      <c r="C46" s="185"/>
      <c r="D46" s="185"/>
      <c r="E46" s="185"/>
      <c r="F46" s="185"/>
      <c r="G46" s="185"/>
      <c r="H46" s="187"/>
      <c r="I46" s="188"/>
      <c r="J46" s="188"/>
    </row>
    <row r="47">
      <c r="A47" s="184"/>
      <c r="B47" s="191"/>
      <c r="C47" s="185"/>
      <c r="D47" s="185"/>
      <c r="E47" s="185"/>
      <c r="F47" s="185"/>
      <c r="G47" s="185"/>
      <c r="H47" s="187"/>
      <c r="I47" s="188"/>
      <c r="J47" s="188"/>
    </row>
    <row r="48">
      <c r="A48" s="184"/>
      <c r="B48" s="180"/>
      <c r="C48" s="185"/>
      <c r="D48" s="185"/>
      <c r="E48" s="185"/>
      <c r="F48" s="185"/>
      <c r="G48" s="185"/>
      <c r="H48" s="187"/>
      <c r="I48" s="188"/>
      <c r="J48" s="188"/>
    </row>
    <row r="49">
      <c r="A49" s="184"/>
      <c r="B49" s="191"/>
      <c r="C49" s="185"/>
      <c r="D49" s="185"/>
      <c r="E49" s="185"/>
      <c r="F49" s="185"/>
      <c r="G49" s="185"/>
      <c r="H49" s="187"/>
      <c r="I49" s="188"/>
      <c r="J49" s="188"/>
    </row>
    <row r="50">
      <c r="A50" s="184"/>
      <c r="B50" s="191"/>
      <c r="C50" s="185"/>
      <c r="D50" s="185"/>
      <c r="E50" s="185"/>
      <c r="F50" s="185"/>
      <c r="G50" s="185"/>
      <c r="H50" s="187"/>
      <c r="I50" s="188"/>
      <c r="J50" s="188"/>
    </row>
    <row r="51">
      <c r="A51" s="184"/>
      <c r="B51" s="180"/>
      <c r="C51" s="185"/>
      <c r="D51" s="185"/>
      <c r="E51" s="185"/>
      <c r="F51" s="185"/>
      <c r="G51" s="185"/>
      <c r="H51" s="187"/>
      <c r="I51" s="188"/>
      <c r="J51" s="188"/>
    </row>
    <row r="52">
      <c r="A52" s="184"/>
      <c r="B52" s="191"/>
      <c r="C52" s="185"/>
      <c r="D52" s="185"/>
      <c r="E52" s="185"/>
      <c r="F52" s="185"/>
      <c r="G52" s="185"/>
      <c r="H52" s="187"/>
      <c r="I52" s="188"/>
      <c r="J52" s="188"/>
    </row>
    <row r="53">
      <c r="A53" s="180"/>
      <c r="B53" s="191"/>
      <c r="C53" s="185"/>
      <c r="D53" s="185"/>
      <c r="E53" s="185"/>
      <c r="F53" s="185"/>
      <c r="G53" s="185"/>
      <c r="H53" s="187"/>
      <c r="I53" s="188"/>
      <c r="J53" s="188"/>
    </row>
    <row r="54">
      <c r="A54" s="179"/>
      <c r="B54" s="180"/>
      <c r="C54" s="185"/>
      <c r="D54" s="185"/>
      <c r="E54" s="185"/>
      <c r="F54" s="185"/>
      <c r="G54" s="185"/>
      <c r="H54" s="187"/>
      <c r="I54" s="188"/>
      <c r="J54" s="188"/>
    </row>
    <row r="55">
      <c r="A55" s="184"/>
      <c r="B55" s="191"/>
      <c r="C55" s="185"/>
      <c r="D55" s="185"/>
      <c r="E55" s="185"/>
      <c r="F55" s="185"/>
      <c r="G55" s="185"/>
      <c r="H55" s="187"/>
      <c r="I55" s="188"/>
      <c r="J55" s="188"/>
    </row>
    <row r="56">
      <c r="A56" s="184"/>
      <c r="B56" s="191"/>
      <c r="C56" s="185"/>
      <c r="D56" s="185"/>
      <c r="E56" s="185"/>
      <c r="F56" s="185"/>
      <c r="G56" s="185"/>
      <c r="H56" s="187"/>
      <c r="I56" s="188"/>
      <c r="J56" s="188"/>
    </row>
    <row r="57">
      <c r="A57" s="184"/>
      <c r="B57" s="180"/>
      <c r="C57" s="185"/>
      <c r="D57" s="185"/>
      <c r="E57" s="185"/>
      <c r="F57" s="185"/>
      <c r="G57" s="185"/>
      <c r="H57" s="187"/>
      <c r="I57" s="188"/>
      <c r="J57" s="188"/>
    </row>
    <row r="58">
      <c r="A58" s="191"/>
      <c r="B58" s="191"/>
      <c r="C58" s="185"/>
      <c r="D58" s="185"/>
      <c r="E58" s="185"/>
      <c r="F58" s="185"/>
      <c r="G58" s="185"/>
      <c r="H58" s="187"/>
      <c r="I58" s="188"/>
      <c r="J58" s="188"/>
    </row>
    <row r="59">
      <c r="A59" s="180"/>
      <c r="B59" s="191"/>
      <c r="C59" s="185"/>
      <c r="D59" s="185"/>
      <c r="E59" s="185"/>
      <c r="F59" s="185"/>
      <c r="G59" s="185"/>
      <c r="H59" s="187"/>
      <c r="I59" s="188"/>
      <c r="J59" s="188"/>
    </row>
    <row r="60">
      <c r="A60" s="179"/>
      <c r="B60" s="180"/>
      <c r="C60" s="185"/>
      <c r="D60" s="185"/>
      <c r="E60" s="185"/>
      <c r="F60" s="185"/>
      <c r="G60" s="185"/>
      <c r="H60" s="187"/>
      <c r="I60" s="188"/>
      <c r="J60" s="188"/>
    </row>
    <row r="61">
      <c r="A61" s="184"/>
      <c r="B61" s="191"/>
      <c r="C61" s="185"/>
      <c r="D61" s="185"/>
      <c r="E61" s="185"/>
      <c r="F61" s="185"/>
      <c r="G61" s="185"/>
      <c r="H61" s="187"/>
      <c r="I61" s="188"/>
      <c r="J61" s="188"/>
    </row>
    <row r="62">
      <c r="A62" s="184"/>
      <c r="B62" s="191"/>
      <c r="C62" s="185"/>
      <c r="D62" s="185"/>
      <c r="E62" s="185"/>
      <c r="F62" s="185"/>
      <c r="G62" s="185"/>
      <c r="H62" s="187"/>
      <c r="I62" s="188"/>
      <c r="J62" s="188"/>
    </row>
    <row r="63">
      <c r="A63" s="184"/>
      <c r="B63" s="180"/>
      <c r="C63" s="185"/>
      <c r="D63" s="185"/>
      <c r="E63" s="185"/>
      <c r="F63" s="185"/>
      <c r="G63" s="185"/>
      <c r="H63" s="187"/>
      <c r="I63" s="188"/>
      <c r="J63" s="188"/>
    </row>
    <row r="64">
      <c r="A64" s="184"/>
      <c r="B64" s="191"/>
      <c r="C64" s="185"/>
      <c r="D64" s="185"/>
      <c r="E64" s="185"/>
      <c r="F64" s="185"/>
      <c r="G64" s="185"/>
      <c r="H64" s="187"/>
      <c r="I64" s="188"/>
      <c r="J64" s="188"/>
    </row>
    <row r="65">
      <c r="A65" s="184"/>
      <c r="B65" s="191"/>
      <c r="C65" s="185"/>
      <c r="D65" s="185"/>
      <c r="E65" s="185"/>
      <c r="F65" s="185"/>
      <c r="G65" s="185"/>
      <c r="H65" s="187"/>
      <c r="I65" s="188"/>
      <c r="J65" s="188"/>
    </row>
    <row r="66">
      <c r="A66" s="184"/>
      <c r="B66" s="180"/>
      <c r="C66" s="185"/>
      <c r="D66" s="185"/>
      <c r="E66" s="185"/>
      <c r="F66" s="185"/>
      <c r="G66" s="185"/>
      <c r="H66" s="187"/>
      <c r="I66" s="188"/>
      <c r="J66" s="188"/>
    </row>
    <row r="67">
      <c r="A67" s="184"/>
      <c r="B67" s="180"/>
      <c r="C67" s="185"/>
      <c r="D67" s="185"/>
      <c r="E67" s="185"/>
      <c r="F67" s="185"/>
      <c r="G67" s="185"/>
      <c r="H67" s="187"/>
      <c r="I67" s="188"/>
      <c r="J67" s="188"/>
    </row>
    <row r="68">
      <c r="A68" s="184"/>
      <c r="B68" s="180"/>
      <c r="C68" s="185"/>
      <c r="D68" s="185"/>
      <c r="E68" s="185"/>
      <c r="F68" s="185"/>
      <c r="G68" s="185"/>
      <c r="H68" s="187"/>
      <c r="I68" s="188"/>
      <c r="J68" s="188"/>
    </row>
    <row r="69">
      <c r="A69" s="184"/>
      <c r="B69" s="180"/>
      <c r="C69" s="185"/>
      <c r="D69" s="185"/>
      <c r="E69" s="185"/>
      <c r="F69" s="185"/>
      <c r="G69" s="185"/>
      <c r="H69" s="187"/>
      <c r="I69" s="188"/>
      <c r="J69" s="188"/>
    </row>
    <row r="70">
      <c r="A70" s="184"/>
      <c r="B70" s="191"/>
      <c r="C70" s="185"/>
      <c r="D70" s="185"/>
      <c r="E70" s="185"/>
      <c r="F70" s="185"/>
      <c r="G70" s="185"/>
      <c r="H70" s="187"/>
      <c r="I70" s="188"/>
      <c r="J70" s="188"/>
    </row>
    <row r="71">
      <c r="A71" s="184"/>
      <c r="B71" s="191"/>
      <c r="C71" s="185"/>
      <c r="D71" s="185"/>
      <c r="E71" s="185"/>
      <c r="F71" s="185"/>
      <c r="G71" s="185"/>
      <c r="H71" s="187"/>
      <c r="I71" s="188"/>
      <c r="J71" s="188"/>
    </row>
    <row r="72">
      <c r="A72" s="184"/>
      <c r="B72" s="180"/>
      <c r="C72" s="185"/>
      <c r="D72" s="185"/>
      <c r="E72" s="185"/>
      <c r="F72" s="185"/>
      <c r="G72" s="185"/>
      <c r="H72" s="187"/>
      <c r="I72" s="188"/>
      <c r="J72" s="188"/>
    </row>
    <row r="73">
      <c r="A73" s="184"/>
      <c r="B73" s="191"/>
      <c r="C73" s="185"/>
      <c r="D73" s="185"/>
      <c r="E73" s="185"/>
      <c r="F73" s="185"/>
      <c r="G73" s="185"/>
      <c r="H73" s="187"/>
      <c r="I73" s="188"/>
      <c r="J73" s="188"/>
    </row>
    <row r="74">
      <c r="A74" s="179"/>
      <c r="B74" s="191"/>
      <c r="C74" s="185"/>
      <c r="D74" s="185"/>
      <c r="E74" s="185"/>
      <c r="F74" s="185"/>
      <c r="G74" s="185"/>
      <c r="H74" s="187"/>
      <c r="I74" s="188"/>
      <c r="J74" s="188"/>
    </row>
    <row r="75">
      <c r="A75" s="184"/>
      <c r="B75" s="180"/>
      <c r="C75" s="185"/>
      <c r="D75" s="185"/>
      <c r="E75" s="185"/>
      <c r="F75" s="185"/>
      <c r="G75" s="185"/>
      <c r="H75" s="187"/>
      <c r="I75" s="188"/>
      <c r="J75" s="188"/>
    </row>
    <row r="76">
      <c r="A76" s="180"/>
      <c r="B76" s="180"/>
      <c r="C76" s="185"/>
      <c r="D76" s="185"/>
      <c r="E76" s="185"/>
      <c r="F76" s="185"/>
      <c r="G76" s="185"/>
      <c r="H76" s="187"/>
      <c r="I76" s="188"/>
      <c r="J76" s="188"/>
    </row>
    <row r="77">
      <c r="A77" s="179"/>
      <c r="B77" s="180"/>
      <c r="C77" s="185"/>
      <c r="D77" s="185"/>
      <c r="E77" s="185"/>
      <c r="F77" s="185"/>
      <c r="G77" s="185"/>
      <c r="H77" s="187"/>
      <c r="I77" s="188"/>
      <c r="J77" s="188"/>
    </row>
    <row r="78">
      <c r="A78" s="184"/>
      <c r="B78" s="180"/>
      <c r="C78" s="185"/>
      <c r="D78" s="185"/>
      <c r="E78" s="185"/>
      <c r="F78" s="185"/>
      <c r="G78" s="185"/>
      <c r="H78" s="187"/>
      <c r="I78" s="188"/>
      <c r="J78" s="188"/>
    </row>
    <row r="79">
      <c r="A79" s="180"/>
      <c r="B79" s="180"/>
      <c r="C79" s="185"/>
      <c r="D79" s="185"/>
      <c r="E79" s="185"/>
      <c r="F79" s="185"/>
      <c r="G79" s="185"/>
      <c r="H79" s="187"/>
      <c r="I79" s="188"/>
      <c r="J79" s="188"/>
    </row>
    <row r="80">
      <c r="A80" s="179"/>
      <c r="B80" s="180"/>
      <c r="C80" s="185"/>
      <c r="D80" s="185"/>
      <c r="E80" s="185"/>
      <c r="F80" s="185"/>
      <c r="G80" s="185"/>
      <c r="H80" s="187"/>
      <c r="I80" s="188"/>
      <c r="J80" s="188"/>
    </row>
    <row r="81">
      <c r="A81" s="184"/>
      <c r="B81" s="180"/>
      <c r="C81" s="185"/>
      <c r="D81" s="185"/>
      <c r="E81" s="185"/>
      <c r="F81" s="185"/>
      <c r="G81" s="185"/>
      <c r="H81" s="187"/>
      <c r="I81" s="188"/>
      <c r="J81" s="188"/>
    </row>
    <row r="82">
      <c r="A82" s="191"/>
      <c r="B82" s="191"/>
      <c r="C82" s="185"/>
      <c r="D82" s="185"/>
      <c r="E82" s="185"/>
      <c r="F82" s="185"/>
      <c r="G82" s="185"/>
      <c r="H82" s="187"/>
      <c r="I82" s="188"/>
      <c r="J82" s="188"/>
    </row>
    <row r="83">
      <c r="A83" s="185"/>
      <c r="B83" s="191"/>
      <c r="C83" s="185"/>
      <c r="D83" s="185"/>
      <c r="E83" s="185"/>
      <c r="F83" s="185"/>
      <c r="G83" s="185"/>
      <c r="H83" s="187"/>
      <c r="I83" s="188"/>
      <c r="J83" s="188"/>
    </row>
    <row r="84">
      <c r="A84" s="185"/>
      <c r="B84" s="191"/>
      <c r="C84" s="185"/>
      <c r="D84" s="185"/>
      <c r="E84" s="185"/>
      <c r="F84" s="185"/>
      <c r="G84" s="185"/>
      <c r="H84" s="187"/>
      <c r="I84" s="188"/>
      <c r="J84" s="188"/>
    </row>
    <row r="85">
      <c r="A85" s="185"/>
      <c r="B85" s="191"/>
      <c r="C85" s="185"/>
      <c r="D85" s="185"/>
      <c r="E85" s="185"/>
      <c r="F85" s="185"/>
      <c r="G85" s="185"/>
      <c r="H85" s="187"/>
      <c r="I85" s="188"/>
      <c r="J85" s="188"/>
    </row>
    <row r="86">
      <c r="A86" s="185"/>
      <c r="B86" s="191"/>
      <c r="C86" s="185"/>
      <c r="D86" s="185"/>
      <c r="E86" s="185"/>
      <c r="F86" s="185"/>
      <c r="G86" s="185"/>
      <c r="H86" s="187"/>
      <c r="I86" s="188"/>
      <c r="J86" s="188"/>
    </row>
    <row r="87">
      <c r="A87" s="185"/>
      <c r="B87" s="191"/>
      <c r="C87" s="185"/>
      <c r="D87" s="185"/>
      <c r="E87" s="185"/>
      <c r="F87" s="185"/>
      <c r="G87" s="185"/>
      <c r="H87" s="187"/>
      <c r="I87" s="188"/>
      <c r="J87" s="188"/>
    </row>
    <row r="88">
      <c r="A88" s="185"/>
      <c r="B88" s="191"/>
      <c r="C88" s="185"/>
      <c r="D88" s="185"/>
      <c r="E88" s="185"/>
      <c r="F88" s="185"/>
      <c r="G88" s="185"/>
      <c r="H88" s="187"/>
      <c r="I88" s="188"/>
      <c r="J88" s="188"/>
    </row>
    <row r="89">
      <c r="A89" s="185"/>
      <c r="B89" s="191"/>
      <c r="C89" s="185"/>
      <c r="D89" s="185"/>
      <c r="E89" s="185"/>
      <c r="F89" s="185"/>
      <c r="G89" s="185"/>
      <c r="H89" s="187"/>
      <c r="I89" s="188"/>
      <c r="J89" s="188"/>
    </row>
    <row r="90">
      <c r="A90" s="185"/>
      <c r="B90" s="191"/>
      <c r="C90" s="185"/>
      <c r="D90" s="185"/>
      <c r="E90" s="185"/>
      <c r="F90" s="185"/>
      <c r="G90" s="185"/>
      <c r="H90" s="187"/>
      <c r="I90" s="188"/>
      <c r="J90" s="188"/>
    </row>
    <row r="91">
      <c r="A91" s="185"/>
      <c r="B91" s="191"/>
      <c r="C91" s="185"/>
      <c r="D91" s="185"/>
      <c r="E91" s="185"/>
      <c r="F91" s="185"/>
      <c r="G91" s="185"/>
      <c r="H91" s="187"/>
      <c r="I91" s="188"/>
      <c r="J91" s="188"/>
    </row>
    <row r="92">
      <c r="A92" s="185"/>
      <c r="B92" s="191"/>
      <c r="C92" s="185"/>
      <c r="D92" s="185"/>
      <c r="E92" s="185"/>
      <c r="F92" s="185"/>
      <c r="G92" s="185"/>
      <c r="H92" s="187"/>
      <c r="I92" s="188"/>
      <c r="J92" s="188"/>
    </row>
    <row r="93">
      <c r="A93" s="185"/>
      <c r="B93" s="191"/>
      <c r="C93" s="185"/>
      <c r="D93" s="185"/>
      <c r="E93" s="185"/>
      <c r="F93" s="185"/>
      <c r="G93" s="185"/>
      <c r="H93" s="187"/>
      <c r="I93" s="188"/>
      <c r="J93" s="188"/>
    </row>
    <row r="94">
      <c r="A94" s="185"/>
      <c r="B94" s="191"/>
      <c r="C94" s="185"/>
      <c r="D94" s="185"/>
      <c r="E94" s="185"/>
      <c r="F94" s="185"/>
      <c r="G94" s="185"/>
      <c r="H94" s="187"/>
      <c r="I94" s="188"/>
      <c r="J94" s="188"/>
    </row>
    <row r="95">
      <c r="A95" s="185"/>
      <c r="B95" s="191"/>
      <c r="C95" s="185"/>
      <c r="D95" s="185"/>
      <c r="E95" s="185"/>
      <c r="F95" s="185"/>
      <c r="G95" s="185"/>
      <c r="H95" s="187"/>
      <c r="I95" s="188"/>
      <c r="J95" s="188"/>
    </row>
    <row r="96">
      <c r="A96" s="185"/>
      <c r="B96" s="191"/>
      <c r="C96" s="185"/>
      <c r="D96" s="185"/>
      <c r="E96" s="185"/>
      <c r="F96" s="185"/>
      <c r="G96" s="185"/>
      <c r="H96" s="187"/>
      <c r="I96" s="188"/>
      <c r="J96" s="188"/>
    </row>
    <row r="97">
      <c r="A97" s="185"/>
      <c r="B97" s="191"/>
      <c r="C97" s="185"/>
      <c r="D97" s="185"/>
      <c r="E97" s="185"/>
      <c r="F97" s="185"/>
      <c r="G97" s="185"/>
      <c r="H97" s="187"/>
      <c r="I97" s="188"/>
      <c r="J97" s="188"/>
    </row>
    <row r="98">
      <c r="A98" s="185"/>
      <c r="B98" s="191"/>
      <c r="C98" s="185"/>
      <c r="D98" s="185"/>
      <c r="E98" s="185"/>
      <c r="F98" s="185"/>
      <c r="G98" s="185"/>
      <c r="H98" s="187"/>
      <c r="I98" s="188"/>
      <c r="J98" s="188"/>
    </row>
    <row r="99">
      <c r="A99" s="185"/>
      <c r="B99" s="191"/>
      <c r="C99" s="185"/>
      <c r="D99" s="185"/>
      <c r="E99" s="185"/>
      <c r="F99" s="185"/>
      <c r="G99" s="185"/>
      <c r="H99" s="187"/>
      <c r="I99" s="188"/>
      <c r="J99" s="188"/>
    </row>
    <row r="100">
      <c r="A100" s="185"/>
      <c r="B100" s="191"/>
      <c r="C100" s="185"/>
      <c r="D100" s="185"/>
      <c r="E100" s="185"/>
      <c r="F100" s="185"/>
      <c r="G100" s="185"/>
      <c r="H100" s="187"/>
      <c r="I100" s="188"/>
      <c r="J100" s="188"/>
    </row>
    <row r="101">
      <c r="A101" s="185"/>
      <c r="B101" s="191"/>
      <c r="C101" s="185"/>
      <c r="D101" s="185"/>
      <c r="E101" s="185"/>
      <c r="F101" s="185"/>
      <c r="G101" s="185"/>
      <c r="H101" s="187"/>
      <c r="I101" s="188"/>
      <c r="J101" s="188"/>
    </row>
    <row r="102">
      <c r="A102" s="185"/>
      <c r="B102" s="191"/>
      <c r="C102" s="185"/>
      <c r="D102" s="185"/>
      <c r="E102" s="185"/>
      <c r="F102" s="185"/>
      <c r="G102" s="185"/>
      <c r="H102" s="187"/>
      <c r="I102" s="188"/>
      <c r="J102" s="188"/>
    </row>
    <row r="103">
      <c r="A103" s="185"/>
      <c r="B103" s="191"/>
      <c r="C103" s="185"/>
      <c r="D103" s="185"/>
      <c r="E103" s="185"/>
      <c r="F103" s="185"/>
      <c r="G103" s="185"/>
      <c r="H103" s="187"/>
      <c r="I103" s="188"/>
      <c r="J103" s="188"/>
    </row>
    <row r="104">
      <c r="A104" s="185"/>
      <c r="B104" s="191"/>
      <c r="C104" s="185"/>
      <c r="D104" s="185"/>
      <c r="E104" s="185"/>
      <c r="F104" s="185"/>
      <c r="G104" s="185"/>
      <c r="H104" s="187"/>
      <c r="I104" s="188"/>
      <c r="J104" s="188"/>
    </row>
    <row r="105">
      <c r="A105" s="191"/>
      <c r="B105" s="191"/>
      <c r="C105" s="185"/>
      <c r="D105" s="185"/>
      <c r="E105" s="185"/>
      <c r="F105" s="185"/>
      <c r="G105" s="185"/>
      <c r="H105" s="187"/>
      <c r="I105" s="188"/>
      <c r="J105" s="188"/>
    </row>
    <row r="106">
      <c r="A106" s="191"/>
      <c r="B106" s="191"/>
      <c r="C106" s="185"/>
      <c r="D106" s="185"/>
      <c r="E106" s="185"/>
      <c r="F106" s="185"/>
      <c r="G106" s="185"/>
      <c r="H106" s="187"/>
      <c r="I106" s="188"/>
      <c r="J106" s="188"/>
    </row>
    <row r="107">
      <c r="A107" s="191"/>
      <c r="B107" s="191"/>
      <c r="C107" s="185"/>
      <c r="D107" s="185"/>
      <c r="E107" s="185"/>
      <c r="F107" s="185"/>
      <c r="G107" s="185"/>
      <c r="H107" s="187"/>
      <c r="I107" s="188"/>
      <c r="J107" s="188"/>
    </row>
    <row r="108">
      <c r="A108" s="191"/>
      <c r="B108" s="191"/>
      <c r="C108" s="185"/>
      <c r="D108" s="185"/>
      <c r="E108" s="185"/>
      <c r="F108" s="185"/>
      <c r="G108" s="185"/>
      <c r="H108" s="187"/>
      <c r="I108" s="188"/>
      <c r="J108" s="188"/>
    </row>
    <row r="109">
      <c r="A109" s="185"/>
      <c r="B109" s="185"/>
      <c r="C109" s="185"/>
      <c r="D109" s="185"/>
      <c r="E109" s="185"/>
      <c r="F109" s="185"/>
      <c r="G109" s="185"/>
      <c r="H109" s="187"/>
      <c r="I109" s="188"/>
      <c r="J109" s="188"/>
    </row>
    <row r="110">
      <c r="A110" s="185"/>
      <c r="B110" s="185"/>
      <c r="C110" s="185"/>
      <c r="D110" s="185"/>
      <c r="E110" s="185"/>
      <c r="F110" s="185"/>
      <c r="G110" s="185"/>
      <c r="H110" s="187"/>
      <c r="I110" s="188"/>
      <c r="J110" s="188"/>
    </row>
    <row r="111">
      <c r="A111" s="185"/>
      <c r="B111" s="185"/>
      <c r="C111" s="185"/>
      <c r="D111" s="185"/>
      <c r="E111" s="185"/>
      <c r="F111" s="185"/>
      <c r="G111" s="185"/>
      <c r="H111" s="187"/>
      <c r="I111" s="188"/>
      <c r="J111" s="188"/>
    </row>
    <row r="112">
      <c r="A112" s="185"/>
      <c r="B112" s="185"/>
      <c r="C112" s="185"/>
      <c r="D112" s="185"/>
      <c r="E112" s="185"/>
      <c r="F112" s="185"/>
      <c r="G112" s="185"/>
      <c r="H112" s="187"/>
      <c r="I112" s="188"/>
      <c r="J112" s="188"/>
    </row>
    <row r="113">
      <c r="A113" s="185"/>
      <c r="B113" s="185"/>
      <c r="C113" s="185"/>
      <c r="D113" s="185"/>
      <c r="E113" s="185"/>
      <c r="F113" s="185"/>
      <c r="G113" s="185"/>
      <c r="H113" s="187"/>
      <c r="I113" s="188"/>
      <c r="J113" s="188"/>
    </row>
    <row r="114">
      <c r="A114" s="185"/>
      <c r="B114" s="185"/>
      <c r="C114" s="185"/>
      <c r="D114" s="185"/>
      <c r="E114" s="185"/>
      <c r="F114" s="185"/>
      <c r="G114" s="185"/>
      <c r="H114" s="187"/>
      <c r="I114" s="188"/>
      <c r="J114" s="188"/>
    </row>
    <row r="115">
      <c r="A115" s="185"/>
      <c r="B115" s="185"/>
      <c r="C115" s="185"/>
      <c r="D115" s="185"/>
      <c r="E115" s="185"/>
      <c r="F115" s="185"/>
      <c r="G115" s="185"/>
      <c r="H115" s="187"/>
      <c r="I115" s="188"/>
      <c r="J115" s="188"/>
    </row>
    <row r="116">
      <c r="A116" s="185"/>
      <c r="B116" s="185"/>
      <c r="C116" s="185"/>
      <c r="D116" s="185"/>
      <c r="E116" s="185"/>
      <c r="F116" s="185"/>
      <c r="G116" s="185"/>
      <c r="H116" s="187"/>
      <c r="I116" s="188"/>
      <c r="J116" s="188"/>
    </row>
    <row r="117">
      <c r="A117" s="185"/>
      <c r="B117" s="185"/>
      <c r="C117" s="185"/>
      <c r="D117" s="185"/>
      <c r="E117" s="185"/>
      <c r="F117" s="185"/>
      <c r="G117" s="185"/>
      <c r="H117" s="187"/>
      <c r="I117" s="188"/>
      <c r="J117" s="188"/>
    </row>
    <row r="118">
      <c r="A118" s="185"/>
      <c r="B118" s="185"/>
      <c r="C118" s="185"/>
      <c r="D118" s="185"/>
      <c r="E118" s="185"/>
      <c r="F118" s="185"/>
      <c r="G118" s="185"/>
      <c r="H118" s="187"/>
      <c r="I118" s="188"/>
      <c r="J118" s="188"/>
    </row>
    <row r="119">
      <c r="A119" s="185"/>
      <c r="B119" s="185"/>
      <c r="C119" s="185"/>
      <c r="D119" s="185"/>
      <c r="E119" s="185"/>
      <c r="F119" s="185"/>
      <c r="G119" s="185"/>
      <c r="H119" s="187"/>
      <c r="I119" s="188"/>
      <c r="J119" s="188"/>
    </row>
    <row r="120">
      <c r="A120" s="185"/>
      <c r="B120" s="185"/>
      <c r="C120" s="185"/>
      <c r="D120" s="185"/>
      <c r="E120" s="185"/>
      <c r="F120" s="185"/>
      <c r="G120" s="185"/>
      <c r="H120" s="187"/>
      <c r="I120" s="188"/>
      <c r="J120" s="188"/>
    </row>
  </sheetData>
  <autoFilter ref="$A$1:$J$42"/>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5.67"/>
    <col customWidth="1" min="2" max="3" width="46.78"/>
    <col customWidth="1" min="4" max="4" width="10.11"/>
    <col customWidth="1" min="5" max="5" width="20.11"/>
    <col customWidth="1" min="6" max="6" width="15.67"/>
    <col customWidth="1" min="7" max="7" width="17.33"/>
    <col customWidth="1" min="8" max="8" width="12.33"/>
    <col customWidth="1" min="9" max="9" width="13.44"/>
    <col customWidth="1" min="10" max="10" width="16.78"/>
    <col customWidth="1" min="11" max="11" width="33.44"/>
    <col customWidth="1" min="12" max="12" width="10.67"/>
    <col customWidth="1" min="13" max="13" width="16.78"/>
    <col customWidth="1" min="14" max="14" width="13.44"/>
    <col customWidth="1" hidden="1" min="15" max="18" width="13.44"/>
  </cols>
  <sheetData>
    <row r="1">
      <c r="A1" s="182" t="s">
        <v>1518</v>
      </c>
      <c r="B1" s="182" t="s">
        <v>287</v>
      </c>
      <c r="C1" s="182" t="s">
        <v>288</v>
      </c>
      <c r="D1" s="182" t="s">
        <v>289</v>
      </c>
      <c r="E1" s="182" t="s">
        <v>290</v>
      </c>
      <c r="F1" s="182" t="s">
        <v>291</v>
      </c>
      <c r="G1" s="182" t="s">
        <v>1846</v>
      </c>
      <c r="H1" s="182" t="s">
        <v>292</v>
      </c>
      <c r="I1" s="182" t="s">
        <v>1526</v>
      </c>
      <c r="J1" s="182" t="s">
        <v>1529</v>
      </c>
      <c r="K1" s="182" t="s">
        <v>293</v>
      </c>
      <c r="L1" s="182" t="s">
        <v>294</v>
      </c>
      <c r="M1" s="182" t="s">
        <v>295</v>
      </c>
      <c r="N1" s="182" t="s">
        <v>296</v>
      </c>
      <c r="O1" s="183"/>
      <c r="P1" s="183"/>
      <c r="Q1" s="183"/>
      <c r="R1" s="183"/>
    </row>
    <row r="2">
      <c r="A2" s="185" t="str">
        <f>IFERROR(__xludf.DUMMYFUNCTION("LET(us,IMPORTRANGE(""1leGKA4fmOTuZzfvhSLOFvXZiwgHevf4IvGnsBciu3zc"",""'PEEC - URLs - All'!A2:K""),au,IMPORTRANGE(""1iVuotfzyDTPzISl5kPBdfzjjGYHnU022ikHyqhTdvLs"",""'PEEC - URLs - All'!A2:K""),uk,IMPORTRANGE(""1CcEzSOd82ENal-5SZVsnUmmQ2fnWHH1eHoXN4n5O9X8"""&amp;",""'PEEC - URLs - All'!A2:K""),uae,IMPORTRANGE(""1zAqkmI3POK8wMfyaX1PiwkhFTl0yO0tsGHibpjbtN-0"",""'PEEC - URLs - All'!A2:K""),de,IMPORTRANGE(""1j_b55Qfi4u5vQHpw6JU3cbiVklodNJGf5Q4ZljjA00I"",""'PEEC - URLs - All'!A2:K""),data,{{ARRAYFORMULA(IF(CHOOSECOLS(u"&amp;"s,1)&lt;&gt;"""",""US"",)),us};{ARRAYFORMULA(IF(CHOOSECOLS(au,1)&lt;&gt;"""",""AU"",)),au};{ARRAYFORMULA(IF(CHOOSECOLS(uk,1)&lt;&gt;"""",""UK"",)),uk};{ARRAYFORMULA(IF(CHOOSECOLS(uae,1)&lt;&gt;"""",""UAE"",)),uae};{ARRAYFORMULA(IF(CHOOSECOLS(de,1)&lt;&gt;"""",""DE"",)),de}},lookupMap,"&amp;"O2:R38,filtered,FILTER(data,ISNUMBER(MATCH(LOWER(CHOOSECOLS(data,4)),LOWER(CHOOSECOLS(lookupMap,1)),0))),dom,CHOOSECOLS(filtered,4),HSTACK(MAP(dom,LAMBDA(d,IFNA(INDEX(FILTER(CHOOSECOLS(lookupMap,2),LOWER(CHOOSECOLS(lookupMap,1))=LOWER(d)),1),""Other curat"&amp;"ed authority""))),CHOOSECOLS(filtered,2,3,1,4,7,6),MAP(CHOOSECOLS(filtered,8),LAMBDA(m,IF(TO_TEXT(m)=""TRUE"",""Yes"",""No""))),MAP(dom,LAMBDA(d,IFNA(INDEX(FILTER(CHOOSECOLS(lookupMap,3),LOWER(CHOOSECOLS(lookupMap,1))=LOWER(d)),1),""Low""))),MAP(dom,LAMBD"&amp;"A(d,IFNA(INDEX(FILTER(CHOOSECOLS(lookupMap,4),LOWER(CHOOSECOLS(lookupMap,1))=LOWER(d)),1),""Secondary""))),CHOOSECOLS(filtered,9,10,11,12)))"),"Agency directory / review marketplace")</f>
        <v>Agency directory / review marketplace</v>
      </c>
      <c r="B2" s="186" t="str">
        <f>IFERROR(__xludf.DUMMYFUNCTION("""COMPUTED_VALUE"""),"https://clutch.co/us/agencies")</f>
        <v>https://clutch.co/us/agencies</v>
      </c>
      <c r="C2" s="185" t="str">
        <f>IFERROR(__xludf.DUMMYFUNCTION("""COMPUTED_VALUE"""),"Top Advertising Agencies in the United States - Jul 2026 Rankings \| Clutch.co")</f>
        <v>Top Advertising Agencies in the United States - Jul 2026 Rankings \| Clutch.co</v>
      </c>
      <c r="D2" s="185" t="str">
        <f>IFERROR(__xludf.DUMMYFUNCTION("""COMPUTED_VALUE"""),"US")</f>
        <v>US</v>
      </c>
      <c r="E2" s="185" t="str">
        <f>IFERROR(__xludf.DUMMYFUNCTION("""COMPUTED_VALUE"""),"clutch.co")</f>
        <v>clutch.co</v>
      </c>
      <c r="F2" s="185" t="str">
        <f>IFERROR(__xludf.DUMMYFUNCTION("""COMPUTED_VALUE"""),"Category Page")</f>
        <v>Category Page</v>
      </c>
      <c r="G2" s="185" t="str">
        <f>IFERROR(__xludf.DUMMYFUNCTION("""COMPUTED_VALUE"""),"COMPETITOR")</f>
        <v>COMPETITOR</v>
      </c>
      <c r="H2" s="185" t="str">
        <f>IFERROR(__xludf.DUMMYFUNCTION("""COMPUTED_VALUE"""),"No")</f>
        <v>No</v>
      </c>
      <c r="I2" s="185" t="str">
        <f>IFERROR(__xludf.DUMMYFUNCTION("""COMPUTED_VALUE"""),"Medium")</f>
        <v>Medium</v>
      </c>
      <c r="J2" s="185" t="str">
        <f>IFERROR(__xludf.DUMMYFUNCTION("""COMPUTED_VALUE"""),"Yes")</f>
        <v>Yes</v>
      </c>
      <c r="K2" s="185" t="str">
        <f>IFERROR(__xludf.DUMMYFUNCTION("""COMPUTED_VALUE"""),"Clutch, SmartSites, WebFX, Ignite Visibility, Momentum, NinjaPromo, KlientBoost, AdVenture Media, Sociallyin, Funnel Boost Media")</f>
        <v>Clutch, SmartSites, WebFX, Ignite Visibility, Momentum, NinjaPromo, KlientBoost, AdVenture Media, Sociallyin, Funnel Boost Media</v>
      </c>
      <c r="L2" s="187">
        <f>IFERROR(__xludf.DUMMYFUNCTION("""COMPUTED_VALUE"""),87.0)</f>
        <v>87</v>
      </c>
      <c r="M2" s="188">
        <f>IFERROR(__xludf.DUMMYFUNCTION("""COMPUTED_VALUE"""),0.09)</f>
        <v>0.09</v>
      </c>
      <c r="N2" s="188">
        <f>IFERROR(__xludf.DUMMYFUNCTION("""COMPUTED_VALUE"""),0.26)</f>
        <v>0.26</v>
      </c>
      <c r="O2" s="189" t="s">
        <v>1913</v>
      </c>
      <c r="P2" s="189" t="s">
        <v>1535</v>
      </c>
      <c r="Q2" s="189" t="s">
        <v>1555</v>
      </c>
      <c r="R2" s="189" t="s">
        <v>1915</v>
      </c>
    </row>
    <row r="3">
      <c r="A3" s="185" t="str">
        <f>IFERROR(__xludf.DUMMYFUNCTION("""COMPUTED_VALUE"""),"Agency directory / review marketplace")</f>
        <v>Agency directory / review marketplace</v>
      </c>
      <c r="B3" s="186" t="str">
        <f>IFERROR(__xludf.DUMMYFUNCTION("""COMPUTED_VALUE"""),"https://clutch.co/us/agencies/digital-marketing")</f>
        <v>https://clutch.co/us/agencies/digital-marketing</v>
      </c>
      <c r="C3" s="185" t="str">
        <f>IFERROR(__xludf.DUMMYFUNCTION("""COMPUTED_VALUE"""),"Top Digital Marketing Agencies in the United States - Jul 2026 Rankings \| Clutch.co")</f>
        <v>Top Digital Marketing Agencies in the United States - Jul 2026 Rankings \| Clutch.co</v>
      </c>
      <c r="D3" s="185" t="str">
        <f>IFERROR(__xludf.DUMMYFUNCTION("""COMPUTED_VALUE"""),"US")</f>
        <v>US</v>
      </c>
      <c r="E3" s="185" t="str">
        <f>IFERROR(__xludf.DUMMYFUNCTION("""COMPUTED_VALUE"""),"clutch.co")</f>
        <v>clutch.co</v>
      </c>
      <c r="F3" s="185" t="str">
        <f>IFERROR(__xludf.DUMMYFUNCTION("""COMPUTED_VALUE"""),"Category Page")</f>
        <v>Category Page</v>
      </c>
      <c r="G3" s="185" t="str">
        <f>IFERROR(__xludf.DUMMYFUNCTION("""COMPUTED_VALUE"""),"COMPETITOR")</f>
        <v>COMPETITOR</v>
      </c>
      <c r="H3" s="185" t="str">
        <f>IFERROR(__xludf.DUMMYFUNCTION("""COMPUTED_VALUE"""),"No")</f>
        <v>No</v>
      </c>
      <c r="I3" s="185" t="str">
        <f>IFERROR(__xludf.DUMMYFUNCTION("""COMPUTED_VALUE"""),"Medium")</f>
        <v>Medium</v>
      </c>
      <c r="J3" s="185" t="str">
        <f>IFERROR(__xludf.DUMMYFUNCTION("""COMPUTED_VALUE"""),"Yes")</f>
        <v>Yes</v>
      </c>
      <c r="K3" s="185"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L3" s="187">
        <f>IFERROR(__xludf.DUMMYFUNCTION("""COMPUTED_VALUE"""),86.0)</f>
        <v>86</v>
      </c>
      <c r="M3" s="188">
        <f>IFERROR(__xludf.DUMMYFUNCTION("""COMPUTED_VALUE"""),0.08)</f>
        <v>0.08</v>
      </c>
      <c r="N3" s="188">
        <f>IFERROR(__xludf.DUMMYFUNCTION("""COMPUTED_VALUE"""),0.78)</f>
        <v>0.78</v>
      </c>
      <c r="O3" s="189" t="s">
        <v>1924</v>
      </c>
      <c r="P3" s="189" t="s">
        <v>1535</v>
      </c>
      <c r="Q3" s="189" t="s">
        <v>1555</v>
      </c>
      <c r="R3" s="189" t="s">
        <v>1915</v>
      </c>
    </row>
    <row r="4">
      <c r="A4" s="185" t="str">
        <f>IFERROR(__xludf.DUMMYFUNCTION("""COMPUTED_VALUE"""),"Lower-priority competitor/vendor roundup")</f>
        <v>Lower-priority competitor/vendor roundup</v>
      </c>
      <c r="B4" s="186" t="str">
        <f>IFERROR(__xludf.DUMMYFUNCTION("""COMPUTED_VALUE"""),"https://www.webtonic.io/blog/best-paid-media-agencies-us")</f>
        <v>https://www.webtonic.io/blog/best-paid-media-agencies-us</v>
      </c>
      <c r="C4" s="185" t="str">
        <f>IFERROR(__xludf.DUMMYFUNCTION("""COMPUTED_VALUE"""),"The 29 Best Paid Media Agencies in the US for 2026")</f>
        <v>The 29 Best Paid Media Agencies in the US for 2026</v>
      </c>
      <c r="D4" s="185" t="str">
        <f>IFERROR(__xludf.DUMMYFUNCTION("""COMPUTED_VALUE"""),"US")</f>
        <v>US</v>
      </c>
      <c r="E4" s="185" t="str">
        <f>IFERROR(__xludf.DUMMYFUNCTION("""COMPUTED_VALUE"""),"webtonic.io")</f>
        <v>webtonic.io</v>
      </c>
      <c r="F4" s="185" t="str">
        <f>IFERROR(__xludf.DUMMYFUNCTION("""COMPUTED_VALUE"""),"Listicle")</f>
        <v>Listicle</v>
      </c>
      <c r="G4" s="185" t="str">
        <f>IFERROR(__xludf.DUMMYFUNCTION("""COMPUTED_VALUE"""),"COMPETITOR")</f>
        <v>COMPETITOR</v>
      </c>
      <c r="H4" s="185" t="str">
        <f>IFERROR(__xludf.DUMMYFUNCTION("""COMPUTED_VALUE"""),"No")</f>
        <v>No</v>
      </c>
      <c r="I4" s="185" t="str">
        <f>IFERROR(__xludf.DUMMYFUNCTION("""COMPUTED_VALUE"""),"Low")</f>
        <v>Low</v>
      </c>
      <c r="J4" s="185" t="str">
        <f>IFERROR(__xludf.DUMMYFUNCTION("""COMPUTED_VALUE"""),"Secondary")</f>
        <v>Secondary</v>
      </c>
      <c r="K4" s="185" t="str">
        <f>IFERROR(__xludf.DUMMYFUNCTION("""COMPUTED_VALUE"""),"Web Tonic, Wpromote, TransUnion, Tinuiti, PMG, Horizon Media, KlientBoost, Disruptive Advertising, NoGood, Brainlabs, HawkSEM, The Social Shepherd, Power Digital, iProspect, Dentsu, MuteSix, LYFE Marketing, VaynerMedia, Sociallyin, inBeat, Directive, Igni"&amp;"te Visibility, Common Thread Collective")</f>
        <v>Web Tonic, Wpromote, TransUnion, Tinuiti, PMG, Horizon Media, KlientBoost, Disruptive Advertising, NoGood, Brainlabs, HawkSEM, The Social Shepherd, Power Digital, iProspect, Dentsu, MuteSix, LYFE Marketing, VaynerMedia, Sociallyin, inBeat, Directive, Ignite Visibility, Common Thread Collective</v>
      </c>
      <c r="L4" s="187">
        <f>IFERROR(__xludf.DUMMYFUNCTION("""COMPUTED_VALUE"""),65.0)</f>
        <v>65</v>
      </c>
      <c r="M4" s="188">
        <f>IFERROR(__xludf.DUMMYFUNCTION("""COMPUTED_VALUE"""),0.06)</f>
        <v>0.06</v>
      </c>
      <c r="N4" s="188">
        <f>IFERROR(__xludf.DUMMYFUNCTION("""COMPUTED_VALUE"""),0.74)</f>
        <v>0.74</v>
      </c>
      <c r="O4" s="189" t="s">
        <v>1567</v>
      </c>
      <c r="P4" s="189" t="s">
        <v>1535</v>
      </c>
      <c r="Q4" s="189" t="s">
        <v>1555</v>
      </c>
      <c r="R4" s="189" t="s">
        <v>1915</v>
      </c>
    </row>
    <row r="5">
      <c r="A5" s="185" t="str">
        <f>IFERROR(__xludf.DUMMYFUNCTION("""COMPUTED_VALUE"""),"Agency directory / review marketplace")</f>
        <v>Agency directory / review marketplace</v>
      </c>
      <c r="B5" s="186" t="str">
        <f>IFERROR(__xludf.DUMMYFUNCTION("""COMPUTED_VALUE"""),"https://digitalagencynetwork.com/agencies/usa/ai-marketing/")</f>
        <v>https://digitalagencynetwork.com/agencies/usa/ai-marketing/</v>
      </c>
      <c r="C5" s="185" t="str">
        <f>IFERROR(__xludf.DUMMYFUNCTION("""COMPUTED_VALUE"""),"Top AI Marketing Agencies in USA (2026)")</f>
        <v>Top AI Marketing Agencies in USA (2026)</v>
      </c>
      <c r="D5" s="185" t="str">
        <f>IFERROR(__xludf.DUMMYFUNCTION("""COMPUTED_VALUE"""),"US")</f>
        <v>US</v>
      </c>
      <c r="E5" s="185" t="str">
        <f>IFERROR(__xludf.DUMMYFUNCTION("""COMPUTED_VALUE"""),"digitalagencynetwork.com")</f>
        <v>digitalagencynetwork.com</v>
      </c>
      <c r="F5" s="185" t="str">
        <f>IFERROR(__xludf.DUMMYFUNCTION("""COMPUTED_VALUE"""),"Profile")</f>
        <v>Profile</v>
      </c>
      <c r="G5" s="185" t="str">
        <f>IFERROR(__xludf.DUMMYFUNCTION("""COMPUTED_VALUE"""),"REFERENCE")</f>
        <v>REFERENCE</v>
      </c>
      <c r="H5" s="185" t="str">
        <f>IFERROR(__xludf.DUMMYFUNCTION("""COMPUTED_VALUE"""),"No")</f>
        <v>No</v>
      </c>
      <c r="I5" s="185" t="str">
        <f>IFERROR(__xludf.DUMMYFUNCTION("""COMPUTED_VALUE"""),"Medium")</f>
        <v>Medium</v>
      </c>
      <c r="J5" s="185" t="str">
        <f>IFERROR(__xludf.DUMMYFUNCTION("""COMPUTED_VALUE"""),"Yes")</f>
        <v>Yes</v>
      </c>
      <c r="K5" s="185" t="str">
        <f>IFERROR(__xludf.DUMMYFUNCTION("""COMPUTED_VALUE"""),"Major Tom, NoGood, Clay, Clutch, SmartSites, Ignite Visibility, Amsive, NinjaPromo, Victorious, BCG, Intero Digital")</f>
        <v>Major Tom, NoGood, Clay, Clutch, SmartSites, Ignite Visibility, Amsive, NinjaPromo, Victorious, BCG, Intero Digital</v>
      </c>
      <c r="L5" s="187">
        <f>IFERROR(__xludf.DUMMYFUNCTION("""COMPUTED_VALUE"""),59.0)</f>
        <v>59</v>
      </c>
      <c r="M5" s="188">
        <f>IFERROR(__xludf.DUMMYFUNCTION("""COMPUTED_VALUE"""),0.06)</f>
        <v>0.06</v>
      </c>
      <c r="N5" s="188">
        <f>IFERROR(__xludf.DUMMYFUNCTION("""COMPUTED_VALUE"""),0.22)</f>
        <v>0.22</v>
      </c>
      <c r="O5" s="189" t="s">
        <v>1591</v>
      </c>
      <c r="P5" s="189" t="s">
        <v>1589</v>
      </c>
      <c r="Q5" s="189" t="s">
        <v>1555</v>
      </c>
      <c r="R5" s="189" t="s">
        <v>1915</v>
      </c>
    </row>
    <row r="6">
      <c r="A6" s="185" t="str">
        <f>IFERROR(__xludf.DUMMYFUNCTION("""COMPUTED_VALUE"""),"Agency directory / review marketplace")</f>
        <v>Agency directory / review marketplace</v>
      </c>
      <c r="B6" s="186" t="str">
        <f>IFERROR(__xludf.DUMMYFUNCTION("""COMPUTED_VALUE"""),"https://www.sortlist.com/s/paid-media/united-states-us")</f>
        <v>https://www.sortlist.com/s/paid-media/united-states-us</v>
      </c>
      <c r="C6" s="185" t="str">
        <f>IFERROR(__xludf.DUMMYFUNCTION("""COMPUTED_VALUE"""),"The 10 Best Paid Media Agencies in the United States - 2026 Reviews")</f>
        <v>The 10 Best Paid Media Agencies in the United States - 2026 Reviews</v>
      </c>
      <c r="D6" s="185" t="str">
        <f>IFERROR(__xludf.DUMMYFUNCTION("""COMPUTED_VALUE"""),"US")</f>
        <v>US</v>
      </c>
      <c r="E6" s="185" t="str">
        <f>IFERROR(__xludf.DUMMYFUNCTION("""COMPUTED_VALUE"""),"sortlist.com")</f>
        <v>sortlist.com</v>
      </c>
      <c r="F6" s="185" t="str">
        <f>IFERROR(__xludf.DUMMYFUNCTION("""COMPUTED_VALUE"""),"Category Page")</f>
        <v>Category Page</v>
      </c>
      <c r="G6" s="185" t="str">
        <f>IFERROR(__xludf.DUMMYFUNCTION("""COMPUTED_VALUE"""),"CORPORATE")</f>
        <v>CORPORATE</v>
      </c>
      <c r="H6" s="185" t="str">
        <f>IFERROR(__xludf.DUMMYFUNCTION("""COMPUTED_VALUE"""),"No")</f>
        <v>No</v>
      </c>
      <c r="I6" s="185" t="str">
        <f>IFERROR(__xludf.DUMMYFUNCTION("""COMPUTED_VALUE"""),"Medium")</f>
        <v>Medium</v>
      </c>
      <c r="J6" s="185" t="str">
        <f>IFERROR(__xludf.DUMMYFUNCTION("""COMPUTED_VALUE"""),"Yes")</f>
        <v>Yes</v>
      </c>
      <c r="K6" s="185" t="str">
        <f>IFERROR(__xludf.DUMMYFUNCTION("""COMPUTED_VALUE"""),"NinjaPromo, Triple Whale, Northbeam, HockeyStack, Clutch")</f>
        <v>NinjaPromo, Triple Whale, Northbeam, HockeyStack, Clutch</v>
      </c>
      <c r="L6" s="187">
        <f>IFERROR(__xludf.DUMMYFUNCTION("""COMPUTED_VALUE"""),44.0)</f>
        <v>44</v>
      </c>
      <c r="M6" s="188">
        <f>IFERROR(__xludf.DUMMYFUNCTION("""COMPUTED_VALUE"""),0.04)</f>
        <v>0.04</v>
      </c>
      <c r="N6" s="188">
        <f>IFERROR(__xludf.DUMMYFUNCTION("""COMPUTED_VALUE"""),0.0)</f>
        <v>0</v>
      </c>
      <c r="O6" s="189" t="s">
        <v>1603</v>
      </c>
      <c r="P6" s="189" t="s">
        <v>1589</v>
      </c>
      <c r="Q6" s="189" t="s">
        <v>1555</v>
      </c>
      <c r="R6" s="189" t="s">
        <v>1915</v>
      </c>
    </row>
    <row r="7">
      <c r="A7" s="185" t="str">
        <f>IFERROR(__xludf.DUMMYFUNCTION("""COMPUTED_VALUE"""),"Industry data / software authority")</f>
        <v>Industry data / software authority</v>
      </c>
      <c r="B7" s="186" t="str">
        <f>IFERROR(__xludf.DUMMYFUNCTION("""COMPUTED_VALUE"""),"https://agencies.semrush.com/list/display-advertising/united-states/")</f>
        <v>https://agencies.semrush.com/list/display-advertising/united-states/</v>
      </c>
      <c r="C7" s="185" t="str">
        <f>IFERROR(__xludf.DUMMYFUNCTION("""COMPUTED_VALUE"""),"Best Display Ads Agencies in United States 2026 | Semrush")</f>
        <v>Best Display Ads Agencies in United States 2026 | Semrush</v>
      </c>
      <c r="D7" s="185" t="str">
        <f>IFERROR(__xludf.DUMMYFUNCTION("""COMPUTED_VALUE"""),"US")</f>
        <v>US</v>
      </c>
      <c r="E7" s="185" t="str">
        <f>IFERROR(__xludf.DUMMYFUNCTION("""COMPUTED_VALUE"""),"semrush.com")</f>
        <v>semrush.com</v>
      </c>
      <c r="F7" s="185" t="str">
        <f>IFERROR(__xludf.DUMMYFUNCTION("""COMPUTED_VALUE"""),"Category Page")</f>
        <v>Category Page</v>
      </c>
      <c r="G7" s="185" t="str">
        <f>IFERROR(__xludf.DUMMYFUNCTION("""COMPUTED_VALUE"""),"CORPORATE")</f>
        <v>CORPORATE</v>
      </c>
      <c r="H7" s="185" t="str">
        <f>IFERROR(__xludf.DUMMYFUNCTION("""COMPUTED_VALUE"""),"No")</f>
        <v>No</v>
      </c>
      <c r="I7" s="185" t="str">
        <f>IFERROR(__xludf.DUMMYFUNCTION("""COMPUTED_VALUE"""),"Medium")</f>
        <v>Medium</v>
      </c>
      <c r="J7" s="185" t="str">
        <f>IFERROR(__xludf.DUMMYFUNCTION("""COMPUTED_VALUE"""),"Yes")</f>
        <v>Yes</v>
      </c>
      <c r="K7" s="185" t="str">
        <f>IFERROR(__xludf.DUMMYFUNCTION("""COMPUTED_VALUE"""),"SmartSites, Elit-Web, Brighter Click")</f>
        <v>SmartSites, Elit-Web, Brighter Click</v>
      </c>
      <c r="L7" s="187">
        <f>IFERROR(__xludf.DUMMYFUNCTION("""COMPUTED_VALUE"""),42.0)</f>
        <v>42</v>
      </c>
      <c r="M7" s="188">
        <f>IFERROR(__xludf.DUMMYFUNCTION("""COMPUTED_VALUE"""),0.04)</f>
        <v>0.04</v>
      </c>
      <c r="N7" s="188">
        <f>IFERROR(__xludf.DUMMYFUNCTION("""COMPUTED_VALUE"""),0.17)</f>
        <v>0.17</v>
      </c>
      <c r="O7" s="189" t="s">
        <v>1617</v>
      </c>
      <c r="P7" s="189" t="s">
        <v>1616</v>
      </c>
      <c r="Q7" s="189" t="s">
        <v>1555</v>
      </c>
      <c r="R7" s="189" t="s">
        <v>1915</v>
      </c>
    </row>
    <row r="8">
      <c r="A8" s="185" t="str">
        <f>IFERROR(__xludf.DUMMYFUNCTION("""COMPUTED_VALUE"""),"Agency directory / review marketplace")</f>
        <v>Agency directory / review marketplace</v>
      </c>
      <c r="B8" s="186" t="str">
        <f>IFERROR(__xludf.DUMMYFUNCTION("""COMPUTED_VALUE"""),"https://clutch.co/us/agencies/creative")</f>
        <v>https://clutch.co/us/agencies/creative</v>
      </c>
      <c r="C8" s="185" t="str">
        <f>IFERROR(__xludf.DUMMYFUNCTION("""COMPUTED_VALUE"""),"Top Creative Agencies in the United States - Jul 2026 Rankings | Clutch.co")</f>
        <v>Top Creative Agencies in the United States - Jul 2026 Rankings | Clutch.co</v>
      </c>
      <c r="D8" s="185" t="str">
        <f>IFERROR(__xludf.DUMMYFUNCTION("""COMPUTED_VALUE"""),"US")</f>
        <v>US</v>
      </c>
      <c r="E8" s="185" t="str">
        <f>IFERROR(__xludf.DUMMYFUNCTION("""COMPUTED_VALUE"""),"clutch.co")</f>
        <v>clutch.co</v>
      </c>
      <c r="F8" s="185" t="str">
        <f>IFERROR(__xludf.DUMMYFUNCTION("""COMPUTED_VALUE"""),"Category Page")</f>
        <v>Category Page</v>
      </c>
      <c r="G8" s="185" t="str">
        <f>IFERROR(__xludf.DUMMYFUNCTION("""COMPUTED_VALUE"""),"COMPETITOR")</f>
        <v>COMPETITOR</v>
      </c>
      <c r="H8" s="185" t="str">
        <f>IFERROR(__xludf.DUMMYFUNCTION("""COMPUTED_VALUE"""),"No")</f>
        <v>No</v>
      </c>
      <c r="I8" s="185" t="str">
        <f>IFERROR(__xludf.DUMMYFUNCTION("""COMPUTED_VALUE"""),"Medium")</f>
        <v>Medium</v>
      </c>
      <c r="J8" s="185" t="str">
        <f>IFERROR(__xludf.DUMMYFUNCTION("""COMPUTED_VALUE"""),"Yes")</f>
        <v>Yes</v>
      </c>
      <c r="K8" s="185" t="str">
        <f>IFERROR(__xludf.DUMMYFUNCTION("""COMPUTED_VALUE"""),"Clutch, Clay, Huge")</f>
        <v>Clutch, Clay, Huge</v>
      </c>
      <c r="L8" s="187">
        <f>IFERROR(__xludf.DUMMYFUNCTION("""COMPUTED_VALUE"""),39.0)</f>
        <v>39</v>
      </c>
      <c r="M8" s="188">
        <f>IFERROR(__xludf.DUMMYFUNCTION("""COMPUTED_VALUE"""),0.04)</f>
        <v>0.04</v>
      </c>
      <c r="N8" s="188">
        <f>IFERROR(__xludf.DUMMYFUNCTION("""COMPUTED_VALUE"""),0.54)</f>
        <v>0.54</v>
      </c>
      <c r="O8" s="189" t="s">
        <v>1628</v>
      </c>
      <c r="P8" s="189" t="s">
        <v>1627</v>
      </c>
      <c r="Q8" s="189" t="s">
        <v>1606</v>
      </c>
      <c r="R8" s="189" t="s">
        <v>616</v>
      </c>
    </row>
    <row r="9">
      <c r="A9" s="185" t="str">
        <f>IFERROR(__xludf.DUMMYFUNCTION("""COMPUTED_VALUE"""),"Agency directory / review marketplace")</f>
        <v>Agency directory / review marketplace</v>
      </c>
      <c r="B9" s="186" t="str">
        <f>IFERROR(__xludf.DUMMYFUNCTION("""COMPUTED_VALUE"""),"https://www.designrush.com/agency/digital-marketing/analytics/us")</f>
        <v>https://www.designrush.com/agency/digital-marketing/analytics/us</v>
      </c>
      <c r="C9" s="185" t="str">
        <f>IFERROR(__xludf.DUMMYFUNCTION("""COMPUTED_VALUE"""),"Top United States Marketing Analytics Companies | 2026")</f>
        <v>Top United States Marketing Analytics Companies | 2026</v>
      </c>
      <c r="D9" s="185" t="str">
        <f>IFERROR(__xludf.DUMMYFUNCTION("""COMPUTED_VALUE"""),"US")</f>
        <v>US</v>
      </c>
      <c r="E9" s="185" t="str">
        <f>IFERROR(__xludf.DUMMYFUNCTION("""COMPUTED_VALUE"""),"designrush.com")</f>
        <v>designrush.com</v>
      </c>
      <c r="F9" s="185" t="str">
        <f>IFERROR(__xludf.DUMMYFUNCTION("""COMPUTED_VALUE"""),"Category Page")</f>
        <v>Category Page</v>
      </c>
      <c r="G9" s="185" t="str">
        <f>IFERROR(__xludf.DUMMYFUNCTION("""COMPUTED_VALUE"""),"CORPORATE")</f>
        <v>CORPORATE</v>
      </c>
      <c r="H9" s="185" t="str">
        <f>IFERROR(__xludf.DUMMYFUNCTION("""COMPUTED_VALUE"""),"No")</f>
        <v>No</v>
      </c>
      <c r="I9" s="185" t="str">
        <f>IFERROR(__xludf.DUMMYFUNCTION("""COMPUTED_VALUE"""),"Medium")</f>
        <v>Medium</v>
      </c>
      <c r="J9" s="185" t="str">
        <f>IFERROR(__xludf.DUMMYFUNCTION("""COMPUTED_VALUE"""),"Yes")</f>
        <v>Yes</v>
      </c>
      <c r="K9" s="185" t="str">
        <f>IFERROR(__xludf.DUMMYFUNCTION("""COMPUTED_VALUE"""),"SmartSites, Huge, KlientBoost, Funnel Boost Media, Elit-Web, AdVenture Media, Monks, Ignite Visibility, IBM, Measured")</f>
        <v>SmartSites, Huge, KlientBoost, Funnel Boost Media, Elit-Web, AdVenture Media, Monks, Ignite Visibility, IBM, Measured</v>
      </c>
      <c r="L9" s="187">
        <f>IFERROR(__xludf.DUMMYFUNCTION("""COMPUTED_VALUE"""),37.0)</f>
        <v>37</v>
      </c>
      <c r="M9" s="188">
        <f>IFERROR(__xludf.DUMMYFUNCTION("""COMPUTED_VALUE"""),0.04)</f>
        <v>0.04</v>
      </c>
      <c r="N9" s="188">
        <f>IFERROR(__xludf.DUMMYFUNCTION("""COMPUTED_VALUE"""),0.54)</f>
        <v>0.54</v>
      </c>
      <c r="O9" s="189" t="s">
        <v>384</v>
      </c>
      <c r="P9" s="189" t="s">
        <v>1639</v>
      </c>
      <c r="Q9" s="189" t="s">
        <v>1606</v>
      </c>
      <c r="R9" s="189" t="s">
        <v>616</v>
      </c>
    </row>
    <row r="10">
      <c r="A10" s="185" t="str">
        <f>IFERROR(__xludf.DUMMYFUNCTION("""COMPUTED_VALUE"""),"Lower-priority competitor/vendor roundup")</f>
        <v>Lower-priority competitor/vendor roundup</v>
      </c>
      <c r="B10" s="186" t="str">
        <f>IFERROR(__xludf.DUMMYFUNCTION("""COMPUTED_VALUE"""),"https://www.webtonic.io/blog/best-paid-social-agencies-us")</f>
        <v>https://www.webtonic.io/blog/best-paid-social-agencies-us</v>
      </c>
      <c r="C10" s="185" t="str">
        <f>IFERROR(__xludf.DUMMYFUNCTION("""COMPUTED_VALUE"""),"27 Best Paid Social Agencies in the US for 2026")</f>
        <v>27 Best Paid Social Agencies in the US for 2026</v>
      </c>
      <c r="D10" s="185" t="str">
        <f>IFERROR(__xludf.DUMMYFUNCTION("""COMPUTED_VALUE"""),"US")</f>
        <v>US</v>
      </c>
      <c r="E10" s="185" t="str">
        <f>IFERROR(__xludf.DUMMYFUNCTION("""COMPUTED_VALUE"""),"webtonic.io")</f>
        <v>webtonic.io</v>
      </c>
      <c r="F10" s="185" t="str">
        <f>IFERROR(__xludf.DUMMYFUNCTION("""COMPUTED_VALUE"""),"Listicle")</f>
        <v>Listicle</v>
      </c>
      <c r="G10" s="185" t="str">
        <f>IFERROR(__xludf.DUMMYFUNCTION("""COMPUTED_VALUE"""),"COMPETITOR")</f>
        <v>COMPETITOR</v>
      </c>
      <c r="H10" s="185" t="str">
        <f>IFERROR(__xludf.DUMMYFUNCTION("""COMPUTED_VALUE"""),"No")</f>
        <v>No</v>
      </c>
      <c r="I10" s="185" t="str">
        <f>IFERROR(__xludf.DUMMYFUNCTION("""COMPUTED_VALUE"""),"Low")</f>
        <v>Low</v>
      </c>
      <c r="J10" s="185" t="str">
        <f>IFERROR(__xludf.DUMMYFUNCTION("""COMPUTED_VALUE"""),"Secondary")</f>
        <v>Secondary</v>
      </c>
      <c r="K10" s="185" t="str">
        <f>IFERROR(__xludf.DUMMYFUNCTION("""COMPUTED_VALUE"""),"Web Tonic, Sociallyin, Tinuiti, Disruptive Advertising, Metric Theory, Power Digital, DEPT, Wpromote, TransUnion, Viral Nation, Jellyfish, The Social Shepherd, Ignite Visibility, MuteSix, Directive, Hawke Media")</f>
        <v>Web Tonic, Sociallyin, Tinuiti, Disruptive Advertising, Metric Theory, Power Digital, DEPT, Wpromote, TransUnion, Viral Nation, Jellyfish, The Social Shepherd, Ignite Visibility, MuteSix, Directive, Hawke Media</v>
      </c>
      <c r="L10" s="187">
        <f>IFERROR(__xludf.DUMMYFUNCTION("""COMPUTED_VALUE"""),37.0)</f>
        <v>37</v>
      </c>
      <c r="M10" s="188">
        <f>IFERROR(__xludf.DUMMYFUNCTION("""COMPUTED_VALUE"""),0.04)</f>
        <v>0.04</v>
      </c>
      <c r="N10" s="188">
        <f>IFERROR(__xludf.DUMMYFUNCTION("""COMPUTED_VALUE"""),1.84)</f>
        <v>1.84</v>
      </c>
      <c r="O10" s="189" t="s">
        <v>595</v>
      </c>
      <c r="P10" s="189" t="s">
        <v>1639</v>
      </c>
      <c r="Q10" s="189" t="s">
        <v>1606</v>
      </c>
      <c r="R10" s="189" t="s">
        <v>616</v>
      </c>
    </row>
    <row r="11">
      <c r="A11" s="185" t="str">
        <f>IFERROR(__xludf.DUMMYFUNCTION("""COMPUTED_VALUE"""),"Industry data / software authority")</f>
        <v>Industry data / software authority</v>
      </c>
      <c r="B11" s="186" t="str">
        <f>IFERROR(__xludf.DUMMYFUNCTION("""COMPUTED_VALUE"""),"https://agencies.semrush.com/list/united-states/")</f>
        <v>https://agencies.semrush.com/list/united-states/</v>
      </c>
      <c r="C11" s="185" t="str">
        <f>IFERROR(__xludf.DUMMYFUNCTION("""COMPUTED_VALUE"""),"Best Digital Marketing Agencies in United States 2026 | Semrush")</f>
        <v>Best Digital Marketing Agencies in United States 2026 | Semrush</v>
      </c>
      <c r="D11" s="185" t="str">
        <f>IFERROR(__xludf.DUMMYFUNCTION("""COMPUTED_VALUE"""),"US")</f>
        <v>US</v>
      </c>
      <c r="E11" s="185" t="str">
        <f>IFERROR(__xludf.DUMMYFUNCTION("""COMPUTED_VALUE"""),"semrush.com")</f>
        <v>semrush.com</v>
      </c>
      <c r="F11" s="185" t="str">
        <f>IFERROR(__xludf.DUMMYFUNCTION("""COMPUTED_VALUE"""),"Profile")</f>
        <v>Profile</v>
      </c>
      <c r="G11" s="185" t="str">
        <f>IFERROR(__xludf.DUMMYFUNCTION("""COMPUTED_VALUE"""),"CORPORATE")</f>
        <v>CORPORATE</v>
      </c>
      <c r="H11" s="185" t="str">
        <f>IFERROR(__xludf.DUMMYFUNCTION("""COMPUTED_VALUE"""),"No")</f>
        <v>No</v>
      </c>
      <c r="I11" s="185" t="str">
        <f>IFERROR(__xludf.DUMMYFUNCTION("""COMPUTED_VALUE"""),"Medium")</f>
        <v>Medium</v>
      </c>
      <c r="J11" s="185" t="str">
        <f>IFERROR(__xludf.DUMMYFUNCTION("""COMPUTED_VALUE"""),"Yes")</f>
        <v>Yes</v>
      </c>
      <c r="K11" s="185" t="str">
        <f>IFERROR(__xludf.DUMMYFUNCTION("""COMPUTED_VALUE"""),"Clutch")</f>
        <v>Clutch</v>
      </c>
      <c r="L11" s="187">
        <f>IFERROR(__xludf.DUMMYFUNCTION("""COMPUTED_VALUE"""),33.0)</f>
        <v>33</v>
      </c>
      <c r="M11" s="188">
        <f>IFERROR(__xludf.DUMMYFUNCTION("""COMPUTED_VALUE"""),0.03)</f>
        <v>0.03</v>
      </c>
      <c r="N11" s="188">
        <f>IFERROR(__xludf.DUMMYFUNCTION("""COMPUTED_VALUE"""),0.24)</f>
        <v>0.24</v>
      </c>
      <c r="O11" s="189" t="s">
        <v>2065</v>
      </c>
      <c r="P11" s="189" t="s">
        <v>1639</v>
      </c>
      <c r="Q11" s="189" t="s">
        <v>1606</v>
      </c>
      <c r="R11" s="189" t="s">
        <v>616</v>
      </c>
    </row>
    <row r="12">
      <c r="A12" s="185" t="str">
        <f>IFERROR(__xludf.DUMMYFUNCTION("""COMPUTED_VALUE"""),"Agency directory / review marketplace")</f>
        <v>Agency directory / review marketplace</v>
      </c>
      <c r="B12" s="186" t="str">
        <f>IFERROR(__xludf.DUMMYFUNCTION("""COMPUTED_VALUE"""),"https://clutch.co/us/agencies/ppc/display#:~:text=The%20agency%20consistently%20received%20high%20ratings%20for,2%20of%202%20reviews%20are%205%20stars.")</f>
        <v>https://clutch.co/us/agencies/ppc/display#:~:text=The%20agency%20consistently%20received%20high%20ratings%20for,2%20of%202%20reviews%20are%205%20stars.</v>
      </c>
      <c r="C12" s="185" t="str">
        <f>IFERROR(__xludf.DUMMYFUNCTION("""COMPUTED_VALUE"""),"Top Display Advertising Agencies in the United States - Jul 2026 Rankings \| Clutch.co")</f>
        <v>Top Display Advertising Agencies in the United States - Jul 2026 Rankings \| Clutch.co</v>
      </c>
      <c r="D12" s="185" t="str">
        <f>IFERROR(__xludf.DUMMYFUNCTION("""COMPUTED_VALUE"""),"US")</f>
        <v>US</v>
      </c>
      <c r="E12" s="185" t="str">
        <f>IFERROR(__xludf.DUMMYFUNCTION("""COMPUTED_VALUE"""),"clutch.co")</f>
        <v>clutch.co</v>
      </c>
      <c r="F12" s="185" t="str">
        <f>IFERROR(__xludf.DUMMYFUNCTION("""COMPUTED_VALUE"""),"Other")</f>
        <v>Other</v>
      </c>
      <c r="G12" s="185" t="str">
        <f>IFERROR(__xludf.DUMMYFUNCTION("""COMPUTED_VALUE"""),"COMPETITOR")</f>
        <v>COMPETITOR</v>
      </c>
      <c r="H12" s="185" t="str">
        <f>IFERROR(__xludf.DUMMYFUNCTION("""COMPUTED_VALUE"""),"No")</f>
        <v>No</v>
      </c>
      <c r="I12" s="185" t="str">
        <f>IFERROR(__xludf.DUMMYFUNCTION("""COMPUTED_VALUE"""),"Medium")</f>
        <v>Medium</v>
      </c>
      <c r="J12" s="185" t="str">
        <f>IFERROR(__xludf.DUMMYFUNCTION("""COMPUTED_VALUE"""),"Yes")</f>
        <v>Yes</v>
      </c>
      <c r="K12" s="185" t="str">
        <f>IFERROR(__xludf.DUMMYFUNCTION("""COMPUTED_VALUE"""),"Clutch, Elit-Web, AdVenture Media, Storm Brain")</f>
        <v>Clutch, Elit-Web, AdVenture Media, Storm Brain</v>
      </c>
      <c r="L12" s="187">
        <f>IFERROR(__xludf.DUMMYFUNCTION("""COMPUTED_VALUE"""),33.0)</f>
        <v>33</v>
      </c>
      <c r="M12" s="188">
        <f>IFERROR(__xludf.DUMMYFUNCTION("""COMPUTED_VALUE"""),0.03)</f>
        <v>0.03</v>
      </c>
      <c r="N12" s="188">
        <f>IFERROR(__xludf.DUMMYFUNCTION("""COMPUTED_VALUE"""),0.94)</f>
        <v>0.94</v>
      </c>
      <c r="O12" s="189" t="s">
        <v>2075</v>
      </c>
      <c r="P12" s="189" t="s">
        <v>1639</v>
      </c>
      <c r="Q12" s="189" t="s">
        <v>1606</v>
      </c>
      <c r="R12" s="189" t="s">
        <v>616</v>
      </c>
    </row>
    <row r="13">
      <c r="A13" s="185" t="str">
        <f>IFERROR(__xludf.DUMMYFUNCTION("""COMPUTED_VALUE"""),"Official partner / certification ecosystem")</f>
        <v>Official partner / certification ecosystem</v>
      </c>
      <c r="B13" s="186" t="str">
        <f>IFERROR(__xludf.DUMMYFUNCTION("""COMPUTED_VALUE"""),"https://support.google.com/analytics/answer/7237700?hl=en")</f>
        <v>https://support.google.com/analytics/answer/7237700?hl=en</v>
      </c>
      <c r="C13" s="185" t="str">
        <f>IFERROR(__xludf.DUMMYFUNCTION("""COMPUTED_VALUE"""),"Google Marketing Platform Partners - Analytics Help")</f>
        <v>Google Marketing Platform Partners - Analytics Help</v>
      </c>
      <c r="D13" s="185" t="str">
        <f>IFERROR(__xludf.DUMMYFUNCTION("""COMPUTED_VALUE"""),"US")</f>
        <v>US</v>
      </c>
      <c r="E13" s="185" t="str">
        <f>IFERROR(__xludf.DUMMYFUNCTION("""COMPUTED_VALUE"""),"google.com")</f>
        <v>google.com</v>
      </c>
      <c r="F13" s="185" t="str">
        <f>IFERROR(__xludf.DUMMYFUNCTION("""COMPUTED_VALUE"""),"Other")</f>
        <v>Other</v>
      </c>
      <c r="G13" s="185" t="str">
        <f>IFERROR(__xludf.DUMMYFUNCTION("""COMPUTED_VALUE"""),"OTHER")</f>
        <v>OTHER</v>
      </c>
      <c r="H13" s="185" t="str">
        <f>IFERROR(__xludf.DUMMYFUNCTION("""COMPUTED_VALUE"""),"No")</f>
        <v>No</v>
      </c>
      <c r="I13" s="185" t="str">
        <f>IFERROR(__xludf.DUMMYFUNCTION("""COMPUTED_VALUE"""),"High")</f>
        <v>High</v>
      </c>
      <c r="J13" s="185" t="str">
        <f>IFERROR(__xludf.DUMMYFUNCTION("""COMPUTED_VALUE"""),"Yes - priority")</f>
        <v>Yes - priority</v>
      </c>
      <c r="K13" s="185"/>
      <c r="L13" s="187">
        <f>IFERROR(__xludf.DUMMYFUNCTION("""COMPUTED_VALUE"""),33.0)</f>
        <v>33</v>
      </c>
      <c r="M13" s="188">
        <f>IFERROR(__xludf.DUMMYFUNCTION("""COMPUTED_VALUE"""),0.03)</f>
        <v>0.03</v>
      </c>
      <c r="N13" s="188">
        <f>IFERROR(__xludf.DUMMYFUNCTION("""COMPUTED_VALUE"""),1.76)</f>
        <v>1.76</v>
      </c>
      <c r="O13" s="189" t="s">
        <v>1664</v>
      </c>
      <c r="P13" s="189" t="s">
        <v>1639</v>
      </c>
      <c r="Q13" s="189" t="s">
        <v>1606</v>
      </c>
      <c r="R13" s="189" t="s">
        <v>616</v>
      </c>
    </row>
    <row r="14">
      <c r="A14" s="185" t="str">
        <f>IFERROR(__xludf.DUMMYFUNCTION("""COMPUTED_VALUE"""),"Lower-priority competitor/vendor roundup")</f>
        <v>Lower-priority competitor/vendor roundup</v>
      </c>
      <c r="B14" s="186" t="str">
        <f>IFERROR(__xludf.DUMMYFUNCTION("""COMPUTED_VALUE"""),"https://www.thegrowthsyndicate.com/agencies/best-b2b-performance-marketing-agencies-us")</f>
        <v>https://www.thegrowthsyndicate.com/agencies/best-b2b-performance-marketing-agencies-us</v>
      </c>
      <c r="C14" s="185" t="str">
        <f>IFERROR(__xludf.DUMMYFUNCTION("""COMPUTED_VALUE"""),"The 11 Best B2B Performance Marketing Agencies in the US")</f>
        <v>The 11 Best B2B Performance Marketing Agencies in the US</v>
      </c>
      <c r="D14" s="185" t="str">
        <f>IFERROR(__xludf.DUMMYFUNCTION("""COMPUTED_VALUE"""),"US")</f>
        <v>US</v>
      </c>
      <c r="E14" s="185" t="str">
        <f>IFERROR(__xludf.DUMMYFUNCTION("""COMPUTED_VALUE"""),"thegrowthsyndicate.com")</f>
        <v>thegrowthsyndicate.com</v>
      </c>
      <c r="F14" s="185" t="str">
        <f>IFERROR(__xludf.DUMMYFUNCTION("""COMPUTED_VALUE"""),"Listicle")</f>
        <v>Listicle</v>
      </c>
      <c r="G14" s="185" t="str">
        <f>IFERROR(__xludf.DUMMYFUNCTION("""COMPUTED_VALUE"""),"CORPORATE")</f>
        <v>CORPORATE</v>
      </c>
      <c r="H14" s="185" t="str">
        <f>IFERROR(__xludf.DUMMYFUNCTION("""COMPUTED_VALUE"""),"No")</f>
        <v>No</v>
      </c>
      <c r="I14" s="185" t="str">
        <f>IFERROR(__xludf.DUMMYFUNCTION("""COMPUTED_VALUE"""),"Low")</f>
        <v>Low</v>
      </c>
      <c r="J14" s="185" t="str">
        <f>IFERROR(__xludf.DUMMYFUNCTION("""COMPUTED_VALUE"""),"Secondary")</f>
        <v>Secondary</v>
      </c>
      <c r="K14" s="185" t="str">
        <f>IFERROR(__xludf.DUMMYFUNCTION("""COMPUTED_VALUE"""),"Disruptive Advertising, KlientBoost, Tinuiti, Metric Theory, Brainlabs, NP Digital, Silverback Strategies, Anomaly, Clutch, Measured")</f>
        <v>Disruptive Advertising, KlientBoost, Tinuiti, Metric Theory, Brainlabs, NP Digital, Silverback Strategies, Anomaly, Clutch, Measured</v>
      </c>
      <c r="L14" s="187">
        <f>IFERROR(__xludf.DUMMYFUNCTION("""COMPUTED_VALUE"""),32.0)</f>
        <v>32</v>
      </c>
      <c r="M14" s="188">
        <f>IFERROR(__xludf.DUMMYFUNCTION("""COMPUTED_VALUE"""),0.03)</f>
        <v>0.03</v>
      </c>
      <c r="N14" s="188">
        <f>IFERROR(__xludf.DUMMYFUNCTION("""COMPUTED_VALUE"""),0.84)</f>
        <v>0.84</v>
      </c>
      <c r="O14" s="189" t="s">
        <v>1677</v>
      </c>
      <c r="P14" s="189" t="s">
        <v>1639</v>
      </c>
      <c r="Q14" s="189" t="s">
        <v>1606</v>
      </c>
      <c r="R14" s="189" t="s">
        <v>616</v>
      </c>
    </row>
    <row r="15">
      <c r="A15" s="185" t="str">
        <f>IFERROR(__xludf.DUMMYFUNCTION("""COMPUTED_VALUE"""),"Agency directory / review marketplace")</f>
        <v>Agency directory / review marketplace</v>
      </c>
      <c r="B15" s="186" t="str">
        <f>IFERROR(__xludf.DUMMYFUNCTION("""COMPUTED_VALUE"""),"https://clutch.co/us/agencies/ppc")</f>
        <v>https://clutch.co/us/agencies/ppc</v>
      </c>
      <c r="C15" s="185" t="str">
        <f>IFERROR(__xludf.DUMMYFUNCTION("""COMPUTED_VALUE"""),"Top PPC Companies in the United States - Jul 2026 Rankings | Clutch.co")</f>
        <v>Top PPC Companies in the United States - Jul 2026 Rankings | Clutch.co</v>
      </c>
      <c r="D15" s="185" t="str">
        <f>IFERROR(__xludf.DUMMYFUNCTION("""COMPUTED_VALUE"""),"US")</f>
        <v>US</v>
      </c>
      <c r="E15" s="185" t="str">
        <f>IFERROR(__xludf.DUMMYFUNCTION("""COMPUTED_VALUE"""),"clutch.co")</f>
        <v>clutch.co</v>
      </c>
      <c r="F15" s="185" t="str">
        <f>IFERROR(__xludf.DUMMYFUNCTION("""COMPUTED_VALUE"""),"Category Page")</f>
        <v>Category Page</v>
      </c>
      <c r="G15" s="185" t="str">
        <f>IFERROR(__xludf.DUMMYFUNCTION("""COMPUTED_VALUE"""),"COMPETITOR")</f>
        <v>COMPETITOR</v>
      </c>
      <c r="H15" s="185" t="str">
        <f>IFERROR(__xludf.DUMMYFUNCTION("""COMPUTED_VALUE"""),"No")</f>
        <v>No</v>
      </c>
      <c r="I15" s="185" t="str">
        <f>IFERROR(__xludf.DUMMYFUNCTION("""COMPUTED_VALUE"""),"Medium")</f>
        <v>Medium</v>
      </c>
      <c r="J15" s="185" t="str">
        <f>IFERROR(__xludf.DUMMYFUNCTION("""COMPUTED_VALUE"""),"Yes")</f>
        <v>Yes</v>
      </c>
      <c r="K15" s="185" t="str">
        <f>IFERROR(__xludf.DUMMYFUNCTION("""COMPUTED_VALUE"""),"Clutch, KlientBoost, Disruptive Advertising, AdVenture Media, HawkSEM, SmartSites, Intero Digital, Elit-Web, Searchbloom, Acadia, Ignite Visibility, Storm Brain, Funnel Boost Media")</f>
        <v>Clutch, KlientBoost, Disruptive Advertising, AdVenture Media, HawkSEM, SmartSites, Intero Digital, Elit-Web, Searchbloom, Acadia, Ignite Visibility, Storm Brain, Funnel Boost Media</v>
      </c>
      <c r="L15" s="187">
        <f>IFERROR(__xludf.DUMMYFUNCTION("""COMPUTED_VALUE"""),31.0)</f>
        <v>31</v>
      </c>
      <c r="M15" s="188">
        <f>IFERROR(__xludf.DUMMYFUNCTION("""COMPUTED_VALUE"""),0.03)</f>
        <v>0.03</v>
      </c>
      <c r="N15" s="188">
        <f>IFERROR(__xludf.DUMMYFUNCTION("""COMPUTED_VALUE"""),1.03)</f>
        <v>1.03</v>
      </c>
      <c r="O15" s="189" t="s">
        <v>1685</v>
      </c>
      <c r="P15" s="189" t="s">
        <v>1639</v>
      </c>
      <c r="Q15" s="189" t="s">
        <v>1606</v>
      </c>
      <c r="R15" s="189" t="s">
        <v>616</v>
      </c>
    </row>
    <row r="16">
      <c r="A16" s="185" t="str">
        <f>IFERROR(__xludf.DUMMYFUNCTION("""COMPUTED_VALUE"""),"Agency directory / review marketplace")</f>
        <v>Agency directory / review marketplace</v>
      </c>
      <c r="B16" s="186" t="str">
        <f>IFERROR(__xludf.DUMMYFUNCTION("""COMPUTED_VALUE"""),"https://www.goodfirms.co/directory/country/top-digital-marketing-companies/us")</f>
        <v>https://www.goodfirms.co/directory/country/top-digital-marketing-companies/us</v>
      </c>
      <c r="C16" s="185" t="str">
        <f>IFERROR(__xludf.DUMMYFUNCTION("""COMPUTED_VALUE"""),"Top Digital Marketing Agencies in USA - 2026 Reviews | Goodfirms")</f>
        <v>Top Digital Marketing Agencies in USA - 2026 Reviews | Goodfirms</v>
      </c>
      <c r="D16" s="185" t="str">
        <f>IFERROR(__xludf.DUMMYFUNCTION("""COMPUTED_VALUE"""),"US")</f>
        <v>US</v>
      </c>
      <c r="E16" s="185" t="str">
        <f>IFERROR(__xludf.DUMMYFUNCTION("""COMPUTED_VALUE"""),"goodfirms.co")</f>
        <v>goodfirms.co</v>
      </c>
      <c r="F16" s="185" t="str">
        <f>IFERROR(__xludf.DUMMYFUNCTION("""COMPUTED_VALUE"""),"Category Page")</f>
        <v>Category Page</v>
      </c>
      <c r="G16" s="185" t="str">
        <f>IFERROR(__xludf.DUMMYFUNCTION("""COMPUTED_VALUE"""),"UGC")</f>
        <v>UGC</v>
      </c>
      <c r="H16" s="185" t="str">
        <f>IFERROR(__xludf.DUMMYFUNCTION("""COMPUTED_VALUE"""),"No")</f>
        <v>No</v>
      </c>
      <c r="I16" s="185" t="str">
        <f>IFERROR(__xludf.DUMMYFUNCTION("""COMPUTED_VALUE"""),"Medium")</f>
        <v>Medium</v>
      </c>
      <c r="J16" s="185" t="str">
        <f>IFERROR(__xludf.DUMMYFUNCTION("""COMPUTED_VALUE"""),"Yes")</f>
        <v>Yes</v>
      </c>
      <c r="K16" s="185" t="str">
        <f>IFERROR(__xludf.DUMMYFUNCTION("""COMPUTED_VALUE"""),"WebFX, Searchbloom, SmartSites, Funnel Boost Media, Elit-Web, Storm Brain, Go Fish Digital")</f>
        <v>WebFX, Searchbloom, SmartSites, Funnel Boost Media, Elit-Web, Storm Brain, Go Fish Digital</v>
      </c>
      <c r="L16" s="187">
        <f>IFERROR(__xludf.DUMMYFUNCTION("""COMPUTED_VALUE"""),31.0)</f>
        <v>31</v>
      </c>
      <c r="M16" s="188">
        <f>IFERROR(__xludf.DUMMYFUNCTION("""COMPUTED_VALUE"""),0.03)</f>
        <v>0.03</v>
      </c>
      <c r="N16" s="188">
        <f>IFERROR(__xludf.DUMMYFUNCTION("""COMPUTED_VALUE"""),0.55)</f>
        <v>0.55</v>
      </c>
      <c r="O16" s="189" t="s">
        <v>1698</v>
      </c>
      <c r="P16" s="189" t="s">
        <v>1639</v>
      </c>
      <c r="Q16" s="189" t="s">
        <v>1606</v>
      </c>
      <c r="R16" s="189" t="s">
        <v>616</v>
      </c>
    </row>
    <row r="17">
      <c r="A17" s="185" t="str">
        <f>IFERROR(__xludf.DUMMYFUNCTION("""COMPUTED_VALUE"""),"Agency directory / review marketplace")</f>
        <v>Agency directory / review marketplace</v>
      </c>
      <c r="B17" s="186" t="str">
        <f>IFERROR(__xludf.DUMMYFUNCTION("""COMPUTED_VALUE"""),"https://clutch.co/us/agencies/social-media-marketing")</f>
        <v>https://clutch.co/us/agencies/social-media-marketing</v>
      </c>
      <c r="C17" s="185" t="str">
        <f>IFERROR(__xludf.DUMMYFUNCTION("""COMPUTED_VALUE"""),"Top Social Media Marketing Companies in the United States - Jul 2026 Rankings \| Clutch.co")</f>
        <v>Top Social Media Marketing Companies in the United States - Jul 2026 Rankings \| Clutch.co</v>
      </c>
      <c r="D17" s="185" t="str">
        <f>IFERROR(__xludf.DUMMYFUNCTION("""COMPUTED_VALUE"""),"US")</f>
        <v>US</v>
      </c>
      <c r="E17" s="185" t="str">
        <f>IFERROR(__xludf.DUMMYFUNCTION("""COMPUTED_VALUE"""),"clutch.co")</f>
        <v>clutch.co</v>
      </c>
      <c r="F17" s="185" t="str">
        <f>IFERROR(__xludf.DUMMYFUNCTION("""COMPUTED_VALUE"""),"Category Page")</f>
        <v>Category Page</v>
      </c>
      <c r="G17" s="185" t="str">
        <f>IFERROR(__xludf.DUMMYFUNCTION("""COMPUTED_VALUE"""),"COMPETITOR")</f>
        <v>COMPETITOR</v>
      </c>
      <c r="H17" s="185" t="str">
        <f>IFERROR(__xludf.DUMMYFUNCTION("""COMPUTED_VALUE"""),"No")</f>
        <v>No</v>
      </c>
      <c r="I17" s="185" t="str">
        <f>IFERROR(__xludf.DUMMYFUNCTION("""COMPUTED_VALUE"""),"Medium")</f>
        <v>Medium</v>
      </c>
      <c r="J17" s="185" t="str">
        <f>IFERROR(__xludf.DUMMYFUNCTION("""COMPUTED_VALUE"""),"Yes")</f>
        <v>Yes</v>
      </c>
      <c r="K17" s="185" t="str">
        <f>IFERROR(__xludf.DUMMYFUNCTION("""COMPUTED_VALUE"""),"Clutch, Sociallyin, LYFE Marketing, SmartSites, Ignite Visibility, Elit-Web, KlientBoost, Disruptive Advertising, AdVenture Media, HawkSEM")</f>
        <v>Clutch, Sociallyin, LYFE Marketing, SmartSites, Ignite Visibility, Elit-Web, KlientBoost, Disruptive Advertising, AdVenture Media, HawkSEM</v>
      </c>
      <c r="L17" s="187">
        <f>IFERROR(__xludf.DUMMYFUNCTION("""COMPUTED_VALUE"""),29.0)</f>
        <v>29</v>
      </c>
      <c r="M17" s="188">
        <f>IFERROR(__xludf.DUMMYFUNCTION("""COMPUTED_VALUE"""),0.03)</f>
        <v>0.03</v>
      </c>
      <c r="N17" s="188">
        <f>IFERROR(__xludf.DUMMYFUNCTION("""COMPUTED_VALUE"""),0.93)</f>
        <v>0.93</v>
      </c>
      <c r="O17" s="189" t="s">
        <v>1712</v>
      </c>
      <c r="P17" s="189" t="s">
        <v>1639</v>
      </c>
      <c r="Q17" s="189" t="s">
        <v>1606</v>
      </c>
      <c r="R17" s="189" t="s">
        <v>616</v>
      </c>
    </row>
    <row r="18">
      <c r="A18" s="185" t="str">
        <f>IFERROR(__xludf.DUMMYFUNCTION("""COMPUTED_VALUE"""),"Agency directory / review marketplace")</f>
        <v>Agency directory / review marketplace</v>
      </c>
      <c r="B18" s="186" t="str">
        <f>IFERROR(__xludf.DUMMYFUNCTION("""COMPUTED_VALUE"""),"https://clutch.co/us/agencies/ppc/advertising-industry")</f>
        <v>https://clutch.co/us/agencies/ppc/advertising-industry</v>
      </c>
      <c r="C18" s="185" t="str">
        <f>IFERROR(__xludf.DUMMYFUNCTION("""COMPUTED_VALUE"""),"Top PPC Agencies for Ad Agencies in the United States - Jul 2026 Rankings \| Clutch.co")</f>
        <v>Top PPC Agencies for Ad Agencies in the United States - Jul 2026 Rankings \| Clutch.co</v>
      </c>
      <c r="D18" s="185" t="str">
        <f>IFERROR(__xludf.DUMMYFUNCTION("""COMPUTED_VALUE"""),"US")</f>
        <v>US</v>
      </c>
      <c r="E18" s="185" t="str">
        <f>IFERROR(__xludf.DUMMYFUNCTION("""COMPUTED_VALUE"""),"clutch.co")</f>
        <v>clutch.co</v>
      </c>
      <c r="F18" s="185" t="str">
        <f>IFERROR(__xludf.DUMMYFUNCTION("""COMPUTED_VALUE"""),"Category Page")</f>
        <v>Category Page</v>
      </c>
      <c r="G18" s="185" t="str">
        <f>IFERROR(__xludf.DUMMYFUNCTION("""COMPUTED_VALUE"""),"COMPETITOR")</f>
        <v>COMPETITOR</v>
      </c>
      <c r="H18" s="185" t="str">
        <f>IFERROR(__xludf.DUMMYFUNCTION("""COMPUTED_VALUE"""),"No")</f>
        <v>No</v>
      </c>
      <c r="I18" s="185" t="str">
        <f>IFERROR(__xludf.DUMMYFUNCTION("""COMPUTED_VALUE"""),"Medium")</f>
        <v>Medium</v>
      </c>
      <c r="J18" s="185" t="str">
        <f>IFERROR(__xludf.DUMMYFUNCTION("""COMPUTED_VALUE"""),"Yes")</f>
        <v>Yes</v>
      </c>
      <c r="K18" s="185" t="str">
        <f>IFERROR(__xludf.DUMMYFUNCTION("""COMPUTED_VALUE"""),"Clutch, AdVenture Media, Disruptive Advertising, KlientBoost, LYFE Marketing")</f>
        <v>Clutch, AdVenture Media, Disruptive Advertising, KlientBoost, LYFE Marketing</v>
      </c>
      <c r="L18" s="187">
        <f>IFERROR(__xludf.DUMMYFUNCTION("""COMPUTED_VALUE"""),28.0)</f>
        <v>28</v>
      </c>
      <c r="M18" s="188">
        <f>IFERROR(__xludf.DUMMYFUNCTION("""COMPUTED_VALUE"""),0.03)</f>
        <v>0.03</v>
      </c>
      <c r="N18" s="188">
        <f>IFERROR(__xludf.DUMMYFUNCTION("""COMPUTED_VALUE"""),0.21)</f>
        <v>0.21</v>
      </c>
      <c r="O18" s="189" t="s">
        <v>2207</v>
      </c>
      <c r="P18" s="189" t="s">
        <v>1639</v>
      </c>
      <c r="Q18" s="189" t="s">
        <v>1606</v>
      </c>
      <c r="R18" s="189" t="s">
        <v>616</v>
      </c>
    </row>
    <row r="19">
      <c r="A19" s="185" t="str">
        <f>IFERROR(__xludf.DUMMYFUNCTION("""COMPUTED_VALUE"""),"Lower-priority competitor/vendor roundup")</f>
        <v>Lower-priority competitor/vendor roundup</v>
      </c>
      <c r="B19" s="186" t="str">
        <f>IFERROR(__xludf.DUMMYFUNCTION("""COMPUTED_VALUE"""),"https://www.cometly.com/post/marketing-incrementality-testing-tools")</f>
        <v>https://www.cometly.com/post/marketing-incrementality-testing-tools</v>
      </c>
      <c r="C19" s="185" t="str">
        <f>IFERROR(__xludf.DUMMYFUNCTION("""COMPUTED_VALUE"""),"9 Best Marketing Incrementality Testing Tools 2026")</f>
        <v>9 Best Marketing Incrementality Testing Tools 2026</v>
      </c>
      <c r="D19" s="185" t="str">
        <f>IFERROR(__xludf.DUMMYFUNCTION("""COMPUTED_VALUE"""),"US")</f>
        <v>US</v>
      </c>
      <c r="E19" s="185" t="str">
        <f>IFERROR(__xludf.DUMMYFUNCTION("""COMPUTED_VALUE"""),"cometly.com")</f>
        <v>cometly.com</v>
      </c>
      <c r="F19" s="185" t="str">
        <f>IFERROR(__xludf.DUMMYFUNCTION("""COMPUTED_VALUE"""),"Listicle")</f>
        <v>Listicle</v>
      </c>
      <c r="G19" s="185" t="str">
        <f>IFERROR(__xludf.DUMMYFUNCTION("""COMPUTED_VALUE"""),"COMPETITOR")</f>
        <v>COMPETITOR</v>
      </c>
      <c r="H19" s="185" t="str">
        <f>IFERROR(__xludf.DUMMYFUNCTION("""COMPUTED_VALUE"""),"No")</f>
        <v>No</v>
      </c>
      <c r="I19" s="185" t="str">
        <f>IFERROR(__xludf.DUMMYFUNCTION("""COMPUTED_VALUE"""),"Low")</f>
        <v>Low</v>
      </c>
      <c r="J19" s="185" t="str">
        <f>IFERROR(__xludf.DUMMYFUNCTION("""COMPUTED_VALUE"""),"Secondary")</f>
        <v>Secondary</v>
      </c>
      <c r="K19" s="185" t="str">
        <f>IFERROR(__xludf.DUMMYFUNCTION("""COMPUTED_VALUE"""),"Cometly, Measured, Rockerbox, Northbeam, LifeSight, Haus, Recast")</f>
        <v>Cometly, Measured, Rockerbox, Northbeam, LifeSight, Haus, Recast</v>
      </c>
      <c r="L19" s="187">
        <f>IFERROR(__xludf.DUMMYFUNCTION("""COMPUTED_VALUE"""),28.0)</f>
        <v>28</v>
      </c>
      <c r="M19" s="188">
        <f>IFERROR(__xludf.DUMMYFUNCTION("""COMPUTED_VALUE"""),0.03)</f>
        <v>0.03</v>
      </c>
      <c r="N19" s="188">
        <f>IFERROR(__xludf.DUMMYFUNCTION("""COMPUTED_VALUE"""),1.18)</f>
        <v>1.18</v>
      </c>
      <c r="O19" s="189" t="s">
        <v>2220</v>
      </c>
      <c r="P19" s="189" t="s">
        <v>1639</v>
      </c>
      <c r="Q19" s="189" t="s">
        <v>1606</v>
      </c>
      <c r="R19" s="189" t="s">
        <v>616</v>
      </c>
    </row>
    <row r="20">
      <c r="A20" s="185" t="str">
        <f>IFERROR(__xludf.DUMMYFUNCTION("""COMPUTED_VALUE"""),"Agency directory / review marketplace")</f>
        <v>Agency directory / review marketplace</v>
      </c>
      <c r="B20" s="186" t="str">
        <f>IFERROR(__xludf.DUMMYFUNCTION("""COMPUTED_VALUE"""),"https://www.sortlist.com/s/display-advertising/united-states-us")</f>
        <v>https://www.sortlist.com/s/display-advertising/united-states-us</v>
      </c>
      <c r="C20" s="185" t="str">
        <f>IFERROR(__xludf.DUMMYFUNCTION("""COMPUTED_VALUE"""),"The 10 Best Display Advertising Agencies in the United States - 2026 Reviews")</f>
        <v>The 10 Best Display Advertising Agencies in the United States - 2026 Reviews</v>
      </c>
      <c r="D20" s="185" t="str">
        <f>IFERROR(__xludf.DUMMYFUNCTION("""COMPUTED_VALUE"""),"US")</f>
        <v>US</v>
      </c>
      <c r="E20" s="185" t="str">
        <f>IFERROR(__xludf.DUMMYFUNCTION("""COMPUTED_VALUE"""),"sortlist.com")</f>
        <v>sortlist.com</v>
      </c>
      <c r="F20" s="185" t="str">
        <f>IFERROR(__xludf.DUMMYFUNCTION("""COMPUTED_VALUE"""),"Category Page")</f>
        <v>Category Page</v>
      </c>
      <c r="G20" s="185" t="str">
        <f>IFERROR(__xludf.DUMMYFUNCTION("""COMPUTED_VALUE"""),"CORPORATE")</f>
        <v>CORPORATE</v>
      </c>
      <c r="H20" s="185" t="str">
        <f>IFERROR(__xludf.DUMMYFUNCTION("""COMPUTED_VALUE"""),"No")</f>
        <v>No</v>
      </c>
      <c r="I20" s="185" t="str">
        <f>IFERROR(__xludf.DUMMYFUNCTION("""COMPUTED_VALUE"""),"Medium")</f>
        <v>Medium</v>
      </c>
      <c r="J20" s="185" t="str">
        <f>IFERROR(__xludf.DUMMYFUNCTION("""COMPUTED_VALUE"""),"Yes")</f>
        <v>Yes</v>
      </c>
      <c r="K20" s="185" t="str">
        <f>IFERROR(__xludf.DUMMYFUNCTION("""COMPUTED_VALUE"""),"Triple Whale, Northbeam, HockeyStack, NinjaPromo, Clutch, IBM")</f>
        <v>Triple Whale, Northbeam, HockeyStack, NinjaPromo, Clutch, IBM</v>
      </c>
      <c r="L20" s="187">
        <f>IFERROR(__xludf.DUMMYFUNCTION("""COMPUTED_VALUE"""),27.0)</f>
        <v>27</v>
      </c>
      <c r="M20" s="188">
        <f>IFERROR(__xludf.DUMMYFUNCTION("""COMPUTED_VALUE"""),0.03)</f>
        <v>0.03</v>
      </c>
      <c r="N20" s="188">
        <f>IFERROR(__xludf.DUMMYFUNCTION("""COMPUTED_VALUE"""),0.0)</f>
        <v>0</v>
      </c>
      <c r="O20" s="189" t="s">
        <v>2237</v>
      </c>
      <c r="P20" s="189" t="s">
        <v>1639</v>
      </c>
      <c r="Q20" s="189" t="s">
        <v>1606</v>
      </c>
      <c r="R20" s="189" t="s">
        <v>616</v>
      </c>
    </row>
    <row r="21">
      <c r="A21" s="185" t="str">
        <f>IFERROR(__xludf.DUMMYFUNCTION("""COMPUTED_VALUE"""),"Agency directory / review marketplace")</f>
        <v>Agency directory / review marketplace</v>
      </c>
      <c r="B21" s="186" t="str">
        <f>IFERROR(__xludf.DUMMYFUNCTION("""COMPUTED_VALUE"""),"https://clutch.co/agencies")</f>
        <v>https://clutch.co/agencies</v>
      </c>
      <c r="C21" s="185" t="str">
        <f>IFERROR(__xludf.DUMMYFUNCTION("""COMPUTED_VALUE"""),"Top Advertising Agencies &amp;amp; Marketing Companies - Jul 2026 Rankings | Clutch.co")</f>
        <v>Top Advertising Agencies &amp;amp; Marketing Companies - Jul 2026 Rankings | Clutch.co</v>
      </c>
      <c r="D21" s="185" t="str">
        <f>IFERROR(__xludf.DUMMYFUNCTION("""COMPUTED_VALUE"""),"US")</f>
        <v>US</v>
      </c>
      <c r="E21" s="185" t="str">
        <f>IFERROR(__xludf.DUMMYFUNCTION("""COMPUTED_VALUE"""),"clutch.co")</f>
        <v>clutch.co</v>
      </c>
      <c r="F21" s="185" t="str">
        <f>IFERROR(__xludf.DUMMYFUNCTION("""COMPUTED_VALUE"""),"Category Page")</f>
        <v>Category Page</v>
      </c>
      <c r="G21" s="185" t="str">
        <f>IFERROR(__xludf.DUMMYFUNCTION("""COMPUTED_VALUE"""),"COMPETITOR")</f>
        <v>COMPETITOR</v>
      </c>
      <c r="H21" s="185" t="str">
        <f>IFERROR(__xludf.DUMMYFUNCTION("""COMPUTED_VALUE"""),"No")</f>
        <v>No</v>
      </c>
      <c r="I21" s="185" t="str">
        <f>IFERROR(__xludf.DUMMYFUNCTION("""COMPUTED_VALUE"""),"Medium")</f>
        <v>Medium</v>
      </c>
      <c r="J21" s="185" t="str">
        <f>IFERROR(__xludf.DUMMYFUNCTION("""COMPUTED_VALUE"""),"Yes")</f>
        <v>Yes</v>
      </c>
      <c r="K21" s="185" t="str">
        <f>IFERROR(__xludf.DUMMYFUNCTION("""COMPUTED_VALUE"""),"Clutch, Power Digital, Ignite Visibility, SmartSites, LYFE Marketing, NinjaPromo, WebFX, KlientBoost, AdVenture Media, Sociallyin, Funnel Boost Media, The SEO Works")</f>
        <v>Clutch, Power Digital, Ignite Visibility, SmartSites, LYFE Marketing, NinjaPromo, WebFX, KlientBoost, AdVenture Media, Sociallyin, Funnel Boost Media, The SEO Works</v>
      </c>
      <c r="L21" s="187">
        <f>IFERROR(__xludf.DUMMYFUNCTION("""COMPUTED_VALUE"""),26.0)</f>
        <v>26</v>
      </c>
      <c r="M21" s="188">
        <f>IFERROR(__xludf.DUMMYFUNCTION("""COMPUTED_VALUE"""),0.03)</f>
        <v>0.03</v>
      </c>
      <c r="N21" s="188">
        <f>IFERROR(__xludf.DUMMYFUNCTION("""COMPUTED_VALUE"""),0.12)</f>
        <v>0.12</v>
      </c>
      <c r="O21" s="189" t="s">
        <v>1739</v>
      </c>
      <c r="P21" s="189" t="s">
        <v>1738</v>
      </c>
      <c r="Q21" s="189" t="s">
        <v>1606</v>
      </c>
      <c r="R21" s="189" t="s">
        <v>616</v>
      </c>
    </row>
    <row r="22">
      <c r="A22" s="185" t="str">
        <f>IFERROR(__xludf.DUMMYFUNCTION("""COMPUTED_VALUE"""),"Agency directory / review marketplace")</f>
        <v>Agency directory / review marketplace</v>
      </c>
      <c r="B22" s="186" t="str">
        <f>IFERROR(__xludf.DUMMYFUNCTION("""COMPUTED_VALUE"""),"https://digitalagencynetwork.com/agencies/usa/creative/")</f>
        <v>https://digitalagencynetwork.com/agencies/usa/creative/</v>
      </c>
      <c r="C22" s="185" t="str">
        <f>IFERROR(__xludf.DUMMYFUNCTION("""COMPUTED_VALUE"""),"Top Creative Agencies in USA (2026)")</f>
        <v>Top Creative Agencies in USA (2026)</v>
      </c>
      <c r="D22" s="185" t="str">
        <f>IFERROR(__xludf.DUMMYFUNCTION("""COMPUTED_VALUE"""),"US")</f>
        <v>US</v>
      </c>
      <c r="E22" s="185" t="str">
        <f>IFERROR(__xludf.DUMMYFUNCTION("""COMPUTED_VALUE"""),"digitalagencynetwork.com")</f>
        <v>digitalagencynetwork.com</v>
      </c>
      <c r="F22" s="185" t="str">
        <f>IFERROR(__xludf.DUMMYFUNCTION("""COMPUTED_VALUE"""),"Category Page")</f>
        <v>Category Page</v>
      </c>
      <c r="G22" s="185" t="str">
        <f>IFERROR(__xludf.DUMMYFUNCTION("""COMPUTED_VALUE"""),"REFERENCE")</f>
        <v>REFERENCE</v>
      </c>
      <c r="H22" s="185" t="str">
        <f>IFERROR(__xludf.DUMMYFUNCTION("""COMPUTED_VALUE"""),"No")</f>
        <v>No</v>
      </c>
      <c r="I22" s="185" t="str">
        <f>IFERROR(__xludf.DUMMYFUNCTION("""COMPUTED_VALUE"""),"Medium")</f>
        <v>Medium</v>
      </c>
      <c r="J22" s="185" t="str">
        <f>IFERROR(__xludf.DUMMYFUNCTION("""COMPUTED_VALUE"""),"Yes")</f>
        <v>Yes</v>
      </c>
      <c r="K22" s="185" t="str">
        <f>IFERROR(__xludf.DUMMYFUNCTION("""COMPUTED_VALUE"""),"Major Tom, Momentum, Clay, Brighter Click, PwC, NoGood, Forthea")</f>
        <v>Major Tom, Momentum, Clay, Brighter Click, PwC, NoGood, Forthea</v>
      </c>
      <c r="L22" s="187">
        <f>IFERROR(__xludf.DUMMYFUNCTION("""COMPUTED_VALUE"""),26.0)</f>
        <v>26</v>
      </c>
      <c r="M22" s="188">
        <f>IFERROR(__xludf.DUMMYFUNCTION("""COMPUTED_VALUE"""),0.03)</f>
        <v>0.03</v>
      </c>
      <c r="N22" s="188">
        <f>IFERROR(__xludf.DUMMYFUNCTION("""COMPUTED_VALUE"""),0.12)</f>
        <v>0.12</v>
      </c>
      <c r="O22" s="189" t="s">
        <v>1749</v>
      </c>
      <c r="P22" s="189" t="s">
        <v>1738</v>
      </c>
      <c r="Q22" s="189" t="s">
        <v>1606</v>
      </c>
      <c r="R22" s="189" t="s">
        <v>616</v>
      </c>
    </row>
    <row r="23">
      <c r="A23" s="185" t="str">
        <f>IFERROR(__xludf.DUMMYFUNCTION("""COMPUTED_VALUE"""),"Lower-priority competitor/vendor roundup")</f>
        <v>Lower-priority competitor/vendor roundup</v>
      </c>
      <c r="B23" s="186" t="str">
        <f>IFERROR(__xludf.DUMMYFUNCTION("""COMPUTED_VALUE"""),"https://www.webtonic.io/blog/top-performance-marketing-agencies-us")</f>
        <v>https://www.webtonic.io/blog/top-performance-marketing-agencies-us</v>
      </c>
      <c r="C23" s="185" t="str">
        <f>IFERROR(__xludf.DUMMYFUNCTION("""COMPUTED_VALUE"""),"The 50 Top Performance Marketing Agencies in the US as of 2026")</f>
        <v>The 50 Top Performance Marketing Agencies in the US as of 2026</v>
      </c>
      <c r="D23" s="185" t="str">
        <f>IFERROR(__xludf.DUMMYFUNCTION("""COMPUTED_VALUE"""),"US")</f>
        <v>US</v>
      </c>
      <c r="E23" s="185" t="str">
        <f>IFERROR(__xludf.DUMMYFUNCTION("""COMPUTED_VALUE"""),"webtonic.io")</f>
        <v>webtonic.io</v>
      </c>
      <c r="F23" s="185" t="str">
        <f>IFERROR(__xludf.DUMMYFUNCTION("""COMPUTED_VALUE"""),"Listicle")</f>
        <v>Listicle</v>
      </c>
      <c r="G23" s="185" t="str">
        <f>IFERROR(__xludf.DUMMYFUNCTION("""COMPUTED_VALUE"""),"COMPETITOR")</f>
        <v>COMPETITOR</v>
      </c>
      <c r="H23" s="185" t="str">
        <f>IFERROR(__xludf.DUMMYFUNCTION("""COMPUTED_VALUE"""),"No")</f>
        <v>No</v>
      </c>
      <c r="I23" s="185" t="str">
        <f>IFERROR(__xludf.DUMMYFUNCTION("""COMPUTED_VALUE"""),"Low")</f>
        <v>Low</v>
      </c>
      <c r="J23" s="185" t="str">
        <f>IFERROR(__xludf.DUMMYFUNCTION("""COMPUTED_VALUE"""),"Secondary")</f>
        <v>Secondary</v>
      </c>
      <c r="K23" s="185" t="str">
        <f>IFERROR(__xludf.DUMMYFUNCTION("""COMPUTED_VALUE"""),"Web Tonic, NoGood, Disruptive Advertising, Tinuiti, Wpromote, TransUnion, Power Digital, KlientBoost, Ignite Visibility, Directive, Thrive Internet Marketing Agency, LYFE Marketing, HawkSEM, iProspect, Dentsu, Merkle, MuteSix, WebFX, SmartSites, Single Gr"&amp;"ain, NinjaPromo, Silverback Strategies, IBM, Sociallyin, Refine Labs, Clutch, Accelerated Digital Media, Victorious, Avenue Z, Major Tom, NP Digital, Searchbloom")</f>
        <v>Web Tonic, NoGood, Disruptive Advertising, Tinuiti, Wpromote, TransUnion, Power Digital, KlientBoost, Ignite Visibility, Directive, Thrive Internet Marketing Agency, LYFE Marketing, HawkSEM, iProspect, Dentsu, Merkle, MuteSix, WebFX, SmartSites, Single Grain, NinjaPromo, Silverback Strategies, IBM, Sociallyin, Refine Labs, Clutch, Accelerated Digital Media, Victorious, Avenue Z, Major Tom, NP Digital, Searchbloom</v>
      </c>
      <c r="L23" s="187">
        <f>IFERROR(__xludf.DUMMYFUNCTION("""COMPUTED_VALUE"""),26.0)</f>
        <v>26</v>
      </c>
      <c r="M23" s="188">
        <f>IFERROR(__xludf.DUMMYFUNCTION("""COMPUTED_VALUE"""),0.03)</f>
        <v>0.03</v>
      </c>
      <c r="N23" s="188">
        <f>IFERROR(__xludf.DUMMYFUNCTION("""COMPUTED_VALUE"""),0.42)</f>
        <v>0.42</v>
      </c>
      <c r="O23" s="189" t="s">
        <v>1762</v>
      </c>
      <c r="P23" s="189" t="s">
        <v>1738</v>
      </c>
      <c r="Q23" s="189" t="s">
        <v>1555</v>
      </c>
      <c r="R23" s="189" t="s">
        <v>1915</v>
      </c>
    </row>
    <row r="24">
      <c r="A24" s="185" t="str">
        <f>IFERROR(__xludf.DUMMYFUNCTION("""COMPUTED_VALUE"""),"Agency directory / review marketplace")</f>
        <v>Agency directory / review marketplace</v>
      </c>
      <c r="B24" s="186" t="str">
        <f>IFERROR(__xludf.DUMMYFUNCTION("""COMPUTED_VALUE"""),"https://clutch.co/agencies/ppc/display")</f>
        <v>https://clutch.co/agencies/ppc/display</v>
      </c>
      <c r="C24" s="185" t="str">
        <f>IFERROR(__xludf.DUMMYFUNCTION("""COMPUTED_VALUE"""),"Top Display Advertising Agencies - Jul 2026 Rankings | Clutch.co")</f>
        <v>Top Display Advertising Agencies - Jul 2026 Rankings | Clutch.co</v>
      </c>
      <c r="D24" s="185" t="str">
        <f>IFERROR(__xludf.DUMMYFUNCTION("""COMPUTED_VALUE"""),"US")</f>
        <v>US</v>
      </c>
      <c r="E24" s="185" t="str">
        <f>IFERROR(__xludf.DUMMYFUNCTION("""COMPUTED_VALUE"""),"clutch.co")</f>
        <v>clutch.co</v>
      </c>
      <c r="F24" s="185" t="str">
        <f>IFERROR(__xludf.DUMMYFUNCTION("""COMPUTED_VALUE"""),"Category Page")</f>
        <v>Category Page</v>
      </c>
      <c r="G24" s="185" t="str">
        <f>IFERROR(__xludf.DUMMYFUNCTION("""COMPUTED_VALUE"""),"COMPETITOR")</f>
        <v>COMPETITOR</v>
      </c>
      <c r="H24" s="185" t="str">
        <f>IFERROR(__xludf.DUMMYFUNCTION("""COMPUTED_VALUE"""),"No")</f>
        <v>No</v>
      </c>
      <c r="I24" s="185" t="str">
        <f>IFERROR(__xludf.DUMMYFUNCTION("""COMPUTED_VALUE"""),"Medium")</f>
        <v>Medium</v>
      </c>
      <c r="J24" s="185" t="str">
        <f>IFERROR(__xludf.DUMMYFUNCTION("""COMPUTED_VALUE"""),"Yes")</f>
        <v>Yes</v>
      </c>
      <c r="K24" s="185" t="str">
        <f>IFERROR(__xludf.DUMMYFUNCTION("""COMPUTED_VALUE"""),"Clutch, Elit-Web, AdVenture Media, NinjaPromo, Storm Brain, The SEO Works")</f>
        <v>Clutch, Elit-Web, AdVenture Media, NinjaPromo, Storm Brain, The SEO Works</v>
      </c>
      <c r="L24" s="187">
        <f>IFERROR(__xludf.DUMMYFUNCTION("""COMPUTED_VALUE"""),25.0)</f>
        <v>25</v>
      </c>
      <c r="M24" s="188">
        <f>IFERROR(__xludf.DUMMYFUNCTION("""COMPUTED_VALUE"""),0.02)</f>
        <v>0.02</v>
      </c>
      <c r="N24" s="188">
        <f>IFERROR(__xludf.DUMMYFUNCTION("""COMPUTED_VALUE"""),0.4)</f>
        <v>0.4</v>
      </c>
      <c r="O24" s="189" t="s">
        <v>1772</v>
      </c>
      <c r="P24" s="189" t="s">
        <v>1738</v>
      </c>
      <c r="Q24" s="189" t="s">
        <v>1606</v>
      </c>
      <c r="R24" s="189" t="s">
        <v>616</v>
      </c>
    </row>
    <row r="25">
      <c r="A25" s="185" t="str">
        <f>IFERROR(__xludf.DUMMYFUNCTION("""COMPUTED_VALUE"""),"Agency directory / review marketplace")</f>
        <v>Agency directory / review marketplace</v>
      </c>
      <c r="B25" s="186" t="str">
        <f>IFERROR(__xludf.DUMMYFUNCTION("""COMPUTED_VALUE"""),"https://www.designrush.com/agency/digital-marketing/us")</f>
        <v>https://www.designrush.com/agency/digital-marketing/us</v>
      </c>
      <c r="C25" s="185" t="str">
        <f>IFERROR(__xludf.DUMMYFUNCTION("""COMPUTED_VALUE"""),"Digital Marketing Agencies in US - Jul 2026 | DesignRush")</f>
        <v>Digital Marketing Agencies in US - Jul 2026 | DesignRush</v>
      </c>
      <c r="D25" s="185" t="str">
        <f>IFERROR(__xludf.DUMMYFUNCTION("""COMPUTED_VALUE"""),"US")</f>
        <v>US</v>
      </c>
      <c r="E25" s="185" t="str">
        <f>IFERROR(__xludf.DUMMYFUNCTION("""COMPUTED_VALUE"""),"designrush.com")</f>
        <v>designrush.com</v>
      </c>
      <c r="F25" s="185" t="str">
        <f>IFERROR(__xludf.DUMMYFUNCTION("""COMPUTED_VALUE"""),"Listicle")</f>
        <v>Listicle</v>
      </c>
      <c r="G25" s="185" t="str">
        <f>IFERROR(__xludf.DUMMYFUNCTION("""COMPUTED_VALUE"""),"CORPORATE")</f>
        <v>CORPORATE</v>
      </c>
      <c r="H25" s="185" t="str">
        <f>IFERROR(__xludf.DUMMYFUNCTION("""COMPUTED_VALUE"""),"No")</f>
        <v>No</v>
      </c>
      <c r="I25" s="185" t="str">
        <f>IFERROR(__xludf.DUMMYFUNCTION("""COMPUTED_VALUE"""),"Medium")</f>
        <v>Medium</v>
      </c>
      <c r="J25" s="185" t="str">
        <f>IFERROR(__xludf.DUMMYFUNCTION("""COMPUTED_VALUE"""),"Yes")</f>
        <v>Yes</v>
      </c>
      <c r="K25" s="185" t="str">
        <f>IFERROR(__xludf.DUMMYFUNCTION("""COMPUTED_VALUE"""),"Funnel Boost Media, Huge, SmartSites, Searchbloom, Silverback Strategies, Disruptive Advertising, PwC, Clutch, Intero Digital, IBM, NinjaPromo, KlientBoost, Elit-Web, McKinsey, HawkSEM")</f>
        <v>Funnel Boost Media, Huge, SmartSites, Searchbloom, Silverback Strategies, Disruptive Advertising, PwC, Clutch, Intero Digital, IBM, NinjaPromo, KlientBoost, Elit-Web, McKinsey, HawkSEM</v>
      </c>
      <c r="L25" s="187">
        <f>IFERROR(__xludf.DUMMYFUNCTION("""COMPUTED_VALUE"""),25.0)</f>
        <v>25</v>
      </c>
      <c r="M25" s="188">
        <f>IFERROR(__xludf.DUMMYFUNCTION("""COMPUTED_VALUE"""),0.02)</f>
        <v>0.02</v>
      </c>
      <c r="N25" s="188">
        <f>IFERROR(__xludf.DUMMYFUNCTION("""COMPUTED_VALUE"""),0.16)</f>
        <v>0.16</v>
      </c>
      <c r="O25" s="189" t="s">
        <v>1784</v>
      </c>
      <c r="P25" s="189" t="s">
        <v>1738</v>
      </c>
      <c r="Q25" s="189" t="s">
        <v>1606</v>
      </c>
      <c r="R25" s="189" t="s">
        <v>616</v>
      </c>
    </row>
    <row r="26">
      <c r="A26" s="185" t="str">
        <f>IFERROR(__xludf.DUMMYFUNCTION("""COMPUTED_VALUE"""),"Agency directory / review marketplace")</f>
        <v>Agency directory / review marketplace</v>
      </c>
      <c r="B26" s="186" t="str">
        <f>IFERROR(__xludf.DUMMYFUNCTION("""COMPUTED_VALUE"""),"https://clutch.co/agencies/performance-marketing")</f>
        <v>https://clutch.co/agencies/performance-marketing</v>
      </c>
      <c r="C26" s="185" t="str">
        <f>IFERROR(__xludf.DUMMYFUNCTION("""COMPUTED_VALUE"""),"Top Performance Marketing Agencies - Jul 2026 Rankings | Clutch.co")</f>
        <v>Top Performance Marketing Agencies - Jul 2026 Rankings | Clutch.co</v>
      </c>
      <c r="D26" s="185" t="str">
        <f>IFERROR(__xludf.DUMMYFUNCTION("""COMPUTED_VALUE"""),"US")</f>
        <v>US</v>
      </c>
      <c r="E26" s="185" t="str">
        <f>IFERROR(__xludf.DUMMYFUNCTION("""COMPUTED_VALUE"""),"clutch.co")</f>
        <v>clutch.co</v>
      </c>
      <c r="F26" s="185" t="str">
        <f>IFERROR(__xludf.DUMMYFUNCTION("""COMPUTED_VALUE"""),"Category Page")</f>
        <v>Category Page</v>
      </c>
      <c r="G26" s="185" t="str">
        <f>IFERROR(__xludf.DUMMYFUNCTION("""COMPUTED_VALUE"""),"COMPETITOR")</f>
        <v>COMPETITOR</v>
      </c>
      <c r="H26" s="185" t="str">
        <f>IFERROR(__xludf.DUMMYFUNCTION("""COMPUTED_VALUE"""),"No")</f>
        <v>No</v>
      </c>
      <c r="I26" s="185" t="str">
        <f>IFERROR(__xludf.DUMMYFUNCTION("""COMPUTED_VALUE"""),"Medium")</f>
        <v>Medium</v>
      </c>
      <c r="J26" s="185" t="str">
        <f>IFERROR(__xludf.DUMMYFUNCTION("""COMPUTED_VALUE"""),"Yes")</f>
        <v>Yes</v>
      </c>
      <c r="K26" s="185" t="str">
        <f>IFERROR(__xludf.DUMMYFUNCTION("""COMPUTED_VALUE"""),"Clutch, Disruptive Advertising, Accelerated Digital Media, Momentum, Web Tonic")</f>
        <v>Clutch, Disruptive Advertising, Accelerated Digital Media, Momentum, Web Tonic</v>
      </c>
      <c r="L26" s="187">
        <f>IFERROR(__xludf.DUMMYFUNCTION("""COMPUTED_VALUE"""),24.0)</f>
        <v>24</v>
      </c>
      <c r="M26" s="188">
        <f>IFERROR(__xludf.DUMMYFUNCTION("""COMPUTED_VALUE"""),0.02)</f>
        <v>0.02</v>
      </c>
      <c r="N26" s="188">
        <f>IFERROR(__xludf.DUMMYFUNCTION("""COMPUTED_VALUE"""),1.54)</f>
        <v>1.54</v>
      </c>
      <c r="O26" s="189" t="s">
        <v>1793</v>
      </c>
      <c r="P26" s="189" t="s">
        <v>1738</v>
      </c>
      <c r="Q26" s="189" t="s">
        <v>1606</v>
      </c>
      <c r="R26" s="189" t="s">
        <v>616</v>
      </c>
    </row>
    <row r="27">
      <c r="A27" s="185" t="str">
        <f>IFERROR(__xludf.DUMMYFUNCTION("""COMPUTED_VALUE"""),"Agency directory / review marketplace")</f>
        <v>Agency directory / review marketplace</v>
      </c>
      <c r="B27" s="186" t="str">
        <f>IFERROR(__xludf.DUMMYFUNCTION("""COMPUTED_VALUE"""),"https://www.designrush.com/agency/digital-marketing/analytics")</f>
        <v>https://www.designrush.com/agency/digital-marketing/analytics</v>
      </c>
      <c r="C27" s="185" t="str">
        <f>IFERROR(__xludf.DUMMYFUNCTION("""COMPUTED_VALUE"""),"Top Marketing Analytics Agencies in 2026")</f>
        <v>Top Marketing Analytics Agencies in 2026</v>
      </c>
      <c r="D27" s="185" t="str">
        <f>IFERROR(__xludf.DUMMYFUNCTION("""COMPUTED_VALUE"""),"US")</f>
        <v>US</v>
      </c>
      <c r="E27" s="185" t="str">
        <f>IFERROR(__xludf.DUMMYFUNCTION("""COMPUTED_VALUE"""),"designrush.com")</f>
        <v>designrush.com</v>
      </c>
      <c r="F27" s="185" t="str">
        <f>IFERROR(__xludf.DUMMYFUNCTION("""COMPUTED_VALUE"""),"Category Page")</f>
        <v>Category Page</v>
      </c>
      <c r="G27" s="185" t="str">
        <f>IFERROR(__xludf.DUMMYFUNCTION("""COMPUTED_VALUE"""),"CORPORATE")</f>
        <v>CORPORATE</v>
      </c>
      <c r="H27" s="185" t="str">
        <f>IFERROR(__xludf.DUMMYFUNCTION("""COMPUTED_VALUE"""),"No")</f>
        <v>No</v>
      </c>
      <c r="I27" s="185" t="str">
        <f>IFERROR(__xludf.DUMMYFUNCTION("""COMPUTED_VALUE"""),"Medium")</f>
        <v>Medium</v>
      </c>
      <c r="J27" s="185" t="str">
        <f>IFERROR(__xludf.DUMMYFUNCTION("""COMPUTED_VALUE"""),"Yes")</f>
        <v>Yes</v>
      </c>
      <c r="K27" s="185" t="str">
        <f>IFERROR(__xludf.DUMMYFUNCTION("""COMPUTED_VALUE"""),"SmartSites, Huge, KlientBoost, Funnel Boost Media, Elit-Web, AdVenture Media, Monks, Ignite Visibility, Ruler Analytics, Amsive, Intero Digital")</f>
        <v>SmartSites, Huge, KlientBoost, Funnel Boost Media, Elit-Web, AdVenture Media, Monks, Ignite Visibility, Ruler Analytics, Amsive, Intero Digital</v>
      </c>
      <c r="L27" s="187">
        <f>IFERROR(__xludf.DUMMYFUNCTION("""COMPUTED_VALUE"""),23.0)</f>
        <v>23</v>
      </c>
      <c r="M27" s="188">
        <f>IFERROR(__xludf.DUMMYFUNCTION("""COMPUTED_VALUE"""),0.02)</f>
        <v>0.02</v>
      </c>
      <c r="N27" s="188">
        <f>IFERROR(__xludf.DUMMYFUNCTION("""COMPUTED_VALUE"""),0.87)</f>
        <v>0.87</v>
      </c>
      <c r="O27" s="189" t="s">
        <v>2461</v>
      </c>
      <c r="P27" s="189" t="s">
        <v>1738</v>
      </c>
      <c r="Q27" s="189" t="s">
        <v>1606</v>
      </c>
      <c r="R27" s="189" t="s">
        <v>616</v>
      </c>
    </row>
    <row r="28">
      <c r="A28" s="185" t="str">
        <f>IFERROR(__xludf.DUMMYFUNCTION("""COMPUTED_VALUE"""),"Agency directory / review marketplace")</f>
        <v>Agency directory / review marketplace</v>
      </c>
      <c r="B28" s="186" t="str">
        <f>IFERROR(__xludf.DUMMYFUNCTION("""COMPUTED_VALUE"""),"https://www.sortlist.com/s/performance-marketing/united-states-us")</f>
        <v>https://www.sortlist.com/s/performance-marketing/united-states-us</v>
      </c>
      <c r="C28" s="185" t="str">
        <f>IFERROR(__xludf.DUMMYFUNCTION("""COMPUTED_VALUE"""),"The 10 Best Performance Marketing Agencies in the United States - 2026 Reviews")</f>
        <v>The 10 Best Performance Marketing Agencies in the United States - 2026 Reviews</v>
      </c>
      <c r="D28" s="185" t="str">
        <f>IFERROR(__xludf.DUMMYFUNCTION("""COMPUTED_VALUE"""),"US")</f>
        <v>US</v>
      </c>
      <c r="E28" s="185" t="str">
        <f>IFERROR(__xludf.DUMMYFUNCTION("""COMPUTED_VALUE"""),"sortlist.com")</f>
        <v>sortlist.com</v>
      </c>
      <c r="F28" s="185" t="str">
        <f>IFERROR(__xludf.DUMMYFUNCTION("""COMPUTED_VALUE"""),"Category Page")</f>
        <v>Category Page</v>
      </c>
      <c r="G28" s="185" t="str">
        <f>IFERROR(__xludf.DUMMYFUNCTION("""COMPUTED_VALUE"""),"CORPORATE")</f>
        <v>CORPORATE</v>
      </c>
      <c r="H28" s="185" t="str">
        <f>IFERROR(__xludf.DUMMYFUNCTION("""COMPUTED_VALUE"""),"No")</f>
        <v>No</v>
      </c>
      <c r="I28" s="185" t="str">
        <f>IFERROR(__xludf.DUMMYFUNCTION("""COMPUTED_VALUE"""),"Medium")</f>
        <v>Medium</v>
      </c>
      <c r="J28" s="185" t="str">
        <f>IFERROR(__xludf.DUMMYFUNCTION("""COMPUTED_VALUE"""),"Yes")</f>
        <v>Yes</v>
      </c>
      <c r="K28" s="185" t="str">
        <f>IFERROR(__xludf.DUMMYFUNCTION("""COMPUTED_VALUE"""),"Clutch, IBM")</f>
        <v>Clutch, IBM</v>
      </c>
      <c r="L28" s="187">
        <f>IFERROR(__xludf.DUMMYFUNCTION("""COMPUTED_VALUE"""),23.0)</f>
        <v>23</v>
      </c>
      <c r="M28" s="188">
        <f>IFERROR(__xludf.DUMMYFUNCTION("""COMPUTED_VALUE"""),0.02)</f>
        <v>0.02</v>
      </c>
      <c r="N28" s="188">
        <f>IFERROR(__xludf.DUMMYFUNCTION("""COMPUTED_VALUE"""),0.04)</f>
        <v>0.04</v>
      </c>
      <c r="O28" s="189" t="s">
        <v>2476</v>
      </c>
      <c r="P28" s="189" t="s">
        <v>1738</v>
      </c>
      <c r="Q28" s="189" t="s">
        <v>1606</v>
      </c>
      <c r="R28" s="189" t="s">
        <v>616</v>
      </c>
    </row>
    <row r="29">
      <c r="A29" s="185" t="str">
        <f>IFERROR(__xludf.DUMMYFUNCTION("""COMPUTED_VALUE"""),"Agency directory / review marketplace")</f>
        <v>Agency directory / review marketplace</v>
      </c>
      <c r="B29" s="186" t="str">
        <f>IFERROR(__xludf.DUMMYFUNCTION("""COMPUTED_VALUE"""),"https://clutch.co/us/seo-firms/generative-engine-optimization")</f>
        <v>https://clutch.co/us/seo-firms/generative-engine-optimization</v>
      </c>
      <c r="C29" s="185" t="str">
        <f>IFERROR(__xludf.DUMMYFUNCTION("""COMPUTED_VALUE"""),"Top Generative Engine Optimization (GEO) Agencies in the United States - Jul 2026 Rankings | Clutch.co")</f>
        <v>Top Generative Engine Optimization (GEO) Agencies in the United States - Jul 2026 Rankings | Clutch.co</v>
      </c>
      <c r="D29" s="185" t="str">
        <f>IFERROR(__xludf.DUMMYFUNCTION("""COMPUTED_VALUE"""),"US")</f>
        <v>US</v>
      </c>
      <c r="E29" s="185" t="str">
        <f>IFERROR(__xludf.DUMMYFUNCTION("""COMPUTED_VALUE"""),"clutch.co")</f>
        <v>clutch.co</v>
      </c>
      <c r="F29" s="185" t="str">
        <f>IFERROR(__xludf.DUMMYFUNCTION("""COMPUTED_VALUE"""),"Category Page")</f>
        <v>Category Page</v>
      </c>
      <c r="G29" s="185" t="str">
        <f>IFERROR(__xludf.DUMMYFUNCTION("""COMPUTED_VALUE"""),"COMPETITOR")</f>
        <v>COMPETITOR</v>
      </c>
      <c r="H29" s="185" t="str">
        <f>IFERROR(__xludf.DUMMYFUNCTION("""COMPUTED_VALUE"""),"No")</f>
        <v>No</v>
      </c>
      <c r="I29" s="185" t="str">
        <f>IFERROR(__xludf.DUMMYFUNCTION("""COMPUTED_VALUE"""),"Medium")</f>
        <v>Medium</v>
      </c>
      <c r="J29" s="185" t="str">
        <f>IFERROR(__xludf.DUMMYFUNCTION("""COMPUTED_VALUE"""),"Yes")</f>
        <v>Yes</v>
      </c>
      <c r="K29" s="185" t="str">
        <f>IFERROR(__xludf.DUMMYFUNCTION("""COMPUTED_VALUE"""),"Clutch, Funnel Boost Media, WebFX, Intero Digital, Ignite Visibility, Elit-Web, Victorious, HawkSEM, Siege Media, Thrive Internet Marketing Agency, RevenueZen, Go Fish Digital, Silverback Strategies")</f>
        <v>Clutch, Funnel Boost Media, WebFX, Intero Digital, Ignite Visibility, Elit-Web, Victorious, HawkSEM, Siege Media, Thrive Internet Marketing Agency, RevenueZen, Go Fish Digital, Silverback Strategies</v>
      </c>
      <c r="L29" s="187">
        <f>IFERROR(__xludf.DUMMYFUNCTION("""COMPUTED_VALUE"""),22.0)</f>
        <v>22</v>
      </c>
      <c r="M29" s="188">
        <f>IFERROR(__xludf.DUMMYFUNCTION("""COMPUTED_VALUE"""),0.02)</f>
        <v>0.02</v>
      </c>
      <c r="N29" s="188">
        <f>IFERROR(__xludf.DUMMYFUNCTION("""COMPUTED_VALUE"""),2.09)</f>
        <v>2.09</v>
      </c>
      <c r="O29" s="189" t="s">
        <v>1813</v>
      </c>
      <c r="P29" s="189" t="s">
        <v>1738</v>
      </c>
      <c r="Q29" s="189" t="s">
        <v>1606</v>
      </c>
      <c r="R29" s="189" t="s">
        <v>616</v>
      </c>
    </row>
    <row r="30">
      <c r="A30" s="185" t="str">
        <f>IFERROR(__xludf.DUMMYFUNCTION("""COMPUTED_VALUE"""),"Industry data / software authority")</f>
        <v>Industry data / software authority</v>
      </c>
      <c r="B30" s="186" t="str">
        <f>IFERROR(__xludf.DUMMYFUNCTION("""COMPUTED_VALUE"""),"https://agencies.semrush.com/list/smm/united-states/")</f>
        <v>https://agencies.semrush.com/list/smm/united-states/</v>
      </c>
      <c r="C30" s="185" t="str">
        <f>IFERROR(__xludf.DUMMYFUNCTION("""COMPUTED_VALUE"""),"Best Social Media Marketing Agencies in United States 2026 | Semrush")</f>
        <v>Best Social Media Marketing Agencies in United States 2026 | Semrush</v>
      </c>
      <c r="D30" s="185" t="str">
        <f>IFERROR(__xludf.DUMMYFUNCTION("""COMPUTED_VALUE"""),"US")</f>
        <v>US</v>
      </c>
      <c r="E30" s="185" t="str">
        <f>IFERROR(__xludf.DUMMYFUNCTION("""COMPUTED_VALUE"""),"semrush.com")</f>
        <v>semrush.com</v>
      </c>
      <c r="F30" s="185" t="str">
        <f>IFERROR(__xludf.DUMMYFUNCTION("""COMPUTED_VALUE"""),"Category Page")</f>
        <v>Category Page</v>
      </c>
      <c r="G30" s="185" t="str">
        <f>IFERROR(__xludf.DUMMYFUNCTION("""COMPUTED_VALUE"""),"CORPORATE")</f>
        <v>CORPORATE</v>
      </c>
      <c r="H30" s="185" t="str">
        <f>IFERROR(__xludf.DUMMYFUNCTION("""COMPUTED_VALUE"""),"No")</f>
        <v>No</v>
      </c>
      <c r="I30" s="185" t="str">
        <f>IFERROR(__xludf.DUMMYFUNCTION("""COMPUTED_VALUE"""),"Medium")</f>
        <v>Medium</v>
      </c>
      <c r="J30" s="185" t="str">
        <f>IFERROR(__xludf.DUMMYFUNCTION("""COMPUTED_VALUE"""),"Yes")</f>
        <v>Yes</v>
      </c>
      <c r="K30" s="185" t="str">
        <f>IFERROR(__xludf.DUMMYFUNCTION("""COMPUTED_VALUE"""),"SmartSites, Elit-Web, Brighter Click")</f>
        <v>SmartSites, Elit-Web, Brighter Click</v>
      </c>
      <c r="L30" s="187">
        <f>IFERROR(__xludf.DUMMYFUNCTION("""COMPUTED_VALUE"""),21.0)</f>
        <v>21</v>
      </c>
      <c r="M30" s="188">
        <f>IFERROR(__xludf.DUMMYFUNCTION("""COMPUTED_VALUE"""),0.02)</f>
        <v>0.02</v>
      </c>
      <c r="N30" s="188">
        <f>IFERROR(__xludf.DUMMYFUNCTION("""COMPUTED_VALUE"""),0.1)</f>
        <v>0.1</v>
      </c>
      <c r="O30" s="189" t="s">
        <v>1822</v>
      </c>
      <c r="P30" s="189" t="s">
        <v>1738</v>
      </c>
      <c r="Q30" s="189" t="s">
        <v>1606</v>
      </c>
      <c r="R30" s="189" t="s">
        <v>616</v>
      </c>
    </row>
    <row r="31">
      <c r="A31" s="185" t="str">
        <f>IFERROR(__xludf.DUMMYFUNCTION("""COMPUTED_VALUE"""),"Industry data / software authority")</f>
        <v>Industry data / software authority</v>
      </c>
      <c r="B31" s="186" t="str">
        <f>IFERROR(__xludf.DUMMYFUNCTION("""COMPUTED_VALUE"""),"https://agencies.semrush.com/list/ai-optimization/united-states/")</f>
        <v>https://agencies.semrush.com/list/ai-optimization/united-states/</v>
      </c>
      <c r="C31" s="185" t="str">
        <f>IFERROR(__xludf.DUMMYFUNCTION("""COMPUTED_VALUE"""),"Best AI Search Optimization Agencies in United States 2026 | Semrush")</f>
        <v>Best AI Search Optimization Agencies in United States 2026 | Semrush</v>
      </c>
      <c r="D31" s="185" t="str">
        <f>IFERROR(__xludf.DUMMYFUNCTION("""COMPUTED_VALUE"""),"US")</f>
        <v>US</v>
      </c>
      <c r="E31" s="185" t="str">
        <f>IFERROR(__xludf.DUMMYFUNCTION("""COMPUTED_VALUE"""),"semrush.com")</f>
        <v>semrush.com</v>
      </c>
      <c r="F31" s="185" t="str">
        <f>IFERROR(__xludf.DUMMYFUNCTION("""COMPUTED_VALUE"""),"Category Page")</f>
        <v>Category Page</v>
      </c>
      <c r="G31" s="185" t="str">
        <f>IFERROR(__xludf.DUMMYFUNCTION("""COMPUTED_VALUE"""),"CORPORATE")</f>
        <v>CORPORATE</v>
      </c>
      <c r="H31" s="185" t="str">
        <f>IFERROR(__xludf.DUMMYFUNCTION("""COMPUTED_VALUE"""),"No")</f>
        <v>No</v>
      </c>
      <c r="I31" s="185" t="str">
        <f>IFERROR(__xludf.DUMMYFUNCTION("""COMPUTED_VALUE"""),"Medium")</f>
        <v>Medium</v>
      </c>
      <c r="J31" s="185" t="str">
        <f>IFERROR(__xludf.DUMMYFUNCTION("""COMPUTED_VALUE"""),"Yes")</f>
        <v>Yes</v>
      </c>
      <c r="K31" s="185" t="str">
        <f>IFERROR(__xludf.DUMMYFUNCTION("""COMPUTED_VALUE"""),"SmartSites, Elit-Web")</f>
        <v>SmartSites, Elit-Web</v>
      </c>
      <c r="L31" s="187">
        <f>IFERROR(__xludf.DUMMYFUNCTION("""COMPUTED_VALUE"""),20.0)</f>
        <v>20</v>
      </c>
      <c r="M31" s="188">
        <f>IFERROR(__xludf.DUMMYFUNCTION("""COMPUTED_VALUE"""),0.02)</f>
        <v>0.02</v>
      </c>
      <c r="N31" s="188">
        <f>IFERROR(__xludf.DUMMYFUNCTION("""COMPUTED_VALUE"""),0.7)</f>
        <v>0.7</v>
      </c>
      <c r="O31" s="189" t="s">
        <v>1832</v>
      </c>
      <c r="P31" s="189" t="s">
        <v>1738</v>
      </c>
      <c r="Q31" s="189" t="s">
        <v>1606</v>
      </c>
      <c r="R31" s="189" t="s">
        <v>616</v>
      </c>
    </row>
    <row r="32">
      <c r="A32" s="185" t="str">
        <f>IFERROR(__xludf.DUMMYFUNCTION("""COMPUTED_VALUE"""),"Agency directory / review marketplace")</f>
        <v>Agency directory / review marketplace</v>
      </c>
      <c r="B32" s="186" t="str">
        <f>IFERROR(__xludf.DUMMYFUNCTION("""COMPUTED_VALUE"""),"https://www.designrush.com/agency/digital-marketing/performance-marketing-agencies")</f>
        <v>https://www.designrush.com/agency/digital-marketing/performance-marketing-agencies</v>
      </c>
      <c r="C32" s="185" t="str">
        <f>IFERROR(__xludf.DUMMYFUNCTION("""COMPUTED_VALUE"""),"Top Performance Marketing Agencies in 2026")</f>
        <v>Top Performance Marketing Agencies in 2026</v>
      </c>
      <c r="D32" s="185" t="str">
        <f>IFERROR(__xludf.DUMMYFUNCTION("""COMPUTED_VALUE"""),"US")</f>
        <v>US</v>
      </c>
      <c r="E32" s="185" t="str">
        <f>IFERROR(__xludf.DUMMYFUNCTION("""COMPUTED_VALUE"""),"designrush.com")</f>
        <v>designrush.com</v>
      </c>
      <c r="F32" s="185" t="str">
        <f>IFERROR(__xludf.DUMMYFUNCTION("""COMPUTED_VALUE"""),"Listicle")</f>
        <v>Listicle</v>
      </c>
      <c r="G32" s="185" t="str">
        <f>IFERROR(__xludf.DUMMYFUNCTION("""COMPUTED_VALUE"""),"CORPORATE")</f>
        <v>CORPORATE</v>
      </c>
      <c r="H32" s="185" t="str">
        <f>IFERROR(__xludf.DUMMYFUNCTION("""COMPUTED_VALUE"""),"No")</f>
        <v>No</v>
      </c>
      <c r="I32" s="185" t="str">
        <f>IFERROR(__xludf.DUMMYFUNCTION("""COMPUTED_VALUE"""),"Medium")</f>
        <v>Medium</v>
      </c>
      <c r="J32" s="185" t="str">
        <f>IFERROR(__xludf.DUMMYFUNCTION("""COMPUTED_VALUE"""),"Yes")</f>
        <v>Yes</v>
      </c>
      <c r="K32" s="185" t="str">
        <f>IFERROR(__xludf.DUMMYFUNCTION("""COMPUTED_VALUE"""),"Amsive, MuteSix, Wpromote, NoGood, Power Digital, Huge, Searchbloom, Funnel Boost Media, SmartSites, Intero Digital, Silverback Strategies, Disruptive Advertising, PwC, Web Tonic, KlientBoost, DEPT")</f>
        <v>Amsive, MuteSix, Wpromote, NoGood, Power Digital, Huge, Searchbloom, Funnel Boost Media, SmartSites, Intero Digital, Silverback Strategies, Disruptive Advertising, PwC, Web Tonic, KlientBoost, DEPT</v>
      </c>
      <c r="L32" s="187">
        <f>IFERROR(__xludf.DUMMYFUNCTION("""COMPUTED_VALUE"""),20.0)</f>
        <v>20</v>
      </c>
      <c r="M32" s="188">
        <f>IFERROR(__xludf.DUMMYFUNCTION("""COMPUTED_VALUE"""),0.02)</f>
        <v>0.02</v>
      </c>
      <c r="N32" s="188">
        <f>IFERROR(__xludf.DUMMYFUNCTION("""COMPUTED_VALUE"""),0.05)</f>
        <v>0.05</v>
      </c>
      <c r="O32" s="189" t="s">
        <v>1843</v>
      </c>
      <c r="P32" s="189" t="s">
        <v>1738</v>
      </c>
      <c r="Q32" s="189" t="s">
        <v>1606</v>
      </c>
      <c r="R32" s="189" t="s">
        <v>616</v>
      </c>
    </row>
    <row r="33">
      <c r="A33" s="185" t="str">
        <f>IFERROR(__xludf.DUMMYFUNCTION("""COMPUTED_VALUE"""),"Analyst / research authority")</f>
        <v>Analyst / research authority</v>
      </c>
      <c r="B33" s="186" t="str">
        <f>IFERROR(__xludf.DUMMYFUNCTION("""COMPUTED_VALUE"""),"https://www.gartner.com/reviews/market/advanced-analytics-service-providers-for-marketing")</f>
        <v>https://www.gartner.com/reviews/market/advanced-analytics-service-providers-for-marketing</v>
      </c>
      <c r="C33" s="185" t="str">
        <f>IFERROR(__xludf.DUMMYFUNCTION("""COMPUTED_VALUE"""),"Best Advanced Analytics Service Providers for Marketing Reviews 2026 \| Gartner Peer Insights")</f>
        <v>Best Advanced Analytics Service Providers for Marketing Reviews 2026 \| Gartner Peer Insights</v>
      </c>
      <c r="D33" s="185" t="str">
        <f>IFERROR(__xludf.DUMMYFUNCTION("""COMPUTED_VALUE"""),"US")</f>
        <v>US</v>
      </c>
      <c r="E33" s="185" t="str">
        <f>IFERROR(__xludf.DUMMYFUNCTION("""COMPUTED_VALUE"""),"gartner.com")</f>
        <v>gartner.com</v>
      </c>
      <c r="F33" s="185" t="str">
        <f>IFERROR(__xludf.DUMMYFUNCTION("""COMPUTED_VALUE"""),"Category Page")</f>
        <v>Category Page</v>
      </c>
      <c r="G33" s="185" t="str">
        <f>IFERROR(__xludf.DUMMYFUNCTION("""COMPUTED_VALUE"""),"CORPORATE")</f>
        <v>CORPORATE</v>
      </c>
      <c r="H33" s="185" t="str">
        <f>IFERROR(__xludf.DUMMYFUNCTION("""COMPUTED_VALUE"""),"No")</f>
        <v>No</v>
      </c>
      <c r="I33" s="185" t="str">
        <f>IFERROR(__xludf.DUMMYFUNCTION("""COMPUTED_VALUE"""),"High")</f>
        <v>High</v>
      </c>
      <c r="J33" s="185" t="str">
        <f>IFERROR(__xludf.DUMMYFUNCTION("""COMPUTED_VALUE"""),"Yes - priority")</f>
        <v>Yes - priority</v>
      </c>
      <c r="K33" s="185" t="str">
        <f>IFERROR(__xludf.DUMMYFUNCTION("""COMPUTED_VALUE"""),"Measured, Acxiom, Nielsen, Anomaly, Analytic Partners, LatentView Analytics, Merkle")</f>
        <v>Measured, Acxiom, Nielsen, Anomaly, Analytic Partners, LatentView Analytics, Merkle</v>
      </c>
      <c r="L33" s="187">
        <f>IFERROR(__xludf.DUMMYFUNCTION("""COMPUTED_VALUE"""),20.0)</f>
        <v>20</v>
      </c>
      <c r="M33" s="188">
        <f>IFERROR(__xludf.DUMMYFUNCTION("""COMPUTED_VALUE"""),0.02)</f>
        <v>0.02</v>
      </c>
      <c r="N33" s="188">
        <f>IFERROR(__xludf.DUMMYFUNCTION("""COMPUTED_VALUE"""),0.3)</f>
        <v>0.3</v>
      </c>
      <c r="O33" s="189" t="s">
        <v>1854</v>
      </c>
      <c r="P33" s="189" t="s">
        <v>1738</v>
      </c>
      <c r="Q33" s="189" t="s">
        <v>1900</v>
      </c>
      <c r="R33" s="189" t="s">
        <v>1608</v>
      </c>
    </row>
    <row r="34">
      <c r="A34" s="185" t="str">
        <f>IFERROR(__xludf.DUMMYFUNCTION("""COMPUTED_VALUE"""),"Official partner / certification ecosystem")</f>
        <v>Official partner / certification ecosystem</v>
      </c>
      <c r="B34" s="186" t="str">
        <f>IFERROR(__xludf.DUMMYFUNCTION("""COMPUTED_VALUE"""),"https://partnersdirectory.withgoogle.com/")</f>
        <v>https://partnersdirectory.withgoogle.com/</v>
      </c>
      <c r="C34" s="185" t="str">
        <f>IFERROR(__xludf.DUMMYFUNCTION("""COMPUTED_VALUE"""),"Google Partners Directory - Find a Partner for Business Growth")</f>
        <v>Google Partners Directory - Find a Partner for Business Growth</v>
      </c>
      <c r="D34" s="185" t="str">
        <f>IFERROR(__xludf.DUMMYFUNCTION("""COMPUTED_VALUE"""),"US")</f>
        <v>US</v>
      </c>
      <c r="E34" s="185" t="str">
        <f>IFERROR(__xludf.DUMMYFUNCTION("""COMPUTED_VALUE"""),"withgoogle.com")</f>
        <v>withgoogle.com</v>
      </c>
      <c r="F34" s="185" t="str">
        <f>IFERROR(__xludf.DUMMYFUNCTION("""COMPUTED_VALUE"""),"Homepage")</f>
        <v>Homepage</v>
      </c>
      <c r="G34" s="185" t="str">
        <f>IFERROR(__xludf.DUMMYFUNCTION("""COMPUTED_VALUE"""),"CORPORATE")</f>
        <v>CORPORATE</v>
      </c>
      <c r="H34" s="185" t="str">
        <f>IFERROR(__xludf.DUMMYFUNCTION("""COMPUTED_VALUE"""),"No")</f>
        <v>No</v>
      </c>
      <c r="I34" s="185" t="str">
        <f>IFERROR(__xludf.DUMMYFUNCTION("""COMPUTED_VALUE"""),"High")</f>
        <v>High</v>
      </c>
      <c r="J34" s="185" t="str">
        <f>IFERROR(__xludf.DUMMYFUNCTION("""COMPUTED_VALUE"""),"Yes - priority")</f>
        <v>Yes - priority</v>
      </c>
      <c r="K34" s="185" t="str">
        <f>IFERROR(__xludf.DUMMYFUNCTION("""COMPUTED_VALUE"""),"Acadia, Accelerated Digital Media")</f>
        <v>Acadia, Accelerated Digital Media</v>
      </c>
      <c r="L34" s="187">
        <f>IFERROR(__xludf.DUMMYFUNCTION("""COMPUTED_VALUE"""),20.0)</f>
        <v>20</v>
      </c>
      <c r="M34" s="188">
        <f>IFERROR(__xludf.DUMMYFUNCTION("""COMPUTED_VALUE"""),0.02)</f>
        <v>0.02</v>
      </c>
      <c r="N34" s="188">
        <f>IFERROR(__xludf.DUMMYFUNCTION("""COMPUTED_VALUE"""),0.55)</f>
        <v>0.55</v>
      </c>
      <c r="O34" s="189" t="s">
        <v>614</v>
      </c>
      <c r="P34" s="189" t="s">
        <v>1863</v>
      </c>
      <c r="Q34" s="189" t="s">
        <v>1900</v>
      </c>
      <c r="R34" s="189" t="s">
        <v>1608</v>
      </c>
    </row>
    <row r="35">
      <c r="A35" s="185" t="str">
        <f>IFERROR(__xludf.DUMMYFUNCTION("""COMPUTED_VALUE"""),"Agency directory / review marketplace")</f>
        <v>Agency directory / review marketplace</v>
      </c>
      <c r="B35" s="186" t="str">
        <f>IFERROR(__xludf.DUMMYFUNCTION("""COMPUTED_VALUE"""),"https://clutch.co/us/consulting/ai/strategy")</f>
        <v>https://clutch.co/us/consulting/ai/strategy</v>
      </c>
      <c r="C35" s="185" t="str">
        <f>IFERROR(__xludf.DUMMYFUNCTION("""COMPUTED_VALUE"""),"Top AI Strategy Companies in the United States - Jul 2026 Rankings \| Clutch.co")</f>
        <v>Top AI Strategy Companies in the United States - Jul 2026 Rankings \| Clutch.co</v>
      </c>
      <c r="D35" s="185" t="str">
        <f>IFERROR(__xludf.DUMMYFUNCTION("""COMPUTED_VALUE"""),"US")</f>
        <v>US</v>
      </c>
      <c r="E35" s="185" t="str">
        <f>IFERROR(__xludf.DUMMYFUNCTION("""COMPUTED_VALUE"""),"clutch.co")</f>
        <v>clutch.co</v>
      </c>
      <c r="F35" s="185" t="str">
        <f>IFERROR(__xludf.DUMMYFUNCTION("""COMPUTED_VALUE"""),"Category Page")</f>
        <v>Category Page</v>
      </c>
      <c r="G35" s="185" t="str">
        <f>IFERROR(__xludf.DUMMYFUNCTION("""COMPUTED_VALUE"""),"COMPETITOR")</f>
        <v>COMPETITOR</v>
      </c>
      <c r="H35" s="185" t="str">
        <f>IFERROR(__xludf.DUMMYFUNCTION("""COMPUTED_VALUE"""),"No")</f>
        <v>No</v>
      </c>
      <c r="I35" s="185" t="str">
        <f>IFERROR(__xludf.DUMMYFUNCTION("""COMPUTED_VALUE"""),"Medium")</f>
        <v>Medium</v>
      </c>
      <c r="J35" s="185" t="str">
        <f>IFERROR(__xludf.DUMMYFUNCTION("""COMPUTED_VALUE"""),"Yes")</f>
        <v>Yes</v>
      </c>
      <c r="K35" s="185" t="str">
        <f>IFERROR(__xludf.DUMMYFUNCTION("""COMPUTED_VALUE"""),"Clutch, Go Fish Digital")</f>
        <v>Clutch, Go Fish Digital</v>
      </c>
      <c r="L35" s="187">
        <f>IFERROR(__xludf.DUMMYFUNCTION("""COMPUTED_VALUE"""),19.0)</f>
        <v>19</v>
      </c>
      <c r="M35" s="188">
        <f>IFERROR(__xludf.DUMMYFUNCTION("""COMPUTED_VALUE"""),0.02)</f>
        <v>0.02</v>
      </c>
      <c r="N35" s="188">
        <f>IFERROR(__xludf.DUMMYFUNCTION("""COMPUTED_VALUE"""),0.26)</f>
        <v>0.26</v>
      </c>
      <c r="O35" s="189" t="s">
        <v>375</v>
      </c>
      <c r="P35" s="189" t="s">
        <v>1863</v>
      </c>
      <c r="Q35" s="189" t="s">
        <v>1900</v>
      </c>
      <c r="R35" s="189" t="s">
        <v>1608</v>
      </c>
    </row>
    <row r="36">
      <c r="A36" s="185" t="str">
        <f>IFERROR(__xludf.DUMMYFUNCTION("""COMPUTED_VALUE"""),"Agency directory / review marketplace")</f>
        <v>Agency directory / review marketplace</v>
      </c>
      <c r="B36" s="186" t="str">
        <f>IFERROR(__xludf.DUMMYFUNCTION("""COMPUTED_VALUE"""),"https://www.designrush.com/agency/creative-agencies/us")</f>
        <v>https://www.designrush.com/agency/creative-agencies/us</v>
      </c>
      <c r="C36" s="185" t="str">
        <f>IFERROR(__xludf.DUMMYFUNCTION("""COMPUTED_VALUE"""),"Top Creative Agencies - Jul 2026 | DesignRush")</f>
        <v>Top Creative Agencies - Jul 2026 | DesignRush</v>
      </c>
      <c r="D36" s="185" t="str">
        <f>IFERROR(__xludf.DUMMYFUNCTION("""COMPUTED_VALUE"""),"US")</f>
        <v>US</v>
      </c>
      <c r="E36" s="185" t="str">
        <f>IFERROR(__xludf.DUMMYFUNCTION("""COMPUTED_VALUE"""),"designrush.com")</f>
        <v>designrush.com</v>
      </c>
      <c r="F36" s="185" t="str">
        <f>IFERROR(__xludf.DUMMYFUNCTION("""COMPUTED_VALUE"""),"Category Page")</f>
        <v>Category Page</v>
      </c>
      <c r="G36" s="185" t="str">
        <f>IFERROR(__xludf.DUMMYFUNCTION("""COMPUTED_VALUE"""),"CORPORATE")</f>
        <v>CORPORATE</v>
      </c>
      <c r="H36" s="185" t="str">
        <f>IFERROR(__xludf.DUMMYFUNCTION("""COMPUTED_VALUE"""),"No")</f>
        <v>No</v>
      </c>
      <c r="I36" s="185" t="str">
        <f>IFERROR(__xludf.DUMMYFUNCTION("""COMPUTED_VALUE"""),"Medium")</f>
        <v>Medium</v>
      </c>
      <c r="J36" s="185" t="str">
        <f>IFERROR(__xludf.DUMMYFUNCTION("""COMPUTED_VALUE"""),"Yes")</f>
        <v>Yes</v>
      </c>
      <c r="K36" s="185" t="str">
        <f>IFERROR(__xludf.DUMMYFUNCTION("""COMPUTED_VALUE"""),"PwC, Disruptive Advertising, IBM, Huge, Major Tom, Directive, McKinsey, Nielsen, Measured")</f>
        <v>PwC, Disruptive Advertising, IBM, Huge, Major Tom, Directive, McKinsey, Nielsen, Measured</v>
      </c>
      <c r="L36" s="187">
        <f>IFERROR(__xludf.DUMMYFUNCTION("""COMPUTED_VALUE"""),19.0)</f>
        <v>19</v>
      </c>
      <c r="M36" s="188">
        <f>IFERROR(__xludf.DUMMYFUNCTION("""COMPUTED_VALUE"""),0.02)</f>
        <v>0.02</v>
      </c>
      <c r="N36" s="188">
        <f>IFERROR(__xludf.DUMMYFUNCTION("""COMPUTED_VALUE"""),0.26)</f>
        <v>0.26</v>
      </c>
      <c r="O36" s="189" t="s">
        <v>1882</v>
      </c>
      <c r="P36" s="189" t="s">
        <v>1863</v>
      </c>
      <c r="Q36" s="189" t="s">
        <v>1900</v>
      </c>
      <c r="R36" s="189" t="s">
        <v>1608</v>
      </c>
    </row>
    <row r="37">
      <c r="A37" s="185" t="str">
        <f>IFERROR(__xludf.DUMMYFUNCTION("""COMPUTED_VALUE"""),"Agency directory / review marketplace")</f>
        <v>Agency directory / review marketplace</v>
      </c>
      <c r="B37" s="186" t="str">
        <f>IFERROR(__xludf.DUMMYFUNCTION("""COMPUTED_VALUE"""),"https://clutch.co/agencies/social-media-marketing")</f>
        <v>https://clutch.co/agencies/social-media-marketing</v>
      </c>
      <c r="C37" s="185" t="str">
        <f>IFERROR(__xludf.DUMMYFUNCTION("""COMPUTED_VALUE"""),"Top Social Media Marketing Agencies - Jul 2026 Rankings | Clutch.co")</f>
        <v>Top Social Media Marketing Agencies - Jul 2026 Rankings | Clutch.co</v>
      </c>
      <c r="D37" s="185" t="str">
        <f>IFERROR(__xludf.DUMMYFUNCTION("""COMPUTED_VALUE"""),"US")</f>
        <v>US</v>
      </c>
      <c r="E37" s="185" t="str">
        <f>IFERROR(__xludf.DUMMYFUNCTION("""COMPUTED_VALUE"""),"clutch.co")</f>
        <v>clutch.co</v>
      </c>
      <c r="F37" s="185" t="str">
        <f>IFERROR(__xludf.DUMMYFUNCTION("""COMPUTED_VALUE"""),"Category Page")</f>
        <v>Category Page</v>
      </c>
      <c r="G37" s="185" t="str">
        <f>IFERROR(__xludf.DUMMYFUNCTION("""COMPUTED_VALUE"""),"COMPETITOR")</f>
        <v>COMPETITOR</v>
      </c>
      <c r="H37" s="185" t="str">
        <f>IFERROR(__xludf.DUMMYFUNCTION("""COMPUTED_VALUE"""),"No")</f>
        <v>No</v>
      </c>
      <c r="I37" s="185" t="str">
        <f>IFERROR(__xludf.DUMMYFUNCTION("""COMPUTED_VALUE"""),"Medium")</f>
        <v>Medium</v>
      </c>
      <c r="J37" s="185" t="str">
        <f>IFERROR(__xludf.DUMMYFUNCTION("""COMPUTED_VALUE"""),"Yes")</f>
        <v>Yes</v>
      </c>
      <c r="K37" s="185" t="str">
        <f>IFERROR(__xludf.DUMMYFUNCTION("""COMPUTED_VALUE"""),"Clutch, Sociallyin, LYFE Marketing, KlientBoost, Viral Nation, SmartSites, Huge, Ignite Visibility")</f>
        <v>Clutch, Sociallyin, LYFE Marketing, KlientBoost, Viral Nation, SmartSites, Huge, Ignite Visibility</v>
      </c>
      <c r="L37" s="187">
        <f>IFERROR(__xludf.DUMMYFUNCTION("""COMPUTED_VALUE"""),18.0)</f>
        <v>18</v>
      </c>
      <c r="M37" s="188">
        <f>IFERROR(__xludf.DUMMYFUNCTION("""COMPUTED_VALUE"""),0.02)</f>
        <v>0.02</v>
      </c>
      <c r="N37" s="188">
        <f>IFERROR(__xludf.DUMMYFUNCTION("""COMPUTED_VALUE"""),0.22)</f>
        <v>0.22</v>
      </c>
      <c r="O37" s="189" t="s">
        <v>626</v>
      </c>
      <c r="P37" s="189" t="s">
        <v>1863</v>
      </c>
      <c r="Q37" s="189" t="s">
        <v>1900</v>
      </c>
      <c r="R37" s="189" t="s">
        <v>1608</v>
      </c>
    </row>
    <row r="38">
      <c r="A38" s="185" t="str">
        <f>IFERROR(__xludf.DUMMYFUNCTION("""COMPUTED_VALUE"""),"Analyst / research authority")</f>
        <v>Analyst / research authority</v>
      </c>
      <c r="B38" s="186" t="str">
        <f>IFERROR(__xludf.DUMMYFUNCTION("""COMPUTED_VALUE"""),"https://www.gartner.com/reviews/market/global-digital-marketing-agencies")</f>
        <v>https://www.gartner.com/reviews/market/global-digital-marketing-agencies</v>
      </c>
      <c r="C38" s="185" t="str">
        <f>IFERROR(__xludf.DUMMYFUNCTION("""COMPUTED_VALUE"""),"Best Global Digital Marketing Agencies Reviews 2026 | Gartner Peer Insights")</f>
        <v>Best Global Digital Marketing Agencies Reviews 2026 | Gartner Peer Insights</v>
      </c>
      <c r="D38" s="185" t="str">
        <f>IFERROR(__xludf.DUMMYFUNCTION("""COMPUTED_VALUE"""),"US")</f>
        <v>US</v>
      </c>
      <c r="E38" s="185" t="str">
        <f>IFERROR(__xludf.DUMMYFUNCTION("""COMPUTED_VALUE"""),"gartner.com")</f>
        <v>gartner.com</v>
      </c>
      <c r="F38" s="185" t="str">
        <f>IFERROR(__xludf.DUMMYFUNCTION("""COMPUTED_VALUE"""),"Profile")</f>
        <v>Profile</v>
      </c>
      <c r="G38" s="185" t="str">
        <f>IFERROR(__xludf.DUMMYFUNCTION("""COMPUTED_VALUE"""),"CORPORATE")</f>
        <v>CORPORATE</v>
      </c>
      <c r="H38" s="185" t="str">
        <f>IFERROR(__xludf.DUMMYFUNCTION("""COMPUTED_VALUE"""),"No")</f>
        <v>No</v>
      </c>
      <c r="I38" s="185" t="str">
        <f>IFERROR(__xludf.DUMMYFUNCTION("""COMPUTED_VALUE"""),"High")</f>
        <v>High</v>
      </c>
      <c r="J38" s="185" t="str">
        <f>IFERROR(__xludf.DUMMYFUNCTION("""COMPUTED_VALUE"""),"Yes - priority")</f>
        <v>Yes - priority</v>
      </c>
      <c r="K38" s="185" t="str">
        <f>IFERROR(__xludf.DUMMYFUNCTION("""COMPUTED_VALUE"""),"SmartSites, Accenture Song, Deloitte Digital, Huge, Merkle, AKQA, Digitas, VML, Ogilvy, R/GA")</f>
        <v>SmartSites, Accenture Song, Deloitte Digital, Huge, Merkle, AKQA, Digitas, VML, Ogilvy, R/GA</v>
      </c>
      <c r="L38" s="187">
        <f>IFERROR(__xludf.DUMMYFUNCTION("""COMPUTED_VALUE"""),18.0)</f>
        <v>18</v>
      </c>
      <c r="M38" s="188">
        <f>IFERROR(__xludf.DUMMYFUNCTION("""COMPUTED_VALUE"""),0.02)</f>
        <v>0.02</v>
      </c>
      <c r="N38" s="188">
        <f>IFERROR(__xludf.DUMMYFUNCTION("""COMPUTED_VALUE"""),1.61)</f>
        <v>1.61</v>
      </c>
      <c r="O38" s="189" t="s">
        <v>1898</v>
      </c>
      <c r="P38" s="189" t="s">
        <v>1863</v>
      </c>
      <c r="Q38" s="189" t="s">
        <v>1900</v>
      </c>
      <c r="R38" s="189" t="s">
        <v>1608</v>
      </c>
    </row>
    <row r="39">
      <c r="A39" s="185" t="str">
        <f>IFERROR(__xludf.DUMMYFUNCTION("""COMPUTED_VALUE"""),"Agency directory / review marketplace")</f>
        <v>Agency directory / review marketplace</v>
      </c>
      <c r="B39" s="186" t="str">
        <f>IFERROR(__xludf.DUMMYFUNCTION("""COMPUTED_VALUE"""),"https://www.goodfirms.co/big-data-analytics/marketing-analytics")</f>
        <v>https://www.goodfirms.co/big-data-analytics/marketing-analytics</v>
      </c>
      <c r="C39" s="185" t="str">
        <f>IFERROR(__xludf.DUMMYFUNCTION("""COMPUTED_VALUE"""),"Top Marketing Analytics Companies - 2026 Reviews | Goodfirms")</f>
        <v>Top Marketing Analytics Companies - 2026 Reviews | Goodfirms</v>
      </c>
      <c r="D39" s="185" t="str">
        <f>IFERROR(__xludf.DUMMYFUNCTION("""COMPUTED_VALUE"""),"US")</f>
        <v>US</v>
      </c>
      <c r="E39" s="185" t="str">
        <f>IFERROR(__xludf.DUMMYFUNCTION("""COMPUTED_VALUE"""),"goodfirms.co")</f>
        <v>goodfirms.co</v>
      </c>
      <c r="F39" s="185" t="str">
        <f>IFERROR(__xludf.DUMMYFUNCTION("""COMPUTED_VALUE"""),"Profile")</f>
        <v>Profile</v>
      </c>
      <c r="G39" s="185" t="str">
        <f>IFERROR(__xludf.DUMMYFUNCTION("""COMPUTED_VALUE"""),"UGC")</f>
        <v>UGC</v>
      </c>
      <c r="H39" s="185" t="str">
        <f>IFERROR(__xludf.DUMMYFUNCTION("""COMPUTED_VALUE"""),"No")</f>
        <v>No</v>
      </c>
      <c r="I39" s="185" t="str">
        <f>IFERROR(__xludf.DUMMYFUNCTION("""COMPUTED_VALUE"""),"Medium")</f>
        <v>Medium</v>
      </c>
      <c r="J39" s="185" t="str">
        <f>IFERROR(__xludf.DUMMYFUNCTION("""COMPUTED_VALUE"""),"Yes")</f>
        <v>Yes</v>
      </c>
      <c r="K39" s="185"/>
      <c r="L39" s="187">
        <f>IFERROR(__xludf.DUMMYFUNCTION("""COMPUTED_VALUE"""),18.0)</f>
        <v>18</v>
      </c>
      <c r="M39" s="188">
        <f>IFERROR(__xludf.DUMMYFUNCTION("""COMPUTED_VALUE"""),0.02)</f>
        <v>0.02</v>
      </c>
      <c r="N39" s="188">
        <f>IFERROR(__xludf.DUMMYFUNCTION("""COMPUTED_VALUE"""),0.0)</f>
        <v>0</v>
      </c>
      <c r="O39" s="208"/>
      <c r="P39" s="208"/>
      <c r="Q39" s="208"/>
      <c r="R39" s="208"/>
    </row>
    <row r="40">
      <c r="A40" s="185" t="str">
        <f>IFERROR(__xludf.DUMMYFUNCTION("""COMPUTED_VALUE"""),"Lower-priority competitor/vendor roundup")</f>
        <v>Lower-priority competitor/vendor roundup</v>
      </c>
      <c r="B40" s="186" t="str">
        <f>IFERROR(__xludf.DUMMYFUNCTION("""COMPUTED_VALUE"""),"https://www.webtonic.io/blog/top-display-advertising-agencies")</f>
        <v>https://www.webtonic.io/blog/top-display-advertising-agencies</v>
      </c>
      <c r="C40" s="185" t="str">
        <f>IFERROR(__xludf.DUMMYFUNCTION("""COMPUTED_VALUE"""),"The 50 Top Display Advertising Agencies as of 2026")</f>
        <v>The 50 Top Display Advertising Agencies as of 2026</v>
      </c>
      <c r="D40" s="185" t="str">
        <f>IFERROR(__xludf.DUMMYFUNCTION("""COMPUTED_VALUE"""),"US")</f>
        <v>US</v>
      </c>
      <c r="E40" s="185" t="str">
        <f>IFERROR(__xludf.DUMMYFUNCTION("""COMPUTED_VALUE"""),"webtonic.io")</f>
        <v>webtonic.io</v>
      </c>
      <c r="F40" s="185" t="str">
        <f>IFERROR(__xludf.DUMMYFUNCTION("""COMPUTED_VALUE"""),"Listicle")</f>
        <v>Listicle</v>
      </c>
      <c r="G40" s="185" t="str">
        <f>IFERROR(__xludf.DUMMYFUNCTION("""COMPUTED_VALUE"""),"COMPETITOR")</f>
        <v>COMPETITOR</v>
      </c>
      <c r="H40" s="185" t="str">
        <f>IFERROR(__xludf.DUMMYFUNCTION("""COMPUTED_VALUE"""),"No")</f>
        <v>No</v>
      </c>
      <c r="I40" s="185" t="str">
        <f>IFERROR(__xludf.DUMMYFUNCTION("""COMPUTED_VALUE"""),"Low")</f>
        <v>Low</v>
      </c>
      <c r="J40" s="185" t="str">
        <f>IFERROR(__xludf.DUMMYFUNCTION("""COMPUTED_VALUE"""),"Secondary")</f>
        <v>Secondary</v>
      </c>
      <c r="K40" s="185" t="str">
        <f>IFERROR(__xludf.DUMMYFUNCTION("""COMPUTED_VALUE"""),"Web Tonic, WPP, GroupM, Measured, AdVenture Media")</f>
        <v>Web Tonic, WPP, GroupM, Measured, AdVenture Media</v>
      </c>
      <c r="L40" s="187">
        <f>IFERROR(__xludf.DUMMYFUNCTION("""COMPUTED_VALUE"""),18.0)</f>
        <v>18</v>
      </c>
      <c r="M40" s="188">
        <f>IFERROR(__xludf.DUMMYFUNCTION("""COMPUTED_VALUE"""),0.02)</f>
        <v>0.02</v>
      </c>
      <c r="N40" s="188">
        <f>IFERROR(__xludf.DUMMYFUNCTION("""COMPUTED_VALUE"""),0.89)</f>
        <v>0.89</v>
      </c>
      <c r="O40" s="208"/>
      <c r="P40" s="208"/>
      <c r="Q40" s="208"/>
      <c r="R40" s="208"/>
    </row>
    <row r="41">
      <c r="A41" s="185" t="str">
        <f>IFERROR(__xludf.DUMMYFUNCTION("""COMPUTED_VALUE"""),"Agency directory / review marketplace")</f>
        <v>Agency directory / review marketplace</v>
      </c>
      <c r="B41" s="186" t="str">
        <f>IFERROR(__xludf.DUMMYFUNCTION("""COMPUTED_VALUE"""),"https://clutch.co/agencies/creative")</f>
        <v>https://clutch.co/agencies/creative</v>
      </c>
      <c r="C41" s="185" t="str">
        <f>IFERROR(__xludf.DUMMYFUNCTION("""COMPUTED_VALUE"""),"Top Creative Agencies - Jul 2026 Rankings | Clutch.co")</f>
        <v>Top Creative Agencies - Jul 2026 Rankings | Clutch.co</v>
      </c>
      <c r="D41" s="185" t="str">
        <f>IFERROR(__xludf.DUMMYFUNCTION("""COMPUTED_VALUE"""),"US")</f>
        <v>US</v>
      </c>
      <c r="E41" s="185" t="str">
        <f>IFERROR(__xludf.DUMMYFUNCTION("""COMPUTED_VALUE"""),"clutch.co")</f>
        <v>clutch.co</v>
      </c>
      <c r="F41" s="185" t="str">
        <f>IFERROR(__xludf.DUMMYFUNCTION("""COMPUTED_VALUE"""),"Category Page")</f>
        <v>Category Page</v>
      </c>
      <c r="G41" s="185" t="str">
        <f>IFERROR(__xludf.DUMMYFUNCTION("""COMPUTED_VALUE"""),"COMPETITOR")</f>
        <v>COMPETITOR</v>
      </c>
      <c r="H41" s="185" t="str">
        <f>IFERROR(__xludf.DUMMYFUNCTION("""COMPUTED_VALUE"""),"No")</f>
        <v>No</v>
      </c>
      <c r="I41" s="185" t="str">
        <f>IFERROR(__xludf.DUMMYFUNCTION("""COMPUTED_VALUE"""),"Medium")</f>
        <v>Medium</v>
      </c>
      <c r="J41" s="185" t="str">
        <f>IFERROR(__xludf.DUMMYFUNCTION("""COMPUTED_VALUE"""),"Yes")</f>
        <v>Yes</v>
      </c>
      <c r="K41" s="185" t="str">
        <f>IFERROR(__xludf.DUMMYFUNCTION("""COMPUTED_VALUE"""),"Clutch, Clay, Momentum")</f>
        <v>Clutch, Clay, Momentum</v>
      </c>
      <c r="L41" s="187">
        <f>IFERROR(__xludf.DUMMYFUNCTION("""COMPUTED_VALUE"""),17.0)</f>
        <v>17</v>
      </c>
      <c r="M41" s="188">
        <f>IFERROR(__xludf.DUMMYFUNCTION("""COMPUTED_VALUE"""),0.02)</f>
        <v>0.02</v>
      </c>
      <c r="N41" s="188">
        <f>IFERROR(__xludf.DUMMYFUNCTION("""COMPUTED_VALUE"""),0.12)</f>
        <v>0.12</v>
      </c>
      <c r="O41" s="208"/>
      <c r="P41" s="208"/>
      <c r="Q41" s="208"/>
      <c r="R41" s="208"/>
    </row>
    <row r="42">
      <c r="A42" s="185" t="str">
        <f>IFERROR(__xludf.DUMMYFUNCTION("""COMPUTED_VALUE"""),"Trade media / editorial publication")</f>
        <v>Trade media / editorial publication</v>
      </c>
      <c r="B42" s="186" t="str">
        <f>IFERROR(__xludf.DUMMYFUNCTION("""COMPUTED_VALUE"""),"https://www.businessofapps.com/marketplace/ai-marketing/")</f>
        <v>https://www.businessofapps.com/marketplace/ai-marketing/</v>
      </c>
      <c r="C42" s="185" t="str">
        <f>IFERROR(__xludf.DUMMYFUNCTION("""COMPUTED_VALUE"""),"Top AI Marketing Companies (2026) - Business of Apps")</f>
        <v>Top AI Marketing Companies (2026) - Business of Apps</v>
      </c>
      <c r="D42" s="185" t="str">
        <f>IFERROR(__xludf.DUMMYFUNCTION("""COMPUTED_VALUE"""),"US")</f>
        <v>US</v>
      </c>
      <c r="E42" s="185" t="str">
        <f>IFERROR(__xludf.DUMMYFUNCTION("""COMPUTED_VALUE"""),"businessofapps.com")</f>
        <v>businessofapps.com</v>
      </c>
      <c r="F42" s="185" t="str">
        <f>IFERROR(__xludf.DUMMYFUNCTION("""COMPUTED_VALUE"""),"Profile")</f>
        <v>Profile</v>
      </c>
      <c r="G42" s="185" t="str">
        <f>IFERROR(__xludf.DUMMYFUNCTION("""COMPUTED_VALUE"""),"EDITORIAL")</f>
        <v>EDITORIAL</v>
      </c>
      <c r="H42" s="185" t="str">
        <f>IFERROR(__xludf.DUMMYFUNCTION("""COMPUTED_VALUE"""),"No")</f>
        <v>No</v>
      </c>
      <c r="I42" s="185" t="str">
        <f>IFERROR(__xludf.DUMMYFUNCTION("""COMPUTED_VALUE"""),"Medium")</f>
        <v>Medium</v>
      </c>
      <c r="J42" s="185" t="str">
        <f>IFERROR(__xludf.DUMMYFUNCTION("""COMPUTED_VALUE"""),"Yes")</f>
        <v>Yes</v>
      </c>
      <c r="K42" s="185" t="str">
        <f>IFERROR(__xludf.DUMMYFUNCTION("""COMPUTED_VALUE"""),"Huge, NinjaPromo, Anomaly")</f>
        <v>Huge, NinjaPromo, Anomaly</v>
      </c>
      <c r="L42" s="187">
        <f>IFERROR(__xludf.DUMMYFUNCTION("""COMPUTED_VALUE"""),16.0)</f>
        <v>16</v>
      </c>
      <c r="M42" s="188">
        <f>IFERROR(__xludf.DUMMYFUNCTION("""COMPUTED_VALUE"""),0.02)</f>
        <v>0.02</v>
      </c>
      <c r="N42" s="188">
        <f>IFERROR(__xludf.DUMMYFUNCTION("""COMPUTED_VALUE"""),0.19)</f>
        <v>0.19</v>
      </c>
      <c r="O42" s="208"/>
      <c r="P42" s="208"/>
      <c r="Q42" s="208"/>
      <c r="R42" s="208"/>
    </row>
    <row r="43">
      <c r="A43" s="185" t="str">
        <f>IFERROR(__xludf.DUMMYFUNCTION("""COMPUTED_VALUE"""),"Agency directory / review marketplace")</f>
        <v>Agency directory / review marketplace</v>
      </c>
      <c r="B43" s="186" t="str">
        <f>IFERROR(__xludf.DUMMYFUNCTION("""COMPUTED_VALUE"""),"https://clutch.co/us/agencies/media-buying")</f>
        <v>https://clutch.co/us/agencies/media-buying</v>
      </c>
      <c r="C43" s="185" t="str">
        <f>IFERROR(__xludf.DUMMYFUNCTION("""COMPUTED_VALUE"""),"Top Media Buying Agencies in the United States - Jul 2026 Rankings \| Clutch.co")</f>
        <v>Top Media Buying Agencies in the United States - Jul 2026 Rankings \| Clutch.co</v>
      </c>
      <c r="D43" s="185" t="str">
        <f>IFERROR(__xludf.DUMMYFUNCTION("""COMPUTED_VALUE"""),"US")</f>
        <v>US</v>
      </c>
      <c r="E43" s="185" t="str">
        <f>IFERROR(__xludf.DUMMYFUNCTION("""COMPUTED_VALUE"""),"clutch.co")</f>
        <v>clutch.co</v>
      </c>
      <c r="F43" s="185" t="str">
        <f>IFERROR(__xludf.DUMMYFUNCTION("""COMPUTED_VALUE"""),"Category Page")</f>
        <v>Category Page</v>
      </c>
      <c r="G43" s="185" t="str">
        <f>IFERROR(__xludf.DUMMYFUNCTION("""COMPUTED_VALUE"""),"COMPETITOR")</f>
        <v>COMPETITOR</v>
      </c>
      <c r="H43" s="185" t="str">
        <f>IFERROR(__xludf.DUMMYFUNCTION("""COMPUTED_VALUE"""),"No")</f>
        <v>No</v>
      </c>
      <c r="I43" s="185" t="str">
        <f>IFERROR(__xludf.DUMMYFUNCTION("""COMPUTED_VALUE"""),"Medium")</f>
        <v>Medium</v>
      </c>
      <c r="J43" s="185" t="str">
        <f>IFERROR(__xludf.DUMMYFUNCTION("""COMPUTED_VALUE"""),"Yes")</f>
        <v>Yes</v>
      </c>
      <c r="K43" s="185" t="str">
        <f>IFERROR(__xludf.DUMMYFUNCTION("""COMPUTED_VALUE"""),"Clutch, Accelerated Digital Media")</f>
        <v>Clutch, Accelerated Digital Media</v>
      </c>
      <c r="L43" s="187">
        <f>IFERROR(__xludf.DUMMYFUNCTION("""COMPUTED_VALUE"""),16.0)</f>
        <v>16</v>
      </c>
      <c r="M43" s="188">
        <f>IFERROR(__xludf.DUMMYFUNCTION("""COMPUTED_VALUE"""),0.02)</f>
        <v>0.02</v>
      </c>
      <c r="N43" s="188">
        <f>IFERROR(__xludf.DUMMYFUNCTION("""COMPUTED_VALUE"""),0.19)</f>
        <v>0.19</v>
      </c>
      <c r="O43" s="208"/>
      <c r="P43" s="208"/>
      <c r="Q43" s="208"/>
      <c r="R43" s="208"/>
    </row>
    <row r="44">
      <c r="A44" s="185" t="str">
        <f>IFERROR(__xludf.DUMMYFUNCTION("""COMPUTED_VALUE"""),"Agency directory / review marketplace")</f>
        <v>Agency directory / review marketplace</v>
      </c>
      <c r="B44" s="186" t="str">
        <f>IFERROR(__xludf.DUMMYFUNCTION("""COMPUTED_VALUE"""),"https://www.designrush.com/agency/digital-marketing/artificial-intelligence")</f>
        <v>https://www.designrush.com/agency/digital-marketing/artificial-intelligence</v>
      </c>
      <c r="C44" s="185" t="str">
        <f>IFERROR(__xludf.DUMMYFUNCTION("""COMPUTED_VALUE"""),"Top AI Marketing Companies in 2026")</f>
        <v>Top AI Marketing Companies in 2026</v>
      </c>
      <c r="D44" s="185" t="str">
        <f>IFERROR(__xludf.DUMMYFUNCTION("""COMPUTED_VALUE"""),"US")</f>
        <v>US</v>
      </c>
      <c r="E44" s="185" t="str">
        <f>IFERROR(__xludf.DUMMYFUNCTION("""COMPUTED_VALUE"""),"designrush.com")</f>
        <v>designrush.com</v>
      </c>
      <c r="F44" s="185" t="str">
        <f>IFERROR(__xludf.DUMMYFUNCTION("""COMPUTED_VALUE"""),"Listicle")</f>
        <v>Listicle</v>
      </c>
      <c r="G44" s="185" t="str">
        <f>IFERROR(__xludf.DUMMYFUNCTION("""COMPUTED_VALUE"""),"CORPORATE")</f>
        <v>CORPORATE</v>
      </c>
      <c r="H44" s="185" t="str">
        <f>IFERROR(__xludf.DUMMYFUNCTION("""COMPUTED_VALUE"""),"No")</f>
        <v>No</v>
      </c>
      <c r="I44" s="185" t="str">
        <f>IFERROR(__xludf.DUMMYFUNCTION("""COMPUTED_VALUE"""),"Medium")</f>
        <v>Medium</v>
      </c>
      <c r="J44" s="185" t="str">
        <f>IFERROR(__xludf.DUMMYFUNCTION("""COMPUTED_VALUE"""),"Yes")</f>
        <v>Yes</v>
      </c>
      <c r="K44" s="185" t="str">
        <f>IFERROR(__xludf.DUMMYFUNCTION("""COMPUTED_VALUE"""),"Amsive, Single Grain, Jellyfish, Major Tom, Searchbloom, SmartSites, Funnel Boost Media, Huge, Intero Digital, Disruptive Advertising, NinjaPromo, PwC, WebFX, IBM")</f>
        <v>Amsive, Single Grain, Jellyfish, Major Tom, Searchbloom, SmartSites, Funnel Boost Media, Huge, Intero Digital, Disruptive Advertising, NinjaPromo, PwC, WebFX, IBM</v>
      </c>
      <c r="L44" s="187">
        <f>IFERROR(__xludf.DUMMYFUNCTION("""COMPUTED_VALUE"""),16.0)</f>
        <v>16</v>
      </c>
      <c r="M44" s="188">
        <f>IFERROR(__xludf.DUMMYFUNCTION("""COMPUTED_VALUE"""),0.02)</f>
        <v>0.02</v>
      </c>
      <c r="N44" s="188">
        <f>IFERROR(__xludf.DUMMYFUNCTION("""COMPUTED_VALUE"""),0.19)</f>
        <v>0.19</v>
      </c>
      <c r="O44" s="208"/>
      <c r="P44" s="208"/>
      <c r="Q44" s="208"/>
      <c r="R44" s="208"/>
    </row>
    <row r="45">
      <c r="A45" s="185" t="str">
        <f>IFERROR(__xludf.DUMMYFUNCTION("""COMPUTED_VALUE"""),"Agency directory / review marketplace")</f>
        <v>Agency directory / review marketplace</v>
      </c>
      <c r="B45" s="186" t="str">
        <f>IFERROR(__xludf.DUMMYFUNCTION("""COMPUTED_VALUE"""),"https://digitalagencynetwork.com/agencies/usa/")</f>
        <v>https://digitalagencynetwork.com/agencies/usa/</v>
      </c>
      <c r="C45" s="185" t="str">
        <f>IFERROR(__xludf.DUMMYFUNCTION("""COMPUTED_VALUE"""),"Top Digital Marketing Agencies in USA (2026)")</f>
        <v>Top Digital Marketing Agencies in USA (2026)</v>
      </c>
      <c r="D45" s="185" t="str">
        <f>IFERROR(__xludf.DUMMYFUNCTION("""COMPUTED_VALUE"""),"US")</f>
        <v>US</v>
      </c>
      <c r="E45" s="185" t="str">
        <f>IFERROR(__xludf.DUMMYFUNCTION("""COMPUTED_VALUE"""),"digitalagencynetwork.com")</f>
        <v>digitalagencynetwork.com</v>
      </c>
      <c r="F45" s="185" t="str">
        <f>IFERROR(__xludf.DUMMYFUNCTION("""COMPUTED_VALUE"""),"Category Page")</f>
        <v>Category Page</v>
      </c>
      <c r="G45" s="185" t="str">
        <f>IFERROR(__xludf.DUMMYFUNCTION("""COMPUTED_VALUE"""),"REFERENCE")</f>
        <v>REFERENCE</v>
      </c>
      <c r="H45" s="185" t="str">
        <f>IFERROR(__xludf.DUMMYFUNCTION("""COMPUTED_VALUE"""),"No")</f>
        <v>No</v>
      </c>
      <c r="I45" s="185" t="str">
        <f>IFERROR(__xludf.DUMMYFUNCTION("""COMPUTED_VALUE"""),"Medium")</f>
        <v>Medium</v>
      </c>
      <c r="J45" s="185" t="str">
        <f>IFERROR(__xludf.DUMMYFUNCTION("""COMPUTED_VALUE"""),"Yes")</f>
        <v>Yes</v>
      </c>
      <c r="K45" s="185" t="str">
        <f>IFERROR(__xludf.DUMMYFUNCTION("""COMPUTED_VALUE"""),"Major Tom, Ignite Visibility, Dentsu, NinjaPromo, PwC, Monks, SmartSites, Victorious, BCG, Clay, Brighter Click, NoGood, Web Tonic, Amsive")</f>
        <v>Major Tom, Ignite Visibility, Dentsu, NinjaPromo, PwC, Monks, SmartSites, Victorious, BCG, Clay, Brighter Click, NoGood, Web Tonic, Amsive</v>
      </c>
      <c r="L45" s="187">
        <f>IFERROR(__xludf.DUMMYFUNCTION("""COMPUTED_VALUE"""),16.0)</f>
        <v>16</v>
      </c>
      <c r="M45" s="188">
        <f>IFERROR(__xludf.DUMMYFUNCTION("""COMPUTED_VALUE"""),0.02)</f>
        <v>0.02</v>
      </c>
      <c r="N45" s="188">
        <f>IFERROR(__xludf.DUMMYFUNCTION("""COMPUTED_VALUE"""),0.0)</f>
        <v>0</v>
      </c>
      <c r="O45" s="208"/>
      <c r="P45" s="208"/>
      <c r="Q45" s="208"/>
      <c r="R45" s="208"/>
    </row>
    <row r="46">
      <c r="A46" s="185" t="str">
        <f>IFERROR(__xludf.DUMMYFUNCTION("""COMPUTED_VALUE"""),"Agency directory / review marketplace")</f>
        <v>Agency directory / review marketplace</v>
      </c>
      <c r="B46" s="186" t="str">
        <f>IFERROR(__xludf.DUMMYFUNCTION("""COMPUTED_VALUE"""),"https://digitalagencynetwork.com/agencies/usa/geo/")</f>
        <v>https://digitalagencynetwork.com/agencies/usa/geo/</v>
      </c>
      <c r="C46" s="185" t="str">
        <f>IFERROR(__xludf.DUMMYFUNCTION("""COMPUTED_VALUE"""),"Top GEO Agencies in USA for Generative Engine Optimization (2026)")</f>
        <v>Top GEO Agencies in USA for Generative Engine Optimization (2026)</v>
      </c>
      <c r="D46" s="185" t="str">
        <f>IFERROR(__xludf.DUMMYFUNCTION("""COMPUTED_VALUE"""),"US")</f>
        <v>US</v>
      </c>
      <c r="E46" s="185" t="str">
        <f>IFERROR(__xludf.DUMMYFUNCTION("""COMPUTED_VALUE"""),"digitalagencynetwork.com")</f>
        <v>digitalagencynetwork.com</v>
      </c>
      <c r="F46" s="185" t="str">
        <f>IFERROR(__xludf.DUMMYFUNCTION("""COMPUTED_VALUE"""),"Profile")</f>
        <v>Profile</v>
      </c>
      <c r="G46" s="185" t="str">
        <f>IFERROR(__xludf.DUMMYFUNCTION("""COMPUTED_VALUE"""),"REFERENCE")</f>
        <v>REFERENCE</v>
      </c>
      <c r="H46" s="185" t="str">
        <f>IFERROR(__xludf.DUMMYFUNCTION("""COMPUTED_VALUE"""),"No")</f>
        <v>No</v>
      </c>
      <c r="I46" s="185" t="str">
        <f>IFERROR(__xludf.DUMMYFUNCTION("""COMPUTED_VALUE"""),"Medium")</f>
        <v>Medium</v>
      </c>
      <c r="J46" s="185" t="str">
        <f>IFERROR(__xludf.DUMMYFUNCTION("""COMPUTED_VALUE"""),"Yes")</f>
        <v>Yes</v>
      </c>
      <c r="K46" s="185" t="str">
        <f>IFERROR(__xludf.DUMMYFUNCTION("""COMPUTED_VALUE"""),"Measured, Amsive, NoGood, Major Tom, Victorious, BCG, Web Tonic, Ignite Visibility")</f>
        <v>Measured, Amsive, NoGood, Major Tom, Victorious, BCG, Web Tonic, Ignite Visibility</v>
      </c>
      <c r="L46" s="187">
        <f>IFERROR(__xludf.DUMMYFUNCTION("""COMPUTED_VALUE"""),16.0)</f>
        <v>16</v>
      </c>
      <c r="M46" s="188">
        <f>IFERROR(__xludf.DUMMYFUNCTION("""COMPUTED_VALUE"""),0.02)</f>
        <v>0.02</v>
      </c>
      <c r="N46" s="188">
        <f>IFERROR(__xludf.DUMMYFUNCTION("""COMPUTED_VALUE"""),0.56)</f>
        <v>0.56</v>
      </c>
      <c r="O46" s="208"/>
      <c r="P46" s="208"/>
      <c r="Q46" s="208"/>
      <c r="R46" s="208"/>
    </row>
    <row r="47">
      <c r="A47" s="185" t="str">
        <f>IFERROR(__xludf.DUMMYFUNCTION("""COMPUTED_VALUE"""),"Industry data / software authority")</f>
        <v>Industry data / software authority</v>
      </c>
      <c r="B47" s="186" t="str">
        <f>IFERROR(__xludf.DUMMYFUNCTION("""COMPUTED_VALUE"""),"https://agencies.semrush.com/list/display-advertising/")</f>
        <v>https://agencies.semrush.com/list/display-advertising/</v>
      </c>
      <c r="C47" s="185" t="str">
        <f>IFERROR(__xludf.DUMMYFUNCTION("""COMPUTED_VALUE"""),"Best Display Ads Agencies in the World 2026 | Semrush")</f>
        <v>Best Display Ads Agencies in the World 2026 | Semrush</v>
      </c>
      <c r="D47" s="185" t="str">
        <f>IFERROR(__xludf.DUMMYFUNCTION("""COMPUTED_VALUE"""),"US")</f>
        <v>US</v>
      </c>
      <c r="E47" s="185" t="str">
        <f>IFERROR(__xludf.DUMMYFUNCTION("""COMPUTED_VALUE"""),"semrush.com")</f>
        <v>semrush.com</v>
      </c>
      <c r="F47" s="185" t="str">
        <f>IFERROR(__xludf.DUMMYFUNCTION("""COMPUTED_VALUE"""),"Category Page")</f>
        <v>Category Page</v>
      </c>
      <c r="G47" s="185" t="str">
        <f>IFERROR(__xludf.DUMMYFUNCTION("""COMPUTED_VALUE"""),"CORPORATE")</f>
        <v>CORPORATE</v>
      </c>
      <c r="H47" s="185" t="str">
        <f>IFERROR(__xludf.DUMMYFUNCTION("""COMPUTED_VALUE"""),"No")</f>
        <v>No</v>
      </c>
      <c r="I47" s="185" t="str">
        <f>IFERROR(__xludf.DUMMYFUNCTION("""COMPUTED_VALUE"""),"Medium")</f>
        <v>Medium</v>
      </c>
      <c r="J47" s="185" t="str">
        <f>IFERROR(__xludf.DUMMYFUNCTION("""COMPUTED_VALUE"""),"Yes")</f>
        <v>Yes</v>
      </c>
      <c r="K47" s="185" t="str">
        <f>IFERROR(__xludf.DUMMYFUNCTION("""COMPUTED_VALUE"""),"SmartSites")</f>
        <v>SmartSites</v>
      </c>
      <c r="L47" s="187">
        <f>IFERROR(__xludf.DUMMYFUNCTION("""COMPUTED_VALUE"""),15.0)</f>
        <v>15</v>
      </c>
      <c r="M47" s="188">
        <f>IFERROR(__xludf.DUMMYFUNCTION("""COMPUTED_VALUE"""),0.01)</f>
        <v>0.01</v>
      </c>
      <c r="N47" s="188">
        <f>IFERROR(__xludf.DUMMYFUNCTION("""COMPUTED_VALUE"""),0.0)</f>
        <v>0</v>
      </c>
      <c r="O47" s="208"/>
      <c r="P47" s="208"/>
      <c r="Q47" s="208"/>
      <c r="R47" s="208"/>
    </row>
    <row r="48">
      <c r="A48" s="185" t="str">
        <f>IFERROR(__xludf.DUMMYFUNCTION("""COMPUTED_VALUE"""),"Agency directory / review marketplace")</f>
        <v>Agency directory / review marketplace</v>
      </c>
      <c r="B48" s="186" t="str">
        <f>IFERROR(__xludf.DUMMYFUNCTION("""COMPUTED_VALUE"""),"https://clutch.co/us/consulting/ai")</f>
        <v>https://clutch.co/us/consulting/ai</v>
      </c>
      <c r="C48" s="185" t="str">
        <f>IFERROR(__xludf.DUMMYFUNCTION("""COMPUTED_VALUE"""),"Top AI Consultants in the United States - Jul 2026 Rankings \| Clutch.co")</f>
        <v>Top AI Consultants in the United States - Jul 2026 Rankings \| Clutch.co</v>
      </c>
      <c r="D48" s="185" t="str">
        <f>IFERROR(__xludf.DUMMYFUNCTION("""COMPUTED_VALUE"""),"US")</f>
        <v>US</v>
      </c>
      <c r="E48" s="185" t="str">
        <f>IFERROR(__xludf.DUMMYFUNCTION("""COMPUTED_VALUE"""),"clutch.co")</f>
        <v>clutch.co</v>
      </c>
      <c r="F48" s="185" t="str">
        <f>IFERROR(__xludf.DUMMYFUNCTION("""COMPUTED_VALUE"""),"Category Page")</f>
        <v>Category Page</v>
      </c>
      <c r="G48" s="185" t="str">
        <f>IFERROR(__xludf.DUMMYFUNCTION("""COMPUTED_VALUE"""),"COMPETITOR")</f>
        <v>COMPETITOR</v>
      </c>
      <c r="H48" s="185" t="str">
        <f>IFERROR(__xludf.DUMMYFUNCTION("""COMPUTED_VALUE"""),"No")</f>
        <v>No</v>
      </c>
      <c r="I48" s="185" t="str">
        <f>IFERROR(__xludf.DUMMYFUNCTION("""COMPUTED_VALUE"""),"Medium")</f>
        <v>Medium</v>
      </c>
      <c r="J48" s="185" t="str">
        <f>IFERROR(__xludf.DUMMYFUNCTION("""COMPUTED_VALUE"""),"Yes")</f>
        <v>Yes</v>
      </c>
      <c r="K48" s="185" t="str">
        <f>IFERROR(__xludf.DUMMYFUNCTION("""COMPUTED_VALUE"""),"Clutch, Momentum")</f>
        <v>Clutch, Momentum</v>
      </c>
      <c r="L48" s="187">
        <f>IFERROR(__xludf.DUMMYFUNCTION("""COMPUTED_VALUE"""),15.0)</f>
        <v>15</v>
      </c>
      <c r="M48" s="188">
        <f>IFERROR(__xludf.DUMMYFUNCTION("""COMPUTED_VALUE"""),0.01)</f>
        <v>0.01</v>
      </c>
      <c r="N48" s="188">
        <f>IFERROR(__xludf.DUMMYFUNCTION("""COMPUTED_VALUE"""),0.47)</f>
        <v>0.47</v>
      </c>
      <c r="O48" s="208"/>
      <c r="P48" s="208"/>
      <c r="Q48" s="208"/>
      <c r="R48" s="208"/>
    </row>
    <row r="49">
      <c r="A49" s="185" t="str">
        <f>IFERROR(__xludf.DUMMYFUNCTION("""COMPUTED_VALUE"""),"Agency directory / review marketplace")</f>
        <v>Agency directory / review marketplace</v>
      </c>
      <c r="B49" s="186" t="str">
        <f>IFERROR(__xludf.DUMMYFUNCTION("""COMPUTED_VALUE"""),"https://www.designrush.com/agency/paid-media-pay-per-click/display-advertising-agency")</f>
        <v>https://www.designrush.com/agency/paid-media-pay-per-click/display-advertising-agency</v>
      </c>
      <c r="C49" s="185" t="str">
        <f>IFERROR(__xludf.DUMMYFUNCTION("""COMPUTED_VALUE"""),"Top Display Advertising Agencies in 2026")</f>
        <v>Top Display Advertising Agencies in 2026</v>
      </c>
      <c r="D49" s="185" t="str">
        <f>IFERROR(__xludf.DUMMYFUNCTION("""COMPUTED_VALUE"""),"US")</f>
        <v>US</v>
      </c>
      <c r="E49" s="185" t="str">
        <f>IFERROR(__xludf.DUMMYFUNCTION("""COMPUTED_VALUE"""),"designrush.com")</f>
        <v>designrush.com</v>
      </c>
      <c r="F49" s="185" t="str">
        <f>IFERROR(__xludf.DUMMYFUNCTION("""COMPUTED_VALUE"""),"Listicle")</f>
        <v>Listicle</v>
      </c>
      <c r="G49" s="185" t="str">
        <f>IFERROR(__xludf.DUMMYFUNCTION("""COMPUTED_VALUE"""),"CORPORATE")</f>
        <v>CORPORATE</v>
      </c>
      <c r="H49" s="185" t="str">
        <f>IFERROR(__xludf.DUMMYFUNCTION("""COMPUTED_VALUE"""),"No")</f>
        <v>No</v>
      </c>
      <c r="I49" s="185" t="str">
        <f>IFERROR(__xludf.DUMMYFUNCTION("""COMPUTED_VALUE"""),"Medium")</f>
        <v>Medium</v>
      </c>
      <c r="J49" s="185" t="str">
        <f>IFERROR(__xludf.DUMMYFUNCTION("""COMPUTED_VALUE"""),"Yes")</f>
        <v>Yes</v>
      </c>
      <c r="K49" s="185" t="str">
        <f>IFERROR(__xludf.DUMMYFUNCTION("""COMPUTED_VALUE"""),"Searchbloom, SmartSites, Funnel Boost Media, Huge, Disruptive Advertising, AdVenture Media, Web Tonic, WebFX")</f>
        <v>Searchbloom, SmartSites, Funnel Boost Media, Huge, Disruptive Advertising, AdVenture Media, Web Tonic, WebFX</v>
      </c>
      <c r="L49" s="187">
        <f>IFERROR(__xludf.DUMMYFUNCTION("""COMPUTED_VALUE"""),15.0)</f>
        <v>15</v>
      </c>
      <c r="M49" s="188">
        <f>IFERROR(__xludf.DUMMYFUNCTION("""COMPUTED_VALUE"""),0.01)</f>
        <v>0.01</v>
      </c>
      <c r="N49" s="188">
        <f>IFERROR(__xludf.DUMMYFUNCTION("""COMPUTED_VALUE"""),0.4)</f>
        <v>0.4</v>
      </c>
      <c r="O49" s="208"/>
      <c r="P49" s="208"/>
      <c r="Q49" s="208"/>
      <c r="R49" s="208"/>
    </row>
    <row r="50">
      <c r="A50" s="185" t="str">
        <f>IFERROR(__xludf.DUMMYFUNCTION("""COMPUTED_VALUE"""),"Agency directory / review marketplace")</f>
        <v>Agency directory / review marketplace</v>
      </c>
      <c r="B50" s="186" t="str">
        <f>IFERROR(__xludf.DUMMYFUNCTION("""COMPUTED_VALUE"""),"https://www.sortlist.com/s/marketing-analytics/united-states-us")</f>
        <v>https://www.sortlist.com/s/marketing-analytics/united-states-us</v>
      </c>
      <c r="C50" s="185" t="str">
        <f>IFERROR(__xludf.DUMMYFUNCTION("""COMPUTED_VALUE"""),"The 10 Best Marketing Analytics Companies in the United States - 2026 Reviews")</f>
        <v>The 10 Best Marketing Analytics Companies in the United States - 2026 Reviews</v>
      </c>
      <c r="D50" s="185" t="str">
        <f>IFERROR(__xludf.DUMMYFUNCTION("""COMPUTED_VALUE"""),"US")</f>
        <v>US</v>
      </c>
      <c r="E50" s="185" t="str">
        <f>IFERROR(__xludf.DUMMYFUNCTION("""COMPUTED_VALUE"""),"sortlist.com")</f>
        <v>sortlist.com</v>
      </c>
      <c r="F50" s="185" t="str">
        <f>IFERROR(__xludf.DUMMYFUNCTION("""COMPUTED_VALUE"""),"Category Page")</f>
        <v>Category Page</v>
      </c>
      <c r="G50" s="185" t="str">
        <f>IFERROR(__xludf.DUMMYFUNCTION("""COMPUTED_VALUE"""),"CORPORATE")</f>
        <v>CORPORATE</v>
      </c>
      <c r="H50" s="185" t="str">
        <f>IFERROR(__xludf.DUMMYFUNCTION("""COMPUTED_VALUE"""),"No")</f>
        <v>No</v>
      </c>
      <c r="I50" s="185" t="str">
        <f>IFERROR(__xludf.DUMMYFUNCTION("""COMPUTED_VALUE"""),"Medium")</f>
        <v>Medium</v>
      </c>
      <c r="J50" s="185" t="str">
        <f>IFERROR(__xludf.DUMMYFUNCTION("""COMPUTED_VALUE"""),"Yes")</f>
        <v>Yes</v>
      </c>
      <c r="K50" s="185" t="str">
        <f>IFERROR(__xludf.DUMMYFUNCTION("""COMPUTED_VALUE"""),"NinjaPromo, IBM, Clutch")</f>
        <v>NinjaPromo, IBM, Clutch</v>
      </c>
      <c r="L50" s="187">
        <f>IFERROR(__xludf.DUMMYFUNCTION("""COMPUTED_VALUE"""),15.0)</f>
        <v>15</v>
      </c>
      <c r="M50" s="188">
        <f>IFERROR(__xludf.DUMMYFUNCTION("""COMPUTED_VALUE"""),0.01)</f>
        <v>0.01</v>
      </c>
      <c r="N50" s="188">
        <f>IFERROR(__xludf.DUMMYFUNCTION("""COMPUTED_VALUE"""),0.07)</f>
        <v>0.07</v>
      </c>
      <c r="O50" s="208"/>
      <c r="P50" s="208"/>
      <c r="Q50" s="208"/>
      <c r="R50" s="208"/>
    </row>
    <row r="51">
      <c r="A51" s="185" t="str">
        <f>IFERROR(__xludf.DUMMYFUNCTION("""COMPUTED_VALUE"""),"Agency directory / review marketplace")</f>
        <v>Agency directory / review marketplace</v>
      </c>
      <c r="B51" s="186" t="str">
        <f>IFERROR(__xludf.DUMMYFUNCTION("""COMPUTED_VALUE"""),"https://techbehemoths.com/companies/marketing-analytics/united-states")</f>
        <v>https://techbehemoths.com/companies/marketing-analytics/united-states</v>
      </c>
      <c r="C51" s="185" t="str">
        <f>IFERROR(__xludf.DUMMYFUNCTION("""COMPUTED_VALUE"""),"Top 20+ Marketing analytics Companies in United States (2026) - TechBehemoths")</f>
        <v>Top 20+ Marketing analytics Companies in United States (2026) - TechBehemoths</v>
      </c>
      <c r="D51" s="185" t="str">
        <f>IFERROR(__xludf.DUMMYFUNCTION("""COMPUTED_VALUE"""),"US")</f>
        <v>US</v>
      </c>
      <c r="E51" s="185" t="str">
        <f>IFERROR(__xludf.DUMMYFUNCTION("""COMPUTED_VALUE"""),"techbehemoths.com")</f>
        <v>techbehemoths.com</v>
      </c>
      <c r="F51" s="185" t="str">
        <f>IFERROR(__xludf.DUMMYFUNCTION("""COMPUTED_VALUE"""),"Profile")</f>
        <v>Profile</v>
      </c>
      <c r="G51" s="185" t="str">
        <f>IFERROR(__xludf.DUMMYFUNCTION("""COMPUTED_VALUE"""),"REFERENCE")</f>
        <v>REFERENCE</v>
      </c>
      <c r="H51" s="185" t="str">
        <f>IFERROR(__xludf.DUMMYFUNCTION("""COMPUTED_VALUE"""),"No")</f>
        <v>No</v>
      </c>
      <c r="I51" s="185" t="str">
        <f>IFERROR(__xludf.DUMMYFUNCTION("""COMPUTED_VALUE"""),"Medium")</f>
        <v>Medium</v>
      </c>
      <c r="J51" s="185" t="str">
        <f>IFERROR(__xludf.DUMMYFUNCTION("""COMPUTED_VALUE"""),"Yes")</f>
        <v>Yes</v>
      </c>
      <c r="K51" s="185"/>
      <c r="L51" s="187">
        <f>IFERROR(__xludf.DUMMYFUNCTION("""COMPUTED_VALUE"""),15.0)</f>
        <v>15</v>
      </c>
      <c r="M51" s="188">
        <f>IFERROR(__xludf.DUMMYFUNCTION("""COMPUTED_VALUE"""),0.01)</f>
        <v>0.01</v>
      </c>
      <c r="N51" s="188">
        <f>IFERROR(__xludf.DUMMYFUNCTION("""COMPUTED_VALUE"""),0.13)</f>
        <v>0.13</v>
      </c>
      <c r="O51" s="208"/>
      <c r="P51" s="208"/>
      <c r="Q51" s="208"/>
      <c r="R51" s="208"/>
    </row>
    <row r="52">
      <c r="A52" s="185" t="str">
        <f>IFERROR(__xludf.DUMMYFUNCTION("""COMPUTED_VALUE"""),"Agency directory / review marketplace")</f>
        <v>Agency directory / review marketplace</v>
      </c>
      <c r="B52" s="186" t="str">
        <f>IFERROR(__xludf.DUMMYFUNCTION("""COMPUTED_VALUE"""),"https://clutch.co/agencies/digital-marketing")</f>
        <v>https://clutch.co/agencies/digital-marketing</v>
      </c>
      <c r="C52" s="185" t="str">
        <f>IFERROR(__xludf.DUMMYFUNCTION("""COMPUTED_VALUE"""),"Best Digital Marketing Agencies - Jul 2026 Rankings | Clutch.co")</f>
        <v>Best Digital Marketing Agencies - Jul 2026 Rankings | Clutch.co</v>
      </c>
      <c r="D52" s="185" t="str">
        <f>IFERROR(__xludf.DUMMYFUNCTION("""COMPUTED_VALUE"""),"US")</f>
        <v>US</v>
      </c>
      <c r="E52" s="185" t="str">
        <f>IFERROR(__xludf.DUMMYFUNCTION("""COMPUTED_VALUE"""),"clutch.co")</f>
        <v>clutch.co</v>
      </c>
      <c r="F52" s="185" t="str">
        <f>IFERROR(__xludf.DUMMYFUNCTION("""COMPUTED_VALUE"""),"Category Page")</f>
        <v>Category Page</v>
      </c>
      <c r="G52" s="185" t="str">
        <f>IFERROR(__xludf.DUMMYFUNCTION("""COMPUTED_VALUE"""),"COMPETITOR")</f>
        <v>COMPETITOR</v>
      </c>
      <c r="H52" s="185" t="str">
        <f>IFERROR(__xludf.DUMMYFUNCTION("""COMPUTED_VALUE"""),"No")</f>
        <v>No</v>
      </c>
      <c r="I52" s="185" t="str">
        <f>IFERROR(__xludf.DUMMYFUNCTION("""COMPUTED_VALUE"""),"Medium")</f>
        <v>Medium</v>
      </c>
      <c r="J52" s="185" t="str">
        <f>IFERROR(__xludf.DUMMYFUNCTION("""COMPUTED_VALUE"""),"Yes")</f>
        <v>Yes</v>
      </c>
      <c r="K52" s="185" t="str">
        <f>IFERROR(__xludf.DUMMYFUNCTION("""COMPUTED_VALUE"""),"Clutch, Ignite Visibility, Disruptive Advertising, Silverback Strategies, SmartSites, Power Digital, WebFX, Funnel Boost Media, Accelerated Digital Media, Thrive Internet Marketing Agency, Intero Digital, NinjaPromo, Elit-Web")</f>
        <v>Clutch, Ignite Visibility, Disruptive Advertising, Silverback Strategies, SmartSites, Power Digital, WebFX, Funnel Boost Media, Accelerated Digital Media, Thrive Internet Marketing Agency, Intero Digital, NinjaPromo, Elit-Web</v>
      </c>
      <c r="L52" s="187">
        <f>IFERROR(__xludf.DUMMYFUNCTION("""COMPUTED_VALUE"""),14.0)</f>
        <v>14</v>
      </c>
      <c r="M52" s="188">
        <f>IFERROR(__xludf.DUMMYFUNCTION("""COMPUTED_VALUE"""),0.01)</f>
        <v>0.01</v>
      </c>
      <c r="N52" s="188">
        <f>IFERROR(__xludf.DUMMYFUNCTION("""COMPUTED_VALUE"""),0.21)</f>
        <v>0.21</v>
      </c>
      <c r="O52" s="208"/>
      <c r="P52" s="208"/>
      <c r="Q52" s="208"/>
      <c r="R52" s="208"/>
    </row>
    <row r="53">
      <c r="A53" s="185" t="str">
        <f>IFERROR(__xludf.DUMMYFUNCTION("""COMPUTED_VALUE"""),"Agency directory / review marketplace")</f>
        <v>Agency directory / review marketplace</v>
      </c>
      <c r="B53" s="186" t="str">
        <f>IFERROR(__xludf.DUMMYFUNCTION("""COMPUTED_VALUE"""),"https://clutch.co/us/agencies/ppc/google-adwords")</f>
        <v>https://clutch.co/us/agencies/ppc/google-adwords</v>
      </c>
      <c r="C53" s="185" t="str">
        <f>IFERROR(__xludf.DUMMYFUNCTION("""COMPUTED_VALUE"""),"Top Adwords PPC Agencies in the United States - Jul 2026 Rankings \| Clutch.co")</f>
        <v>Top Adwords PPC Agencies in the United States - Jul 2026 Rankings \| Clutch.co</v>
      </c>
      <c r="D53" s="185" t="str">
        <f>IFERROR(__xludf.DUMMYFUNCTION("""COMPUTED_VALUE"""),"US")</f>
        <v>US</v>
      </c>
      <c r="E53" s="185" t="str">
        <f>IFERROR(__xludf.DUMMYFUNCTION("""COMPUTED_VALUE"""),"clutch.co")</f>
        <v>clutch.co</v>
      </c>
      <c r="F53" s="185" t="str">
        <f>IFERROR(__xludf.DUMMYFUNCTION("""COMPUTED_VALUE"""),"Category Page")</f>
        <v>Category Page</v>
      </c>
      <c r="G53" s="185" t="str">
        <f>IFERROR(__xludf.DUMMYFUNCTION("""COMPUTED_VALUE"""),"COMPETITOR")</f>
        <v>COMPETITOR</v>
      </c>
      <c r="H53" s="185" t="str">
        <f>IFERROR(__xludf.DUMMYFUNCTION("""COMPUTED_VALUE"""),"No")</f>
        <v>No</v>
      </c>
      <c r="I53" s="185" t="str">
        <f>IFERROR(__xludf.DUMMYFUNCTION("""COMPUTED_VALUE"""),"Medium")</f>
        <v>Medium</v>
      </c>
      <c r="J53" s="185" t="str">
        <f>IFERROR(__xludf.DUMMYFUNCTION("""COMPUTED_VALUE"""),"Yes")</f>
        <v>Yes</v>
      </c>
      <c r="K53" s="185" t="str">
        <f>IFERROR(__xludf.DUMMYFUNCTION("""COMPUTED_VALUE"""),"Clutch, KlientBoost, Disruptive Advertising, AdVenture Media, HawkSEM, SmartSites, Intero Digital, Elit-Web, Accelerated Digital Media, Ignite Visibility, Searchbloom")</f>
        <v>Clutch, KlientBoost, Disruptive Advertising, AdVenture Media, HawkSEM, SmartSites, Intero Digital, Elit-Web, Accelerated Digital Media, Ignite Visibility, Searchbloom</v>
      </c>
      <c r="L53" s="187">
        <f>IFERROR(__xludf.DUMMYFUNCTION("""COMPUTED_VALUE"""),14.0)</f>
        <v>14</v>
      </c>
      <c r="M53" s="188">
        <f>IFERROR(__xludf.DUMMYFUNCTION("""COMPUTED_VALUE"""),0.01)</f>
        <v>0.01</v>
      </c>
      <c r="N53" s="188">
        <f>IFERROR(__xludf.DUMMYFUNCTION("""COMPUTED_VALUE"""),1.5)</f>
        <v>1.5</v>
      </c>
      <c r="O53" s="208"/>
      <c r="P53" s="208"/>
      <c r="Q53" s="208"/>
      <c r="R53" s="208"/>
    </row>
    <row r="54">
      <c r="A54" s="185" t="str">
        <f>IFERROR(__xludf.DUMMYFUNCTION("""COMPUTED_VALUE"""),"Lower-priority competitor/vendor roundup")</f>
        <v>Lower-priority competitor/vendor roundup</v>
      </c>
      <c r="B54" s="186" t="str">
        <f>IFERROR(__xludf.DUMMYFUNCTION("""COMPUTED_VALUE"""),"https://www.cometly.com/post/marketing-attribution-tools-for-agencies")</f>
        <v>https://www.cometly.com/post/marketing-attribution-tools-for-agencies</v>
      </c>
      <c r="C54" s="185" t="str">
        <f>IFERROR(__xludf.DUMMYFUNCTION("""COMPUTED_VALUE"""),"Best Marketing Attribution Tools For Agencies 2026")</f>
        <v>Best Marketing Attribution Tools For Agencies 2026</v>
      </c>
      <c r="D54" s="185" t="str">
        <f>IFERROR(__xludf.DUMMYFUNCTION("""COMPUTED_VALUE"""),"US")</f>
        <v>US</v>
      </c>
      <c r="E54" s="185" t="str">
        <f>IFERROR(__xludf.DUMMYFUNCTION("""COMPUTED_VALUE"""),"cometly.com")</f>
        <v>cometly.com</v>
      </c>
      <c r="F54" s="185" t="str">
        <f>IFERROR(__xludf.DUMMYFUNCTION("""COMPUTED_VALUE"""),"Listicle")</f>
        <v>Listicle</v>
      </c>
      <c r="G54" s="185" t="str">
        <f>IFERROR(__xludf.DUMMYFUNCTION("""COMPUTED_VALUE"""),"COMPETITOR")</f>
        <v>COMPETITOR</v>
      </c>
      <c r="H54" s="185" t="str">
        <f>IFERROR(__xludf.DUMMYFUNCTION("""COMPUTED_VALUE"""),"No")</f>
        <v>No</v>
      </c>
      <c r="I54" s="185" t="str">
        <f>IFERROR(__xludf.DUMMYFUNCTION("""COMPUTED_VALUE"""),"Low")</f>
        <v>Low</v>
      </c>
      <c r="J54" s="185" t="str">
        <f>IFERROR(__xludf.DUMMYFUNCTION("""COMPUTED_VALUE"""),"Secondary")</f>
        <v>Secondary</v>
      </c>
      <c r="K54" s="185" t="str">
        <f>IFERROR(__xludf.DUMMYFUNCTION("""COMPUTED_VALUE"""),"Cometly, Triple Whale, Northbeam, Rockerbox, Ruler Analytics")</f>
        <v>Cometly, Triple Whale, Northbeam, Rockerbox, Ruler Analytics</v>
      </c>
      <c r="L54" s="187">
        <f>IFERROR(__xludf.DUMMYFUNCTION("""COMPUTED_VALUE"""),14.0)</f>
        <v>14</v>
      </c>
      <c r="M54" s="188">
        <f>IFERROR(__xludf.DUMMYFUNCTION("""COMPUTED_VALUE"""),0.01)</f>
        <v>0.01</v>
      </c>
      <c r="N54" s="188">
        <f>IFERROR(__xludf.DUMMYFUNCTION("""COMPUTED_VALUE"""),0.86)</f>
        <v>0.86</v>
      </c>
      <c r="O54" s="208"/>
      <c r="P54" s="208"/>
      <c r="Q54" s="208"/>
      <c r="R54" s="208"/>
    </row>
    <row r="55">
      <c r="A55" s="185" t="str">
        <f>IFERROR(__xludf.DUMMYFUNCTION("""COMPUTED_VALUE"""),"Official partner / certification ecosystem")</f>
        <v>Official partner / certification ecosystem</v>
      </c>
      <c r="B55" s="186" t="str">
        <f>IFERROR(__xludf.DUMMYFUNCTION("""COMPUTED_VALUE"""),"https://enterprisemarketingportal.google/find-a-partner")</f>
        <v>https://enterprisemarketingportal.google/find-a-partner</v>
      </c>
      <c r="C55" s="185" t="str">
        <f>IFERROR(__xludf.DUMMYFUNCTION("""COMPUTED_VALUE"""),"Find a Partner Gallery")</f>
        <v>Find a Partner Gallery</v>
      </c>
      <c r="D55" s="185" t="str">
        <f>IFERROR(__xludf.DUMMYFUNCTION("""COMPUTED_VALUE"""),"US")</f>
        <v>US</v>
      </c>
      <c r="E55" s="185" t="str">
        <f>IFERROR(__xludf.DUMMYFUNCTION("""COMPUTED_VALUE"""),"enterprisemarketingportal.google")</f>
        <v>enterprisemarketingportal.google</v>
      </c>
      <c r="F55" s="185" t="str">
        <f>IFERROR(__xludf.DUMMYFUNCTION("""COMPUTED_VALUE"""),"Category Page")</f>
        <v>Category Page</v>
      </c>
      <c r="G55" s="185" t="str">
        <f>IFERROR(__xludf.DUMMYFUNCTION("""COMPUTED_VALUE"""),"CORPORATE")</f>
        <v>CORPORATE</v>
      </c>
      <c r="H55" s="185" t="str">
        <f>IFERROR(__xludf.DUMMYFUNCTION("""COMPUTED_VALUE"""),"Yes")</f>
        <v>Yes</v>
      </c>
      <c r="I55" s="185" t="str">
        <f>IFERROR(__xludf.DUMMYFUNCTION("""COMPUTED_VALUE"""),"High")</f>
        <v>High</v>
      </c>
      <c r="J55" s="185" t="str">
        <f>IFERROR(__xludf.DUMMYFUNCTION("""COMPUTED_VALUE"""),"Yes - priority")</f>
        <v>Yes - priority</v>
      </c>
      <c r="K55" s="185" t="str">
        <f>IFERROR(__xludf.DUMMYFUNCTION("""COMPUTED_VALUE"""),"Making Science, Jellyfish, Incubeta, Brainlabs, Acxiom, Monks, Adswerve, Bounteous, InfoTrust, Merkle, Cardinal Path, Publicis Sapient, DEPT, Horizon Media, Wpromote, PMG, Digitas, Tinuiti, Marcel Digital")</f>
        <v>Making Science, Jellyfish, Incubeta, Brainlabs, Acxiom, Monks, Adswerve, Bounteous, InfoTrust, Merkle, Cardinal Path, Publicis Sapient, DEPT, Horizon Media, Wpromote, PMG, Digitas, Tinuiti, Marcel Digital</v>
      </c>
      <c r="L55" s="187">
        <f>IFERROR(__xludf.DUMMYFUNCTION("""COMPUTED_VALUE"""),14.0)</f>
        <v>14</v>
      </c>
      <c r="M55" s="188">
        <f>IFERROR(__xludf.DUMMYFUNCTION("""COMPUTED_VALUE"""),0.01)</f>
        <v>0.01</v>
      </c>
      <c r="N55" s="188">
        <f>IFERROR(__xludf.DUMMYFUNCTION("""COMPUTED_VALUE"""),1.36)</f>
        <v>1.36</v>
      </c>
      <c r="O55" s="208"/>
      <c r="P55" s="208"/>
      <c r="Q55" s="208"/>
      <c r="R55" s="208"/>
    </row>
    <row r="56">
      <c r="A56" s="185" t="str">
        <f>IFERROR(__xludf.DUMMYFUNCTION("""COMPUTED_VALUE"""),"Industry data / software authority")</f>
        <v>Industry data / software authority</v>
      </c>
      <c r="B56" s="186" t="str">
        <f>IFERROR(__xludf.DUMMYFUNCTION("""COMPUTED_VALUE"""),"https://agencies.semrush.com/list/display-advertising/united-states/enterprise-business/")</f>
        <v>https://agencies.semrush.com/list/display-advertising/united-states/enterprise-business/</v>
      </c>
      <c r="C56" s="185" t="str">
        <f>IFERROR(__xludf.DUMMYFUNCTION("""COMPUTED_VALUE"""),"Best Display Ads Agencies for Enterprise Business in United States 2026 | Semrush")</f>
        <v>Best Display Ads Agencies for Enterprise Business in United States 2026 | Semrush</v>
      </c>
      <c r="D56" s="185" t="str">
        <f>IFERROR(__xludf.DUMMYFUNCTION("""COMPUTED_VALUE"""),"US")</f>
        <v>US</v>
      </c>
      <c r="E56" s="185" t="str">
        <f>IFERROR(__xludf.DUMMYFUNCTION("""COMPUTED_VALUE"""),"semrush.com")</f>
        <v>semrush.com</v>
      </c>
      <c r="F56" s="185" t="str">
        <f>IFERROR(__xludf.DUMMYFUNCTION("""COMPUTED_VALUE"""),"Category Page")</f>
        <v>Category Page</v>
      </c>
      <c r="G56" s="185" t="str">
        <f>IFERROR(__xludf.DUMMYFUNCTION("""COMPUTED_VALUE"""),"CORPORATE")</f>
        <v>CORPORATE</v>
      </c>
      <c r="H56" s="185" t="str">
        <f>IFERROR(__xludf.DUMMYFUNCTION("""COMPUTED_VALUE"""),"No")</f>
        <v>No</v>
      </c>
      <c r="I56" s="185" t="str">
        <f>IFERROR(__xludf.DUMMYFUNCTION("""COMPUTED_VALUE"""),"Medium")</f>
        <v>Medium</v>
      </c>
      <c r="J56" s="185" t="str">
        <f>IFERROR(__xludf.DUMMYFUNCTION("""COMPUTED_VALUE"""),"Yes")</f>
        <v>Yes</v>
      </c>
      <c r="K56" s="185" t="str">
        <f>IFERROR(__xludf.DUMMYFUNCTION("""COMPUTED_VALUE"""),"SmartSites, Elit-Web, Brighter Click")</f>
        <v>SmartSites, Elit-Web, Brighter Click</v>
      </c>
      <c r="L56" s="187">
        <f>IFERROR(__xludf.DUMMYFUNCTION("""COMPUTED_VALUE"""),13.0)</f>
        <v>13</v>
      </c>
      <c r="M56" s="188">
        <f>IFERROR(__xludf.DUMMYFUNCTION("""COMPUTED_VALUE"""),0.01)</f>
        <v>0.01</v>
      </c>
      <c r="N56" s="188">
        <f>IFERROR(__xludf.DUMMYFUNCTION("""COMPUTED_VALUE"""),0.0)</f>
        <v>0</v>
      </c>
      <c r="O56" s="208"/>
      <c r="P56" s="208"/>
      <c r="Q56" s="208"/>
      <c r="R56" s="208"/>
    </row>
    <row r="57">
      <c r="A57" s="185" t="str">
        <f>IFERROR(__xludf.DUMMYFUNCTION("""COMPUTED_VALUE"""),"Official partner / certification ecosystem")</f>
        <v>Official partner / certification ecosystem</v>
      </c>
      <c r="B57" s="186" t="str">
        <f>IFERROR(__xludf.DUMMYFUNCTION("""COMPUTED_VALUE"""),"https://business.google.com/us/support/work-with-a-partner/")</f>
        <v>https://business.google.com/us/support/work-with-a-partner/</v>
      </c>
      <c r="C57" s="185" t="str">
        <f>IFERROR(__xludf.DUMMYFUNCTION("""COMPUTED_VALUE"""),"Get a Google Partner for a Successful Ad Campaign - Google Ads")</f>
        <v>Get a Google Partner for a Successful Ad Campaign - Google Ads</v>
      </c>
      <c r="D57" s="185" t="str">
        <f>IFERROR(__xludf.DUMMYFUNCTION("""COMPUTED_VALUE"""),"US")</f>
        <v>US</v>
      </c>
      <c r="E57" s="185" t="str">
        <f>IFERROR(__xludf.DUMMYFUNCTION("""COMPUTED_VALUE"""),"google.com")</f>
        <v>google.com</v>
      </c>
      <c r="F57" s="185" t="str">
        <f>IFERROR(__xludf.DUMMYFUNCTION("""COMPUTED_VALUE"""),"Article")</f>
        <v>Article</v>
      </c>
      <c r="G57" s="185" t="str">
        <f>IFERROR(__xludf.DUMMYFUNCTION("""COMPUTED_VALUE"""),"OTHER")</f>
        <v>OTHER</v>
      </c>
      <c r="H57" s="185" t="str">
        <f>IFERROR(__xludf.DUMMYFUNCTION("""COMPUTED_VALUE"""),"No")</f>
        <v>No</v>
      </c>
      <c r="I57" s="185" t="str">
        <f>IFERROR(__xludf.DUMMYFUNCTION("""COMPUTED_VALUE"""),"High")</f>
        <v>High</v>
      </c>
      <c r="J57" s="185" t="str">
        <f>IFERROR(__xludf.DUMMYFUNCTION("""COMPUTED_VALUE"""),"Yes - priority")</f>
        <v>Yes - priority</v>
      </c>
      <c r="K57" s="185" t="str">
        <f>IFERROR(__xludf.DUMMYFUNCTION("""COMPUTED_VALUE"""),"New Engen, Wpromote")</f>
        <v>New Engen, Wpromote</v>
      </c>
      <c r="L57" s="187">
        <f>IFERROR(__xludf.DUMMYFUNCTION("""COMPUTED_VALUE"""),13.0)</f>
        <v>13</v>
      </c>
      <c r="M57" s="188">
        <f>IFERROR(__xludf.DUMMYFUNCTION("""COMPUTED_VALUE"""),0.01)</f>
        <v>0.01</v>
      </c>
      <c r="N57" s="188">
        <f>IFERROR(__xludf.DUMMYFUNCTION("""COMPUTED_VALUE"""),0.0)</f>
        <v>0</v>
      </c>
      <c r="O57" s="208"/>
      <c r="P57" s="208"/>
      <c r="Q57" s="208"/>
      <c r="R57" s="208"/>
    </row>
    <row r="58">
      <c r="A58" s="185" t="str">
        <f>IFERROR(__xludf.DUMMYFUNCTION("""COMPUTED_VALUE"""),"Agency directory / review marketplace")</f>
        <v>Agency directory / review marketplace</v>
      </c>
      <c r="B58" s="186" t="str">
        <f>IFERROR(__xludf.DUMMYFUNCTION("""COMPUTED_VALUE"""),"https://clutch.co/agencies/ppc/google-adwords")</f>
        <v>https://clutch.co/agencies/ppc/google-adwords</v>
      </c>
      <c r="C58" s="185" t="str">
        <f>IFERROR(__xludf.DUMMYFUNCTION("""COMPUTED_VALUE"""),"Top Google Ads PPC Agencies - Jul 2026 Rankings \| Clutch.co")</f>
        <v>Top Google Ads PPC Agencies - Jul 2026 Rankings \| Clutch.co</v>
      </c>
      <c r="D58" s="185" t="str">
        <f>IFERROR(__xludf.DUMMYFUNCTION("""COMPUTED_VALUE"""),"US")</f>
        <v>US</v>
      </c>
      <c r="E58" s="185" t="str">
        <f>IFERROR(__xludf.DUMMYFUNCTION("""COMPUTED_VALUE"""),"clutch.co")</f>
        <v>clutch.co</v>
      </c>
      <c r="F58" s="185" t="str">
        <f>IFERROR(__xludf.DUMMYFUNCTION("""COMPUTED_VALUE"""),"Category Page")</f>
        <v>Category Page</v>
      </c>
      <c r="G58" s="185" t="str">
        <f>IFERROR(__xludf.DUMMYFUNCTION("""COMPUTED_VALUE"""),"COMPETITOR")</f>
        <v>COMPETITOR</v>
      </c>
      <c r="H58" s="185" t="str">
        <f>IFERROR(__xludf.DUMMYFUNCTION("""COMPUTED_VALUE"""),"No")</f>
        <v>No</v>
      </c>
      <c r="I58" s="185" t="str">
        <f>IFERROR(__xludf.DUMMYFUNCTION("""COMPUTED_VALUE"""),"Medium")</f>
        <v>Medium</v>
      </c>
      <c r="J58" s="185" t="str">
        <f>IFERROR(__xludf.DUMMYFUNCTION("""COMPUTED_VALUE"""),"Yes")</f>
        <v>Yes</v>
      </c>
      <c r="K58" s="185" t="str">
        <f>IFERROR(__xludf.DUMMYFUNCTION("""COMPUTED_VALUE"""),"Clutch, KlientBoost, SmartSites, HawkSEM, Silverback Strategies, Disruptive Advertising, AdVenture Media, Accelerated Digital Media, Intero Digital, Elit-Web, Ignite Visibility, Searchbloom")</f>
        <v>Clutch, KlientBoost, SmartSites, HawkSEM, Silverback Strategies, Disruptive Advertising, AdVenture Media, Accelerated Digital Media, Intero Digital, Elit-Web, Ignite Visibility, Searchbloom</v>
      </c>
      <c r="L58" s="187">
        <f>IFERROR(__xludf.DUMMYFUNCTION("""COMPUTED_VALUE"""),13.0)</f>
        <v>13</v>
      </c>
      <c r="M58" s="188">
        <f>IFERROR(__xludf.DUMMYFUNCTION("""COMPUTED_VALUE"""),0.01)</f>
        <v>0.01</v>
      </c>
      <c r="N58" s="188">
        <f>IFERROR(__xludf.DUMMYFUNCTION("""COMPUTED_VALUE"""),0.23)</f>
        <v>0.23</v>
      </c>
      <c r="O58" s="208"/>
      <c r="P58" s="208"/>
      <c r="Q58" s="208"/>
      <c r="R58" s="208"/>
    </row>
    <row r="59">
      <c r="A59" s="185" t="str">
        <f>IFERROR(__xludf.DUMMYFUNCTION("""COMPUTED_VALUE"""),"Agency directory / review marketplace")</f>
        <v>Agency directory / review marketplace</v>
      </c>
      <c r="B59" s="186" t="str">
        <f>IFERROR(__xludf.DUMMYFUNCTION("""COMPUTED_VALUE"""),"https://clutch.co/us/agencies/ppc/display?page=2")</f>
        <v>https://clutch.co/us/agencies/ppc/display?page=2</v>
      </c>
      <c r="C59" s="185" t="str">
        <f>IFERROR(__xludf.DUMMYFUNCTION("""COMPUTED_VALUE"""),"Page 2 - Top Display Advertising Agencies in the United States - Jul 2026 Rankings | Clutch.co")</f>
        <v>Page 2 - Top Display Advertising Agencies in the United States - Jul 2026 Rankings | Clutch.co</v>
      </c>
      <c r="D59" s="185" t="str">
        <f>IFERROR(__xludf.DUMMYFUNCTION("""COMPUTED_VALUE"""),"US")</f>
        <v>US</v>
      </c>
      <c r="E59" s="185" t="str">
        <f>IFERROR(__xludf.DUMMYFUNCTION("""COMPUTED_VALUE"""),"clutch.co")</f>
        <v>clutch.co</v>
      </c>
      <c r="F59" s="185" t="str">
        <f>IFERROR(__xludf.DUMMYFUNCTION("""COMPUTED_VALUE"""),"Category Page")</f>
        <v>Category Page</v>
      </c>
      <c r="G59" s="185" t="str">
        <f>IFERROR(__xludf.DUMMYFUNCTION("""COMPUTED_VALUE"""),"COMPETITOR")</f>
        <v>COMPETITOR</v>
      </c>
      <c r="H59" s="185" t="str">
        <f>IFERROR(__xludf.DUMMYFUNCTION("""COMPUTED_VALUE"""),"No")</f>
        <v>No</v>
      </c>
      <c r="I59" s="185" t="str">
        <f>IFERROR(__xludf.DUMMYFUNCTION("""COMPUTED_VALUE"""),"Medium")</f>
        <v>Medium</v>
      </c>
      <c r="J59" s="185" t="str">
        <f>IFERROR(__xludf.DUMMYFUNCTION("""COMPUTED_VALUE"""),"Yes")</f>
        <v>Yes</v>
      </c>
      <c r="K59" s="185" t="str">
        <f>IFERROR(__xludf.DUMMYFUNCTION("""COMPUTED_VALUE"""),"Clutch, Go Fish Digital, NoGood, Tinuiti, Elit-Web, AdVenture Media, Storm Brain")</f>
        <v>Clutch, Go Fish Digital, NoGood, Tinuiti, Elit-Web, AdVenture Media, Storm Brain</v>
      </c>
      <c r="L59" s="187">
        <f>IFERROR(__xludf.DUMMYFUNCTION("""COMPUTED_VALUE"""),13.0)</f>
        <v>13</v>
      </c>
      <c r="M59" s="188">
        <f>IFERROR(__xludf.DUMMYFUNCTION("""COMPUTED_VALUE"""),0.01)</f>
        <v>0.01</v>
      </c>
      <c r="N59" s="188">
        <f>IFERROR(__xludf.DUMMYFUNCTION("""COMPUTED_VALUE"""),0.0)</f>
        <v>0</v>
      </c>
      <c r="O59" s="208"/>
      <c r="P59" s="208"/>
      <c r="Q59" s="208"/>
      <c r="R59" s="208"/>
    </row>
    <row r="60">
      <c r="A60" s="185" t="str">
        <f>IFERROR(__xludf.DUMMYFUNCTION("""COMPUTED_VALUE"""),"Agency directory / review marketplace")</f>
        <v>Agency directory / review marketplace</v>
      </c>
      <c r="B60" s="186" t="str">
        <f>IFERROR(__xludf.DUMMYFUNCTION("""COMPUTED_VALUE"""),"https://clutch.co/us/agencies/ppc/display?page=8")</f>
        <v>https://clutch.co/us/agencies/ppc/display?page=8</v>
      </c>
      <c r="C60" s="185" t="str">
        <f>IFERROR(__xludf.DUMMYFUNCTION("""COMPUTED_VALUE"""),"Page 8 - Top Display Advertising Agencies in the United States - Jul 2026 Rankings | Clutch.co")</f>
        <v>Page 8 - Top Display Advertising Agencies in the United States - Jul 2026 Rankings | Clutch.co</v>
      </c>
      <c r="D60" s="185" t="str">
        <f>IFERROR(__xludf.DUMMYFUNCTION("""COMPUTED_VALUE"""),"US")</f>
        <v>US</v>
      </c>
      <c r="E60" s="185" t="str">
        <f>IFERROR(__xludf.DUMMYFUNCTION("""COMPUTED_VALUE"""),"clutch.co")</f>
        <v>clutch.co</v>
      </c>
      <c r="F60" s="185" t="str">
        <f>IFERROR(__xludf.DUMMYFUNCTION("""COMPUTED_VALUE"""),"Category Page")</f>
        <v>Category Page</v>
      </c>
      <c r="G60" s="185" t="str">
        <f>IFERROR(__xludf.DUMMYFUNCTION("""COMPUTED_VALUE"""),"COMPETITOR")</f>
        <v>COMPETITOR</v>
      </c>
      <c r="H60" s="185" t="str">
        <f>IFERROR(__xludf.DUMMYFUNCTION("""COMPUTED_VALUE"""),"No")</f>
        <v>No</v>
      </c>
      <c r="I60" s="185" t="str">
        <f>IFERROR(__xludf.DUMMYFUNCTION("""COMPUTED_VALUE"""),"Medium")</f>
        <v>Medium</v>
      </c>
      <c r="J60" s="185" t="str">
        <f>IFERROR(__xludf.DUMMYFUNCTION("""COMPUTED_VALUE"""),"Yes")</f>
        <v>Yes</v>
      </c>
      <c r="K60" s="185" t="str">
        <f>IFERROR(__xludf.DUMMYFUNCTION("""COMPUTED_VALUE"""),"Clutch, Elit-Web, AdVenture Media, Go Fish Digital, Storm Brain, NoGood, Tinuiti")</f>
        <v>Clutch, Elit-Web, AdVenture Media, Go Fish Digital, Storm Brain, NoGood, Tinuiti</v>
      </c>
      <c r="L60" s="187">
        <f>IFERROR(__xludf.DUMMYFUNCTION("""COMPUTED_VALUE"""),13.0)</f>
        <v>13</v>
      </c>
      <c r="M60" s="188">
        <f>IFERROR(__xludf.DUMMYFUNCTION("""COMPUTED_VALUE"""),0.01)</f>
        <v>0.01</v>
      </c>
      <c r="N60" s="188">
        <f>IFERROR(__xludf.DUMMYFUNCTION("""COMPUTED_VALUE"""),1.0)</f>
        <v>1</v>
      </c>
      <c r="O60" s="208"/>
      <c r="P60" s="208"/>
      <c r="Q60" s="208"/>
      <c r="R60" s="208"/>
    </row>
    <row r="61">
      <c r="A61" s="185" t="str">
        <f>IFERROR(__xludf.DUMMYFUNCTION("""COMPUTED_VALUE"""),"Lower-priority competitor/vendor roundup")</f>
        <v>Lower-priority competitor/vendor roundup</v>
      </c>
      <c r="B61" s="186" t="str">
        <f>IFERROR(__xludf.DUMMYFUNCTION("""COMPUTED_VALUE"""),"https://www.cometly.com/post/best-top-marketing-attribution-firms-in-usa")</f>
        <v>https://www.cometly.com/post/best-top-marketing-attribution-firms-in-usa</v>
      </c>
      <c r="C61" s="185" t="str">
        <f>IFERROR(__xludf.DUMMYFUNCTION("""COMPUTED_VALUE"""),"Top Marketing Attribution Firms In Usa: 2026 Guide")</f>
        <v>Top Marketing Attribution Firms In Usa: 2026 Guide</v>
      </c>
      <c r="D61" s="185" t="str">
        <f>IFERROR(__xludf.DUMMYFUNCTION("""COMPUTED_VALUE"""),"US")</f>
        <v>US</v>
      </c>
      <c r="E61" s="185" t="str">
        <f>IFERROR(__xludf.DUMMYFUNCTION("""COMPUTED_VALUE"""),"cometly.com")</f>
        <v>cometly.com</v>
      </c>
      <c r="F61" s="185" t="str">
        <f>IFERROR(__xludf.DUMMYFUNCTION("""COMPUTED_VALUE"""),"Listicle")</f>
        <v>Listicle</v>
      </c>
      <c r="G61" s="185" t="str">
        <f>IFERROR(__xludf.DUMMYFUNCTION("""COMPUTED_VALUE"""),"COMPETITOR")</f>
        <v>COMPETITOR</v>
      </c>
      <c r="H61" s="185" t="str">
        <f>IFERROR(__xludf.DUMMYFUNCTION("""COMPUTED_VALUE"""),"No")</f>
        <v>No</v>
      </c>
      <c r="I61" s="185" t="str">
        <f>IFERROR(__xludf.DUMMYFUNCTION("""COMPUTED_VALUE"""),"Low")</f>
        <v>Low</v>
      </c>
      <c r="J61" s="185" t="str">
        <f>IFERROR(__xludf.DUMMYFUNCTION("""COMPUTED_VALUE"""),"Secondary")</f>
        <v>Secondary</v>
      </c>
      <c r="K61" s="185" t="str">
        <f>IFERROR(__xludf.DUMMYFUNCTION("""COMPUTED_VALUE"""),"Cometly, Triple Whale, Northbeam, Rockerbox, Measured")</f>
        <v>Cometly, Triple Whale, Northbeam, Rockerbox, Measured</v>
      </c>
      <c r="L61" s="187">
        <f>IFERROR(__xludf.DUMMYFUNCTION("""COMPUTED_VALUE"""),13.0)</f>
        <v>13</v>
      </c>
      <c r="M61" s="188">
        <f>IFERROR(__xludf.DUMMYFUNCTION("""COMPUTED_VALUE"""),0.01)</f>
        <v>0.01</v>
      </c>
      <c r="N61" s="188">
        <f>IFERROR(__xludf.DUMMYFUNCTION("""COMPUTED_VALUE"""),0.38)</f>
        <v>0.38</v>
      </c>
      <c r="O61" s="208"/>
      <c r="P61" s="208"/>
      <c r="Q61" s="208"/>
      <c r="R61" s="208"/>
    </row>
    <row r="62">
      <c r="A62" s="185" t="str">
        <f>IFERROR(__xludf.DUMMYFUNCTION("""COMPUTED_VALUE"""),"Lower-priority competitor/vendor roundup")</f>
        <v>Lower-priority competitor/vendor roundup</v>
      </c>
      <c r="B62" s="186" t="str">
        <f>IFERROR(__xludf.DUMMYFUNCTION("""COMPUTED_VALUE"""),"https://www.cometly.com/post/incrementality-measurement-tool")</f>
        <v>https://www.cometly.com/post/incrementality-measurement-tool</v>
      </c>
      <c r="C62" s="185" t="str">
        <f>IFERROR(__xludf.DUMMYFUNCTION("""COMPUTED_VALUE"""),"9 Best Incrementality Measurement Tools: 2026 Guide")</f>
        <v>9 Best Incrementality Measurement Tools: 2026 Guide</v>
      </c>
      <c r="D62" s="185" t="str">
        <f>IFERROR(__xludf.DUMMYFUNCTION("""COMPUTED_VALUE"""),"US")</f>
        <v>US</v>
      </c>
      <c r="E62" s="185" t="str">
        <f>IFERROR(__xludf.DUMMYFUNCTION("""COMPUTED_VALUE"""),"cometly.com")</f>
        <v>cometly.com</v>
      </c>
      <c r="F62" s="185" t="str">
        <f>IFERROR(__xludf.DUMMYFUNCTION("""COMPUTED_VALUE"""),"Listicle")</f>
        <v>Listicle</v>
      </c>
      <c r="G62" s="185" t="str">
        <f>IFERROR(__xludf.DUMMYFUNCTION("""COMPUTED_VALUE"""),"COMPETITOR")</f>
        <v>COMPETITOR</v>
      </c>
      <c r="H62" s="185" t="str">
        <f>IFERROR(__xludf.DUMMYFUNCTION("""COMPUTED_VALUE"""),"No")</f>
        <v>No</v>
      </c>
      <c r="I62" s="185" t="str">
        <f>IFERROR(__xludf.DUMMYFUNCTION("""COMPUTED_VALUE"""),"Low")</f>
        <v>Low</v>
      </c>
      <c r="J62" s="185" t="str">
        <f>IFERROR(__xludf.DUMMYFUNCTION("""COMPUTED_VALUE"""),"Secondary")</f>
        <v>Secondary</v>
      </c>
      <c r="K62" s="185" t="str">
        <f>IFERROR(__xludf.DUMMYFUNCTION("""COMPUTED_VALUE"""),"Cometly, Measured, Rockerbox, Northbeam, Recast, Haus")</f>
        <v>Cometly, Measured, Rockerbox, Northbeam, Recast, Haus</v>
      </c>
      <c r="L62" s="187">
        <f>IFERROR(__xludf.DUMMYFUNCTION("""COMPUTED_VALUE"""),13.0)</f>
        <v>13</v>
      </c>
      <c r="M62" s="188">
        <f>IFERROR(__xludf.DUMMYFUNCTION("""COMPUTED_VALUE"""),0.01)</f>
        <v>0.01</v>
      </c>
      <c r="N62" s="188">
        <f>IFERROR(__xludf.DUMMYFUNCTION("""COMPUTED_VALUE"""),0.23)</f>
        <v>0.23</v>
      </c>
      <c r="O62" s="208"/>
      <c r="P62" s="208"/>
      <c r="Q62" s="208"/>
      <c r="R62" s="208"/>
    </row>
    <row r="63">
      <c r="A63" s="185" t="str">
        <f>IFERROR(__xludf.DUMMYFUNCTION("""COMPUTED_VALUE"""),"Trade media / editorial publication")</f>
        <v>Trade media / editorial publication</v>
      </c>
      <c r="B63" s="186" t="str">
        <f>IFERROR(__xludf.DUMMYFUNCTION("""COMPUTED_VALUE"""),"https://influencermarketinghub.com/ai-marketing-agencies/")</f>
        <v>https://influencermarketinghub.com/ai-marketing-agencies/</v>
      </c>
      <c r="C63" s="185" t="str">
        <f>IFERROR(__xludf.DUMMYFUNCTION("""COMPUTED_VALUE"""),"Best AI Marketing Agencies For 2026")</f>
        <v>Best AI Marketing Agencies For 2026</v>
      </c>
      <c r="D63" s="185" t="str">
        <f>IFERROR(__xludf.DUMMYFUNCTION("""COMPUTED_VALUE"""),"US")</f>
        <v>US</v>
      </c>
      <c r="E63" s="185" t="str">
        <f>IFERROR(__xludf.DUMMYFUNCTION("""COMPUTED_VALUE"""),"influencermarketinghub.com")</f>
        <v>influencermarketinghub.com</v>
      </c>
      <c r="F63" s="185" t="str">
        <f>IFERROR(__xludf.DUMMYFUNCTION("""COMPUTED_VALUE"""),"Listicle")</f>
        <v>Listicle</v>
      </c>
      <c r="G63" s="185" t="str">
        <f>IFERROR(__xludf.DUMMYFUNCTION("""COMPUTED_VALUE"""),"REFERENCE")</f>
        <v>REFERENCE</v>
      </c>
      <c r="H63" s="185" t="str">
        <f>IFERROR(__xludf.DUMMYFUNCTION("""COMPUTED_VALUE"""),"No")</f>
        <v>No</v>
      </c>
      <c r="I63" s="185" t="str">
        <f>IFERROR(__xludf.DUMMYFUNCTION("""COMPUTED_VALUE"""),"Medium")</f>
        <v>Medium</v>
      </c>
      <c r="J63" s="185" t="str">
        <f>IFERROR(__xludf.DUMMYFUNCTION("""COMPUTED_VALUE"""),"Yes")</f>
        <v>Yes</v>
      </c>
      <c r="K63" s="185" t="str">
        <f>IFERROR(__xludf.DUMMYFUNCTION("""COMPUTED_VALUE"""),"Viral Nation, SmartSites, McKinsey, Momentum, Clutch, Wpromote, Dentsu, Sociallyin")</f>
        <v>Viral Nation, SmartSites, McKinsey, Momentum, Clutch, Wpromote, Dentsu, Sociallyin</v>
      </c>
      <c r="L63" s="187">
        <f>IFERROR(__xludf.DUMMYFUNCTION("""COMPUTED_VALUE"""),13.0)</f>
        <v>13</v>
      </c>
      <c r="M63" s="188">
        <f>IFERROR(__xludf.DUMMYFUNCTION("""COMPUTED_VALUE"""),0.01)</f>
        <v>0.01</v>
      </c>
      <c r="N63" s="188">
        <f>IFERROR(__xludf.DUMMYFUNCTION("""COMPUTED_VALUE"""),0.15)</f>
        <v>0.15</v>
      </c>
      <c r="O63" s="208"/>
      <c r="P63" s="208"/>
      <c r="Q63" s="208"/>
      <c r="R63" s="208"/>
    </row>
    <row r="64">
      <c r="A64" s="185" t="str">
        <f>IFERROR(__xludf.DUMMYFUNCTION("""COMPUTED_VALUE"""),"Trade media / editorial publication")</f>
        <v>Trade media / editorial publication</v>
      </c>
      <c r="B64" s="186" t="str">
        <f>IFERROR(__xludf.DUMMYFUNCTION("""COMPUTED_VALUE"""),"https://influencermarketinghub.com/google-ads-agencies/")</f>
        <v>https://influencermarketinghub.com/google-ads-agencies/</v>
      </c>
      <c r="C64" s="185" t="str">
        <f>IFERROR(__xludf.DUMMYFUNCTION("""COMPUTED_VALUE"""),"22 of the Best Google Ads Agencies for 2025")</f>
        <v>22 of the Best Google Ads Agencies for 2025</v>
      </c>
      <c r="D64" s="185" t="str">
        <f>IFERROR(__xludf.DUMMYFUNCTION("""COMPUTED_VALUE"""),"US")</f>
        <v>US</v>
      </c>
      <c r="E64" s="185" t="str">
        <f>IFERROR(__xludf.DUMMYFUNCTION("""COMPUTED_VALUE"""),"influencermarketinghub.com")</f>
        <v>influencermarketinghub.com</v>
      </c>
      <c r="F64" s="185" t="str">
        <f>IFERROR(__xludf.DUMMYFUNCTION("""COMPUTED_VALUE"""),"Listicle")</f>
        <v>Listicle</v>
      </c>
      <c r="G64" s="185" t="str">
        <f>IFERROR(__xludf.DUMMYFUNCTION("""COMPUTED_VALUE"""),"REFERENCE")</f>
        <v>REFERENCE</v>
      </c>
      <c r="H64" s="185" t="str">
        <f>IFERROR(__xludf.DUMMYFUNCTION("""COMPUTED_VALUE"""),"No")</f>
        <v>No</v>
      </c>
      <c r="I64" s="185" t="str">
        <f>IFERROR(__xludf.DUMMYFUNCTION("""COMPUTED_VALUE"""),"Medium")</f>
        <v>Medium</v>
      </c>
      <c r="J64" s="185" t="str">
        <f>IFERROR(__xludf.DUMMYFUNCTION("""COMPUTED_VALUE"""),"Yes")</f>
        <v>Yes</v>
      </c>
      <c r="K64" s="185" t="str">
        <f>IFERROR(__xludf.DUMMYFUNCTION("""COMPUTED_VALUE"""),"Viral Nation, SmartSites, NinjaPromo, McKinsey, LYFE Marketing, Measured, WebFX, Intero Digital, KlientBoost, Ignite Visibility, Single Grain, Disruptive Advertising, Thrive Internet Marketing Agency, Directive")</f>
        <v>Viral Nation, SmartSites, NinjaPromo, McKinsey, LYFE Marketing, Measured, WebFX, Intero Digital, KlientBoost, Ignite Visibility, Single Grain, Disruptive Advertising, Thrive Internet Marketing Agency, Directive</v>
      </c>
      <c r="L64" s="187">
        <f>IFERROR(__xludf.DUMMYFUNCTION("""COMPUTED_VALUE"""),13.0)</f>
        <v>13</v>
      </c>
      <c r="M64" s="188">
        <f>IFERROR(__xludf.DUMMYFUNCTION("""COMPUTED_VALUE"""),0.01)</f>
        <v>0.01</v>
      </c>
      <c r="N64" s="188">
        <f>IFERROR(__xludf.DUMMYFUNCTION("""COMPUTED_VALUE"""),0.0)</f>
        <v>0</v>
      </c>
      <c r="O64" s="208"/>
      <c r="P64" s="208"/>
      <c r="Q64" s="208"/>
      <c r="R64" s="208"/>
    </row>
    <row r="65">
      <c r="A65" s="185" t="str">
        <f>IFERROR(__xludf.DUMMYFUNCTION("""COMPUTED_VALUE"""),"Trade media / editorial publication")</f>
        <v>Trade media / editorial publication</v>
      </c>
      <c r="B65" s="186" t="str">
        <f>IFERROR(__xludf.DUMMYFUNCTION("""COMPUTED_VALUE"""),"https://influencermarketinghub.com/marketing-analytics-agency/")</f>
        <v>https://influencermarketinghub.com/marketing-analytics-agency/</v>
      </c>
      <c r="C65" s="185" t="str">
        <f>IFERROR(__xludf.DUMMYFUNCTION("""COMPUTED_VALUE"""),"Top 12 Marketing Analytics Agency Selections for Data-Driven Success")</f>
        <v>Top 12 Marketing Analytics Agency Selections for Data-Driven Success</v>
      </c>
      <c r="D65" s="185" t="str">
        <f>IFERROR(__xludf.DUMMYFUNCTION("""COMPUTED_VALUE"""),"US")</f>
        <v>US</v>
      </c>
      <c r="E65" s="185" t="str">
        <f>IFERROR(__xludf.DUMMYFUNCTION("""COMPUTED_VALUE"""),"influencermarketinghub.com")</f>
        <v>influencermarketinghub.com</v>
      </c>
      <c r="F65" s="185" t="str">
        <f>IFERROR(__xludf.DUMMYFUNCTION("""COMPUTED_VALUE"""),"Listicle")</f>
        <v>Listicle</v>
      </c>
      <c r="G65" s="185" t="str">
        <f>IFERROR(__xludf.DUMMYFUNCTION("""COMPUTED_VALUE"""),"REFERENCE")</f>
        <v>REFERENCE</v>
      </c>
      <c r="H65" s="185" t="str">
        <f>IFERROR(__xludf.DUMMYFUNCTION("""COMPUTED_VALUE"""),"No")</f>
        <v>No</v>
      </c>
      <c r="I65" s="185" t="str">
        <f>IFERROR(__xludf.DUMMYFUNCTION("""COMPUTED_VALUE"""),"Medium")</f>
        <v>Medium</v>
      </c>
      <c r="J65" s="185" t="str">
        <f>IFERROR(__xludf.DUMMYFUNCTION("""COMPUTED_VALUE"""),"Yes")</f>
        <v>Yes</v>
      </c>
      <c r="K65" s="185" t="str">
        <f>IFERROR(__xludf.DUMMYFUNCTION("""COMPUTED_VALUE"""),"Viral Nation, SmartSites, McKinsey, Noble Studios, Forthea, GroupM, WPP, Disruptive Advertising")</f>
        <v>Viral Nation, SmartSites, McKinsey, Noble Studios, Forthea, GroupM, WPP, Disruptive Advertising</v>
      </c>
      <c r="L65" s="187">
        <f>IFERROR(__xludf.DUMMYFUNCTION("""COMPUTED_VALUE"""),13.0)</f>
        <v>13</v>
      </c>
      <c r="M65" s="188">
        <f>IFERROR(__xludf.DUMMYFUNCTION("""COMPUTED_VALUE"""),0.01)</f>
        <v>0.01</v>
      </c>
      <c r="N65" s="188">
        <f>IFERROR(__xludf.DUMMYFUNCTION("""COMPUTED_VALUE"""),0.46)</f>
        <v>0.46</v>
      </c>
      <c r="O65" s="208"/>
      <c r="P65" s="208"/>
      <c r="Q65" s="208"/>
      <c r="R65" s="208"/>
    </row>
    <row r="66">
      <c r="A66" s="185" t="str">
        <f>IFERROR(__xludf.DUMMYFUNCTION("""COMPUTED_VALUE"""),"Agency directory / review marketplace")</f>
        <v>Agency directory / review marketplace</v>
      </c>
      <c r="B66" s="186" t="str">
        <f>IFERROR(__xludf.DUMMYFUNCTION("""COMPUTED_VALUE"""),"https://techbehemoths.com/companies/google-marketing-platform/united-states")</f>
        <v>https://techbehemoths.com/companies/google-marketing-platform/united-states</v>
      </c>
      <c r="C66" s="185" t="str">
        <f>IFERROR(__xludf.DUMMYFUNCTION("""COMPUTED_VALUE"""),"Top 20+ Google Marketing Platform Companies in United States (2026) - TechBehemoths")</f>
        <v>Top 20+ Google Marketing Platform Companies in United States (2026) - TechBehemoths</v>
      </c>
      <c r="D66" s="185" t="str">
        <f>IFERROR(__xludf.DUMMYFUNCTION("""COMPUTED_VALUE"""),"US")</f>
        <v>US</v>
      </c>
      <c r="E66" s="185" t="str">
        <f>IFERROR(__xludf.DUMMYFUNCTION("""COMPUTED_VALUE"""),"techbehemoths.com")</f>
        <v>techbehemoths.com</v>
      </c>
      <c r="F66" s="185" t="str">
        <f>IFERROR(__xludf.DUMMYFUNCTION("""COMPUTED_VALUE"""),"Profile")</f>
        <v>Profile</v>
      </c>
      <c r="G66" s="185" t="str">
        <f>IFERROR(__xludf.DUMMYFUNCTION("""COMPUTED_VALUE"""),"REFERENCE")</f>
        <v>REFERENCE</v>
      </c>
      <c r="H66" s="185" t="str">
        <f>IFERROR(__xludf.DUMMYFUNCTION("""COMPUTED_VALUE"""),"No")</f>
        <v>No</v>
      </c>
      <c r="I66" s="185" t="str">
        <f>IFERROR(__xludf.DUMMYFUNCTION("""COMPUTED_VALUE"""),"Medium")</f>
        <v>Medium</v>
      </c>
      <c r="J66" s="185" t="str">
        <f>IFERROR(__xludf.DUMMYFUNCTION("""COMPUTED_VALUE"""),"Yes")</f>
        <v>Yes</v>
      </c>
      <c r="K66" s="185" t="str">
        <f>IFERROR(__xludf.DUMMYFUNCTION("""COMPUTED_VALUE"""),"Storm Brain")</f>
        <v>Storm Brain</v>
      </c>
      <c r="L66" s="187">
        <f>IFERROR(__xludf.DUMMYFUNCTION("""COMPUTED_VALUE"""),13.0)</f>
        <v>13</v>
      </c>
      <c r="M66" s="188">
        <f>IFERROR(__xludf.DUMMYFUNCTION("""COMPUTED_VALUE"""),0.01)</f>
        <v>0.01</v>
      </c>
      <c r="N66" s="188">
        <f>IFERROR(__xludf.DUMMYFUNCTION("""COMPUTED_VALUE"""),0.08)</f>
        <v>0.08</v>
      </c>
      <c r="O66" s="208"/>
      <c r="P66" s="208"/>
      <c r="Q66" s="208"/>
      <c r="R66" s="208"/>
    </row>
    <row r="67">
      <c r="A67" s="185" t="str">
        <f>IFERROR(__xludf.DUMMYFUNCTION("""COMPUTED_VALUE"""),"Industry data / software authority")</f>
        <v>Industry data / software authority</v>
      </c>
      <c r="B67" s="186" t="str">
        <f>IFERROR(__xludf.DUMMYFUNCTION("""COMPUTED_VALUE"""),"https://agencies.semrush.com/list/display-advertising/united-states/mid-business/")</f>
        <v>https://agencies.semrush.com/list/display-advertising/united-states/mid-business/</v>
      </c>
      <c r="C67" s="185" t="str">
        <f>IFERROR(__xludf.DUMMYFUNCTION("""COMPUTED_VALUE"""),"Best Display Ads Agencies for Mid Business in United States 2026 | Semrush")</f>
        <v>Best Display Ads Agencies for Mid Business in United States 2026 | Semrush</v>
      </c>
      <c r="D67" s="185" t="str">
        <f>IFERROR(__xludf.DUMMYFUNCTION("""COMPUTED_VALUE"""),"US")</f>
        <v>US</v>
      </c>
      <c r="E67" s="185" t="str">
        <f>IFERROR(__xludf.DUMMYFUNCTION("""COMPUTED_VALUE"""),"semrush.com")</f>
        <v>semrush.com</v>
      </c>
      <c r="F67" s="185" t="str">
        <f>IFERROR(__xludf.DUMMYFUNCTION("""COMPUTED_VALUE"""),"Category Page")</f>
        <v>Category Page</v>
      </c>
      <c r="G67" s="185" t="str">
        <f>IFERROR(__xludf.DUMMYFUNCTION("""COMPUTED_VALUE"""),"CORPORATE")</f>
        <v>CORPORATE</v>
      </c>
      <c r="H67" s="185" t="str">
        <f>IFERROR(__xludf.DUMMYFUNCTION("""COMPUTED_VALUE"""),"No")</f>
        <v>No</v>
      </c>
      <c r="I67" s="185" t="str">
        <f>IFERROR(__xludf.DUMMYFUNCTION("""COMPUTED_VALUE"""),"Medium")</f>
        <v>Medium</v>
      </c>
      <c r="J67" s="185" t="str">
        <f>IFERROR(__xludf.DUMMYFUNCTION("""COMPUTED_VALUE"""),"Yes")</f>
        <v>Yes</v>
      </c>
      <c r="K67" s="185" t="str">
        <f>IFERROR(__xludf.DUMMYFUNCTION("""COMPUTED_VALUE"""),"SmartSites, Elit-Web, Brighter Click")</f>
        <v>SmartSites, Elit-Web, Brighter Click</v>
      </c>
      <c r="L67" s="187">
        <f>IFERROR(__xludf.DUMMYFUNCTION("""COMPUTED_VALUE"""),12.0)</f>
        <v>12</v>
      </c>
      <c r="M67" s="188">
        <f>IFERROR(__xludf.DUMMYFUNCTION("""COMPUTED_VALUE"""),0.01)</f>
        <v>0.01</v>
      </c>
      <c r="N67" s="188">
        <f>IFERROR(__xludf.DUMMYFUNCTION("""COMPUTED_VALUE"""),0.08)</f>
        <v>0.08</v>
      </c>
      <c r="O67" s="208"/>
      <c r="P67" s="208"/>
      <c r="Q67" s="208"/>
      <c r="R67" s="208"/>
    </row>
    <row r="68">
      <c r="A68" s="185" t="str">
        <f>IFERROR(__xludf.DUMMYFUNCTION("""COMPUTED_VALUE"""),"Agency directory / review marketplace")</f>
        <v>Agency directory / review marketplace</v>
      </c>
      <c r="B68" s="186" t="str">
        <f>IFERROR(__xludf.DUMMYFUNCTION("""COMPUTED_VALUE"""),"https://clutch.co/us/agencies/programmatic#:~:text=List%20of%20the%20Top%20United%20States%20Programmatic,108%20reviews.%20%2D%20Onya.%205.0%2030%20reviews.")</f>
        <v>https://clutch.co/us/agencies/programmatic#:~:text=List%20of%20the%20Top%20United%20States%20Programmatic,108%20reviews.%20%2D%20Onya.%205.0%2030%20reviews.</v>
      </c>
      <c r="C68" s="185" t="str">
        <f>IFERROR(__xludf.DUMMYFUNCTION("""COMPUTED_VALUE"""),"Top Programmatic Advertising Agencies in the United States - Jul 2026 Rankings \| Clutch.co")</f>
        <v>Top Programmatic Advertising Agencies in the United States - Jul 2026 Rankings \| Clutch.co</v>
      </c>
      <c r="D68" s="185" t="str">
        <f>IFERROR(__xludf.DUMMYFUNCTION("""COMPUTED_VALUE"""),"US")</f>
        <v>US</v>
      </c>
      <c r="E68" s="185" t="str">
        <f>IFERROR(__xludf.DUMMYFUNCTION("""COMPUTED_VALUE"""),"clutch.co")</f>
        <v>clutch.co</v>
      </c>
      <c r="F68" s="185" t="str">
        <f>IFERROR(__xludf.DUMMYFUNCTION("""COMPUTED_VALUE"""),"Other")</f>
        <v>Other</v>
      </c>
      <c r="G68" s="185" t="str">
        <f>IFERROR(__xludf.DUMMYFUNCTION("""COMPUTED_VALUE"""),"COMPETITOR")</f>
        <v>COMPETITOR</v>
      </c>
      <c r="H68" s="185" t="str">
        <f>IFERROR(__xludf.DUMMYFUNCTION("""COMPUTED_VALUE"""),"No")</f>
        <v>No</v>
      </c>
      <c r="I68" s="185" t="str">
        <f>IFERROR(__xludf.DUMMYFUNCTION("""COMPUTED_VALUE"""),"Medium")</f>
        <v>Medium</v>
      </c>
      <c r="J68" s="185" t="str">
        <f>IFERROR(__xludf.DUMMYFUNCTION("""COMPUTED_VALUE"""),"Yes")</f>
        <v>Yes</v>
      </c>
      <c r="K68" s="185" t="str">
        <f>IFERROR(__xludf.DUMMYFUNCTION("""COMPUTED_VALUE"""),"Clutch, SmartSites, Funnel Boost Media, LYFE Marketing, AdVenture Media, Accelerated Digital Media, Storm Brain, Huge")</f>
        <v>Clutch, SmartSites, Funnel Boost Media, LYFE Marketing, AdVenture Media, Accelerated Digital Media, Storm Brain, Huge</v>
      </c>
      <c r="L68" s="187">
        <f>IFERROR(__xludf.DUMMYFUNCTION("""COMPUTED_VALUE"""),12.0)</f>
        <v>12</v>
      </c>
      <c r="M68" s="188">
        <f>IFERROR(__xludf.DUMMYFUNCTION("""COMPUTED_VALUE"""),0.01)</f>
        <v>0.01</v>
      </c>
      <c r="N68" s="188">
        <f>IFERROR(__xludf.DUMMYFUNCTION("""COMPUTED_VALUE"""),1.5)</f>
        <v>1.5</v>
      </c>
      <c r="O68" s="208"/>
      <c r="P68" s="208"/>
      <c r="Q68" s="208"/>
      <c r="R68" s="208"/>
    </row>
    <row r="69">
      <c r="A69" s="185" t="str">
        <f>IFERROR(__xludf.DUMMYFUNCTION("""COMPUTED_VALUE"""),"Analyst / research authority")</f>
        <v>Analyst / research authority</v>
      </c>
      <c r="B69" s="186" t="str">
        <f>IFERROR(__xludf.DUMMYFUNCTION("""COMPUTED_VALUE"""),"https://www.gartner.com/reviews/market/incrementality-measurement-platforms")</f>
        <v>https://www.gartner.com/reviews/market/incrementality-measurement-platforms</v>
      </c>
      <c r="C69" s="185" t="str">
        <f>IFERROR(__xludf.DUMMYFUNCTION("""COMPUTED_VALUE"""),"Best Incrementality Measurement Platforms Reviews 2026 \| Gartner Peer Insights")</f>
        <v>Best Incrementality Measurement Platforms Reviews 2026 \| Gartner Peer Insights</v>
      </c>
      <c r="D69" s="185" t="str">
        <f>IFERROR(__xludf.DUMMYFUNCTION("""COMPUTED_VALUE"""),"US")</f>
        <v>US</v>
      </c>
      <c r="E69" s="185" t="str">
        <f>IFERROR(__xludf.DUMMYFUNCTION("""COMPUTED_VALUE"""),"gartner.com")</f>
        <v>gartner.com</v>
      </c>
      <c r="F69" s="185" t="str">
        <f>IFERROR(__xludf.DUMMYFUNCTION("""COMPUTED_VALUE"""),"Category Page")</f>
        <v>Category Page</v>
      </c>
      <c r="G69" s="185" t="str">
        <f>IFERROR(__xludf.DUMMYFUNCTION("""COMPUTED_VALUE"""),"CORPORATE")</f>
        <v>CORPORATE</v>
      </c>
      <c r="H69" s="185" t="str">
        <f>IFERROR(__xludf.DUMMYFUNCTION("""COMPUTED_VALUE"""),"No")</f>
        <v>No</v>
      </c>
      <c r="I69" s="185" t="str">
        <f>IFERROR(__xludf.DUMMYFUNCTION("""COMPUTED_VALUE"""),"High")</f>
        <v>High</v>
      </c>
      <c r="J69" s="185" t="str">
        <f>IFERROR(__xludf.DUMMYFUNCTION("""COMPUTED_VALUE"""),"Yes - priority")</f>
        <v>Yes - priority</v>
      </c>
      <c r="K69" s="185" t="str">
        <f>IFERROR(__xludf.DUMMYFUNCTION("""COMPUTED_VALUE"""),"Haus, SegmentStream, Measured, INCRMNTAL, LifeSight, Recast")</f>
        <v>Haus, SegmentStream, Measured, INCRMNTAL, LifeSight, Recast</v>
      </c>
      <c r="L69" s="187">
        <f>IFERROR(__xludf.DUMMYFUNCTION("""COMPUTED_VALUE"""),12.0)</f>
        <v>12</v>
      </c>
      <c r="M69" s="188">
        <f>IFERROR(__xludf.DUMMYFUNCTION("""COMPUTED_VALUE"""),0.01)</f>
        <v>0.01</v>
      </c>
      <c r="N69" s="188">
        <f>IFERROR(__xludf.DUMMYFUNCTION("""COMPUTED_VALUE"""),1.25)</f>
        <v>1.25</v>
      </c>
      <c r="O69" s="208"/>
      <c r="P69" s="208"/>
      <c r="Q69" s="208"/>
      <c r="R69" s="208"/>
    </row>
    <row r="70">
      <c r="A70" s="185" t="str">
        <f>IFERROR(__xludf.DUMMYFUNCTION("""COMPUTED_VALUE"""),"Official partner / certification ecosystem")</f>
        <v>Official partner / certification ecosystem</v>
      </c>
      <c r="B70" s="186" t="str">
        <f>IFERROR(__xludf.DUMMYFUNCTION("""COMPUTED_VALUE"""),"https://www.google.com/ads/publisher/partners/find-a-partner/")</f>
        <v>https://www.google.com/ads/publisher/partners/find-a-partner/</v>
      </c>
      <c r="C70" s="185" t="str">
        <f>IFERROR(__xludf.DUMMYFUNCTION("""COMPUTED_VALUE"""),"Find a Publishing Partner \| Certified Publishing Partner – Google")</f>
        <v>Find a Publishing Partner \| Certified Publishing Partner – Google</v>
      </c>
      <c r="D70" s="185" t="str">
        <f>IFERROR(__xludf.DUMMYFUNCTION("""COMPUTED_VALUE"""),"US")</f>
        <v>US</v>
      </c>
      <c r="E70" s="185" t="str">
        <f>IFERROR(__xludf.DUMMYFUNCTION("""COMPUTED_VALUE"""),"google.com")</f>
        <v>google.com</v>
      </c>
      <c r="F70" s="185" t="str">
        <f>IFERROR(__xludf.DUMMYFUNCTION("""COMPUTED_VALUE"""),"Category Page")</f>
        <v>Category Page</v>
      </c>
      <c r="G70" s="185" t="str">
        <f>IFERROR(__xludf.DUMMYFUNCTION("""COMPUTED_VALUE"""),"OTHER")</f>
        <v>OTHER</v>
      </c>
      <c r="H70" s="185" t="str">
        <f>IFERROR(__xludf.DUMMYFUNCTION("""COMPUTED_VALUE"""),"No")</f>
        <v>No</v>
      </c>
      <c r="I70" s="185" t="str">
        <f>IFERROR(__xludf.DUMMYFUNCTION("""COMPUTED_VALUE"""),"High")</f>
        <v>High</v>
      </c>
      <c r="J70" s="185" t="str">
        <f>IFERROR(__xludf.DUMMYFUNCTION("""COMPUTED_VALUE"""),"Yes - priority")</f>
        <v>Yes - priority</v>
      </c>
      <c r="K70" s="185"/>
      <c r="L70" s="187">
        <f>IFERROR(__xludf.DUMMYFUNCTION("""COMPUTED_VALUE"""),12.0)</f>
        <v>12</v>
      </c>
      <c r="M70" s="188">
        <f>IFERROR(__xludf.DUMMYFUNCTION("""COMPUTED_VALUE"""),0.01)</f>
        <v>0.01</v>
      </c>
      <c r="N70" s="188">
        <f>IFERROR(__xludf.DUMMYFUNCTION("""COMPUTED_VALUE"""),0.0)</f>
        <v>0</v>
      </c>
      <c r="O70" s="208"/>
      <c r="P70" s="208"/>
      <c r="Q70" s="208"/>
      <c r="R70" s="208"/>
    </row>
    <row r="71">
      <c r="A71" s="185" t="str">
        <f>IFERROR(__xludf.DUMMYFUNCTION("""COMPUTED_VALUE"""),"Official partner / certification ecosystem")</f>
        <v>Official partner / certification ecosystem</v>
      </c>
      <c r="B71" s="186"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-0000000000%7C-ahpm-0000000179-0000000001-ahpm-0000000200-0000000001-ahpm-0000000213-0000000001-ahpm-0000000200-0000000002%7C-ahpm-0000000179-0000000001-ahpm-0000000213-0000000000-0000000212-0000000000&amp;mcsubid=es-es-ha-g-mc-bkws&amp;"&amp;"premier=true&amp;subid=es-es-ha-Sh-bk-c-mrc%21o3-s500g500%7Cib%3A6653296821%7Cib%3A9279461727%7Cib%3A7966379274%7C-ahpm-0000000200-00000000010000000212-0000000000-ahpm-0000000179-0000000001%7ECjwKCAjwnPOEBhA0EiwA609ReQijHby1yZ7TTk_DLiA0d1HW-5qBysn-N9u3Z4V8ZJU"&amp;"BAWUgiaWmXxoCZeMQAvD_BwE%7E%7Badgroup%7D%7Ekwd-296470545763%7E12694650149%7E512678186366")</f>
        <v>https://partnersdirectory.withgoogle.com/?authuser=0&amp;gmbsrc=us-en-ot-gs-z-gmb-s-z-h%7Ebgcceg-learn-u-ahpm-0000000179-0000000001-ahpm-0000000189-0000000001%7C-ahpm-0000000179-0000000001-ahpm-0000000179-0000000000-ahpm-0000000175-0000000001-ahpm-0000000200-0000000000-ahpm-0000000200-0000000000%7C-ahpm-0000000179-0000000001-ahpm-0000000200-0000000001-ahpm-0000000213-0000000001-ahpm-0000000200-0000000002%7C-ahpm-0000000179-0000000001-ahpm-0000000213-0000000000-0000000212-0000000000&amp;mcsubid=es-es-ha-g-mc-bkws&amp;premier=true&amp;subid=es-es-ha-Sh-bk-c-mrc%21o3-s500g500%7Cib%3A6653296821%7Cib%3A9279461727%7Cib%3A7966379274%7C-ahpm-0000000200-00000000010000000212-0000000000-ahpm-0000000179-0000000001%7ECjwKCAjwnPOEBhA0EiwA609ReQijHby1yZ7TTk_DLiA0d1HW-5qBysn-N9u3Z4V8ZJUBAWUgiaWmXxoCZeMQAvD_BwE%7E%7Badgroup%7D%7Ekwd-296470545763%7E12694650149%7E512678186366</v>
      </c>
      <c r="C71" s="185"/>
      <c r="D71" s="185" t="str">
        <f>IFERROR(__xludf.DUMMYFUNCTION("""COMPUTED_VALUE"""),"US")</f>
        <v>US</v>
      </c>
      <c r="E71" s="185" t="str">
        <f>IFERROR(__xludf.DUMMYFUNCTION("""COMPUTED_VALUE"""),"withgoogle.com")</f>
        <v>withgoogle.com</v>
      </c>
      <c r="F71" s="185" t="str">
        <f>IFERROR(__xludf.DUMMYFUNCTION("""COMPUTED_VALUE"""),"Other")</f>
        <v>Other</v>
      </c>
      <c r="G71" s="185" t="str">
        <f>IFERROR(__xludf.DUMMYFUNCTION("""COMPUTED_VALUE"""),"CORPORATE")</f>
        <v>CORPORATE</v>
      </c>
      <c r="H71" s="185" t="str">
        <f>IFERROR(__xludf.DUMMYFUNCTION("""COMPUTED_VALUE"""),"No")</f>
        <v>No</v>
      </c>
      <c r="I71" s="185" t="str">
        <f>IFERROR(__xludf.DUMMYFUNCTION("""COMPUTED_VALUE"""),"High")</f>
        <v>High</v>
      </c>
      <c r="J71" s="185" t="str">
        <f>IFERROR(__xludf.DUMMYFUNCTION("""COMPUTED_VALUE"""),"Yes - priority")</f>
        <v>Yes - priority</v>
      </c>
      <c r="K71" s="185" t="str">
        <f>IFERROR(__xludf.DUMMYFUNCTION("""COMPUTED_VALUE"""),"Unknown")</f>
        <v>Unknown</v>
      </c>
      <c r="L71" s="187">
        <f>IFERROR(__xludf.DUMMYFUNCTION("""COMPUTED_VALUE"""),12.0)</f>
        <v>12</v>
      </c>
      <c r="M71" s="188">
        <f>IFERROR(__xludf.DUMMYFUNCTION("""COMPUTED_VALUE"""),0.01)</f>
        <v>0.01</v>
      </c>
      <c r="N71" s="188">
        <f>IFERROR(__xludf.DUMMYFUNCTION("""COMPUTED_VALUE"""),0.0)</f>
        <v>0</v>
      </c>
      <c r="O71" s="208"/>
      <c r="P71" s="208"/>
      <c r="Q71" s="208"/>
      <c r="R71" s="208"/>
    </row>
    <row r="72">
      <c r="A72" s="185" t="str">
        <f>IFERROR(__xludf.DUMMYFUNCTION("""COMPUTED_VALUE"""),"Agency directory / review marketplace")</f>
        <v>Agency directory / review marketplace</v>
      </c>
      <c r="B72" s="186" t="str">
        <f>IFERROR(__xludf.DUMMYFUNCTION("""COMPUTED_VALUE"""),"https://themanifest.com/us/media-buying/agencies")</f>
        <v>https://themanifest.com/us/media-buying/agencies</v>
      </c>
      <c r="C72" s="185" t="str">
        <f>IFERROR(__xludf.DUMMYFUNCTION("""COMPUTED_VALUE"""),"The Best Media Planning and Buying Companies in United States - Jun 2026 | The Manifest")</f>
        <v>The Best Media Planning and Buying Companies in United States - Jun 2026 | The Manifest</v>
      </c>
      <c r="D72" s="185" t="str">
        <f>IFERROR(__xludf.DUMMYFUNCTION("""COMPUTED_VALUE"""),"US")</f>
        <v>US</v>
      </c>
      <c r="E72" s="185" t="str">
        <f>IFERROR(__xludf.DUMMYFUNCTION("""COMPUTED_VALUE"""),"themanifest.com")</f>
        <v>themanifest.com</v>
      </c>
      <c r="F72" s="185" t="str">
        <f>IFERROR(__xludf.DUMMYFUNCTION("""COMPUTED_VALUE"""),"Profile")</f>
        <v>Profile</v>
      </c>
      <c r="G72" s="185" t="str">
        <f>IFERROR(__xludf.DUMMYFUNCTION("""COMPUTED_VALUE"""),"REFERENCE")</f>
        <v>REFERENCE</v>
      </c>
      <c r="H72" s="185" t="str">
        <f>IFERROR(__xludf.DUMMYFUNCTION("""COMPUTED_VALUE"""),"No")</f>
        <v>No</v>
      </c>
      <c r="I72" s="185" t="str">
        <f>IFERROR(__xludf.DUMMYFUNCTION("""COMPUTED_VALUE"""),"Medium")</f>
        <v>Medium</v>
      </c>
      <c r="J72" s="185" t="str">
        <f>IFERROR(__xludf.DUMMYFUNCTION("""COMPUTED_VALUE"""),"Yes")</f>
        <v>Yes</v>
      </c>
      <c r="K72" s="185" t="str">
        <f>IFERROR(__xludf.DUMMYFUNCTION("""COMPUTED_VALUE"""),"Clutch, Accelerated Digital Media, Tinuiti, NP Digital, MuteSix")</f>
        <v>Clutch, Accelerated Digital Media, Tinuiti, NP Digital, MuteSix</v>
      </c>
      <c r="L72" s="187">
        <f>IFERROR(__xludf.DUMMYFUNCTION("""COMPUTED_VALUE"""),12.0)</f>
        <v>12</v>
      </c>
      <c r="M72" s="188">
        <f>IFERROR(__xludf.DUMMYFUNCTION("""COMPUTED_VALUE"""),0.01)</f>
        <v>0.01</v>
      </c>
      <c r="N72" s="188">
        <f>IFERROR(__xludf.DUMMYFUNCTION("""COMPUTED_VALUE"""),0.0)</f>
        <v>0</v>
      </c>
      <c r="O72" s="208"/>
      <c r="P72" s="208"/>
      <c r="Q72" s="208"/>
      <c r="R72" s="208"/>
    </row>
    <row r="73">
      <c r="A73" s="185" t="str">
        <f>IFERROR(__xludf.DUMMYFUNCTION("""COMPUTED_VALUE"""),"Lower-priority competitor/vendor roundup")</f>
        <v>Lower-priority competitor/vendor roundup</v>
      </c>
      <c r="B73" s="186" t="str">
        <f>IFERROR(__xludf.DUMMYFUNCTION("""COMPUTED_VALUE"""),"https://www.webtonic.io/blog/best-performance-marketing-agencies-2026#:~:text=Great%20For%3A%20Mid%2Dmarket%20to%20enterprise%2Dlevel%20businesses%20requiring,and%20advanced%20analytics%20to%20drive%20measurable%20results.")</f>
        <v>https://www.webtonic.io/blog/best-performance-marketing-agencies-2026#:~:text=Great%20For%3A%20Mid%2Dmarket%20to%20enterprise%2Dlevel%20businesses%20requiring,and%20advanced%20analytics%20to%20drive%20measurable%20results.</v>
      </c>
      <c r="C73" s="185" t="str">
        <f>IFERROR(__xludf.DUMMYFUNCTION("""COMPUTED_VALUE"""),"28 Best Performance Marketing Agencies for 2026")</f>
        <v>28 Best Performance Marketing Agencies for 2026</v>
      </c>
      <c r="D73" s="185" t="str">
        <f>IFERROR(__xludf.DUMMYFUNCTION("""COMPUTED_VALUE"""),"US")</f>
        <v>US</v>
      </c>
      <c r="E73" s="185" t="str">
        <f>IFERROR(__xludf.DUMMYFUNCTION("""COMPUTED_VALUE"""),"webtonic.io")</f>
        <v>webtonic.io</v>
      </c>
      <c r="F73" s="185" t="str">
        <f>IFERROR(__xludf.DUMMYFUNCTION("""COMPUTED_VALUE"""),"Listicle")</f>
        <v>Listicle</v>
      </c>
      <c r="G73" s="185" t="str">
        <f>IFERROR(__xludf.DUMMYFUNCTION("""COMPUTED_VALUE"""),"COMPETITOR")</f>
        <v>COMPETITOR</v>
      </c>
      <c r="H73" s="185" t="str">
        <f>IFERROR(__xludf.DUMMYFUNCTION("""COMPUTED_VALUE"""),"No")</f>
        <v>No</v>
      </c>
      <c r="I73" s="185" t="str">
        <f>IFERROR(__xludf.DUMMYFUNCTION("""COMPUTED_VALUE"""),"Low")</f>
        <v>Low</v>
      </c>
      <c r="J73" s="185" t="str">
        <f>IFERROR(__xludf.DUMMYFUNCTION("""COMPUTED_VALUE"""),"Secondary")</f>
        <v>Secondary</v>
      </c>
      <c r="K73" s="185" t="str">
        <f>IFERROR(__xludf.DUMMYFUNCTION("""COMPUTED_VALUE"""),"Web Tonic, Tinuiti, Wpromote, TransUnion, Metric Theory, Brainlabs, Jellyfish, Croud, Amsive, MuteSix, KlientBoost, Disruptive Advertising, NoGood, Power Digital, Directive, Hawke Media, Ignite Visibility, Single Grain, AdVenture Media")</f>
        <v>Web Tonic, Tinuiti, Wpromote, TransUnion, Metric Theory, Brainlabs, Jellyfish, Croud, Amsive, MuteSix, KlientBoost, Disruptive Advertising, NoGood, Power Digital, Directive, Hawke Media, Ignite Visibility, Single Grain, AdVenture Media</v>
      </c>
      <c r="L73" s="187">
        <f>IFERROR(__xludf.DUMMYFUNCTION("""COMPUTED_VALUE"""),12.0)</f>
        <v>12</v>
      </c>
      <c r="M73" s="188">
        <f>IFERROR(__xludf.DUMMYFUNCTION("""COMPUTED_VALUE"""),0.01)</f>
        <v>0.01</v>
      </c>
      <c r="N73" s="188">
        <f>IFERROR(__xludf.DUMMYFUNCTION("""COMPUTED_VALUE"""),1.83)</f>
        <v>1.83</v>
      </c>
      <c r="O73" s="208"/>
      <c r="P73" s="208"/>
      <c r="Q73" s="208"/>
      <c r="R73" s="208"/>
    </row>
    <row r="74">
      <c r="A74" s="185" t="str">
        <f>IFERROR(__xludf.DUMMYFUNCTION("""COMPUTED_VALUE"""),"Agency directory / review marketplace")</f>
        <v>Agency directory / review marketplace</v>
      </c>
      <c r="B74" s="186" t="str">
        <f>IFERROR(__xludf.DUMMYFUNCTION("""COMPUTED_VALUE"""),"https://www.designrush.com/agency/digital-marketing/analytics/us?page=23")</f>
        <v>https://www.designrush.com/agency/digital-marketing/analytics/us?page=23</v>
      </c>
      <c r="C74" s="185" t="str">
        <f>IFERROR(__xludf.DUMMYFUNCTION("""COMPUTED_VALUE"""),"Top United States Marketing Analytics Companies - Page 23")</f>
        <v>Top United States Marketing Analytics Companies - Page 23</v>
      </c>
      <c r="D74" s="185" t="str">
        <f>IFERROR(__xludf.DUMMYFUNCTION("""COMPUTED_VALUE"""),"US")</f>
        <v>US</v>
      </c>
      <c r="E74" s="185" t="str">
        <f>IFERROR(__xludf.DUMMYFUNCTION("""COMPUTED_VALUE"""),"designrush.com")</f>
        <v>designrush.com</v>
      </c>
      <c r="F74" s="185" t="str">
        <f>IFERROR(__xludf.DUMMYFUNCTION("""COMPUTED_VALUE"""),"Listicle")</f>
        <v>Listicle</v>
      </c>
      <c r="G74" s="185" t="str">
        <f>IFERROR(__xludf.DUMMYFUNCTION("""COMPUTED_VALUE"""),"CORPORATE")</f>
        <v>CORPORATE</v>
      </c>
      <c r="H74" s="185" t="str">
        <f>IFERROR(__xludf.DUMMYFUNCTION("""COMPUTED_VALUE"""),"No")</f>
        <v>No</v>
      </c>
      <c r="I74" s="185" t="str">
        <f>IFERROR(__xludf.DUMMYFUNCTION("""COMPUTED_VALUE"""),"Medium")</f>
        <v>Medium</v>
      </c>
      <c r="J74" s="185" t="str">
        <f>IFERROR(__xludf.DUMMYFUNCTION("""COMPUTED_VALUE"""),"Yes")</f>
        <v>Yes</v>
      </c>
      <c r="K74" s="185" t="str">
        <f>IFERROR(__xludf.DUMMYFUNCTION("""COMPUTED_VALUE"""),"IBM, Measured")</f>
        <v>IBM, Measured</v>
      </c>
      <c r="L74" s="187">
        <f>IFERROR(__xludf.DUMMYFUNCTION("""COMPUTED_VALUE"""),11.0)</f>
        <v>11</v>
      </c>
      <c r="M74" s="188">
        <f>IFERROR(__xludf.DUMMYFUNCTION("""COMPUTED_VALUE"""),0.01)</f>
        <v>0.01</v>
      </c>
      <c r="N74" s="188">
        <f>IFERROR(__xludf.DUMMYFUNCTION("""COMPUTED_VALUE"""),0.09)</f>
        <v>0.09</v>
      </c>
      <c r="O74" s="208"/>
      <c r="P74" s="208"/>
      <c r="Q74" s="208"/>
      <c r="R74" s="208"/>
    </row>
    <row r="75">
      <c r="A75" s="185" t="str">
        <f>IFERROR(__xludf.DUMMYFUNCTION("""COMPUTED_VALUE"""),"Agency directory / review marketplace")</f>
        <v>Agency directory / review marketplace</v>
      </c>
      <c r="B75" s="186" t="str">
        <f>IFERROR(__xludf.DUMMYFUNCTION("""COMPUTED_VALUE"""),"https://www.designrush.com/agency/digital-marketing/analytics/us?page=24")</f>
        <v>https://www.designrush.com/agency/digital-marketing/analytics/us?page=24</v>
      </c>
      <c r="C75" s="185" t="str">
        <f>IFERROR(__xludf.DUMMYFUNCTION("""COMPUTED_VALUE"""),"Top United States Marketing Analytics Companies - Page 24")</f>
        <v>Top United States Marketing Analytics Companies - Page 24</v>
      </c>
      <c r="D75" s="185" t="str">
        <f>IFERROR(__xludf.DUMMYFUNCTION("""COMPUTED_VALUE"""),"US")</f>
        <v>US</v>
      </c>
      <c r="E75" s="185" t="str">
        <f>IFERROR(__xludf.DUMMYFUNCTION("""COMPUTED_VALUE"""),"designrush.com")</f>
        <v>designrush.com</v>
      </c>
      <c r="F75" s="185" t="str">
        <f>IFERROR(__xludf.DUMMYFUNCTION("""COMPUTED_VALUE"""),"Other")</f>
        <v>Other</v>
      </c>
      <c r="G75" s="185" t="str">
        <f>IFERROR(__xludf.DUMMYFUNCTION("""COMPUTED_VALUE"""),"CORPORATE")</f>
        <v>CORPORATE</v>
      </c>
      <c r="H75" s="185" t="str">
        <f>IFERROR(__xludf.DUMMYFUNCTION("""COMPUTED_VALUE"""),"No")</f>
        <v>No</v>
      </c>
      <c r="I75" s="185" t="str">
        <f>IFERROR(__xludf.DUMMYFUNCTION("""COMPUTED_VALUE"""),"Medium")</f>
        <v>Medium</v>
      </c>
      <c r="J75" s="185" t="str">
        <f>IFERROR(__xludf.DUMMYFUNCTION("""COMPUTED_VALUE"""),"Yes")</f>
        <v>Yes</v>
      </c>
      <c r="K75" s="185" t="str">
        <f>IFERROR(__xludf.DUMMYFUNCTION("""COMPUTED_VALUE"""),"IBM, Measured")</f>
        <v>IBM, Measured</v>
      </c>
      <c r="L75" s="187">
        <f>IFERROR(__xludf.DUMMYFUNCTION("""COMPUTED_VALUE"""),11.0)</f>
        <v>11</v>
      </c>
      <c r="M75" s="188">
        <f>IFERROR(__xludf.DUMMYFUNCTION("""COMPUTED_VALUE"""),0.01)</f>
        <v>0.01</v>
      </c>
      <c r="N75" s="188">
        <f>IFERROR(__xludf.DUMMYFUNCTION("""COMPUTED_VALUE"""),0.0)</f>
        <v>0</v>
      </c>
      <c r="O75" s="208"/>
      <c r="P75" s="208"/>
      <c r="Q75" s="208"/>
      <c r="R75" s="208"/>
    </row>
    <row r="76">
      <c r="A76" s="185" t="str">
        <f>IFERROR(__xludf.DUMMYFUNCTION("""COMPUTED_VALUE"""),"Analyst / research authority")</f>
        <v>Analyst / research authority</v>
      </c>
      <c r="B76" s="186" t="str">
        <f>IFERROR(__xludf.DUMMYFUNCTION("""COMPUTED_VALUE"""),"https://www.gartner.com/reviews/product/measured-89579724?marketSeoName=marketing-mix-modeling-solutions")</f>
        <v>https://www.gartner.com/reviews/product/measured-89579724?marketSeoName=marketing-mix-modeling-solutions</v>
      </c>
      <c r="C76" s="185" t="str">
        <f>IFERROR(__xludf.DUMMYFUNCTION("""COMPUTED_VALUE"""),"Measured Reviews &amp; Ratings 2026 \| Gartner Peer Insights")</f>
        <v>Measured Reviews &amp; Ratings 2026 \| Gartner Peer Insights</v>
      </c>
      <c r="D76" s="185" t="str">
        <f>IFERROR(__xludf.DUMMYFUNCTION("""COMPUTED_VALUE"""),"US")</f>
        <v>US</v>
      </c>
      <c r="E76" s="185" t="str">
        <f>IFERROR(__xludf.DUMMYFUNCTION("""COMPUTED_VALUE"""),"gartner.com")</f>
        <v>gartner.com</v>
      </c>
      <c r="F76" s="185" t="str">
        <f>IFERROR(__xludf.DUMMYFUNCTION("""COMPUTED_VALUE"""),"Profile")</f>
        <v>Profile</v>
      </c>
      <c r="G76" s="185" t="str">
        <f>IFERROR(__xludf.DUMMYFUNCTION("""COMPUTED_VALUE"""),"CORPORATE")</f>
        <v>CORPORATE</v>
      </c>
      <c r="H76" s="185" t="str">
        <f>IFERROR(__xludf.DUMMYFUNCTION("""COMPUTED_VALUE"""),"No")</f>
        <v>No</v>
      </c>
      <c r="I76" s="185" t="str">
        <f>IFERROR(__xludf.DUMMYFUNCTION("""COMPUTED_VALUE"""),"High")</f>
        <v>High</v>
      </c>
      <c r="J76" s="185" t="str">
        <f>IFERROR(__xludf.DUMMYFUNCTION("""COMPUTED_VALUE"""),"Yes - priority")</f>
        <v>Yes - priority</v>
      </c>
      <c r="K76" s="185" t="str">
        <f>IFERROR(__xludf.DUMMYFUNCTION("""COMPUTED_VALUE"""),"Measured, Nielsen")</f>
        <v>Measured, Nielsen</v>
      </c>
      <c r="L76" s="187">
        <f>IFERROR(__xludf.DUMMYFUNCTION("""COMPUTED_VALUE"""),11.0)</f>
        <v>11</v>
      </c>
      <c r="M76" s="188">
        <f>IFERROR(__xludf.DUMMYFUNCTION("""COMPUTED_VALUE"""),0.01)</f>
        <v>0.01</v>
      </c>
      <c r="N76" s="188">
        <f>IFERROR(__xludf.DUMMYFUNCTION("""COMPUTED_VALUE"""),1.18)</f>
        <v>1.18</v>
      </c>
      <c r="O76" s="208"/>
      <c r="P76" s="208"/>
      <c r="Q76" s="208"/>
      <c r="R76" s="208"/>
    </row>
    <row r="77">
      <c r="A77" s="185" t="str">
        <f>IFERROR(__xludf.DUMMYFUNCTION("""COMPUTED_VALUE"""),"Official partner / certification ecosystem")</f>
        <v>Official partner / certification ecosystem</v>
      </c>
      <c r="B77" s="186" t="str">
        <f>IFERROR(__xludf.DUMMYFUNCTION("""COMPUTED_VALUE"""),"https://www.google.com/partners/")</f>
        <v>https://www.google.com/partners/</v>
      </c>
      <c r="C77" s="185"/>
      <c r="D77" s="185" t="str">
        <f>IFERROR(__xludf.DUMMYFUNCTION("""COMPUTED_VALUE"""),"US")</f>
        <v>US</v>
      </c>
      <c r="E77" s="185" t="str">
        <f>IFERROR(__xludf.DUMMYFUNCTION("""COMPUTED_VALUE"""),"google.com")</f>
        <v>google.com</v>
      </c>
      <c r="F77" s="185" t="str">
        <f>IFERROR(__xludf.DUMMYFUNCTION("""COMPUTED_VALUE"""),"Other")</f>
        <v>Other</v>
      </c>
      <c r="G77" s="185" t="str">
        <f>IFERROR(__xludf.DUMMYFUNCTION("""COMPUTED_VALUE"""),"OTHER")</f>
        <v>OTHER</v>
      </c>
      <c r="H77" s="185" t="str">
        <f>IFERROR(__xludf.DUMMYFUNCTION("""COMPUTED_VALUE"""),"No")</f>
        <v>No</v>
      </c>
      <c r="I77" s="185" t="str">
        <f>IFERROR(__xludf.DUMMYFUNCTION("""COMPUTED_VALUE"""),"High")</f>
        <v>High</v>
      </c>
      <c r="J77" s="185" t="str">
        <f>IFERROR(__xludf.DUMMYFUNCTION("""COMPUTED_VALUE"""),"Yes - priority")</f>
        <v>Yes - priority</v>
      </c>
      <c r="K77" s="185" t="str">
        <f>IFERROR(__xludf.DUMMYFUNCTION("""COMPUTED_VALUE"""),"Unknown")</f>
        <v>Unknown</v>
      </c>
      <c r="L77" s="187">
        <f>IFERROR(__xludf.DUMMYFUNCTION("""COMPUTED_VALUE"""),11.0)</f>
        <v>11</v>
      </c>
      <c r="M77" s="188">
        <f>IFERROR(__xludf.DUMMYFUNCTION("""COMPUTED_VALUE"""),0.01)</f>
        <v>0.01</v>
      </c>
      <c r="N77" s="188">
        <f>IFERROR(__xludf.DUMMYFUNCTION("""COMPUTED_VALUE"""),0.73)</f>
        <v>0.73</v>
      </c>
      <c r="O77" s="208"/>
      <c r="P77" s="208"/>
      <c r="Q77" s="208"/>
      <c r="R77" s="208"/>
    </row>
    <row r="78">
      <c r="A78" s="185" t="str">
        <f>IFERROR(__xludf.DUMMYFUNCTION("""COMPUTED_VALUE"""),"Trade media / editorial publication")</f>
        <v>Trade media / editorial publication</v>
      </c>
      <c r="B78" s="186" t="str">
        <f>IFERROR(__xludf.DUMMYFUNCTION("""COMPUTED_VALUE"""),"https://influencermarketinghub.com/digital-marketing-agency-usa/")</f>
        <v>https://influencermarketinghub.com/digital-marketing-agency-usa/</v>
      </c>
      <c r="C78" s="185" t="str">
        <f>IFERROR(__xludf.DUMMYFUNCTION("""COMPUTED_VALUE"""),"Top Digital Marketing Agencies in the United States 2026")</f>
        <v>Top Digital Marketing Agencies in the United States 2026</v>
      </c>
      <c r="D78" s="185" t="str">
        <f>IFERROR(__xludf.DUMMYFUNCTION("""COMPUTED_VALUE"""),"US")</f>
        <v>US</v>
      </c>
      <c r="E78" s="185" t="str">
        <f>IFERROR(__xludf.DUMMYFUNCTION("""COMPUTED_VALUE"""),"influencermarketinghub.com")</f>
        <v>influencermarketinghub.com</v>
      </c>
      <c r="F78" s="185" t="str">
        <f>IFERROR(__xludf.DUMMYFUNCTION("""COMPUTED_VALUE"""),"Listicle")</f>
        <v>Listicle</v>
      </c>
      <c r="G78" s="185" t="str">
        <f>IFERROR(__xludf.DUMMYFUNCTION("""COMPUTED_VALUE"""),"REFERENCE")</f>
        <v>REFERENCE</v>
      </c>
      <c r="H78" s="185" t="str">
        <f>IFERROR(__xludf.DUMMYFUNCTION("""COMPUTED_VALUE"""),"No")</f>
        <v>No</v>
      </c>
      <c r="I78" s="185" t="str">
        <f>IFERROR(__xludf.DUMMYFUNCTION("""COMPUTED_VALUE"""),"Medium")</f>
        <v>Medium</v>
      </c>
      <c r="J78" s="185" t="str">
        <f>IFERROR(__xludf.DUMMYFUNCTION("""COMPUTED_VALUE"""),"Yes")</f>
        <v>Yes</v>
      </c>
      <c r="K78" s="185" t="str">
        <f>IFERROR(__xludf.DUMMYFUNCTION("""COMPUTED_VALUE"""),"Viral Nation, SmartSites, McKinsey, Measured, NinjaPromo, Power Digital, Clutch, Ignite Visibility, WebFX, Storm Brain, Major Tom, Funnel Boost Media, Thrive Internet Marketing Agency, Directive, Sociallyin, Disruptive Advertising, LYFE Marketing")</f>
        <v>Viral Nation, SmartSites, McKinsey, Measured, NinjaPromo, Power Digital, Clutch, Ignite Visibility, WebFX, Storm Brain, Major Tom, Funnel Boost Media, Thrive Internet Marketing Agency, Directive, Sociallyin, Disruptive Advertising, LYFE Marketing</v>
      </c>
      <c r="L78" s="187">
        <f>IFERROR(__xludf.DUMMYFUNCTION("""COMPUTED_VALUE"""),11.0)</f>
        <v>11</v>
      </c>
      <c r="M78" s="188">
        <f>IFERROR(__xludf.DUMMYFUNCTION("""COMPUTED_VALUE"""),0.01)</f>
        <v>0.01</v>
      </c>
      <c r="N78" s="188">
        <f>IFERROR(__xludf.DUMMYFUNCTION("""COMPUTED_VALUE"""),0.09)</f>
        <v>0.09</v>
      </c>
      <c r="O78" s="208"/>
      <c r="P78" s="208"/>
      <c r="Q78" s="208"/>
      <c r="R78" s="208"/>
    </row>
    <row r="79">
      <c r="A79" s="185" t="str">
        <f>IFERROR(__xludf.DUMMYFUNCTION("""COMPUTED_VALUE"""),"Industry data / software authority")</f>
        <v>Industry data / software authority</v>
      </c>
      <c r="B79" s="186" t="str">
        <f>IFERROR(__xludf.DUMMYFUNCTION("""COMPUTED_VALUE"""),"https://agencies.semrush.com/list/programmatic-advertising/united-states/")</f>
        <v>https://agencies.semrush.com/list/programmatic-advertising/united-states/</v>
      </c>
      <c r="C79" s="185" t="str">
        <f>IFERROR(__xludf.DUMMYFUNCTION("""COMPUTED_VALUE"""),"Best Programmatic Advertising Agencies in United States 2026 | Semrush")</f>
        <v>Best Programmatic Advertising Agencies in United States 2026 | Semrush</v>
      </c>
      <c r="D79" s="185" t="str">
        <f>IFERROR(__xludf.DUMMYFUNCTION("""COMPUTED_VALUE"""),"US")</f>
        <v>US</v>
      </c>
      <c r="E79" s="185" t="str">
        <f>IFERROR(__xludf.DUMMYFUNCTION("""COMPUTED_VALUE"""),"semrush.com")</f>
        <v>semrush.com</v>
      </c>
      <c r="F79" s="185" t="str">
        <f>IFERROR(__xludf.DUMMYFUNCTION("""COMPUTED_VALUE"""),"Category Page")</f>
        <v>Category Page</v>
      </c>
      <c r="G79" s="185" t="str">
        <f>IFERROR(__xludf.DUMMYFUNCTION("""COMPUTED_VALUE"""),"CORPORATE")</f>
        <v>CORPORATE</v>
      </c>
      <c r="H79" s="185" t="str">
        <f>IFERROR(__xludf.DUMMYFUNCTION("""COMPUTED_VALUE"""),"No")</f>
        <v>No</v>
      </c>
      <c r="I79" s="185" t="str">
        <f>IFERROR(__xludf.DUMMYFUNCTION("""COMPUTED_VALUE"""),"Medium")</f>
        <v>Medium</v>
      </c>
      <c r="J79" s="185" t="str">
        <f>IFERROR(__xludf.DUMMYFUNCTION("""COMPUTED_VALUE"""),"Yes")</f>
        <v>Yes</v>
      </c>
      <c r="K79" s="185" t="str">
        <f>IFERROR(__xludf.DUMMYFUNCTION("""COMPUTED_VALUE"""),"SmartSites, Elit-Web, Silverback Strategies, WebFX")</f>
        <v>SmartSites, Elit-Web, Silverback Strategies, WebFX</v>
      </c>
      <c r="L79" s="187">
        <f>IFERROR(__xludf.DUMMYFUNCTION("""COMPUTED_VALUE"""),10.0)</f>
        <v>10</v>
      </c>
      <c r="M79" s="188">
        <f>IFERROR(__xludf.DUMMYFUNCTION("""COMPUTED_VALUE"""),0.01)</f>
        <v>0.01</v>
      </c>
      <c r="N79" s="188">
        <f>IFERROR(__xludf.DUMMYFUNCTION("""COMPUTED_VALUE"""),0.0)</f>
        <v>0</v>
      </c>
      <c r="O79" s="208"/>
      <c r="P79" s="208"/>
      <c r="Q79" s="208"/>
      <c r="R79" s="208"/>
    </row>
    <row r="80">
      <c r="A80" s="185" t="str">
        <f>IFERROR(__xludf.DUMMYFUNCTION("""COMPUTED_VALUE"""),"Agency directory / review marketplace")</f>
        <v>Agency directory / review marketplace</v>
      </c>
      <c r="B80" s="186" t="str">
        <f>IFERROR(__xludf.DUMMYFUNCTION("""COMPUTED_VALUE"""),"https://www.sortlist.com/attribution-marketing")</f>
        <v>https://www.sortlist.com/attribution-marketing</v>
      </c>
      <c r="C80" s="185" t="str">
        <f>IFERROR(__xludf.DUMMYFUNCTION("""COMPUTED_VALUE"""),"The 100 Best Attribution Marketing Agencies - 2026 Reviews")</f>
        <v>The 100 Best Attribution Marketing Agencies - 2026 Reviews</v>
      </c>
      <c r="D80" s="185" t="str">
        <f>IFERROR(__xludf.DUMMYFUNCTION("""COMPUTED_VALUE"""),"US")</f>
        <v>US</v>
      </c>
      <c r="E80" s="185" t="str">
        <f>IFERROR(__xludf.DUMMYFUNCTION("""COMPUTED_VALUE"""),"sortlist.com")</f>
        <v>sortlist.com</v>
      </c>
      <c r="F80" s="185" t="str">
        <f>IFERROR(__xludf.DUMMYFUNCTION("""COMPUTED_VALUE"""),"Profile")</f>
        <v>Profile</v>
      </c>
      <c r="G80" s="185" t="str">
        <f>IFERROR(__xludf.DUMMYFUNCTION("""COMPUTED_VALUE"""),"CORPORATE")</f>
        <v>CORPORATE</v>
      </c>
      <c r="H80" s="185" t="str">
        <f>IFERROR(__xludf.DUMMYFUNCTION("""COMPUTED_VALUE"""),"No")</f>
        <v>No</v>
      </c>
      <c r="I80" s="185" t="str">
        <f>IFERROR(__xludf.DUMMYFUNCTION("""COMPUTED_VALUE"""),"Medium")</f>
        <v>Medium</v>
      </c>
      <c r="J80" s="185" t="str">
        <f>IFERROR(__xludf.DUMMYFUNCTION("""COMPUTED_VALUE"""),"Yes")</f>
        <v>Yes</v>
      </c>
      <c r="K80" s="185" t="str">
        <f>IFERROR(__xludf.DUMMYFUNCTION("""COMPUTED_VALUE"""),"Triple Whale, Northbeam, HockeyStack, WPP")</f>
        <v>Triple Whale, Northbeam, HockeyStack, WPP</v>
      </c>
      <c r="L80" s="187">
        <f>IFERROR(__xludf.DUMMYFUNCTION("""COMPUTED_VALUE"""),10.0)</f>
        <v>10</v>
      </c>
      <c r="M80" s="188">
        <f>IFERROR(__xludf.DUMMYFUNCTION("""COMPUTED_VALUE"""),0.01)</f>
        <v>0.01</v>
      </c>
      <c r="N80" s="188">
        <f>IFERROR(__xludf.DUMMYFUNCTION("""COMPUTED_VALUE"""),0.0)</f>
        <v>0</v>
      </c>
      <c r="O80" s="208"/>
      <c r="P80" s="208"/>
      <c r="Q80" s="208"/>
      <c r="R80" s="208"/>
    </row>
    <row r="81">
      <c r="A81" s="185" t="str">
        <f>IFERROR(__xludf.DUMMYFUNCTION("""COMPUTED_VALUE"""),"Agency directory / review marketplace")</f>
        <v>Agency directory / review marketplace</v>
      </c>
      <c r="B81" s="186" t="str">
        <f>IFERROR(__xludf.DUMMYFUNCTION("""COMPUTED_VALUE"""),"https://clutch.co/consulting/ai/strategy")</f>
        <v>https://clutch.co/consulting/ai/strategy</v>
      </c>
      <c r="C81" s="185" t="str">
        <f>IFERROR(__xludf.DUMMYFUNCTION("""COMPUTED_VALUE"""),"Top AI Strategy Companies - Jul 2026 Rankings \| Clutch.co")</f>
        <v>Top AI Strategy Companies - Jul 2026 Rankings \| Clutch.co</v>
      </c>
      <c r="D81" s="185" t="str">
        <f>IFERROR(__xludf.DUMMYFUNCTION("""COMPUTED_VALUE"""),"US")</f>
        <v>US</v>
      </c>
      <c r="E81" s="185" t="str">
        <f>IFERROR(__xludf.DUMMYFUNCTION("""COMPUTED_VALUE"""),"clutch.co")</f>
        <v>clutch.co</v>
      </c>
      <c r="F81" s="185" t="str">
        <f>IFERROR(__xludf.DUMMYFUNCTION("""COMPUTED_VALUE"""),"Category Page")</f>
        <v>Category Page</v>
      </c>
      <c r="G81" s="185" t="str">
        <f>IFERROR(__xludf.DUMMYFUNCTION("""COMPUTED_VALUE"""),"COMPETITOR")</f>
        <v>COMPETITOR</v>
      </c>
      <c r="H81" s="185" t="str">
        <f>IFERROR(__xludf.DUMMYFUNCTION("""COMPUTED_VALUE"""),"No")</f>
        <v>No</v>
      </c>
      <c r="I81" s="185" t="str">
        <f>IFERROR(__xludf.DUMMYFUNCTION("""COMPUTED_VALUE"""),"Medium")</f>
        <v>Medium</v>
      </c>
      <c r="J81" s="185" t="str">
        <f>IFERROR(__xludf.DUMMYFUNCTION("""COMPUTED_VALUE"""),"Yes")</f>
        <v>Yes</v>
      </c>
      <c r="K81" s="185" t="str">
        <f>IFERROR(__xludf.DUMMYFUNCTION("""COMPUTED_VALUE"""),"Clutch")</f>
        <v>Clutch</v>
      </c>
      <c r="L81" s="187">
        <f>IFERROR(__xludf.DUMMYFUNCTION("""COMPUTED_VALUE"""),9.0)</f>
        <v>9</v>
      </c>
      <c r="M81" s="188">
        <f>IFERROR(__xludf.DUMMYFUNCTION("""COMPUTED_VALUE"""),0.01)</f>
        <v>0.01</v>
      </c>
      <c r="N81" s="188">
        <f>IFERROR(__xludf.DUMMYFUNCTION("""COMPUTED_VALUE"""),0.11)</f>
        <v>0.11</v>
      </c>
      <c r="O81" s="208"/>
      <c r="P81" s="208"/>
      <c r="Q81" s="208"/>
      <c r="R81" s="208"/>
    </row>
    <row r="82">
      <c r="A82" s="185" t="str">
        <f>IFERROR(__xludf.DUMMYFUNCTION("""COMPUTED_VALUE"""),"Agency directory / review marketplace")</f>
        <v>Agency directory / review marketplace</v>
      </c>
      <c r="B82" s="186" t="str">
        <f>IFERROR(__xludf.DUMMYFUNCTION("""COMPUTED_VALUE"""),"https://clutch.co/seo-firms/generative-engine-optimization")</f>
        <v>https://clutch.co/seo-firms/generative-engine-optimization</v>
      </c>
      <c r="C82" s="185" t="str">
        <f>IFERROR(__xludf.DUMMYFUNCTION("""COMPUTED_VALUE"""),"Top Generative Engine Optimization (GEO) Companies - Jul 2026 Rankings | Clutch.co")</f>
        <v>Top Generative Engine Optimization (GEO) Companies - Jul 2026 Rankings | Clutch.co</v>
      </c>
      <c r="D82" s="185" t="str">
        <f>IFERROR(__xludf.DUMMYFUNCTION("""COMPUTED_VALUE"""),"US")</f>
        <v>US</v>
      </c>
      <c r="E82" s="185" t="str">
        <f>IFERROR(__xludf.DUMMYFUNCTION("""COMPUTED_VALUE"""),"clutch.co")</f>
        <v>clutch.co</v>
      </c>
      <c r="F82" s="185" t="str">
        <f>IFERROR(__xludf.DUMMYFUNCTION("""COMPUTED_VALUE"""),"Category Page")</f>
        <v>Category Page</v>
      </c>
      <c r="G82" s="185" t="str">
        <f>IFERROR(__xludf.DUMMYFUNCTION("""COMPUTED_VALUE"""),"COMPETITOR")</f>
        <v>COMPETITOR</v>
      </c>
      <c r="H82" s="185" t="str">
        <f>IFERROR(__xludf.DUMMYFUNCTION("""COMPUTED_VALUE"""),"No")</f>
        <v>No</v>
      </c>
      <c r="I82" s="185" t="str">
        <f>IFERROR(__xludf.DUMMYFUNCTION("""COMPUTED_VALUE"""),"Medium")</f>
        <v>Medium</v>
      </c>
      <c r="J82" s="185" t="str">
        <f>IFERROR(__xludf.DUMMYFUNCTION("""COMPUTED_VALUE"""),"Yes")</f>
        <v>Yes</v>
      </c>
      <c r="K82" s="185" t="str">
        <f>IFERROR(__xludf.DUMMYFUNCTION("""COMPUTED_VALUE"""),"Clutch, Victorious, Funnel Boost Media, NinjaPromo, WebFX, Intero Digital, Ignite Visibility, Elit-Web, HawkSEM, Siege Media, Huge, The SEO Works, Thrive Internet Marketing Agency")</f>
        <v>Clutch, Victorious, Funnel Boost Media, NinjaPromo, WebFX, Intero Digital, Ignite Visibility, Elit-Web, HawkSEM, Siege Media, Huge, The SEO Works, Thrive Internet Marketing Agency</v>
      </c>
      <c r="L82" s="187">
        <f>IFERROR(__xludf.DUMMYFUNCTION("""COMPUTED_VALUE"""),9.0)</f>
        <v>9</v>
      </c>
      <c r="M82" s="188">
        <f>IFERROR(__xludf.DUMMYFUNCTION("""COMPUTED_VALUE"""),0.01)</f>
        <v>0.01</v>
      </c>
      <c r="N82" s="188">
        <f>IFERROR(__xludf.DUMMYFUNCTION("""COMPUTED_VALUE"""),0.11)</f>
        <v>0.11</v>
      </c>
      <c r="O82" s="208"/>
      <c r="P82" s="208"/>
      <c r="Q82" s="208"/>
      <c r="R82" s="208"/>
    </row>
    <row r="83">
      <c r="A83" s="185" t="str">
        <f>IFERROR(__xludf.DUMMYFUNCTION("""COMPUTED_VALUE"""),"Agency directory / review marketplace")</f>
        <v>Agency directory / review marketplace</v>
      </c>
      <c r="B83" s="186" t="str">
        <f>IFERROR(__xludf.DUMMYFUNCTION("""COMPUTED_VALUE"""),"https://www.designrush.com/agency/paid-media-pay-per-click/google-adwords/us")</f>
        <v>https://www.designrush.com/agency/paid-media-pay-per-click/google-adwords/us</v>
      </c>
      <c r="C83" s="185" t="str">
        <f>IFERROR(__xludf.DUMMYFUNCTION("""COMPUTED_VALUE"""),"Top Google Ads Agencies in the USA | DesignRush")</f>
        <v>Top Google Ads Agencies in the USA | DesignRush</v>
      </c>
      <c r="D83" s="185" t="str">
        <f>IFERROR(__xludf.DUMMYFUNCTION("""COMPUTED_VALUE"""),"US")</f>
        <v>US</v>
      </c>
      <c r="E83" s="185" t="str">
        <f>IFERROR(__xludf.DUMMYFUNCTION("""COMPUTED_VALUE"""),"designrush.com")</f>
        <v>designrush.com</v>
      </c>
      <c r="F83" s="185" t="str">
        <f>IFERROR(__xludf.DUMMYFUNCTION("""COMPUTED_VALUE"""),"Category Page")</f>
        <v>Category Page</v>
      </c>
      <c r="G83" s="185" t="str">
        <f>IFERROR(__xludf.DUMMYFUNCTION("""COMPUTED_VALUE"""),"CORPORATE")</f>
        <v>CORPORATE</v>
      </c>
      <c r="H83" s="185" t="str">
        <f>IFERROR(__xludf.DUMMYFUNCTION("""COMPUTED_VALUE"""),"No")</f>
        <v>No</v>
      </c>
      <c r="I83" s="185" t="str">
        <f>IFERROR(__xludf.DUMMYFUNCTION("""COMPUTED_VALUE"""),"Medium")</f>
        <v>Medium</v>
      </c>
      <c r="J83" s="185" t="str">
        <f>IFERROR(__xludf.DUMMYFUNCTION("""COMPUTED_VALUE"""),"Yes")</f>
        <v>Yes</v>
      </c>
      <c r="K83" s="185" t="str">
        <f>IFERROR(__xludf.DUMMYFUNCTION("""COMPUTED_VALUE"""),"SmartSites, Searchbloom, Huge, Disruptive Advertising, Funnel Boost Media, Silverback Strategies, Intero Digital, KlientBoost, Elit-Web, Major Tom, IBM, AdVenture Media")</f>
        <v>SmartSites, Searchbloom, Huge, Disruptive Advertising, Funnel Boost Media, Silverback Strategies, Intero Digital, KlientBoost, Elit-Web, Major Tom, IBM, AdVenture Media</v>
      </c>
      <c r="L83" s="187">
        <f>IFERROR(__xludf.DUMMYFUNCTION("""COMPUTED_VALUE"""),9.0)</f>
        <v>9</v>
      </c>
      <c r="M83" s="188">
        <f>IFERROR(__xludf.DUMMYFUNCTION("""COMPUTED_VALUE"""),0.01)</f>
        <v>0.01</v>
      </c>
      <c r="N83" s="188">
        <f>IFERROR(__xludf.DUMMYFUNCTION("""COMPUTED_VALUE"""),0.44)</f>
        <v>0.44</v>
      </c>
      <c r="O83" s="208"/>
      <c r="P83" s="208"/>
      <c r="Q83" s="208"/>
      <c r="R83" s="208"/>
    </row>
    <row r="84">
      <c r="A84" s="185" t="str">
        <f>IFERROR(__xludf.DUMMYFUNCTION("""COMPUTED_VALUE"""),"Analyst / research authority")</f>
        <v>Analyst / research authority</v>
      </c>
      <c r="B84" s="186" t="str">
        <f>IFERROR(__xludf.DUMMYFUNCTION("""COMPUTED_VALUE"""),"https://www.gartner.com/reviews/market/b2b-multitouch-attribution-tools")</f>
        <v>https://www.gartner.com/reviews/market/b2b-multitouch-attribution-tools</v>
      </c>
      <c r="C84" s="185" t="str">
        <f>IFERROR(__xludf.DUMMYFUNCTION("""COMPUTED_VALUE"""),"Best B2B Multitouch Attribution Tools Reviews 2026 \| Gartner Peer Insights")</f>
        <v>Best B2B Multitouch Attribution Tools Reviews 2026 \| Gartner Peer Insights</v>
      </c>
      <c r="D84" s="185" t="str">
        <f>IFERROR(__xludf.DUMMYFUNCTION("""COMPUTED_VALUE"""),"US")</f>
        <v>US</v>
      </c>
      <c r="E84" s="185" t="str">
        <f>IFERROR(__xludf.DUMMYFUNCTION("""COMPUTED_VALUE"""),"gartner.com")</f>
        <v>gartner.com</v>
      </c>
      <c r="F84" s="185" t="str">
        <f>IFERROR(__xludf.DUMMYFUNCTION("""COMPUTED_VALUE"""),"Category Page")</f>
        <v>Category Page</v>
      </c>
      <c r="G84" s="185" t="str">
        <f>IFERROR(__xludf.DUMMYFUNCTION("""COMPUTED_VALUE"""),"CORPORATE")</f>
        <v>CORPORATE</v>
      </c>
      <c r="H84" s="185" t="str">
        <f>IFERROR(__xludf.DUMMYFUNCTION("""COMPUTED_VALUE"""),"No")</f>
        <v>No</v>
      </c>
      <c r="I84" s="185" t="str">
        <f>IFERROR(__xludf.DUMMYFUNCTION("""COMPUTED_VALUE"""),"High")</f>
        <v>High</v>
      </c>
      <c r="J84" s="185" t="str">
        <f>IFERROR(__xludf.DUMMYFUNCTION("""COMPUTED_VALUE"""),"Yes - priority")</f>
        <v>Yes - priority</v>
      </c>
      <c r="K84" s="185" t="str">
        <f>IFERROR(__xludf.DUMMYFUNCTION("""COMPUTED_VALUE"""),"Triple Whale, Northbeam, HockeyStack, Ruler Analytics, SegmentStream")</f>
        <v>Triple Whale, Northbeam, HockeyStack, Ruler Analytics, SegmentStream</v>
      </c>
      <c r="L84" s="187">
        <f>IFERROR(__xludf.DUMMYFUNCTION("""COMPUTED_VALUE"""),9.0)</f>
        <v>9</v>
      </c>
      <c r="M84" s="188">
        <f>IFERROR(__xludf.DUMMYFUNCTION("""COMPUTED_VALUE"""),0.01)</f>
        <v>0.01</v>
      </c>
      <c r="N84" s="188">
        <f>IFERROR(__xludf.DUMMYFUNCTION("""COMPUTED_VALUE"""),0.11)</f>
        <v>0.11</v>
      </c>
      <c r="O84" s="208"/>
      <c r="P84" s="208"/>
      <c r="Q84" s="208"/>
      <c r="R84" s="208"/>
    </row>
    <row r="85">
      <c r="A85" s="185" t="str">
        <f>IFERROR(__xludf.DUMMYFUNCTION("""COMPUTED_VALUE"""),"Agency directory / review marketplace")</f>
        <v>Agency directory / review marketplace</v>
      </c>
      <c r="B85" s="186" t="str">
        <f>IFERROR(__xludf.DUMMYFUNCTION("""COMPUTED_VALUE"""),"https://www.goodfirms.co/advertising-companies/creative/usa")</f>
        <v>https://www.goodfirms.co/advertising-companies/creative/usa</v>
      </c>
      <c r="C85" s="185" t="str">
        <f>IFERROR(__xludf.DUMMYFUNCTION("""COMPUTED_VALUE"""),"Top Creative Agencies in the United States - 2026 Reviews | Goodfirms")</f>
        <v>Top Creative Agencies in the United States - 2026 Reviews | Goodfirms</v>
      </c>
      <c r="D85" s="185" t="str">
        <f>IFERROR(__xludf.DUMMYFUNCTION("""COMPUTED_VALUE"""),"US")</f>
        <v>US</v>
      </c>
      <c r="E85" s="185" t="str">
        <f>IFERROR(__xludf.DUMMYFUNCTION("""COMPUTED_VALUE"""),"goodfirms.co")</f>
        <v>goodfirms.co</v>
      </c>
      <c r="F85" s="185" t="str">
        <f>IFERROR(__xludf.DUMMYFUNCTION("""COMPUTED_VALUE"""),"Category Page")</f>
        <v>Category Page</v>
      </c>
      <c r="G85" s="185" t="str">
        <f>IFERROR(__xludf.DUMMYFUNCTION("""COMPUTED_VALUE"""),"UGC")</f>
        <v>UGC</v>
      </c>
      <c r="H85" s="185" t="str">
        <f>IFERROR(__xludf.DUMMYFUNCTION("""COMPUTED_VALUE"""),"No")</f>
        <v>No</v>
      </c>
      <c r="I85" s="185" t="str">
        <f>IFERROR(__xludf.DUMMYFUNCTION("""COMPUTED_VALUE"""),"Medium")</f>
        <v>Medium</v>
      </c>
      <c r="J85" s="185" t="str">
        <f>IFERROR(__xludf.DUMMYFUNCTION("""COMPUTED_VALUE"""),"Yes")</f>
        <v>Yes</v>
      </c>
      <c r="K85" s="185" t="str">
        <f>IFERROR(__xludf.DUMMYFUNCTION("""COMPUTED_VALUE"""),"Brighter Click, SmartSites, PMG")</f>
        <v>Brighter Click, SmartSites, PMG</v>
      </c>
      <c r="L85" s="187">
        <f>IFERROR(__xludf.DUMMYFUNCTION("""COMPUTED_VALUE"""),9.0)</f>
        <v>9</v>
      </c>
      <c r="M85" s="188">
        <f>IFERROR(__xludf.DUMMYFUNCTION("""COMPUTED_VALUE"""),0.01)</f>
        <v>0.01</v>
      </c>
      <c r="N85" s="188">
        <f>IFERROR(__xludf.DUMMYFUNCTION("""COMPUTED_VALUE"""),0.0)</f>
        <v>0</v>
      </c>
      <c r="O85" s="208"/>
      <c r="P85" s="208"/>
      <c r="Q85" s="208"/>
      <c r="R85" s="208"/>
    </row>
    <row r="86">
      <c r="A86" s="185" t="str">
        <f>IFERROR(__xludf.DUMMYFUNCTION("""COMPUTED_VALUE"""),"Official partner / certification ecosystem")</f>
        <v>Official partner / certification ecosystem</v>
      </c>
      <c r="B86" s="186" t="str">
        <f>IFERROR(__xludf.DUMMYFUNCTION("""COMPUTED_VALUE"""),"https://partnersdirectory.withgoogle.com/?authuser=0&amp;gmbsrc=us-en-ot-gs-z-gmb-s-z-h%7Ebgcceg-learn-u-ahpm-0000000179-0000000001-ahpm-0000000189-0000000001%7C-ahpm-0000000179-0000000001-ahpm-0000000179-0000000000-ahpm-0000000175-0000000001-ahpm-0000000200-"&amp;"0000000000-ahpm-0000000200-0000000002-ahpm-0000000200-0000000001-ahpm-0000000213-0000000000-ahpm-0000000200-0000000002%7C-ahpm-0000000179-0000000001-ahpm-0000000213-0000000001-ahpm-0000000200-0000000001%7C-ahpm-0000000179-0000000001-ahpm-0000000210-000000"&amp;"0000-0000000212-0000000000-0000000212-0000000001-0000000209-0000000001%7C-ahpm-0000000200-0000000000%7C-ahpm-0000000179-0000000001&amp;mcsubid=es-es-ha-g-mc-bkws&amp;premier=true&amp;subid=es-es-ha-Sh-bk-c-mrc%21o3-%7Cib%3Anone%7Cib%3A6653296821%7Cib%3A9279461727%7Ci"&amp;"b%3A7966379274%7C0000000209-0000000001%7C-ahpm-0000000200-0000000000%7C-ahpm-0000000179-0000000001%7ECjwKCAjwnPOEBhA0EiwA609ReQijHby1yZ7TTk_DLiA0d1HW-5qBysn-N9u3Z4V8ZJUBAWUgiaWmXxoCZeMQAvD_BwE%7E%7Badgroup%7D%7Ekwd-296470545763%7E12694650149%7E51267818636"&amp;"6")</f>
        <v>https://partnersdirectory.withgoogle.com/?authuser=0&amp;gmbsrc=us-en-ot-gs-z-gmb-s-z-h%7Ebgcceg-learn-u-ahpm-0000000179-0000000001-ahpm-0000000189-0000000001%7C-ahpm-0000000179-0000000001-ahpm-0000000179-0000000000-ahpm-0000000175-0000000001-ahpm-0000000200-0000000000-ahpm-0000000200-0000000002-ahpm-0000000200-0000000001-ahpm-0000000213-0000000000-ahpm-0000000200-0000000002%7C-ahpm-0000000179-0000000001-ahpm-0000000213-0000000001-ahpm-0000000200-0000000001%7C-ahpm-0000000179-0000000001-ahpm-0000000210-0000000000-0000000212-0000000000-0000000212-0000000001-0000000209-0000000001%7C-ahpm-0000000200-0000000000%7C-ahpm-0000000179-0000000001&amp;mcsubid=es-es-ha-g-mc-bkws&amp;premier=true&amp;subid=es-es-ha-Sh-bk-c-mrc%21o3-%7Cib%3Anone%7Cib%3A6653296821%7Cib%3A9279461727%7Cib%3A7966379274%7C0000000209-0000000001%7C-ahpm-0000000200-0000000000%7C-ahpm-0000000179-0000000001%7ECjwKCAjwnPOEBhA0EiwA609ReQijHby1yZ7TTk_DLiA0d1HW-5qBysn-N9u3Z4V8ZJUBAWUgiaWmXxoCZeMQAvD_BwE%7E%7Badgroup%7D%7Ekwd-296470545763%7E12694650149%7E512678186366</v>
      </c>
      <c r="C86" s="185"/>
      <c r="D86" s="185" t="str">
        <f>IFERROR(__xludf.DUMMYFUNCTION("""COMPUTED_VALUE"""),"US")</f>
        <v>US</v>
      </c>
      <c r="E86" s="185" t="str">
        <f>IFERROR(__xludf.DUMMYFUNCTION("""COMPUTED_VALUE"""),"withgoogle.com")</f>
        <v>withgoogle.com</v>
      </c>
      <c r="F86" s="185" t="str">
        <f>IFERROR(__xludf.DUMMYFUNCTION("""COMPUTED_VALUE"""),"Other")</f>
        <v>Other</v>
      </c>
      <c r="G86" s="185" t="str">
        <f>IFERROR(__xludf.DUMMYFUNCTION("""COMPUTED_VALUE"""),"CORPORATE")</f>
        <v>CORPORATE</v>
      </c>
      <c r="H86" s="185" t="str">
        <f>IFERROR(__xludf.DUMMYFUNCTION("""COMPUTED_VALUE"""),"No")</f>
        <v>No</v>
      </c>
      <c r="I86" s="185" t="str">
        <f>IFERROR(__xludf.DUMMYFUNCTION("""COMPUTED_VALUE"""),"High")</f>
        <v>High</v>
      </c>
      <c r="J86" s="185" t="str">
        <f>IFERROR(__xludf.DUMMYFUNCTION("""COMPUTED_VALUE"""),"Yes - priority")</f>
        <v>Yes - priority</v>
      </c>
      <c r="K86" s="185" t="str">
        <f>IFERROR(__xludf.DUMMYFUNCTION("""COMPUTED_VALUE"""),"Unknown")</f>
        <v>Unknown</v>
      </c>
      <c r="L86" s="187">
        <f>IFERROR(__xludf.DUMMYFUNCTION("""COMPUTED_VALUE"""),9.0)</f>
        <v>9</v>
      </c>
      <c r="M86" s="188">
        <f>IFERROR(__xludf.DUMMYFUNCTION("""COMPUTED_VALUE"""),0.01)</f>
        <v>0.01</v>
      </c>
      <c r="N86" s="188">
        <f>IFERROR(__xludf.DUMMYFUNCTION("""COMPUTED_VALUE"""),0.0)</f>
        <v>0</v>
      </c>
      <c r="O86" s="208"/>
      <c r="P86" s="208"/>
      <c r="Q86" s="208"/>
      <c r="R86" s="208"/>
    </row>
    <row r="87">
      <c r="A87" s="185" t="str">
        <f>IFERROR(__xludf.DUMMYFUNCTION("""COMPUTED_VALUE"""),"Agency directory / review marketplace")</f>
        <v>Agency directory / review marketplace</v>
      </c>
      <c r="B87" s="186" t="str">
        <f>IFERROR(__xludf.DUMMYFUNCTION("""COMPUTED_VALUE"""),"https://www.sortlist.com/s/ai-marketing/united-states-us")</f>
        <v>https://www.sortlist.com/s/ai-marketing/united-states-us</v>
      </c>
      <c r="C87" s="185" t="str">
        <f>IFERROR(__xludf.DUMMYFUNCTION("""COMPUTED_VALUE"""),"The 10 Best AI Marketing Companies in the United States - 2026 Reviews")</f>
        <v>The 10 Best AI Marketing Companies in the United States - 2026 Reviews</v>
      </c>
      <c r="D87" s="185" t="str">
        <f>IFERROR(__xludf.DUMMYFUNCTION("""COMPUTED_VALUE"""),"US")</f>
        <v>US</v>
      </c>
      <c r="E87" s="185" t="str">
        <f>IFERROR(__xludf.DUMMYFUNCTION("""COMPUTED_VALUE"""),"sortlist.com")</f>
        <v>sortlist.com</v>
      </c>
      <c r="F87" s="185" t="str">
        <f>IFERROR(__xludf.DUMMYFUNCTION("""COMPUTED_VALUE"""),"Category Page")</f>
        <v>Category Page</v>
      </c>
      <c r="G87" s="185" t="str">
        <f>IFERROR(__xludf.DUMMYFUNCTION("""COMPUTED_VALUE"""),"CORPORATE")</f>
        <v>CORPORATE</v>
      </c>
      <c r="H87" s="185" t="str">
        <f>IFERROR(__xludf.DUMMYFUNCTION("""COMPUTED_VALUE"""),"No")</f>
        <v>No</v>
      </c>
      <c r="I87" s="185" t="str">
        <f>IFERROR(__xludf.DUMMYFUNCTION("""COMPUTED_VALUE"""),"Medium")</f>
        <v>Medium</v>
      </c>
      <c r="J87" s="185" t="str">
        <f>IFERROR(__xludf.DUMMYFUNCTION("""COMPUTED_VALUE"""),"Yes")</f>
        <v>Yes</v>
      </c>
      <c r="K87" s="185" t="str">
        <f>IFERROR(__xludf.DUMMYFUNCTION("""COMPUTED_VALUE"""),"Clutch")</f>
        <v>Clutch</v>
      </c>
      <c r="L87" s="187">
        <f>IFERROR(__xludf.DUMMYFUNCTION("""COMPUTED_VALUE"""),9.0)</f>
        <v>9</v>
      </c>
      <c r="M87" s="188">
        <f>IFERROR(__xludf.DUMMYFUNCTION("""COMPUTED_VALUE"""),0.01)</f>
        <v>0.01</v>
      </c>
      <c r="N87" s="188">
        <f>IFERROR(__xludf.DUMMYFUNCTION("""COMPUTED_VALUE"""),0.22)</f>
        <v>0.22</v>
      </c>
      <c r="O87" s="208"/>
      <c r="P87" s="208"/>
      <c r="Q87" s="208"/>
      <c r="R87" s="208"/>
    </row>
    <row r="88">
      <c r="A88" s="185" t="str">
        <f>IFERROR(__xludf.DUMMYFUNCTION("""COMPUTED_VALUE"""),"Official partner / certification ecosystem")</f>
        <v>Official partner / certification ecosystem</v>
      </c>
      <c r="B88" s="186" t="str">
        <f>IFERROR(__xludf.DUMMYFUNCTION("""COMPUTED_VALUE"""),"https://ads.google.com/intl/us-EN/home/partners/work-with-a-partner/")</f>
        <v>https://ads.google.com/intl/us-EN/home/partners/work-with-a-partner/</v>
      </c>
      <c r="C88" s="185"/>
      <c r="D88" s="185" t="str">
        <f>IFERROR(__xludf.DUMMYFUNCTION("""COMPUTED_VALUE"""),"US")</f>
        <v>US</v>
      </c>
      <c r="E88" s="185" t="str">
        <f>IFERROR(__xludf.DUMMYFUNCTION("""COMPUTED_VALUE"""),"google.com")</f>
        <v>google.com</v>
      </c>
      <c r="F88" s="185" t="str">
        <f>IFERROR(__xludf.DUMMYFUNCTION("""COMPUTED_VALUE"""),"Other")</f>
        <v>Other</v>
      </c>
      <c r="G88" s="185" t="str">
        <f>IFERROR(__xludf.DUMMYFUNCTION("""COMPUTED_VALUE"""),"OTHER")</f>
        <v>OTHER</v>
      </c>
      <c r="H88" s="185" t="str">
        <f>IFERROR(__xludf.DUMMYFUNCTION("""COMPUTED_VALUE"""),"No")</f>
        <v>No</v>
      </c>
      <c r="I88" s="185" t="str">
        <f>IFERROR(__xludf.DUMMYFUNCTION("""COMPUTED_VALUE"""),"High")</f>
        <v>High</v>
      </c>
      <c r="J88" s="185" t="str">
        <f>IFERROR(__xludf.DUMMYFUNCTION("""COMPUTED_VALUE"""),"Yes - priority")</f>
        <v>Yes - priority</v>
      </c>
      <c r="K88" s="185" t="str">
        <f>IFERROR(__xludf.DUMMYFUNCTION("""COMPUTED_VALUE"""),"Unknown")</f>
        <v>Unknown</v>
      </c>
      <c r="L88" s="187">
        <f>IFERROR(__xludf.DUMMYFUNCTION("""COMPUTED_VALUE"""),8.0)</f>
        <v>8</v>
      </c>
      <c r="M88" s="188">
        <f>IFERROR(__xludf.DUMMYFUNCTION("""COMPUTED_VALUE"""),0.01)</f>
        <v>0.01</v>
      </c>
      <c r="N88" s="188">
        <f>IFERROR(__xludf.DUMMYFUNCTION("""COMPUTED_VALUE"""),0.0)</f>
        <v>0</v>
      </c>
      <c r="O88" s="208"/>
      <c r="P88" s="208"/>
      <c r="Q88" s="208"/>
      <c r="R88" s="208"/>
    </row>
    <row r="89">
      <c r="A89" s="185" t="str">
        <f>IFERROR(__xludf.DUMMYFUNCTION("""COMPUTED_VALUE"""),"Agency directory / review marketplace")</f>
        <v>Agency directory / review marketplace</v>
      </c>
      <c r="B89" s="186" t="str">
        <f>IFERROR(__xludf.DUMMYFUNCTION("""COMPUTED_VALUE"""),"https://clutch.co/agencies/ppc/display%3Fpage%3D0")</f>
        <v>https://clutch.co/agencies/ppc/display%3Fpage%3D0</v>
      </c>
      <c r="C89" s="185" t="str">
        <f>IFERROR(__xludf.DUMMYFUNCTION("""COMPUTED_VALUE"""),"Top Display Advertising Agencies - Jul 2026 Rankings | Clutch.co")</f>
        <v>Top Display Advertising Agencies - Jul 2026 Rankings | Clutch.co</v>
      </c>
      <c r="D89" s="185" t="str">
        <f>IFERROR(__xludf.DUMMYFUNCTION("""COMPUTED_VALUE"""),"US")</f>
        <v>US</v>
      </c>
      <c r="E89" s="185" t="str">
        <f>IFERROR(__xludf.DUMMYFUNCTION("""COMPUTED_VALUE"""),"clutch.co")</f>
        <v>clutch.co</v>
      </c>
      <c r="F89" s="185" t="str">
        <f>IFERROR(__xludf.DUMMYFUNCTION("""COMPUTED_VALUE"""),"Profile")</f>
        <v>Profile</v>
      </c>
      <c r="G89" s="185" t="str">
        <f>IFERROR(__xludf.DUMMYFUNCTION("""COMPUTED_VALUE"""),"COMPETITOR")</f>
        <v>COMPETITOR</v>
      </c>
      <c r="H89" s="185" t="str">
        <f>IFERROR(__xludf.DUMMYFUNCTION("""COMPUTED_VALUE"""),"No")</f>
        <v>No</v>
      </c>
      <c r="I89" s="185" t="str">
        <f>IFERROR(__xludf.DUMMYFUNCTION("""COMPUTED_VALUE"""),"Medium")</f>
        <v>Medium</v>
      </c>
      <c r="J89" s="185" t="str">
        <f>IFERROR(__xludf.DUMMYFUNCTION("""COMPUTED_VALUE"""),"Yes")</f>
        <v>Yes</v>
      </c>
      <c r="K89" s="185" t="str">
        <f>IFERROR(__xludf.DUMMYFUNCTION("""COMPUTED_VALUE"""),"Clutch, Elit-Web, AdVenture Media, NinjaPromo, Storm Brain, Huge, The SEO Works")</f>
        <v>Clutch, Elit-Web, AdVenture Media, NinjaPromo, Storm Brain, Huge, The SEO Works</v>
      </c>
      <c r="L89" s="187">
        <f>IFERROR(__xludf.DUMMYFUNCTION("""COMPUTED_VALUE"""),8.0)</f>
        <v>8</v>
      </c>
      <c r="M89" s="188">
        <f>IFERROR(__xludf.DUMMYFUNCTION("""COMPUTED_VALUE"""),0.01)</f>
        <v>0.01</v>
      </c>
      <c r="N89" s="188">
        <f>IFERROR(__xludf.DUMMYFUNCTION("""COMPUTED_VALUE"""),0.0)</f>
        <v>0</v>
      </c>
      <c r="O89" s="208"/>
      <c r="P89" s="208"/>
      <c r="Q89" s="208"/>
      <c r="R89" s="208"/>
    </row>
    <row r="90">
      <c r="A90" s="185" t="str">
        <f>IFERROR(__xludf.DUMMYFUNCTION("""COMPUTED_VALUE"""),"Agency directory / review marketplace")</f>
        <v>Agency directory / review marketplace</v>
      </c>
      <c r="B90" s="186" t="str">
        <f>IFERROR(__xludf.DUMMYFUNCTION("""COMPUTED_VALUE"""),"https://clutch.co/us/agencies/digital-marketing/enterprise")</f>
        <v>https://clutch.co/us/agencies/digital-marketing/enterprise</v>
      </c>
      <c r="C90" s="185" t="str">
        <f>IFERROR(__xludf.DUMMYFUNCTION("""COMPUTED_VALUE"""),"Top Digital Marketing Agencies for Enterprise in the United States - Jul 2026 Rankings | Clutch.co")</f>
        <v>Top Digital Marketing Agencies for Enterprise in the United States - Jul 2026 Rankings | Clutch.co</v>
      </c>
      <c r="D90" s="185" t="str">
        <f>IFERROR(__xludf.DUMMYFUNCTION("""COMPUTED_VALUE"""),"US")</f>
        <v>US</v>
      </c>
      <c r="E90" s="185" t="str">
        <f>IFERROR(__xludf.DUMMYFUNCTION("""COMPUTED_VALUE"""),"clutch.co")</f>
        <v>clutch.co</v>
      </c>
      <c r="F90" s="185" t="str">
        <f>IFERROR(__xludf.DUMMYFUNCTION("""COMPUTED_VALUE"""),"Category Page")</f>
        <v>Category Page</v>
      </c>
      <c r="G90" s="185" t="str">
        <f>IFERROR(__xludf.DUMMYFUNCTION("""COMPUTED_VALUE"""),"COMPETITOR")</f>
        <v>COMPETITOR</v>
      </c>
      <c r="H90" s="185" t="str">
        <f>IFERROR(__xludf.DUMMYFUNCTION("""COMPUTED_VALUE"""),"No")</f>
        <v>No</v>
      </c>
      <c r="I90" s="185" t="str">
        <f>IFERROR(__xludf.DUMMYFUNCTION("""COMPUTED_VALUE"""),"Medium")</f>
        <v>Medium</v>
      </c>
      <c r="J90" s="185" t="str">
        <f>IFERROR(__xludf.DUMMYFUNCTION("""COMPUTED_VALUE"""),"Yes")</f>
        <v>Yes</v>
      </c>
      <c r="K90" s="185" t="str">
        <f>IFERROR(__xludf.DUMMYFUNCTION("""COMPUTED_VALUE"""),"Clutch, Thrive Internet Marketing Agency, Intero Digital, Disruptive Advertising, Ignite Visibility, Elit-Web, NinjaPromo, HawkSEM, WebFX, KlientBoost, Victorious, Siege Media, Searchbloom, Marcel Digital, Brighter Click, Storm Brain, Power Digital")</f>
        <v>Clutch, Thrive Internet Marketing Agency, Intero Digital, Disruptive Advertising, Ignite Visibility, Elit-Web, NinjaPromo, HawkSEM, WebFX, KlientBoost, Victorious, Siege Media, Searchbloom, Marcel Digital, Brighter Click, Storm Brain, Power Digital</v>
      </c>
      <c r="L90" s="187">
        <f>IFERROR(__xludf.DUMMYFUNCTION("""COMPUTED_VALUE"""),8.0)</f>
        <v>8</v>
      </c>
      <c r="M90" s="188">
        <f>IFERROR(__xludf.DUMMYFUNCTION("""COMPUTED_VALUE"""),0.01)</f>
        <v>0.01</v>
      </c>
      <c r="N90" s="188">
        <f>IFERROR(__xludf.DUMMYFUNCTION("""COMPUTED_VALUE"""),0.13)</f>
        <v>0.13</v>
      </c>
      <c r="O90" s="208"/>
      <c r="P90" s="208"/>
      <c r="Q90" s="208"/>
      <c r="R90" s="208"/>
    </row>
    <row r="91">
      <c r="A91" s="185" t="str">
        <f>IFERROR(__xludf.DUMMYFUNCTION("""COMPUTED_VALUE"""),"Lower-priority competitor/vendor roundup")</f>
        <v>Lower-priority competitor/vendor roundup</v>
      </c>
      <c r="B91" s="186" t="str">
        <f>IFERROR(__xludf.DUMMYFUNCTION("""COMPUTED_VALUE"""),"https://www.cometly.com/post/incrementality-testing-software")</f>
        <v>https://www.cometly.com/post/incrementality-testing-software</v>
      </c>
      <c r="C91" s="185" t="str">
        <f>IFERROR(__xludf.DUMMYFUNCTION("""COMPUTED_VALUE"""),"Best Incrementality Testing Software Tools Guide 2026")</f>
        <v>Best Incrementality Testing Software Tools Guide 2026</v>
      </c>
      <c r="D91" s="185" t="str">
        <f>IFERROR(__xludf.DUMMYFUNCTION("""COMPUTED_VALUE"""),"US")</f>
        <v>US</v>
      </c>
      <c r="E91" s="185" t="str">
        <f>IFERROR(__xludf.DUMMYFUNCTION("""COMPUTED_VALUE"""),"cometly.com")</f>
        <v>cometly.com</v>
      </c>
      <c r="F91" s="185" t="str">
        <f>IFERROR(__xludf.DUMMYFUNCTION("""COMPUTED_VALUE"""),"Listicle")</f>
        <v>Listicle</v>
      </c>
      <c r="G91" s="185" t="str">
        <f>IFERROR(__xludf.DUMMYFUNCTION("""COMPUTED_VALUE"""),"COMPETITOR")</f>
        <v>COMPETITOR</v>
      </c>
      <c r="H91" s="185" t="str">
        <f>IFERROR(__xludf.DUMMYFUNCTION("""COMPUTED_VALUE"""),"No")</f>
        <v>No</v>
      </c>
      <c r="I91" s="185" t="str">
        <f>IFERROR(__xludf.DUMMYFUNCTION("""COMPUTED_VALUE"""),"Low")</f>
        <v>Low</v>
      </c>
      <c r="J91" s="185" t="str">
        <f>IFERROR(__xludf.DUMMYFUNCTION("""COMPUTED_VALUE"""),"Secondary")</f>
        <v>Secondary</v>
      </c>
      <c r="K91" s="185" t="str">
        <f>IFERROR(__xludf.DUMMYFUNCTION("""COMPUTED_VALUE"""),"Cometly, Measured, Rockerbox, Northbeam, Haus, Recast")</f>
        <v>Cometly, Measured, Rockerbox, Northbeam, Haus, Recast</v>
      </c>
      <c r="L91" s="187">
        <f>IFERROR(__xludf.DUMMYFUNCTION("""COMPUTED_VALUE"""),8.0)</f>
        <v>8</v>
      </c>
      <c r="M91" s="188">
        <f>IFERROR(__xludf.DUMMYFUNCTION("""COMPUTED_VALUE"""),0.01)</f>
        <v>0.01</v>
      </c>
      <c r="N91" s="188">
        <f>IFERROR(__xludf.DUMMYFUNCTION("""COMPUTED_VALUE"""),0.75)</f>
        <v>0.75</v>
      </c>
      <c r="O91" s="208"/>
      <c r="P91" s="208"/>
      <c r="Q91" s="208"/>
      <c r="R91" s="208"/>
    </row>
    <row r="92">
      <c r="A92" s="185" t="str">
        <f>IFERROR(__xludf.DUMMYFUNCTION("""COMPUTED_VALUE"""),"Agency directory / review marketplace")</f>
        <v>Agency directory / review marketplace</v>
      </c>
      <c r="B92" s="186" t="str">
        <f>IFERROR(__xludf.DUMMYFUNCTION("""COMPUTED_VALUE"""),"https://www.goodfirms.co/advertising-companies/programmatic")</f>
        <v>https://www.goodfirms.co/advertising-companies/programmatic</v>
      </c>
      <c r="C92" s="185" t="str">
        <f>IFERROR(__xludf.DUMMYFUNCTION("""COMPUTED_VALUE"""),"Top Programmatic Advertising Companies - 2026 Reviews | Goodfirms")</f>
        <v>Top Programmatic Advertising Companies - 2026 Reviews | Goodfirms</v>
      </c>
      <c r="D92" s="185" t="str">
        <f>IFERROR(__xludf.DUMMYFUNCTION("""COMPUTED_VALUE"""),"US")</f>
        <v>US</v>
      </c>
      <c r="E92" s="185" t="str">
        <f>IFERROR(__xludf.DUMMYFUNCTION("""COMPUTED_VALUE"""),"goodfirms.co")</f>
        <v>goodfirms.co</v>
      </c>
      <c r="F92" s="185" t="str">
        <f>IFERROR(__xludf.DUMMYFUNCTION("""COMPUTED_VALUE"""),"Category Page")</f>
        <v>Category Page</v>
      </c>
      <c r="G92" s="185" t="str">
        <f>IFERROR(__xludf.DUMMYFUNCTION("""COMPUTED_VALUE"""),"UGC")</f>
        <v>UGC</v>
      </c>
      <c r="H92" s="185" t="str">
        <f>IFERROR(__xludf.DUMMYFUNCTION("""COMPUTED_VALUE"""),"No")</f>
        <v>No</v>
      </c>
      <c r="I92" s="185" t="str">
        <f>IFERROR(__xludf.DUMMYFUNCTION("""COMPUTED_VALUE"""),"Medium")</f>
        <v>Medium</v>
      </c>
      <c r="J92" s="185" t="str">
        <f>IFERROR(__xludf.DUMMYFUNCTION("""COMPUTED_VALUE"""),"Yes")</f>
        <v>Yes</v>
      </c>
      <c r="K92" s="185" t="str">
        <f>IFERROR(__xludf.DUMMYFUNCTION("""COMPUTED_VALUE"""),"Funnel Boost Media, The SEO Works, Daydream")</f>
        <v>Funnel Boost Media, The SEO Works, Daydream</v>
      </c>
      <c r="L92" s="187">
        <f>IFERROR(__xludf.DUMMYFUNCTION("""COMPUTED_VALUE"""),8.0)</f>
        <v>8</v>
      </c>
      <c r="M92" s="188">
        <f>IFERROR(__xludf.DUMMYFUNCTION("""COMPUTED_VALUE"""),0.01)</f>
        <v>0.01</v>
      </c>
      <c r="N92" s="188">
        <f>IFERROR(__xludf.DUMMYFUNCTION("""COMPUTED_VALUE"""),0.0)</f>
        <v>0</v>
      </c>
      <c r="O92" s="208"/>
      <c r="P92" s="208"/>
      <c r="Q92" s="208"/>
      <c r="R92" s="208"/>
    </row>
    <row r="93">
      <c r="A93" s="185" t="str">
        <f>IFERROR(__xludf.DUMMYFUNCTION("""COMPUTED_VALUE"""),"Agency directory / review marketplace")</f>
        <v>Agency directory / review marketplace</v>
      </c>
      <c r="B93" s="186" t="str">
        <f>IFERROR(__xludf.DUMMYFUNCTION("""COMPUTED_VALUE"""),"https://www.goodfirms.co/directory/country/top-digital-marketing-companies/advertising-ppc/usa")</f>
        <v>https://www.goodfirms.co/directory/country/top-digital-marketing-companies/advertising-ppc/usa</v>
      </c>
      <c r="C93" s="185" t="str">
        <f>IFERROR(__xludf.DUMMYFUNCTION("""COMPUTED_VALUE"""),"Top PPC Agencies in the USA - 2026 Reviews | Goodfirms")</f>
        <v>Top PPC Agencies in the USA - 2026 Reviews | Goodfirms</v>
      </c>
      <c r="D93" s="185" t="str">
        <f>IFERROR(__xludf.DUMMYFUNCTION("""COMPUTED_VALUE"""),"US")</f>
        <v>US</v>
      </c>
      <c r="E93" s="185" t="str">
        <f>IFERROR(__xludf.DUMMYFUNCTION("""COMPUTED_VALUE"""),"goodfirms.co")</f>
        <v>goodfirms.co</v>
      </c>
      <c r="F93" s="185" t="str">
        <f>IFERROR(__xludf.DUMMYFUNCTION("""COMPUTED_VALUE"""),"Category Page")</f>
        <v>Category Page</v>
      </c>
      <c r="G93" s="185" t="str">
        <f>IFERROR(__xludf.DUMMYFUNCTION("""COMPUTED_VALUE"""),"UGC")</f>
        <v>UGC</v>
      </c>
      <c r="H93" s="185" t="str">
        <f>IFERROR(__xludf.DUMMYFUNCTION("""COMPUTED_VALUE"""),"No")</f>
        <v>No</v>
      </c>
      <c r="I93" s="185" t="str">
        <f>IFERROR(__xludf.DUMMYFUNCTION("""COMPUTED_VALUE"""),"Medium")</f>
        <v>Medium</v>
      </c>
      <c r="J93" s="185" t="str">
        <f>IFERROR(__xludf.DUMMYFUNCTION("""COMPUTED_VALUE"""),"Yes")</f>
        <v>Yes</v>
      </c>
      <c r="K93" s="185" t="str">
        <f>IFERROR(__xludf.DUMMYFUNCTION("""COMPUTED_VALUE"""),"WebFX, Searchbloom, SmartSites, Funnel Boost Media, Elit-Web, Storm Brain, Go Fish Digital")</f>
        <v>WebFX, Searchbloom, SmartSites, Funnel Boost Media, Elit-Web, Storm Brain, Go Fish Digital</v>
      </c>
      <c r="L93" s="187">
        <f>IFERROR(__xludf.DUMMYFUNCTION("""COMPUTED_VALUE"""),8.0)</f>
        <v>8</v>
      </c>
      <c r="M93" s="188">
        <f>IFERROR(__xludf.DUMMYFUNCTION("""COMPUTED_VALUE"""),0.01)</f>
        <v>0.01</v>
      </c>
      <c r="N93" s="188">
        <f>IFERROR(__xludf.DUMMYFUNCTION("""COMPUTED_VALUE"""),0.5)</f>
        <v>0.5</v>
      </c>
      <c r="O93" s="208"/>
      <c r="P93" s="208"/>
      <c r="Q93" s="208"/>
      <c r="R93" s="208"/>
    </row>
    <row r="94">
      <c r="A94" s="185" t="str">
        <f>IFERROR(__xludf.DUMMYFUNCTION("""COMPUTED_VALUE"""),"Agency directory / review marketplace")</f>
        <v>Agency directory / review marketplace</v>
      </c>
      <c r="B94" s="186" t="str">
        <f>IFERROR(__xludf.DUMMYFUNCTION("""COMPUTED_VALUE"""),"https://www.goodfirms.co/directory/country/top-digital-marketing-companies/media-planning-buying/usa")</f>
        <v>https://www.goodfirms.co/directory/country/top-digital-marketing-companies/media-planning-buying/usa</v>
      </c>
      <c r="C94" s="185" t="str">
        <f>IFERROR(__xludf.DUMMYFUNCTION("""COMPUTED_VALUE"""),"Top Media Buying Agencies in the United States - 2026 Reviews | Goodfirms")</f>
        <v>Top Media Buying Agencies in the United States - 2026 Reviews | Goodfirms</v>
      </c>
      <c r="D94" s="185" t="str">
        <f>IFERROR(__xludf.DUMMYFUNCTION("""COMPUTED_VALUE"""),"US")</f>
        <v>US</v>
      </c>
      <c r="E94" s="185" t="str">
        <f>IFERROR(__xludf.DUMMYFUNCTION("""COMPUTED_VALUE"""),"goodfirms.co")</f>
        <v>goodfirms.co</v>
      </c>
      <c r="F94" s="185" t="str">
        <f>IFERROR(__xludf.DUMMYFUNCTION("""COMPUTED_VALUE"""),"Category Page")</f>
        <v>Category Page</v>
      </c>
      <c r="G94" s="185" t="str">
        <f>IFERROR(__xludf.DUMMYFUNCTION("""COMPUTED_VALUE"""),"UGC")</f>
        <v>UGC</v>
      </c>
      <c r="H94" s="185" t="str">
        <f>IFERROR(__xludf.DUMMYFUNCTION("""COMPUTED_VALUE"""),"No")</f>
        <v>No</v>
      </c>
      <c r="I94" s="185" t="str">
        <f>IFERROR(__xludf.DUMMYFUNCTION("""COMPUTED_VALUE"""),"Medium")</f>
        <v>Medium</v>
      </c>
      <c r="J94" s="185" t="str">
        <f>IFERROR(__xludf.DUMMYFUNCTION("""COMPUTED_VALUE"""),"Yes")</f>
        <v>Yes</v>
      </c>
      <c r="K94" s="185" t="str">
        <f>IFERROR(__xludf.DUMMYFUNCTION("""COMPUTED_VALUE"""),"WebFX, SmartSites, Elit-Web")</f>
        <v>WebFX, SmartSites, Elit-Web</v>
      </c>
      <c r="L94" s="187">
        <f>IFERROR(__xludf.DUMMYFUNCTION("""COMPUTED_VALUE"""),8.0)</f>
        <v>8</v>
      </c>
      <c r="M94" s="188">
        <f>IFERROR(__xludf.DUMMYFUNCTION("""COMPUTED_VALUE"""),0.01)</f>
        <v>0.01</v>
      </c>
      <c r="N94" s="188">
        <f>IFERROR(__xludf.DUMMYFUNCTION("""COMPUTED_VALUE"""),0.0)</f>
        <v>0</v>
      </c>
      <c r="O94" s="208"/>
      <c r="P94" s="208"/>
      <c r="Q94" s="208"/>
      <c r="R94" s="208"/>
    </row>
    <row r="95">
      <c r="A95" s="185" t="str">
        <f>IFERROR(__xludf.DUMMYFUNCTION("""COMPUTED_VALUE"""),"Agency directory / review marketplace")</f>
        <v>Agency directory / review marketplace</v>
      </c>
      <c r="B95" s="186" t="str">
        <f>IFERROR(__xludf.DUMMYFUNCTION("""COMPUTED_VALUE"""),"https://www.sortlist.com/s/international-marketing/united-states-us")</f>
        <v>https://www.sortlist.com/s/international-marketing/united-states-us</v>
      </c>
      <c r="C95" s="185" t="str">
        <f>IFERROR(__xludf.DUMMYFUNCTION("""COMPUTED_VALUE"""),"The 10 Best International Marketing Agencies in the United States - 2026 Reviews")</f>
        <v>The 10 Best International Marketing Agencies in the United States - 2026 Reviews</v>
      </c>
      <c r="D95" s="185" t="str">
        <f>IFERROR(__xludf.DUMMYFUNCTION("""COMPUTED_VALUE"""),"US")</f>
        <v>US</v>
      </c>
      <c r="E95" s="185" t="str">
        <f>IFERROR(__xludf.DUMMYFUNCTION("""COMPUTED_VALUE"""),"sortlist.com")</f>
        <v>sortlist.com</v>
      </c>
      <c r="F95" s="185" t="str">
        <f>IFERROR(__xludf.DUMMYFUNCTION("""COMPUTED_VALUE"""),"Category Page")</f>
        <v>Category Page</v>
      </c>
      <c r="G95" s="185" t="str">
        <f>IFERROR(__xludf.DUMMYFUNCTION("""COMPUTED_VALUE"""),"CORPORATE")</f>
        <v>CORPORATE</v>
      </c>
      <c r="H95" s="185" t="str">
        <f>IFERROR(__xludf.DUMMYFUNCTION("""COMPUTED_VALUE"""),"No")</f>
        <v>No</v>
      </c>
      <c r="I95" s="185" t="str">
        <f>IFERROR(__xludf.DUMMYFUNCTION("""COMPUTED_VALUE"""),"Medium")</f>
        <v>Medium</v>
      </c>
      <c r="J95" s="185" t="str">
        <f>IFERROR(__xludf.DUMMYFUNCTION("""COMPUTED_VALUE"""),"Yes")</f>
        <v>Yes</v>
      </c>
      <c r="K95" s="185" t="str">
        <f>IFERROR(__xludf.DUMMYFUNCTION("""COMPUTED_VALUE"""),"NinjaPromo, IBM, Clutch")</f>
        <v>NinjaPromo, IBM, Clutch</v>
      </c>
      <c r="L95" s="187">
        <f>IFERROR(__xludf.DUMMYFUNCTION("""COMPUTED_VALUE"""),8.0)</f>
        <v>8</v>
      </c>
      <c r="M95" s="188">
        <f>IFERROR(__xludf.DUMMYFUNCTION("""COMPUTED_VALUE"""),0.01)</f>
        <v>0.01</v>
      </c>
      <c r="N95" s="188">
        <f>IFERROR(__xludf.DUMMYFUNCTION("""COMPUTED_VALUE"""),0.0)</f>
        <v>0</v>
      </c>
      <c r="O95" s="208"/>
      <c r="P95" s="208"/>
      <c r="Q95" s="208"/>
      <c r="R95" s="208"/>
    </row>
    <row r="96">
      <c r="A96" s="185" t="str">
        <f>IFERROR(__xludf.DUMMYFUNCTION("""COMPUTED_VALUE"""),"Agency directory / review marketplace")</f>
        <v>Agency directory / review marketplace</v>
      </c>
      <c r="B96" s="186" t="str">
        <f>IFERROR(__xludf.DUMMYFUNCTION("""COMPUTED_VALUE"""),"https://clutch.co/us/seo-firms/generative-engine-optimization%3Fpage%3D2")</f>
        <v>https://clutch.co/us/seo-firms/generative-engine-optimization%3Fpage%3D2</v>
      </c>
      <c r="C96" s="185" t="str">
        <f>IFERROR(__xludf.DUMMYFUNCTION("""COMPUTED_VALUE"""),"Top Generative Engine Optimization (GEO) Agencies in the United States - Jul 2026 Rankings | Clutch.co")</f>
        <v>Top Generative Engine Optimization (GEO) Agencies in the United States - Jul 2026 Rankings | Clutch.co</v>
      </c>
      <c r="D96" s="185" t="str">
        <f>IFERROR(__xludf.DUMMYFUNCTION("""COMPUTED_VALUE"""),"US")</f>
        <v>US</v>
      </c>
      <c r="E96" s="185" t="str">
        <f>IFERROR(__xludf.DUMMYFUNCTION("""COMPUTED_VALUE"""),"clutch.co")</f>
        <v>clutch.co</v>
      </c>
      <c r="F96" s="185" t="str">
        <f>IFERROR(__xludf.DUMMYFUNCTION("""COMPUTED_VALUE"""),"Category Page")</f>
        <v>Category Page</v>
      </c>
      <c r="G96" s="185" t="str">
        <f>IFERROR(__xludf.DUMMYFUNCTION("""COMPUTED_VALUE"""),"COMPETITOR")</f>
        <v>COMPETITOR</v>
      </c>
      <c r="H96" s="185" t="str">
        <f>IFERROR(__xludf.DUMMYFUNCTION("""COMPUTED_VALUE"""),"No")</f>
        <v>No</v>
      </c>
      <c r="I96" s="185" t="str">
        <f>IFERROR(__xludf.DUMMYFUNCTION("""COMPUTED_VALUE"""),"Medium")</f>
        <v>Medium</v>
      </c>
      <c r="J96" s="185" t="str">
        <f>IFERROR(__xludf.DUMMYFUNCTION("""COMPUTED_VALUE"""),"Yes")</f>
        <v>Yes</v>
      </c>
      <c r="K96" s="185" t="str">
        <f>IFERROR(__xludf.DUMMYFUNCTION("""COMPUTED_VALUE"""),"Clutch, Funnel Boost Media, WebFX, Intero Digital, Ignite Visibility, Elit-Web, Victorious, HawkSEM, Siege Media, Thrive Internet Marketing Agency")</f>
        <v>Clutch, Funnel Boost Media, WebFX, Intero Digital, Ignite Visibility, Elit-Web, Victorious, HawkSEM, Siege Media, Thrive Internet Marketing Agency</v>
      </c>
      <c r="L96" s="187">
        <f>IFERROR(__xludf.DUMMYFUNCTION("""COMPUTED_VALUE"""),7.0)</f>
        <v>7</v>
      </c>
      <c r="M96" s="188">
        <f>IFERROR(__xludf.DUMMYFUNCTION("""COMPUTED_VALUE"""),0.01)</f>
        <v>0.01</v>
      </c>
      <c r="N96" s="188">
        <f>IFERROR(__xludf.DUMMYFUNCTION("""COMPUTED_VALUE"""),0.0)</f>
        <v>0</v>
      </c>
      <c r="O96" s="208"/>
      <c r="P96" s="208"/>
      <c r="Q96" s="208"/>
      <c r="R96" s="208"/>
    </row>
    <row r="97">
      <c r="A97" s="185" t="str">
        <f>IFERROR(__xludf.DUMMYFUNCTION("""COMPUTED_VALUE"""),"Agency directory / review marketplace")</f>
        <v>Agency directory / review marketplace</v>
      </c>
      <c r="B97" s="186" t="str">
        <f>IFERROR(__xludf.DUMMYFUNCTION("""COMPUTED_VALUE"""),"https://clutch.co/us/seo-firms/generative-engine-optimization%3Fpage%3D4")</f>
        <v>https://clutch.co/us/seo-firms/generative-engine-optimization%3Fpage%3D4</v>
      </c>
      <c r="C97" s="185" t="str">
        <f>IFERROR(__xludf.DUMMYFUNCTION("""COMPUTED_VALUE"""),"Top Generative Engine Optimization (GEO) Agencies in the United States - Jul 2026 Rankings | Clutch.co")</f>
        <v>Top Generative Engine Optimization (GEO) Agencies in the United States - Jul 2026 Rankings | Clutch.co</v>
      </c>
      <c r="D97" s="185" t="str">
        <f>IFERROR(__xludf.DUMMYFUNCTION("""COMPUTED_VALUE"""),"US")</f>
        <v>US</v>
      </c>
      <c r="E97" s="185" t="str">
        <f>IFERROR(__xludf.DUMMYFUNCTION("""COMPUTED_VALUE"""),"clutch.co")</f>
        <v>clutch.co</v>
      </c>
      <c r="F97" s="185" t="str">
        <f>IFERROR(__xludf.DUMMYFUNCTION("""COMPUTED_VALUE"""),"Category Page")</f>
        <v>Category Page</v>
      </c>
      <c r="G97" s="185" t="str">
        <f>IFERROR(__xludf.DUMMYFUNCTION("""COMPUTED_VALUE"""),"COMPETITOR")</f>
        <v>COMPETITOR</v>
      </c>
      <c r="H97" s="185" t="str">
        <f>IFERROR(__xludf.DUMMYFUNCTION("""COMPUTED_VALUE"""),"No")</f>
        <v>No</v>
      </c>
      <c r="I97" s="185" t="str">
        <f>IFERROR(__xludf.DUMMYFUNCTION("""COMPUTED_VALUE"""),"Medium")</f>
        <v>Medium</v>
      </c>
      <c r="J97" s="185" t="str">
        <f>IFERROR(__xludf.DUMMYFUNCTION("""COMPUTED_VALUE"""),"Yes")</f>
        <v>Yes</v>
      </c>
      <c r="K97" s="185" t="str">
        <f>IFERROR(__xludf.DUMMYFUNCTION("""COMPUTED_VALUE"""),"Clutch, Funnel Boost Media, WebFX, Intero Digital, Ignite Visibility, Elit-Web, Victorious, HawkSEM, Thrive Internet Marketing Agency")</f>
        <v>Clutch, Funnel Boost Media, WebFX, Intero Digital, Ignite Visibility, Elit-Web, Victorious, HawkSEM, Thrive Internet Marketing Agency</v>
      </c>
      <c r="L97" s="187">
        <f>IFERROR(__xludf.DUMMYFUNCTION("""COMPUTED_VALUE"""),7.0)</f>
        <v>7</v>
      </c>
      <c r="M97" s="188">
        <f>IFERROR(__xludf.DUMMYFUNCTION("""COMPUTED_VALUE"""),0.01)</f>
        <v>0.01</v>
      </c>
      <c r="N97" s="188">
        <f>IFERROR(__xludf.DUMMYFUNCTION("""COMPUTED_VALUE"""),0.43)</f>
        <v>0.43</v>
      </c>
      <c r="O97" s="208"/>
      <c r="P97" s="208"/>
      <c r="Q97" s="208"/>
      <c r="R97" s="208"/>
    </row>
    <row r="98">
      <c r="A98" s="185" t="str">
        <f>IFERROR(__xludf.DUMMYFUNCTION("""COMPUTED_VALUE"""),"Agency directory / review marketplace")</f>
        <v>Agency directory / review marketplace</v>
      </c>
      <c r="B98" s="186" t="str">
        <f>IFERROR(__xludf.DUMMYFUNCTION("""COMPUTED_VALUE"""),"https://www.designrush.com/agency/digital-marketing/trends/incrementality-testing")</f>
        <v>https://www.designrush.com/agency/digital-marketing/trends/incrementality-testing</v>
      </c>
      <c r="C98" s="185" t="str">
        <f>IFERROR(__xludf.DUMMYFUNCTION("""COMPUTED_VALUE"""),"Incrementality Testing: Measure True Marketing Impact")</f>
        <v>Incrementality Testing: Measure True Marketing Impact</v>
      </c>
      <c r="D98" s="185" t="str">
        <f>IFERROR(__xludf.DUMMYFUNCTION("""COMPUTED_VALUE"""),"US")</f>
        <v>US</v>
      </c>
      <c r="E98" s="185" t="str">
        <f>IFERROR(__xludf.DUMMYFUNCTION("""COMPUTED_VALUE"""),"designrush.com")</f>
        <v>designrush.com</v>
      </c>
      <c r="F98" s="185" t="str">
        <f>IFERROR(__xludf.DUMMYFUNCTION("""COMPUTED_VALUE"""),"Article")</f>
        <v>Article</v>
      </c>
      <c r="G98" s="185" t="str">
        <f>IFERROR(__xludf.DUMMYFUNCTION("""COMPUTED_VALUE"""),"CORPORATE")</f>
        <v>CORPORATE</v>
      </c>
      <c r="H98" s="185" t="str">
        <f>IFERROR(__xludf.DUMMYFUNCTION("""COMPUTED_VALUE"""),"No")</f>
        <v>No</v>
      </c>
      <c r="I98" s="185" t="str">
        <f>IFERROR(__xludf.DUMMYFUNCTION("""COMPUTED_VALUE"""),"Medium")</f>
        <v>Medium</v>
      </c>
      <c r="J98" s="185" t="str">
        <f>IFERROR(__xludf.DUMMYFUNCTION("""COMPUTED_VALUE"""),"Yes")</f>
        <v>Yes</v>
      </c>
      <c r="K98" s="185" t="str">
        <f>IFERROR(__xludf.DUMMYFUNCTION("""COMPUTED_VALUE"""),"Measured, Silverback Strategies, Power Digital")</f>
        <v>Measured, Silverback Strategies, Power Digital</v>
      </c>
      <c r="L98" s="187">
        <f>IFERROR(__xludf.DUMMYFUNCTION("""COMPUTED_VALUE"""),7.0)</f>
        <v>7</v>
      </c>
      <c r="M98" s="188">
        <f>IFERROR(__xludf.DUMMYFUNCTION("""COMPUTED_VALUE"""),0.01)</f>
        <v>0.01</v>
      </c>
      <c r="N98" s="188">
        <f>IFERROR(__xludf.DUMMYFUNCTION("""COMPUTED_VALUE"""),1.29)</f>
        <v>1.29</v>
      </c>
      <c r="O98" s="208"/>
      <c r="P98" s="208"/>
      <c r="Q98" s="208"/>
      <c r="R98" s="208"/>
    </row>
    <row r="99">
      <c r="A99" s="185" t="str">
        <f>IFERROR(__xludf.DUMMYFUNCTION("""COMPUTED_VALUE"""),"Agency directory / review marketplace")</f>
        <v>Agency directory / review marketplace</v>
      </c>
      <c r="B99" s="186" t="str">
        <f>IFERROR(__xludf.DUMMYFUNCTION("""COMPUTED_VALUE"""),"https://www.sortlist.com/s/programmatic-advertising/united-states-us")</f>
        <v>https://www.sortlist.com/s/programmatic-advertising/united-states-us</v>
      </c>
      <c r="C99" s="185" t="str">
        <f>IFERROR(__xludf.DUMMYFUNCTION("""COMPUTED_VALUE"""),"The 10 Best Programmatic Advertising Companies in the United States - 2026 Reviews")</f>
        <v>The 10 Best Programmatic Advertising Companies in the United States - 2026 Reviews</v>
      </c>
      <c r="D99" s="185" t="str">
        <f>IFERROR(__xludf.DUMMYFUNCTION("""COMPUTED_VALUE"""),"US")</f>
        <v>US</v>
      </c>
      <c r="E99" s="185" t="str">
        <f>IFERROR(__xludf.DUMMYFUNCTION("""COMPUTED_VALUE"""),"sortlist.com")</f>
        <v>sortlist.com</v>
      </c>
      <c r="F99" s="185" t="str">
        <f>IFERROR(__xludf.DUMMYFUNCTION("""COMPUTED_VALUE"""),"Category Page")</f>
        <v>Category Page</v>
      </c>
      <c r="G99" s="185" t="str">
        <f>IFERROR(__xludf.DUMMYFUNCTION("""COMPUTED_VALUE"""),"CORPORATE")</f>
        <v>CORPORATE</v>
      </c>
      <c r="H99" s="185" t="str">
        <f>IFERROR(__xludf.DUMMYFUNCTION("""COMPUTED_VALUE"""),"No")</f>
        <v>No</v>
      </c>
      <c r="I99" s="185" t="str">
        <f>IFERROR(__xludf.DUMMYFUNCTION("""COMPUTED_VALUE"""),"Medium")</f>
        <v>Medium</v>
      </c>
      <c r="J99" s="185" t="str">
        <f>IFERROR(__xludf.DUMMYFUNCTION("""COMPUTED_VALUE"""),"Yes")</f>
        <v>Yes</v>
      </c>
      <c r="K99" s="185" t="str">
        <f>IFERROR(__xludf.DUMMYFUNCTION("""COMPUTED_VALUE"""),"Clutch, IBM")</f>
        <v>Clutch, IBM</v>
      </c>
      <c r="L99" s="187">
        <f>IFERROR(__xludf.DUMMYFUNCTION("""COMPUTED_VALUE"""),7.0)</f>
        <v>7</v>
      </c>
      <c r="M99" s="188">
        <f>IFERROR(__xludf.DUMMYFUNCTION("""COMPUTED_VALUE"""),0.01)</f>
        <v>0.01</v>
      </c>
      <c r="N99" s="188">
        <f>IFERROR(__xludf.DUMMYFUNCTION("""COMPUTED_VALUE"""),0.0)</f>
        <v>0</v>
      </c>
      <c r="O99" s="208"/>
      <c r="P99" s="208"/>
      <c r="Q99" s="208"/>
      <c r="R99" s="208"/>
    </row>
    <row r="100">
      <c r="A100" s="185" t="str">
        <f>IFERROR(__xludf.DUMMYFUNCTION("""COMPUTED_VALUE"""),"Agency directory / review marketplace")</f>
        <v>Agency directory / review marketplace</v>
      </c>
      <c r="B100" s="186" t="str">
        <f>IFERROR(__xludf.DUMMYFUNCTION("""COMPUTED_VALUE"""),"https://themanifest.com/programmatic/agencies")</f>
        <v>https://themanifest.com/programmatic/agencies</v>
      </c>
      <c r="C100" s="185" t="str">
        <f>IFERROR(__xludf.DUMMYFUNCTION("""COMPUTED_VALUE"""),"The Best Programmatic Advertising Companies - Jul 2026 | The Manifest")</f>
        <v>The Best Programmatic Advertising Companies - Jul 2026 | The Manifest</v>
      </c>
      <c r="D100" s="185" t="str">
        <f>IFERROR(__xludf.DUMMYFUNCTION("""COMPUTED_VALUE"""),"US")</f>
        <v>US</v>
      </c>
      <c r="E100" s="185" t="str">
        <f>IFERROR(__xludf.DUMMYFUNCTION("""COMPUTED_VALUE"""),"themanifest.com")</f>
        <v>themanifest.com</v>
      </c>
      <c r="F100" s="185" t="str">
        <f>IFERROR(__xludf.DUMMYFUNCTION("""COMPUTED_VALUE"""),"Listicle")</f>
        <v>Listicle</v>
      </c>
      <c r="G100" s="185" t="str">
        <f>IFERROR(__xludf.DUMMYFUNCTION("""COMPUTED_VALUE"""),"REFERENCE")</f>
        <v>REFERENCE</v>
      </c>
      <c r="H100" s="185" t="str">
        <f>IFERROR(__xludf.DUMMYFUNCTION("""COMPUTED_VALUE"""),"No")</f>
        <v>No</v>
      </c>
      <c r="I100" s="185" t="str">
        <f>IFERROR(__xludf.DUMMYFUNCTION("""COMPUTED_VALUE"""),"Medium")</f>
        <v>Medium</v>
      </c>
      <c r="J100" s="185" t="str">
        <f>IFERROR(__xludf.DUMMYFUNCTION("""COMPUTED_VALUE"""),"Yes")</f>
        <v>Yes</v>
      </c>
      <c r="K100" s="185" t="str">
        <f>IFERROR(__xludf.DUMMYFUNCTION("""COMPUTED_VALUE"""),"Clutch, SmartSites, Funnel Boost Media, LYFE Marketing, Major Tom, NinjaPromo, AdVenture Media, Power Digital, The SEO Works, Accelerated Digital Media")</f>
        <v>Clutch, SmartSites, Funnel Boost Media, LYFE Marketing, Major Tom, NinjaPromo, AdVenture Media, Power Digital, The SEO Works, Accelerated Digital Media</v>
      </c>
      <c r="L100" s="187">
        <f>IFERROR(__xludf.DUMMYFUNCTION("""COMPUTED_VALUE"""),7.0)</f>
        <v>7</v>
      </c>
      <c r="M100" s="188">
        <f>IFERROR(__xludf.DUMMYFUNCTION("""COMPUTED_VALUE"""),0.01)</f>
        <v>0.01</v>
      </c>
      <c r="N100" s="188">
        <f>IFERROR(__xludf.DUMMYFUNCTION("""COMPUTED_VALUE"""),0.57)</f>
        <v>0.57</v>
      </c>
      <c r="O100" s="208"/>
      <c r="P100" s="208"/>
      <c r="Q100" s="208"/>
      <c r="R100" s="208"/>
    </row>
    <row r="101">
      <c r="A101" s="185" t="str">
        <f>IFERROR(__xludf.DUMMYFUNCTION("""COMPUTED_VALUE"""),"Industry data / software authority")</f>
        <v>Industry data / software authority</v>
      </c>
      <c r="B101" s="186" t="str">
        <f>IFERROR(__xludf.DUMMYFUNCTION("""COMPUTED_VALUE"""),"https://agencies.semrush.com/list/analytics-data-science/united-states/")</f>
        <v>https://agencies.semrush.com/list/analytics-data-science/united-states/</v>
      </c>
      <c r="C101" s="185" t="str">
        <f>IFERROR(__xludf.DUMMYFUNCTION("""COMPUTED_VALUE"""),"Best Data Analytics Services in United States 2026 | Semrush")</f>
        <v>Best Data Analytics Services in United States 2026 | Semrush</v>
      </c>
      <c r="D101" s="185" t="str">
        <f>IFERROR(__xludf.DUMMYFUNCTION("""COMPUTED_VALUE"""),"US")</f>
        <v>US</v>
      </c>
      <c r="E101" s="185" t="str">
        <f>IFERROR(__xludf.DUMMYFUNCTION("""COMPUTED_VALUE"""),"semrush.com")</f>
        <v>semrush.com</v>
      </c>
      <c r="F101" s="185" t="str">
        <f>IFERROR(__xludf.DUMMYFUNCTION("""COMPUTED_VALUE"""),"Category Page")</f>
        <v>Category Page</v>
      </c>
      <c r="G101" s="185" t="str">
        <f>IFERROR(__xludf.DUMMYFUNCTION("""COMPUTED_VALUE"""),"CORPORATE")</f>
        <v>CORPORATE</v>
      </c>
      <c r="H101" s="185" t="str">
        <f>IFERROR(__xludf.DUMMYFUNCTION("""COMPUTED_VALUE"""),"No")</f>
        <v>No</v>
      </c>
      <c r="I101" s="185" t="str">
        <f>IFERROR(__xludf.DUMMYFUNCTION("""COMPUTED_VALUE"""),"Medium")</f>
        <v>Medium</v>
      </c>
      <c r="J101" s="185" t="str">
        <f>IFERROR(__xludf.DUMMYFUNCTION("""COMPUTED_VALUE"""),"Yes")</f>
        <v>Yes</v>
      </c>
      <c r="K101" s="185" t="str">
        <f>IFERROR(__xludf.DUMMYFUNCTION("""COMPUTED_VALUE"""),"Elit-Web, Silverback Strategies, WebFX")</f>
        <v>Elit-Web, Silverback Strategies, WebFX</v>
      </c>
      <c r="L101" s="187">
        <f>IFERROR(__xludf.DUMMYFUNCTION("""COMPUTED_VALUE"""),6.0)</f>
        <v>6</v>
      </c>
      <c r="M101" s="188">
        <f>IFERROR(__xludf.DUMMYFUNCTION("""COMPUTED_VALUE"""),0.01)</f>
        <v>0.01</v>
      </c>
      <c r="N101" s="188">
        <f>IFERROR(__xludf.DUMMYFUNCTION("""COMPUTED_VALUE"""),0.0)</f>
        <v>0</v>
      </c>
      <c r="O101" s="208"/>
      <c r="P101" s="208"/>
      <c r="Q101" s="208"/>
      <c r="R101" s="208"/>
    </row>
    <row r="102">
      <c r="A102" s="185" t="str">
        <f>IFERROR(__xludf.DUMMYFUNCTION("""COMPUTED_VALUE"""),"Industry data / software authority")</f>
        <v>Industry data / software authority</v>
      </c>
      <c r="B102" s="186" t="str">
        <f>IFERROR(__xludf.DUMMYFUNCTION("""COMPUTED_VALUE"""),"https://agencies.semrush.com/list/ppc/united-states/")</f>
        <v>https://agencies.semrush.com/list/ppc/united-states/</v>
      </c>
      <c r="C102" s="185" t="str">
        <f>IFERROR(__xludf.DUMMYFUNCTION("""COMPUTED_VALUE"""),"Best PPC Agencies in United States 2026 | Semrush")</f>
        <v>Best PPC Agencies in United States 2026 | Semrush</v>
      </c>
      <c r="D102" s="185" t="str">
        <f>IFERROR(__xludf.DUMMYFUNCTION("""COMPUTED_VALUE"""),"US")</f>
        <v>US</v>
      </c>
      <c r="E102" s="185" t="str">
        <f>IFERROR(__xludf.DUMMYFUNCTION("""COMPUTED_VALUE"""),"semrush.com")</f>
        <v>semrush.com</v>
      </c>
      <c r="F102" s="185" t="str">
        <f>IFERROR(__xludf.DUMMYFUNCTION("""COMPUTED_VALUE"""),"Category Page")</f>
        <v>Category Page</v>
      </c>
      <c r="G102" s="185" t="str">
        <f>IFERROR(__xludf.DUMMYFUNCTION("""COMPUTED_VALUE"""),"CORPORATE")</f>
        <v>CORPORATE</v>
      </c>
      <c r="H102" s="185" t="str">
        <f>IFERROR(__xludf.DUMMYFUNCTION("""COMPUTED_VALUE"""),"No")</f>
        <v>No</v>
      </c>
      <c r="I102" s="185" t="str">
        <f>IFERROR(__xludf.DUMMYFUNCTION("""COMPUTED_VALUE"""),"Medium")</f>
        <v>Medium</v>
      </c>
      <c r="J102" s="185" t="str">
        <f>IFERROR(__xludf.DUMMYFUNCTION("""COMPUTED_VALUE"""),"Yes")</f>
        <v>Yes</v>
      </c>
      <c r="K102" s="185" t="str">
        <f>IFERROR(__xludf.DUMMYFUNCTION("""COMPUTED_VALUE"""),"SmartSites, Elit-Web, Clutch")</f>
        <v>SmartSites, Elit-Web, Clutch</v>
      </c>
      <c r="L102" s="187">
        <f>IFERROR(__xludf.DUMMYFUNCTION("""COMPUTED_VALUE"""),6.0)</f>
        <v>6</v>
      </c>
      <c r="M102" s="188">
        <f>IFERROR(__xludf.DUMMYFUNCTION("""COMPUTED_VALUE"""),0.01)</f>
        <v>0.01</v>
      </c>
      <c r="N102" s="188">
        <f>IFERROR(__xludf.DUMMYFUNCTION("""COMPUTED_VALUE"""),0.0)</f>
        <v>0</v>
      </c>
      <c r="O102" s="208"/>
      <c r="P102" s="208"/>
      <c r="Q102" s="208"/>
      <c r="R102" s="208"/>
    </row>
    <row r="103">
      <c r="A103" s="185" t="str">
        <f>IFERROR(__xludf.DUMMYFUNCTION("""COMPUTED_VALUE"""),"Trade media / editorial publication")</f>
        <v>Trade media / editorial publication</v>
      </c>
      <c r="B103" s="186" t="str">
        <f>IFERROR(__xludf.DUMMYFUNCTION("""COMPUTED_VALUE"""),"https://www.businessofapps.com/marketplace/performance-marketing/")</f>
        <v>https://www.businessofapps.com/marketplace/performance-marketing/</v>
      </c>
      <c r="C103" s="185" t="str">
        <f>IFERROR(__xludf.DUMMYFUNCTION("""COMPUTED_VALUE"""),"Top Performance Marketing Agencies (2026) - Business of Apps")</f>
        <v>Top Performance Marketing Agencies (2026) - Business of Apps</v>
      </c>
      <c r="D103" s="185" t="str">
        <f>IFERROR(__xludf.DUMMYFUNCTION("""COMPUTED_VALUE"""),"US")</f>
        <v>US</v>
      </c>
      <c r="E103" s="185" t="str">
        <f>IFERROR(__xludf.DUMMYFUNCTION("""COMPUTED_VALUE"""),"businessofapps.com")</f>
        <v>businessofapps.com</v>
      </c>
      <c r="F103" s="185" t="str">
        <f>IFERROR(__xludf.DUMMYFUNCTION("""COMPUTED_VALUE"""),"Category Page")</f>
        <v>Category Page</v>
      </c>
      <c r="G103" s="185" t="str">
        <f>IFERROR(__xludf.DUMMYFUNCTION("""COMPUTED_VALUE"""),"EDITORIAL")</f>
        <v>EDITORIAL</v>
      </c>
      <c r="H103" s="185" t="str">
        <f>IFERROR(__xludf.DUMMYFUNCTION("""COMPUTED_VALUE"""),"Yes")</f>
        <v>Yes</v>
      </c>
      <c r="I103" s="185" t="str">
        <f>IFERROR(__xludf.DUMMYFUNCTION("""COMPUTED_VALUE"""),"Medium")</f>
        <v>Medium</v>
      </c>
      <c r="J103" s="185" t="str">
        <f>IFERROR(__xludf.DUMMYFUNCTION("""COMPUTED_VALUE"""),"Yes")</f>
        <v>Yes</v>
      </c>
      <c r="K103" s="185" t="str">
        <f>IFERROR(__xludf.DUMMYFUNCTION("""COMPUTED_VALUE"""),"The Social Shepherd, Measured, Incubeta, Directive")</f>
        <v>The Social Shepherd, Measured, Incubeta, Directive</v>
      </c>
      <c r="L103" s="187">
        <f>IFERROR(__xludf.DUMMYFUNCTION("""COMPUTED_VALUE"""),6.0)</f>
        <v>6</v>
      </c>
      <c r="M103" s="188">
        <f>IFERROR(__xludf.DUMMYFUNCTION("""COMPUTED_VALUE"""),0.01)</f>
        <v>0.01</v>
      </c>
      <c r="N103" s="188">
        <f>IFERROR(__xludf.DUMMYFUNCTION("""COMPUTED_VALUE"""),0.0)</f>
        <v>0</v>
      </c>
      <c r="O103" s="208"/>
      <c r="P103" s="208"/>
      <c r="Q103" s="208"/>
      <c r="R103" s="208"/>
    </row>
    <row r="104">
      <c r="A104" s="185" t="str">
        <f>IFERROR(__xludf.DUMMYFUNCTION("""COMPUTED_VALUE"""),"Agency directory / review marketplace")</f>
        <v>Agency directory / review marketplace</v>
      </c>
      <c r="B104" s="186" t="str">
        <f>IFERROR(__xludf.DUMMYFUNCTION("""COMPUTED_VALUE"""),"https://clutch.co/us/agencies/ppc/display%3Fpage%3D2")</f>
        <v>https://clutch.co/us/agencies/ppc/display%3Fpage%3D2</v>
      </c>
      <c r="C104" s="185" t="str">
        <f>IFERROR(__xludf.DUMMYFUNCTION("""COMPUTED_VALUE"""),"Top Display Advertising Agencies in the United States - Jul 2026 Rankings \| Clutch.co")</f>
        <v>Top Display Advertising Agencies in the United States - Jul 2026 Rankings \| Clutch.co</v>
      </c>
      <c r="D104" s="185" t="str">
        <f>IFERROR(__xludf.DUMMYFUNCTION("""COMPUTED_VALUE"""),"US")</f>
        <v>US</v>
      </c>
      <c r="E104" s="185" t="str">
        <f>IFERROR(__xludf.DUMMYFUNCTION("""COMPUTED_VALUE"""),"clutch.co")</f>
        <v>clutch.co</v>
      </c>
      <c r="F104" s="185" t="str">
        <f>IFERROR(__xludf.DUMMYFUNCTION("""COMPUTED_VALUE"""),"Category Page")</f>
        <v>Category Page</v>
      </c>
      <c r="G104" s="185" t="str">
        <f>IFERROR(__xludf.DUMMYFUNCTION("""COMPUTED_VALUE"""),"COMPETITOR")</f>
        <v>COMPETITOR</v>
      </c>
      <c r="H104" s="185" t="str">
        <f>IFERROR(__xludf.DUMMYFUNCTION("""COMPUTED_VALUE"""),"No")</f>
        <v>No</v>
      </c>
      <c r="I104" s="185" t="str">
        <f>IFERROR(__xludf.DUMMYFUNCTION("""COMPUTED_VALUE"""),"Medium")</f>
        <v>Medium</v>
      </c>
      <c r="J104" s="185" t="str">
        <f>IFERROR(__xludf.DUMMYFUNCTION("""COMPUTED_VALUE"""),"Yes")</f>
        <v>Yes</v>
      </c>
      <c r="K104" s="185" t="str">
        <f>IFERROR(__xludf.DUMMYFUNCTION("""COMPUTED_VALUE"""),"Clutch, Elit-Web, AdVenture Media, Storm Brain, Huge")</f>
        <v>Clutch, Elit-Web, AdVenture Media, Storm Brain, Huge</v>
      </c>
      <c r="L104" s="187">
        <f>IFERROR(__xludf.DUMMYFUNCTION("""COMPUTED_VALUE"""),6.0)</f>
        <v>6</v>
      </c>
      <c r="M104" s="188">
        <f>IFERROR(__xludf.DUMMYFUNCTION("""COMPUTED_VALUE"""),0.01)</f>
        <v>0.01</v>
      </c>
      <c r="N104" s="188">
        <f>IFERROR(__xludf.DUMMYFUNCTION("""COMPUTED_VALUE"""),0.0)</f>
        <v>0</v>
      </c>
      <c r="O104" s="208"/>
      <c r="P104" s="208"/>
      <c r="Q104" s="208"/>
      <c r="R104" s="208"/>
    </row>
    <row r="105">
      <c r="A105" s="185" t="str">
        <f>IFERROR(__xludf.DUMMYFUNCTION("""COMPUTED_VALUE"""),"Agency directory / review marketplace")</f>
        <v>Agency directory / review marketplace</v>
      </c>
      <c r="B105" s="186" t="str">
        <f>IFERROR(__xludf.DUMMYFUNCTION("""COMPUTED_VALUE"""),"https://www.designrush.com/agency/digital-marketing")</f>
        <v>https://www.designrush.com/agency/digital-marketing</v>
      </c>
      <c r="C105" s="185" t="str">
        <f>IFERROR(__xludf.DUMMYFUNCTION("""COMPUTED_VALUE"""),"Top Digital Marketing Agencies in 2026")</f>
        <v>Top Digital Marketing Agencies in 2026</v>
      </c>
      <c r="D105" s="185" t="str">
        <f>IFERROR(__xludf.DUMMYFUNCTION("""COMPUTED_VALUE"""),"US")</f>
        <v>US</v>
      </c>
      <c r="E105" s="185" t="str">
        <f>IFERROR(__xludf.DUMMYFUNCTION("""COMPUTED_VALUE"""),"designrush.com")</f>
        <v>designrush.com</v>
      </c>
      <c r="F105" s="185" t="str">
        <f>IFERROR(__xludf.DUMMYFUNCTION("""COMPUTED_VALUE"""),"Profile")</f>
        <v>Profile</v>
      </c>
      <c r="G105" s="185" t="str">
        <f>IFERROR(__xludf.DUMMYFUNCTION("""COMPUTED_VALUE"""),"CORPORATE")</f>
        <v>CORPORATE</v>
      </c>
      <c r="H105" s="185" t="str">
        <f>IFERROR(__xludf.DUMMYFUNCTION("""COMPUTED_VALUE"""),"No")</f>
        <v>No</v>
      </c>
      <c r="I105" s="185" t="str">
        <f>IFERROR(__xludf.DUMMYFUNCTION("""COMPUTED_VALUE"""),"Medium")</f>
        <v>Medium</v>
      </c>
      <c r="J105" s="185" t="str">
        <f>IFERROR(__xludf.DUMMYFUNCTION("""COMPUTED_VALUE"""),"Yes")</f>
        <v>Yes</v>
      </c>
      <c r="K105" s="185" t="str">
        <f>IFERROR(__xludf.DUMMYFUNCTION("""COMPUTED_VALUE"""),"SmartSites, Searchbloom, Silverback Strategies, Intero Digital, Funnel Boost Media, Huge, Disruptive Advertising, IBM, PwC, NinjaPromo, KlientBoost, Elit-Web, Momentum")</f>
        <v>SmartSites, Searchbloom, Silverback Strategies, Intero Digital, Funnel Boost Media, Huge, Disruptive Advertising, IBM, PwC, NinjaPromo, KlientBoost, Elit-Web, Momentum</v>
      </c>
      <c r="L105" s="187">
        <f>IFERROR(__xludf.DUMMYFUNCTION("""COMPUTED_VALUE"""),6.0)</f>
        <v>6</v>
      </c>
      <c r="M105" s="188">
        <f>IFERROR(__xludf.DUMMYFUNCTION("""COMPUTED_VALUE"""),0.01)</f>
        <v>0.01</v>
      </c>
      <c r="N105" s="188">
        <f>IFERROR(__xludf.DUMMYFUNCTION("""COMPUTED_VALUE"""),0.0)</f>
        <v>0</v>
      </c>
      <c r="O105" s="208"/>
      <c r="P105" s="208"/>
      <c r="Q105" s="208"/>
      <c r="R105" s="208"/>
    </row>
    <row r="106">
      <c r="A106" s="185" t="str">
        <f>IFERROR(__xludf.DUMMYFUNCTION("""COMPUTED_VALUE"""),"Lower-priority competitor/vendor roundup")</f>
        <v>Lower-priority competitor/vendor roundup</v>
      </c>
      <c r="B106" s="186" t="str">
        <f>IFERROR(__xludf.DUMMYFUNCTION("""COMPUTED_VALUE"""),"https://www.webtonic.io/blog/best-digital-marketing-agencies-usa")</f>
        <v>https://www.webtonic.io/blog/best-digital-marketing-agencies-usa</v>
      </c>
      <c r="C106" s="185" t="str">
        <f>IFERROR(__xludf.DUMMYFUNCTION("""COMPUTED_VALUE"""),"41 Top Digital Marketing Agencies in the US for 2026")</f>
        <v>41 Top Digital Marketing Agencies in the US for 2026</v>
      </c>
      <c r="D106" s="185" t="str">
        <f>IFERROR(__xludf.DUMMYFUNCTION("""COMPUTED_VALUE"""),"US")</f>
        <v>US</v>
      </c>
      <c r="E106" s="185" t="str">
        <f>IFERROR(__xludf.DUMMYFUNCTION("""COMPUTED_VALUE"""),"webtonic.io")</f>
        <v>webtonic.io</v>
      </c>
      <c r="F106" s="185" t="str">
        <f>IFERROR(__xludf.DUMMYFUNCTION("""COMPUTED_VALUE"""),"Listicle")</f>
        <v>Listicle</v>
      </c>
      <c r="G106" s="185" t="str">
        <f>IFERROR(__xludf.DUMMYFUNCTION("""COMPUTED_VALUE"""),"COMPETITOR")</f>
        <v>COMPETITOR</v>
      </c>
      <c r="H106" s="185" t="str">
        <f>IFERROR(__xludf.DUMMYFUNCTION("""COMPUTED_VALUE"""),"No")</f>
        <v>No</v>
      </c>
      <c r="I106" s="185" t="str">
        <f>IFERROR(__xludf.DUMMYFUNCTION("""COMPUTED_VALUE"""),"Low")</f>
        <v>Low</v>
      </c>
      <c r="J106" s="185" t="str">
        <f>IFERROR(__xludf.DUMMYFUNCTION("""COMPUTED_VALUE"""),"Secondary")</f>
        <v>Secondary</v>
      </c>
      <c r="K106" s="185" t="str">
        <f>IFERROR(__xludf.DUMMYFUNCTION("""COMPUTED_VALUE"""),"Web Tonic, WebFX, Disruptive Advertising, Ignite Visibility, SmartSites, Thrive Internet Marketing Agency, Power Digital, NP Digital, Tinuiti, KlientBoost, Victorious, Single Grain, VaynerMedia, LYFE Marketing, Directive, Ogilvy, IBM, Intero Digital, Funn"&amp;"el Boost Media, Major Tom, R/GA, NoGood, BBDO, Sociallyin, Refine Labs")</f>
        <v>Web Tonic, WebFX, Disruptive Advertising, Ignite Visibility, SmartSites, Thrive Internet Marketing Agency, Power Digital, NP Digital, Tinuiti, KlientBoost, Victorious, Single Grain, VaynerMedia, LYFE Marketing, Directive, Ogilvy, IBM, Intero Digital, Funnel Boost Media, Major Tom, R/GA, NoGood, BBDO, Sociallyin, Refine Labs</v>
      </c>
      <c r="L106" s="187">
        <f>IFERROR(__xludf.DUMMYFUNCTION("""COMPUTED_VALUE"""),6.0)</f>
        <v>6</v>
      </c>
      <c r="M106" s="188">
        <f>IFERROR(__xludf.DUMMYFUNCTION("""COMPUTED_VALUE"""),0.01)</f>
        <v>0.01</v>
      </c>
      <c r="N106" s="188">
        <f>IFERROR(__xludf.DUMMYFUNCTION("""COMPUTED_VALUE"""),0.67)</f>
        <v>0.67</v>
      </c>
      <c r="O106" s="208"/>
      <c r="P106" s="208"/>
      <c r="Q106" s="208"/>
      <c r="R106" s="208"/>
    </row>
    <row r="107">
      <c r="A107" s="185" t="str">
        <f>IFERROR(__xludf.DUMMYFUNCTION("""COMPUTED_VALUE"""),"Lower-priority competitor/vendor roundup")</f>
        <v>Lower-priority competitor/vendor roundup</v>
      </c>
      <c r="B107" s="186" t="str">
        <f>IFERROR(__xludf.DUMMYFUNCTION("""COMPUTED_VALUE"""),"https://www.webtonic.io/blog/top-creative-agencies")</f>
        <v>https://www.webtonic.io/blog/top-creative-agencies</v>
      </c>
      <c r="C107" s="185" t="str">
        <f>IFERROR(__xludf.DUMMYFUNCTION("""COMPUTED_VALUE"""),"The 52 Top Creative Agencies as of 2026")</f>
        <v>The 52 Top Creative Agencies as of 2026</v>
      </c>
      <c r="D107" s="185" t="str">
        <f>IFERROR(__xludf.DUMMYFUNCTION("""COMPUTED_VALUE"""),"US")</f>
        <v>US</v>
      </c>
      <c r="E107" s="185" t="str">
        <f>IFERROR(__xludf.DUMMYFUNCTION("""COMPUTED_VALUE"""),"webtonic.io")</f>
        <v>webtonic.io</v>
      </c>
      <c r="F107" s="185" t="str">
        <f>IFERROR(__xludf.DUMMYFUNCTION("""COMPUTED_VALUE"""),"Listicle")</f>
        <v>Listicle</v>
      </c>
      <c r="G107" s="185" t="str">
        <f>IFERROR(__xludf.DUMMYFUNCTION("""COMPUTED_VALUE"""),"COMPETITOR")</f>
        <v>COMPETITOR</v>
      </c>
      <c r="H107" s="185" t="str">
        <f>IFERROR(__xludf.DUMMYFUNCTION("""COMPUTED_VALUE"""),"No")</f>
        <v>No</v>
      </c>
      <c r="I107" s="185" t="str">
        <f>IFERROR(__xludf.DUMMYFUNCTION("""COMPUTED_VALUE"""),"Low")</f>
        <v>Low</v>
      </c>
      <c r="J107" s="185" t="str">
        <f>IFERROR(__xludf.DUMMYFUNCTION("""COMPUTED_VALUE"""),"Secondary")</f>
        <v>Secondary</v>
      </c>
      <c r="K107" s="185" t="str">
        <f>IFERROR(__xludf.DUMMYFUNCTION("""COMPUTED_VALUE"""),"Web Tonic, Wieden+Kennedy, Droga5, Accenture Song, BBDO, Ogilvy, WPP, IBM, 72andSunny, R/GA, TBWA\Chiat\Day, Anomaly, Huge")</f>
        <v>Web Tonic, Wieden+Kennedy, Droga5, Accenture Song, BBDO, Ogilvy, WPP, IBM, 72andSunny, R/GA, TBWA\Chiat\Day, Anomaly, Huge</v>
      </c>
      <c r="L107" s="187">
        <f>IFERROR(__xludf.DUMMYFUNCTION("""COMPUTED_VALUE"""),6.0)</f>
        <v>6</v>
      </c>
      <c r="M107" s="188">
        <f>IFERROR(__xludf.DUMMYFUNCTION("""COMPUTED_VALUE"""),0.01)</f>
        <v>0.01</v>
      </c>
      <c r="N107" s="188">
        <f>IFERROR(__xludf.DUMMYFUNCTION("""COMPUTED_VALUE"""),0.0)</f>
        <v>0</v>
      </c>
      <c r="O107" s="208"/>
      <c r="P107" s="208"/>
      <c r="Q107" s="208"/>
      <c r="R107" s="208"/>
    </row>
    <row r="108">
      <c r="A108" s="185" t="str">
        <f>IFERROR(__xludf.DUMMYFUNCTION("""COMPUTED_VALUE"""),"Agency directory / review marketplace")</f>
        <v>Agency directory / review marketplace</v>
      </c>
      <c r="B108" s="186" t="str">
        <f>IFERROR(__xludf.DUMMYFUNCTION("""COMPUTED_VALUE"""),"https://clutch.co/it-services/analytics/marketing")</f>
        <v>https://clutch.co/it-services/analytics/marketing</v>
      </c>
      <c r="C108" s="185" t="str">
        <f>IFERROR(__xludf.DUMMYFUNCTION("""COMPUTED_VALUE"""),"Top Big Data Marketing Companies - Jul 2026 Rankings \| Clutch.co")</f>
        <v>Top Big Data Marketing Companies - Jul 2026 Rankings \| Clutch.co</v>
      </c>
      <c r="D108" s="185" t="str">
        <f>IFERROR(__xludf.DUMMYFUNCTION("""COMPUTED_VALUE"""),"US")</f>
        <v>US</v>
      </c>
      <c r="E108" s="185" t="str">
        <f>IFERROR(__xludf.DUMMYFUNCTION("""COMPUTED_VALUE"""),"clutch.co")</f>
        <v>clutch.co</v>
      </c>
      <c r="F108" s="185" t="str">
        <f>IFERROR(__xludf.DUMMYFUNCTION("""COMPUTED_VALUE"""),"Category Page")</f>
        <v>Category Page</v>
      </c>
      <c r="G108" s="185" t="str">
        <f>IFERROR(__xludf.DUMMYFUNCTION("""COMPUTED_VALUE"""),"COMPETITOR")</f>
        <v>COMPETITOR</v>
      </c>
      <c r="H108" s="185" t="str">
        <f>IFERROR(__xludf.DUMMYFUNCTION("""COMPUTED_VALUE"""),"No")</f>
        <v>No</v>
      </c>
      <c r="I108" s="185" t="str">
        <f>IFERROR(__xludf.DUMMYFUNCTION("""COMPUTED_VALUE"""),"Medium")</f>
        <v>Medium</v>
      </c>
      <c r="J108" s="185" t="str">
        <f>IFERROR(__xludf.DUMMYFUNCTION("""COMPUTED_VALUE"""),"Yes")</f>
        <v>Yes</v>
      </c>
      <c r="K108" s="185" t="str">
        <f>IFERROR(__xludf.DUMMYFUNCTION("""COMPUTED_VALUE"""),"Clutch, Huge")</f>
        <v>Clutch, Huge</v>
      </c>
      <c r="L108" s="187">
        <f>IFERROR(__xludf.DUMMYFUNCTION("""COMPUTED_VALUE"""),5.0)</f>
        <v>5</v>
      </c>
      <c r="M108" s="188">
        <f>IFERROR(__xludf.DUMMYFUNCTION("""COMPUTED_VALUE"""),0.0)</f>
        <v>0</v>
      </c>
      <c r="N108" s="188">
        <f>IFERROR(__xludf.DUMMYFUNCTION("""COMPUTED_VALUE"""),0.2)</f>
        <v>0.2</v>
      </c>
      <c r="O108" s="208"/>
      <c r="P108" s="208"/>
      <c r="Q108" s="208"/>
      <c r="R108" s="208"/>
    </row>
    <row r="109">
      <c r="A109" s="185" t="str">
        <f>IFERROR(__xludf.DUMMYFUNCTION("""COMPUTED_VALUE"""),"Agency directory / review marketplace")</f>
        <v>Agency directory / review marketplace</v>
      </c>
      <c r="B109" s="186" t="str">
        <f>IFERROR(__xludf.DUMMYFUNCTION("""COMPUTED_VALUE"""),"https://clutch.co/us/agencies/market-research")</f>
        <v>https://clutch.co/us/agencies/market-research</v>
      </c>
      <c r="C109" s="185" t="str">
        <f>IFERROR(__xludf.DUMMYFUNCTION("""COMPUTED_VALUE"""),"Top Market Research Agencies in the United States - Jul 2026 Rankings \| Clutch.co")</f>
        <v>Top Market Research Agencies in the United States - Jul 2026 Rankings \| Clutch.co</v>
      </c>
      <c r="D109" s="185" t="str">
        <f>IFERROR(__xludf.DUMMYFUNCTION("""COMPUTED_VALUE"""),"US")</f>
        <v>US</v>
      </c>
      <c r="E109" s="185" t="str">
        <f>IFERROR(__xludf.DUMMYFUNCTION("""COMPUTED_VALUE"""),"clutch.co")</f>
        <v>clutch.co</v>
      </c>
      <c r="F109" s="185" t="str">
        <f>IFERROR(__xludf.DUMMYFUNCTION("""COMPUTED_VALUE"""),"Category Page")</f>
        <v>Category Page</v>
      </c>
      <c r="G109" s="185" t="str">
        <f>IFERROR(__xludf.DUMMYFUNCTION("""COMPUTED_VALUE"""),"COMPETITOR")</f>
        <v>COMPETITOR</v>
      </c>
      <c r="H109" s="185" t="str">
        <f>IFERROR(__xludf.DUMMYFUNCTION("""COMPUTED_VALUE"""),"No")</f>
        <v>No</v>
      </c>
      <c r="I109" s="185" t="str">
        <f>IFERROR(__xludf.DUMMYFUNCTION("""COMPUTED_VALUE"""),"Medium")</f>
        <v>Medium</v>
      </c>
      <c r="J109" s="185" t="str">
        <f>IFERROR(__xludf.DUMMYFUNCTION("""COMPUTED_VALUE"""),"Yes")</f>
        <v>Yes</v>
      </c>
      <c r="K109" s="185" t="str">
        <f>IFERROR(__xludf.DUMMYFUNCTION("""COMPUTED_VALUE"""),"Clutch, Acadia, Brighter Click, Momentum, Haus")</f>
        <v>Clutch, Acadia, Brighter Click, Momentum, Haus</v>
      </c>
      <c r="L109" s="187">
        <f>IFERROR(__xludf.DUMMYFUNCTION("""COMPUTED_VALUE"""),5.0)</f>
        <v>5</v>
      </c>
      <c r="M109" s="188">
        <f>IFERROR(__xludf.DUMMYFUNCTION("""COMPUTED_VALUE"""),0.0)</f>
        <v>0</v>
      </c>
      <c r="N109" s="188">
        <f>IFERROR(__xludf.DUMMYFUNCTION("""COMPUTED_VALUE"""),0.0)</f>
        <v>0</v>
      </c>
      <c r="O109" s="208"/>
      <c r="P109" s="208"/>
      <c r="Q109" s="208"/>
      <c r="R109" s="208"/>
    </row>
    <row r="110">
      <c r="A110" s="185" t="str">
        <f>IFERROR(__xludf.DUMMYFUNCTION("""COMPUTED_VALUE"""),"Agency directory / review marketplace")</f>
        <v>Agency directory / review marketplace</v>
      </c>
      <c r="B110" s="186" t="str">
        <f>IFERROR(__xludf.DUMMYFUNCTION("""COMPUTED_VALUE"""),"https://clutch.co/us/agencies/ppc/display?page=5")</f>
        <v>https://clutch.co/us/agencies/ppc/display?page=5</v>
      </c>
      <c r="C110" s="185" t="str">
        <f>IFERROR(__xludf.DUMMYFUNCTION("""COMPUTED_VALUE"""),"Page 5 - Top Display Advertising Agencies in the United States - Jul 2026 Rankings | Clutch.co")</f>
        <v>Page 5 - Top Display Advertising Agencies in the United States - Jul 2026 Rankings | Clutch.co</v>
      </c>
      <c r="D110" s="185" t="str">
        <f>IFERROR(__xludf.DUMMYFUNCTION("""COMPUTED_VALUE"""),"US")</f>
        <v>US</v>
      </c>
      <c r="E110" s="185" t="str">
        <f>IFERROR(__xludf.DUMMYFUNCTION("""COMPUTED_VALUE"""),"clutch.co")</f>
        <v>clutch.co</v>
      </c>
      <c r="F110" s="185" t="str">
        <f>IFERROR(__xludf.DUMMYFUNCTION("""COMPUTED_VALUE"""),"Category Page")</f>
        <v>Category Page</v>
      </c>
      <c r="G110" s="185" t="str">
        <f>IFERROR(__xludf.DUMMYFUNCTION("""COMPUTED_VALUE"""),"COMPETITOR")</f>
        <v>COMPETITOR</v>
      </c>
      <c r="H110" s="185" t="str">
        <f>IFERROR(__xludf.DUMMYFUNCTION("""COMPUTED_VALUE"""),"No")</f>
        <v>No</v>
      </c>
      <c r="I110" s="185" t="str">
        <f>IFERROR(__xludf.DUMMYFUNCTION("""COMPUTED_VALUE"""),"Medium")</f>
        <v>Medium</v>
      </c>
      <c r="J110" s="185" t="str">
        <f>IFERROR(__xludf.DUMMYFUNCTION("""COMPUTED_VALUE"""),"Yes")</f>
        <v>Yes</v>
      </c>
      <c r="K110" s="185" t="str">
        <f>IFERROR(__xludf.DUMMYFUNCTION("""COMPUTED_VALUE"""),"Clutch, Elit-Web, AdVenture Media, Go Fish Digital, Storm Brain, NoGood, Tinuiti")</f>
        <v>Clutch, Elit-Web, AdVenture Media, Go Fish Digital, Storm Brain, NoGood, Tinuiti</v>
      </c>
      <c r="L110" s="187">
        <f>IFERROR(__xludf.DUMMYFUNCTION("""COMPUTED_VALUE"""),5.0)</f>
        <v>5</v>
      </c>
      <c r="M110" s="188">
        <f>IFERROR(__xludf.DUMMYFUNCTION("""COMPUTED_VALUE"""),0.0)</f>
        <v>0</v>
      </c>
      <c r="N110" s="188">
        <f>IFERROR(__xludf.DUMMYFUNCTION("""COMPUTED_VALUE"""),0.4)</f>
        <v>0.4</v>
      </c>
      <c r="O110" s="208"/>
      <c r="P110" s="208"/>
      <c r="Q110" s="208"/>
      <c r="R110" s="208"/>
    </row>
    <row r="111">
      <c r="A111" s="185" t="str">
        <f>IFERROR(__xludf.DUMMYFUNCTION("""COMPUTED_VALUE"""),"Agency directory / review marketplace")</f>
        <v>Agency directory / review marketplace</v>
      </c>
      <c r="B111" s="186" t="str">
        <f>IFERROR(__xludf.DUMMYFUNCTION("""COMPUTED_VALUE"""),"https://clutch.co/us/agencies?page=1")</f>
        <v>https://clutch.co/us/agencies?page=1</v>
      </c>
      <c r="C111" s="185" t="str">
        <f>IFERROR(__xludf.DUMMYFUNCTION("""COMPUTED_VALUE"""),"Page 2 - Top Advertising Agencies in the United States - Jul 2026 Rankings \| Clutch.co")</f>
        <v>Page 2 - Top Advertising Agencies in the United States - Jul 2026 Rankings \| Clutch.co</v>
      </c>
      <c r="D111" s="185" t="str">
        <f>IFERROR(__xludf.DUMMYFUNCTION("""COMPUTED_VALUE"""),"US")</f>
        <v>US</v>
      </c>
      <c r="E111" s="185" t="str">
        <f>IFERROR(__xludf.DUMMYFUNCTION("""COMPUTED_VALUE"""),"clutch.co")</f>
        <v>clutch.co</v>
      </c>
      <c r="F111" s="185" t="str">
        <f>IFERROR(__xludf.DUMMYFUNCTION("""COMPUTED_VALUE"""),"Category Page")</f>
        <v>Category Page</v>
      </c>
      <c r="G111" s="185" t="str">
        <f>IFERROR(__xludf.DUMMYFUNCTION("""COMPUTED_VALUE"""),"COMPETITOR")</f>
        <v>COMPETITOR</v>
      </c>
      <c r="H111" s="185" t="str">
        <f>IFERROR(__xludf.DUMMYFUNCTION("""COMPUTED_VALUE"""),"No")</f>
        <v>No</v>
      </c>
      <c r="I111" s="185" t="str">
        <f>IFERROR(__xludf.DUMMYFUNCTION("""COMPUTED_VALUE"""),"Medium")</f>
        <v>Medium</v>
      </c>
      <c r="J111" s="185" t="str">
        <f>IFERROR(__xludf.DUMMYFUNCTION("""COMPUTED_VALUE"""),"Yes")</f>
        <v>Yes</v>
      </c>
      <c r="K111" s="185" t="str">
        <f>IFERROR(__xludf.DUMMYFUNCTION("""COMPUTED_VALUE"""),"Clutch, SmartSites, WebFX, Ignite Visibility, Storm Brain, NinjaPromo, Huge")</f>
        <v>Clutch, SmartSites, WebFX, Ignite Visibility, Storm Brain, NinjaPromo, Huge</v>
      </c>
      <c r="L111" s="187">
        <f>IFERROR(__xludf.DUMMYFUNCTION("""COMPUTED_VALUE"""),5.0)</f>
        <v>5</v>
      </c>
      <c r="M111" s="188">
        <f>IFERROR(__xludf.DUMMYFUNCTION("""COMPUTED_VALUE"""),0.0)</f>
        <v>0</v>
      </c>
      <c r="N111" s="188">
        <f>IFERROR(__xludf.DUMMYFUNCTION("""COMPUTED_VALUE"""),0.0)</f>
        <v>0</v>
      </c>
      <c r="O111" s="208"/>
      <c r="P111" s="208"/>
      <c r="Q111" s="208"/>
      <c r="R111" s="208"/>
    </row>
    <row r="112">
      <c r="A112" s="185" t="str">
        <f>IFERROR(__xludf.DUMMYFUNCTION("""COMPUTED_VALUE"""),"Agency directory / review marketplace")</f>
        <v>Agency directory / review marketplace</v>
      </c>
      <c r="B112" s="186" t="str">
        <f>IFERROR(__xludf.DUMMYFUNCTION("""COMPUTED_VALUE"""),"https://clutch.co/us/consulting/ai/maturation")</f>
        <v>https://clutch.co/us/consulting/ai/maturation</v>
      </c>
      <c r="C112" s="185" t="str">
        <f>IFERROR(__xludf.DUMMYFUNCTION("""COMPUTED_VALUE"""),"Top AI Maturation Services in the United States - Jul 2026 Rankings \| Clutch.co")</f>
        <v>Top AI Maturation Services in the United States - Jul 2026 Rankings \| Clutch.co</v>
      </c>
      <c r="D112" s="185" t="str">
        <f>IFERROR(__xludf.DUMMYFUNCTION("""COMPUTED_VALUE"""),"US")</f>
        <v>US</v>
      </c>
      <c r="E112" s="185" t="str">
        <f>IFERROR(__xludf.DUMMYFUNCTION("""COMPUTED_VALUE"""),"clutch.co")</f>
        <v>clutch.co</v>
      </c>
      <c r="F112" s="185" t="str">
        <f>IFERROR(__xludf.DUMMYFUNCTION("""COMPUTED_VALUE"""),"Profile")</f>
        <v>Profile</v>
      </c>
      <c r="G112" s="185" t="str">
        <f>IFERROR(__xludf.DUMMYFUNCTION("""COMPUTED_VALUE"""),"COMPETITOR")</f>
        <v>COMPETITOR</v>
      </c>
      <c r="H112" s="185" t="str">
        <f>IFERROR(__xludf.DUMMYFUNCTION("""COMPUTED_VALUE"""),"No")</f>
        <v>No</v>
      </c>
      <c r="I112" s="185" t="str">
        <f>IFERROR(__xludf.DUMMYFUNCTION("""COMPUTED_VALUE"""),"Medium")</f>
        <v>Medium</v>
      </c>
      <c r="J112" s="185" t="str">
        <f>IFERROR(__xludf.DUMMYFUNCTION("""COMPUTED_VALUE"""),"Yes")</f>
        <v>Yes</v>
      </c>
      <c r="K112" s="185" t="str">
        <f>IFERROR(__xludf.DUMMYFUNCTION("""COMPUTED_VALUE"""),"Clutch, Go Fish Digital")</f>
        <v>Clutch, Go Fish Digital</v>
      </c>
      <c r="L112" s="187">
        <f>IFERROR(__xludf.DUMMYFUNCTION("""COMPUTED_VALUE"""),5.0)</f>
        <v>5</v>
      </c>
      <c r="M112" s="188">
        <f>IFERROR(__xludf.DUMMYFUNCTION("""COMPUTED_VALUE"""),0.0)</f>
        <v>0</v>
      </c>
      <c r="N112" s="188">
        <f>IFERROR(__xludf.DUMMYFUNCTION("""COMPUTED_VALUE"""),1.6)</f>
        <v>1.6</v>
      </c>
      <c r="O112" s="208"/>
      <c r="P112" s="208"/>
      <c r="Q112" s="208"/>
      <c r="R112" s="208"/>
    </row>
    <row r="113">
      <c r="A113" s="185" t="str">
        <f>IFERROR(__xludf.DUMMYFUNCTION("""COMPUTED_VALUE"""),"Agency directory / review marketplace")</f>
        <v>Agency directory / review marketplace</v>
      </c>
      <c r="B113" s="186" t="str">
        <f>IFERROR(__xludf.DUMMYFUNCTION("""COMPUTED_VALUE"""),"https://clutch.co/us/consulting/ai/maturation%3Fpage%3D2")</f>
        <v>https://clutch.co/us/consulting/ai/maturation%3Fpage%3D2</v>
      </c>
      <c r="C113" s="185" t="str">
        <f>IFERROR(__xludf.DUMMYFUNCTION("""COMPUTED_VALUE"""),"Top AI Maturation Services in the United States - Jul 2026 Rankings \| Clutch.co")</f>
        <v>Top AI Maturation Services in the United States - Jul 2026 Rankings \| Clutch.co</v>
      </c>
      <c r="D113" s="185" t="str">
        <f>IFERROR(__xludf.DUMMYFUNCTION("""COMPUTED_VALUE"""),"US")</f>
        <v>US</v>
      </c>
      <c r="E113" s="185" t="str">
        <f>IFERROR(__xludf.DUMMYFUNCTION("""COMPUTED_VALUE"""),"clutch.co")</f>
        <v>clutch.co</v>
      </c>
      <c r="F113" s="185" t="str">
        <f>IFERROR(__xludf.DUMMYFUNCTION("""COMPUTED_VALUE"""),"Category Page")</f>
        <v>Category Page</v>
      </c>
      <c r="G113" s="185" t="str">
        <f>IFERROR(__xludf.DUMMYFUNCTION("""COMPUTED_VALUE"""),"COMPETITOR")</f>
        <v>COMPETITOR</v>
      </c>
      <c r="H113" s="185" t="str">
        <f>IFERROR(__xludf.DUMMYFUNCTION("""COMPUTED_VALUE"""),"No")</f>
        <v>No</v>
      </c>
      <c r="I113" s="185" t="str">
        <f>IFERROR(__xludf.DUMMYFUNCTION("""COMPUTED_VALUE"""),"Medium")</f>
        <v>Medium</v>
      </c>
      <c r="J113" s="185" t="str">
        <f>IFERROR(__xludf.DUMMYFUNCTION("""COMPUTED_VALUE"""),"Yes")</f>
        <v>Yes</v>
      </c>
      <c r="K113" s="185" t="str">
        <f>IFERROR(__xludf.DUMMYFUNCTION("""COMPUTED_VALUE"""),"Clutch, Momentum")</f>
        <v>Clutch, Momentum</v>
      </c>
      <c r="L113" s="187">
        <f>IFERROR(__xludf.DUMMYFUNCTION("""COMPUTED_VALUE"""),5.0)</f>
        <v>5</v>
      </c>
      <c r="M113" s="188">
        <f>IFERROR(__xludf.DUMMYFUNCTION("""COMPUTED_VALUE"""),0.0)</f>
        <v>0</v>
      </c>
      <c r="N113" s="188">
        <f>IFERROR(__xludf.DUMMYFUNCTION("""COMPUTED_VALUE"""),0.0)</f>
        <v>0</v>
      </c>
      <c r="O113" s="208"/>
      <c r="P113" s="208"/>
      <c r="Q113" s="208"/>
      <c r="R113" s="208"/>
    </row>
    <row r="114">
      <c r="A114" s="185" t="str">
        <f>IFERROR(__xludf.DUMMYFUNCTION("""COMPUTED_VALUE"""),"Analyst / research authority")</f>
        <v>Analyst / research authority</v>
      </c>
      <c r="B114" s="186" t="str">
        <f>IFERROR(__xludf.DUMMYFUNCTION("""COMPUTED_VALUE"""),"https://www.gartner.com/reviews/market/marketing-mix-modeling-solutions")</f>
        <v>https://www.gartner.com/reviews/market/marketing-mix-modeling-solutions</v>
      </c>
      <c r="C114" s="185" t="str">
        <f>IFERROR(__xludf.DUMMYFUNCTION("""COMPUTED_VALUE"""),"Best Marketing Mix Modeling Solutions Reviews 2026 \| Gartner Peer Insights")</f>
        <v>Best Marketing Mix Modeling Solutions Reviews 2026 \| Gartner Peer Insights</v>
      </c>
      <c r="D114" s="185" t="str">
        <f>IFERROR(__xludf.DUMMYFUNCTION("""COMPUTED_VALUE"""),"US")</f>
        <v>US</v>
      </c>
      <c r="E114" s="185" t="str">
        <f>IFERROR(__xludf.DUMMYFUNCTION("""COMPUTED_VALUE"""),"gartner.com")</f>
        <v>gartner.com</v>
      </c>
      <c r="F114" s="185" t="str">
        <f>IFERROR(__xludf.DUMMYFUNCTION("""COMPUTED_VALUE"""),"Category Page")</f>
        <v>Category Page</v>
      </c>
      <c r="G114" s="185" t="str">
        <f>IFERROR(__xludf.DUMMYFUNCTION("""COMPUTED_VALUE"""),"CORPORATE")</f>
        <v>CORPORATE</v>
      </c>
      <c r="H114" s="185" t="str">
        <f>IFERROR(__xludf.DUMMYFUNCTION("""COMPUTED_VALUE"""),"No")</f>
        <v>No</v>
      </c>
      <c r="I114" s="185" t="str">
        <f>IFERROR(__xludf.DUMMYFUNCTION("""COMPUTED_VALUE"""),"High")</f>
        <v>High</v>
      </c>
      <c r="J114" s="185" t="str">
        <f>IFERROR(__xludf.DUMMYFUNCTION("""COMPUTED_VALUE"""),"Yes - priority")</f>
        <v>Yes - priority</v>
      </c>
      <c r="K114" s="185" t="str">
        <f>IFERROR(__xludf.DUMMYFUNCTION("""COMPUTED_VALUE"""),"Nielsen, Measured, Analytic Partners, Circana, Dentsu, Gain Theory, Haus, LifeSight, Kantar")</f>
        <v>Nielsen, Measured, Analytic Partners, Circana, Dentsu, Gain Theory, Haus, LifeSight, Kantar</v>
      </c>
      <c r="L114" s="187">
        <f>IFERROR(__xludf.DUMMYFUNCTION("""COMPUTED_VALUE"""),5.0)</f>
        <v>5</v>
      </c>
      <c r="M114" s="188">
        <f>IFERROR(__xludf.DUMMYFUNCTION("""COMPUTED_VALUE"""),0.0)</f>
        <v>0</v>
      </c>
      <c r="N114" s="188">
        <f>IFERROR(__xludf.DUMMYFUNCTION("""COMPUTED_VALUE"""),1.2)</f>
        <v>1.2</v>
      </c>
      <c r="O114" s="208"/>
      <c r="P114" s="208"/>
      <c r="Q114" s="208"/>
      <c r="R114" s="208"/>
    </row>
    <row r="115">
      <c r="A115" s="185" t="str">
        <f>IFERROR(__xludf.DUMMYFUNCTION("""COMPUTED_VALUE"""),"Analyst / research authority")</f>
        <v>Analyst / research authority</v>
      </c>
      <c r="B115" s="186" t="str">
        <f>IFERROR(__xludf.DUMMYFUNCTION("""COMPUTED_VALUE"""),"https://www.gartner.com/reviews/product/measured-89579724")</f>
        <v>https://www.gartner.com/reviews/product/measured-89579724</v>
      </c>
      <c r="C115" s="185" t="str">
        <f>IFERROR(__xludf.DUMMYFUNCTION("""COMPUTED_VALUE"""),"Measured Reviews &amp; Ratings 2026 \| Gartner Peer Insights")</f>
        <v>Measured Reviews &amp; Ratings 2026 \| Gartner Peer Insights</v>
      </c>
      <c r="D115" s="185" t="str">
        <f>IFERROR(__xludf.DUMMYFUNCTION("""COMPUTED_VALUE"""),"US")</f>
        <v>US</v>
      </c>
      <c r="E115" s="185" t="str">
        <f>IFERROR(__xludf.DUMMYFUNCTION("""COMPUTED_VALUE"""),"gartner.com")</f>
        <v>gartner.com</v>
      </c>
      <c r="F115" s="185" t="str">
        <f>IFERROR(__xludf.DUMMYFUNCTION("""COMPUTED_VALUE"""),"Profile")</f>
        <v>Profile</v>
      </c>
      <c r="G115" s="185" t="str">
        <f>IFERROR(__xludf.DUMMYFUNCTION("""COMPUTED_VALUE"""),"CORPORATE")</f>
        <v>CORPORATE</v>
      </c>
      <c r="H115" s="185" t="str">
        <f>IFERROR(__xludf.DUMMYFUNCTION("""COMPUTED_VALUE"""),"No")</f>
        <v>No</v>
      </c>
      <c r="I115" s="185" t="str">
        <f>IFERROR(__xludf.DUMMYFUNCTION("""COMPUTED_VALUE"""),"High")</f>
        <v>High</v>
      </c>
      <c r="J115" s="185" t="str">
        <f>IFERROR(__xludf.DUMMYFUNCTION("""COMPUTED_VALUE"""),"Yes - priority")</f>
        <v>Yes - priority</v>
      </c>
      <c r="K115" s="185" t="str">
        <f>IFERROR(__xludf.DUMMYFUNCTION("""COMPUTED_VALUE"""),"Measured, Haus, Nielsen")</f>
        <v>Measured, Haus, Nielsen</v>
      </c>
      <c r="L115" s="187">
        <f>IFERROR(__xludf.DUMMYFUNCTION("""COMPUTED_VALUE"""),5.0)</f>
        <v>5</v>
      </c>
      <c r="M115" s="188">
        <f>IFERROR(__xludf.DUMMYFUNCTION("""COMPUTED_VALUE"""),0.0)</f>
        <v>0</v>
      </c>
      <c r="N115" s="188">
        <f>IFERROR(__xludf.DUMMYFUNCTION("""COMPUTED_VALUE"""),1.2)</f>
        <v>1.2</v>
      </c>
      <c r="O115" s="208"/>
      <c r="P115" s="208"/>
      <c r="Q115" s="208"/>
      <c r="R115" s="208"/>
    </row>
    <row r="116">
      <c r="A116" s="185" t="str">
        <f>IFERROR(__xludf.DUMMYFUNCTION("""COMPUTED_VALUE"""),"Official partner / certification ecosystem")</f>
        <v>Official partner / certification ecosystem</v>
      </c>
      <c r="B116" s="186" t="str">
        <f>IFERROR(__xludf.DUMMYFUNCTION("""COMPUTED_VALUE"""),"https://partnersdirectory.withgoogle.com/?authuser=0&amp;gmbsrc=us-en-ot-gs-z-gmb-s-z-h%7Ebgcceg-learn-u-ahpm-0000000179-0000000000-ahpm-0000000200-0000000002%7C-ahpm-0000000179-0000000001-ahpm-0000000200-0000000000%7C-ahpm-0000000179-0000000001-ahpm-00000002"&amp;"10-0000000000-0000000212-0000000000-0000000212-0000000001-0000000209-0000000001%7C-ahpm-0000000200-0000000002%7C-ahpm-0000000179-0000000001-0000000209-0000000001%7C-ahpm-0000000200-0000000000%7C-ahpm-0000000179-0000000001-ahpm-0000000200-0000000001&amp;mcsubi"&amp;"d=ca-en-ha-g-mc-bkws&amp;premier=true&amp;subid=all-en-awhp-g-aw-m-c-shop-hero-bgc%21o2-s500g500%7Cib%3A6653296821%7Cib%3A9279461727%7Cib%3A7966379274%7C-ahpm-0000000200-0000000001-ahpm-0000000210-00000000000000000212-0000000001-ahpm-0000000179-0000000001-ahpm-00"&amp;"00000200-0000000002")</f>
        <v>https://partnersdirectory.withgoogle.com/?authuser=0&amp;gmbsrc=us-en-ot-gs-z-gmb-s-z-h%7Ebgcceg-learn-u-ahpm-0000000179-0000000000-ahpm-0000000200-0000000002%7C-ahpm-0000000179-0000000001-ahpm-0000000200-0000000000%7C-ahpm-0000000179-0000000001-ahpm-0000000210-0000000000-0000000212-0000000000-0000000212-0000000001-0000000209-0000000001%7C-ahpm-0000000200-0000000002%7C-ahpm-0000000179-0000000001-0000000209-0000000001%7C-ahpm-0000000200-0000000000%7C-ahpm-0000000179-0000000001-ahpm-0000000200-0000000001&amp;mcsubid=ca-en-ha-g-mc-bkws&amp;premier=true&amp;subid=all-en-awhp-g-aw-m-c-shop-hero-bgc%21o2-s500g500%7Cib%3A6653296821%7Cib%3A9279461727%7Cib%3A7966379274%7C-ahpm-0000000200-0000000001-ahpm-0000000210-00000000000000000212-0000000001-ahpm-0000000179-0000000001-ahpm-0000000200-0000000002</v>
      </c>
      <c r="C116" s="185"/>
      <c r="D116" s="185" t="str">
        <f>IFERROR(__xludf.DUMMYFUNCTION("""COMPUTED_VALUE"""),"US")</f>
        <v>US</v>
      </c>
      <c r="E116" s="185" t="str">
        <f>IFERROR(__xludf.DUMMYFUNCTION("""COMPUTED_VALUE"""),"withgoogle.com")</f>
        <v>withgoogle.com</v>
      </c>
      <c r="F116" s="185" t="str">
        <f>IFERROR(__xludf.DUMMYFUNCTION("""COMPUTED_VALUE"""),"Other")</f>
        <v>Other</v>
      </c>
      <c r="G116" s="185" t="str">
        <f>IFERROR(__xludf.DUMMYFUNCTION("""COMPUTED_VALUE"""),"CORPORATE")</f>
        <v>CORPORATE</v>
      </c>
      <c r="H116" s="185" t="str">
        <f>IFERROR(__xludf.DUMMYFUNCTION("""COMPUTED_VALUE"""),"No")</f>
        <v>No</v>
      </c>
      <c r="I116" s="185" t="str">
        <f>IFERROR(__xludf.DUMMYFUNCTION("""COMPUTED_VALUE"""),"High")</f>
        <v>High</v>
      </c>
      <c r="J116" s="185" t="str">
        <f>IFERROR(__xludf.DUMMYFUNCTION("""COMPUTED_VALUE"""),"Yes - priority")</f>
        <v>Yes - priority</v>
      </c>
      <c r="K116" s="185" t="str">
        <f>IFERROR(__xludf.DUMMYFUNCTION("""COMPUTED_VALUE"""),"Unknown")</f>
        <v>Unknown</v>
      </c>
      <c r="L116" s="187">
        <f>IFERROR(__xludf.DUMMYFUNCTION("""COMPUTED_VALUE"""),5.0)</f>
        <v>5</v>
      </c>
      <c r="M116" s="188">
        <f>IFERROR(__xludf.DUMMYFUNCTION("""COMPUTED_VALUE"""),0.0)</f>
        <v>0</v>
      </c>
      <c r="N116" s="188">
        <f>IFERROR(__xludf.DUMMYFUNCTION("""COMPUTED_VALUE"""),0.0)</f>
        <v>0</v>
      </c>
      <c r="O116" s="208"/>
      <c r="P116" s="208"/>
      <c r="Q116" s="208"/>
      <c r="R116" s="208"/>
    </row>
    <row r="117">
      <c r="A117" s="185" t="str">
        <f>IFERROR(__xludf.DUMMYFUNCTION("""COMPUTED_VALUE"""),"Agency directory / review marketplace")</f>
        <v>Agency directory / review marketplace</v>
      </c>
      <c r="B117" s="186" t="str">
        <f>IFERROR(__xludf.DUMMYFUNCTION("""COMPUTED_VALUE"""),"https://www.sortlist.com/digital-marketing/united-states-us")</f>
        <v>https://www.sortlist.com/digital-marketing/united-states-us</v>
      </c>
      <c r="C117" s="185" t="str">
        <f>IFERROR(__xludf.DUMMYFUNCTION("""COMPUTED_VALUE"""),"The 10 Best Digital Marketing Agencies in USA - 2026 Reviews")</f>
        <v>The 10 Best Digital Marketing Agencies in USA - 2026 Reviews</v>
      </c>
      <c r="D117" s="185" t="str">
        <f>IFERROR(__xludf.DUMMYFUNCTION("""COMPUTED_VALUE"""),"US")</f>
        <v>US</v>
      </c>
      <c r="E117" s="185" t="str">
        <f>IFERROR(__xludf.DUMMYFUNCTION("""COMPUTED_VALUE"""),"sortlist.com")</f>
        <v>sortlist.com</v>
      </c>
      <c r="F117" s="185" t="str">
        <f>IFERROR(__xludf.DUMMYFUNCTION("""COMPUTED_VALUE"""),"Category Page")</f>
        <v>Category Page</v>
      </c>
      <c r="G117" s="185" t="str">
        <f>IFERROR(__xludf.DUMMYFUNCTION("""COMPUTED_VALUE"""),"CORPORATE")</f>
        <v>CORPORATE</v>
      </c>
      <c r="H117" s="185" t="str">
        <f>IFERROR(__xludf.DUMMYFUNCTION("""COMPUTED_VALUE"""),"No")</f>
        <v>No</v>
      </c>
      <c r="I117" s="185" t="str">
        <f>IFERROR(__xludf.DUMMYFUNCTION("""COMPUTED_VALUE"""),"Medium")</f>
        <v>Medium</v>
      </c>
      <c r="J117" s="185" t="str">
        <f>IFERROR(__xludf.DUMMYFUNCTION("""COMPUTED_VALUE"""),"Yes")</f>
        <v>Yes</v>
      </c>
      <c r="K117" s="185" t="str">
        <f>IFERROR(__xludf.DUMMYFUNCTION("""COMPUTED_VALUE"""),"NinjaPromo, IBM, Clutch")</f>
        <v>NinjaPromo, IBM, Clutch</v>
      </c>
      <c r="L117" s="187">
        <f>IFERROR(__xludf.DUMMYFUNCTION("""COMPUTED_VALUE"""),5.0)</f>
        <v>5</v>
      </c>
      <c r="M117" s="188">
        <f>IFERROR(__xludf.DUMMYFUNCTION("""COMPUTED_VALUE"""),0.0)</f>
        <v>0</v>
      </c>
      <c r="N117" s="188">
        <f>IFERROR(__xludf.DUMMYFUNCTION("""COMPUTED_VALUE"""),0.0)</f>
        <v>0</v>
      </c>
      <c r="O117" s="208"/>
      <c r="P117" s="208"/>
      <c r="Q117" s="208"/>
      <c r="R117" s="208"/>
    </row>
    <row r="118">
      <c r="A118" s="185" t="str">
        <f>IFERROR(__xludf.DUMMYFUNCTION("""COMPUTED_VALUE"""),"Official partner / certification ecosystem")</f>
        <v>Official partner / certification ecosystem</v>
      </c>
      <c r="B118" s="186" t="str">
        <f>IFERROR(__xludf.DUMMYFUNCTION("""COMPUTED_VALUE"""),"https://support.google.com/tagmanager/answer/7237700?hl=en")</f>
        <v>https://support.google.com/tagmanager/answer/7237700?hl=en</v>
      </c>
      <c r="C118" s="185" t="str">
        <f>IFERROR(__xludf.DUMMYFUNCTION("""COMPUTED_VALUE"""),"Google Marketing Platform Partners - Tag Manager Help")</f>
        <v>Google Marketing Platform Partners - Tag Manager Help</v>
      </c>
      <c r="D118" s="185" t="str">
        <f>IFERROR(__xludf.DUMMYFUNCTION("""COMPUTED_VALUE"""),"US")</f>
        <v>US</v>
      </c>
      <c r="E118" s="185" t="str">
        <f>IFERROR(__xludf.DUMMYFUNCTION("""COMPUTED_VALUE"""),"google.com")</f>
        <v>google.com</v>
      </c>
      <c r="F118" s="185" t="str">
        <f>IFERROR(__xludf.DUMMYFUNCTION("""COMPUTED_VALUE"""),"Other")</f>
        <v>Other</v>
      </c>
      <c r="G118" s="185" t="str">
        <f>IFERROR(__xludf.DUMMYFUNCTION("""COMPUTED_VALUE"""),"OTHER")</f>
        <v>OTHER</v>
      </c>
      <c r="H118" s="185" t="str">
        <f>IFERROR(__xludf.DUMMYFUNCTION("""COMPUTED_VALUE"""),"No")</f>
        <v>No</v>
      </c>
      <c r="I118" s="185" t="str">
        <f>IFERROR(__xludf.DUMMYFUNCTION("""COMPUTED_VALUE"""),"High")</f>
        <v>High</v>
      </c>
      <c r="J118" s="185" t="str">
        <f>IFERROR(__xludf.DUMMYFUNCTION("""COMPUTED_VALUE"""),"Yes - priority")</f>
        <v>Yes - priority</v>
      </c>
      <c r="K118" s="185"/>
      <c r="L118" s="187">
        <f>IFERROR(__xludf.DUMMYFUNCTION("""COMPUTED_VALUE"""),5.0)</f>
        <v>5</v>
      </c>
      <c r="M118" s="188">
        <f>IFERROR(__xludf.DUMMYFUNCTION("""COMPUTED_VALUE"""),0.0)</f>
        <v>0</v>
      </c>
      <c r="N118" s="188">
        <f>IFERROR(__xludf.DUMMYFUNCTION("""COMPUTED_VALUE"""),0.4)</f>
        <v>0.4</v>
      </c>
      <c r="O118" s="208"/>
      <c r="P118" s="208"/>
      <c r="Q118" s="208"/>
      <c r="R118" s="208"/>
    </row>
    <row r="119">
      <c r="A119" s="185" t="str">
        <f>IFERROR(__xludf.DUMMYFUNCTION("""COMPUTED_VALUE"""),"Agency directory / review marketplace")</f>
        <v>Agency directory / review marketplace</v>
      </c>
      <c r="B119" s="186" t="str">
        <f>IFERROR(__xludf.DUMMYFUNCTION("""COMPUTED_VALUE"""),"https://themanifest.com/us/creative/agencies")</f>
        <v>https://themanifest.com/us/creative/agencies</v>
      </c>
      <c r="C119" s="185" t="str">
        <f>IFERROR(__xludf.DUMMYFUNCTION("""COMPUTED_VALUE"""),"The Best Creative Companies in United States - Jul 2026 | The Manifest")</f>
        <v>The Best Creative Companies in United States - Jul 2026 | The Manifest</v>
      </c>
      <c r="D119" s="185" t="str">
        <f>IFERROR(__xludf.DUMMYFUNCTION("""COMPUTED_VALUE"""),"US")</f>
        <v>US</v>
      </c>
      <c r="E119" s="185" t="str">
        <f>IFERROR(__xludf.DUMMYFUNCTION("""COMPUTED_VALUE"""),"themanifest.com")</f>
        <v>themanifest.com</v>
      </c>
      <c r="F119" s="185" t="str">
        <f>IFERROR(__xludf.DUMMYFUNCTION("""COMPUTED_VALUE"""),"Listicle")</f>
        <v>Listicle</v>
      </c>
      <c r="G119" s="185" t="str">
        <f>IFERROR(__xludf.DUMMYFUNCTION("""COMPUTED_VALUE"""),"REFERENCE")</f>
        <v>REFERENCE</v>
      </c>
      <c r="H119" s="185" t="str">
        <f>IFERROR(__xludf.DUMMYFUNCTION("""COMPUTED_VALUE"""),"No")</f>
        <v>No</v>
      </c>
      <c r="I119" s="185" t="str">
        <f>IFERROR(__xludf.DUMMYFUNCTION("""COMPUTED_VALUE"""),"Medium")</f>
        <v>Medium</v>
      </c>
      <c r="J119" s="185" t="str">
        <f>IFERROR(__xludf.DUMMYFUNCTION("""COMPUTED_VALUE"""),"Yes")</f>
        <v>Yes</v>
      </c>
      <c r="K119" s="185" t="str">
        <f>IFERROR(__xludf.DUMMYFUNCTION("""COMPUTED_VALUE"""),"Clutch, IBM, Clay, PwC")</f>
        <v>Clutch, IBM, Clay, PwC</v>
      </c>
      <c r="L119" s="187">
        <f>IFERROR(__xludf.DUMMYFUNCTION("""COMPUTED_VALUE"""),5.0)</f>
        <v>5</v>
      </c>
      <c r="M119" s="188">
        <f>IFERROR(__xludf.DUMMYFUNCTION("""COMPUTED_VALUE"""),0.0)</f>
        <v>0</v>
      </c>
      <c r="N119" s="188">
        <f>IFERROR(__xludf.DUMMYFUNCTION("""COMPUTED_VALUE"""),0.0)</f>
        <v>0</v>
      </c>
      <c r="O119" s="208"/>
      <c r="P119" s="208"/>
      <c r="Q119" s="208"/>
      <c r="R119" s="208"/>
    </row>
    <row r="120">
      <c r="A120" s="185" t="str">
        <f>IFERROR(__xludf.DUMMYFUNCTION("""COMPUTED_VALUE"""),"Agency directory / review marketplace")</f>
        <v>Agency directory / review marketplace</v>
      </c>
      <c r="B120" s="186" t="str">
        <f>IFERROR(__xludf.DUMMYFUNCTION("""COMPUTED_VALUE"""),"https://themanifest.com/us/social-media/agencies")</f>
        <v>https://themanifest.com/us/social-media/agencies</v>
      </c>
      <c r="C120" s="185" t="str">
        <f>IFERROR(__xludf.DUMMYFUNCTION("""COMPUTED_VALUE"""),"The Best Social Media Marketing Companies in United States - Jul 2026 | The Manifest")</f>
        <v>The Best Social Media Marketing Companies in United States - Jul 2026 | The Manifest</v>
      </c>
      <c r="D120" s="185" t="str">
        <f>IFERROR(__xludf.DUMMYFUNCTION("""COMPUTED_VALUE"""),"US")</f>
        <v>US</v>
      </c>
      <c r="E120" s="185" t="str">
        <f>IFERROR(__xludf.DUMMYFUNCTION("""COMPUTED_VALUE"""),"themanifest.com")</f>
        <v>themanifest.com</v>
      </c>
      <c r="F120" s="185" t="str">
        <f>IFERROR(__xludf.DUMMYFUNCTION("""COMPUTED_VALUE"""),"Listicle")</f>
        <v>Listicle</v>
      </c>
      <c r="G120" s="185" t="str">
        <f>IFERROR(__xludf.DUMMYFUNCTION("""COMPUTED_VALUE"""),"REFERENCE")</f>
        <v>REFERENCE</v>
      </c>
      <c r="H120" s="185" t="str">
        <f>IFERROR(__xludf.DUMMYFUNCTION("""COMPUTED_VALUE"""),"No")</f>
        <v>No</v>
      </c>
      <c r="I120" s="185" t="str">
        <f>IFERROR(__xludf.DUMMYFUNCTION("""COMPUTED_VALUE"""),"Medium")</f>
        <v>Medium</v>
      </c>
      <c r="J120" s="185" t="str">
        <f>IFERROR(__xludf.DUMMYFUNCTION("""COMPUTED_VALUE"""),"Yes")</f>
        <v>Yes</v>
      </c>
      <c r="K120" s="185" t="str">
        <f>IFERROR(__xludf.DUMMYFUNCTION("""COMPUTED_VALUE"""),"Clutch, LYFE Marketing, Sociallyin, Power Digital, Viral Nation, SmartSites, AdVenture Media, NinjaPromo")</f>
        <v>Clutch, LYFE Marketing, Sociallyin, Power Digital, Viral Nation, SmartSites, AdVenture Media, NinjaPromo</v>
      </c>
      <c r="L120" s="187">
        <f>IFERROR(__xludf.DUMMYFUNCTION("""COMPUTED_VALUE"""),5.0)</f>
        <v>5</v>
      </c>
      <c r="M120" s="188">
        <f>IFERROR(__xludf.DUMMYFUNCTION("""COMPUTED_VALUE"""),0.0)</f>
        <v>0</v>
      </c>
      <c r="N120" s="188">
        <f>IFERROR(__xludf.DUMMYFUNCTION("""COMPUTED_VALUE"""),0.0)</f>
        <v>0</v>
      </c>
      <c r="O120" s="208"/>
      <c r="P120" s="208"/>
      <c r="Q120" s="208"/>
      <c r="R120" s="208"/>
    </row>
    <row r="121">
      <c r="A121" s="185" t="str">
        <f>IFERROR(__xludf.DUMMYFUNCTION("""COMPUTED_VALUE"""),"Official partner / certification ecosystem")</f>
        <v>Official partner / certification ecosystem</v>
      </c>
      <c r="B121" s="186" t="str">
        <f>IFERROR(__xludf.DUMMYFUNCTION("""COMPUTED_VALUE"""),"https://ads.google.com/intl/us/home/partners/work-with-a-partner/")</f>
        <v>https://ads.google.com/intl/us/home/partners/work-with-a-partner/</v>
      </c>
      <c r="C121" s="185"/>
      <c r="D121" s="185" t="str">
        <f>IFERROR(__xludf.DUMMYFUNCTION("""COMPUTED_VALUE"""),"US")</f>
        <v>US</v>
      </c>
      <c r="E121" s="185" t="str">
        <f>IFERROR(__xludf.DUMMYFUNCTION("""COMPUTED_VALUE"""),"google.com")</f>
        <v>google.com</v>
      </c>
      <c r="F121" s="185" t="str">
        <f>IFERROR(__xludf.DUMMYFUNCTION("""COMPUTED_VALUE"""),"Other")</f>
        <v>Other</v>
      </c>
      <c r="G121" s="185" t="str">
        <f>IFERROR(__xludf.DUMMYFUNCTION("""COMPUTED_VALUE"""),"OTHER")</f>
        <v>OTHER</v>
      </c>
      <c r="H121" s="185" t="str">
        <f>IFERROR(__xludf.DUMMYFUNCTION("""COMPUTED_VALUE"""),"No")</f>
        <v>No</v>
      </c>
      <c r="I121" s="185" t="str">
        <f>IFERROR(__xludf.DUMMYFUNCTION("""COMPUTED_VALUE"""),"High")</f>
        <v>High</v>
      </c>
      <c r="J121" s="185" t="str">
        <f>IFERROR(__xludf.DUMMYFUNCTION("""COMPUTED_VALUE"""),"Yes - priority")</f>
        <v>Yes - priority</v>
      </c>
      <c r="K121" s="185" t="str">
        <f>IFERROR(__xludf.DUMMYFUNCTION("""COMPUTED_VALUE"""),"Unknown")</f>
        <v>Unknown</v>
      </c>
      <c r="L121" s="187">
        <f>IFERROR(__xludf.DUMMYFUNCTION("""COMPUTED_VALUE"""),4.0)</f>
        <v>4</v>
      </c>
      <c r="M121" s="188">
        <f>IFERROR(__xludf.DUMMYFUNCTION("""COMPUTED_VALUE"""),0.0)</f>
        <v>0</v>
      </c>
      <c r="N121" s="188">
        <f>IFERROR(__xludf.DUMMYFUNCTION("""COMPUTED_VALUE"""),0.0)</f>
        <v>0</v>
      </c>
      <c r="O121" s="208"/>
      <c r="P121" s="208"/>
      <c r="Q121" s="208"/>
      <c r="R121" s="208"/>
    </row>
    <row r="122">
      <c r="A122" s="185" t="str">
        <f>IFERROR(__xludf.DUMMYFUNCTION("""COMPUTED_VALUE"""),"Agency directory / review marketplace")</f>
        <v>Agency directory / review marketplace</v>
      </c>
      <c r="B122" s="186" t="str">
        <f>IFERROR(__xludf.DUMMYFUNCTION("""COMPUTED_VALUE"""),"https://clutch.co/us/agencies/social-media-marketing/facebook")</f>
        <v>https://clutch.co/us/agencies/social-media-marketing/facebook</v>
      </c>
      <c r="C122" s="185" t="str">
        <f>IFERROR(__xludf.DUMMYFUNCTION("""COMPUTED_VALUE"""),"Top Facebook Advertising Agencies in the United States - Jul 2026 Rankings \| Clutch.co")</f>
        <v>Top Facebook Advertising Agencies in the United States - Jul 2026 Rankings \| Clutch.co</v>
      </c>
      <c r="D122" s="185" t="str">
        <f>IFERROR(__xludf.DUMMYFUNCTION("""COMPUTED_VALUE"""),"US")</f>
        <v>US</v>
      </c>
      <c r="E122" s="185" t="str">
        <f>IFERROR(__xludf.DUMMYFUNCTION("""COMPUTED_VALUE"""),"clutch.co")</f>
        <v>clutch.co</v>
      </c>
      <c r="F122" s="185" t="str">
        <f>IFERROR(__xludf.DUMMYFUNCTION("""COMPUTED_VALUE"""),"Category Page")</f>
        <v>Category Page</v>
      </c>
      <c r="G122" s="185" t="str">
        <f>IFERROR(__xludf.DUMMYFUNCTION("""COMPUTED_VALUE"""),"COMPETITOR")</f>
        <v>COMPETITOR</v>
      </c>
      <c r="H122" s="185" t="str">
        <f>IFERROR(__xludf.DUMMYFUNCTION("""COMPUTED_VALUE"""),"No")</f>
        <v>No</v>
      </c>
      <c r="I122" s="185" t="str">
        <f>IFERROR(__xludf.DUMMYFUNCTION("""COMPUTED_VALUE"""),"Medium")</f>
        <v>Medium</v>
      </c>
      <c r="J122" s="185" t="str">
        <f>IFERROR(__xludf.DUMMYFUNCTION("""COMPUTED_VALUE"""),"Yes")</f>
        <v>Yes</v>
      </c>
      <c r="K122" s="185" t="str">
        <f>IFERROR(__xludf.DUMMYFUNCTION("""COMPUTED_VALUE"""),"Clutch, LYFE Marketing, SmartSites, Elit-Web, KlientBoost, AdVenture Media, Silverback Strategies, Sociallyin, Disruptive Advertising, HawkSEM, Brighter Click, Accelerated Digital Media, Acadia")</f>
        <v>Clutch, LYFE Marketing, SmartSites, Elit-Web, KlientBoost, AdVenture Media, Silverback Strategies, Sociallyin, Disruptive Advertising, HawkSEM, Brighter Click, Accelerated Digital Media, Acadia</v>
      </c>
      <c r="L122" s="187">
        <f>IFERROR(__xludf.DUMMYFUNCTION("""COMPUTED_VALUE"""),4.0)</f>
        <v>4</v>
      </c>
      <c r="M122" s="188">
        <f>IFERROR(__xludf.DUMMYFUNCTION("""COMPUTED_VALUE"""),0.0)</f>
        <v>0</v>
      </c>
      <c r="N122" s="188">
        <f>IFERROR(__xludf.DUMMYFUNCTION("""COMPUTED_VALUE"""),0.0)</f>
        <v>0</v>
      </c>
      <c r="O122" s="208"/>
      <c r="P122" s="208"/>
      <c r="Q122" s="208"/>
      <c r="R122" s="208"/>
    </row>
    <row r="123">
      <c r="A123" s="185" t="str">
        <f>IFERROR(__xludf.DUMMYFUNCTION("""COMPUTED_VALUE"""),"Agency directory / review marketplace")</f>
        <v>Agency directory / review marketplace</v>
      </c>
      <c r="B123" s="186" t="str">
        <f>IFERROR(__xludf.DUMMYFUNCTION("""COMPUTED_VALUE"""),"https://clutch.co/us/consulting/ai/strategy%3Fpage%3D3")</f>
        <v>https://clutch.co/us/consulting/ai/strategy%3Fpage%3D3</v>
      </c>
      <c r="C123" s="185" t="str">
        <f>IFERROR(__xludf.DUMMYFUNCTION("""COMPUTED_VALUE"""),"Top AI Strategy Companies in the United States - Jul 2026 Rankings | Clutch.co")</f>
        <v>Top AI Strategy Companies in the United States - Jul 2026 Rankings | Clutch.co</v>
      </c>
      <c r="D123" s="185" t="str">
        <f>IFERROR(__xludf.DUMMYFUNCTION("""COMPUTED_VALUE"""),"US")</f>
        <v>US</v>
      </c>
      <c r="E123" s="185" t="str">
        <f>IFERROR(__xludf.DUMMYFUNCTION("""COMPUTED_VALUE"""),"clutch.co")</f>
        <v>clutch.co</v>
      </c>
      <c r="F123" s="185" t="str">
        <f>IFERROR(__xludf.DUMMYFUNCTION("""COMPUTED_VALUE"""),"Profile")</f>
        <v>Profile</v>
      </c>
      <c r="G123" s="185" t="str">
        <f>IFERROR(__xludf.DUMMYFUNCTION("""COMPUTED_VALUE"""),"COMPETITOR")</f>
        <v>COMPETITOR</v>
      </c>
      <c r="H123" s="185" t="str">
        <f>IFERROR(__xludf.DUMMYFUNCTION("""COMPUTED_VALUE"""),"No")</f>
        <v>No</v>
      </c>
      <c r="I123" s="185" t="str">
        <f>IFERROR(__xludf.DUMMYFUNCTION("""COMPUTED_VALUE"""),"Medium")</f>
        <v>Medium</v>
      </c>
      <c r="J123" s="185" t="str">
        <f>IFERROR(__xludf.DUMMYFUNCTION("""COMPUTED_VALUE"""),"Yes")</f>
        <v>Yes</v>
      </c>
      <c r="K123" s="185" t="str">
        <f>IFERROR(__xludf.DUMMYFUNCTION("""COMPUTED_VALUE"""),"Clutch")</f>
        <v>Clutch</v>
      </c>
      <c r="L123" s="187">
        <f>IFERROR(__xludf.DUMMYFUNCTION("""COMPUTED_VALUE"""),4.0)</f>
        <v>4</v>
      </c>
      <c r="M123" s="188">
        <f>IFERROR(__xludf.DUMMYFUNCTION("""COMPUTED_VALUE"""),0.0)</f>
        <v>0</v>
      </c>
      <c r="N123" s="188">
        <f>IFERROR(__xludf.DUMMYFUNCTION("""COMPUTED_VALUE"""),0.0)</f>
        <v>0</v>
      </c>
      <c r="O123" s="208"/>
      <c r="P123" s="208"/>
      <c r="Q123" s="208"/>
      <c r="R123" s="208"/>
    </row>
    <row r="124">
      <c r="A124" s="185" t="str">
        <f>IFERROR(__xludf.DUMMYFUNCTION("""COMPUTED_VALUE"""),"Lower-priority competitor/vendor roundup")</f>
        <v>Lower-priority competitor/vendor roundup</v>
      </c>
      <c r="B124" s="186" t="str">
        <f>IFERROR(__xludf.DUMMYFUNCTION("""COMPUTED_VALUE"""),"https://www.cometly.com/post/marketing-attribution-consultant-services")</f>
        <v>https://www.cometly.com/post/marketing-attribution-consultant-services</v>
      </c>
      <c r="C124" s="185" t="str">
        <f>IFERROR(__xludf.DUMMYFUNCTION("""COMPUTED_VALUE"""),"Best Marketing Attribution Consultant Services 2026")</f>
        <v>Best Marketing Attribution Consultant Services 2026</v>
      </c>
      <c r="D124" s="185" t="str">
        <f>IFERROR(__xludf.DUMMYFUNCTION("""COMPUTED_VALUE"""),"US")</f>
        <v>US</v>
      </c>
      <c r="E124" s="185" t="str">
        <f>IFERROR(__xludf.DUMMYFUNCTION("""COMPUTED_VALUE"""),"cometly.com")</f>
        <v>cometly.com</v>
      </c>
      <c r="F124" s="185" t="str">
        <f>IFERROR(__xludf.DUMMYFUNCTION("""COMPUTED_VALUE"""),"Listicle")</f>
        <v>Listicle</v>
      </c>
      <c r="G124" s="185" t="str">
        <f>IFERROR(__xludf.DUMMYFUNCTION("""COMPUTED_VALUE"""),"COMPETITOR")</f>
        <v>COMPETITOR</v>
      </c>
      <c r="H124" s="185" t="str">
        <f>IFERROR(__xludf.DUMMYFUNCTION("""COMPUTED_VALUE"""),"No")</f>
        <v>No</v>
      </c>
      <c r="I124" s="185" t="str">
        <f>IFERROR(__xludf.DUMMYFUNCTION("""COMPUTED_VALUE"""),"Low")</f>
        <v>Low</v>
      </c>
      <c r="J124" s="185" t="str">
        <f>IFERROR(__xludf.DUMMYFUNCTION("""COMPUTED_VALUE"""),"Secondary")</f>
        <v>Secondary</v>
      </c>
      <c r="K124" s="185" t="str">
        <f>IFERROR(__xludf.DUMMYFUNCTION("""COMPUTED_VALUE"""),"Cometly, Measured, Rockerbox, Northbeam, Triple Whale, Ruler Analytics")</f>
        <v>Cometly, Measured, Rockerbox, Northbeam, Triple Whale, Ruler Analytics</v>
      </c>
      <c r="L124" s="187">
        <f>IFERROR(__xludf.DUMMYFUNCTION("""COMPUTED_VALUE"""),4.0)</f>
        <v>4</v>
      </c>
      <c r="M124" s="188">
        <f>IFERROR(__xludf.DUMMYFUNCTION("""COMPUTED_VALUE"""),0.0)</f>
        <v>0</v>
      </c>
      <c r="N124" s="188">
        <f>IFERROR(__xludf.DUMMYFUNCTION("""COMPUTED_VALUE"""),0.25)</f>
        <v>0.25</v>
      </c>
      <c r="O124" s="208"/>
      <c r="P124" s="208"/>
      <c r="Q124" s="208"/>
      <c r="R124" s="208"/>
    </row>
    <row r="125">
      <c r="A125" s="185" t="str">
        <f>IFERROR(__xludf.DUMMYFUNCTION("""COMPUTED_VALUE"""),"Agency directory / review marketplace")</f>
        <v>Agency directory / review marketplace</v>
      </c>
      <c r="B125" s="186" t="str">
        <f>IFERROR(__xludf.DUMMYFUNCTION("""COMPUTED_VALUE"""),"https://www.designrush.com/agency/paid-media-pay-per-click/google-adwords")</f>
        <v>https://www.designrush.com/agency/paid-media-pay-per-click/google-adwords</v>
      </c>
      <c r="C125" s="185" t="str">
        <f>IFERROR(__xludf.DUMMYFUNCTION("""COMPUTED_VALUE"""),"Top Google Ads Agencies in 2026")</f>
        <v>Top Google Ads Agencies in 2026</v>
      </c>
      <c r="D125" s="185" t="str">
        <f>IFERROR(__xludf.DUMMYFUNCTION("""COMPUTED_VALUE"""),"US")</f>
        <v>US</v>
      </c>
      <c r="E125" s="185" t="str">
        <f>IFERROR(__xludf.DUMMYFUNCTION("""COMPUTED_VALUE"""),"designrush.com")</f>
        <v>designrush.com</v>
      </c>
      <c r="F125" s="185" t="str">
        <f>IFERROR(__xludf.DUMMYFUNCTION("""COMPUTED_VALUE"""),"Listicle")</f>
        <v>Listicle</v>
      </c>
      <c r="G125" s="185" t="str">
        <f>IFERROR(__xludf.DUMMYFUNCTION("""COMPUTED_VALUE"""),"CORPORATE")</f>
        <v>CORPORATE</v>
      </c>
      <c r="H125" s="185" t="str">
        <f>IFERROR(__xludf.DUMMYFUNCTION("""COMPUTED_VALUE"""),"No")</f>
        <v>No</v>
      </c>
      <c r="I125" s="185" t="str">
        <f>IFERROR(__xludf.DUMMYFUNCTION("""COMPUTED_VALUE"""),"Medium")</f>
        <v>Medium</v>
      </c>
      <c r="J125" s="185" t="str">
        <f>IFERROR(__xludf.DUMMYFUNCTION("""COMPUTED_VALUE"""),"Yes")</f>
        <v>Yes</v>
      </c>
      <c r="K125" s="185" t="str">
        <f>IFERROR(__xludf.DUMMYFUNCTION("""COMPUTED_VALUE"""),"SmartSites, Searchbloom, Disruptive Advertising, Silverback Strategies, Funnel Boost Media, Huge, Intero Digital, KlientBoost, Elit-Web, Major Tom, IBM, Momentum")</f>
        <v>SmartSites, Searchbloom, Disruptive Advertising, Silverback Strategies, Funnel Boost Media, Huge, Intero Digital, KlientBoost, Elit-Web, Major Tom, IBM, Momentum</v>
      </c>
      <c r="L125" s="187">
        <f>IFERROR(__xludf.DUMMYFUNCTION("""COMPUTED_VALUE"""),4.0)</f>
        <v>4</v>
      </c>
      <c r="M125" s="188">
        <f>IFERROR(__xludf.DUMMYFUNCTION("""COMPUTED_VALUE"""),0.0)</f>
        <v>0</v>
      </c>
      <c r="N125" s="188">
        <f>IFERROR(__xludf.DUMMYFUNCTION("""COMPUTED_VALUE"""),0.75)</f>
        <v>0.75</v>
      </c>
      <c r="O125" s="208"/>
      <c r="P125" s="208"/>
      <c r="Q125" s="208"/>
      <c r="R125" s="208"/>
    </row>
    <row r="126">
      <c r="A126" s="185" t="str">
        <f>IFERROR(__xludf.DUMMYFUNCTION("""COMPUTED_VALUE"""),"Agency directory / review marketplace")</f>
        <v>Agency directory / review marketplace</v>
      </c>
      <c r="B126" s="186" t="str">
        <f>IFERROR(__xludf.DUMMYFUNCTION("""COMPUTED_VALUE"""),"https://digitalagencynetwork.com/agencies/usa/online-advertising/")</f>
        <v>https://digitalagencynetwork.com/agencies/usa/online-advertising/</v>
      </c>
      <c r="C126" s="185" t="str">
        <f>IFERROR(__xludf.DUMMYFUNCTION("""COMPUTED_VALUE"""),"Best Online Advertising Agencies in USA")</f>
        <v>Best Online Advertising Agencies in USA</v>
      </c>
      <c r="D126" s="185" t="str">
        <f>IFERROR(__xludf.DUMMYFUNCTION("""COMPUTED_VALUE"""),"US")</f>
        <v>US</v>
      </c>
      <c r="E126" s="185" t="str">
        <f>IFERROR(__xludf.DUMMYFUNCTION("""COMPUTED_VALUE"""),"digitalagencynetwork.com")</f>
        <v>digitalagencynetwork.com</v>
      </c>
      <c r="F126" s="185" t="str">
        <f>IFERROR(__xludf.DUMMYFUNCTION("""COMPUTED_VALUE"""),"Category Page")</f>
        <v>Category Page</v>
      </c>
      <c r="G126" s="185" t="str">
        <f>IFERROR(__xludf.DUMMYFUNCTION("""COMPUTED_VALUE"""),"REFERENCE")</f>
        <v>REFERENCE</v>
      </c>
      <c r="H126" s="185" t="str">
        <f>IFERROR(__xludf.DUMMYFUNCTION("""COMPUTED_VALUE"""),"No")</f>
        <v>No</v>
      </c>
      <c r="I126" s="185" t="str">
        <f>IFERROR(__xludf.DUMMYFUNCTION("""COMPUTED_VALUE"""),"Medium")</f>
        <v>Medium</v>
      </c>
      <c r="J126" s="185" t="str">
        <f>IFERROR(__xludf.DUMMYFUNCTION("""COMPUTED_VALUE"""),"Yes")</f>
        <v>Yes</v>
      </c>
      <c r="K126" s="185" t="str">
        <f>IFERROR(__xludf.DUMMYFUNCTION("""COMPUTED_VALUE"""),"Major Tom, Ignite Visibility, Brighter Click, Amsive, Measured, NoGood, SmartSites, PwC, Forthea, Intero Digital")</f>
        <v>Major Tom, Ignite Visibility, Brighter Click, Amsive, Measured, NoGood, SmartSites, PwC, Forthea, Intero Digital</v>
      </c>
      <c r="L126" s="187">
        <f>IFERROR(__xludf.DUMMYFUNCTION("""COMPUTED_VALUE"""),4.0)</f>
        <v>4</v>
      </c>
      <c r="M126" s="188">
        <f>IFERROR(__xludf.DUMMYFUNCTION("""COMPUTED_VALUE"""),0.0)</f>
        <v>0</v>
      </c>
      <c r="N126" s="188">
        <f>IFERROR(__xludf.DUMMYFUNCTION("""COMPUTED_VALUE"""),1.0)</f>
        <v>1</v>
      </c>
      <c r="O126" s="208"/>
      <c r="P126" s="208"/>
      <c r="Q126" s="208"/>
      <c r="R126" s="208"/>
    </row>
    <row r="127">
      <c r="A127" s="185" t="str">
        <f>IFERROR(__xludf.DUMMYFUNCTION("""COMPUTED_VALUE"""),"Agency directory / review marketplace")</f>
        <v>Agency directory / review marketplace</v>
      </c>
      <c r="B127" s="186" t="str">
        <f>IFERROR(__xludf.DUMMYFUNCTION("""COMPUTED_VALUE"""),"https://www.goodfirms.co/artificial-intelligence/ai-consulting")</f>
        <v>https://www.goodfirms.co/artificial-intelligence/ai-consulting</v>
      </c>
      <c r="C127" s="185" t="str">
        <f>IFERROR(__xludf.DUMMYFUNCTION("""COMPUTED_VALUE"""),"Top 10+ AI Consulting Companies - 2026 Reviews | Goodfirms")</f>
        <v>Top 10+ AI Consulting Companies - 2026 Reviews | Goodfirms</v>
      </c>
      <c r="D127" s="185" t="str">
        <f>IFERROR(__xludf.DUMMYFUNCTION("""COMPUTED_VALUE"""),"US")</f>
        <v>US</v>
      </c>
      <c r="E127" s="185" t="str">
        <f>IFERROR(__xludf.DUMMYFUNCTION("""COMPUTED_VALUE"""),"goodfirms.co")</f>
        <v>goodfirms.co</v>
      </c>
      <c r="F127" s="185" t="str">
        <f>IFERROR(__xludf.DUMMYFUNCTION("""COMPUTED_VALUE"""),"Profile")</f>
        <v>Profile</v>
      </c>
      <c r="G127" s="185" t="str">
        <f>IFERROR(__xludf.DUMMYFUNCTION("""COMPUTED_VALUE"""),"UGC")</f>
        <v>UGC</v>
      </c>
      <c r="H127" s="185" t="str">
        <f>IFERROR(__xludf.DUMMYFUNCTION("""COMPUTED_VALUE"""),"No")</f>
        <v>No</v>
      </c>
      <c r="I127" s="185" t="str">
        <f>IFERROR(__xludf.DUMMYFUNCTION("""COMPUTED_VALUE"""),"Medium")</f>
        <v>Medium</v>
      </c>
      <c r="J127" s="185" t="str">
        <f>IFERROR(__xludf.DUMMYFUNCTION("""COMPUTED_VALUE"""),"Yes")</f>
        <v>Yes</v>
      </c>
      <c r="K127" s="185" t="str">
        <f>IFERROR(__xludf.DUMMYFUNCTION("""COMPUTED_VALUE"""),"Clutch")</f>
        <v>Clutch</v>
      </c>
      <c r="L127" s="187">
        <f>IFERROR(__xludf.DUMMYFUNCTION("""COMPUTED_VALUE"""),4.0)</f>
        <v>4</v>
      </c>
      <c r="M127" s="188">
        <f>IFERROR(__xludf.DUMMYFUNCTION("""COMPUTED_VALUE"""),0.0)</f>
        <v>0</v>
      </c>
      <c r="N127" s="188">
        <f>IFERROR(__xludf.DUMMYFUNCTION("""COMPUTED_VALUE"""),0.0)</f>
        <v>0</v>
      </c>
      <c r="O127" s="208"/>
      <c r="P127" s="208"/>
      <c r="Q127" s="208"/>
      <c r="R127" s="208"/>
    </row>
    <row r="128">
      <c r="A128" s="185" t="str">
        <f>IFERROR(__xludf.DUMMYFUNCTION("""COMPUTED_VALUE"""),"Official partner / certification ecosystem")</f>
        <v>Official partner / certification ecosystem</v>
      </c>
      <c r="B128" s="186" t="str">
        <f>IFERROR(__xludf.DUMMYFUNCTION("""COMPUTED_VALUE"""),"https://marketingplatform.google.com/about/partners/?authuser=1")</f>
        <v>https://marketingplatform.google.com/about/partners/?authuser=1</v>
      </c>
      <c r="C128" s="185" t="str">
        <f>IFERROR(__xludf.DUMMYFUNCTION("""COMPUTED_VALUE"""),"Meet Your New Marketing Partner - Google Marketing Platform Partners")</f>
        <v>Meet Your New Marketing Partner - Google Marketing Platform Partners</v>
      </c>
      <c r="D128" s="185" t="str">
        <f>IFERROR(__xludf.DUMMYFUNCTION("""COMPUTED_VALUE"""),"US")</f>
        <v>US</v>
      </c>
      <c r="E128" s="185" t="str">
        <f>IFERROR(__xludf.DUMMYFUNCTION("""COMPUTED_VALUE"""),"google.com")</f>
        <v>google.com</v>
      </c>
      <c r="F128" s="185" t="str">
        <f>IFERROR(__xludf.DUMMYFUNCTION("""COMPUTED_VALUE"""),"Category Page")</f>
        <v>Category Page</v>
      </c>
      <c r="G128" s="185" t="str">
        <f>IFERROR(__xludf.DUMMYFUNCTION("""COMPUTED_VALUE"""),"OTHER")</f>
        <v>OTHER</v>
      </c>
      <c r="H128" s="185" t="str">
        <f>IFERROR(__xludf.DUMMYFUNCTION("""COMPUTED_VALUE"""),"No")</f>
        <v>No</v>
      </c>
      <c r="I128" s="185" t="str">
        <f>IFERROR(__xludf.DUMMYFUNCTION("""COMPUTED_VALUE"""),"High")</f>
        <v>High</v>
      </c>
      <c r="J128" s="185" t="str">
        <f>IFERROR(__xludf.DUMMYFUNCTION("""COMPUTED_VALUE"""),"Yes - priority")</f>
        <v>Yes - priority</v>
      </c>
      <c r="K128" s="185"/>
      <c r="L128" s="187">
        <f>IFERROR(__xludf.DUMMYFUNCTION("""COMPUTED_VALUE"""),4.0)</f>
        <v>4</v>
      </c>
      <c r="M128" s="188">
        <f>IFERROR(__xludf.DUMMYFUNCTION("""COMPUTED_VALUE"""),0.0)</f>
        <v>0</v>
      </c>
      <c r="N128" s="188">
        <f>IFERROR(__xludf.DUMMYFUNCTION("""COMPUTED_VALUE"""),0.0)</f>
        <v>0</v>
      </c>
      <c r="O128" s="208"/>
      <c r="P128" s="208"/>
      <c r="Q128" s="208"/>
      <c r="R128" s="208"/>
    </row>
    <row r="129">
      <c r="A129" s="185" t="str">
        <f>IFERROR(__xludf.DUMMYFUNCTION("""COMPUTED_VALUE"""),"Agency directory / review marketplace")</f>
        <v>Agency directory / review marketplace</v>
      </c>
      <c r="B129" s="186" t="str">
        <f>IFERROR(__xludf.DUMMYFUNCTION("""COMPUTED_VALUE"""),"https://www.sortlist.com/advertising/united-states-us")</f>
        <v>https://www.sortlist.com/advertising/united-states-us</v>
      </c>
      <c r="C129" s="185" t="str">
        <f>IFERROR(__xludf.DUMMYFUNCTION("""COMPUTED_VALUE"""),"The 10 Best Advertising Agencies in the United States - 2026 Reviews")</f>
        <v>The 10 Best Advertising Agencies in the United States - 2026 Reviews</v>
      </c>
      <c r="D129" s="185" t="str">
        <f>IFERROR(__xludf.DUMMYFUNCTION("""COMPUTED_VALUE"""),"US")</f>
        <v>US</v>
      </c>
      <c r="E129" s="185" t="str">
        <f>IFERROR(__xludf.DUMMYFUNCTION("""COMPUTED_VALUE"""),"sortlist.com")</f>
        <v>sortlist.com</v>
      </c>
      <c r="F129" s="185" t="str">
        <f>IFERROR(__xludf.DUMMYFUNCTION("""COMPUTED_VALUE"""),"Category Page")</f>
        <v>Category Page</v>
      </c>
      <c r="G129" s="185" t="str">
        <f>IFERROR(__xludf.DUMMYFUNCTION("""COMPUTED_VALUE"""),"CORPORATE")</f>
        <v>CORPORATE</v>
      </c>
      <c r="H129" s="185" t="str">
        <f>IFERROR(__xludf.DUMMYFUNCTION("""COMPUTED_VALUE"""),"No")</f>
        <v>No</v>
      </c>
      <c r="I129" s="185" t="str">
        <f>IFERROR(__xludf.DUMMYFUNCTION("""COMPUTED_VALUE"""),"Medium")</f>
        <v>Medium</v>
      </c>
      <c r="J129" s="185" t="str">
        <f>IFERROR(__xludf.DUMMYFUNCTION("""COMPUTED_VALUE"""),"Yes")</f>
        <v>Yes</v>
      </c>
      <c r="K129" s="185" t="str">
        <f>IFERROR(__xludf.DUMMYFUNCTION("""COMPUTED_VALUE"""),"NinjaPromo, Publicis Groupe, Clutch")</f>
        <v>NinjaPromo, Publicis Groupe, Clutch</v>
      </c>
      <c r="L129" s="187">
        <f>IFERROR(__xludf.DUMMYFUNCTION("""COMPUTED_VALUE"""),4.0)</f>
        <v>4</v>
      </c>
      <c r="M129" s="188">
        <f>IFERROR(__xludf.DUMMYFUNCTION("""COMPUTED_VALUE"""),0.0)</f>
        <v>0</v>
      </c>
      <c r="N129" s="188">
        <f>IFERROR(__xludf.DUMMYFUNCTION("""COMPUTED_VALUE"""),0.25)</f>
        <v>0.25</v>
      </c>
      <c r="O129" s="208"/>
      <c r="P129" s="208"/>
      <c r="Q129" s="208"/>
      <c r="R129" s="208"/>
    </row>
    <row r="130">
      <c r="A130" s="185" t="str">
        <f>IFERROR(__xludf.DUMMYFUNCTION("""COMPUTED_VALUE"""),"Official partner / certification ecosystem")</f>
        <v>Official partner / certification ecosystem</v>
      </c>
      <c r="B130" s="186" t="str">
        <f>IFERROR(__xludf.DUMMYFUNCTION("""COMPUTED_VALUE"""),"https://support.google.com/google-ads/answer/9029203?hl=en")</f>
        <v>https://support.google.com/google-ads/answer/9029203?hl=en</v>
      </c>
      <c r="C130" s="185" t="str">
        <f>IFERROR(__xludf.DUMMYFUNCTION("""COMPUTED_VALUE"""),"About the Google Partners program")</f>
        <v>About the Google Partners program</v>
      </c>
      <c r="D130" s="185" t="str">
        <f>IFERROR(__xludf.DUMMYFUNCTION("""COMPUTED_VALUE"""),"US")</f>
        <v>US</v>
      </c>
      <c r="E130" s="185" t="str">
        <f>IFERROR(__xludf.DUMMYFUNCTION("""COMPUTED_VALUE"""),"google.com")</f>
        <v>google.com</v>
      </c>
      <c r="F130" s="185" t="str">
        <f>IFERROR(__xludf.DUMMYFUNCTION("""COMPUTED_VALUE"""),"Article")</f>
        <v>Article</v>
      </c>
      <c r="G130" s="185" t="str">
        <f>IFERROR(__xludf.DUMMYFUNCTION("""COMPUTED_VALUE"""),"OTHER")</f>
        <v>OTHER</v>
      </c>
      <c r="H130" s="185" t="str">
        <f>IFERROR(__xludf.DUMMYFUNCTION("""COMPUTED_VALUE"""),"No")</f>
        <v>No</v>
      </c>
      <c r="I130" s="185" t="str">
        <f>IFERROR(__xludf.DUMMYFUNCTION("""COMPUTED_VALUE"""),"High")</f>
        <v>High</v>
      </c>
      <c r="J130" s="185" t="str">
        <f>IFERROR(__xludf.DUMMYFUNCTION("""COMPUTED_VALUE"""),"Yes - priority")</f>
        <v>Yes - priority</v>
      </c>
      <c r="K130" s="185"/>
      <c r="L130" s="187">
        <f>IFERROR(__xludf.DUMMYFUNCTION("""COMPUTED_VALUE"""),4.0)</f>
        <v>4</v>
      </c>
      <c r="M130" s="188">
        <f>IFERROR(__xludf.DUMMYFUNCTION("""COMPUTED_VALUE"""),0.0)</f>
        <v>0</v>
      </c>
      <c r="N130" s="188">
        <f>IFERROR(__xludf.DUMMYFUNCTION("""COMPUTED_VALUE"""),0.0)</f>
        <v>0</v>
      </c>
      <c r="O130" s="208"/>
      <c r="P130" s="208"/>
      <c r="Q130" s="208"/>
      <c r="R130" s="208"/>
    </row>
    <row r="131">
      <c r="A131" s="185" t="str">
        <f>IFERROR(__xludf.DUMMYFUNCTION("""COMPUTED_VALUE"""),"Lower-priority competitor/vendor roundup")</f>
        <v>Lower-priority competitor/vendor roundup</v>
      </c>
      <c r="B131" s="186" t="str">
        <f>IFERROR(__xludf.DUMMYFUNCTION("""COMPUTED_VALUE"""),"https://www.thegrowthsyndicate.com/agencies/best-b2b-google-ads-agencies-us")</f>
        <v>https://www.thegrowthsyndicate.com/agencies/best-b2b-google-ads-agencies-us</v>
      </c>
      <c r="C131" s="185" t="str">
        <f>IFERROR(__xludf.DUMMYFUNCTION("""COMPUTED_VALUE"""),"15 Best B2B Google Ads Agencies in the US in 2026")</f>
        <v>15 Best B2B Google Ads Agencies in the US in 2026</v>
      </c>
      <c r="D131" s="185" t="str">
        <f>IFERROR(__xludf.DUMMYFUNCTION("""COMPUTED_VALUE"""),"US")</f>
        <v>US</v>
      </c>
      <c r="E131" s="185" t="str">
        <f>IFERROR(__xludf.DUMMYFUNCTION("""COMPUTED_VALUE"""),"thegrowthsyndicate.com")</f>
        <v>thegrowthsyndicate.com</v>
      </c>
      <c r="F131" s="185" t="str">
        <f>IFERROR(__xludf.DUMMYFUNCTION("""COMPUTED_VALUE"""),"Listicle")</f>
        <v>Listicle</v>
      </c>
      <c r="G131" s="185" t="str">
        <f>IFERROR(__xludf.DUMMYFUNCTION("""COMPUTED_VALUE"""),"CORPORATE")</f>
        <v>CORPORATE</v>
      </c>
      <c r="H131" s="185" t="str">
        <f>IFERROR(__xludf.DUMMYFUNCTION("""COMPUTED_VALUE"""),"No")</f>
        <v>No</v>
      </c>
      <c r="I131" s="185" t="str">
        <f>IFERROR(__xludf.DUMMYFUNCTION("""COMPUTED_VALUE"""),"Low")</f>
        <v>Low</v>
      </c>
      <c r="J131" s="185" t="str">
        <f>IFERROR(__xludf.DUMMYFUNCTION("""COMPUTED_VALUE"""),"Secondary")</f>
        <v>Secondary</v>
      </c>
      <c r="K131" s="185" t="str">
        <f>IFERROR(__xludf.DUMMYFUNCTION("""COMPUTED_VALUE"""),"Directive, Disruptive Advertising, KlientBoost, Single Grain, Tinuiti, Brainlabs, HawkSEM, AdVenture Media, Silverback Strategies, Clutch, Seer Interactive, Metric Theory, Monks")</f>
        <v>Directive, Disruptive Advertising, KlientBoost, Single Grain, Tinuiti, Brainlabs, HawkSEM, AdVenture Media, Silverback Strategies, Clutch, Seer Interactive, Metric Theory, Monks</v>
      </c>
      <c r="L131" s="187">
        <f>IFERROR(__xludf.DUMMYFUNCTION("""COMPUTED_VALUE"""),4.0)</f>
        <v>4</v>
      </c>
      <c r="M131" s="188">
        <f>IFERROR(__xludf.DUMMYFUNCTION("""COMPUTED_VALUE"""),0.0)</f>
        <v>0</v>
      </c>
      <c r="N131" s="188">
        <f>IFERROR(__xludf.DUMMYFUNCTION("""COMPUTED_VALUE"""),0.25)</f>
        <v>0.25</v>
      </c>
      <c r="O131" s="208"/>
      <c r="P131" s="208"/>
      <c r="Q131" s="208"/>
      <c r="R131" s="208"/>
    </row>
    <row r="132">
      <c r="A132" s="185" t="str">
        <f>IFERROR(__xludf.DUMMYFUNCTION("""COMPUTED_VALUE"""),"Agency directory / review marketplace")</f>
        <v>Agency directory / review marketplace</v>
      </c>
      <c r="B132" s="186" t="str">
        <f>IFERROR(__xludf.DUMMYFUNCTION("""COMPUTED_VALUE"""),"https://themanifest.com/us/ppc/agencies")</f>
        <v>https://themanifest.com/us/ppc/agencies</v>
      </c>
      <c r="C132" s="185" t="str">
        <f>IFERROR(__xludf.DUMMYFUNCTION("""COMPUTED_VALUE"""),"The Best PPC Companies in United States - Jul 2026 | The Manifest")</f>
        <v>The Best PPC Companies in United States - Jul 2026 | The Manifest</v>
      </c>
      <c r="D132" s="185" t="str">
        <f>IFERROR(__xludf.DUMMYFUNCTION("""COMPUTED_VALUE"""),"US")</f>
        <v>US</v>
      </c>
      <c r="E132" s="185" t="str">
        <f>IFERROR(__xludf.DUMMYFUNCTION("""COMPUTED_VALUE"""),"themanifest.com")</f>
        <v>themanifest.com</v>
      </c>
      <c r="F132" s="185" t="str">
        <f>IFERROR(__xludf.DUMMYFUNCTION("""COMPUTED_VALUE"""),"Category Page")</f>
        <v>Category Page</v>
      </c>
      <c r="G132" s="185" t="str">
        <f>IFERROR(__xludf.DUMMYFUNCTION("""COMPUTED_VALUE"""),"REFERENCE")</f>
        <v>REFERENCE</v>
      </c>
      <c r="H132" s="185" t="str">
        <f>IFERROR(__xludf.DUMMYFUNCTION("""COMPUTED_VALUE"""),"No")</f>
        <v>No</v>
      </c>
      <c r="I132" s="185" t="str">
        <f>IFERROR(__xludf.DUMMYFUNCTION("""COMPUTED_VALUE"""),"Medium")</f>
        <v>Medium</v>
      </c>
      <c r="J132" s="185" t="str">
        <f>IFERROR(__xludf.DUMMYFUNCTION("""COMPUTED_VALUE"""),"Yes")</f>
        <v>Yes</v>
      </c>
      <c r="K132" s="185" t="str">
        <f>IFERROR(__xludf.DUMMYFUNCTION("""COMPUTED_VALUE"""),"Clutch, KlientBoost, Disruptive Advertising, AdVenture Media, HawkSEM, SmartSites, Intero Digital, Elit-Web, NinjaPromo, Funnel Boost Media, LYFE Marketing")</f>
        <v>Clutch, KlientBoost, Disruptive Advertising, AdVenture Media, HawkSEM, SmartSites, Intero Digital, Elit-Web, NinjaPromo, Funnel Boost Media, LYFE Marketing</v>
      </c>
      <c r="L132" s="187">
        <f>IFERROR(__xludf.DUMMYFUNCTION("""COMPUTED_VALUE"""),4.0)</f>
        <v>4</v>
      </c>
      <c r="M132" s="188">
        <f>IFERROR(__xludf.DUMMYFUNCTION("""COMPUTED_VALUE"""),0.0)</f>
        <v>0</v>
      </c>
      <c r="N132" s="188">
        <f>IFERROR(__xludf.DUMMYFUNCTION("""COMPUTED_VALUE"""),0.0)</f>
        <v>0</v>
      </c>
      <c r="O132" s="208"/>
      <c r="P132" s="208"/>
      <c r="Q132" s="208"/>
      <c r="R132" s="208"/>
    </row>
    <row r="133">
      <c r="A133" s="185" t="str">
        <f>IFERROR(__xludf.DUMMYFUNCTION("""COMPUTED_VALUE"""),"Lower-priority competitor/vendor roundup")</f>
        <v>Lower-priority competitor/vendor roundup</v>
      </c>
      <c r="B133" s="186" t="str">
        <f>IFERROR(__xludf.DUMMYFUNCTION("""COMPUTED_VALUE"""),"https://www.webtonic.io/blog/top-enterprise-digital-marketing-agencies#:~:text=Their%20capabilities%20include%20advanced%20analytics%2C%20marketing%20automation,Columbia%20(Maryland)%2C%20New%20York%2C%20London%2C%20Global%20offices.")</f>
        <v>https://www.webtonic.io/blog/top-enterprise-digital-marketing-agencies#:~:text=Their%20capabilities%20include%20advanced%20analytics%2C%20marketing%20automation,Columbia%20(Maryland)%2C%20New%20York%2C%20London%2C%20Global%20offices.</v>
      </c>
      <c r="C133" s="185" t="str">
        <f>IFERROR(__xludf.DUMMYFUNCTION("""COMPUTED_VALUE"""),"40 Top Enterprise Digital Marketing Agencies for 2026")</f>
        <v>40 Top Enterprise Digital Marketing Agencies for 2026</v>
      </c>
      <c r="D133" s="185" t="str">
        <f>IFERROR(__xludf.DUMMYFUNCTION("""COMPUTED_VALUE"""),"US")</f>
        <v>US</v>
      </c>
      <c r="E133" s="185" t="str">
        <f>IFERROR(__xludf.DUMMYFUNCTION("""COMPUTED_VALUE"""),"webtonic.io")</f>
        <v>webtonic.io</v>
      </c>
      <c r="F133" s="185" t="str">
        <f>IFERROR(__xludf.DUMMYFUNCTION("""COMPUTED_VALUE"""),"Listicle")</f>
        <v>Listicle</v>
      </c>
      <c r="G133" s="185" t="str">
        <f>IFERROR(__xludf.DUMMYFUNCTION("""COMPUTED_VALUE"""),"COMPETITOR")</f>
        <v>COMPETITOR</v>
      </c>
      <c r="H133" s="185" t="str">
        <f>IFERROR(__xludf.DUMMYFUNCTION("""COMPUTED_VALUE"""),"No")</f>
        <v>No</v>
      </c>
      <c r="I133" s="185" t="str">
        <f>IFERROR(__xludf.DUMMYFUNCTION("""COMPUTED_VALUE"""),"Low")</f>
        <v>Low</v>
      </c>
      <c r="J133" s="185" t="str">
        <f>IFERROR(__xludf.DUMMYFUNCTION("""COMPUTED_VALUE"""),"Secondary")</f>
        <v>Secondary</v>
      </c>
      <c r="K133" s="185" t="str">
        <f>IFERROR(__xludf.DUMMYFUNCTION("""COMPUTED_VALUE"""),"Web Tonic, Publicis Sapient, Merkle, Dentsu, Accenture Song, VML, Deloitte Digital, iProspect, R/GA, Huge, Digitas, Epsilon, PwC, Ogilvy, IBM, GroupM, DEPT, WPP")</f>
        <v>Web Tonic, Publicis Sapient, Merkle, Dentsu, Accenture Song, VML, Deloitte Digital, iProspect, R/GA, Huge, Digitas, Epsilon, PwC, Ogilvy, IBM, GroupM, DEPT, WPP</v>
      </c>
      <c r="L133" s="187">
        <f>IFERROR(__xludf.DUMMYFUNCTION("""COMPUTED_VALUE"""),4.0)</f>
        <v>4</v>
      </c>
      <c r="M133" s="188">
        <f>IFERROR(__xludf.DUMMYFUNCTION("""COMPUTED_VALUE"""),0.0)</f>
        <v>0</v>
      </c>
      <c r="N133" s="188">
        <f>IFERROR(__xludf.DUMMYFUNCTION("""COMPUTED_VALUE"""),1.75)</f>
        <v>1.75</v>
      </c>
      <c r="O133" s="208"/>
      <c r="P133" s="208"/>
      <c r="Q133" s="208"/>
      <c r="R133" s="208"/>
    </row>
    <row r="134">
      <c r="A134" s="185" t="str">
        <f>IFERROR(__xludf.DUMMYFUNCTION("""COMPUTED_VALUE"""),"Lower-priority competitor/vendor roundup")</f>
        <v>Lower-priority competitor/vendor roundup</v>
      </c>
      <c r="B134" s="186" t="str">
        <f>IFERROR(__xludf.DUMMYFUNCTION("""COMPUTED_VALUE"""),"https://www.webtonic.io/blog/top-paid-media-agencies")</f>
        <v>https://www.webtonic.io/blog/top-paid-media-agencies</v>
      </c>
      <c r="C134" s="185" t="str">
        <f>IFERROR(__xludf.DUMMYFUNCTION("""COMPUTED_VALUE"""),"The 51 Top Paid Media Agencies as of 2026")</f>
        <v>The 51 Top Paid Media Agencies as of 2026</v>
      </c>
      <c r="D134" s="185" t="str">
        <f>IFERROR(__xludf.DUMMYFUNCTION("""COMPUTED_VALUE"""),"US")</f>
        <v>US</v>
      </c>
      <c r="E134" s="185" t="str">
        <f>IFERROR(__xludf.DUMMYFUNCTION("""COMPUTED_VALUE"""),"webtonic.io")</f>
        <v>webtonic.io</v>
      </c>
      <c r="F134" s="185" t="str">
        <f>IFERROR(__xludf.DUMMYFUNCTION("""COMPUTED_VALUE"""),"Listicle")</f>
        <v>Listicle</v>
      </c>
      <c r="G134" s="185" t="str">
        <f>IFERROR(__xludf.DUMMYFUNCTION("""COMPUTED_VALUE"""),"COMPETITOR")</f>
        <v>COMPETITOR</v>
      </c>
      <c r="H134" s="185" t="str">
        <f>IFERROR(__xludf.DUMMYFUNCTION("""COMPUTED_VALUE"""),"Yes")</f>
        <v>Yes</v>
      </c>
      <c r="I134" s="185" t="str">
        <f>IFERROR(__xludf.DUMMYFUNCTION("""COMPUTED_VALUE"""),"Low")</f>
        <v>Low</v>
      </c>
      <c r="J134" s="185" t="str">
        <f>IFERROR(__xludf.DUMMYFUNCTION("""COMPUTED_VALUE"""),"Secondary")</f>
        <v>Secondary</v>
      </c>
      <c r="K134" s="185" t="str">
        <f>IFERROR(__xludf.DUMMYFUNCTION("""COMPUTED_VALUE"""),"Web Tonic, Tinuiti, Wpromote, TransUnion, Jellyfish, Merkle, Dentsu, Brainlabs, DEPT, GroupM, Metric Theory, KlientBoost, Power Digital, Disruptive Advertising, AdVenture Media, PMG, Directive, Incubeta, Hawke Media, MuteSix, Amsive")</f>
        <v>Web Tonic, Tinuiti, Wpromote, TransUnion, Jellyfish, Merkle, Dentsu, Brainlabs, DEPT, GroupM, Metric Theory, KlientBoost, Power Digital, Disruptive Advertising, AdVenture Media, PMG, Directive, Incubeta, Hawke Media, MuteSix, Amsive</v>
      </c>
      <c r="L134" s="187">
        <f>IFERROR(__xludf.DUMMYFUNCTION("""COMPUTED_VALUE"""),4.0)</f>
        <v>4</v>
      </c>
      <c r="M134" s="188">
        <f>IFERROR(__xludf.DUMMYFUNCTION("""COMPUTED_VALUE"""),0.0)</f>
        <v>0</v>
      </c>
      <c r="N134" s="188">
        <f>IFERROR(__xludf.DUMMYFUNCTION("""COMPUTED_VALUE"""),1.75)</f>
        <v>1.75</v>
      </c>
      <c r="O134" s="208"/>
      <c r="P134" s="208"/>
      <c r="Q134" s="208"/>
      <c r="R134" s="208"/>
    </row>
    <row r="135">
      <c r="A135" s="185" t="str">
        <f>IFERROR(__xludf.DUMMYFUNCTION("""COMPUTED_VALUE"""),"Industry data / software authority")</f>
        <v>Industry data / software authority</v>
      </c>
      <c r="B135" s="186" t="str">
        <f>IFERROR(__xludf.DUMMYFUNCTION("""COMPUTED_VALUE"""),"https://agencies.semrush.com/list/analytics-data-science/business-professional-services/united-states/")</f>
        <v>https://agencies.semrush.com/list/analytics-data-science/business-professional-services/united-states/</v>
      </c>
      <c r="C135" s="185" t="str">
        <f>IFERROR(__xludf.DUMMYFUNCTION("""COMPUTED_VALUE"""),"Best B2B Services Data Analytics Services in United States 2026 | Semrush")</f>
        <v>Best B2B Services Data Analytics Services in United States 2026 | Semrush</v>
      </c>
      <c r="D135" s="185" t="str">
        <f>IFERROR(__xludf.DUMMYFUNCTION("""COMPUTED_VALUE"""),"US")</f>
        <v>US</v>
      </c>
      <c r="E135" s="185" t="str">
        <f>IFERROR(__xludf.DUMMYFUNCTION("""COMPUTED_VALUE"""),"semrush.com")</f>
        <v>semrush.com</v>
      </c>
      <c r="F135" s="185" t="str">
        <f>IFERROR(__xludf.DUMMYFUNCTION("""COMPUTED_VALUE"""),"Category Page")</f>
        <v>Category Page</v>
      </c>
      <c r="G135" s="185" t="str">
        <f>IFERROR(__xludf.DUMMYFUNCTION("""COMPUTED_VALUE"""),"CORPORATE")</f>
        <v>CORPORATE</v>
      </c>
      <c r="H135" s="185" t="str">
        <f>IFERROR(__xludf.DUMMYFUNCTION("""COMPUTED_VALUE"""),"No")</f>
        <v>No</v>
      </c>
      <c r="I135" s="185" t="str">
        <f>IFERROR(__xludf.DUMMYFUNCTION("""COMPUTED_VALUE"""),"Medium")</f>
        <v>Medium</v>
      </c>
      <c r="J135" s="185" t="str">
        <f>IFERROR(__xludf.DUMMYFUNCTION("""COMPUTED_VALUE"""),"Yes")</f>
        <v>Yes</v>
      </c>
      <c r="K135" s="185" t="str">
        <f>IFERROR(__xludf.DUMMYFUNCTION("""COMPUTED_VALUE"""),"LYFE Marketing, Elit-Web, Silverback Strategies, WebFX")</f>
        <v>LYFE Marketing, Elit-Web, Silverback Strategies, WebFX</v>
      </c>
      <c r="L135" s="187">
        <f>IFERROR(__xludf.DUMMYFUNCTION("""COMPUTED_VALUE"""),3.0)</f>
        <v>3</v>
      </c>
      <c r="M135" s="188">
        <f>IFERROR(__xludf.DUMMYFUNCTION("""COMPUTED_VALUE"""),0.0)</f>
        <v>0</v>
      </c>
      <c r="N135" s="188">
        <f>IFERROR(__xludf.DUMMYFUNCTION("""COMPUTED_VALUE"""),0.0)</f>
        <v>0</v>
      </c>
      <c r="O135" s="208"/>
      <c r="P135" s="208"/>
      <c r="Q135" s="208"/>
      <c r="R135" s="208"/>
    </row>
    <row r="136">
      <c r="A136" s="185" t="str">
        <f>IFERROR(__xludf.DUMMYFUNCTION("""COMPUTED_VALUE"""),"Industry data / software authority")</f>
        <v>Industry data / software authority</v>
      </c>
      <c r="B136" s="186" t="str">
        <f>IFERROR(__xludf.DUMMYFUNCTION("""COMPUTED_VALUE"""),"https://agencies.semrush.com/list/display-advertising/ecommerce/united-states/")</f>
        <v>https://agencies.semrush.com/list/display-advertising/ecommerce/united-states/</v>
      </c>
      <c r="C136" s="185" t="str">
        <f>IFERROR(__xludf.DUMMYFUNCTION("""COMPUTED_VALUE"""),"Best Ecommerce Display Ads Agencies in United States 2026 | Semrush")</f>
        <v>Best Ecommerce Display Ads Agencies in United States 2026 | Semrush</v>
      </c>
      <c r="D136" s="185" t="str">
        <f>IFERROR(__xludf.DUMMYFUNCTION("""COMPUTED_VALUE"""),"US")</f>
        <v>US</v>
      </c>
      <c r="E136" s="185" t="str">
        <f>IFERROR(__xludf.DUMMYFUNCTION("""COMPUTED_VALUE"""),"semrush.com")</f>
        <v>semrush.com</v>
      </c>
      <c r="F136" s="185" t="str">
        <f>IFERROR(__xludf.DUMMYFUNCTION("""COMPUTED_VALUE"""),"Category Page")</f>
        <v>Category Page</v>
      </c>
      <c r="G136" s="185" t="str">
        <f>IFERROR(__xludf.DUMMYFUNCTION("""COMPUTED_VALUE"""),"CORPORATE")</f>
        <v>CORPORATE</v>
      </c>
      <c r="H136" s="185" t="str">
        <f>IFERROR(__xludf.DUMMYFUNCTION("""COMPUTED_VALUE"""),"No")</f>
        <v>No</v>
      </c>
      <c r="I136" s="185" t="str">
        <f>IFERROR(__xludf.DUMMYFUNCTION("""COMPUTED_VALUE"""),"Medium")</f>
        <v>Medium</v>
      </c>
      <c r="J136" s="185" t="str">
        <f>IFERROR(__xludf.DUMMYFUNCTION("""COMPUTED_VALUE"""),"Yes")</f>
        <v>Yes</v>
      </c>
      <c r="K136" s="185" t="str">
        <f>IFERROR(__xludf.DUMMYFUNCTION("""COMPUTED_VALUE"""),"SmartSites, Elit-Web, Brighter Click, Silverback Strategies")</f>
        <v>SmartSites, Elit-Web, Brighter Click, Silverback Strategies</v>
      </c>
      <c r="L136" s="187">
        <f>IFERROR(__xludf.DUMMYFUNCTION("""COMPUTED_VALUE"""),3.0)</f>
        <v>3</v>
      </c>
      <c r="M136" s="188">
        <f>IFERROR(__xludf.DUMMYFUNCTION("""COMPUTED_VALUE"""),0.0)</f>
        <v>0</v>
      </c>
      <c r="N136" s="188">
        <f>IFERROR(__xludf.DUMMYFUNCTION("""COMPUTED_VALUE"""),0.0)</f>
        <v>0</v>
      </c>
      <c r="O136" s="208"/>
      <c r="P136" s="208"/>
      <c r="Q136" s="208"/>
      <c r="R136" s="208"/>
    </row>
    <row r="137">
      <c r="A137" s="185" t="str">
        <f>IFERROR(__xludf.DUMMYFUNCTION("""COMPUTED_VALUE"""),"Official partner / certification ecosystem")</f>
        <v>Official partner / certification ecosystem</v>
      </c>
      <c r="B137" s="186" t="str">
        <f>IFERROR(__xludf.DUMMYFUNCTION("""COMPUTED_VALUE"""),"https://business.google.com/us/support/become-a-partner/")</f>
        <v>https://business.google.com/us/support/become-a-partner/</v>
      </c>
      <c r="C137" s="185" t="str">
        <f>IFERROR(__xludf.DUMMYFUNCTION("""COMPUTED_VALUE"""),"Google Partners Program: Get Training and Support - Google Ads")</f>
        <v>Google Partners Program: Get Training and Support - Google Ads</v>
      </c>
      <c r="D137" s="185" t="str">
        <f>IFERROR(__xludf.DUMMYFUNCTION("""COMPUTED_VALUE"""),"US")</f>
        <v>US</v>
      </c>
      <c r="E137" s="185" t="str">
        <f>IFERROR(__xludf.DUMMYFUNCTION("""COMPUTED_VALUE"""),"google.com")</f>
        <v>google.com</v>
      </c>
      <c r="F137" s="185" t="str">
        <f>IFERROR(__xludf.DUMMYFUNCTION("""COMPUTED_VALUE"""),"Product Page")</f>
        <v>Product Page</v>
      </c>
      <c r="G137" s="185" t="str">
        <f>IFERROR(__xludf.DUMMYFUNCTION("""COMPUTED_VALUE"""),"OTHER")</f>
        <v>OTHER</v>
      </c>
      <c r="H137" s="185" t="str">
        <f>IFERROR(__xludf.DUMMYFUNCTION("""COMPUTED_VALUE"""),"No")</f>
        <v>No</v>
      </c>
      <c r="I137" s="185" t="str">
        <f>IFERROR(__xludf.DUMMYFUNCTION("""COMPUTED_VALUE"""),"High")</f>
        <v>High</v>
      </c>
      <c r="J137" s="185" t="str">
        <f>IFERROR(__xludf.DUMMYFUNCTION("""COMPUTED_VALUE"""),"Yes - priority")</f>
        <v>Yes - priority</v>
      </c>
      <c r="K137" s="185" t="str">
        <f>IFERROR(__xludf.DUMMYFUNCTION("""COMPUTED_VALUE"""),"New Engen, Merkle")</f>
        <v>New Engen, Merkle</v>
      </c>
      <c r="L137" s="187">
        <f>IFERROR(__xludf.DUMMYFUNCTION("""COMPUTED_VALUE"""),3.0)</f>
        <v>3</v>
      </c>
      <c r="M137" s="188">
        <f>IFERROR(__xludf.DUMMYFUNCTION("""COMPUTED_VALUE"""),0.0)</f>
        <v>0</v>
      </c>
      <c r="N137" s="188">
        <f>IFERROR(__xludf.DUMMYFUNCTION("""COMPUTED_VALUE"""),0.0)</f>
        <v>0</v>
      </c>
      <c r="O137" s="208"/>
      <c r="P137" s="208"/>
      <c r="Q137" s="208"/>
      <c r="R137" s="208"/>
    </row>
    <row r="138">
      <c r="A138" s="185" t="str">
        <f>IFERROR(__xludf.DUMMYFUNCTION("""COMPUTED_VALUE"""),"Agency directory / review marketplace")</f>
        <v>Agency directory / review marketplace</v>
      </c>
      <c r="B138" s="186" t="str">
        <f>IFERROR(__xludf.DUMMYFUNCTION("""COMPUTED_VALUE"""),"https://clutch.co/agencies/ppc/display/indiana")</f>
        <v>https://clutch.co/agencies/ppc/display/indiana</v>
      </c>
      <c r="C138" s="185" t="str">
        <f>IFERROR(__xludf.DUMMYFUNCTION("""COMPUTED_VALUE"""),"Top Display Advertising Agencies in the United States - Jul 2026 Rankings \| Clutch.co")</f>
        <v>Top Display Advertising Agencies in the United States - Jul 2026 Rankings \| Clutch.co</v>
      </c>
      <c r="D138" s="185" t="str">
        <f>IFERROR(__xludf.DUMMYFUNCTION("""COMPUTED_VALUE"""),"US")</f>
        <v>US</v>
      </c>
      <c r="E138" s="185" t="str">
        <f>IFERROR(__xludf.DUMMYFUNCTION("""COMPUTED_VALUE"""),"clutch.co")</f>
        <v>clutch.co</v>
      </c>
      <c r="F138" s="185" t="str">
        <f>IFERROR(__xludf.DUMMYFUNCTION("""COMPUTED_VALUE"""),"Category Page")</f>
        <v>Category Page</v>
      </c>
      <c r="G138" s="185" t="str">
        <f>IFERROR(__xludf.DUMMYFUNCTION("""COMPUTED_VALUE"""),"COMPETITOR")</f>
        <v>COMPETITOR</v>
      </c>
      <c r="H138" s="185" t="str">
        <f>IFERROR(__xludf.DUMMYFUNCTION("""COMPUTED_VALUE"""),"No")</f>
        <v>No</v>
      </c>
      <c r="I138" s="185" t="str">
        <f>IFERROR(__xludf.DUMMYFUNCTION("""COMPUTED_VALUE"""),"Medium")</f>
        <v>Medium</v>
      </c>
      <c r="J138" s="185" t="str">
        <f>IFERROR(__xludf.DUMMYFUNCTION("""COMPUTED_VALUE"""),"Yes")</f>
        <v>Yes</v>
      </c>
      <c r="K138" s="185" t="str">
        <f>IFERROR(__xludf.DUMMYFUNCTION("""COMPUTED_VALUE"""),"Clutch, Elit-Web, AdVenture Media, Storm Brain, Huge")</f>
        <v>Clutch, Elit-Web, AdVenture Media, Storm Brain, Huge</v>
      </c>
      <c r="L138" s="187">
        <f>IFERROR(__xludf.DUMMYFUNCTION("""COMPUTED_VALUE"""),3.0)</f>
        <v>3</v>
      </c>
      <c r="M138" s="188">
        <f>IFERROR(__xludf.DUMMYFUNCTION("""COMPUTED_VALUE"""),0.0)</f>
        <v>0</v>
      </c>
      <c r="N138" s="188">
        <f>IFERROR(__xludf.DUMMYFUNCTION("""COMPUTED_VALUE"""),0.0)</f>
        <v>0</v>
      </c>
      <c r="O138" s="208"/>
      <c r="P138" s="208"/>
      <c r="Q138" s="208"/>
      <c r="R138" s="208"/>
    </row>
    <row r="139">
      <c r="A139" s="185" t="str">
        <f>IFERROR(__xludf.DUMMYFUNCTION("""COMPUTED_VALUE"""),"Agency directory / review marketplace")</f>
        <v>Agency directory / review marketplace</v>
      </c>
      <c r="B139" s="186" t="str">
        <f>IFERROR(__xludf.DUMMYFUNCTION("""COMPUTED_VALUE"""),"https://clutch.co/agencies/ppc?geona_id=47171&amp;page=1")</f>
        <v>https://clutch.co/agencies/ppc?geona_id=47171&amp;page=1</v>
      </c>
      <c r="C139" s="185" t="str">
        <f>IFERROR(__xludf.DUMMYFUNCTION("""COMPUTED_VALUE"""),"Page 2 - Top PPC Agencies - Jul 2026 Rankings \| Clutch.co")</f>
        <v>Page 2 - Top PPC Agencies - Jul 2026 Rankings \| Clutch.co</v>
      </c>
      <c r="D139" s="185" t="str">
        <f>IFERROR(__xludf.DUMMYFUNCTION("""COMPUTED_VALUE"""),"US")</f>
        <v>US</v>
      </c>
      <c r="E139" s="185" t="str">
        <f>IFERROR(__xludf.DUMMYFUNCTION("""COMPUTED_VALUE"""),"clutch.co")</f>
        <v>clutch.co</v>
      </c>
      <c r="F139" s="185" t="str">
        <f>IFERROR(__xludf.DUMMYFUNCTION("""COMPUTED_VALUE"""),"Category Page")</f>
        <v>Category Page</v>
      </c>
      <c r="G139" s="185" t="str">
        <f>IFERROR(__xludf.DUMMYFUNCTION("""COMPUTED_VALUE"""),"COMPETITOR")</f>
        <v>COMPETITOR</v>
      </c>
      <c r="H139" s="185" t="str">
        <f>IFERROR(__xludf.DUMMYFUNCTION("""COMPUTED_VALUE"""),"No")</f>
        <v>No</v>
      </c>
      <c r="I139" s="185" t="str">
        <f>IFERROR(__xludf.DUMMYFUNCTION("""COMPUTED_VALUE"""),"Medium")</f>
        <v>Medium</v>
      </c>
      <c r="J139" s="185" t="str">
        <f>IFERROR(__xludf.DUMMYFUNCTION("""COMPUTED_VALUE"""),"Yes")</f>
        <v>Yes</v>
      </c>
      <c r="K139" s="185" t="str">
        <f>IFERROR(__xludf.DUMMYFUNCTION("""COMPUTED_VALUE"""),"Clutch, Disruptive Advertising, AdVenture Media, KlientBoost, Single Grain, SmartSites, HawkSEM, NinjaPromo, Intero Digital, Elit-Web")</f>
        <v>Clutch, Disruptive Advertising, AdVenture Media, KlientBoost, Single Grain, SmartSites, HawkSEM, NinjaPromo, Intero Digital, Elit-Web</v>
      </c>
      <c r="L139" s="187">
        <f>IFERROR(__xludf.DUMMYFUNCTION("""COMPUTED_VALUE"""),3.0)</f>
        <v>3</v>
      </c>
      <c r="M139" s="188">
        <f>IFERROR(__xludf.DUMMYFUNCTION("""COMPUTED_VALUE"""),0.0)</f>
        <v>0</v>
      </c>
      <c r="N139" s="188">
        <f>IFERROR(__xludf.DUMMYFUNCTION("""COMPUTED_VALUE"""),0.67)</f>
        <v>0.67</v>
      </c>
      <c r="O139" s="208"/>
      <c r="P139" s="208"/>
      <c r="Q139" s="208"/>
      <c r="R139" s="208"/>
    </row>
    <row r="140">
      <c r="A140" s="185" t="str">
        <f>IFERROR(__xludf.DUMMYFUNCTION("""COMPUTED_VALUE"""),"Agency directory / review marketplace")</f>
        <v>Agency directory / review marketplace</v>
      </c>
      <c r="B140" s="186" t="str">
        <f>IFERROR(__xludf.DUMMYFUNCTION("""COMPUTED_VALUE"""),"https://clutch.co/us/agencies/branding/corporate")</f>
        <v>https://clutch.co/us/agencies/branding/corporate</v>
      </c>
      <c r="C140" s="185" t="str">
        <f>IFERROR(__xludf.DUMMYFUNCTION("""COMPUTED_VALUE"""),"Top Corporate Branding Agencies in the United States - Jul 2026 Rankings \| Clutch.co")</f>
        <v>Top Corporate Branding Agencies in the United States - Jul 2026 Rankings \| Clutch.co</v>
      </c>
      <c r="D140" s="185" t="str">
        <f>IFERROR(__xludf.DUMMYFUNCTION("""COMPUTED_VALUE"""),"US")</f>
        <v>US</v>
      </c>
      <c r="E140" s="185" t="str">
        <f>IFERROR(__xludf.DUMMYFUNCTION("""COMPUTED_VALUE"""),"clutch.co")</f>
        <v>clutch.co</v>
      </c>
      <c r="F140" s="185" t="str">
        <f>IFERROR(__xludf.DUMMYFUNCTION("""COMPUTED_VALUE"""),"Category Page")</f>
        <v>Category Page</v>
      </c>
      <c r="G140" s="185" t="str">
        <f>IFERROR(__xludf.DUMMYFUNCTION("""COMPUTED_VALUE"""),"COMPETITOR")</f>
        <v>COMPETITOR</v>
      </c>
      <c r="H140" s="185" t="str">
        <f>IFERROR(__xludf.DUMMYFUNCTION("""COMPUTED_VALUE"""),"No")</f>
        <v>No</v>
      </c>
      <c r="I140" s="185" t="str">
        <f>IFERROR(__xludf.DUMMYFUNCTION("""COMPUTED_VALUE"""),"Medium")</f>
        <v>Medium</v>
      </c>
      <c r="J140" s="185" t="str">
        <f>IFERROR(__xludf.DUMMYFUNCTION("""COMPUTED_VALUE"""),"Yes")</f>
        <v>Yes</v>
      </c>
      <c r="K140" s="185" t="str">
        <f>IFERROR(__xludf.DUMMYFUNCTION("""COMPUTED_VALUE"""),"Clutch, Momentum, Clay")</f>
        <v>Clutch, Momentum, Clay</v>
      </c>
      <c r="L140" s="187">
        <f>IFERROR(__xludf.DUMMYFUNCTION("""COMPUTED_VALUE"""),3.0)</f>
        <v>3</v>
      </c>
      <c r="M140" s="188">
        <f>IFERROR(__xludf.DUMMYFUNCTION("""COMPUTED_VALUE"""),0.0)</f>
        <v>0</v>
      </c>
      <c r="N140" s="188">
        <f>IFERROR(__xludf.DUMMYFUNCTION("""COMPUTED_VALUE"""),0.0)</f>
        <v>0</v>
      </c>
      <c r="O140" s="208"/>
      <c r="P140" s="208"/>
      <c r="Q140" s="208"/>
      <c r="R140" s="208"/>
    </row>
    <row r="141">
      <c r="A141" s="185" t="str">
        <f>IFERROR(__xludf.DUMMYFUNCTION("""COMPUTED_VALUE"""),"Agency directory / review marketplace")</f>
        <v>Agency directory / review marketplace</v>
      </c>
      <c r="B141" s="186" t="str">
        <f>IFERROR(__xludf.DUMMYFUNCTION("""COMPUTED_VALUE"""),"https://clutch.co/us/agencies/ppc/display?page=6")</f>
        <v>https://clutch.co/us/agencies/ppc/display?page=6</v>
      </c>
      <c r="C141" s="185" t="str">
        <f>IFERROR(__xludf.DUMMYFUNCTION("""COMPUTED_VALUE"""),"Page 6 - Top Display Advertising Agencies in the United States - Jul 2026 Rankings | Clutch.co")</f>
        <v>Page 6 - Top Display Advertising Agencies in the United States - Jul 2026 Rankings | Clutch.co</v>
      </c>
      <c r="D141" s="185" t="str">
        <f>IFERROR(__xludf.DUMMYFUNCTION("""COMPUTED_VALUE"""),"US")</f>
        <v>US</v>
      </c>
      <c r="E141" s="185" t="str">
        <f>IFERROR(__xludf.DUMMYFUNCTION("""COMPUTED_VALUE"""),"clutch.co")</f>
        <v>clutch.co</v>
      </c>
      <c r="F141" s="185" t="str">
        <f>IFERROR(__xludf.DUMMYFUNCTION("""COMPUTED_VALUE"""),"Category Page")</f>
        <v>Category Page</v>
      </c>
      <c r="G141" s="185" t="str">
        <f>IFERROR(__xludf.DUMMYFUNCTION("""COMPUTED_VALUE"""),"COMPETITOR")</f>
        <v>COMPETITOR</v>
      </c>
      <c r="H141" s="185" t="str">
        <f>IFERROR(__xludf.DUMMYFUNCTION("""COMPUTED_VALUE"""),"No")</f>
        <v>No</v>
      </c>
      <c r="I141" s="185" t="str">
        <f>IFERROR(__xludf.DUMMYFUNCTION("""COMPUTED_VALUE"""),"Medium")</f>
        <v>Medium</v>
      </c>
      <c r="J141" s="185" t="str">
        <f>IFERROR(__xludf.DUMMYFUNCTION("""COMPUTED_VALUE"""),"Yes")</f>
        <v>Yes</v>
      </c>
      <c r="K141" s="185" t="str">
        <f>IFERROR(__xludf.DUMMYFUNCTION("""COMPUTED_VALUE"""),"Clutch, Elit-Web, AdVenture Media, Go Fish Digital, Storm Brain, NoGood, Tinuiti")</f>
        <v>Clutch, Elit-Web, AdVenture Media, Go Fish Digital, Storm Brain, NoGood, Tinuiti</v>
      </c>
      <c r="L141" s="187">
        <f>IFERROR(__xludf.DUMMYFUNCTION("""COMPUTED_VALUE"""),3.0)</f>
        <v>3</v>
      </c>
      <c r="M141" s="188">
        <f>IFERROR(__xludf.DUMMYFUNCTION("""COMPUTED_VALUE"""),0.0)</f>
        <v>0</v>
      </c>
      <c r="N141" s="188">
        <f>IFERROR(__xludf.DUMMYFUNCTION("""COMPUTED_VALUE"""),0.0)</f>
        <v>0</v>
      </c>
      <c r="O141" s="208"/>
      <c r="P141" s="208"/>
      <c r="Q141" s="208"/>
      <c r="R141" s="208"/>
    </row>
    <row r="142">
      <c r="A142" s="185" t="str">
        <f>IFERROR(__xludf.DUMMYFUNCTION("""COMPUTED_VALUE"""),"Lower-priority competitor/vendor roundup")</f>
        <v>Lower-priority competitor/vendor roundup</v>
      </c>
      <c r="B142" s="186" t="str">
        <f>IFERROR(__xludf.DUMMYFUNCTION("""COMPUTED_VALUE"""),"https://www.cometly.com/post/attribution-tools-for-digital-marketing-agencies")</f>
        <v>https://www.cometly.com/post/attribution-tools-for-digital-marketing-agencies</v>
      </c>
      <c r="C142" s="185" t="str">
        <f>IFERROR(__xludf.DUMMYFUNCTION("""COMPUTED_VALUE"""),"9 Best Attribution Tools For Digital Marketing Agencies")</f>
        <v>9 Best Attribution Tools For Digital Marketing Agencies</v>
      </c>
      <c r="D142" s="185" t="str">
        <f>IFERROR(__xludf.DUMMYFUNCTION("""COMPUTED_VALUE"""),"US")</f>
        <v>US</v>
      </c>
      <c r="E142" s="185" t="str">
        <f>IFERROR(__xludf.DUMMYFUNCTION("""COMPUTED_VALUE"""),"cometly.com")</f>
        <v>cometly.com</v>
      </c>
      <c r="F142" s="185" t="str">
        <f>IFERROR(__xludf.DUMMYFUNCTION("""COMPUTED_VALUE"""),"Listicle")</f>
        <v>Listicle</v>
      </c>
      <c r="G142" s="185" t="str">
        <f>IFERROR(__xludf.DUMMYFUNCTION("""COMPUTED_VALUE"""),"COMPETITOR")</f>
        <v>COMPETITOR</v>
      </c>
      <c r="H142" s="185" t="str">
        <f>IFERROR(__xludf.DUMMYFUNCTION("""COMPUTED_VALUE"""),"No")</f>
        <v>No</v>
      </c>
      <c r="I142" s="185" t="str">
        <f>IFERROR(__xludf.DUMMYFUNCTION("""COMPUTED_VALUE"""),"Low")</f>
        <v>Low</v>
      </c>
      <c r="J142" s="185" t="str">
        <f>IFERROR(__xludf.DUMMYFUNCTION("""COMPUTED_VALUE"""),"Secondary")</f>
        <v>Secondary</v>
      </c>
      <c r="K142" s="185" t="str">
        <f>IFERROR(__xludf.DUMMYFUNCTION("""COMPUTED_VALUE"""),"Cometly, Triple Whale, Northbeam, Rockerbox, Ruler Analytics")</f>
        <v>Cometly, Triple Whale, Northbeam, Rockerbox, Ruler Analytics</v>
      </c>
      <c r="L142" s="187">
        <f>IFERROR(__xludf.DUMMYFUNCTION("""COMPUTED_VALUE"""),3.0)</f>
        <v>3</v>
      </c>
      <c r="M142" s="188">
        <f>IFERROR(__xludf.DUMMYFUNCTION("""COMPUTED_VALUE"""),0.0)</f>
        <v>0</v>
      </c>
      <c r="N142" s="188">
        <f>IFERROR(__xludf.DUMMYFUNCTION("""COMPUTED_VALUE"""),1.33)</f>
        <v>1.33</v>
      </c>
      <c r="O142" s="208"/>
      <c r="P142" s="208"/>
      <c r="Q142" s="208"/>
      <c r="R142" s="208"/>
    </row>
    <row r="143">
      <c r="A143" s="185" t="str">
        <f>IFERROR(__xludf.DUMMYFUNCTION("""COMPUTED_VALUE"""),"Lower-priority competitor/vendor roundup")</f>
        <v>Lower-priority competitor/vendor roundup</v>
      </c>
      <c r="B143" s="186" t="str">
        <f>IFERROR(__xludf.DUMMYFUNCTION("""COMPUTED_VALUE"""),"https://www.cometly.com/post/marketing-attribution-platform-for-agencies#:~:text=1.,full%20customer%20journey%20in%20real")</f>
        <v>https://www.cometly.com/post/marketing-attribution-platform-for-agencies#:~:text=1.,full%20customer%20journey%20in%20real</v>
      </c>
      <c r="C143" s="185" t="str">
        <f>IFERROR(__xludf.DUMMYFUNCTION("""COMPUTED_VALUE"""),"Best Marketing Attribution Platform For Agencies 2026")</f>
        <v>Best Marketing Attribution Platform For Agencies 2026</v>
      </c>
      <c r="D143" s="185" t="str">
        <f>IFERROR(__xludf.DUMMYFUNCTION("""COMPUTED_VALUE"""),"US")</f>
        <v>US</v>
      </c>
      <c r="E143" s="185" t="str">
        <f>IFERROR(__xludf.DUMMYFUNCTION("""COMPUTED_VALUE"""),"cometly.com")</f>
        <v>cometly.com</v>
      </c>
      <c r="F143" s="185" t="str">
        <f>IFERROR(__xludf.DUMMYFUNCTION("""COMPUTED_VALUE"""),"Listicle")</f>
        <v>Listicle</v>
      </c>
      <c r="G143" s="185" t="str">
        <f>IFERROR(__xludf.DUMMYFUNCTION("""COMPUTED_VALUE"""),"COMPETITOR")</f>
        <v>COMPETITOR</v>
      </c>
      <c r="H143" s="185" t="str">
        <f>IFERROR(__xludf.DUMMYFUNCTION("""COMPUTED_VALUE"""),"No")</f>
        <v>No</v>
      </c>
      <c r="I143" s="185" t="str">
        <f>IFERROR(__xludf.DUMMYFUNCTION("""COMPUTED_VALUE"""),"Low")</f>
        <v>Low</v>
      </c>
      <c r="J143" s="185" t="str">
        <f>IFERROR(__xludf.DUMMYFUNCTION("""COMPUTED_VALUE"""),"Secondary")</f>
        <v>Secondary</v>
      </c>
      <c r="K143" s="185" t="str">
        <f>IFERROR(__xludf.DUMMYFUNCTION("""COMPUTED_VALUE"""),"Cometly, Triple Whale, Rockerbox, Northbeam, HockeyStack, Ruler Analytics")</f>
        <v>Cometly, Triple Whale, Rockerbox, Northbeam, HockeyStack, Ruler Analytics</v>
      </c>
      <c r="L143" s="187">
        <f>IFERROR(__xludf.DUMMYFUNCTION("""COMPUTED_VALUE"""),3.0)</f>
        <v>3</v>
      </c>
      <c r="M143" s="188">
        <f>IFERROR(__xludf.DUMMYFUNCTION("""COMPUTED_VALUE"""),0.0)</f>
        <v>0</v>
      </c>
      <c r="N143" s="188">
        <f>IFERROR(__xludf.DUMMYFUNCTION("""COMPUTED_VALUE"""),1.33)</f>
        <v>1.33</v>
      </c>
      <c r="O143" s="208"/>
      <c r="P143" s="208"/>
      <c r="Q143" s="208"/>
      <c r="R143" s="208"/>
    </row>
    <row r="144">
      <c r="A144" s="185" t="str">
        <f>IFERROR(__xludf.DUMMYFUNCTION("""COMPUTED_VALUE"""),"Agency directory / review marketplace")</f>
        <v>Agency directory / review marketplace</v>
      </c>
      <c r="B144" s="186" t="str">
        <f>IFERROR(__xludf.DUMMYFUNCTION("""COMPUTED_VALUE"""),"https://www.designrush.com/agency/creative-agencies")</f>
        <v>https://www.designrush.com/agency/creative-agencies</v>
      </c>
      <c r="C144" s="185" t="str">
        <f>IFERROR(__xludf.DUMMYFUNCTION("""COMPUTED_VALUE"""),"Top Creative Agencies in 2026")</f>
        <v>Top Creative Agencies in 2026</v>
      </c>
      <c r="D144" s="185" t="str">
        <f>IFERROR(__xludf.DUMMYFUNCTION("""COMPUTED_VALUE"""),"US")</f>
        <v>US</v>
      </c>
      <c r="E144" s="185" t="str">
        <f>IFERROR(__xludf.DUMMYFUNCTION("""COMPUTED_VALUE"""),"designrush.com")</f>
        <v>designrush.com</v>
      </c>
      <c r="F144" s="185" t="str">
        <f>IFERROR(__xludf.DUMMYFUNCTION("""COMPUTED_VALUE"""),"Profile")</f>
        <v>Profile</v>
      </c>
      <c r="G144" s="185" t="str">
        <f>IFERROR(__xludf.DUMMYFUNCTION("""COMPUTED_VALUE"""),"CORPORATE")</f>
        <v>CORPORATE</v>
      </c>
      <c r="H144" s="185" t="str">
        <f>IFERROR(__xludf.DUMMYFUNCTION("""COMPUTED_VALUE"""),"No")</f>
        <v>No</v>
      </c>
      <c r="I144" s="185" t="str">
        <f>IFERROR(__xludf.DUMMYFUNCTION("""COMPUTED_VALUE"""),"Medium")</f>
        <v>Medium</v>
      </c>
      <c r="J144" s="185" t="str">
        <f>IFERROR(__xludf.DUMMYFUNCTION("""COMPUTED_VALUE"""),"Yes")</f>
        <v>Yes</v>
      </c>
      <c r="K144" s="185" t="str">
        <f>IFERROR(__xludf.DUMMYFUNCTION("""COMPUTED_VALUE"""),"Huge, IBM, Disruptive Advertising, Major Tom, McKinsey, Measured, Nielsen")</f>
        <v>Huge, IBM, Disruptive Advertising, Major Tom, McKinsey, Measured, Nielsen</v>
      </c>
      <c r="L144" s="187">
        <f>IFERROR(__xludf.DUMMYFUNCTION("""COMPUTED_VALUE"""),3.0)</f>
        <v>3</v>
      </c>
      <c r="M144" s="188">
        <f>IFERROR(__xludf.DUMMYFUNCTION("""COMPUTED_VALUE"""),0.0)</f>
        <v>0</v>
      </c>
      <c r="N144" s="188">
        <f>IFERROR(__xludf.DUMMYFUNCTION("""COMPUTED_VALUE"""),0.0)</f>
        <v>0</v>
      </c>
      <c r="O144" s="208"/>
      <c r="P144" s="208"/>
      <c r="Q144" s="208"/>
      <c r="R144" s="208"/>
    </row>
    <row r="145">
      <c r="A145" s="185" t="str">
        <f>IFERROR(__xludf.DUMMYFUNCTION("""COMPUTED_VALUE"""),"Official partner / certification ecosystem")</f>
        <v>Official partner / certification ecosystem</v>
      </c>
      <c r="B145" s="186" t="str">
        <f>IFERROR(__xludf.DUMMYFUNCTION("""COMPUTED_VALUE"""),"https://enterprisemarketingportal.google/work-with-partners")</f>
        <v>https://enterprisemarketingportal.google/work-with-partners</v>
      </c>
      <c r="C145" s="185" t="str">
        <f>IFERROR(__xludf.DUMMYFUNCTION("""COMPUTED_VALUE"""),"Work with Partners")</f>
        <v>Work with Partners</v>
      </c>
      <c r="D145" s="185" t="str">
        <f>IFERROR(__xludf.DUMMYFUNCTION("""COMPUTED_VALUE"""),"US")</f>
        <v>US</v>
      </c>
      <c r="E145" s="185" t="str">
        <f>IFERROR(__xludf.DUMMYFUNCTION("""COMPUTED_VALUE"""),"enterprisemarketingportal.google")</f>
        <v>enterprisemarketingportal.google</v>
      </c>
      <c r="F145" s="185" t="str">
        <f>IFERROR(__xludf.DUMMYFUNCTION("""COMPUTED_VALUE"""),"Category Page")</f>
        <v>Category Page</v>
      </c>
      <c r="G145" s="185" t="str">
        <f>IFERROR(__xludf.DUMMYFUNCTION("""COMPUTED_VALUE"""),"CORPORATE")</f>
        <v>CORPORATE</v>
      </c>
      <c r="H145" s="185" t="str">
        <f>IFERROR(__xludf.DUMMYFUNCTION("""COMPUTED_VALUE"""),"No")</f>
        <v>No</v>
      </c>
      <c r="I145" s="185" t="str">
        <f>IFERROR(__xludf.DUMMYFUNCTION("""COMPUTED_VALUE"""),"High")</f>
        <v>High</v>
      </c>
      <c r="J145" s="185" t="str">
        <f>IFERROR(__xludf.DUMMYFUNCTION("""COMPUTED_VALUE"""),"Yes - priority")</f>
        <v>Yes - priority</v>
      </c>
      <c r="K145" s="185"/>
      <c r="L145" s="187">
        <f>IFERROR(__xludf.DUMMYFUNCTION("""COMPUTED_VALUE"""),3.0)</f>
        <v>3</v>
      </c>
      <c r="M145" s="188">
        <f>IFERROR(__xludf.DUMMYFUNCTION("""COMPUTED_VALUE"""),0.0)</f>
        <v>0</v>
      </c>
      <c r="N145" s="188">
        <f>IFERROR(__xludf.DUMMYFUNCTION("""COMPUTED_VALUE"""),0.67)</f>
        <v>0.67</v>
      </c>
      <c r="O145" s="208"/>
      <c r="P145" s="208"/>
      <c r="Q145" s="208"/>
      <c r="R145" s="208"/>
    </row>
    <row r="146">
      <c r="A146" s="185" t="str">
        <f>IFERROR(__xludf.DUMMYFUNCTION("""COMPUTED_VALUE"""),"Agency directory / review marketplace")</f>
        <v>Agency directory / review marketplace</v>
      </c>
      <c r="B146" s="186" t="str">
        <f>IFERROR(__xludf.DUMMYFUNCTION("""COMPUTED_VALUE"""),"https://www.goodfirms.co/directory/country/top-digital-marketing-companies/us?sid=3931")</f>
        <v>https://www.goodfirms.co/directory/country/top-digital-marketing-companies/us?sid=3931</v>
      </c>
      <c r="C146" s="185" t="str">
        <f>IFERROR(__xludf.DUMMYFUNCTION("""COMPUTED_VALUE"""),"Top Digital Marketing Agencies in USA - 2026 Reviews | Goodfirms")</f>
        <v>Top Digital Marketing Agencies in USA - 2026 Reviews | Goodfirms</v>
      </c>
      <c r="D146" s="185" t="str">
        <f>IFERROR(__xludf.DUMMYFUNCTION("""COMPUTED_VALUE"""),"US")</f>
        <v>US</v>
      </c>
      <c r="E146" s="185" t="str">
        <f>IFERROR(__xludf.DUMMYFUNCTION("""COMPUTED_VALUE"""),"goodfirms.co")</f>
        <v>goodfirms.co</v>
      </c>
      <c r="F146" s="185" t="str">
        <f>IFERROR(__xludf.DUMMYFUNCTION("""COMPUTED_VALUE"""),"Other")</f>
        <v>Other</v>
      </c>
      <c r="G146" s="185" t="str">
        <f>IFERROR(__xludf.DUMMYFUNCTION("""COMPUTED_VALUE"""),"UGC")</f>
        <v>UGC</v>
      </c>
      <c r="H146" s="185" t="str">
        <f>IFERROR(__xludf.DUMMYFUNCTION("""COMPUTED_VALUE"""),"No")</f>
        <v>No</v>
      </c>
      <c r="I146" s="185" t="str">
        <f>IFERROR(__xludf.DUMMYFUNCTION("""COMPUTED_VALUE"""),"Medium")</f>
        <v>Medium</v>
      </c>
      <c r="J146" s="185" t="str">
        <f>IFERROR(__xludf.DUMMYFUNCTION("""COMPUTED_VALUE"""),"Yes")</f>
        <v>Yes</v>
      </c>
      <c r="K146" s="185" t="str">
        <f>IFERROR(__xludf.DUMMYFUNCTION("""COMPUTED_VALUE"""),"WebFX, Searchbloom, Funnel Boost Media, Momentum, Bounteous, LYFE Marketing, Elit-Web, Storm Brain")</f>
        <v>WebFX, Searchbloom, Funnel Boost Media, Momentum, Bounteous, LYFE Marketing, Elit-Web, Storm Brain</v>
      </c>
      <c r="L146" s="187">
        <f>IFERROR(__xludf.DUMMYFUNCTION("""COMPUTED_VALUE"""),3.0)</f>
        <v>3</v>
      </c>
      <c r="M146" s="188">
        <f>IFERROR(__xludf.DUMMYFUNCTION("""COMPUTED_VALUE"""),0.0)</f>
        <v>0</v>
      </c>
      <c r="N146" s="188">
        <f>IFERROR(__xludf.DUMMYFUNCTION("""COMPUTED_VALUE"""),0.0)</f>
        <v>0</v>
      </c>
      <c r="O146" s="208"/>
      <c r="P146" s="208"/>
      <c r="Q146" s="208"/>
      <c r="R146" s="208"/>
    </row>
    <row r="147">
      <c r="A147" s="185" t="str">
        <f>IFERROR(__xludf.DUMMYFUNCTION("""COMPUTED_VALUE"""),"Agency directory / review marketplace")</f>
        <v>Agency directory / review marketplace</v>
      </c>
      <c r="B147" s="186" t="str">
        <f>IFERROR(__xludf.DUMMYFUNCTION("""COMPUTED_VALUE"""),"https://www.goodfirms.co/directory/country/top-digital-marketing-companies/us?sid=3943")</f>
        <v>https://www.goodfirms.co/directory/country/top-digital-marketing-companies/us?sid=3943</v>
      </c>
      <c r="C147" s="185" t="str">
        <f>IFERROR(__xludf.DUMMYFUNCTION("""COMPUTED_VALUE"""),"Top Digital Marketing Agencies in USA - 2026 Reviews | Goodfirms")</f>
        <v>Top Digital Marketing Agencies in USA - 2026 Reviews | Goodfirms</v>
      </c>
      <c r="D147" s="185" t="str">
        <f>IFERROR(__xludf.DUMMYFUNCTION("""COMPUTED_VALUE"""),"US")</f>
        <v>US</v>
      </c>
      <c r="E147" s="185" t="str">
        <f>IFERROR(__xludf.DUMMYFUNCTION("""COMPUTED_VALUE"""),"goodfirms.co")</f>
        <v>goodfirms.co</v>
      </c>
      <c r="F147" s="185" t="str">
        <f>IFERROR(__xludf.DUMMYFUNCTION("""COMPUTED_VALUE"""),"Other")</f>
        <v>Other</v>
      </c>
      <c r="G147" s="185" t="str">
        <f>IFERROR(__xludf.DUMMYFUNCTION("""COMPUTED_VALUE"""),"UGC")</f>
        <v>UGC</v>
      </c>
      <c r="H147" s="185" t="str">
        <f>IFERROR(__xludf.DUMMYFUNCTION("""COMPUTED_VALUE"""),"No")</f>
        <v>No</v>
      </c>
      <c r="I147" s="185" t="str">
        <f>IFERROR(__xludf.DUMMYFUNCTION("""COMPUTED_VALUE"""),"Medium")</f>
        <v>Medium</v>
      </c>
      <c r="J147" s="185" t="str">
        <f>IFERROR(__xludf.DUMMYFUNCTION("""COMPUTED_VALUE"""),"Yes")</f>
        <v>Yes</v>
      </c>
      <c r="K147" s="185" t="str">
        <f>IFERROR(__xludf.DUMMYFUNCTION("""COMPUTED_VALUE"""),"WebFX, Searchbloom, IBM, Elit-Web, Storm Brain")</f>
        <v>WebFX, Searchbloom, IBM, Elit-Web, Storm Brain</v>
      </c>
      <c r="L147" s="187">
        <f>IFERROR(__xludf.DUMMYFUNCTION("""COMPUTED_VALUE"""),3.0)</f>
        <v>3</v>
      </c>
      <c r="M147" s="188">
        <f>IFERROR(__xludf.DUMMYFUNCTION("""COMPUTED_VALUE"""),0.0)</f>
        <v>0</v>
      </c>
      <c r="N147" s="188">
        <f>IFERROR(__xludf.DUMMYFUNCTION("""COMPUTED_VALUE"""),0.0)</f>
        <v>0</v>
      </c>
      <c r="O147" s="208"/>
      <c r="P147" s="208"/>
      <c r="Q147" s="208"/>
      <c r="R147" s="208"/>
    </row>
    <row r="148">
      <c r="A148" s="185" t="str">
        <f>IFERROR(__xludf.DUMMYFUNCTION("""COMPUTED_VALUE"""),"Agency directory / review marketplace")</f>
        <v>Agency directory / review marketplace</v>
      </c>
      <c r="B148" s="186" t="str">
        <f>IFERROR(__xludf.DUMMYFUNCTION("""COMPUTED_VALUE"""),"https://www.sortlist.com/display-advertising")</f>
        <v>https://www.sortlist.com/display-advertising</v>
      </c>
      <c r="C148" s="185" t="str">
        <f>IFERROR(__xludf.DUMMYFUNCTION("""COMPUTED_VALUE"""),"The 100 Best Display Advertising Agencies - 2026 Reviews")</f>
        <v>The 100 Best Display Advertising Agencies - 2026 Reviews</v>
      </c>
      <c r="D148" s="185" t="str">
        <f>IFERROR(__xludf.DUMMYFUNCTION("""COMPUTED_VALUE"""),"US")</f>
        <v>US</v>
      </c>
      <c r="E148" s="185" t="str">
        <f>IFERROR(__xludf.DUMMYFUNCTION("""COMPUTED_VALUE"""),"sortlist.com")</f>
        <v>sortlist.com</v>
      </c>
      <c r="F148" s="185" t="str">
        <f>IFERROR(__xludf.DUMMYFUNCTION("""COMPUTED_VALUE"""),"Listicle")</f>
        <v>Listicle</v>
      </c>
      <c r="G148" s="185" t="str">
        <f>IFERROR(__xludf.DUMMYFUNCTION("""COMPUTED_VALUE"""),"CORPORATE")</f>
        <v>CORPORATE</v>
      </c>
      <c r="H148" s="185" t="str">
        <f>IFERROR(__xludf.DUMMYFUNCTION("""COMPUTED_VALUE"""),"No")</f>
        <v>No</v>
      </c>
      <c r="I148" s="185" t="str">
        <f>IFERROR(__xludf.DUMMYFUNCTION("""COMPUTED_VALUE"""),"Medium")</f>
        <v>Medium</v>
      </c>
      <c r="J148" s="185" t="str">
        <f>IFERROR(__xludf.DUMMYFUNCTION("""COMPUTED_VALUE"""),"Yes")</f>
        <v>Yes</v>
      </c>
      <c r="K148" s="185"/>
      <c r="L148" s="187">
        <f>IFERROR(__xludf.DUMMYFUNCTION("""COMPUTED_VALUE"""),3.0)</f>
        <v>3</v>
      </c>
      <c r="M148" s="188">
        <f>IFERROR(__xludf.DUMMYFUNCTION("""COMPUTED_VALUE"""),0.0)</f>
        <v>0</v>
      </c>
      <c r="N148" s="188">
        <f>IFERROR(__xludf.DUMMYFUNCTION("""COMPUTED_VALUE"""),0.0)</f>
        <v>0</v>
      </c>
      <c r="O148" s="208"/>
      <c r="P148" s="208"/>
      <c r="Q148" s="208"/>
      <c r="R148" s="208"/>
    </row>
    <row r="149">
      <c r="A149" s="185" t="str">
        <f>IFERROR(__xludf.DUMMYFUNCTION("""COMPUTED_VALUE"""),"Agency directory / review marketplace")</f>
        <v>Agency directory / review marketplace</v>
      </c>
      <c r="B149" s="186" t="str">
        <f>IFERROR(__xludf.DUMMYFUNCTION("""COMPUTED_VALUE"""),"https://www.sortlist.com/marketing-analytics")</f>
        <v>https://www.sortlist.com/marketing-analytics</v>
      </c>
      <c r="C149" s="185" t="str">
        <f>IFERROR(__xludf.DUMMYFUNCTION("""COMPUTED_VALUE"""),"The 100 Best Marketing Analytics Companies - 2026 Reviews")</f>
        <v>The 100 Best Marketing Analytics Companies - 2026 Reviews</v>
      </c>
      <c r="D149" s="185" t="str">
        <f>IFERROR(__xludf.DUMMYFUNCTION("""COMPUTED_VALUE"""),"US")</f>
        <v>US</v>
      </c>
      <c r="E149" s="185" t="str">
        <f>IFERROR(__xludf.DUMMYFUNCTION("""COMPUTED_VALUE"""),"sortlist.com")</f>
        <v>sortlist.com</v>
      </c>
      <c r="F149" s="185" t="str">
        <f>IFERROR(__xludf.DUMMYFUNCTION("""COMPUTED_VALUE"""),"Category Page")</f>
        <v>Category Page</v>
      </c>
      <c r="G149" s="185" t="str">
        <f>IFERROR(__xludf.DUMMYFUNCTION("""COMPUTED_VALUE"""),"CORPORATE")</f>
        <v>CORPORATE</v>
      </c>
      <c r="H149" s="185" t="str">
        <f>IFERROR(__xludf.DUMMYFUNCTION("""COMPUTED_VALUE"""),"No")</f>
        <v>No</v>
      </c>
      <c r="I149" s="185" t="str">
        <f>IFERROR(__xludf.DUMMYFUNCTION("""COMPUTED_VALUE"""),"Medium")</f>
        <v>Medium</v>
      </c>
      <c r="J149" s="185" t="str">
        <f>IFERROR(__xludf.DUMMYFUNCTION("""COMPUTED_VALUE"""),"Yes")</f>
        <v>Yes</v>
      </c>
      <c r="K149" s="185" t="str">
        <f>IFERROR(__xludf.DUMMYFUNCTION("""COMPUTED_VALUE"""),"NinjaPromo")</f>
        <v>NinjaPromo</v>
      </c>
      <c r="L149" s="187">
        <f>IFERROR(__xludf.DUMMYFUNCTION("""COMPUTED_VALUE"""),3.0)</f>
        <v>3</v>
      </c>
      <c r="M149" s="188">
        <f>IFERROR(__xludf.DUMMYFUNCTION("""COMPUTED_VALUE"""),0.0)</f>
        <v>0</v>
      </c>
      <c r="N149" s="188">
        <f>IFERROR(__xludf.DUMMYFUNCTION("""COMPUTED_VALUE"""),0.0)</f>
        <v>0</v>
      </c>
      <c r="O149" s="208"/>
      <c r="P149" s="208"/>
      <c r="Q149" s="208"/>
      <c r="R149" s="208"/>
    </row>
    <row r="150">
      <c r="A150" s="185" t="str">
        <f>IFERROR(__xludf.DUMMYFUNCTION("""COMPUTED_VALUE"""),"Agency directory / review marketplace")</f>
        <v>Agency directory / review marketplace</v>
      </c>
      <c r="B150" s="186" t="str">
        <f>IFERROR(__xludf.DUMMYFUNCTION("""COMPUTED_VALUE"""),"https://www.sortlist.com/s/data-driven-marketing/united-states-us")</f>
        <v>https://www.sortlist.com/s/data-driven-marketing/united-states-us</v>
      </c>
      <c r="C150" s="185" t="str">
        <f>IFERROR(__xludf.DUMMYFUNCTION("""COMPUTED_VALUE"""),"The 10 Best Data Driven Marketing Agencies in the United States - 2026 Reviews")</f>
        <v>The 10 Best Data Driven Marketing Agencies in the United States - 2026 Reviews</v>
      </c>
      <c r="D150" s="185" t="str">
        <f>IFERROR(__xludf.DUMMYFUNCTION("""COMPUTED_VALUE"""),"US")</f>
        <v>US</v>
      </c>
      <c r="E150" s="185" t="str">
        <f>IFERROR(__xludf.DUMMYFUNCTION("""COMPUTED_VALUE"""),"sortlist.com")</f>
        <v>sortlist.com</v>
      </c>
      <c r="F150" s="185" t="str">
        <f>IFERROR(__xludf.DUMMYFUNCTION("""COMPUTED_VALUE"""),"Profile")</f>
        <v>Profile</v>
      </c>
      <c r="G150" s="185" t="str">
        <f>IFERROR(__xludf.DUMMYFUNCTION("""COMPUTED_VALUE"""),"CORPORATE")</f>
        <v>CORPORATE</v>
      </c>
      <c r="H150" s="185" t="str">
        <f>IFERROR(__xludf.DUMMYFUNCTION("""COMPUTED_VALUE"""),"No")</f>
        <v>No</v>
      </c>
      <c r="I150" s="185" t="str">
        <f>IFERROR(__xludf.DUMMYFUNCTION("""COMPUTED_VALUE"""),"Medium")</f>
        <v>Medium</v>
      </c>
      <c r="J150" s="185" t="str">
        <f>IFERROR(__xludf.DUMMYFUNCTION("""COMPUTED_VALUE"""),"Yes")</f>
        <v>Yes</v>
      </c>
      <c r="K150" s="185" t="str">
        <f>IFERROR(__xludf.DUMMYFUNCTION("""COMPUTED_VALUE"""),"NinjaPromo, IBM, Clutch, Measured")</f>
        <v>NinjaPromo, IBM, Clutch, Measured</v>
      </c>
      <c r="L150" s="187">
        <f>IFERROR(__xludf.DUMMYFUNCTION("""COMPUTED_VALUE"""),3.0)</f>
        <v>3</v>
      </c>
      <c r="M150" s="188">
        <f>IFERROR(__xludf.DUMMYFUNCTION("""COMPUTED_VALUE"""),0.0)</f>
        <v>0</v>
      </c>
      <c r="N150" s="188">
        <f>IFERROR(__xludf.DUMMYFUNCTION("""COMPUTED_VALUE"""),0.0)</f>
        <v>0</v>
      </c>
      <c r="O150" s="208"/>
      <c r="P150" s="208"/>
      <c r="Q150" s="208"/>
      <c r="R150" s="208"/>
    </row>
    <row r="151">
      <c r="A151" s="185" t="str">
        <f>IFERROR(__xludf.DUMMYFUNCTION("""COMPUTED_VALUE"""),"Agency directory / review marketplace")</f>
        <v>Agency directory / review marketplace</v>
      </c>
      <c r="B151" s="186" t="str">
        <f>IFERROR(__xludf.DUMMYFUNCTION("""COMPUTED_VALUE"""),"https://themanifest.com/us/media-buying/agencies?page=1")</f>
        <v>https://themanifest.com/us/media-buying/agencies?page=1</v>
      </c>
      <c r="C151" s="185" t="str">
        <f>IFERROR(__xludf.DUMMYFUNCTION("""COMPUTED_VALUE"""),"The Best Media Planning and Buying Companies in United States - Jul 2026 | The Manifest")</f>
        <v>The Best Media Planning and Buying Companies in United States - Jul 2026 | The Manifest</v>
      </c>
      <c r="D151" s="185" t="str">
        <f>IFERROR(__xludf.DUMMYFUNCTION("""COMPUTED_VALUE"""),"US")</f>
        <v>US</v>
      </c>
      <c r="E151" s="185" t="str">
        <f>IFERROR(__xludf.DUMMYFUNCTION("""COMPUTED_VALUE"""),"themanifest.com")</f>
        <v>themanifest.com</v>
      </c>
      <c r="F151" s="185" t="str">
        <f>IFERROR(__xludf.DUMMYFUNCTION("""COMPUTED_VALUE"""),"Listicle")</f>
        <v>Listicle</v>
      </c>
      <c r="G151" s="185" t="str">
        <f>IFERROR(__xludf.DUMMYFUNCTION("""COMPUTED_VALUE"""),"REFERENCE")</f>
        <v>REFERENCE</v>
      </c>
      <c r="H151" s="185" t="str">
        <f>IFERROR(__xludf.DUMMYFUNCTION("""COMPUTED_VALUE"""),"No")</f>
        <v>No</v>
      </c>
      <c r="I151" s="185" t="str">
        <f>IFERROR(__xludf.DUMMYFUNCTION("""COMPUTED_VALUE"""),"Medium")</f>
        <v>Medium</v>
      </c>
      <c r="J151" s="185" t="str">
        <f>IFERROR(__xludf.DUMMYFUNCTION("""COMPUTED_VALUE"""),"Yes")</f>
        <v>Yes</v>
      </c>
      <c r="K151" s="185" t="str">
        <f>IFERROR(__xludf.DUMMYFUNCTION("""COMPUTED_VALUE"""),"Clutch, DEPT, Amsive, Accelerated Digital Media")</f>
        <v>Clutch, DEPT, Amsive, Accelerated Digital Media</v>
      </c>
      <c r="L151" s="187">
        <f>IFERROR(__xludf.DUMMYFUNCTION("""COMPUTED_VALUE"""),3.0)</f>
        <v>3</v>
      </c>
      <c r="M151" s="188">
        <f>IFERROR(__xludf.DUMMYFUNCTION("""COMPUTED_VALUE"""),0.0)</f>
        <v>0</v>
      </c>
      <c r="N151" s="188">
        <f>IFERROR(__xludf.DUMMYFUNCTION("""COMPUTED_VALUE"""),0.0)</f>
        <v>0</v>
      </c>
      <c r="O151" s="208"/>
      <c r="P151" s="208"/>
      <c r="Q151" s="208"/>
      <c r="R151" s="208"/>
    </row>
    <row r="152">
      <c r="A152" s="185" t="str">
        <f>IFERROR(__xludf.DUMMYFUNCTION("""COMPUTED_VALUE"""),"Lower-priority competitor/vendor roundup")</f>
        <v>Lower-priority competitor/vendor roundup</v>
      </c>
      <c r="B152" s="186" t="str">
        <f>IFERROR(__xludf.DUMMYFUNCTION("""COMPUTED_VALUE"""),"https://www.webtonic.io/blog/best-ai-marketing-agencies")</f>
        <v>https://www.webtonic.io/blog/best-ai-marketing-agencies</v>
      </c>
      <c r="C152" s="185" t="str">
        <f>IFERROR(__xludf.DUMMYFUNCTION("""COMPUTED_VALUE"""),"34 Best AI Marketing Agencies for 2026")</f>
        <v>34 Best AI Marketing Agencies for 2026</v>
      </c>
      <c r="D152" s="185" t="str">
        <f>IFERROR(__xludf.DUMMYFUNCTION("""COMPUTED_VALUE"""),"US")</f>
        <v>US</v>
      </c>
      <c r="E152" s="185" t="str">
        <f>IFERROR(__xludf.DUMMYFUNCTION("""COMPUTED_VALUE"""),"webtonic.io")</f>
        <v>webtonic.io</v>
      </c>
      <c r="F152" s="185" t="str">
        <f>IFERROR(__xludf.DUMMYFUNCTION("""COMPUTED_VALUE"""),"Listicle")</f>
        <v>Listicle</v>
      </c>
      <c r="G152" s="185" t="str">
        <f>IFERROR(__xludf.DUMMYFUNCTION("""COMPUTED_VALUE"""),"COMPETITOR")</f>
        <v>COMPETITOR</v>
      </c>
      <c r="H152" s="185" t="str">
        <f>IFERROR(__xludf.DUMMYFUNCTION("""COMPUTED_VALUE"""),"No")</f>
        <v>No</v>
      </c>
      <c r="I152" s="185" t="str">
        <f>IFERROR(__xludf.DUMMYFUNCTION("""COMPUTED_VALUE"""),"Low")</f>
        <v>Low</v>
      </c>
      <c r="J152" s="185" t="str">
        <f>IFERROR(__xludf.DUMMYFUNCTION("""COMPUTED_VALUE"""),"Secondary")</f>
        <v>Secondary</v>
      </c>
      <c r="K152" s="185" t="str">
        <f>IFERROR(__xludf.DUMMYFUNCTION("""COMPUTED_VALUE"""),"Web Tonic, Anomaly, IBM, Ogilvy")</f>
        <v>Web Tonic, Anomaly, IBM, Ogilvy</v>
      </c>
      <c r="L152" s="187">
        <f>IFERROR(__xludf.DUMMYFUNCTION("""COMPUTED_VALUE"""),3.0)</f>
        <v>3</v>
      </c>
      <c r="M152" s="188">
        <f>IFERROR(__xludf.DUMMYFUNCTION("""COMPUTED_VALUE"""),0.0)</f>
        <v>0</v>
      </c>
      <c r="N152" s="188">
        <f>IFERROR(__xludf.DUMMYFUNCTION("""COMPUTED_VALUE"""),0.33)</f>
        <v>0.33</v>
      </c>
      <c r="O152" s="208"/>
      <c r="P152" s="208"/>
      <c r="Q152" s="208"/>
      <c r="R152" s="208"/>
    </row>
    <row r="153">
      <c r="A153" s="185" t="str">
        <f>IFERROR(__xludf.DUMMYFUNCTION("""COMPUTED_VALUE"""),"Lower-priority competitor/vendor roundup")</f>
        <v>Lower-priority competitor/vendor roundup</v>
      </c>
      <c r="B153" s="186" t="str">
        <f>IFERROR(__xludf.DUMMYFUNCTION("""COMPUTED_VALUE"""),"https://www.webtonic.io/blog/best-data-driven-marketing-agencies#:~:text=Industries%20Served%3A%20Retail%2C%20Financial%20Services%2C%20Healthcare%2C%20Travel,and%20personalization%20at%20scale.%20%2D%203.%20Jellyfish.")</f>
        <v>https://www.webtonic.io/blog/best-data-driven-marketing-agencies#:~:text=Industries%20Served%3A%20Retail%2C%20Financial%20Services%2C%20Healthcare%2C%20Travel,and%20personalization%20at%20scale.%20%2D%203.%20Jellyfish.</v>
      </c>
      <c r="C153" s="185" t="str">
        <f>IFERROR(__xludf.DUMMYFUNCTION("""COMPUTED_VALUE"""),"35 Best Data-Driven Marketing Agencies for 2026")</f>
        <v>35 Best Data-Driven Marketing Agencies for 2026</v>
      </c>
      <c r="D153" s="185" t="str">
        <f>IFERROR(__xludf.DUMMYFUNCTION("""COMPUTED_VALUE"""),"US")</f>
        <v>US</v>
      </c>
      <c r="E153" s="185" t="str">
        <f>IFERROR(__xludf.DUMMYFUNCTION("""COMPUTED_VALUE"""),"webtonic.io")</f>
        <v>webtonic.io</v>
      </c>
      <c r="F153" s="185" t="str">
        <f>IFERROR(__xludf.DUMMYFUNCTION("""COMPUTED_VALUE"""),"Listicle")</f>
        <v>Listicle</v>
      </c>
      <c r="G153" s="185" t="str">
        <f>IFERROR(__xludf.DUMMYFUNCTION("""COMPUTED_VALUE"""),"COMPETITOR")</f>
        <v>COMPETITOR</v>
      </c>
      <c r="H153" s="185" t="str">
        <f>IFERROR(__xludf.DUMMYFUNCTION("""COMPUTED_VALUE"""),"Yes")</f>
        <v>Yes</v>
      </c>
      <c r="I153" s="185" t="str">
        <f>IFERROR(__xludf.DUMMYFUNCTION("""COMPUTED_VALUE"""),"Low")</f>
        <v>Low</v>
      </c>
      <c r="J153" s="185" t="str">
        <f>IFERROR(__xludf.DUMMYFUNCTION("""COMPUTED_VALUE"""),"Secondary")</f>
        <v>Secondary</v>
      </c>
      <c r="K153" s="185" t="str">
        <f>IFERROR(__xludf.DUMMYFUNCTION("""COMPUTED_VALUE"""),"Web Tonic, Merkle, Dentsu, Jellyfish, Wpromote, TransUnion, Tinuiti, Ignite Visibility, KlientBoost, Metric Theory, Power Digital, Brainlabs, Hawke Media, Directive, iProspect, Seer Interactive, Amsive, Rockerbox, Incubeta, GroupM, Measured")</f>
        <v>Web Tonic, Merkle, Dentsu, Jellyfish, Wpromote, TransUnion, Tinuiti, Ignite Visibility, KlientBoost, Metric Theory, Power Digital, Brainlabs, Hawke Media, Directive, iProspect, Seer Interactive, Amsive, Rockerbox, Incubeta, GroupM, Measured</v>
      </c>
      <c r="L153" s="187">
        <f>IFERROR(__xludf.DUMMYFUNCTION("""COMPUTED_VALUE"""),3.0)</f>
        <v>3</v>
      </c>
      <c r="M153" s="188">
        <f>IFERROR(__xludf.DUMMYFUNCTION("""COMPUTED_VALUE"""),0.0)</f>
        <v>0</v>
      </c>
      <c r="N153" s="188">
        <f>IFERROR(__xludf.DUMMYFUNCTION("""COMPUTED_VALUE"""),1.33)</f>
        <v>1.33</v>
      </c>
      <c r="O153" s="208"/>
      <c r="P153" s="208"/>
      <c r="Q153" s="208"/>
      <c r="R153" s="208"/>
    </row>
    <row r="154">
      <c r="A154" s="185" t="str">
        <f>IFERROR(__xludf.DUMMYFUNCTION("""COMPUTED_VALUE"""),"Lower-priority competitor/vendor roundup")</f>
        <v>Lower-priority competitor/vendor roundup</v>
      </c>
      <c r="B154" s="186" t="str">
        <f>IFERROR(__xludf.DUMMYFUNCTION("""COMPUTED_VALUE"""),"https://www.webtonic.io/blog/best-google-ads-agencies-us")</f>
        <v>https://www.webtonic.io/blog/best-google-ads-agencies-us</v>
      </c>
      <c r="C154" s="185" t="str">
        <f>IFERROR(__xludf.DUMMYFUNCTION("""COMPUTED_VALUE"""),"Top 32 Google Ads Agencies in the US (2026 Edition)")</f>
        <v>Top 32 Google Ads Agencies in the US (2026 Edition)</v>
      </c>
      <c r="D154" s="185" t="str">
        <f>IFERROR(__xludf.DUMMYFUNCTION("""COMPUTED_VALUE"""),"US")</f>
        <v>US</v>
      </c>
      <c r="E154" s="185" t="str">
        <f>IFERROR(__xludf.DUMMYFUNCTION("""COMPUTED_VALUE"""),"webtonic.io")</f>
        <v>webtonic.io</v>
      </c>
      <c r="F154" s="185" t="str">
        <f>IFERROR(__xludf.DUMMYFUNCTION("""COMPUTED_VALUE"""),"Listicle")</f>
        <v>Listicle</v>
      </c>
      <c r="G154" s="185" t="str">
        <f>IFERROR(__xludf.DUMMYFUNCTION("""COMPUTED_VALUE"""),"COMPETITOR")</f>
        <v>COMPETITOR</v>
      </c>
      <c r="H154" s="185" t="str">
        <f>IFERROR(__xludf.DUMMYFUNCTION("""COMPUTED_VALUE"""),"No")</f>
        <v>No</v>
      </c>
      <c r="I154" s="185" t="str">
        <f>IFERROR(__xludf.DUMMYFUNCTION("""COMPUTED_VALUE"""),"Low")</f>
        <v>Low</v>
      </c>
      <c r="J154" s="185" t="str">
        <f>IFERROR(__xludf.DUMMYFUNCTION("""COMPUTED_VALUE"""),"Secondary")</f>
        <v>Secondary</v>
      </c>
      <c r="K154" s="185" t="str">
        <f>IFERROR(__xludf.DUMMYFUNCTION("""COMPUTED_VALUE"""),"Web Tonic, KlientBoost, SmartSites, Disruptive Advertising, Ignite Visibility, Clutch, Tinuiti, Wpromote, TransUnion, WebFX, HawkSEM, Directive, Thrive Internet Marketing Agency, LYFE Marketing, NP Digital, Power Digital, Seer Interactive, AdVenture Media"&amp;", Metric Theory, Silverback Strategies, Searchbloom, Hawke Media, MuteSix, Dentsu, Superside, NoGood")</f>
        <v>Web Tonic, KlientBoost, SmartSites, Disruptive Advertising, Ignite Visibility, Clutch, Tinuiti, Wpromote, TransUnion, WebFX, HawkSEM, Directive, Thrive Internet Marketing Agency, LYFE Marketing, NP Digital, Power Digital, Seer Interactive, AdVenture Media, Metric Theory, Silverback Strategies, Searchbloom, Hawke Media, MuteSix, Dentsu, Superside, NoGood</v>
      </c>
      <c r="L154" s="187">
        <f>IFERROR(__xludf.DUMMYFUNCTION("""COMPUTED_VALUE"""),3.0)</f>
        <v>3</v>
      </c>
      <c r="M154" s="188">
        <f>IFERROR(__xludf.DUMMYFUNCTION("""COMPUTED_VALUE"""),0.0)</f>
        <v>0</v>
      </c>
      <c r="N154" s="188">
        <f>IFERROR(__xludf.DUMMYFUNCTION("""COMPUTED_VALUE"""),1.33)</f>
        <v>1.33</v>
      </c>
      <c r="O154" s="208"/>
      <c r="P154" s="208"/>
      <c r="Q154" s="208"/>
      <c r="R154" s="208"/>
    </row>
    <row r="155">
      <c r="A155" s="185" t="str">
        <f>IFERROR(__xludf.DUMMYFUNCTION("""COMPUTED_VALUE"""),"Lower-priority competitor/vendor roundup")</f>
        <v>Lower-priority competitor/vendor roundup</v>
      </c>
      <c r="B155" s="186" t="str">
        <f>IFERROR(__xludf.DUMMYFUNCTION("""COMPUTED_VALUE"""),"https://www.webtonic.io/blog/top-advertising-agencies-us#:~:text=MullenLowe,Zulu%20Alpha")</f>
        <v>https://www.webtonic.io/blog/top-advertising-agencies-us#:~:text=MullenLowe,Zulu%20Alpha</v>
      </c>
      <c r="C155" s="185" t="str">
        <f>IFERROR(__xludf.DUMMYFUNCTION("""COMPUTED_VALUE"""),"42 Top Advertising Agencies in the US for 2026")</f>
        <v>42 Top Advertising Agencies in the US for 2026</v>
      </c>
      <c r="D155" s="185" t="str">
        <f>IFERROR(__xludf.DUMMYFUNCTION("""COMPUTED_VALUE"""),"US")</f>
        <v>US</v>
      </c>
      <c r="E155" s="185" t="str">
        <f>IFERROR(__xludf.DUMMYFUNCTION("""COMPUTED_VALUE"""),"webtonic.io")</f>
        <v>webtonic.io</v>
      </c>
      <c r="F155" s="185" t="str">
        <f>IFERROR(__xludf.DUMMYFUNCTION("""COMPUTED_VALUE"""),"Listicle")</f>
        <v>Listicle</v>
      </c>
      <c r="G155" s="185" t="str">
        <f>IFERROR(__xludf.DUMMYFUNCTION("""COMPUTED_VALUE"""),"COMPETITOR")</f>
        <v>COMPETITOR</v>
      </c>
      <c r="H155" s="185" t="str">
        <f>IFERROR(__xludf.DUMMYFUNCTION("""COMPUTED_VALUE"""),"No")</f>
        <v>No</v>
      </c>
      <c r="I155" s="185" t="str">
        <f>IFERROR(__xludf.DUMMYFUNCTION("""COMPUTED_VALUE"""),"Low")</f>
        <v>Low</v>
      </c>
      <c r="J155" s="185" t="str">
        <f>IFERROR(__xludf.DUMMYFUNCTION("""COMPUTED_VALUE"""),"Secondary")</f>
        <v>Secondary</v>
      </c>
      <c r="K155" s="185" t="str">
        <f>IFERROR(__xludf.DUMMYFUNCTION("""COMPUTED_VALUE"""),"Web Tonic, 72andSunny, AKQA, Anomaly, BBDO, Dentsu, Droga5, Momentum, Ogilvy, IBM, Publicis Groupe, R/GA, TBWA\Chiat\Day, Wieden+Kennedy, Wpromote, VML")</f>
        <v>Web Tonic, 72andSunny, AKQA, Anomaly, BBDO, Dentsu, Droga5, Momentum, Ogilvy, IBM, Publicis Groupe, R/GA, TBWA\Chiat\Day, Wieden+Kennedy, Wpromote, VML</v>
      </c>
      <c r="L155" s="187">
        <f>IFERROR(__xludf.DUMMYFUNCTION("""COMPUTED_VALUE"""),3.0)</f>
        <v>3</v>
      </c>
      <c r="M155" s="188">
        <f>IFERROR(__xludf.DUMMYFUNCTION("""COMPUTED_VALUE"""),0.0)</f>
        <v>0</v>
      </c>
      <c r="N155" s="188">
        <f>IFERROR(__xludf.DUMMYFUNCTION("""COMPUTED_VALUE"""),1.33)</f>
        <v>1.33</v>
      </c>
      <c r="O155" s="208"/>
      <c r="P155" s="208"/>
      <c r="Q155" s="208"/>
      <c r="R155" s="208"/>
    </row>
    <row r="156">
      <c r="A156" s="185" t="str">
        <f>IFERROR(__xludf.DUMMYFUNCTION("""COMPUTED_VALUE"""),"Industry data / software authority")</f>
        <v>Industry data / software authority</v>
      </c>
      <c r="B156" s="186" t="str">
        <f>IFERROR(__xludf.DUMMYFUNCTION("""COMPUTED_VALUE"""),"https://agencies.semrush.com/list/display-advertising/new-york/#:~:text=Digital%20Dot.%20Connecting%20the%20Dots%20to%20Your,driving%20organic%20traffic%20and%20generating%20quality%20leads.")</f>
        <v>https://agencies.semrush.com/list/display-advertising/new-york/#:~:text=Digital%20Dot.%20Connecting%20the%20Dots%20to%20Your,driving%20organic%20traffic%20and%20generating%20quality%20leads.</v>
      </c>
      <c r="C156" s="185" t="str">
        <f>IFERROR(__xludf.DUMMYFUNCTION("""COMPUTED_VALUE"""),"Best Display Ads Agencies in New York 2026 | Semrush")</f>
        <v>Best Display Ads Agencies in New York 2026 | Semrush</v>
      </c>
      <c r="D156" s="185" t="str">
        <f>IFERROR(__xludf.DUMMYFUNCTION("""COMPUTED_VALUE"""),"US")</f>
        <v>US</v>
      </c>
      <c r="E156" s="185" t="str">
        <f>IFERROR(__xludf.DUMMYFUNCTION("""COMPUTED_VALUE"""),"semrush.com")</f>
        <v>semrush.com</v>
      </c>
      <c r="F156" s="185" t="str">
        <f>IFERROR(__xludf.DUMMYFUNCTION("""COMPUTED_VALUE"""),"Other")</f>
        <v>Other</v>
      </c>
      <c r="G156" s="185" t="str">
        <f>IFERROR(__xludf.DUMMYFUNCTION("""COMPUTED_VALUE"""),"CORPORATE")</f>
        <v>CORPORATE</v>
      </c>
      <c r="H156" s="185" t="str">
        <f>IFERROR(__xludf.DUMMYFUNCTION("""COMPUTED_VALUE"""),"No")</f>
        <v>No</v>
      </c>
      <c r="I156" s="185" t="str">
        <f>IFERROR(__xludf.DUMMYFUNCTION("""COMPUTED_VALUE"""),"Medium")</f>
        <v>Medium</v>
      </c>
      <c r="J156" s="185" t="str">
        <f>IFERROR(__xludf.DUMMYFUNCTION("""COMPUTED_VALUE"""),"Yes")</f>
        <v>Yes</v>
      </c>
      <c r="K156" s="185" t="str">
        <f>IFERROR(__xludf.DUMMYFUNCTION("""COMPUTED_VALUE"""),"Elit-Web, Measured")</f>
        <v>Elit-Web, Measured</v>
      </c>
      <c r="L156" s="187">
        <f>IFERROR(__xludf.DUMMYFUNCTION("""COMPUTED_VALUE"""),2.0)</f>
        <v>2</v>
      </c>
      <c r="M156" s="188">
        <f>IFERROR(__xludf.DUMMYFUNCTION("""COMPUTED_VALUE"""),0.0)</f>
        <v>0</v>
      </c>
      <c r="N156" s="188">
        <f>IFERROR(__xludf.DUMMYFUNCTION("""COMPUTED_VALUE"""),1.0)</f>
        <v>1</v>
      </c>
      <c r="O156" s="208"/>
      <c r="P156" s="208"/>
      <c r="Q156" s="208"/>
      <c r="R156" s="208"/>
    </row>
    <row r="157">
      <c r="A157" s="185" t="str">
        <f>IFERROR(__xludf.DUMMYFUNCTION("""COMPUTED_VALUE"""),"Industry data / software authority")</f>
        <v>Industry data / software authority</v>
      </c>
      <c r="B157" s="186" t="str">
        <f>IFERROR(__xludf.DUMMYFUNCTION("""COMPUTED_VALUE"""),"https://agencies.semrush.com/list/display-advertising/united-states/small-business/")</f>
        <v>https://agencies.semrush.com/list/display-advertising/united-states/small-business/</v>
      </c>
      <c r="C157" s="185" t="str">
        <f>IFERROR(__xludf.DUMMYFUNCTION("""COMPUTED_VALUE"""),"Best Display Ads Agencies for Small Business in United States 2026 | Semrush")</f>
        <v>Best Display Ads Agencies for Small Business in United States 2026 | Semrush</v>
      </c>
      <c r="D157" s="185" t="str">
        <f>IFERROR(__xludf.DUMMYFUNCTION("""COMPUTED_VALUE"""),"US")</f>
        <v>US</v>
      </c>
      <c r="E157" s="185" t="str">
        <f>IFERROR(__xludf.DUMMYFUNCTION("""COMPUTED_VALUE"""),"semrush.com")</f>
        <v>semrush.com</v>
      </c>
      <c r="F157" s="185" t="str">
        <f>IFERROR(__xludf.DUMMYFUNCTION("""COMPUTED_VALUE"""),"Category Page")</f>
        <v>Category Page</v>
      </c>
      <c r="G157" s="185" t="str">
        <f>IFERROR(__xludf.DUMMYFUNCTION("""COMPUTED_VALUE"""),"CORPORATE")</f>
        <v>CORPORATE</v>
      </c>
      <c r="H157" s="185" t="str">
        <f>IFERROR(__xludf.DUMMYFUNCTION("""COMPUTED_VALUE"""),"No")</f>
        <v>No</v>
      </c>
      <c r="I157" s="185" t="str">
        <f>IFERROR(__xludf.DUMMYFUNCTION("""COMPUTED_VALUE"""),"Medium")</f>
        <v>Medium</v>
      </c>
      <c r="J157" s="185" t="str">
        <f>IFERROR(__xludf.DUMMYFUNCTION("""COMPUTED_VALUE"""),"Yes")</f>
        <v>Yes</v>
      </c>
      <c r="K157" s="185" t="str">
        <f>IFERROR(__xludf.DUMMYFUNCTION("""COMPUTED_VALUE"""),"SmartSites, LYFE Marketing, Elit-Web")</f>
        <v>SmartSites, LYFE Marketing, Elit-Web</v>
      </c>
      <c r="L157" s="187">
        <f>IFERROR(__xludf.DUMMYFUNCTION("""COMPUTED_VALUE"""),2.0)</f>
        <v>2</v>
      </c>
      <c r="M157" s="188">
        <f>IFERROR(__xludf.DUMMYFUNCTION("""COMPUTED_VALUE"""),0.0)</f>
        <v>0</v>
      </c>
      <c r="N157" s="188">
        <f>IFERROR(__xludf.DUMMYFUNCTION("""COMPUTED_VALUE"""),0.0)</f>
        <v>0</v>
      </c>
      <c r="O157" s="208"/>
      <c r="P157" s="208"/>
      <c r="Q157" s="208"/>
      <c r="R157" s="208"/>
    </row>
    <row r="158">
      <c r="A158" s="185" t="str">
        <f>IFERROR(__xludf.DUMMYFUNCTION("""COMPUTED_VALUE"""),"Industry data / software authority")</f>
        <v>Industry data / software authority</v>
      </c>
      <c r="B158" s="186" t="str">
        <f>IFERROR(__xludf.DUMMYFUNCTION("""COMPUTED_VALUE"""),"https://agencies.semrush.com/list/programmatic-advertising/information-technology/united-states/")</f>
        <v>https://agencies.semrush.com/list/programmatic-advertising/information-technology/united-states/</v>
      </c>
      <c r="C158" s="185" t="str">
        <f>IFERROR(__xludf.DUMMYFUNCTION("""COMPUTED_VALUE"""),"Best IT Programmatic Advertising Agencies in United States 2026 | Semrush")</f>
        <v>Best IT Programmatic Advertising Agencies in United States 2026 | Semrush</v>
      </c>
      <c r="D158" s="185" t="str">
        <f>IFERROR(__xludf.DUMMYFUNCTION("""COMPUTED_VALUE"""),"US")</f>
        <v>US</v>
      </c>
      <c r="E158" s="185" t="str">
        <f>IFERROR(__xludf.DUMMYFUNCTION("""COMPUTED_VALUE"""),"semrush.com")</f>
        <v>semrush.com</v>
      </c>
      <c r="F158" s="185" t="str">
        <f>IFERROR(__xludf.DUMMYFUNCTION("""COMPUTED_VALUE"""),"Category Page")</f>
        <v>Category Page</v>
      </c>
      <c r="G158" s="185" t="str">
        <f>IFERROR(__xludf.DUMMYFUNCTION("""COMPUTED_VALUE"""),"CORPORATE")</f>
        <v>CORPORATE</v>
      </c>
      <c r="H158" s="185" t="str">
        <f>IFERROR(__xludf.DUMMYFUNCTION("""COMPUTED_VALUE"""),"No")</f>
        <v>No</v>
      </c>
      <c r="I158" s="185" t="str">
        <f>IFERROR(__xludf.DUMMYFUNCTION("""COMPUTED_VALUE"""),"Medium")</f>
        <v>Medium</v>
      </c>
      <c r="J158" s="185" t="str">
        <f>IFERROR(__xludf.DUMMYFUNCTION("""COMPUTED_VALUE"""),"Yes")</f>
        <v>Yes</v>
      </c>
      <c r="K158" s="185" t="str">
        <f>IFERROR(__xludf.DUMMYFUNCTION("""COMPUTED_VALUE"""),"SmartSites, Elit-Web, Silverback Strategies, WebFX, Measured, Funnel Boost Media")</f>
        <v>SmartSites, Elit-Web, Silverback Strategies, WebFX, Measured, Funnel Boost Media</v>
      </c>
      <c r="L158" s="187">
        <f>IFERROR(__xludf.DUMMYFUNCTION("""COMPUTED_VALUE"""),2.0)</f>
        <v>2</v>
      </c>
      <c r="M158" s="188">
        <f>IFERROR(__xludf.DUMMYFUNCTION("""COMPUTED_VALUE"""),0.0)</f>
        <v>0</v>
      </c>
      <c r="N158" s="188">
        <f>IFERROR(__xludf.DUMMYFUNCTION("""COMPUTED_VALUE"""),0.0)</f>
        <v>0</v>
      </c>
      <c r="O158" s="208"/>
      <c r="P158" s="208"/>
      <c r="Q158" s="208"/>
      <c r="R158" s="208"/>
    </row>
    <row r="159">
      <c r="A159" s="185" t="str">
        <f>IFERROR(__xludf.DUMMYFUNCTION("""COMPUTED_VALUE"""),"Agency directory / review marketplace")</f>
        <v>Agency directory / review marketplace</v>
      </c>
      <c r="B159" s="186" t="str">
        <f>IFERROR(__xludf.DUMMYFUNCTION("""COMPUTED_VALUE"""),"https://clutch.co/agencies/performance-marketing%3Fpage%3D0")</f>
        <v>https://clutch.co/agencies/performance-marketing%3Fpage%3D0</v>
      </c>
      <c r="C159" s="185" t="str">
        <f>IFERROR(__xludf.DUMMYFUNCTION("""COMPUTED_VALUE"""),"Top Performance Marketing Agencies - Jul 2026 Rankings \| Clutch.co")</f>
        <v>Top Performance Marketing Agencies - Jul 2026 Rankings \| Clutch.co</v>
      </c>
      <c r="D159" s="185" t="str">
        <f>IFERROR(__xludf.DUMMYFUNCTION("""COMPUTED_VALUE"""),"US")</f>
        <v>US</v>
      </c>
      <c r="E159" s="185" t="str">
        <f>IFERROR(__xludf.DUMMYFUNCTION("""COMPUTED_VALUE"""),"clutch.co")</f>
        <v>clutch.co</v>
      </c>
      <c r="F159" s="185" t="str">
        <f>IFERROR(__xludf.DUMMYFUNCTION("""COMPUTED_VALUE"""),"Listicle")</f>
        <v>Listicle</v>
      </c>
      <c r="G159" s="185" t="str">
        <f>IFERROR(__xludf.DUMMYFUNCTION("""COMPUTED_VALUE"""),"COMPETITOR")</f>
        <v>COMPETITOR</v>
      </c>
      <c r="H159" s="185" t="str">
        <f>IFERROR(__xludf.DUMMYFUNCTION("""COMPUTED_VALUE"""),"No")</f>
        <v>No</v>
      </c>
      <c r="I159" s="185" t="str">
        <f>IFERROR(__xludf.DUMMYFUNCTION("""COMPUTED_VALUE"""),"Medium")</f>
        <v>Medium</v>
      </c>
      <c r="J159" s="185" t="str">
        <f>IFERROR(__xludf.DUMMYFUNCTION("""COMPUTED_VALUE"""),"Yes")</f>
        <v>Yes</v>
      </c>
      <c r="K159" s="185" t="str">
        <f>IFERROR(__xludf.DUMMYFUNCTION("""COMPUTED_VALUE"""),"Clutch, Disruptive Advertising, Accelerated Digital Media, Momentum")</f>
        <v>Clutch, Disruptive Advertising, Accelerated Digital Media, Momentum</v>
      </c>
      <c r="L159" s="187">
        <f>IFERROR(__xludf.DUMMYFUNCTION("""COMPUTED_VALUE"""),2.0)</f>
        <v>2</v>
      </c>
      <c r="M159" s="188">
        <f>IFERROR(__xludf.DUMMYFUNCTION("""COMPUTED_VALUE"""),0.0)</f>
        <v>0</v>
      </c>
      <c r="N159" s="188">
        <f>IFERROR(__xludf.DUMMYFUNCTION("""COMPUTED_VALUE"""),0.0)</f>
        <v>0</v>
      </c>
      <c r="O159" s="208"/>
      <c r="P159" s="208"/>
      <c r="Q159" s="208"/>
      <c r="R159" s="208"/>
    </row>
    <row r="160">
      <c r="A160" s="185" t="str">
        <f>IFERROR(__xludf.DUMMYFUNCTION("""COMPUTED_VALUE"""),"Agency directory / review marketplace")</f>
        <v>Agency directory / review marketplace</v>
      </c>
      <c r="B160" s="186" t="str">
        <f>IFERROR(__xludf.DUMMYFUNCTION("""COMPUTED_VALUE"""),"https://clutch.co/agencies/sem?geona_id=25338&amp;page=1")</f>
        <v>https://clutch.co/agencies/sem?geona_id=25338&amp;page=1</v>
      </c>
      <c r="C160" s="185" t="str">
        <f>IFERROR(__xludf.DUMMYFUNCTION("""COMPUTED_VALUE"""),"Page 2 - Best Search Engine Marketing Agencies - Jul 2026 Rankings \| Clutch.co")</f>
        <v>Page 2 - Best Search Engine Marketing Agencies - Jul 2026 Rankings \| Clutch.co</v>
      </c>
      <c r="D160" s="185" t="str">
        <f>IFERROR(__xludf.DUMMYFUNCTION("""COMPUTED_VALUE"""),"US")</f>
        <v>US</v>
      </c>
      <c r="E160" s="185" t="str">
        <f>IFERROR(__xludf.DUMMYFUNCTION("""COMPUTED_VALUE"""),"clutch.co")</f>
        <v>clutch.co</v>
      </c>
      <c r="F160" s="185" t="str">
        <f>IFERROR(__xludf.DUMMYFUNCTION("""COMPUTED_VALUE"""),"Category Page")</f>
        <v>Category Page</v>
      </c>
      <c r="G160" s="185" t="str">
        <f>IFERROR(__xludf.DUMMYFUNCTION("""COMPUTED_VALUE"""),"COMPETITOR")</f>
        <v>COMPETITOR</v>
      </c>
      <c r="H160" s="185" t="str">
        <f>IFERROR(__xludf.DUMMYFUNCTION("""COMPUTED_VALUE"""),"No")</f>
        <v>No</v>
      </c>
      <c r="I160" s="185" t="str">
        <f>IFERROR(__xludf.DUMMYFUNCTION("""COMPUTED_VALUE"""),"Medium")</f>
        <v>Medium</v>
      </c>
      <c r="J160" s="185" t="str">
        <f>IFERROR(__xludf.DUMMYFUNCTION("""COMPUTED_VALUE"""),"Yes")</f>
        <v>Yes</v>
      </c>
      <c r="K160" s="185" t="str">
        <f>IFERROR(__xludf.DUMMYFUNCTION("""COMPUTED_VALUE"""),"Clutch, Searchbloom, SmartSites, KlientBoost, Silverback Strategies, HawkSEM, NinjaPromo, Intero Digital, Ignite Visibility, DEPT, Elit-Web, Funnel Boost Media")</f>
        <v>Clutch, Searchbloom, SmartSites, KlientBoost, Silverback Strategies, HawkSEM, NinjaPromo, Intero Digital, Ignite Visibility, DEPT, Elit-Web, Funnel Boost Media</v>
      </c>
      <c r="L160" s="187">
        <f>IFERROR(__xludf.DUMMYFUNCTION("""COMPUTED_VALUE"""),2.0)</f>
        <v>2</v>
      </c>
      <c r="M160" s="188">
        <f>IFERROR(__xludf.DUMMYFUNCTION("""COMPUTED_VALUE"""),0.0)</f>
        <v>0</v>
      </c>
      <c r="N160" s="188">
        <f>IFERROR(__xludf.DUMMYFUNCTION("""COMPUTED_VALUE"""),0.0)</f>
        <v>0</v>
      </c>
      <c r="O160" s="208"/>
      <c r="P160" s="208"/>
      <c r="Q160" s="208"/>
      <c r="R160" s="208"/>
    </row>
    <row r="161">
      <c r="A161" s="185" t="str">
        <f>IFERROR(__xludf.DUMMYFUNCTION("""COMPUTED_VALUE"""),"Agency directory / review marketplace")</f>
        <v>Agency directory / review marketplace</v>
      </c>
      <c r="B161" s="186" t="str">
        <f>IFERROR(__xludf.DUMMYFUNCTION("""COMPUTED_VALUE"""),"https://clutch.co/press-releases/Best-of-Clutch-winners-2025")</f>
        <v>https://clutch.co/press-releases/Best-of-Clutch-winners-2025</v>
      </c>
      <c r="C161" s="185" t="str">
        <f>IFERROR(__xludf.DUMMYFUNCTION("""COMPUTED_VALUE"""),"Clutch Announces 2025 Best of Clutch Award Winners \| Clutch.co")</f>
        <v>Clutch Announces 2025 Best of Clutch Award Winners \| Clutch.co</v>
      </c>
      <c r="D161" s="185" t="str">
        <f>IFERROR(__xludf.DUMMYFUNCTION("""COMPUTED_VALUE"""),"US")</f>
        <v>US</v>
      </c>
      <c r="E161" s="185" t="str">
        <f>IFERROR(__xludf.DUMMYFUNCTION("""COMPUTED_VALUE"""),"clutch.co")</f>
        <v>clutch.co</v>
      </c>
      <c r="F161" s="185" t="str">
        <f>IFERROR(__xludf.DUMMYFUNCTION("""COMPUTED_VALUE"""),"Listicle")</f>
        <v>Listicle</v>
      </c>
      <c r="G161" s="185" t="str">
        <f>IFERROR(__xludf.DUMMYFUNCTION("""COMPUTED_VALUE"""),"COMPETITOR")</f>
        <v>COMPETITOR</v>
      </c>
      <c r="H161" s="185" t="str">
        <f>IFERROR(__xludf.DUMMYFUNCTION("""COMPUTED_VALUE"""),"No")</f>
        <v>No</v>
      </c>
      <c r="I161" s="185" t="str">
        <f>IFERROR(__xludf.DUMMYFUNCTION("""COMPUTED_VALUE"""),"Medium")</f>
        <v>Medium</v>
      </c>
      <c r="J161" s="185" t="str">
        <f>IFERROR(__xludf.DUMMYFUNCTION("""COMPUTED_VALUE"""),"Yes")</f>
        <v>Yes</v>
      </c>
      <c r="K161" s="185" t="str">
        <f>IFERROR(__xludf.DUMMYFUNCTION("""COMPUTED_VALUE"""),"Clutch, Ignite Visibility, Victorious")</f>
        <v>Clutch, Ignite Visibility, Victorious</v>
      </c>
      <c r="L161" s="187">
        <f>IFERROR(__xludf.DUMMYFUNCTION("""COMPUTED_VALUE"""),2.0)</f>
        <v>2</v>
      </c>
      <c r="M161" s="188">
        <f>IFERROR(__xludf.DUMMYFUNCTION("""COMPUTED_VALUE"""),0.0)</f>
        <v>0</v>
      </c>
      <c r="N161" s="188">
        <f>IFERROR(__xludf.DUMMYFUNCTION("""COMPUTED_VALUE"""),0.0)</f>
        <v>0</v>
      </c>
      <c r="O161" s="208"/>
      <c r="P161" s="208"/>
      <c r="Q161" s="208"/>
      <c r="R161" s="208"/>
    </row>
    <row r="162">
      <c r="A162" s="185" t="str">
        <f>IFERROR(__xludf.DUMMYFUNCTION("""COMPUTED_VALUE"""),"Agency directory / review marketplace")</f>
        <v>Agency directory / review marketplace</v>
      </c>
      <c r="B162" s="186" t="str">
        <f>IFERROR(__xludf.DUMMYFUNCTION("""COMPUTED_VALUE"""),"https://clutch.co/us/agencies/digital")</f>
        <v>https://clutch.co/us/agencies/digital</v>
      </c>
      <c r="C162" s="185" t="str">
        <f>IFERROR(__xludf.DUMMYFUNCTION("""COMPUTED_VALUE"""),"Top Full-Service Digital Agencies in the United States - Jul 2026 Rankings | Clutch.co")</f>
        <v>Top Full-Service Digital Agencies in the United States - Jul 2026 Rankings | Clutch.co</v>
      </c>
      <c r="D162" s="185" t="str">
        <f>IFERROR(__xludf.DUMMYFUNCTION("""COMPUTED_VALUE"""),"US")</f>
        <v>US</v>
      </c>
      <c r="E162" s="185" t="str">
        <f>IFERROR(__xludf.DUMMYFUNCTION("""COMPUTED_VALUE"""),"clutch.co")</f>
        <v>clutch.co</v>
      </c>
      <c r="F162" s="185" t="str">
        <f>IFERROR(__xludf.DUMMYFUNCTION("""COMPUTED_VALUE"""),"Category Page")</f>
        <v>Category Page</v>
      </c>
      <c r="G162" s="185" t="str">
        <f>IFERROR(__xludf.DUMMYFUNCTION("""COMPUTED_VALUE"""),"COMPETITOR")</f>
        <v>COMPETITOR</v>
      </c>
      <c r="H162" s="185" t="str">
        <f>IFERROR(__xludf.DUMMYFUNCTION("""COMPUTED_VALUE"""),"No")</f>
        <v>No</v>
      </c>
      <c r="I162" s="185" t="str">
        <f>IFERROR(__xludf.DUMMYFUNCTION("""COMPUTED_VALUE"""),"Medium")</f>
        <v>Medium</v>
      </c>
      <c r="J162" s="185" t="str">
        <f>IFERROR(__xludf.DUMMYFUNCTION("""COMPUTED_VALUE"""),"Yes")</f>
        <v>Yes</v>
      </c>
      <c r="K162" s="185" t="str">
        <f>IFERROR(__xludf.DUMMYFUNCTION("""COMPUTED_VALUE"""),"Clutch, Ignite Visibility, Storm Brain, Funnel Boost Media, Momentum")</f>
        <v>Clutch, Ignite Visibility, Storm Brain, Funnel Boost Media, Momentum</v>
      </c>
      <c r="L162" s="187">
        <f>IFERROR(__xludf.DUMMYFUNCTION("""COMPUTED_VALUE"""),2.0)</f>
        <v>2</v>
      </c>
      <c r="M162" s="188">
        <f>IFERROR(__xludf.DUMMYFUNCTION("""COMPUTED_VALUE"""),0.0)</f>
        <v>0</v>
      </c>
      <c r="N162" s="188">
        <f>IFERROR(__xludf.DUMMYFUNCTION("""COMPUTED_VALUE"""),0.0)</f>
        <v>0</v>
      </c>
      <c r="O162" s="208"/>
      <c r="P162" s="208"/>
      <c r="Q162" s="208"/>
      <c r="R162" s="208"/>
    </row>
    <row r="163">
      <c r="A163" s="185" t="str">
        <f>IFERROR(__xludf.DUMMYFUNCTION("""COMPUTED_VALUE"""),"Agency directory / review marketplace")</f>
        <v>Agency directory / review marketplace</v>
      </c>
      <c r="B163" s="186" t="str">
        <f>IFERROR(__xludf.DUMMYFUNCTION("""COMPUTED_VALUE"""),"https://clutch.co/us/agencies/digital-marketing%3Fpage%3D2")</f>
        <v>https://clutch.co/us/agencies/digital-marketing%3Fpage%3D2</v>
      </c>
      <c r="C163" s="185" t="str">
        <f>IFERROR(__xludf.DUMMYFUNCTION("""COMPUTED_VALUE"""),"Top Digital Marketing Agencies in the United States - Jul 2026 Rankings \| Clutch.co")</f>
        <v>Top Digital Marketing Agencies in the United States - Jul 2026 Rankings \| Clutch.co</v>
      </c>
      <c r="D163" s="185" t="str">
        <f>IFERROR(__xludf.DUMMYFUNCTION("""COMPUTED_VALUE"""),"US")</f>
        <v>US</v>
      </c>
      <c r="E163" s="185" t="str">
        <f>IFERROR(__xludf.DUMMYFUNCTION("""COMPUTED_VALUE"""),"clutch.co")</f>
        <v>clutch.co</v>
      </c>
      <c r="F163" s="185" t="str">
        <f>IFERROR(__xludf.DUMMYFUNCTION("""COMPUTED_VALUE"""),"Category Page")</f>
        <v>Category Page</v>
      </c>
      <c r="G163" s="185" t="str">
        <f>IFERROR(__xludf.DUMMYFUNCTION("""COMPUTED_VALUE"""),"COMPETITOR")</f>
        <v>COMPETITOR</v>
      </c>
      <c r="H163" s="185" t="str">
        <f>IFERROR(__xludf.DUMMYFUNCTION("""COMPUTED_VALUE"""),"No")</f>
        <v>No</v>
      </c>
      <c r="I163" s="185" t="str">
        <f>IFERROR(__xludf.DUMMYFUNCTION("""COMPUTED_VALUE"""),"Medium")</f>
        <v>Medium</v>
      </c>
      <c r="J163" s="185" t="str">
        <f>IFERROR(__xludf.DUMMYFUNCTION("""COMPUTED_VALUE"""),"Yes")</f>
        <v>Yes</v>
      </c>
      <c r="K163" s="185" t="str">
        <f>IFERROR(__xludf.DUMMYFUNCTION("""COMPUTED_VALUE"""),"Clutch, Ignite Visibility, Funnel Boost Media, SmartSites, Accelerated Digital Media, Thrive Internet Marketing Agency, Intero Digital, Disruptive Advertising, Elit-Web, NinjaPromo, HawkSEM")</f>
        <v>Clutch, Ignite Visibility, Funnel Boost Media, SmartSites, Accelerated Digital Media, Thrive Internet Marketing Agency, Intero Digital, Disruptive Advertising, Elit-Web, NinjaPromo, HawkSEM</v>
      </c>
      <c r="L163" s="187">
        <f>IFERROR(__xludf.DUMMYFUNCTION("""COMPUTED_VALUE"""),2.0)</f>
        <v>2</v>
      </c>
      <c r="M163" s="188">
        <f>IFERROR(__xludf.DUMMYFUNCTION("""COMPUTED_VALUE"""),0.0)</f>
        <v>0</v>
      </c>
      <c r="N163" s="188">
        <f>IFERROR(__xludf.DUMMYFUNCTION("""COMPUTED_VALUE"""),0.0)</f>
        <v>0</v>
      </c>
      <c r="O163" s="208"/>
      <c r="P163" s="208"/>
      <c r="Q163" s="208"/>
      <c r="R163" s="208"/>
    </row>
    <row r="164">
      <c r="A164" s="185" t="str">
        <f>IFERROR(__xludf.DUMMYFUNCTION("""COMPUTED_VALUE"""),"Agency directory / review marketplace")</f>
        <v>Agency directory / review marketplace</v>
      </c>
      <c r="B164" s="186" t="str">
        <f>IFERROR(__xludf.DUMMYFUNCTION("""COMPUTED_VALUE"""),"https://clutch.co/us/agencies/ecommerce-marketing")</f>
        <v>https://clutch.co/us/agencies/ecommerce-marketing</v>
      </c>
      <c r="C164" s="185" t="str">
        <f>IFERROR(__xludf.DUMMYFUNCTION("""COMPUTED_VALUE"""),"Top E-Commerce Marketing Agencies in the United States - Jul 2026 Rankings \| Clutch.co")</f>
        <v>Top E-Commerce Marketing Agencies in the United States - Jul 2026 Rankings \| Clutch.co</v>
      </c>
      <c r="D164" s="185" t="str">
        <f>IFERROR(__xludf.DUMMYFUNCTION("""COMPUTED_VALUE"""),"US")</f>
        <v>US</v>
      </c>
      <c r="E164" s="185" t="str">
        <f>IFERROR(__xludf.DUMMYFUNCTION("""COMPUTED_VALUE"""),"clutch.co")</f>
        <v>clutch.co</v>
      </c>
      <c r="F164" s="185" t="str">
        <f>IFERROR(__xludf.DUMMYFUNCTION("""COMPUTED_VALUE"""),"Category Page")</f>
        <v>Category Page</v>
      </c>
      <c r="G164" s="185" t="str">
        <f>IFERROR(__xludf.DUMMYFUNCTION("""COMPUTED_VALUE"""),"COMPETITOR")</f>
        <v>COMPETITOR</v>
      </c>
      <c r="H164" s="185" t="str">
        <f>IFERROR(__xludf.DUMMYFUNCTION("""COMPUTED_VALUE"""),"No")</f>
        <v>No</v>
      </c>
      <c r="I164" s="185" t="str">
        <f>IFERROR(__xludf.DUMMYFUNCTION("""COMPUTED_VALUE"""),"Medium")</f>
        <v>Medium</v>
      </c>
      <c r="J164" s="185" t="str">
        <f>IFERROR(__xludf.DUMMYFUNCTION("""COMPUTED_VALUE"""),"Yes")</f>
        <v>Yes</v>
      </c>
      <c r="K164" s="185" t="str">
        <f>IFERROR(__xludf.DUMMYFUNCTION("""COMPUTED_VALUE"""),"Clutch, Disruptive Advertising, Acadia, AdVenture Media, Accelerated Digital Media, Brighter Click, Huge, Momentum")</f>
        <v>Clutch, Disruptive Advertising, Acadia, AdVenture Media, Accelerated Digital Media, Brighter Click, Huge, Momentum</v>
      </c>
      <c r="L164" s="187">
        <f>IFERROR(__xludf.DUMMYFUNCTION("""COMPUTED_VALUE"""),2.0)</f>
        <v>2</v>
      </c>
      <c r="M164" s="188">
        <f>IFERROR(__xludf.DUMMYFUNCTION("""COMPUTED_VALUE"""),0.0)</f>
        <v>0</v>
      </c>
      <c r="N164" s="188">
        <f>IFERROR(__xludf.DUMMYFUNCTION("""COMPUTED_VALUE"""),0.0)</f>
        <v>0</v>
      </c>
      <c r="O164" s="208"/>
      <c r="P164" s="208"/>
      <c r="Q164" s="208"/>
      <c r="R164" s="208"/>
    </row>
    <row r="165">
      <c r="A165" s="185" t="str">
        <f>IFERROR(__xludf.DUMMYFUNCTION("""COMPUTED_VALUE"""),"Agency directory / review marketplace")</f>
        <v>Agency directory / review marketplace</v>
      </c>
      <c r="B165" s="186" t="str">
        <f>IFERROR(__xludf.DUMMYFUNCTION("""COMPUTED_VALUE"""),"https://clutch.co/us/agencies/ppc%3Fpage%3D2")</f>
        <v>https://clutch.co/us/agencies/ppc%3Fpage%3D2</v>
      </c>
      <c r="C165" s="185" t="str">
        <f>IFERROR(__xludf.DUMMYFUNCTION("""COMPUTED_VALUE"""),"Top PPC Companies in the United States - Jul 2026 Rankings \| Clutch.co")</f>
        <v>Top PPC Companies in the United States - Jul 2026 Rankings \| Clutch.co</v>
      </c>
      <c r="D165" s="185" t="str">
        <f>IFERROR(__xludf.DUMMYFUNCTION("""COMPUTED_VALUE"""),"US")</f>
        <v>US</v>
      </c>
      <c r="E165" s="185" t="str">
        <f>IFERROR(__xludf.DUMMYFUNCTION("""COMPUTED_VALUE"""),"clutch.co")</f>
        <v>clutch.co</v>
      </c>
      <c r="F165" s="185" t="str">
        <f>IFERROR(__xludf.DUMMYFUNCTION("""COMPUTED_VALUE"""),"Category Page")</f>
        <v>Category Page</v>
      </c>
      <c r="G165" s="185" t="str">
        <f>IFERROR(__xludf.DUMMYFUNCTION("""COMPUTED_VALUE"""),"COMPETITOR")</f>
        <v>COMPETITOR</v>
      </c>
      <c r="H165" s="185" t="str">
        <f>IFERROR(__xludf.DUMMYFUNCTION("""COMPUTED_VALUE"""),"No")</f>
        <v>No</v>
      </c>
      <c r="I165" s="185" t="str">
        <f>IFERROR(__xludf.DUMMYFUNCTION("""COMPUTED_VALUE"""),"Medium")</f>
        <v>Medium</v>
      </c>
      <c r="J165" s="185" t="str">
        <f>IFERROR(__xludf.DUMMYFUNCTION("""COMPUTED_VALUE"""),"Yes")</f>
        <v>Yes</v>
      </c>
      <c r="K165" s="185" t="str">
        <f>IFERROR(__xludf.DUMMYFUNCTION("""COMPUTED_VALUE"""),"Clutch, KlientBoost, Disruptive Advertising, AdVenture Media, HawkSEM, SmartSites, Intero Digital, Elit-Web")</f>
        <v>Clutch, KlientBoost, Disruptive Advertising, AdVenture Media, HawkSEM, SmartSites, Intero Digital, Elit-Web</v>
      </c>
      <c r="L165" s="187">
        <f>IFERROR(__xludf.DUMMYFUNCTION("""COMPUTED_VALUE"""),2.0)</f>
        <v>2</v>
      </c>
      <c r="M165" s="188">
        <f>IFERROR(__xludf.DUMMYFUNCTION("""COMPUTED_VALUE"""),0.0)</f>
        <v>0</v>
      </c>
      <c r="N165" s="188">
        <f>IFERROR(__xludf.DUMMYFUNCTION("""COMPUTED_VALUE"""),0.0)</f>
        <v>0</v>
      </c>
      <c r="O165" s="208"/>
      <c r="P165" s="208"/>
      <c r="Q165" s="208"/>
      <c r="R165" s="208"/>
    </row>
    <row r="166">
      <c r="A166" s="185" t="str">
        <f>IFERROR(__xludf.DUMMYFUNCTION("""COMPUTED_VALUE"""),"Agency directory / review marketplace")</f>
        <v>Agency directory / review marketplace</v>
      </c>
      <c r="B166" s="186" t="str">
        <f>IFERROR(__xludf.DUMMYFUNCTION("""COMPUTED_VALUE"""),"https://clutch.co/us/agencies/ppc/display%3Fpage%3D5")</f>
        <v>https://clutch.co/us/agencies/ppc/display%3Fpage%3D5</v>
      </c>
      <c r="C166" s="185" t="str">
        <f>IFERROR(__xludf.DUMMYFUNCTION("""COMPUTED_VALUE"""),"Top Display Advertising Agencies in the United States - Jul 2026 Rankings \| Clutch.co")</f>
        <v>Top Display Advertising Agencies in the United States - Jul 2026 Rankings \| Clutch.co</v>
      </c>
      <c r="D166" s="185" t="str">
        <f>IFERROR(__xludf.DUMMYFUNCTION("""COMPUTED_VALUE"""),"US")</f>
        <v>US</v>
      </c>
      <c r="E166" s="185" t="str">
        <f>IFERROR(__xludf.DUMMYFUNCTION("""COMPUTED_VALUE"""),"clutch.co")</f>
        <v>clutch.co</v>
      </c>
      <c r="F166" s="185" t="str">
        <f>IFERROR(__xludf.DUMMYFUNCTION("""COMPUTED_VALUE"""),"Product Page")</f>
        <v>Product Page</v>
      </c>
      <c r="G166" s="185" t="str">
        <f>IFERROR(__xludf.DUMMYFUNCTION("""COMPUTED_VALUE"""),"COMPETITOR")</f>
        <v>COMPETITOR</v>
      </c>
      <c r="H166" s="185" t="str">
        <f>IFERROR(__xludf.DUMMYFUNCTION("""COMPUTED_VALUE"""),"No")</f>
        <v>No</v>
      </c>
      <c r="I166" s="185" t="str">
        <f>IFERROR(__xludf.DUMMYFUNCTION("""COMPUTED_VALUE"""),"Medium")</f>
        <v>Medium</v>
      </c>
      <c r="J166" s="185" t="str">
        <f>IFERROR(__xludf.DUMMYFUNCTION("""COMPUTED_VALUE"""),"Yes")</f>
        <v>Yes</v>
      </c>
      <c r="K166" s="185" t="str">
        <f>IFERROR(__xludf.DUMMYFUNCTION("""COMPUTED_VALUE"""),"Clutch, Elit-Web, AdVenture Media, Storm Brain")</f>
        <v>Clutch, Elit-Web, AdVenture Media, Storm Brain</v>
      </c>
      <c r="L166" s="187">
        <f>IFERROR(__xludf.DUMMYFUNCTION("""COMPUTED_VALUE"""),2.0)</f>
        <v>2</v>
      </c>
      <c r="M166" s="188">
        <f>IFERROR(__xludf.DUMMYFUNCTION("""COMPUTED_VALUE"""),0.0)</f>
        <v>0</v>
      </c>
      <c r="N166" s="188">
        <f>IFERROR(__xludf.DUMMYFUNCTION("""COMPUTED_VALUE"""),0.0)</f>
        <v>0</v>
      </c>
      <c r="O166" s="208"/>
      <c r="P166" s="208"/>
      <c r="Q166" s="208"/>
      <c r="R166" s="208"/>
    </row>
    <row r="167">
      <c r="A167" s="185" t="str">
        <f>IFERROR(__xludf.DUMMYFUNCTION("""COMPUTED_VALUE"""),"Lower-priority competitor/vendor roundup")</f>
        <v>Lower-priority competitor/vendor roundup</v>
      </c>
      <c r="B167" s="186" t="str">
        <f>IFERROR(__xludf.DUMMYFUNCTION("""COMPUTED_VALUE"""),"https://www.cometly.com/post/marketing-attribution-companies")</f>
        <v>https://www.cometly.com/post/marketing-attribution-companies</v>
      </c>
      <c r="C167" s="185" t="str">
        <f>IFERROR(__xludf.DUMMYFUNCTION("""COMPUTED_VALUE"""),"11 Best Marketing Attribution Companies to Track ROI")</f>
        <v>11 Best Marketing Attribution Companies to Track ROI</v>
      </c>
      <c r="D167" s="185" t="str">
        <f>IFERROR(__xludf.DUMMYFUNCTION("""COMPUTED_VALUE"""),"US")</f>
        <v>US</v>
      </c>
      <c r="E167" s="185" t="str">
        <f>IFERROR(__xludf.DUMMYFUNCTION("""COMPUTED_VALUE"""),"cometly.com")</f>
        <v>cometly.com</v>
      </c>
      <c r="F167" s="185" t="str">
        <f>IFERROR(__xludf.DUMMYFUNCTION("""COMPUTED_VALUE"""),"Listicle")</f>
        <v>Listicle</v>
      </c>
      <c r="G167" s="185" t="str">
        <f>IFERROR(__xludf.DUMMYFUNCTION("""COMPUTED_VALUE"""),"COMPETITOR")</f>
        <v>COMPETITOR</v>
      </c>
      <c r="H167" s="185" t="str">
        <f>IFERROR(__xludf.DUMMYFUNCTION("""COMPUTED_VALUE"""),"No")</f>
        <v>No</v>
      </c>
      <c r="I167" s="185" t="str">
        <f>IFERROR(__xludf.DUMMYFUNCTION("""COMPUTED_VALUE"""),"Low")</f>
        <v>Low</v>
      </c>
      <c r="J167" s="185" t="str">
        <f>IFERROR(__xludf.DUMMYFUNCTION("""COMPUTED_VALUE"""),"Secondary")</f>
        <v>Secondary</v>
      </c>
      <c r="K167" s="185" t="str">
        <f>IFERROR(__xludf.DUMMYFUNCTION("""COMPUTED_VALUE"""),"Cometly, Triple Whale, Northbeam, Rockerbox, Ruler Analytics")</f>
        <v>Cometly, Triple Whale, Northbeam, Rockerbox, Ruler Analytics</v>
      </c>
      <c r="L167" s="187">
        <f>IFERROR(__xludf.DUMMYFUNCTION("""COMPUTED_VALUE"""),2.0)</f>
        <v>2</v>
      </c>
      <c r="M167" s="188">
        <f>IFERROR(__xludf.DUMMYFUNCTION("""COMPUTED_VALUE"""),0.0)</f>
        <v>0</v>
      </c>
      <c r="N167" s="188">
        <f>IFERROR(__xludf.DUMMYFUNCTION("""COMPUTED_VALUE"""),2.0)</f>
        <v>2</v>
      </c>
      <c r="O167" s="208"/>
      <c r="P167" s="208"/>
      <c r="Q167" s="208"/>
      <c r="R167" s="208"/>
    </row>
    <row r="168">
      <c r="A168" s="185" t="str">
        <f>IFERROR(__xludf.DUMMYFUNCTION("""COMPUTED_VALUE"""),"Agency directory / review marketplace")</f>
        <v>Agency directory / review marketplace</v>
      </c>
      <c r="B168" s="186" t="str">
        <f>IFERROR(__xludf.DUMMYFUNCTION("""COMPUTED_VALUE"""),"https://www.designrush.com/agency/digital-marketing/analytics/us?page=2")</f>
        <v>https://www.designrush.com/agency/digital-marketing/analytics/us?page=2</v>
      </c>
      <c r="C168" s="185" t="str">
        <f>IFERROR(__xludf.DUMMYFUNCTION("""COMPUTED_VALUE"""),"Top United States Marketing Analytics Companies - Page 2")</f>
        <v>Top United States Marketing Analytics Companies - Page 2</v>
      </c>
      <c r="D168" s="185" t="str">
        <f>IFERROR(__xludf.DUMMYFUNCTION("""COMPUTED_VALUE"""),"US")</f>
        <v>US</v>
      </c>
      <c r="E168" s="185" t="str">
        <f>IFERROR(__xludf.DUMMYFUNCTION("""COMPUTED_VALUE"""),"designrush.com")</f>
        <v>designrush.com</v>
      </c>
      <c r="F168" s="185" t="str">
        <f>IFERROR(__xludf.DUMMYFUNCTION("""COMPUTED_VALUE"""),"Category Page")</f>
        <v>Category Page</v>
      </c>
      <c r="G168" s="185" t="str">
        <f>IFERROR(__xludf.DUMMYFUNCTION("""COMPUTED_VALUE"""),"CORPORATE")</f>
        <v>CORPORATE</v>
      </c>
      <c r="H168" s="185" t="str">
        <f>IFERROR(__xludf.DUMMYFUNCTION("""COMPUTED_VALUE"""),"No")</f>
        <v>No</v>
      </c>
      <c r="I168" s="185" t="str">
        <f>IFERROR(__xludf.DUMMYFUNCTION("""COMPUTED_VALUE"""),"Medium")</f>
        <v>Medium</v>
      </c>
      <c r="J168" s="185" t="str">
        <f>IFERROR(__xludf.DUMMYFUNCTION("""COMPUTED_VALUE"""),"Yes")</f>
        <v>Yes</v>
      </c>
      <c r="K168" s="185" t="str">
        <f>IFERROR(__xludf.DUMMYFUNCTION("""COMPUTED_VALUE"""),"Nielsen, DEPT, IBM, Measured")</f>
        <v>Nielsen, DEPT, IBM, Measured</v>
      </c>
      <c r="L168" s="187">
        <f>IFERROR(__xludf.DUMMYFUNCTION("""COMPUTED_VALUE"""),2.0)</f>
        <v>2</v>
      </c>
      <c r="M168" s="188">
        <f>IFERROR(__xludf.DUMMYFUNCTION("""COMPUTED_VALUE"""),0.0)</f>
        <v>0</v>
      </c>
      <c r="N168" s="188">
        <f>IFERROR(__xludf.DUMMYFUNCTION("""COMPUTED_VALUE"""),0.0)</f>
        <v>0</v>
      </c>
      <c r="O168" s="208"/>
      <c r="P168" s="208"/>
      <c r="Q168" s="208"/>
      <c r="R168" s="208"/>
    </row>
    <row r="169">
      <c r="A169" s="185" t="str">
        <f>IFERROR(__xludf.DUMMYFUNCTION("""COMPUTED_VALUE"""),"Agency directory / review marketplace")</f>
        <v>Agency directory / review marketplace</v>
      </c>
      <c r="B169" s="186" t="str">
        <f>IFERROR(__xludf.DUMMYFUNCTION("""COMPUTED_VALUE"""),"https://www.designrush.com/agency/digital-marketing/analytics?page=2")</f>
        <v>https://www.designrush.com/agency/digital-marketing/analytics?page=2</v>
      </c>
      <c r="C169" s="185" t="str">
        <f>IFERROR(__xludf.DUMMYFUNCTION("""COMPUTED_VALUE"""),"Top Marketing Analytics Agencies in 2026 - Page 2")</f>
        <v>Top Marketing Analytics Agencies in 2026 - Page 2</v>
      </c>
      <c r="D169" s="185" t="str">
        <f>IFERROR(__xludf.DUMMYFUNCTION("""COMPUTED_VALUE"""),"US")</f>
        <v>US</v>
      </c>
      <c r="E169" s="185" t="str">
        <f>IFERROR(__xludf.DUMMYFUNCTION("""COMPUTED_VALUE"""),"designrush.com")</f>
        <v>designrush.com</v>
      </c>
      <c r="F169" s="185" t="str">
        <f>IFERROR(__xludf.DUMMYFUNCTION("""COMPUTED_VALUE"""),"Listicle")</f>
        <v>Listicle</v>
      </c>
      <c r="G169" s="185" t="str">
        <f>IFERROR(__xludf.DUMMYFUNCTION("""COMPUTED_VALUE"""),"CORPORATE")</f>
        <v>CORPORATE</v>
      </c>
      <c r="H169" s="185" t="str">
        <f>IFERROR(__xludf.DUMMYFUNCTION("""COMPUTED_VALUE"""),"No")</f>
        <v>No</v>
      </c>
      <c r="I169" s="185" t="str">
        <f>IFERROR(__xludf.DUMMYFUNCTION("""COMPUTED_VALUE"""),"Medium")</f>
        <v>Medium</v>
      </c>
      <c r="J169" s="185" t="str">
        <f>IFERROR(__xludf.DUMMYFUNCTION("""COMPUTED_VALUE"""),"Yes")</f>
        <v>Yes</v>
      </c>
      <c r="K169" s="185" t="str">
        <f>IFERROR(__xludf.DUMMYFUNCTION("""COMPUTED_VALUE"""),"Ruler Analytics, Amsive, Intero Digital, Ignite Visibility")</f>
        <v>Ruler Analytics, Amsive, Intero Digital, Ignite Visibility</v>
      </c>
      <c r="L169" s="187">
        <f>IFERROR(__xludf.DUMMYFUNCTION("""COMPUTED_VALUE"""),2.0)</f>
        <v>2</v>
      </c>
      <c r="M169" s="188">
        <f>IFERROR(__xludf.DUMMYFUNCTION("""COMPUTED_VALUE"""),0.0)</f>
        <v>0</v>
      </c>
      <c r="N169" s="188">
        <f>IFERROR(__xludf.DUMMYFUNCTION("""COMPUTED_VALUE"""),0.0)</f>
        <v>0</v>
      </c>
      <c r="O169" s="208"/>
      <c r="P169" s="208"/>
      <c r="Q169" s="208"/>
      <c r="R169" s="208"/>
    </row>
    <row r="170">
      <c r="A170" s="185" t="str">
        <f>IFERROR(__xludf.DUMMYFUNCTION("""COMPUTED_VALUE"""),"Agency directory / review marketplace")</f>
        <v>Agency directory / review marketplace</v>
      </c>
      <c r="B170" s="186" t="str">
        <f>IFERROR(__xludf.DUMMYFUNCTION("""COMPUTED_VALUE"""),"https://digitalagencynetwork.com/agencies/")</f>
        <v>https://digitalagencynetwork.com/agencies/</v>
      </c>
      <c r="C170" s="185" t="str">
        <f>IFERROR(__xludf.DUMMYFUNCTION("""COMPUTED_VALUE"""),"Best Digital Marketing Agencies in the World | Digital Agency Network")</f>
        <v>Best Digital Marketing Agencies in the World | Digital Agency Network</v>
      </c>
      <c r="D170" s="185" t="str">
        <f>IFERROR(__xludf.DUMMYFUNCTION("""COMPUTED_VALUE"""),"US")</f>
        <v>US</v>
      </c>
      <c r="E170" s="185" t="str">
        <f>IFERROR(__xludf.DUMMYFUNCTION("""COMPUTED_VALUE"""),"digitalagencynetwork.com")</f>
        <v>digitalagencynetwork.com</v>
      </c>
      <c r="F170" s="185" t="str">
        <f>IFERROR(__xludf.DUMMYFUNCTION("""COMPUTED_VALUE"""),"Category Page")</f>
        <v>Category Page</v>
      </c>
      <c r="G170" s="185" t="str">
        <f>IFERROR(__xludf.DUMMYFUNCTION("""COMPUTED_VALUE"""),"REFERENCE")</f>
        <v>REFERENCE</v>
      </c>
      <c r="H170" s="185" t="str">
        <f>IFERROR(__xludf.DUMMYFUNCTION("""COMPUTED_VALUE"""),"No")</f>
        <v>No</v>
      </c>
      <c r="I170" s="185" t="str">
        <f>IFERROR(__xludf.DUMMYFUNCTION("""COMPUTED_VALUE"""),"Medium")</f>
        <v>Medium</v>
      </c>
      <c r="J170" s="185" t="str">
        <f>IFERROR(__xludf.DUMMYFUNCTION("""COMPUTED_VALUE"""),"Yes")</f>
        <v>Yes</v>
      </c>
      <c r="K170" s="185" t="str">
        <f>IFERROR(__xludf.DUMMYFUNCTION("""COMPUTED_VALUE"""),"Ignite Visibility, PwC, Major Tom, Dentsu")</f>
        <v>Ignite Visibility, PwC, Major Tom, Dentsu</v>
      </c>
      <c r="L170" s="187">
        <f>IFERROR(__xludf.DUMMYFUNCTION("""COMPUTED_VALUE"""),2.0)</f>
        <v>2</v>
      </c>
      <c r="M170" s="188">
        <f>IFERROR(__xludf.DUMMYFUNCTION("""COMPUTED_VALUE"""),0.0)</f>
        <v>0</v>
      </c>
      <c r="N170" s="188">
        <f>IFERROR(__xludf.DUMMYFUNCTION("""COMPUTED_VALUE"""),0.0)</f>
        <v>0</v>
      </c>
      <c r="O170" s="208"/>
      <c r="P170" s="208"/>
      <c r="Q170" s="208"/>
      <c r="R170" s="208"/>
    </row>
    <row r="171">
      <c r="A171" s="185" t="str">
        <f>IFERROR(__xludf.DUMMYFUNCTION("""COMPUTED_VALUE"""),"Agency directory / review marketplace")</f>
        <v>Agency directory / review marketplace</v>
      </c>
      <c r="B171" s="186" t="str">
        <f>IFERROR(__xludf.DUMMYFUNCTION("""COMPUTED_VALUE"""),"https://digitalagencynetwork.com/best-ai-agents-for-digital-marketing/")</f>
        <v>https://digitalagencynetwork.com/best-ai-agents-for-digital-marketing/</v>
      </c>
      <c r="C171" s="185" t="str">
        <f>IFERROR(__xludf.DUMMYFUNCTION("""COMPUTED_VALUE"""),"Best AI Agents for Digital Marketing: The Ultimate Guide for 2026")</f>
        <v>Best AI Agents for Digital Marketing: The Ultimate Guide for 2026</v>
      </c>
      <c r="D171" s="185" t="str">
        <f>IFERROR(__xludf.DUMMYFUNCTION("""COMPUTED_VALUE"""),"US")</f>
        <v>US</v>
      </c>
      <c r="E171" s="185" t="str">
        <f>IFERROR(__xludf.DUMMYFUNCTION("""COMPUTED_VALUE"""),"digitalagencynetwork.com")</f>
        <v>digitalagencynetwork.com</v>
      </c>
      <c r="F171" s="185" t="str">
        <f>IFERROR(__xludf.DUMMYFUNCTION("""COMPUTED_VALUE"""),"Listicle")</f>
        <v>Listicle</v>
      </c>
      <c r="G171" s="185" t="str">
        <f>IFERROR(__xludf.DUMMYFUNCTION("""COMPUTED_VALUE"""),"REFERENCE")</f>
        <v>REFERENCE</v>
      </c>
      <c r="H171" s="185" t="str">
        <f>IFERROR(__xludf.DUMMYFUNCTION("""COMPUTED_VALUE"""),"No")</f>
        <v>No</v>
      </c>
      <c r="I171" s="185" t="str">
        <f>IFERROR(__xludf.DUMMYFUNCTION("""COMPUTED_VALUE"""),"Medium")</f>
        <v>Medium</v>
      </c>
      <c r="J171" s="185" t="str">
        <f>IFERROR(__xludf.DUMMYFUNCTION("""COMPUTED_VALUE"""),"Yes")</f>
        <v>Yes</v>
      </c>
      <c r="K171" s="185" t="str">
        <f>IFERROR(__xludf.DUMMYFUNCTION("""COMPUTED_VALUE"""),"IBM")</f>
        <v>IBM</v>
      </c>
      <c r="L171" s="187">
        <f>IFERROR(__xludf.DUMMYFUNCTION("""COMPUTED_VALUE"""),2.0)</f>
        <v>2</v>
      </c>
      <c r="M171" s="188">
        <f>IFERROR(__xludf.DUMMYFUNCTION("""COMPUTED_VALUE"""),0.0)</f>
        <v>0</v>
      </c>
      <c r="N171" s="188">
        <f>IFERROR(__xludf.DUMMYFUNCTION("""COMPUTED_VALUE"""),1.5)</f>
        <v>1.5</v>
      </c>
      <c r="O171" s="208"/>
      <c r="P171" s="208"/>
      <c r="Q171" s="208"/>
      <c r="R171" s="208"/>
    </row>
    <row r="172">
      <c r="A172" s="185" t="str">
        <f>IFERROR(__xludf.DUMMYFUNCTION("""COMPUTED_VALUE"""),"Official partner / certification ecosystem")</f>
        <v>Official partner / certification ecosystem</v>
      </c>
      <c r="B172" s="186" t="str">
        <f>IFERROR(__xludf.DUMMYFUNCTION("""COMPUTED_VALUE"""),"https://enterprisemarketingportal.google/find-a-partner/adswerve-us?certificationsFilters=Tag%20Manager")</f>
        <v>https://enterprisemarketingportal.google/find-a-partner/adswerve-us?certificationsFilters=Tag%20Manager</v>
      </c>
      <c r="C172" s="185"/>
      <c r="D172" s="185" t="str">
        <f>IFERROR(__xludf.DUMMYFUNCTION("""COMPUTED_VALUE"""),"US")</f>
        <v>US</v>
      </c>
      <c r="E172" s="185" t="str">
        <f>IFERROR(__xludf.DUMMYFUNCTION("""COMPUTED_VALUE"""),"enterprisemarketingportal.google")</f>
        <v>enterprisemarketingportal.google</v>
      </c>
      <c r="F172" s="185" t="str">
        <f>IFERROR(__xludf.DUMMYFUNCTION("""COMPUTED_VALUE"""),"Other")</f>
        <v>Other</v>
      </c>
      <c r="G172" s="185" t="str">
        <f>IFERROR(__xludf.DUMMYFUNCTION("""COMPUTED_VALUE"""),"CORPORATE")</f>
        <v>CORPORATE</v>
      </c>
      <c r="H172" s="185" t="str">
        <f>IFERROR(__xludf.DUMMYFUNCTION("""COMPUTED_VALUE"""),"No")</f>
        <v>No</v>
      </c>
      <c r="I172" s="185" t="str">
        <f>IFERROR(__xludf.DUMMYFUNCTION("""COMPUTED_VALUE"""),"High")</f>
        <v>High</v>
      </c>
      <c r="J172" s="185" t="str">
        <f>IFERROR(__xludf.DUMMYFUNCTION("""COMPUTED_VALUE"""),"Yes - priority")</f>
        <v>Yes - priority</v>
      </c>
      <c r="K172" s="185" t="str">
        <f>IFERROR(__xludf.DUMMYFUNCTION("""COMPUTED_VALUE"""),"Unknown")</f>
        <v>Unknown</v>
      </c>
      <c r="L172" s="187">
        <f>IFERROR(__xludf.DUMMYFUNCTION("""COMPUTED_VALUE"""),2.0)</f>
        <v>2</v>
      </c>
      <c r="M172" s="188">
        <f>IFERROR(__xludf.DUMMYFUNCTION("""COMPUTED_VALUE"""),0.0)</f>
        <v>0</v>
      </c>
      <c r="N172" s="188">
        <f>IFERROR(__xludf.DUMMYFUNCTION("""COMPUTED_VALUE"""),1.0)</f>
        <v>1</v>
      </c>
      <c r="O172" s="208"/>
      <c r="P172" s="208"/>
      <c r="Q172" s="208"/>
      <c r="R172" s="208"/>
    </row>
    <row r="173">
      <c r="A173" s="185" t="str">
        <f>IFERROR(__xludf.DUMMYFUNCTION("""COMPUTED_VALUE"""),"Agency directory / review marketplace")</f>
        <v>Agency directory / review marketplace</v>
      </c>
      <c r="B173" s="186" t="str">
        <f>IFERROR(__xludf.DUMMYFUNCTION("""COMPUTED_VALUE"""),"https://www.goodfirms.co/advertising-companies/programmatic?locations=us&amp;sort_by=rating")</f>
        <v>https://www.goodfirms.co/advertising-companies/programmatic?locations=us&amp;sort_by=rating</v>
      </c>
      <c r="C173" s="185" t="str">
        <f>IFERROR(__xludf.DUMMYFUNCTION("""COMPUTED_VALUE"""),"Top Programmatic Advertising Companies - 2026 Reviews | Goodfirms")</f>
        <v>Top Programmatic Advertising Companies - 2026 Reviews | Goodfirms</v>
      </c>
      <c r="D173" s="185" t="str">
        <f>IFERROR(__xludf.DUMMYFUNCTION("""COMPUTED_VALUE"""),"US")</f>
        <v>US</v>
      </c>
      <c r="E173" s="185" t="str">
        <f>IFERROR(__xludf.DUMMYFUNCTION("""COMPUTED_VALUE"""),"goodfirms.co")</f>
        <v>goodfirms.co</v>
      </c>
      <c r="F173" s="185" t="str">
        <f>IFERROR(__xludf.DUMMYFUNCTION("""COMPUTED_VALUE"""),"Other")</f>
        <v>Other</v>
      </c>
      <c r="G173" s="185" t="str">
        <f>IFERROR(__xludf.DUMMYFUNCTION("""COMPUTED_VALUE"""),"UGC")</f>
        <v>UGC</v>
      </c>
      <c r="H173" s="185" t="str">
        <f>IFERROR(__xludf.DUMMYFUNCTION("""COMPUTED_VALUE"""),"No")</f>
        <v>No</v>
      </c>
      <c r="I173" s="185" t="str">
        <f>IFERROR(__xludf.DUMMYFUNCTION("""COMPUTED_VALUE"""),"Medium")</f>
        <v>Medium</v>
      </c>
      <c r="J173" s="185" t="str">
        <f>IFERROR(__xludf.DUMMYFUNCTION("""COMPUTED_VALUE"""),"Yes")</f>
        <v>Yes</v>
      </c>
      <c r="K173" s="185" t="str">
        <f>IFERROR(__xludf.DUMMYFUNCTION("""COMPUTED_VALUE"""),"Funnel Boost Media, Daydream")</f>
        <v>Funnel Boost Media, Daydream</v>
      </c>
      <c r="L173" s="187">
        <f>IFERROR(__xludf.DUMMYFUNCTION("""COMPUTED_VALUE"""),2.0)</f>
        <v>2</v>
      </c>
      <c r="M173" s="188">
        <f>IFERROR(__xludf.DUMMYFUNCTION("""COMPUTED_VALUE"""),0.0)</f>
        <v>0</v>
      </c>
      <c r="N173" s="188">
        <f>IFERROR(__xludf.DUMMYFUNCTION("""COMPUTED_VALUE"""),0.0)</f>
        <v>0</v>
      </c>
      <c r="O173" s="208"/>
      <c r="P173" s="208"/>
      <c r="Q173" s="208"/>
      <c r="R173" s="208"/>
    </row>
    <row r="174">
      <c r="A174" s="185" t="str">
        <f>IFERROR(__xludf.DUMMYFUNCTION("""COMPUTED_VALUE"""),"Agency directory / review marketplace")</f>
        <v>Agency directory / review marketplace</v>
      </c>
      <c r="B174" s="186" t="str">
        <f>IFERROR(__xludf.DUMMYFUNCTION("""COMPUTED_VALUE"""),"https://www.goodfirms.co/directory/country/top-digital-marketing-companies/us?reviews=1")</f>
        <v>https://www.goodfirms.co/directory/country/top-digital-marketing-companies/us?reviews=1</v>
      </c>
      <c r="C174" s="185" t="str">
        <f>IFERROR(__xludf.DUMMYFUNCTION("""COMPUTED_VALUE"""),"Top Digital Marketing Agencies in USA - 2026 Reviews | Goodfirms")</f>
        <v>Top Digital Marketing Agencies in USA - 2026 Reviews | Goodfirms</v>
      </c>
      <c r="D174" s="185" t="str">
        <f>IFERROR(__xludf.DUMMYFUNCTION("""COMPUTED_VALUE"""),"US")</f>
        <v>US</v>
      </c>
      <c r="E174" s="185" t="str">
        <f>IFERROR(__xludf.DUMMYFUNCTION("""COMPUTED_VALUE"""),"goodfirms.co")</f>
        <v>goodfirms.co</v>
      </c>
      <c r="F174" s="185" t="str">
        <f>IFERROR(__xludf.DUMMYFUNCTION("""COMPUTED_VALUE"""),"Other")</f>
        <v>Other</v>
      </c>
      <c r="G174" s="185" t="str">
        <f>IFERROR(__xludf.DUMMYFUNCTION("""COMPUTED_VALUE"""),"UGC")</f>
        <v>UGC</v>
      </c>
      <c r="H174" s="185" t="str">
        <f>IFERROR(__xludf.DUMMYFUNCTION("""COMPUTED_VALUE"""),"No")</f>
        <v>No</v>
      </c>
      <c r="I174" s="185" t="str">
        <f>IFERROR(__xludf.DUMMYFUNCTION("""COMPUTED_VALUE"""),"Medium")</f>
        <v>Medium</v>
      </c>
      <c r="J174" s="185" t="str">
        <f>IFERROR(__xludf.DUMMYFUNCTION("""COMPUTED_VALUE"""),"Yes")</f>
        <v>Yes</v>
      </c>
      <c r="K174" s="185" t="str">
        <f>IFERROR(__xludf.DUMMYFUNCTION("""COMPUTED_VALUE"""),"WebFX, Searchbloom, SmartSites, Funnel Boost Media, Elit-Web, Storm Brain, Go Fish Digital")</f>
        <v>WebFX, Searchbloom, SmartSites, Funnel Boost Media, Elit-Web, Storm Brain, Go Fish Digital</v>
      </c>
      <c r="L174" s="187">
        <f>IFERROR(__xludf.DUMMYFUNCTION("""COMPUTED_VALUE"""),2.0)</f>
        <v>2</v>
      </c>
      <c r="M174" s="188">
        <f>IFERROR(__xludf.DUMMYFUNCTION("""COMPUTED_VALUE"""),0.0)</f>
        <v>0</v>
      </c>
      <c r="N174" s="188">
        <f>IFERROR(__xludf.DUMMYFUNCTION("""COMPUTED_VALUE"""),0.0)</f>
        <v>0</v>
      </c>
      <c r="O174" s="208"/>
      <c r="P174" s="208"/>
      <c r="Q174" s="208"/>
      <c r="R174" s="208"/>
    </row>
    <row r="175">
      <c r="A175" s="185" t="str">
        <f>IFERROR(__xludf.DUMMYFUNCTION("""COMPUTED_VALUE"""),"Official partner / certification ecosystem")</f>
        <v>Official partner / certification ecosystem</v>
      </c>
      <c r="B175" s="186" t="str">
        <f>IFERROR(__xludf.DUMMYFUNCTION("""COMPUTED_VALUE"""),"https://marketingplatform.google.com/about/partners/?hl=uk")</f>
        <v>https://marketingplatform.google.com/about/partners/?hl=uk</v>
      </c>
      <c r="C175" s="185"/>
      <c r="D175" s="185" t="str">
        <f>IFERROR(__xludf.DUMMYFUNCTION("""COMPUTED_VALUE"""),"US")</f>
        <v>US</v>
      </c>
      <c r="E175" s="185" t="str">
        <f>IFERROR(__xludf.DUMMYFUNCTION("""COMPUTED_VALUE"""),"google.com")</f>
        <v>google.com</v>
      </c>
      <c r="F175" s="185" t="str">
        <f>IFERROR(__xludf.DUMMYFUNCTION("""COMPUTED_VALUE"""),"Other")</f>
        <v>Other</v>
      </c>
      <c r="G175" s="185" t="str">
        <f>IFERROR(__xludf.DUMMYFUNCTION("""COMPUTED_VALUE"""),"OTHER")</f>
        <v>OTHER</v>
      </c>
      <c r="H175" s="185" t="str">
        <f>IFERROR(__xludf.DUMMYFUNCTION("""COMPUTED_VALUE"""),"No")</f>
        <v>No</v>
      </c>
      <c r="I175" s="185" t="str">
        <f>IFERROR(__xludf.DUMMYFUNCTION("""COMPUTED_VALUE"""),"High")</f>
        <v>High</v>
      </c>
      <c r="J175" s="185" t="str">
        <f>IFERROR(__xludf.DUMMYFUNCTION("""COMPUTED_VALUE"""),"Yes - priority")</f>
        <v>Yes - priority</v>
      </c>
      <c r="K175" s="185" t="str">
        <f>IFERROR(__xludf.DUMMYFUNCTION("""COMPUTED_VALUE"""),"Unknown")</f>
        <v>Unknown</v>
      </c>
      <c r="L175" s="187">
        <f>IFERROR(__xludf.DUMMYFUNCTION("""COMPUTED_VALUE"""),2.0)</f>
        <v>2</v>
      </c>
      <c r="M175" s="188">
        <f>IFERROR(__xludf.DUMMYFUNCTION("""COMPUTED_VALUE"""),0.0)</f>
        <v>0</v>
      </c>
      <c r="N175" s="188">
        <f>IFERROR(__xludf.DUMMYFUNCTION("""COMPUTED_VALUE"""),4.0)</f>
        <v>4</v>
      </c>
      <c r="O175" s="208"/>
      <c r="P175" s="208"/>
      <c r="Q175" s="208"/>
      <c r="R175" s="208"/>
    </row>
    <row r="176">
      <c r="A176" s="185" t="str">
        <f>IFERROR(__xludf.DUMMYFUNCTION("""COMPUTED_VALUE"""),"Industry association / institutional authority")</f>
        <v>Industry association / institutional authority</v>
      </c>
      <c r="B176" s="186" t="str">
        <f>IFERROR(__xludf.DUMMYFUNCTION("""COMPUTED_VALUE"""),"https://www.oneclub.org/awards/adcawards/-archive/agency/2025/61/all/1/840")</f>
        <v>https://www.oneclub.org/awards/adcawards/-archive/agency/2025/61/all/1/840</v>
      </c>
      <c r="C176" s="185" t="str">
        <f>IFERROR(__xludf.DUMMYFUNCTION("""COMPUTED_VALUE"""),"ADC Awards | Agency Rankings | 2025 | Interactive | North America | United States")</f>
        <v>ADC Awards | Agency Rankings | 2025 | Interactive | North America | United States</v>
      </c>
      <c r="D176" s="185" t="str">
        <f>IFERROR(__xludf.DUMMYFUNCTION("""COMPUTED_VALUE"""),"US")</f>
        <v>US</v>
      </c>
      <c r="E176" s="185" t="str">
        <f>IFERROR(__xludf.DUMMYFUNCTION("""COMPUTED_VALUE"""),"oneclub.org")</f>
        <v>oneclub.org</v>
      </c>
      <c r="F176" s="185" t="str">
        <f>IFERROR(__xludf.DUMMYFUNCTION("""COMPUTED_VALUE"""),"Category Page")</f>
        <v>Category Page</v>
      </c>
      <c r="G176" s="185" t="str">
        <f>IFERROR(__xludf.DUMMYFUNCTION("""COMPUTED_VALUE"""),"INSTITUTIONAL")</f>
        <v>INSTITUTIONAL</v>
      </c>
      <c r="H176" s="185" t="str">
        <f>IFERROR(__xludf.DUMMYFUNCTION("""COMPUTED_VALUE"""),"No")</f>
        <v>No</v>
      </c>
      <c r="I176" s="185" t="str">
        <f>IFERROR(__xludf.DUMMYFUNCTION("""COMPUTED_VALUE"""),"High")</f>
        <v>High</v>
      </c>
      <c r="J176" s="185" t="str">
        <f>IFERROR(__xludf.DUMMYFUNCTION("""COMPUTED_VALUE"""),"Yes - priority")</f>
        <v>Yes - priority</v>
      </c>
      <c r="K176" s="185" t="str">
        <f>IFERROR(__xludf.DUMMYFUNCTION("""COMPUTED_VALUE"""),"Dentsu, Accenture Song, Droga5")</f>
        <v>Dentsu, Accenture Song, Droga5</v>
      </c>
      <c r="L176" s="187">
        <f>IFERROR(__xludf.DUMMYFUNCTION("""COMPUTED_VALUE"""),2.0)</f>
        <v>2</v>
      </c>
      <c r="M176" s="188">
        <f>IFERROR(__xludf.DUMMYFUNCTION("""COMPUTED_VALUE"""),0.0)</f>
        <v>0</v>
      </c>
      <c r="N176" s="188">
        <f>IFERROR(__xludf.DUMMYFUNCTION("""COMPUTED_VALUE"""),1.0)</f>
        <v>1</v>
      </c>
      <c r="O176" s="208"/>
      <c r="P176" s="208"/>
      <c r="Q176" s="208"/>
      <c r="R176" s="208"/>
    </row>
    <row r="177">
      <c r="A177" s="185" t="str">
        <f>IFERROR(__xludf.DUMMYFUNCTION("""COMPUTED_VALUE"""),"Official partner / certification ecosystem")</f>
        <v>Official partner / certification ecosystem</v>
      </c>
      <c r="B177" s="186" t="str">
        <f>IFERROR(__xludf.DUMMYFUNCTION("""COMPUTED_VALUE"""),"https://partnersdirectory.withgoogle.com/?company_name=axis+local&amp;premier=true")</f>
        <v>https://partnersdirectory.withgoogle.com/?company_name=axis+local&amp;premier=true</v>
      </c>
      <c r="C177" s="185"/>
      <c r="D177" s="185" t="str">
        <f>IFERROR(__xludf.DUMMYFUNCTION("""COMPUTED_VALUE"""),"US")</f>
        <v>US</v>
      </c>
      <c r="E177" s="185" t="str">
        <f>IFERROR(__xludf.DUMMYFUNCTION("""COMPUTED_VALUE"""),"withgoogle.com")</f>
        <v>withgoogle.com</v>
      </c>
      <c r="F177" s="185" t="str">
        <f>IFERROR(__xludf.DUMMYFUNCTION("""COMPUTED_VALUE"""),"Other")</f>
        <v>Other</v>
      </c>
      <c r="G177" s="185" t="str">
        <f>IFERROR(__xludf.DUMMYFUNCTION("""COMPUTED_VALUE"""),"CORPORATE")</f>
        <v>CORPORATE</v>
      </c>
      <c r="H177" s="185" t="str">
        <f>IFERROR(__xludf.DUMMYFUNCTION("""COMPUTED_VALUE"""),"No")</f>
        <v>No</v>
      </c>
      <c r="I177" s="185" t="str">
        <f>IFERROR(__xludf.DUMMYFUNCTION("""COMPUTED_VALUE"""),"High")</f>
        <v>High</v>
      </c>
      <c r="J177" s="185" t="str">
        <f>IFERROR(__xludf.DUMMYFUNCTION("""COMPUTED_VALUE"""),"Yes - priority")</f>
        <v>Yes - priority</v>
      </c>
      <c r="K177" s="185" t="str">
        <f>IFERROR(__xludf.DUMMYFUNCTION("""COMPUTED_VALUE"""),"Unknown")</f>
        <v>Unknown</v>
      </c>
      <c r="L177" s="187">
        <f>IFERROR(__xludf.DUMMYFUNCTION("""COMPUTED_VALUE"""),2.0)</f>
        <v>2</v>
      </c>
      <c r="M177" s="188">
        <f>IFERROR(__xludf.DUMMYFUNCTION("""COMPUTED_VALUE"""),0.0)</f>
        <v>0</v>
      </c>
      <c r="N177" s="188">
        <f>IFERROR(__xludf.DUMMYFUNCTION("""COMPUTED_VALUE"""),0.0)</f>
        <v>0</v>
      </c>
      <c r="O177" s="208"/>
      <c r="P177" s="208"/>
      <c r="Q177" s="208"/>
      <c r="R177" s="208"/>
    </row>
    <row r="178">
      <c r="A178" s="185" t="str">
        <f>IFERROR(__xludf.DUMMYFUNCTION("""COMPUTED_VALUE"""),"Industry data / software authority")</f>
        <v>Industry data / software authority</v>
      </c>
      <c r="B178" s="186" t="str">
        <f>IFERROR(__xludf.DUMMYFUNCTION("""COMPUTED_VALUE"""),"https://www.semrush.com/agencies/list/display-advertising/united-states/")</f>
        <v>https://www.semrush.com/agencies/list/display-advertising/united-states/</v>
      </c>
      <c r="C178" s="185" t="str">
        <f>IFERROR(__xludf.DUMMYFUNCTION("""COMPUTED_VALUE"""),"Best Display Ads Agencies in United States 2026 \| Semrush")</f>
        <v>Best Display Ads Agencies in United States 2026 \| Semrush</v>
      </c>
      <c r="D178" s="185" t="str">
        <f>IFERROR(__xludf.DUMMYFUNCTION("""COMPUTED_VALUE"""),"US")</f>
        <v>US</v>
      </c>
      <c r="E178" s="185" t="str">
        <f>IFERROR(__xludf.DUMMYFUNCTION("""COMPUTED_VALUE"""),"semrush.com")</f>
        <v>semrush.com</v>
      </c>
      <c r="F178" s="185" t="str">
        <f>IFERROR(__xludf.DUMMYFUNCTION("""COMPUTED_VALUE"""),"Profile")</f>
        <v>Profile</v>
      </c>
      <c r="G178" s="185" t="str">
        <f>IFERROR(__xludf.DUMMYFUNCTION("""COMPUTED_VALUE"""),"CORPORATE")</f>
        <v>CORPORATE</v>
      </c>
      <c r="H178" s="185" t="str">
        <f>IFERROR(__xludf.DUMMYFUNCTION("""COMPUTED_VALUE"""),"No")</f>
        <v>No</v>
      </c>
      <c r="I178" s="185" t="str">
        <f>IFERROR(__xludf.DUMMYFUNCTION("""COMPUTED_VALUE"""),"Medium")</f>
        <v>Medium</v>
      </c>
      <c r="J178" s="185" t="str">
        <f>IFERROR(__xludf.DUMMYFUNCTION("""COMPUTED_VALUE"""),"Yes")</f>
        <v>Yes</v>
      </c>
      <c r="K178" s="185" t="str">
        <f>IFERROR(__xludf.DUMMYFUNCTION("""COMPUTED_VALUE"""),"SmartSites, Elit-Web, Brighter Click")</f>
        <v>SmartSites, Elit-Web, Brighter Click</v>
      </c>
      <c r="L178" s="187">
        <f>IFERROR(__xludf.DUMMYFUNCTION("""COMPUTED_VALUE"""),2.0)</f>
        <v>2</v>
      </c>
      <c r="M178" s="188">
        <f>IFERROR(__xludf.DUMMYFUNCTION("""COMPUTED_VALUE"""),0.0)</f>
        <v>0</v>
      </c>
      <c r="N178" s="188">
        <f>IFERROR(__xludf.DUMMYFUNCTION("""COMPUTED_VALUE"""),0.0)</f>
        <v>0</v>
      </c>
      <c r="O178" s="208"/>
      <c r="P178" s="208"/>
      <c r="Q178" s="208"/>
      <c r="R178" s="208"/>
    </row>
    <row r="179">
      <c r="A179" s="185" t="str">
        <f>IFERROR(__xludf.DUMMYFUNCTION("""COMPUTED_VALUE"""),"Agency directory / review marketplace")</f>
        <v>Agency directory / review marketplace</v>
      </c>
      <c r="B179" s="186" t="str">
        <f>IFERROR(__xludf.DUMMYFUNCTION("""COMPUTED_VALUE"""),"https://www.sortlist.com/s/creative/united-states-us")</f>
        <v>https://www.sortlist.com/s/creative/united-states-us</v>
      </c>
      <c r="C179" s="185" t="str">
        <f>IFERROR(__xludf.DUMMYFUNCTION("""COMPUTED_VALUE"""),"The 10 Best Creative Agencies in the United States - 2026 Reviews")</f>
        <v>The 10 Best Creative Agencies in the United States - 2026 Reviews</v>
      </c>
      <c r="D179" s="185" t="str">
        <f>IFERROR(__xludf.DUMMYFUNCTION("""COMPUTED_VALUE"""),"US")</f>
        <v>US</v>
      </c>
      <c r="E179" s="185" t="str">
        <f>IFERROR(__xludf.DUMMYFUNCTION("""COMPUTED_VALUE"""),"sortlist.com")</f>
        <v>sortlist.com</v>
      </c>
      <c r="F179" s="185" t="str">
        <f>IFERROR(__xludf.DUMMYFUNCTION("""COMPUTED_VALUE"""),"Category Page")</f>
        <v>Category Page</v>
      </c>
      <c r="G179" s="185" t="str">
        <f>IFERROR(__xludf.DUMMYFUNCTION("""COMPUTED_VALUE"""),"CORPORATE")</f>
        <v>CORPORATE</v>
      </c>
      <c r="H179" s="185" t="str">
        <f>IFERROR(__xludf.DUMMYFUNCTION("""COMPUTED_VALUE"""),"No")</f>
        <v>No</v>
      </c>
      <c r="I179" s="185" t="str">
        <f>IFERROR(__xludf.DUMMYFUNCTION("""COMPUTED_VALUE"""),"Medium")</f>
        <v>Medium</v>
      </c>
      <c r="J179" s="185" t="str">
        <f>IFERROR(__xludf.DUMMYFUNCTION("""COMPUTED_VALUE"""),"Yes")</f>
        <v>Yes</v>
      </c>
      <c r="K179" s="185" t="str">
        <f>IFERROR(__xludf.DUMMYFUNCTION("""COMPUTED_VALUE"""),"NinjaPromo, Momentum")</f>
        <v>NinjaPromo, Momentum</v>
      </c>
      <c r="L179" s="187">
        <f>IFERROR(__xludf.DUMMYFUNCTION("""COMPUTED_VALUE"""),2.0)</f>
        <v>2</v>
      </c>
      <c r="M179" s="188">
        <f>IFERROR(__xludf.DUMMYFUNCTION("""COMPUTED_VALUE"""),0.0)</f>
        <v>0</v>
      </c>
      <c r="N179" s="188">
        <f>IFERROR(__xludf.DUMMYFUNCTION("""COMPUTED_VALUE"""),0.0)</f>
        <v>0</v>
      </c>
      <c r="O179" s="208"/>
      <c r="P179" s="208"/>
      <c r="Q179" s="208"/>
      <c r="R179" s="208"/>
    </row>
    <row r="180">
      <c r="A180" s="185" t="str">
        <f>IFERROR(__xludf.DUMMYFUNCTION("""COMPUTED_VALUE"""),"Official partner / certification ecosystem")</f>
        <v>Official partner / certification ecosystem</v>
      </c>
      <c r="B180" s="186" t="str">
        <f>IFERROR(__xludf.DUMMYFUNCTION("""COMPUTED_VALUE"""),"https://support.google.com/analytics/answer/7237700?hl=en-AU")</f>
        <v>https://support.google.com/analytics/answer/7237700?hl=en-AU</v>
      </c>
      <c r="C180" s="185" t="str">
        <f>IFERROR(__xludf.DUMMYFUNCTION("""COMPUTED_VALUE"""),"Google Marketing Platform Partners - Analytics Help")</f>
        <v>Google Marketing Platform Partners - Analytics Help</v>
      </c>
      <c r="D180" s="185" t="str">
        <f>IFERROR(__xludf.DUMMYFUNCTION("""COMPUTED_VALUE"""),"US")</f>
        <v>US</v>
      </c>
      <c r="E180" s="185" t="str">
        <f>IFERROR(__xludf.DUMMYFUNCTION("""COMPUTED_VALUE"""),"google.com")</f>
        <v>google.com</v>
      </c>
      <c r="F180" s="185" t="str">
        <f>IFERROR(__xludf.DUMMYFUNCTION("""COMPUTED_VALUE"""),"Other")</f>
        <v>Other</v>
      </c>
      <c r="G180" s="185" t="str">
        <f>IFERROR(__xludf.DUMMYFUNCTION("""COMPUTED_VALUE"""),"OTHER")</f>
        <v>OTHER</v>
      </c>
      <c r="H180" s="185" t="str">
        <f>IFERROR(__xludf.DUMMYFUNCTION("""COMPUTED_VALUE"""),"No")</f>
        <v>No</v>
      </c>
      <c r="I180" s="185" t="str">
        <f>IFERROR(__xludf.DUMMYFUNCTION("""COMPUTED_VALUE"""),"High")</f>
        <v>High</v>
      </c>
      <c r="J180" s="185" t="str">
        <f>IFERROR(__xludf.DUMMYFUNCTION("""COMPUTED_VALUE"""),"Yes - priority")</f>
        <v>Yes - priority</v>
      </c>
      <c r="K180" s="185"/>
      <c r="L180" s="187">
        <f>IFERROR(__xludf.DUMMYFUNCTION("""COMPUTED_VALUE"""),2.0)</f>
        <v>2</v>
      </c>
      <c r="M180" s="188">
        <f>IFERROR(__xludf.DUMMYFUNCTION("""COMPUTED_VALUE"""),0.0)</f>
        <v>0</v>
      </c>
      <c r="N180" s="188">
        <f>IFERROR(__xludf.DUMMYFUNCTION("""COMPUTED_VALUE"""),0.0)</f>
        <v>0</v>
      </c>
      <c r="O180" s="208"/>
      <c r="P180" s="208"/>
      <c r="Q180" s="208"/>
      <c r="R180" s="208"/>
    </row>
    <row r="181">
      <c r="A181" s="185" t="str">
        <f>IFERROR(__xludf.DUMMYFUNCTION("""COMPUTED_VALUE"""),"Official partner / certification ecosystem")</f>
        <v>Official partner / certification ecosystem</v>
      </c>
      <c r="B181" s="186" t="str">
        <f>IFERROR(__xludf.DUMMYFUNCTION("""COMPUTED_VALUE"""),"https://support.google.com/google-ads/answer/11410677?hl=en")</f>
        <v>https://support.google.com/google-ads/answer/11410677?hl=en</v>
      </c>
      <c r="C181" s="185" t="str">
        <f>IFERROR(__xludf.DUMMYFUNCTION("""COMPUTED_VALUE"""),"Google Partners directory - Google Ads Help")</f>
        <v>Google Partners directory - Google Ads Help</v>
      </c>
      <c r="D181" s="185" t="str">
        <f>IFERROR(__xludf.DUMMYFUNCTION("""COMPUTED_VALUE"""),"US")</f>
        <v>US</v>
      </c>
      <c r="E181" s="185" t="str">
        <f>IFERROR(__xludf.DUMMYFUNCTION("""COMPUTED_VALUE"""),"google.com")</f>
        <v>google.com</v>
      </c>
      <c r="F181" s="185" t="str">
        <f>IFERROR(__xludf.DUMMYFUNCTION("""COMPUTED_VALUE"""),"How-To Guide")</f>
        <v>How-To Guide</v>
      </c>
      <c r="G181" s="185" t="str">
        <f>IFERROR(__xludf.DUMMYFUNCTION("""COMPUTED_VALUE"""),"OTHER")</f>
        <v>OTHER</v>
      </c>
      <c r="H181" s="185" t="str">
        <f>IFERROR(__xludf.DUMMYFUNCTION("""COMPUTED_VALUE"""),"No")</f>
        <v>No</v>
      </c>
      <c r="I181" s="185" t="str">
        <f>IFERROR(__xludf.DUMMYFUNCTION("""COMPUTED_VALUE"""),"High")</f>
        <v>High</v>
      </c>
      <c r="J181" s="185" t="str">
        <f>IFERROR(__xludf.DUMMYFUNCTION("""COMPUTED_VALUE"""),"Yes - priority")</f>
        <v>Yes - priority</v>
      </c>
      <c r="K181" s="185"/>
      <c r="L181" s="187">
        <f>IFERROR(__xludf.DUMMYFUNCTION("""COMPUTED_VALUE"""),2.0)</f>
        <v>2</v>
      </c>
      <c r="M181" s="188">
        <f>IFERROR(__xludf.DUMMYFUNCTION("""COMPUTED_VALUE"""),0.0)</f>
        <v>0</v>
      </c>
      <c r="N181" s="188">
        <f>IFERROR(__xludf.DUMMYFUNCTION("""COMPUTED_VALUE"""),0.0)</f>
        <v>0</v>
      </c>
      <c r="O181" s="208"/>
      <c r="P181" s="208"/>
      <c r="Q181" s="208"/>
      <c r="R181" s="208"/>
    </row>
    <row r="182">
      <c r="A182" s="185" t="str">
        <f>IFERROR(__xludf.DUMMYFUNCTION("""COMPUTED_VALUE"""),"Official partner / certification ecosystem")</f>
        <v>Official partner / certification ecosystem</v>
      </c>
      <c r="B182" s="186" t="str">
        <f>IFERROR(__xludf.DUMMYFUNCTION("""COMPUTED_VALUE"""),"https://support.google.com/tagmanager/answer/7237700?hl=EN")</f>
        <v>https://support.google.com/tagmanager/answer/7237700?hl=EN</v>
      </c>
      <c r="C182" s="185" t="str">
        <f>IFERROR(__xludf.DUMMYFUNCTION("""COMPUTED_VALUE"""),"Google Marketing Platform Partners - Tag Manager Help")</f>
        <v>Google Marketing Platform Partners - Tag Manager Help</v>
      </c>
      <c r="D182" s="185" t="str">
        <f>IFERROR(__xludf.DUMMYFUNCTION("""COMPUTED_VALUE"""),"US")</f>
        <v>US</v>
      </c>
      <c r="E182" s="185" t="str">
        <f>IFERROR(__xludf.DUMMYFUNCTION("""COMPUTED_VALUE"""),"google.com")</f>
        <v>google.com</v>
      </c>
      <c r="F182" s="185" t="str">
        <f>IFERROR(__xludf.DUMMYFUNCTION("""COMPUTED_VALUE"""),"Other")</f>
        <v>Other</v>
      </c>
      <c r="G182" s="185" t="str">
        <f>IFERROR(__xludf.DUMMYFUNCTION("""COMPUTED_VALUE"""),"OTHER")</f>
        <v>OTHER</v>
      </c>
      <c r="H182" s="185" t="str">
        <f>IFERROR(__xludf.DUMMYFUNCTION("""COMPUTED_VALUE"""),"No")</f>
        <v>No</v>
      </c>
      <c r="I182" s="185" t="str">
        <f>IFERROR(__xludf.DUMMYFUNCTION("""COMPUTED_VALUE"""),"High")</f>
        <v>High</v>
      </c>
      <c r="J182" s="185" t="str">
        <f>IFERROR(__xludf.DUMMYFUNCTION("""COMPUTED_VALUE"""),"Yes - priority")</f>
        <v>Yes - priority</v>
      </c>
      <c r="K182" s="185"/>
      <c r="L182" s="187">
        <f>IFERROR(__xludf.DUMMYFUNCTION("""COMPUTED_VALUE"""),2.0)</f>
        <v>2</v>
      </c>
      <c r="M182" s="188">
        <f>IFERROR(__xludf.DUMMYFUNCTION("""COMPUTED_VALUE"""),0.0)</f>
        <v>0</v>
      </c>
      <c r="N182" s="188">
        <f>IFERROR(__xludf.DUMMYFUNCTION("""COMPUTED_VALUE"""),0.0)</f>
        <v>0</v>
      </c>
      <c r="O182" s="208"/>
      <c r="P182" s="208"/>
      <c r="Q182" s="208"/>
      <c r="R182" s="208"/>
    </row>
    <row r="183">
      <c r="A183" s="185" t="str">
        <f>IFERROR(__xludf.DUMMYFUNCTION("""COMPUTED_VALUE"""),"Lower-priority competitor/vendor roundup")</f>
        <v>Lower-priority competitor/vendor roundup</v>
      </c>
      <c r="B183" s="186" t="str">
        <f>IFERROR(__xludf.DUMMYFUNCTION("""COMPUTED_VALUE"""),"https://www.webtonic.io/blog/best-performance-marketing-agencies")</f>
        <v>https://www.webtonic.io/blog/best-performance-marketing-agencies</v>
      </c>
      <c r="C183" s="185" t="str">
        <f>IFERROR(__xludf.DUMMYFUNCTION("""COMPUTED_VALUE"""),"The 26 Best Performance Marketing Agencies for 2026")</f>
        <v>The 26 Best Performance Marketing Agencies for 2026</v>
      </c>
      <c r="D183" s="185" t="str">
        <f>IFERROR(__xludf.DUMMYFUNCTION("""COMPUTED_VALUE"""),"US")</f>
        <v>US</v>
      </c>
      <c r="E183" s="185" t="str">
        <f>IFERROR(__xludf.DUMMYFUNCTION("""COMPUTED_VALUE"""),"webtonic.io")</f>
        <v>webtonic.io</v>
      </c>
      <c r="F183" s="185" t="str">
        <f>IFERROR(__xludf.DUMMYFUNCTION("""COMPUTED_VALUE"""),"Listicle")</f>
        <v>Listicle</v>
      </c>
      <c r="G183" s="185" t="str">
        <f>IFERROR(__xludf.DUMMYFUNCTION("""COMPUTED_VALUE"""),"COMPETITOR")</f>
        <v>COMPETITOR</v>
      </c>
      <c r="H183" s="185" t="str">
        <f>IFERROR(__xludf.DUMMYFUNCTION("""COMPUTED_VALUE"""),"Yes")</f>
        <v>Yes</v>
      </c>
      <c r="I183" s="185" t="str">
        <f>IFERROR(__xludf.DUMMYFUNCTION("""COMPUTED_VALUE"""),"Low")</f>
        <v>Low</v>
      </c>
      <c r="J183" s="185" t="str">
        <f>IFERROR(__xludf.DUMMYFUNCTION("""COMPUTED_VALUE"""),"Secondary")</f>
        <v>Secondary</v>
      </c>
      <c r="K183" s="185" t="str">
        <f>IFERROR(__xludf.DUMMYFUNCTION("""COMPUTED_VALUE"""),"Web Tonic, Tinuiti, Hawke Media, NoGood, Metric Theory, Disruptive Advertising, Power Digital, MuteSix, Wpromote, TransUnion, Directive, SmartSites, KlientBoost, Single Grain, Jellyfish, Incubeta, Sociallyin")</f>
        <v>Web Tonic, Tinuiti, Hawke Media, NoGood, Metric Theory, Disruptive Advertising, Power Digital, MuteSix, Wpromote, TransUnion, Directive, SmartSites, KlientBoost, Single Grain, Jellyfish, Incubeta, Sociallyin</v>
      </c>
      <c r="L183" s="187">
        <f>IFERROR(__xludf.DUMMYFUNCTION("""COMPUTED_VALUE"""),2.0)</f>
        <v>2</v>
      </c>
      <c r="M183" s="188">
        <f>IFERROR(__xludf.DUMMYFUNCTION("""COMPUTED_VALUE"""),0.0)</f>
        <v>0</v>
      </c>
      <c r="N183" s="188">
        <f>IFERROR(__xludf.DUMMYFUNCTION("""COMPUTED_VALUE"""),0.0)</f>
        <v>0</v>
      </c>
      <c r="O183" s="208"/>
      <c r="P183" s="208"/>
      <c r="Q183" s="208"/>
      <c r="R183" s="208"/>
    </row>
    <row r="184">
      <c r="A184" s="185" t="str">
        <f>IFERROR(__xludf.DUMMYFUNCTION("""COMPUTED_VALUE"""),"Lower-priority competitor/vendor roundup")</f>
        <v>Lower-priority competitor/vendor roundup</v>
      </c>
      <c r="B184" s="186" t="str">
        <f>IFERROR(__xludf.DUMMYFUNCTION("""COMPUTED_VALUE"""),"https://www.webtonic.io/blog/top-ai-marketing-agencies")</f>
        <v>https://www.webtonic.io/blog/top-ai-marketing-agencies</v>
      </c>
      <c r="C184" s="185" t="str">
        <f>IFERROR(__xludf.DUMMYFUNCTION("""COMPUTED_VALUE"""),"The 44 Best AI Marketing Agencies as of 2026")</f>
        <v>The 44 Best AI Marketing Agencies as of 2026</v>
      </c>
      <c r="D184" s="185" t="str">
        <f>IFERROR(__xludf.DUMMYFUNCTION("""COMPUTED_VALUE"""),"US")</f>
        <v>US</v>
      </c>
      <c r="E184" s="185" t="str">
        <f>IFERROR(__xludf.DUMMYFUNCTION("""COMPUTED_VALUE"""),"webtonic.io")</f>
        <v>webtonic.io</v>
      </c>
      <c r="F184" s="185" t="str">
        <f>IFERROR(__xludf.DUMMYFUNCTION("""COMPUTED_VALUE"""),"Listicle")</f>
        <v>Listicle</v>
      </c>
      <c r="G184" s="185" t="str">
        <f>IFERROR(__xludf.DUMMYFUNCTION("""COMPUTED_VALUE"""),"COMPETITOR")</f>
        <v>COMPETITOR</v>
      </c>
      <c r="H184" s="185" t="str">
        <f>IFERROR(__xludf.DUMMYFUNCTION("""COMPUTED_VALUE"""),"No")</f>
        <v>No</v>
      </c>
      <c r="I184" s="185" t="str">
        <f>IFERROR(__xludf.DUMMYFUNCTION("""COMPUTED_VALUE"""),"Low")</f>
        <v>Low</v>
      </c>
      <c r="J184" s="185" t="str">
        <f>IFERROR(__xludf.DUMMYFUNCTION("""COMPUTED_VALUE"""),"Secondary")</f>
        <v>Secondary</v>
      </c>
      <c r="K184" s="185" t="str">
        <f>IFERROR(__xludf.DUMMYFUNCTION("""COMPUTED_VALUE"""),"Web Tonic, Merkle, Wpromote, TransUnion, Jellyfish, Tinuiti, Dentsu, Monks, Huge, IBM, Anomaly, Ogilvy, PwC")</f>
        <v>Web Tonic, Merkle, Wpromote, TransUnion, Jellyfish, Tinuiti, Dentsu, Monks, Huge, IBM, Anomaly, Ogilvy, PwC</v>
      </c>
      <c r="L184" s="187">
        <f>IFERROR(__xludf.DUMMYFUNCTION("""COMPUTED_VALUE"""),2.0)</f>
        <v>2</v>
      </c>
      <c r="M184" s="188">
        <f>IFERROR(__xludf.DUMMYFUNCTION("""COMPUTED_VALUE"""),0.0)</f>
        <v>0</v>
      </c>
      <c r="N184" s="188">
        <f>IFERROR(__xludf.DUMMYFUNCTION("""COMPUTED_VALUE"""),0.0)</f>
        <v>0</v>
      </c>
      <c r="O184" s="208"/>
      <c r="P184" s="208"/>
      <c r="Q184" s="208"/>
      <c r="R184" s="208"/>
    </row>
    <row r="185">
      <c r="A185" s="185" t="str">
        <f>IFERROR(__xludf.DUMMYFUNCTION("""COMPUTED_VALUE"""),"Lower-priority competitor/vendor roundup")</f>
        <v>Lower-priority competitor/vendor roundup</v>
      </c>
      <c r="B185" s="186" t="str">
        <f>IFERROR(__xludf.DUMMYFUNCTION("""COMPUTED_VALUE"""),"https://www.webtonic.io/blog/top-programmatic-advertising-agencies#:~:text=Industries%20Served%3A%20Consumer%20Goods%2C%20Automotive%2C%20Technology%2C%20Financial,and%20advanced%20attribution%20modelling.%20%2D%203.%20Essence.")</f>
        <v>https://www.webtonic.io/blog/top-programmatic-advertising-agencies#:~:text=Industries%20Served%3A%20Consumer%20Goods%2C%20Automotive%2C%20Technology%2C%20Financial,and%20advanced%20attribution%20modelling.%20%2D%203.%20Essence.</v>
      </c>
      <c r="C185" s="185" t="str">
        <f>IFERROR(__xludf.DUMMYFUNCTION("""COMPUTED_VALUE"""),"32 Top Programmatic Advertising Agencies for 2026")</f>
        <v>32 Top Programmatic Advertising Agencies for 2026</v>
      </c>
      <c r="D185" s="185" t="str">
        <f>IFERROR(__xludf.DUMMYFUNCTION("""COMPUTED_VALUE"""),"US")</f>
        <v>US</v>
      </c>
      <c r="E185" s="185" t="str">
        <f>IFERROR(__xludf.DUMMYFUNCTION("""COMPUTED_VALUE"""),"webtonic.io")</f>
        <v>webtonic.io</v>
      </c>
      <c r="F185" s="185" t="str">
        <f>IFERROR(__xludf.DUMMYFUNCTION("""COMPUTED_VALUE"""),"Listicle")</f>
        <v>Listicle</v>
      </c>
      <c r="G185" s="185" t="str">
        <f>IFERROR(__xludf.DUMMYFUNCTION("""COMPUTED_VALUE"""),"COMPETITOR")</f>
        <v>COMPETITOR</v>
      </c>
      <c r="H185" s="185" t="str">
        <f>IFERROR(__xludf.DUMMYFUNCTION("""COMPUTED_VALUE"""),"No")</f>
        <v>No</v>
      </c>
      <c r="I185" s="185" t="str">
        <f>IFERROR(__xludf.DUMMYFUNCTION("""COMPUTED_VALUE"""),"Low")</f>
        <v>Low</v>
      </c>
      <c r="J185" s="185" t="str">
        <f>IFERROR(__xludf.DUMMYFUNCTION("""COMPUTED_VALUE"""),"Secondary")</f>
        <v>Secondary</v>
      </c>
      <c r="K185" s="185" t="str">
        <f>IFERROR(__xludf.DUMMYFUNCTION("""COMPUTED_VALUE"""),"Web Tonic, GroupM")</f>
        <v>Web Tonic, GroupM</v>
      </c>
      <c r="L185" s="187">
        <f>IFERROR(__xludf.DUMMYFUNCTION("""COMPUTED_VALUE"""),2.0)</f>
        <v>2</v>
      </c>
      <c r="M185" s="188">
        <f>IFERROR(__xludf.DUMMYFUNCTION("""COMPUTED_VALUE"""),0.0)</f>
        <v>0</v>
      </c>
      <c r="N185" s="188">
        <f>IFERROR(__xludf.DUMMYFUNCTION("""COMPUTED_VALUE"""),3.0)</f>
        <v>3</v>
      </c>
      <c r="O185" s="208"/>
      <c r="P185" s="208"/>
      <c r="Q185" s="208"/>
      <c r="R185" s="208"/>
    </row>
    <row r="186">
      <c r="A186" s="185" t="str">
        <f>IFERROR(__xludf.DUMMYFUNCTION("""COMPUTED_VALUE"""),"Lower-priority competitor/vendor roundup")</f>
        <v>Lower-priority competitor/vendor roundup</v>
      </c>
      <c r="B186" s="186" t="str">
        <f>IFERROR(__xludf.DUMMYFUNCTION("""COMPUTED_VALUE"""),"https://www.webtonic.io/blog/top-web-analytics-agencies")</f>
        <v>https://www.webtonic.io/blog/top-web-analytics-agencies</v>
      </c>
      <c r="C186" s="185" t="str">
        <f>IFERROR(__xludf.DUMMYFUNCTION("""COMPUTED_VALUE"""),"Top 46 Web Analytics Agencies (2026 Edition)")</f>
        <v>Top 46 Web Analytics Agencies (2026 Edition)</v>
      </c>
      <c r="D186" s="185" t="str">
        <f>IFERROR(__xludf.DUMMYFUNCTION("""COMPUTED_VALUE"""),"US")</f>
        <v>US</v>
      </c>
      <c r="E186" s="185" t="str">
        <f>IFERROR(__xludf.DUMMYFUNCTION("""COMPUTED_VALUE"""),"webtonic.io")</f>
        <v>webtonic.io</v>
      </c>
      <c r="F186" s="185" t="str">
        <f>IFERROR(__xludf.DUMMYFUNCTION("""COMPUTED_VALUE"""),"Listicle")</f>
        <v>Listicle</v>
      </c>
      <c r="G186" s="185" t="str">
        <f>IFERROR(__xludf.DUMMYFUNCTION("""COMPUTED_VALUE"""),"COMPETITOR")</f>
        <v>COMPETITOR</v>
      </c>
      <c r="H186" s="185" t="str">
        <f>IFERROR(__xludf.DUMMYFUNCTION("""COMPUTED_VALUE"""),"No")</f>
        <v>No</v>
      </c>
      <c r="I186" s="185" t="str">
        <f>IFERROR(__xludf.DUMMYFUNCTION("""COMPUTED_VALUE"""),"Low")</f>
        <v>Low</v>
      </c>
      <c r="J186" s="185" t="str">
        <f>IFERROR(__xludf.DUMMYFUNCTION("""COMPUTED_VALUE"""),"Secondary")</f>
        <v>Secondary</v>
      </c>
      <c r="K186" s="185" t="str">
        <f>IFERROR(__xludf.DUMMYFUNCTION("""COMPUTED_VALUE"""),"Web Tonic, Bounteous, InfoTrust, Adswerve, Cardinal Path, TransUnion, Seer Interactive, Metric Theory, IBM, Croud, Ogilvy, GroupM")</f>
        <v>Web Tonic, Bounteous, InfoTrust, Adswerve, Cardinal Path, TransUnion, Seer Interactive, Metric Theory, IBM, Croud, Ogilvy, GroupM</v>
      </c>
      <c r="L186" s="187">
        <f>IFERROR(__xludf.DUMMYFUNCTION("""COMPUTED_VALUE"""),2.0)</f>
        <v>2</v>
      </c>
      <c r="M186" s="188">
        <f>IFERROR(__xludf.DUMMYFUNCTION("""COMPUTED_VALUE"""),0.0)</f>
        <v>0</v>
      </c>
      <c r="N186" s="188">
        <f>IFERROR(__xludf.DUMMYFUNCTION("""COMPUTED_VALUE"""),1.0)</f>
        <v>1</v>
      </c>
      <c r="O186" s="208"/>
      <c r="P186" s="208"/>
      <c r="Q186" s="208"/>
      <c r="R186" s="208"/>
    </row>
    <row r="187">
      <c r="A187" s="185" t="str">
        <f>IFERROR(__xludf.DUMMYFUNCTION("""COMPUTED_VALUE"""),"Official partner / certification ecosystem")</f>
        <v>Official partner / certification ecosystem</v>
      </c>
      <c r="B187" s="186" t="str">
        <f>IFERROR(__xludf.DUMMYFUNCTION("""COMPUTED_VALUE"""),"https://ads.google.com/intl/fy/home/partners/become-a-partner/")</f>
        <v>https://ads.google.com/intl/fy/home/partners/become-a-partner/</v>
      </c>
      <c r="C187" s="185"/>
      <c r="D187" s="185" t="str">
        <f>IFERROR(__xludf.DUMMYFUNCTION("""COMPUTED_VALUE"""),"US")</f>
        <v>US</v>
      </c>
      <c r="E187" s="185" t="str">
        <f>IFERROR(__xludf.DUMMYFUNCTION("""COMPUTED_VALUE"""),"google.com")</f>
        <v>google.com</v>
      </c>
      <c r="F187" s="185" t="str">
        <f>IFERROR(__xludf.DUMMYFUNCTION("""COMPUTED_VALUE"""),"Other")</f>
        <v>Other</v>
      </c>
      <c r="G187" s="185" t="str">
        <f>IFERROR(__xludf.DUMMYFUNCTION("""COMPUTED_VALUE"""),"OTHER")</f>
        <v>OTHER</v>
      </c>
      <c r="H187" s="185" t="str">
        <f>IFERROR(__xludf.DUMMYFUNCTION("""COMPUTED_VALUE"""),"No")</f>
        <v>No</v>
      </c>
      <c r="I187" s="185" t="str">
        <f>IFERROR(__xludf.DUMMYFUNCTION("""COMPUTED_VALUE"""),"High")</f>
        <v>High</v>
      </c>
      <c r="J187" s="185" t="str">
        <f>IFERROR(__xludf.DUMMYFUNCTION("""COMPUTED_VALUE"""),"Yes - priority")</f>
        <v>Yes - priority</v>
      </c>
      <c r="K187" s="185" t="str">
        <f>IFERROR(__xludf.DUMMYFUNCTION("""COMPUTED_VALUE"""),"Unknown")</f>
        <v>Unknown</v>
      </c>
      <c r="L187" s="187">
        <f>IFERROR(__xludf.DUMMYFUNCTION("""COMPUTED_VALUE"""),1.0)</f>
        <v>1</v>
      </c>
      <c r="M187" s="188">
        <f>IFERROR(__xludf.DUMMYFUNCTION("""COMPUTED_VALUE"""),0.0)</f>
        <v>0</v>
      </c>
      <c r="N187" s="188">
        <f>IFERROR(__xludf.DUMMYFUNCTION("""COMPUTED_VALUE"""),0.0)</f>
        <v>0</v>
      </c>
      <c r="O187" s="208"/>
      <c r="P187" s="208"/>
      <c r="Q187" s="208"/>
      <c r="R187" s="208"/>
    </row>
    <row r="188">
      <c r="A188" s="185" t="str">
        <f>IFERROR(__xludf.DUMMYFUNCTION("""COMPUTED_VALUE"""),"Industry data / software authority")</f>
        <v>Industry data / software authority</v>
      </c>
      <c r="B188" s="186" t="str">
        <f>IFERROR(__xludf.DUMMYFUNCTION("""COMPUTED_VALUE"""),"https://agencies.semrush.com/list/")</f>
        <v>https://agencies.semrush.com/list/</v>
      </c>
      <c r="C188" s="185" t="str">
        <f>IFERROR(__xludf.DUMMYFUNCTION("""COMPUTED_VALUE"""),"Best Digital Marketing Agencies in the World 2026 | Semrush")</f>
        <v>Best Digital Marketing Agencies in the World 2026 | Semrush</v>
      </c>
      <c r="D188" s="185" t="str">
        <f>IFERROR(__xludf.DUMMYFUNCTION("""COMPUTED_VALUE"""),"US")</f>
        <v>US</v>
      </c>
      <c r="E188" s="185" t="str">
        <f>IFERROR(__xludf.DUMMYFUNCTION("""COMPUTED_VALUE"""),"semrush.com")</f>
        <v>semrush.com</v>
      </c>
      <c r="F188" s="185" t="str">
        <f>IFERROR(__xludf.DUMMYFUNCTION("""COMPUTED_VALUE"""),"Category Page")</f>
        <v>Category Page</v>
      </c>
      <c r="G188" s="185" t="str">
        <f>IFERROR(__xludf.DUMMYFUNCTION("""COMPUTED_VALUE"""),"CORPORATE")</f>
        <v>CORPORATE</v>
      </c>
      <c r="H188" s="185" t="str">
        <f>IFERROR(__xludf.DUMMYFUNCTION("""COMPUTED_VALUE"""),"No")</f>
        <v>No</v>
      </c>
      <c r="I188" s="185" t="str">
        <f>IFERROR(__xludf.DUMMYFUNCTION("""COMPUTED_VALUE"""),"Medium")</f>
        <v>Medium</v>
      </c>
      <c r="J188" s="185" t="str">
        <f>IFERROR(__xludf.DUMMYFUNCTION("""COMPUTED_VALUE"""),"Yes")</f>
        <v>Yes</v>
      </c>
      <c r="K188" s="185"/>
      <c r="L188" s="187">
        <f>IFERROR(__xludf.DUMMYFUNCTION("""COMPUTED_VALUE"""),1.0)</f>
        <v>1</v>
      </c>
      <c r="M188" s="188">
        <f>IFERROR(__xludf.DUMMYFUNCTION("""COMPUTED_VALUE"""),0.0)</f>
        <v>0</v>
      </c>
      <c r="N188" s="188">
        <f>IFERROR(__xludf.DUMMYFUNCTION("""COMPUTED_VALUE"""),0.0)</f>
        <v>0</v>
      </c>
      <c r="O188" s="208"/>
      <c r="P188" s="208"/>
      <c r="Q188" s="208"/>
      <c r="R188" s="208"/>
    </row>
    <row r="189">
      <c r="A189" s="185" t="str">
        <f>IFERROR(__xludf.DUMMYFUNCTION("""COMPUTED_VALUE"""),"Industry data / software authority")</f>
        <v>Industry data / software authority</v>
      </c>
      <c r="B189" s="186" t="str">
        <f>IFERROR(__xludf.DUMMYFUNCTION("""COMPUTED_VALUE"""),"https://agencies.semrush.com/list/advertising/united-states/")</f>
        <v>https://agencies.semrush.com/list/advertising/united-states/</v>
      </c>
      <c r="C189" s="185" t="str">
        <f>IFERROR(__xludf.DUMMYFUNCTION("""COMPUTED_VALUE"""),"Best Advertising Agencies in United States 2026 | Semrush")</f>
        <v>Best Advertising Agencies in United States 2026 | Semrush</v>
      </c>
      <c r="D189" s="185" t="str">
        <f>IFERROR(__xludf.DUMMYFUNCTION("""COMPUTED_VALUE"""),"US")</f>
        <v>US</v>
      </c>
      <c r="E189" s="185" t="str">
        <f>IFERROR(__xludf.DUMMYFUNCTION("""COMPUTED_VALUE"""),"semrush.com")</f>
        <v>semrush.com</v>
      </c>
      <c r="F189" s="185" t="str">
        <f>IFERROR(__xludf.DUMMYFUNCTION("""COMPUTED_VALUE"""),"Category Page")</f>
        <v>Category Page</v>
      </c>
      <c r="G189" s="185" t="str">
        <f>IFERROR(__xludf.DUMMYFUNCTION("""COMPUTED_VALUE"""),"CORPORATE")</f>
        <v>CORPORATE</v>
      </c>
      <c r="H189" s="185" t="str">
        <f>IFERROR(__xludf.DUMMYFUNCTION("""COMPUTED_VALUE"""),"No")</f>
        <v>No</v>
      </c>
      <c r="I189" s="185" t="str">
        <f>IFERROR(__xludf.DUMMYFUNCTION("""COMPUTED_VALUE"""),"Medium")</f>
        <v>Medium</v>
      </c>
      <c r="J189" s="185" t="str">
        <f>IFERROR(__xludf.DUMMYFUNCTION("""COMPUTED_VALUE"""),"Yes")</f>
        <v>Yes</v>
      </c>
      <c r="K189" s="185" t="str">
        <f>IFERROR(__xludf.DUMMYFUNCTION("""COMPUTED_VALUE"""),"SmartSites, Elit-Web")</f>
        <v>SmartSites, Elit-Web</v>
      </c>
      <c r="L189" s="187">
        <f>IFERROR(__xludf.DUMMYFUNCTION("""COMPUTED_VALUE"""),1.0)</f>
        <v>1</v>
      </c>
      <c r="M189" s="188">
        <f>IFERROR(__xludf.DUMMYFUNCTION("""COMPUTED_VALUE"""),0.0)</f>
        <v>0</v>
      </c>
      <c r="N189" s="188">
        <f>IFERROR(__xludf.DUMMYFUNCTION("""COMPUTED_VALUE"""),0.0)</f>
        <v>0</v>
      </c>
      <c r="O189" s="208"/>
      <c r="P189" s="208"/>
      <c r="Q189" s="208"/>
      <c r="R189" s="208"/>
    </row>
    <row r="190">
      <c r="A190" s="185" t="str">
        <f>IFERROR(__xludf.DUMMYFUNCTION("""COMPUTED_VALUE"""),"Industry data / software authority")</f>
        <v>Industry data / software authority</v>
      </c>
      <c r="B190" s="186" t="str">
        <f>IFERROR(__xludf.DUMMYFUNCTION("""COMPUTED_VALUE"""),"https://agencies.semrush.com/list/ai-optimization/united-states/small-business/")</f>
        <v>https://agencies.semrush.com/list/ai-optimization/united-states/small-business/</v>
      </c>
      <c r="C190" s="185" t="str">
        <f>IFERROR(__xludf.DUMMYFUNCTION("""COMPUTED_VALUE"""),"Best AI Search Optimization Agencies for Small Business in United States 2026 | Semrush")</f>
        <v>Best AI Search Optimization Agencies for Small Business in United States 2026 | Semrush</v>
      </c>
      <c r="D190" s="185" t="str">
        <f>IFERROR(__xludf.DUMMYFUNCTION("""COMPUTED_VALUE"""),"US")</f>
        <v>US</v>
      </c>
      <c r="E190" s="185" t="str">
        <f>IFERROR(__xludf.DUMMYFUNCTION("""COMPUTED_VALUE"""),"semrush.com")</f>
        <v>semrush.com</v>
      </c>
      <c r="F190" s="185" t="str">
        <f>IFERROR(__xludf.DUMMYFUNCTION("""COMPUTED_VALUE"""),"Category Page")</f>
        <v>Category Page</v>
      </c>
      <c r="G190" s="185" t="str">
        <f>IFERROR(__xludf.DUMMYFUNCTION("""COMPUTED_VALUE"""),"CORPORATE")</f>
        <v>CORPORATE</v>
      </c>
      <c r="H190" s="185" t="str">
        <f>IFERROR(__xludf.DUMMYFUNCTION("""COMPUTED_VALUE"""),"No")</f>
        <v>No</v>
      </c>
      <c r="I190" s="185" t="str">
        <f>IFERROR(__xludf.DUMMYFUNCTION("""COMPUTED_VALUE"""),"Medium")</f>
        <v>Medium</v>
      </c>
      <c r="J190" s="185" t="str">
        <f>IFERROR(__xludf.DUMMYFUNCTION("""COMPUTED_VALUE"""),"Yes")</f>
        <v>Yes</v>
      </c>
      <c r="K190" s="185" t="str">
        <f>IFERROR(__xludf.DUMMYFUNCTION("""COMPUTED_VALUE"""),"SmartSites, Elit-Web")</f>
        <v>SmartSites, Elit-Web</v>
      </c>
      <c r="L190" s="187">
        <f>IFERROR(__xludf.DUMMYFUNCTION("""COMPUTED_VALUE"""),1.0)</f>
        <v>1</v>
      </c>
      <c r="M190" s="188">
        <f>IFERROR(__xludf.DUMMYFUNCTION("""COMPUTED_VALUE"""),0.0)</f>
        <v>0</v>
      </c>
      <c r="N190" s="188">
        <f>IFERROR(__xludf.DUMMYFUNCTION("""COMPUTED_VALUE"""),0.0)</f>
        <v>0</v>
      </c>
      <c r="O190" s="208"/>
      <c r="P190" s="208"/>
      <c r="Q190" s="208"/>
      <c r="R190" s="208"/>
    </row>
    <row r="191">
      <c r="A191" s="185" t="str">
        <f>IFERROR(__xludf.DUMMYFUNCTION("""COMPUTED_VALUE"""),"Industry data / software authority")</f>
        <v>Industry data / software authority</v>
      </c>
      <c r="B191" s="186" t="str">
        <f>IFERROR(__xludf.DUMMYFUNCTION("""COMPUTED_VALUE"""),"https://agencies.semrush.com/list/los-angeles/")</f>
        <v>https://agencies.semrush.com/list/los-angeles/</v>
      </c>
      <c r="C191" s="185" t="str">
        <f>IFERROR(__xludf.DUMMYFUNCTION("""COMPUTED_VALUE"""),"Best Digital Marketing Agencies in Los Angeles 2026 | Semrush")</f>
        <v>Best Digital Marketing Agencies in Los Angeles 2026 | Semrush</v>
      </c>
      <c r="D191" s="185" t="str">
        <f>IFERROR(__xludf.DUMMYFUNCTION("""COMPUTED_VALUE"""),"US")</f>
        <v>US</v>
      </c>
      <c r="E191" s="185" t="str">
        <f>IFERROR(__xludf.DUMMYFUNCTION("""COMPUTED_VALUE"""),"semrush.com")</f>
        <v>semrush.com</v>
      </c>
      <c r="F191" s="185" t="str">
        <f>IFERROR(__xludf.DUMMYFUNCTION("""COMPUTED_VALUE"""),"Category Page")</f>
        <v>Category Page</v>
      </c>
      <c r="G191" s="185" t="str">
        <f>IFERROR(__xludf.DUMMYFUNCTION("""COMPUTED_VALUE"""),"CORPORATE")</f>
        <v>CORPORATE</v>
      </c>
      <c r="H191" s="185" t="str">
        <f>IFERROR(__xludf.DUMMYFUNCTION("""COMPUTED_VALUE"""),"No")</f>
        <v>No</v>
      </c>
      <c r="I191" s="185" t="str">
        <f>IFERROR(__xludf.DUMMYFUNCTION("""COMPUTED_VALUE"""),"Medium")</f>
        <v>Medium</v>
      </c>
      <c r="J191" s="185" t="str">
        <f>IFERROR(__xludf.DUMMYFUNCTION("""COMPUTED_VALUE"""),"Yes")</f>
        <v>Yes</v>
      </c>
      <c r="K191" s="185"/>
      <c r="L191" s="187">
        <f>IFERROR(__xludf.DUMMYFUNCTION("""COMPUTED_VALUE"""),1.0)</f>
        <v>1</v>
      </c>
      <c r="M191" s="188">
        <f>IFERROR(__xludf.DUMMYFUNCTION("""COMPUTED_VALUE"""),0.0)</f>
        <v>0</v>
      </c>
      <c r="N191" s="188">
        <f>IFERROR(__xludf.DUMMYFUNCTION("""COMPUTED_VALUE"""),0.0)</f>
        <v>0</v>
      </c>
      <c r="O191" s="208"/>
      <c r="P191" s="208"/>
      <c r="Q191" s="208"/>
      <c r="R191" s="208"/>
    </row>
    <row r="192">
      <c r="A192" s="185" t="str">
        <f>IFERROR(__xludf.DUMMYFUNCTION("""COMPUTED_VALUE"""),"Industry data / software authority")</f>
        <v>Industry data / software authority</v>
      </c>
      <c r="B192" s="186" t="str">
        <f>IFERROR(__xludf.DUMMYFUNCTION("""COMPUTED_VALUE"""),"https://agencies.semrush.com/list/machine-learning-and-ai/business-professional-services/united-states/")</f>
        <v>https://agencies.semrush.com/list/machine-learning-and-ai/business-professional-services/united-states/</v>
      </c>
      <c r="C192" s="185" t="str">
        <f>IFERROR(__xludf.DUMMYFUNCTION("""COMPUTED_VALUE"""),"Best B2B Services Machine Learning and AI Services in United States 2026 | Semrush")</f>
        <v>Best B2B Services Machine Learning and AI Services in United States 2026 | Semrush</v>
      </c>
      <c r="D192" s="185" t="str">
        <f>IFERROR(__xludf.DUMMYFUNCTION("""COMPUTED_VALUE"""),"US")</f>
        <v>US</v>
      </c>
      <c r="E192" s="185" t="str">
        <f>IFERROR(__xludf.DUMMYFUNCTION("""COMPUTED_VALUE"""),"semrush.com")</f>
        <v>semrush.com</v>
      </c>
      <c r="F192" s="185" t="str">
        <f>IFERROR(__xludf.DUMMYFUNCTION("""COMPUTED_VALUE"""),"Category Page")</f>
        <v>Category Page</v>
      </c>
      <c r="G192" s="185" t="str">
        <f>IFERROR(__xludf.DUMMYFUNCTION("""COMPUTED_VALUE"""),"CORPORATE")</f>
        <v>CORPORATE</v>
      </c>
      <c r="H192" s="185" t="str">
        <f>IFERROR(__xludf.DUMMYFUNCTION("""COMPUTED_VALUE"""),"No")</f>
        <v>No</v>
      </c>
      <c r="I192" s="185" t="str">
        <f>IFERROR(__xludf.DUMMYFUNCTION("""COMPUTED_VALUE"""),"Medium")</f>
        <v>Medium</v>
      </c>
      <c r="J192" s="185" t="str">
        <f>IFERROR(__xludf.DUMMYFUNCTION("""COMPUTED_VALUE"""),"Yes")</f>
        <v>Yes</v>
      </c>
      <c r="K192" s="185" t="str">
        <f>IFERROR(__xludf.DUMMYFUNCTION("""COMPUTED_VALUE"""),"LYFE Marketing, Elit-Web, Silverback Strategies, WebFX")</f>
        <v>LYFE Marketing, Elit-Web, Silverback Strategies, WebFX</v>
      </c>
      <c r="L192" s="187">
        <f>IFERROR(__xludf.DUMMYFUNCTION("""COMPUTED_VALUE"""),1.0)</f>
        <v>1</v>
      </c>
      <c r="M192" s="188">
        <f>IFERROR(__xludf.DUMMYFUNCTION("""COMPUTED_VALUE"""),0.0)</f>
        <v>0</v>
      </c>
      <c r="N192" s="188">
        <f>IFERROR(__xludf.DUMMYFUNCTION("""COMPUTED_VALUE"""),0.0)</f>
        <v>0</v>
      </c>
      <c r="O192" s="208"/>
      <c r="P192" s="208"/>
      <c r="Q192" s="208"/>
      <c r="R192" s="208"/>
    </row>
    <row r="193">
      <c r="A193" s="185" t="str">
        <f>IFERROR(__xludf.DUMMYFUNCTION("""COMPUTED_VALUE"""),"Industry data / software authority")</f>
        <v>Industry data / software authority</v>
      </c>
      <c r="B193" s="186" t="str">
        <f>IFERROR(__xludf.DUMMYFUNCTION("""COMPUTED_VALUE"""),"https://agencies.semrush.com/list/programmatic-advertising/arts-entertainment/united-states/")</f>
        <v>https://agencies.semrush.com/list/programmatic-advertising/arts-entertainment/united-states/</v>
      </c>
      <c r="C193" s="185" t="str">
        <f>IFERROR(__xludf.DUMMYFUNCTION("""COMPUTED_VALUE"""),"Best Media &amp;amp; Entertainment Programmatic Advertising Agencies in United States 2026 | Semrush")</f>
        <v>Best Media &amp;amp; Entertainment Programmatic Advertising Agencies in United States 2026 | Semrush</v>
      </c>
      <c r="D193" s="185" t="str">
        <f>IFERROR(__xludf.DUMMYFUNCTION("""COMPUTED_VALUE"""),"US")</f>
        <v>US</v>
      </c>
      <c r="E193" s="185" t="str">
        <f>IFERROR(__xludf.DUMMYFUNCTION("""COMPUTED_VALUE"""),"semrush.com")</f>
        <v>semrush.com</v>
      </c>
      <c r="F193" s="185" t="str">
        <f>IFERROR(__xludf.DUMMYFUNCTION("""COMPUTED_VALUE"""),"Category Page")</f>
        <v>Category Page</v>
      </c>
      <c r="G193" s="185" t="str">
        <f>IFERROR(__xludf.DUMMYFUNCTION("""COMPUTED_VALUE"""),"CORPORATE")</f>
        <v>CORPORATE</v>
      </c>
      <c r="H193" s="185" t="str">
        <f>IFERROR(__xludf.DUMMYFUNCTION("""COMPUTED_VALUE"""),"No")</f>
        <v>No</v>
      </c>
      <c r="I193" s="185" t="str">
        <f>IFERROR(__xludf.DUMMYFUNCTION("""COMPUTED_VALUE"""),"Medium")</f>
        <v>Medium</v>
      </c>
      <c r="J193" s="185" t="str">
        <f>IFERROR(__xludf.DUMMYFUNCTION("""COMPUTED_VALUE"""),"Yes")</f>
        <v>Yes</v>
      </c>
      <c r="K193" s="185" t="str">
        <f>IFERROR(__xludf.DUMMYFUNCTION("""COMPUTED_VALUE"""),"SmartSites, Elit-Web, Silverback Strategies, Measured, Funnel Boost Media")</f>
        <v>SmartSites, Elit-Web, Silverback Strategies, Measured, Funnel Boost Media</v>
      </c>
      <c r="L193" s="187">
        <f>IFERROR(__xludf.DUMMYFUNCTION("""COMPUTED_VALUE"""),1.0)</f>
        <v>1</v>
      </c>
      <c r="M193" s="188">
        <f>IFERROR(__xludf.DUMMYFUNCTION("""COMPUTED_VALUE"""),0.0)</f>
        <v>0</v>
      </c>
      <c r="N193" s="188">
        <f>IFERROR(__xludf.DUMMYFUNCTION("""COMPUTED_VALUE"""),0.0)</f>
        <v>0</v>
      </c>
      <c r="O193" s="208"/>
      <c r="P193" s="208"/>
      <c r="Q193" s="208"/>
      <c r="R193" s="208"/>
    </row>
    <row r="194">
      <c r="A194" s="185" t="str">
        <f>IFERROR(__xludf.DUMMYFUNCTION("""COMPUTED_VALUE"""),"Official partner / certification ecosystem")</f>
        <v>Official partner / certification ecosystem</v>
      </c>
      <c r="B194" s="186" t="str">
        <f>IFERROR(__xludf.DUMMYFUNCTION("""COMPUTED_VALUE"""),"https://business.google.com/en-all/support/become-a-partner/")</f>
        <v>https://business.google.com/en-all/support/become-a-partner/</v>
      </c>
      <c r="C194" s="185" t="str">
        <f>IFERROR(__xludf.DUMMYFUNCTION("""COMPUTED_VALUE"""),"Google Partners Programme: Become a Partner – Google Ads")</f>
        <v>Google Partners Programme: Become a Partner – Google Ads</v>
      </c>
      <c r="D194" s="185" t="str">
        <f>IFERROR(__xludf.DUMMYFUNCTION("""COMPUTED_VALUE"""),"US")</f>
        <v>US</v>
      </c>
      <c r="E194" s="185" t="str">
        <f>IFERROR(__xludf.DUMMYFUNCTION("""COMPUTED_VALUE"""),"google.com")</f>
        <v>google.com</v>
      </c>
      <c r="F194" s="185" t="str">
        <f>IFERROR(__xludf.DUMMYFUNCTION("""COMPUTED_VALUE"""),"Product Page")</f>
        <v>Product Page</v>
      </c>
      <c r="G194" s="185" t="str">
        <f>IFERROR(__xludf.DUMMYFUNCTION("""COMPUTED_VALUE"""),"OTHER")</f>
        <v>OTHER</v>
      </c>
      <c r="H194" s="185" t="str">
        <f>IFERROR(__xludf.DUMMYFUNCTION("""COMPUTED_VALUE"""),"No")</f>
        <v>No</v>
      </c>
      <c r="I194" s="185" t="str">
        <f>IFERROR(__xludf.DUMMYFUNCTION("""COMPUTED_VALUE"""),"High")</f>
        <v>High</v>
      </c>
      <c r="J194" s="185" t="str">
        <f>IFERROR(__xludf.DUMMYFUNCTION("""COMPUTED_VALUE"""),"Yes - priority")</f>
        <v>Yes - priority</v>
      </c>
      <c r="K194" s="185" t="str">
        <f>IFERROR(__xludf.DUMMYFUNCTION("""COMPUTED_VALUE"""),"New Engen, Merkle")</f>
        <v>New Engen, Merkle</v>
      </c>
      <c r="L194" s="187">
        <f>IFERROR(__xludf.DUMMYFUNCTION("""COMPUTED_VALUE"""),1.0)</f>
        <v>1</v>
      </c>
      <c r="M194" s="188">
        <f>IFERROR(__xludf.DUMMYFUNCTION("""COMPUTED_VALUE"""),0.0)</f>
        <v>0</v>
      </c>
      <c r="N194" s="188">
        <f>IFERROR(__xludf.DUMMYFUNCTION("""COMPUTED_VALUE"""),0.0)</f>
        <v>0</v>
      </c>
      <c r="O194" s="208"/>
      <c r="P194" s="208"/>
      <c r="Q194" s="208"/>
      <c r="R194" s="208"/>
    </row>
    <row r="195">
      <c r="A195" s="185" t="str">
        <f>IFERROR(__xludf.DUMMYFUNCTION("""COMPUTED_VALUE"""),"Official partner / certification ecosystem")</f>
        <v>Official partner / certification ecosystem</v>
      </c>
      <c r="B195" s="186" t="str">
        <f>IFERROR(__xludf.DUMMYFUNCTION("""COMPUTED_VALUE"""),"https://business.google.com/en-all/support/work-with-a-partner/")</f>
        <v>https://business.google.com/en-all/support/work-with-a-partner/</v>
      </c>
      <c r="C195" s="185" t="str">
        <f>IFERROR(__xludf.DUMMYFUNCTION("""COMPUTED_VALUE"""),"Work with a Google Partner for a Successful Campaign – Google Ads")</f>
        <v>Work with a Google Partner for a Successful Campaign – Google Ads</v>
      </c>
      <c r="D195" s="185" t="str">
        <f>IFERROR(__xludf.DUMMYFUNCTION("""COMPUTED_VALUE"""),"US")</f>
        <v>US</v>
      </c>
      <c r="E195" s="185" t="str">
        <f>IFERROR(__xludf.DUMMYFUNCTION("""COMPUTED_VALUE"""),"google.com")</f>
        <v>google.com</v>
      </c>
      <c r="F195" s="185" t="str">
        <f>IFERROR(__xludf.DUMMYFUNCTION("""COMPUTED_VALUE"""),"Product Page")</f>
        <v>Product Page</v>
      </c>
      <c r="G195" s="185" t="str">
        <f>IFERROR(__xludf.DUMMYFUNCTION("""COMPUTED_VALUE"""),"OTHER")</f>
        <v>OTHER</v>
      </c>
      <c r="H195" s="185" t="str">
        <f>IFERROR(__xludf.DUMMYFUNCTION("""COMPUTED_VALUE"""),"No")</f>
        <v>No</v>
      </c>
      <c r="I195" s="185" t="str">
        <f>IFERROR(__xludf.DUMMYFUNCTION("""COMPUTED_VALUE"""),"High")</f>
        <v>High</v>
      </c>
      <c r="J195" s="185" t="str">
        <f>IFERROR(__xludf.DUMMYFUNCTION("""COMPUTED_VALUE"""),"Yes - priority")</f>
        <v>Yes - priority</v>
      </c>
      <c r="K195" s="185" t="str">
        <f>IFERROR(__xludf.DUMMYFUNCTION("""COMPUTED_VALUE"""),"New Engen, Wpromote")</f>
        <v>New Engen, Wpromote</v>
      </c>
      <c r="L195" s="187">
        <f>IFERROR(__xludf.DUMMYFUNCTION("""COMPUTED_VALUE"""),1.0)</f>
        <v>1</v>
      </c>
      <c r="M195" s="188">
        <f>IFERROR(__xludf.DUMMYFUNCTION("""COMPUTED_VALUE"""),0.0)</f>
        <v>0</v>
      </c>
      <c r="N195" s="188">
        <f>IFERROR(__xludf.DUMMYFUNCTION("""COMPUTED_VALUE"""),0.0)</f>
        <v>0</v>
      </c>
      <c r="O195" s="208"/>
      <c r="P195" s="208"/>
      <c r="Q195" s="208"/>
      <c r="R195" s="208"/>
    </row>
    <row r="196">
      <c r="A196" s="185" t="str">
        <f>IFERROR(__xludf.DUMMYFUNCTION("""COMPUTED_VALUE"""),"Official partner / certification ecosystem")</f>
        <v>Official partner / certification ecosystem</v>
      </c>
      <c r="B196" s="186" t="str">
        <f>IFERROR(__xludf.DUMMYFUNCTION("""COMPUTED_VALUE"""),"https://business.google.com/us/think/measurement/incrementality-testing/")</f>
        <v>https://business.google.com/us/think/measurement/incrementality-testing/</v>
      </c>
      <c r="C196" s="185" t="str">
        <f>IFERROR(__xludf.DUMMYFUNCTION("""COMPUTED_VALUE"""),"Use incrementality testing for effective marketing measurement")</f>
        <v>Use incrementality testing for effective marketing measurement</v>
      </c>
      <c r="D196" s="185" t="str">
        <f>IFERROR(__xludf.DUMMYFUNCTION("""COMPUTED_VALUE"""),"US")</f>
        <v>US</v>
      </c>
      <c r="E196" s="185" t="str">
        <f>IFERROR(__xludf.DUMMYFUNCTION("""COMPUTED_VALUE"""),"google.com")</f>
        <v>google.com</v>
      </c>
      <c r="F196" s="185" t="str">
        <f>IFERROR(__xludf.DUMMYFUNCTION("""COMPUTED_VALUE"""),"Article")</f>
        <v>Article</v>
      </c>
      <c r="G196" s="185" t="str">
        <f>IFERROR(__xludf.DUMMYFUNCTION("""COMPUTED_VALUE"""),"OTHER")</f>
        <v>OTHER</v>
      </c>
      <c r="H196" s="185" t="str">
        <f>IFERROR(__xludf.DUMMYFUNCTION("""COMPUTED_VALUE"""),"No")</f>
        <v>No</v>
      </c>
      <c r="I196" s="185" t="str">
        <f>IFERROR(__xludf.DUMMYFUNCTION("""COMPUTED_VALUE"""),"High")</f>
        <v>High</v>
      </c>
      <c r="J196" s="185" t="str">
        <f>IFERROR(__xludf.DUMMYFUNCTION("""COMPUTED_VALUE"""),"Yes - priority")</f>
        <v>Yes - priority</v>
      </c>
      <c r="K196" s="185"/>
      <c r="L196" s="187">
        <f>IFERROR(__xludf.DUMMYFUNCTION("""COMPUTED_VALUE"""),1.0)</f>
        <v>1</v>
      </c>
      <c r="M196" s="188">
        <f>IFERROR(__xludf.DUMMYFUNCTION("""COMPUTED_VALUE"""),0.0)</f>
        <v>0</v>
      </c>
      <c r="N196" s="188">
        <f>IFERROR(__xludf.DUMMYFUNCTION("""COMPUTED_VALUE"""),0.0)</f>
        <v>0</v>
      </c>
      <c r="O196" s="208"/>
      <c r="P196" s="208"/>
      <c r="Q196" s="208"/>
      <c r="R196" s="208"/>
    </row>
    <row r="197">
      <c r="A197" s="185" t="str">
        <f>IFERROR(__xludf.DUMMYFUNCTION("""COMPUTED_VALUE"""),"Trade media / editorial publication")</f>
        <v>Trade media / editorial publication</v>
      </c>
      <c r="B197" s="186" t="str">
        <f>IFERROR(__xludf.DUMMYFUNCTION("""COMPUTED_VALUE"""),"https://www.businessofapps.com/marketplace/vayner-media/")</f>
        <v>https://www.businessofapps.com/marketplace/vayner-media/</v>
      </c>
      <c r="C197" s="185" t="str">
        <f>IFERROR(__xludf.DUMMYFUNCTION("""COMPUTED_VALUE"""),"Vayner Media - Reviews, News and Ratings")</f>
        <v>Vayner Media - Reviews, News and Ratings</v>
      </c>
      <c r="D197" s="185" t="str">
        <f>IFERROR(__xludf.DUMMYFUNCTION("""COMPUTED_VALUE"""),"US")</f>
        <v>US</v>
      </c>
      <c r="E197" s="185" t="str">
        <f>IFERROR(__xludf.DUMMYFUNCTION("""COMPUTED_VALUE"""),"businessofapps.com")</f>
        <v>businessofapps.com</v>
      </c>
      <c r="F197" s="185" t="str">
        <f>IFERROR(__xludf.DUMMYFUNCTION("""COMPUTED_VALUE"""),"Profile")</f>
        <v>Profile</v>
      </c>
      <c r="G197" s="185" t="str">
        <f>IFERROR(__xludf.DUMMYFUNCTION("""COMPUTED_VALUE"""),"EDITORIAL")</f>
        <v>EDITORIAL</v>
      </c>
      <c r="H197" s="185" t="str">
        <f>IFERROR(__xludf.DUMMYFUNCTION("""COMPUTED_VALUE"""),"No")</f>
        <v>No</v>
      </c>
      <c r="I197" s="185" t="str">
        <f>IFERROR(__xludf.DUMMYFUNCTION("""COMPUTED_VALUE"""),"Medium")</f>
        <v>Medium</v>
      </c>
      <c r="J197" s="185" t="str">
        <f>IFERROR(__xludf.DUMMYFUNCTION("""COMPUTED_VALUE"""),"Yes")</f>
        <v>Yes</v>
      </c>
      <c r="K197" s="185" t="str">
        <f>IFERROR(__xludf.DUMMYFUNCTION("""COMPUTED_VALUE"""),"VaynerMedia, NinjaPromo, Thrive Internet Marketing Agency, Clutch")</f>
        <v>VaynerMedia, NinjaPromo, Thrive Internet Marketing Agency, Clutch</v>
      </c>
      <c r="L197" s="187">
        <f>IFERROR(__xludf.DUMMYFUNCTION("""COMPUTED_VALUE"""),1.0)</f>
        <v>1</v>
      </c>
      <c r="M197" s="188">
        <f>IFERROR(__xludf.DUMMYFUNCTION("""COMPUTED_VALUE"""),0.0)</f>
        <v>0</v>
      </c>
      <c r="N197" s="188">
        <f>IFERROR(__xludf.DUMMYFUNCTION("""COMPUTED_VALUE"""),1.0)</f>
        <v>1</v>
      </c>
      <c r="O197" s="208"/>
      <c r="P197" s="208"/>
      <c r="Q197" s="208"/>
      <c r="R197" s="208"/>
    </row>
    <row r="198">
      <c r="A198" s="185" t="str">
        <f>IFERROR(__xludf.DUMMYFUNCTION("""COMPUTED_VALUE"""),"Official partner / certification ecosystem")</f>
        <v>Official partner / certification ecosystem</v>
      </c>
      <c r="B198" s="186" t="str">
        <f>IFERROR(__xludf.DUMMYFUNCTION("""COMPUTED_VALUE"""),"https://cloud.google.com/customers/jellyfish2")</f>
        <v>https://cloud.google.com/customers/jellyfish2</v>
      </c>
      <c r="C198" s="185" t="str">
        <f>IFERROR(__xludf.DUMMYFUNCTION("""COMPUTED_VALUE"""),"Jellyfish Case Study  \|  Google Cloud")</f>
        <v>Jellyfish Case Study  \|  Google Cloud</v>
      </c>
      <c r="D198" s="185" t="str">
        <f>IFERROR(__xludf.DUMMYFUNCTION("""COMPUTED_VALUE"""),"US")</f>
        <v>US</v>
      </c>
      <c r="E198" s="185" t="str">
        <f>IFERROR(__xludf.DUMMYFUNCTION("""COMPUTED_VALUE"""),"google.com")</f>
        <v>google.com</v>
      </c>
      <c r="F198" s="185" t="str">
        <f>IFERROR(__xludf.DUMMYFUNCTION("""COMPUTED_VALUE"""),"Other")</f>
        <v>Other</v>
      </c>
      <c r="G198" s="185" t="str">
        <f>IFERROR(__xludf.DUMMYFUNCTION("""COMPUTED_VALUE"""),"OTHER")</f>
        <v>OTHER</v>
      </c>
      <c r="H198" s="185" t="str">
        <f>IFERROR(__xludf.DUMMYFUNCTION("""COMPUTED_VALUE"""),"No")</f>
        <v>No</v>
      </c>
      <c r="I198" s="185" t="str">
        <f>IFERROR(__xludf.DUMMYFUNCTION("""COMPUTED_VALUE"""),"High")</f>
        <v>High</v>
      </c>
      <c r="J198" s="185" t="str">
        <f>IFERROR(__xludf.DUMMYFUNCTION("""COMPUTED_VALUE"""),"Yes - priority")</f>
        <v>Yes - priority</v>
      </c>
      <c r="K198" s="185" t="str">
        <f>IFERROR(__xludf.DUMMYFUNCTION("""COMPUTED_VALUE"""),"Jellyfish")</f>
        <v>Jellyfish</v>
      </c>
      <c r="L198" s="187">
        <f>IFERROR(__xludf.DUMMYFUNCTION("""COMPUTED_VALUE"""),1.0)</f>
        <v>1</v>
      </c>
      <c r="M198" s="188">
        <f>IFERROR(__xludf.DUMMYFUNCTION("""COMPUTED_VALUE"""),0.0)</f>
        <v>0</v>
      </c>
      <c r="N198" s="188">
        <f>IFERROR(__xludf.DUMMYFUNCTION("""COMPUTED_VALUE"""),1.0)</f>
        <v>1</v>
      </c>
      <c r="O198" s="208"/>
      <c r="P198" s="208"/>
      <c r="Q198" s="208"/>
      <c r="R198" s="208"/>
    </row>
    <row r="199">
      <c r="A199" s="185" t="str">
        <f>IFERROR(__xludf.DUMMYFUNCTION("""COMPUTED_VALUE"""),"Official partner / certification ecosystem")</f>
        <v>Official partner / certification ecosystem</v>
      </c>
      <c r="B199" s="186" t="str">
        <f>IFERROR(__xludf.DUMMYFUNCTION("""COMPUTED_VALUE"""),"https://cloud.google.com/find-a-partner/?search=marketing+agency")</f>
        <v>https://cloud.google.com/find-a-partner/?search=marketing+agency</v>
      </c>
      <c r="C199" s="185" t="str">
        <f>IFERROR(__xludf.DUMMYFUNCTION("""COMPUTED_VALUE"""),"Find a Partner - Partner Directory \| Google Cloud")</f>
        <v>Find a Partner - Partner Directory \| Google Cloud</v>
      </c>
      <c r="D199" s="185" t="str">
        <f>IFERROR(__xludf.DUMMYFUNCTION("""COMPUTED_VALUE"""),"US")</f>
        <v>US</v>
      </c>
      <c r="E199" s="185" t="str">
        <f>IFERROR(__xludf.DUMMYFUNCTION("""COMPUTED_VALUE"""),"google.com")</f>
        <v>google.com</v>
      </c>
      <c r="F199" s="185" t="str">
        <f>IFERROR(__xludf.DUMMYFUNCTION("""COMPUTED_VALUE"""),"Category Page")</f>
        <v>Category Page</v>
      </c>
      <c r="G199" s="185" t="str">
        <f>IFERROR(__xludf.DUMMYFUNCTION("""COMPUTED_VALUE"""),"OTHER")</f>
        <v>OTHER</v>
      </c>
      <c r="H199" s="185" t="str">
        <f>IFERROR(__xludf.DUMMYFUNCTION("""COMPUTED_VALUE"""),"No")</f>
        <v>No</v>
      </c>
      <c r="I199" s="185" t="str">
        <f>IFERROR(__xludf.DUMMYFUNCTION("""COMPUTED_VALUE"""),"High")</f>
        <v>High</v>
      </c>
      <c r="J199" s="185" t="str">
        <f>IFERROR(__xludf.DUMMYFUNCTION("""COMPUTED_VALUE"""),"Yes - priority")</f>
        <v>Yes - priority</v>
      </c>
      <c r="K199" s="185" t="str">
        <f>IFERROR(__xludf.DUMMYFUNCTION("""COMPUTED_VALUE"""),"DEPT")</f>
        <v>DEPT</v>
      </c>
      <c r="L199" s="187">
        <f>IFERROR(__xludf.DUMMYFUNCTION("""COMPUTED_VALUE"""),1.0)</f>
        <v>1</v>
      </c>
      <c r="M199" s="188">
        <f>IFERROR(__xludf.DUMMYFUNCTION("""COMPUTED_VALUE"""),0.0)</f>
        <v>0</v>
      </c>
      <c r="N199" s="188">
        <f>IFERROR(__xludf.DUMMYFUNCTION("""COMPUTED_VALUE"""),0.0)</f>
        <v>0</v>
      </c>
      <c r="O199" s="208"/>
      <c r="P199" s="208"/>
      <c r="Q199" s="208"/>
      <c r="R199" s="208"/>
    </row>
    <row r="200">
      <c r="A200" s="185" t="str">
        <f>IFERROR(__xludf.DUMMYFUNCTION("""COMPUTED_VALUE"""),"Agency directory / review marketplace")</f>
        <v>Agency directory / review marketplace</v>
      </c>
      <c r="B200" s="186" t="str">
        <f>IFERROR(__xludf.DUMMYFUNCTION("""COMPUTED_VALUE"""),"https://clutch.co/agencies/conversion-optimization/research")</f>
        <v>https://clutch.co/agencies/conversion-optimization/research</v>
      </c>
      <c r="C200" s="185" t="str">
        <f>IFERROR(__xludf.DUMMYFUNCTION("""COMPUTED_VALUE"""),"Top User &amp; Conversion Research Companies - Jul 2026 Rankings \| Clutch.co")</f>
        <v>Top User &amp; Conversion Research Companies - Jul 2026 Rankings \| Clutch.co</v>
      </c>
      <c r="D200" s="185" t="str">
        <f>IFERROR(__xludf.DUMMYFUNCTION("""COMPUTED_VALUE"""),"US")</f>
        <v>US</v>
      </c>
      <c r="E200" s="185" t="str">
        <f>IFERROR(__xludf.DUMMYFUNCTION("""COMPUTED_VALUE"""),"clutch.co")</f>
        <v>clutch.co</v>
      </c>
      <c r="F200" s="185" t="str">
        <f>IFERROR(__xludf.DUMMYFUNCTION("""COMPUTED_VALUE"""),"Category Page")</f>
        <v>Category Page</v>
      </c>
      <c r="G200" s="185" t="str">
        <f>IFERROR(__xludf.DUMMYFUNCTION("""COMPUTED_VALUE"""),"COMPETITOR")</f>
        <v>COMPETITOR</v>
      </c>
      <c r="H200" s="185" t="str">
        <f>IFERROR(__xludf.DUMMYFUNCTION("""COMPUTED_VALUE"""),"No")</f>
        <v>No</v>
      </c>
      <c r="I200" s="185" t="str">
        <f>IFERROR(__xludf.DUMMYFUNCTION("""COMPUTED_VALUE"""),"Medium")</f>
        <v>Medium</v>
      </c>
      <c r="J200" s="185" t="str">
        <f>IFERROR(__xludf.DUMMYFUNCTION("""COMPUTED_VALUE"""),"Yes")</f>
        <v>Yes</v>
      </c>
      <c r="K200" s="185" t="str">
        <f>IFERROR(__xludf.DUMMYFUNCTION("""COMPUTED_VALUE"""),"Clutch, Searchbloom, AdVenture Media, Huge")</f>
        <v>Clutch, Searchbloom, AdVenture Media, Huge</v>
      </c>
      <c r="L200" s="187">
        <f>IFERROR(__xludf.DUMMYFUNCTION("""COMPUTED_VALUE"""),1.0)</f>
        <v>1</v>
      </c>
      <c r="M200" s="188">
        <f>IFERROR(__xludf.DUMMYFUNCTION("""COMPUTED_VALUE"""),0.0)</f>
        <v>0</v>
      </c>
      <c r="N200" s="188">
        <f>IFERROR(__xludf.DUMMYFUNCTION("""COMPUTED_VALUE"""),0.0)</f>
        <v>0</v>
      </c>
      <c r="O200" s="208"/>
      <c r="P200" s="208"/>
      <c r="Q200" s="208"/>
      <c r="R200" s="208"/>
    </row>
    <row r="201">
      <c r="A201" s="185" t="str">
        <f>IFERROR(__xludf.DUMMYFUNCTION("""COMPUTED_VALUE"""),"Agency directory / review marketplace")</f>
        <v>Agency directory / review marketplace</v>
      </c>
      <c r="B201" s="186" t="str">
        <f>IFERROR(__xludf.DUMMYFUNCTION("""COMPUTED_VALUE"""),"https://clutch.co/agencies/media-buying")</f>
        <v>https://clutch.co/agencies/media-buying</v>
      </c>
      <c r="C201" s="185" t="str">
        <f>IFERROR(__xludf.DUMMYFUNCTION("""COMPUTED_VALUE"""),"Top Media Buying &amp;amp; Planning Agencies - Jul 2026 Rankings | Clutch.co")</f>
        <v>Top Media Buying &amp;amp; Planning Agencies - Jul 2026 Rankings | Clutch.co</v>
      </c>
      <c r="D201" s="185" t="str">
        <f>IFERROR(__xludf.DUMMYFUNCTION("""COMPUTED_VALUE"""),"US")</f>
        <v>US</v>
      </c>
      <c r="E201" s="185" t="str">
        <f>IFERROR(__xludf.DUMMYFUNCTION("""COMPUTED_VALUE"""),"clutch.co")</f>
        <v>clutch.co</v>
      </c>
      <c r="F201" s="185" t="str">
        <f>IFERROR(__xludf.DUMMYFUNCTION("""COMPUTED_VALUE"""),"Category Page")</f>
        <v>Category Page</v>
      </c>
      <c r="G201" s="185" t="str">
        <f>IFERROR(__xludf.DUMMYFUNCTION("""COMPUTED_VALUE"""),"COMPETITOR")</f>
        <v>COMPETITOR</v>
      </c>
      <c r="H201" s="185" t="str">
        <f>IFERROR(__xludf.DUMMYFUNCTION("""COMPUTED_VALUE"""),"No")</f>
        <v>No</v>
      </c>
      <c r="I201" s="185" t="str">
        <f>IFERROR(__xludf.DUMMYFUNCTION("""COMPUTED_VALUE"""),"Medium")</f>
        <v>Medium</v>
      </c>
      <c r="J201" s="185" t="str">
        <f>IFERROR(__xludf.DUMMYFUNCTION("""COMPUTED_VALUE"""),"Yes")</f>
        <v>Yes</v>
      </c>
      <c r="K201" s="185" t="str">
        <f>IFERROR(__xludf.DUMMYFUNCTION("""COMPUTED_VALUE"""),"Clutch, Momentum, Accelerated Digital Media")</f>
        <v>Clutch, Momentum, Accelerated Digital Media</v>
      </c>
      <c r="L201" s="187">
        <f>IFERROR(__xludf.DUMMYFUNCTION("""COMPUTED_VALUE"""),1.0)</f>
        <v>1</v>
      </c>
      <c r="M201" s="188">
        <f>IFERROR(__xludf.DUMMYFUNCTION("""COMPUTED_VALUE"""),0.0)</f>
        <v>0</v>
      </c>
      <c r="N201" s="188">
        <f>IFERROR(__xludf.DUMMYFUNCTION("""COMPUTED_VALUE"""),0.0)</f>
        <v>0</v>
      </c>
      <c r="O201" s="208"/>
      <c r="P201" s="208"/>
      <c r="Q201" s="208"/>
      <c r="R201" s="208"/>
    </row>
    <row r="202">
      <c r="A202" s="185" t="str">
        <f>IFERROR(__xludf.DUMMYFUNCTION("""COMPUTED_VALUE"""),"Agency directory / review marketplace")</f>
        <v>Agency directory / review marketplace</v>
      </c>
      <c r="B202" s="186" t="str">
        <f>IFERROR(__xludf.DUMMYFUNCTION("""COMPUTED_VALUE"""),"https://clutch.co/agencies/media-buying?page=0")</f>
        <v>https://clutch.co/agencies/media-buying?page=0</v>
      </c>
      <c r="C202" s="185" t="str">
        <f>IFERROR(__xludf.DUMMYFUNCTION("""COMPUTED_VALUE"""),"Top Media Buying &amp; Planning Agencies - Jul 2026 Rankings \| Clutch.co")</f>
        <v>Top Media Buying &amp; Planning Agencies - Jul 2026 Rankings \| Clutch.co</v>
      </c>
      <c r="D202" s="185" t="str">
        <f>IFERROR(__xludf.DUMMYFUNCTION("""COMPUTED_VALUE"""),"US")</f>
        <v>US</v>
      </c>
      <c r="E202" s="185" t="str">
        <f>IFERROR(__xludf.DUMMYFUNCTION("""COMPUTED_VALUE"""),"clutch.co")</f>
        <v>clutch.co</v>
      </c>
      <c r="F202" s="185" t="str">
        <f>IFERROR(__xludf.DUMMYFUNCTION("""COMPUTED_VALUE"""),"Profile")</f>
        <v>Profile</v>
      </c>
      <c r="G202" s="185" t="str">
        <f>IFERROR(__xludf.DUMMYFUNCTION("""COMPUTED_VALUE"""),"COMPETITOR")</f>
        <v>COMPETITOR</v>
      </c>
      <c r="H202" s="185" t="str">
        <f>IFERROR(__xludf.DUMMYFUNCTION("""COMPUTED_VALUE"""),"No")</f>
        <v>No</v>
      </c>
      <c r="I202" s="185" t="str">
        <f>IFERROR(__xludf.DUMMYFUNCTION("""COMPUTED_VALUE"""),"Medium")</f>
        <v>Medium</v>
      </c>
      <c r="J202" s="185" t="str">
        <f>IFERROR(__xludf.DUMMYFUNCTION("""COMPUTED_VALUE"""),"Yes")</f>
        <v>Yes</v>
      </c>
      <c r="K202" s="185" t="str">
        <f>IFERROR(__xludf.DUMMYFUNCTION("""COMPUTED_VALUE"""),"Clutch, Accelerated Digital Media, Major Tom, NP Digital, Tinuiti")</f>
        <v>Clutch, Accelerated Digital Media, Major Tom, NP Digital, Tinuiti</v>
      </c>
      <c r="L202" s="187">
        <f>IFERROR(__xludf.DUMMYFUNCTION("""COMPUTED_VALUE"""),1.0)</f>
        <v>1</v>
      </c>
      <c r="M202" s="188">
        <f>IFERROR(__xludf.DUMMYFUNCTION("""COMPUTED_VALUE"""),0.0)</f>
        <v>0</v>
      </c>
      <c r="N202" s="188">
        <f>IFERROR(__xludf.DUMMYFUNCTION("""COMPUTED_VALUE"""),0.0)</f>
        <v>0</v>
      </c>
      <c r="O202" s="208"/>
      <c r="P202" s="208"/>
      <c r="Q202" s="208"/>
      <c r="R202" s="208"/>
    </row>
    <row r="203">
      <c r="A203" s="185" t="str">
        <f>IFERROR(__xludf.DUMMYFUNCTION("""COMPUTED_VALUE"""),"Agency directory / review marketplace")</f>
        <v>Agency directory / review marketplace</v>
      </c>
      <c r="B203" s="186" t="str">
        <f>IFERROR(__xludf.DUMMYFUNCTION("""COMPUTED_VALUE"""),"https://clutch.co/agencies/ppc")</f>
        <v>https://clutch.co/agencies/ppc</v>
      </c>
      <c r="C203" s="185" t="str">
        <f>IFERROR(__xludf.DUMMYFUNCTION("""COMPUTED_VALUE"""),"Top PPC Agencies - Jul 2026 Rankings | Clutch.co")</f>
        <v>Top PPC Agencies - Jul 2026 Rankings | Clutch.co</v>
      </c>
      <c r="D203" s="185" t="str">
        <f>IFERROR(__xludf.DUMMYFUNCTION("""COMPUTED_VALUE"""),"US")</f>
        <v>US</v>
      </c>
      <c r="E203" s="185" t="str">
        <f>IFERROR(__xludf.DUMMYFUNCTION("""COMPUTED_VALUE"""),"clutch.co")</f>
        <v>clutch.co</v>
      </c>
      <c r="F203" s="185" t="str">
        <f>IFERROR(__xludf.DUMMYFUNCTION("""COMPUTED_VALUE"""),"Category Page")</f>
        <v>Category Page</v>
      </c>
      <c r="G203" s="185" t="str">
        <f>IFERROR(__xludf.DUMMYFUNCTION("""COMPUTED_VALUE"""),"COMPETITOR")</f>
        <v>COMPETITOR</v>
      </c>
      <c r="H203" s="185" t="str">
        <f>IFERROR(__xludf.DUMMYFUNCTION("""COMPUTED_VALUE"""),"No")</f>
        <v>No</v>
      </c>
      <c r="I203" s="185" t="str">
        <f>IFERROR(__xludf.DUMMYFUNCTION("""COMPUTED_VALUE"""),"Medium")</f>
        <v>Medium</v>
      </c>
      <c r="J203" s="185" t="str">
        <f>IFERROR(__xludf.DUMMYFUNCTION("""COMPUTED_VALUE"""),"Yes")</f>
        <v>Yes</v>
      </c>
      <c r="K203" s="185" t="str">
        <f>IFERROR(__xludf.DUMMYFUNCTION("""COMPUTED_VALUE"""),"Clutch, Disruptive Advertising, AdVenture Media, KlientBoost, Single Grain, SmartSites, HawkSEM, Intero Digital, Elit-Web, NinjaPromo")</f>
        <v>Clutch, Disruptive Advertising, AdVenture Media, KlientBoost, Single Grain, SmartSites, HawkSEM, Intero Digital, Elit-Web, NinjaPromo</v>
      </c>
      <c r="L203" s="187">
        <f>IFERROR(__xludf.DUMMYFUNCTION("""COMPUTED_VALUE"""),1.0)</f>
        <v>1</v>
      </c>
      <c r="M203" s="188">
        <f>IFERROR(__xludf.DUMMYFUNCTION("""COMPUTED_VALUE"""),0.0)</f>
        <v>0</v>
      </c>
      <c r="N203" s="188">
        <f>IFERROR(__xludf.DUMMYFUNCTION("""COMPUTED_VALUE"""),0.0)</f>
        <v>0</v>
      </c>
      <c r="O203" s="208"/>
      <c r="P203" s="208"/>
      <c r="Q203" s="208"/>
      <c r="R203" s="208"/>
    </row>
    <row r="204">
      <c r="A204" s="185" t="str">
        <f>IFERROR(__xludf.DUMMYFUNCTION("""COMPUTED_VALUE"""),"Agency directory / review marketplace")</f>
        <v>Agency directory / review marketplace</v>
      </c>
      <c r="B204" s="186" t="str">
        <f>IFERROR(__xludf.DUMMYFUNCTION("""COMPUTED_VALUE"""),"https://clutch.co/agencies/ppc/ecommerce-industry")</f>
        <v>https://clutch.co/agencies/ppc/ecommerce-industry</v>
      </c>
      <c r="C204" s="185" t="str">
        <f>IFERROR(__xludf.DUMMYFUNCTION("""COMPUTED_VALUE"""),"Top E-Commerce PPC Companies - Jul 2026 Rankings \| Clutch.co")</f>
        <v>Top E-Commerce PPC Companies - Jul 2026 Rankings \| Clutch.co</v>
      </c>
      <c r="D204" s="185" t="str">
        <f>IFERROR(__xludf.DUMMYFUNCTION("""COMPUTED_VALUE"""),"US")</f>
        <v>US</v>
      </c>
      <c r="E204" s="185" t="str">
        <f>IFERROR(__xludf.DUMMYFUNCTION("""COMPUTED_VALUE"""),"clutch.co")</f>
        <v>clutch.co</v>
      </c>
      <c r="F204" s="185" t="str">
        <f>IFERROR(__xludf.DUMMYFUNCTION("""COMPUTED_VALUE"""),"Category Page")</f>
        <v>Category Page</v>
      </c>
      <c r="G204" s="185" t="str">
        <f>IFERROR(__xludf.DUMMYFUNCTION("""COMPUTED_VALUE"""),"COMPETITOR")</f>
        <v>COMPETITOR</v>
      </c>
      <c r="H204" s="185" t="str">
        <f>IFERROR(__xludf.DUMMYFUNCTION("""COMPUTED_VALUE"""),"No")</f>
        <v>No</v>
      </c>
      <c r="I204" s="185" t="str">
        <f>IFERROR(__xludf.DUMMYFUNCTION("""COMPUTED_VALUE"""),"Medium")</f>
        <v>Medium</v>
      </c>
      <c r="J204" s="185" t="str">
        <f>IFERROR(__xludf.DUMMYFUNCTION("""COMPUTED_VALUE"""),"Yes")</f>
        <v>Yes</v>
      </c>
      <c r="K204" s="185" t="str">
        <f>IFERROR(__xludf.DUMMYFUNCTION("""COMPUTED_VALUE"""),"Clutch, Disruptive Advertising, KlientBoost, NinjaPromo, AdVenture Media, Elit-Web, HawkSEM, SmartSites, Intero Digital, Storm Brain")</f>
        <v>Clutch, Disruptive Advertising, KlientBoost, NinjaPromo, AdVenture Media, Elit-Web, HawkSEM, SmartSites, Intero Digital, Storm Brain</v>
      </c>
      <c r="L204" s="187">
        <f>IFERROR(__xludf.DUMMYFUNCTION("""COMPUTED_VALUE"""),1.0)</f>
        <v>1</v>
      </c>
      <c r="M204" s="188">
        <f>IFERROR(__xludf.DUMMYFUNCTION("""COMPUTED_VALUE"""),0.0)</f>
        <v>0</v>
      </c>
      <c r="N204" s="188">
        <f>IFERROR(__xludf.DUMMYFUNCTION("""COMPUTED_VALUE"""),0.0)</f>
        <v>0</v>
      </c>
      <c r="O204" s="208"/>
      <c r="P204" s="208"/>
      <c r="Q204" s="208"/>
      <c r="R204" s="208"/>
    </row>
    <row r="205">
      <c r="A205" s="185" t="str">
        <f>IFERROR(__xludf.DUMMYFUNCTION("""COMPUTED_VALUE"""),"Agency directory / review marketplace")</f>
        <v>Agency directory / review marketplace</v>
      </c>
      <c r="B205" s="186" t="str">
        <f>IFERROR(__xludf.DUMMYFUNCTION("""COMPUTED_VALUE"""),"https://clutch.co/agencies/programmatic#:~:text=Version2%20is%20an%20advertising%20agency%20specializing%20in,of%20reviewers%20highlighting%20their%20professionalism%20and%20commitment.")</f>
        <v>https://clutch.co/agencies/programmatic#:~:text=Version2%20is%20an%20advertising%20agency%20specializing%20in,of%20reviewers%20highlighting%20their%20professionalism%20and%20commitment.</v>
      </c>
      <c r="C205" s="185" t="str">
        <f>IFERROR(__xludf.DUMMYFUNCTION("""COMPUTED_VALUE"""),"Top Programmatic Advertising Companies - Jul 2026 Rankings | Clutch.co")</f>
        <v>Top Programmatic Advertising Companies - Jul 2026 Rankings | Clutch.co</v>
      </c>
      <c r="D205" s="185" t="str">
        <f>IFERROR(__xludf.DUMMYFUNCTION("""COMPUTED_VALUE"""),"US")</f>
        <v>US</v>
      </c>
      <c r="E205" s="185" t="str">
        <f>IFERROR(__xludf.DUMMYFUNCTION("""COMPUTED_VALUE"""),"clutch.co")</f>
        <v>clutch.co</v>
      </c>
      <c r="F205" s="185" t="str">
        <f>IFERROR(__xludf.DUMMYFUNCTION("""COMPUTED_VALUE"""),"Listicle")</f>
        <v>Listicle</v>
      </c>
      <c r="G205" s="185" t="str">
        <f>IFERROR(__xludf.DUMMYFUNCTION("""COMPUTED_VALUE"""),"COMPETITOR")</f>
        <v>COMPETITOR</v>
      </c>
      <c r="H205" s="185" t="str">
        <f>IFERROR(__xludf.DUMMYFUNCTION("""COMPUTED_VALUE"""),"No")</f>
        <v>No</v>
      </c>
      <c r="I205" s="185" t="str">
        <f>IFERROR(__xludf.DUMMYFUNCTION("""COMPUTED_VALUE"""),"Medium")</f>
        <v>Medium</v>
      </c>
      <c r="J205" s="185" t="str">
        <f>IFERROR(__xludf.DUMMYFUNCTION("""COMPUTED_VALUE"""),"Yes")</f>
        <v>Yes</v>
      </c>
      <c r="K205" s="185" t="str">
        <f>IFERROR(__xludf.DUMMYFUNCTION("""COMPUTED_VALUE"""),"Clutch, NinjaPromo, SmartSites, Funnel Boost Media, LYFE Marketing, AdVenture Media, The SEO Works, Accelerated Digital Media, Storm Brain")</f>
        <v>Clutch, NinjaPromo, SmartSites, Funnel Boost Media, LYFE Marketing, AdVenture Media, The SEO Works, Accelerated Digital Media, Storm Brain</v>
      </c>
      <c r="L205" s="187">
        <f>IFERROR(__xludf.DUMMYFUNCTION("""COMPUTED_VALUE"""),1.0)</f>
        <v>1</v>
      </c>
      <c r="M205" s="188">
        <f>IFERROR(__xludf.DUMMYFUNCTION("""COMPUTED_VALUE"""),0.0)</f>
        <v>0</v>
      </c>
      <c r="N205" s="188">
        <f>IFERROR(__xludf.DUMMYFUNCTION("""COMPUTED_VALUE"""),2.0)</f>
        <v>2</v>
      </c>
      <c r="O205" s="208"/>
      <c r="P205" s="208"/>
      <c r="Q205" s="208"/>
      <c r="R205" s="208"/>
    </row>
    <row r="206">
      <c r="A206" s="185" t="str">
        <f>IFERROR(__xludf.DUMMYFUNCTION("""COMPUTED_VALUE"""),"Agency directory / review marketplace")</f>
        <v>Agency directory / review marketplace</v>
      </c>
      <c r="B206" s="186" t="str">
        <f>IFERROR(__xludf.DUMMYFUNCTION("""COMPUTED_VALUE"""),"https://clutch.co/profile/mutesix")</f>
        <v>https://clutch.co/profile/mutesix</v>
      </c>
      <c r="C206" s="185" t="str">
        <f>IFERROR(__xludf.DUMMYFUNCTION("""COMPUTED_VALUE"""),"MuteSix Reviews (10), Pricing, Services &amp; Verified Ratings")</f>
        <v>MuteSix Reviews (10), Pricing, Services &amp; Verified Ratings</v>
      </c>
      <c r="D206" s="185" t="str">
        <f>IFERROR(__xludf.DUMMYFUNCTION("""COMPUTED_VALUE"""),"US")</f>
        <v>US</v>
      </c>
      <c r="E206" s="185" t="str">
        <f>IFERROR(__xludf.DUMMYFUNCTION("""COMPUTED_VALUE"""),"clutch.co")</f>
        <v>clutch.co</v>
      </c>
      <c r="F206" s="185" t="str">
        <f>IFERROR(__xludf.DUMMYFUNCTION("""COMPUTED_VALUE"""),"Profile")</f>
        <v>Profile</v>
      </c>
      <c r="G206" s="185" t="str">
        <f>IFERROR(__xludf.DUMMYFUNCTION("""COMPUTED_VALUE"""),"COMPETITOR")</f>
        <v>COMPETITOR</v>
      </c>
      <c r="H206" s="185" t="str">
        <f>IFERROR(__xludf.DUMMYFUNCTION("""COMPUTED_VALUE"""),"No")</f>
        <v>No</v>
      </c>
      <c r="I206" s="185" t="str">
        <f>IFERROR(__xludf.DUMMYFUNCTION("""COMPUTED_VALUE"""),"Medium")</f>
        <v>Medium</v>
      </c>
      <c r="J206" s="185" t="str">
        <f>IFERROR(__xludf.DUMMYFUNCTION("""COMPUTED_VALUE"""),"Yes")</f>
        <v>Yes</v>
      </c>
      <c r="K206" s="185" t="str">
        <f>IFERROR(__xludf.DUMMYFUNCTION("""COMPUTED_VALUE"""),"Clutch, MuteSix")</f>
        <v>Clutch, MuteSix</v>
      </c>
      <c r="L206" s="187">
        <f>IFERROR(__xludf.DUMMYFUNCTION("""COMPUTED_VALUE"""),1.0)</f>
        <v>1</v>
      </c>
      <c r="M206" s="188">
        <f>IFERROR(__xludf.DUMMYFUNCTION("""COMPUTED_VALUE"""),0.0)</f>
        <v>0</v>
      </c>
      <c r="N206" s="188">
        <f>IFERROR(__xludf.DUMMYFUNCTION("""COMPUTED_VALUE"""),1.0)</f>
        <v>1</v>
      </c>
      <c r="O206" s="208"/>
      <c r="P206" s="208"/>
      <c r="Q206" s="208"/>
      <c r="R206" s="208"/>
    </row>
    <row r="207">
      <c r="A207" s="185" t="str">
        <f>IFERROR(__xludf.DUMMYFUNCTION("""COMPUTED_VALUE"""),"Agency directory / review marketplace")</f>
        <v>Agency directory / review marketplace</v>
      </c>
      <c r="B207" s="186" t="str">
        <f>IFERROR(__xludf.DUMMYFUNCTION("""COMPUTED_VALUE"""),"https://clutch.co/us/agencies/branding")</f>
        <v>https://clutch.co/us/agencies/branding</v>
      </c>
      <c r="C207" s="185" t="str">
        <f>IFERROR(__xludf.DUMMYFUNCTION("""COMPUTED_VALUE"""),"Top Branding Agencies in the United States - Jul 2026 Rankings | Clutch.co")</f>
        <v>Top Branding Agencies in the United States - Jul 2026 Rankings | Clutch.co</v>
      </c>
      <c r="D207" s="185" t="str">
        <f>IFERROR(__xludf.DUMMYFUNCTION("""COMPUTED_VALUE"""),"US")</f>
        <v>US</v>
      </c>
      <c r="E207" s="185" t="str">
        <f>IFERROR(__xludf.DUMMYFUNCTION("""COMPUTED_VALUE"""),"clutch.co")</f>
        <v>clutch.co</v>
      </c>
      <c r="F207" s="185" t="str">
        <f>IFERROR(__xludf.DUMMYFUNCTION("""COMPUTED_VALUE"""),"Category Page")</f>
        <v>Category Page</v>
      </c>
      <c r="G207" s="185" t="str">
        <f>IFERROR(__xludf.DUMMYFUNCTION("""COMPUTED_VALUE"""),"COMPETITOR")</f>
        <v>COMPETITOR</v>
      </c>
      <c r="H207" s="185" t="str">
        <f>IFERROR(__xludf.DUMMYFUNCTION("""COMPUTED_VALUE"""),"No")</f>
        <v>No</v>
      </c>
      <c r="I207" s="185" t="str">
        <f>IFERROR(__xludf.DUMMYFUNCTION("""COMPUTED_VALUE"""),"Medium")</f>
        <v>Medium</v>
      </c>
      <c r="J207" s="185" t="str">
        <f>IFERROR(__xludf.DUMMYFUNCTION("""COMPUTED_VALUE"""),"Yes")</f>
        <v>Yes</v>
      </c>
      <c r="K207" s="185" t="str">
        <f>IFERROR(__xludf.DUMMYFUNCTION("""COMPUTED_VALUE"""),"Clutch, Clay, Huge")</f>
        <v>Clutch, Clay, Huge</v>
      </c>
      <c r="L207" s="187">
        <f>IFERROR(__xludf.DUMMYFUNCTION("""COMPUTED_VALUE"""),1.0)</f>
        <v>1</v>
      </c>
      <c r="M207" s="188">
        <f>IFERROR(__xludf.DUMMYFUNCTION("""COMPUTED_VALUE"""),0.0)</f>
        <v>0</v>
      </c>
      <c r="N207" s="188">
        <f>IFERROR(__xludf.DUMMYFUNCTION("""COMPUTED_VALUE"""),0.0)</f>
        <v>0</v>
      </c>
      <c r="O207" s="208"/>
      <c r="P207" s="208"/>
      <c r="Q207" s="208"/>
      <c r="R207" s="208"/>
    </row>
    <row r="208">
      <c r="A208" s="185" t="str">
        <f>IFERROR(__xludf.DUMMYFUNCTION("""COMPUTED_VALUE"""),"Agency directory / review marketplace")</f>
        <v>Agency directory / review marketplace</v>
      </c>
      <c r="B208" s="186" t="str">
        <f>IFERROR(__xludf.DUMMYFUNCTION("""COMPUTED_VALUE"""),"https://clutch.co/us/agencies/business-services-industry?page=1")</f>
        <v>https://clutch.co/us/agencies/business-services-industry?page=1</v>
      </c>
      <c r="C208" s="185" t="str">
        <f>IFERROR(__xludf.DUMMYFUNCTION("""COMPUTED_VALUE"""),"Page 2 - Top Advertising Agencies for B2B in the United States - Jul 2026 Rankings \| Clutch.co")</f>
        <v>Page 2 - Top Advertising Agencies for B2B in the United States - Jul 2026 Rankings \| Clutch.co</v>
      </c>
      <c r="D208" s="185" t="str">
        <f>IFERROR(__xludf.DUMMYFUNCTION("""COMPUTED_VALUE"""),"US")</f>
        <v>US</v>
      </c>
      <c r="E208" s="185" t="str">
        <f>IFERROR(__xludf.DUMMYFUNCTION("""COMPUTED_VALUE"""),"clutch.co")</f>
        <v>clutch.co</v>
      </c>
      <c r="F208" s="185" t="str">
        <f>IFERROR(__xludf.DUMMYFUNCTION("""COMPUTED_VALUE"""),"Category Page")</f>
        <v>Category Page</v>
      </c>
      <c r="G208" s="185" t="str">
        <f>IFERROR(__xludf.DUMMYFUNCTION("""COMPUTED_VALUE"""),"COMPETITOR")</f>
        <v>COMPETITOR</v>
      </c>
      <c r="H208" s="185" t="str">
        <f>IFERROR(__xludf.DUMMYFUNCTION("""COMPUTED_VALUE"""),"No")</f>
        <v>No</v>
      </c>
      <c r="I208" s="185" t="str">
        <f>IFERROR(__xludf.DUMMYFUNCTION("""COMPUTED_VALUE"""),"Medium")</f>
        <v>Medium</v>
      </c>
      <c r="J208" s="185" t="str">
        <f>IFERROR(__xludf.DUMMYFUNCTION("""COMPUTED_VALUE"""),"Yes")</f>
        <v>Yes</v>
      </c>
      <c r="K208" s="185" t="str">
        <f>IFERROR(__xludf.DUMMYFUNCTION("""COMPUTED_VALUE"""),"Clutch, NinjaPromo, Power Digital, Huge, Directive")</f>
        <v>Clutch, NinjaPromo, Power Digital, Huge, Directive</v>
      </c>
      <c r="L208" s="187">
        <f>IFERROR(__xludf.DUMMYFUNCTION("""COMPUTED_VALUE"""),1.0)</f>
        <v>1</v>
      </c>
      <c r="M208" s="188">
        <f>IFERROR(__xludf.DUMMYFUNCTION("""COMPUTED_VALUE"""),0.0)</f>
        <v>0</v>
      </c>
      <c r="N208" s="188">
        <f>IFERROR(__xludf.DUMMYFUNCTION("""COMPUTED_VALUE"""),0.0)</f>
        <v>0</v>
      </c>
      <c r="O208" s="208"/>
      <c r="P208" s="208"/>
      <c r="Q208" s="208"/>
      <c r="R208" s="208"/>
    </row>
    <row r="209">
      <c r="A209" s="185" t="str">
        <f>IFERROR(__xludf.DUMMYFUNCTION("""COMPUTED_VALUE"""),"Agency directory / review marketplace")</f>
        <v>Agency directory / review marketplace</v>
      </c>
      <c r="B209" s="186" t="str">
        <f>IFERROR(__xludf.DUMMYFUNCTION("""COMPUTED_VALUE"""),"https://clutch.co/us/agencies/digital-marketing/small-business#:~:text=%2410%2C000%2B%20250%20%2D%20999.%20San%20Diego%2C%20CA.,execution%2C%20strong%20communication%2C%20and%20impressive%20project%20management.")</f>
        <v>https://clutch.co/us/agencies/digital-marketing/small-business#:~:text=%2410%2C000%2B%20250%20%2D%20999.%20San%20Diego%2C%20CA.,execution%2C%20strong%20communication%2C%20and%20impressive%20project%20management.</v>
      </c>
      <c r="C209" s="185" t="str">
        <f>IFERROR(__xludf.DUMMYFUNCTION("""COMPUTED_VALUE"""),"Top Digital Marketing Agencies for Small Business in the United States - Jul 2026 Rankings \| Clutch.co")</f>
        <v>Top Digital Marketing Agencies for Small Business in the United States - Jul 2026 Rankings \| Clutch.co</v>
      </c>
      <c r="D209" s="185" t="str">
        <f>IFERROR(__xludf.DUMMYFUNCTION("""COMPUTED_VALUE"""),"US")</f>
        <v>US</v>
      </c>
      <c r="E209" s="185" t="str">
        <f>IFERROR(__xludf.DUMMYFUNCTION("""COMPUTED_VALUE"""),"clutch.co")</f>
        <v>clutch.co</v>
      </c>
      <c r="F209" s="185" t="str">
        <f>IFERROR(__xludf.DUMMYFUNCTION("""COMPUTED_VALUE"""),"Other")</f>
        <v>Other</v>
      </c>
      <c r="G209" s="185" t="str">
        <f>IFERROR(__xludf.DUMMYFUNCTION("""COMPUTED_VALUE"""),"COMPETITOR")</f>
        <v>COMPETITOR</v>
      </c>
      <c r="H209" s="185" t="str">
        <f>IFERROR(__xludf.DUMMYFUNCTION("""COMPUTED_VALUE"""),"No")</f>
        <v>No</v>
      </c>
      <c r="I209" s="185" t="str">
        <f>IFERROR(__xludf.DUMMYFUNCTION("""COMPUTED_VALUE"""),"Medium")</f>
        <v>Medium</v>
      </c>
      <c r="J209" s="185" t="str">
        <f>IFERROR(__xludf.DUMMYFUNCTION("""COMPUTED_VALUE"""),"Yes")</f>
        <v>Yes</v>
      </c>
      <c r="K209" s="185" t="str">
        <f>IFERROR(__xludf.DUMMYFUNCTION("""COMPUTED_VALUE"""),"Clutch, Thrive Internet Marketing Agency, Intero Digital, Disruptive Advertising, Ignite Visibility, Elit-Web, NinjaPromo, SmartSites, HawkSEM, Acadia")</f>
        <v>Clutch, Thrive Internet Marketing Agency, Intero Digital, Disruptive Advertising, Ignite Visibility, Elit-Web, NinjaPromo, SmartSites, HawkSEM, Acadia</v>
      </c>
      <c r="L209" s="187">
        <f>IFERROR(__xludf.DUMMYFUNCTION("""COMPUTED_VALUE"""),1.0)</f>
        <v>1</v>
      </c>
      <c r="M209" s="188">
        <f>IFERROR(__xludf.DUMMYFUNCTION("""COMPUTED_VALUE"""),0.0)</f>
        <v>0</v>
      </c>
      <c r="N209" s="188">
        <f>IFERROR(__xludf.DUMMYFUNCTION("""COMPUTED_VALUE"""),1.0)</f>
        <v>1</v>
      </c>
      <c r="O209" s="208"/>
      <c r="P209" s="208"/>
      <c r="Q209" s="208"/>
      <c r="R209" s="208"/>
    </row>
    <row r="210">
      <c r="A210" s="185" t="str">
        <f>IFERROR(__xludf.DUMMYFUNCTION("""COMPUTED_VALUE"""),"Agency directory / review marketplace")</f>
        <v>Agency directory / review marketplace</v>
      </c>
      <c r="B210" s="186" t="str">
        <f>IFERROR(__xludf.DUMMYFUNCTION("""COMPUTED_VALUE"""),"https://clutch.co/us/agencies/market-research/shopper-marketing")</f>
        <v>https://clutch.co/us/agencies/market-research/shopper-marketing</v>
      </c>
      <c r="C210" s="185" t="str">
        <f>IFERROR(__xludf.DUMMYFUNCTION("""COMPUTED_VALUE"""),"Top Shopper Marketing Agencies in the United States - Jul 2026 Rankings \| Clutch.co")</f>
        <v>Top Shopper Marketing Agencies in the United States - Jul 2026 Rankings \| Clutch.co</v>
      </c>
      <c r="D210" s="185" t="str">
        <f>IFERROR(__xludf.DUMMYFUNCTION("""COMPUTED_VALUE"""),"US")</f>
        <v>US</v>
      </c>
      <c r="E210" s="185" t="str">
        <f>IFERROR(__xludf.DUMMYFUNCTION("""COMPUTED_VALUE"""),"clutch.co")</f>
        <v>clutch.co</v>
      </c>
      <c r="F210" s="185" t="str">
        <f>IFERROR(__xludf.DUMMYFUNCTION("""COMPUTED_VALUE"""),"Category Page")</f>
        <v>Category Page</v>
      </c>
      <c r="G210" s="185" t="str">
        <f>IFERROR(__xludf.DUMMYFUNCTION("""COMPUTED_VALUE"""),"COMPETITOR")</f>
        <v>COMPETITOR</v>
      </c>
      <c r="H210" s="185" t="str">
        <f>IFERROR(__xludf.DUMMYFUNCTION("""COMPUTED_VALUE"""),"No")</f>
        <v>No</v>
      </c>
      <c r="I210" s="185" t="str">
        <f>IFERROR(__xludf.DUMMYFUNCTION("""COMPUTED_VALUE"""),"Medium")</f>
        <v>Medium</v>
      </c>
      <c r="J210" s="185" t="str">
        <f>IFERROR(__xludf.DUMMYFUNCTION("""COMPUTED_VALUE"""),"Yes")</f>
        <v>Yes</v>
      </c>
      <c r="K210" s="185" t="str">
        <f>IFERROR(__xludf.DUMMYFUNCTION("""COMPUTED_VALUE"""),"Clutch, Epsilon, VML, Circana")</f>
        <v>Clutch, Epsilon, VML, Circana</v>
      </c>
      <c r="L210" s="187">
        <f>IFERROR(__xludf.DUMMYFUNCTION("""COMPUTED_VALUE"""),1.0)</f>
        <v>1</v>
      </c>
      <c r="M210" s="188">
        <f>IFERROR(__xludf.DUMMYFUNCTION("""COMPUTED_VALUE"""),0.0)</f>
        <v>0</v>
      </c>
      <c r="N210" s="188">
        <f>IFERROR(__xludf.DUMMYFUNCTION("""COMPUTED_VALUE"""),0.0)</f>
        <v>0</v>
      </c>
      <c r="O210" s="208"/>
      <c r="P210" s="208"/>
      <c r="Q210" s="208"/>
      <c r="R210" s="208"/>
    </row>
    <row r="211">
      <c r="A211" s="185" t="str">
        <f>IFERROR(__xludf.DUMMYFUNCTION("""COMPUTED_VALUE"""),"Agency directory / review marketplace")</f>
        <v>Agency directory / review marketplace</v>
      </c>
      <c r="B211" s="186" t="str">
        <f>IFERROR(__xludf.DUMMYFUNCTION("""COMPUTED_VALUE"""),"https://clutch.co/us/agencies/ppc/display%3Fpage%3D6")</f>
        <v>https://clutch.co/us/agencies/ppc/display%3Fpage%3D6</v>
      </c>
      <c r="C211" s="185" t="str">
        <f>IFERROR(__xludf.DUMMYFUNCTION("""COMPUTED_VALUE"""),"Top Display Advertising Agencies in the United States - Jul 2026 Rankings | Clutch.co")</f>
        <v>Top Display Advertising Agencies in the United States - Jul 2026 Rankings | Clutch.co</v>
      </c>
      <c r="D211" s="185" t="str">
        <f>IFERROR(__xludf.DUMMYFUNCTION("""COMPUTED_VALUE"""),"US")</f>
        <v>US</v>
      </c>
      <c r="E211" s="185" t="str">
        <f>IFERROR(__xludf.DUMMYFUNCTION("""COMPUTED_VALUE"""),"clutch.co")</f>
        <v>clutch.co</v>
      </c>
      <c r="F211" s="185" t="str">
        <f>IFERROR(__xludf.DUMMYFUNCTION("""COMPUTED_VALUE"""),"Product Page")</f>
        <v>Product Page</v>
      </c>
      <c r="G211" s="185" t="str">
        <f>IFERROR(__xludf.DUMMYFUNCTION("""COMPUTED_VALUE"""),"COMPETITOR")</f>
        <v>COMPETITOR</v>
      </c>
      <c r="H211" s="185" t="str">
        <f>IFERROR(__xludf.DUMMYFUNCTION("""COMPUTED_VALUE"""),"No")</f>
        <v>No</v>
      </c>
      <c r="I211" s="185" t="str">
        <f>IFERROR(__xludf.DUMMYFUNCTION("""COMPUTED_VALUE"""),"Medium")</f>
        <v>Medium</v>
      </c>
      <c r="J211" s="185" t="str">
        <f>IFERROR(__xludf.DUMMYFUNCTION("""COMPUTED_VALUE"""),"Yes")</f>
        <v>Yes</v>
      </c>
      <c r="K211" s="185" t="str">
        <f>IFERROR(__xludf.DUMMYFUNCTION("""COMPUTED_VALUE"""),"Clutch, Elit-Web, AdVenture Media, Storm Brain")</f>
        <v>Clutch, Elit-Web, AdVenture Media, Storm Brain</v>
      </c>
      <c r="L211" s="187">
        <f>IFERROR(__xludf.DUMMYFUNCTION("""COMPUTED_VALUE"""),1.0)</f>
        <v>1</v>
      </c>
      <c r="M211" s="188">
        <f>IFERROR(__xludf.DUMMYFUNCTION("""COMPUTED_VALUE"""),0.0)</f>
        <v>0</v>
      </c>
      <c r="N211" s="188">
        <f>IFERROR(__xludf.DUMMYFUNCTION("""COMPUTED_VALUE"""),0.0)</f>
        <v>0</v>
      </c>
      <c r="O211" s="208"/>
      <c r="P211" s="208"/>
      <c r="Q211" s="208"/>
      <c r="R211" s="208"/>
    </row>
    <row r="212">
      <c r="A212" s="185" t="str">
        <f>IFERROR(__xludf.DUMMYFUNCTION("""COMPUTED_VALUE"""),"Agency directory / review marketplace")</f>
        <v>Agency directory / review marketplace</v>
      </c>
      <c r="B212" s="186" t="str">
        <f>IFERROR(__xludf.DUMMYFUNCTION("""COMPUTED_VALUE"""),"https://clutch.co/us/agencies/ppc/display%3Fpage%3D8")</f>
        <v>https://clutch.co/us/agencies/ppc/display%3Fpage%3D8</v>
      </c>
      <c r="C212" s="185" t="str">
        <f>IFERROR(__xludf.DUMMYFUNCTION("""COMPUTED_VALUE"""),"Top Display Advertising Agencies in the United States - Jul 2026 Rankings \| Clutch.co")</f>
        <v>Top Display Advertising Agencies in the United States - Jul 2026 Rankings \| Clutch.co</v>
      </c>
      <c r="D212" s="185" t="str">
        <f>IFERROR(__xludf.DUMMYFUNCTION("""COMPUTED_VALUE"""),"US")</f>
        <v>US</v>
      </c>
      <c r="E212" s="185" t="str">
        <f>IFERROR(__xludf.DUMMYFUNCTION("""COMPUTED_VALUE"""),"clutch.co")</f>
        <v>clutch.co</v>
      </c>
      <c r="F212" s="185" t="str">
        <f>IFERROR(__xludf.DUMMYFUNCTION("""COMPUTED_VALUE"""),"Category Page")</f>
        <v>Category Page</v>
      </c>
      <c r="G212" s="185" t="str">
        <f>IFERROR(__xludf.DUMMYFUNCTION("""COMPUTED_VALUE"""),"COMPETITOR")</f>
        <v>COMPETITOR</v>
      </c>
      <c r="H212" s="185" t="str">
        <f>IFERROR(__xludf.DUMMYFUNCTION("""COMPUTED_VALUE"""),"No")</f>
        <v>No</v>
      </c>
      <c r="I212" s="185" t="str">
        <f>IFERROR(__xludf.DUMMYFUNCTION("""COMPUTED_VALUE"""),"Medium")</f>
        <v>Medium</v>
      </c>
      <c r="J212" s="185" t="str">
        <f>IFERROR(__xludf.DUMMYFUNCTION("""COMPUTED_VALUE"""),"Yes")</f>
        <v>Yes</v>
      </c>
      <c r="K212" s="185" t="str">
        <f>IFERROR(__xludf.DUMMYFUNCTION("""COMPUTED_VALUE"""),"Clutch, Elit-Web, AdVenture Media, Storm Brain")</f>
        <v>Clutch, Elit-Web, AdVenture Media, Storm Brain</v>
      </c>
      <c r="L212" s="187">
        <f>IFERROR(__xludf.DUMMYFUNCTION("""COMPUTED_VALUE"""),1.0)</f>
        <v>1</v>
      </c>
      <c r="M212" s="188">
        <f>IFERROR(__xludf.DUMMYFUNCTION("""COMPUTED_VALUE"""),0.0)</f>
        <v>0</v>
      </c>
      <c r="N212" s="188">
        <f>IFERROR(__xludf.DUMMYFUNCTION("""COMPUTED_VALUE"""),0.0)</f>
        <v>0</v>
      </c>
      <c r="O212" s="208"/>
      <c r="P212" s="208"/>
      <c r="Q212" s="208"/>
      <c r="R212" s="208"/>
    </row>
    <row r="213">
      <c r="A213" s="185" t="str">
        <f>IFERROR(__xludf.DUMMYFUNCTION("""COMPUTED_VALUE"""),"Agency directory / review marketplace")</f>
        <v>Agency directory / review marketplace</v>
      </c>
      <c r="B213" s="186" t="str">
        <f>IFERROR(__xludf.DUMMYFUNCTION("""COMPUTED_VALUE"""),"https://clutch.co/us/agencies/ppc/display?page=10")</f>
        <v>https://clutch.co/us/agencies/ppc/display?page=10</v>
      </c>
      <c r="C213" s="185" t="str">
        <f>IFERROR(__xludf.DUMMYFUNCTION("""COMPUTED_VALUE"""),"Page 10 - Top Display Advertising Agencies in the United States - Jul 2026 Rankings | Clutch.co")</f>
        <v>Page 10 - Top Display Advertising Agencies in the United States - Jul 2026 Rankings | Clutch.co</v>
      </c>
      <c r="D213" s="185" t="str">
        <f>IFERROR(__xludf.DUMMYFUNCTION("""COMPUTED_VALUE"""),"US")</f>
        <v>US</v>
      </c>
      <c r="E213" s="185" t="str">
        <f>IFERROR(__xludf.DUMMYFUNCTION("""COMPUTED_VALUE"""),"clutch.co")</f>
        <v>clutch.co</v>
      </c>
      <c r="F213" s="185" t="str">
        <f>IFERROR(__xludf.DUMMYFUNCTION("""COMPUTED_VALUE"""),"Other")</f>
        <v>Other</v>
      </c>
      <c r="G213" s="185" t="str">
        <f>IFERROR(__xludf.DUMMYFUNCTION("""COMPUTED_VALUE"""),"COMPETITOR")</f>
        <v>COMPETITOR</v>
      </c>
      <c r="H213" s="185" t="str">
        <f>IFERROR(__xludf.DUMMYFUNCTION("""COMPUTED_VALUE"""),"No")</f>
        <v>No</v>
      </c>
      <c r="I213" s="185" t="str">
        <f>IFERROR(__xludf.DUMMYFUNCTION("""COMPUTED_VALUE"""),"Medium")</f>
        <v>Medium</v>
      </c>
      <c r="J213" s="185" t="str">
        <f>IFERROR(__xludf.DUMMYFUNCTION("""COMPUTED_VALUE"""),"Yes")</f>
        <v>Yes</v>
      </c>
      <c r="K213" s="185" t="str">
        <f>IFERROR(__xludf.DUMMYFUNCTION("""COMPUTED_VALUE"""),"Clutch, Elit-Web, AdVenture Media, Go Fish Digital, Storm Brain, NoGood, Tinuiti")</f>
        <v>Clutch, Elit-Web, AdVenture Media, Go Fish Digital, Storm Brain, NoGood, Tinuiti</v>
      </c>
      <c r="L213" s="187">
        <f>IFERROR(__xludf.DUMMYFUNCTION("""COMPUTED_VALUE"""),1.0)</f>
        <v>1</v>
      </c>
      <c r="M213" s="188">
        <f>IFERROR(__xludf.DUMMYFUNCTION("""COMPUTED_VALUE"""),0.0)</f>
        <v>0</v>
      </c>
      <c r="N213" s="188">
        <f>IFERROR(__xludf.DUMMYFUNCTION("""COMPUTED_VALUE"""),0.0)</f>
        <v>0</v>
      </c>
      <c r="O213" s="208"/>
      <c r="P213" s="208"/>
      <c r="Q213" s="208"/>
      <c r="R213" s="208"/>
    </row>
    <row r="214">
      <c r="A214" s="185" t="str">
        <f>IFERROR(__xludf.DUMMYFUNCTION("""COMPUTED_VALUE"""),"Agency directory / review marketplace")</f>
        <v>Agency directory / review marketplace</v>
      </c>
      <c r="B214" s="186" t="str">
        <f>IFERROR(__xludf.DUMMYFUNCTION("""COMPUTED_VALUE"""),"https://clutch.co/us/agencies/ppc/display?page=16")</f>
        <v>https://clutch.co/us/agencies/ppc/display?page=16</v>
      </c>
      <c r="C214" s="185" t="str">
        <f>IFERROR(__xludf.DUMMYFUNCTION("""COMPUTED_VALUE"""),"Page 16 - Top Display Advertising Agencies in the United States - Jul 2026 Rankings \| Clutch.co")</f>
        <v>Page 16 - Top Display Advertising Agencies in the United States - Jul 2026 Rankings \| Clutch.co</v>
      </c>
      <c r="D214" s="185" t="str">
        <f>IFERROR(__xludf.DUMMYFUNCTION("""COMPUTED_VALUE"""),"US")</f>
        <v>US</v>
      </c>
      <c r="E214" s="185" t="str">
        <f>IFERROR(__xludf.DUMMYFUNCTION("""COMPUTED_VALUE"""),"clutch.co")</f>
        <v>clutch.co</v>
      </c>
      <c r="F214" s="185" t="str">
        <f>IFERROR(__xludf.DUMMYFUNCTION("""COMPUTED_VALUE"""),"Category Page")</f>
        <v>Category Page</v>
      </c>
      <c r="G214" s="185" t="str">
        <f>IFERROR(__xludf.DUMMYFUNCTION("""COMPUTED_VALUE"""),"COMPETITOR")</f>
        <v>COMPETITOR</v>
      </c>
      <c r="H214" s="185" t="str">
        <f>IFERROR(__xludf.DUMMYFUNCTION("""COMPUTED_VALUE"""),"No")</f>
        <v>No</v>
      </c>
      <c r="I214" s="185" t="str">
        <f>IFERROR(__xludf.DUMMYFUNCTION("""COMPUTED_VALUE"""),"Medium")</f>
        <v>Medium</v>
      </c>
      <c r="J214" s="185" t="str">
        <f>IFERROR(__xludf.DUMMYFUNCTION("""COMPUTED_VALUE"""),"Yes")</f>
        <v>Yes</v>
      </c>
      <c r="K214" s="185" t="str">
        <f>IFERROR(__xludf.DUMMYFUNCTION("""COMPUTED_VALUE"""),"Clutch, Elit-Web, AdVenture Media, Storm Brain, Huge, Go Fish Digital, NoGood, Tinuiti")</f>
        <v>Clutch, Elit-Web, AdVenture Media, Storm Brain, Huge, Go Fish Digital, NoGood, Tinuiti</v>
      </c>
      <c r="L214" s="187">
        <f>IFERROR(__xludf.DUMMYFUNCTION("""COMPUTED_VALUE"""),1.0)</f>
        <v>1</v>
      </c>
      <c r="M214" s="188">
        <f>IFERROR(__xludf.DUMMYFUNCTION("""COMPUTED_VALUE"""),0.0)</f>
        <v>0</v>
      </c>
      <c r="N214" s="188">
        <f>IFERROR(__xludf.DUMMYFUNCTION("""COMPUTED_VALUE"""),0.0)</f>
        <v>0</v>
      </c>
      <c r="O214" s="208"/>
      <c r="P214" s="208"/>
      <c r="Q214" s="208"/>
      <c r="R214" s="208"/>
    </row>
    <row r="215">
      <c r="A215" s="185" t="str">
        <f>IFERROR(__xludf.DUMMYFUNCTION("""COMPUTED_VALUE"""),"Agency directory / review marketplace")</f>
        <v>Agency directory / review marketplace</v>
      </c>
      <c r="B215" s="186" t="str">
        <f>IFERROR(__xludf.DUMMYFUNCTION("""COMPUTED_VALUE"""),"https://clutch.co/us/agencies/ppc/ecommerce-industry")</f>
        <v>https://clutch.co/us/agencies/ppc/ecommerce-industry</v>
      </c>
      <c r="C215" s="185" t="str">
        <f>IFERROR(__xludf.DUMMYFUNCTION("""COMPUTED_VALUE"""),"Top PPC Agencies for E-Commerce Companies in the United States - Jul 2026 Rankings | Clutch.co")</f>
        <v>Top PPC Agencies for E-Commerce Companies in the United States - Jul 2026 Rankings | Clutch.co</v>
      </c>
      <c r="D215" s="185" t="str">
        <f>IFERROR(__xludf.DUMMYFUNCTION("""COMPUTED_VALUE"""),"US")</f>
        <v>US</v>
      </c>
      <c r="E215" s="185" t="str">
        <f>IFERROR(__xludf.DUMMYFUNCTION("""COMPUTED_VALUE"""),"clutch.co")</f>
        <v>clutch.co</v>
      </c>
      <c r="F215" s="185" t="str">
        <f>IFERROR(__xludf.DUMMYFUNCTION("""COMPUTED_VALUE"""),"Category Page")</f>
        <v>Category Page</v>
      </c>
      <c r="G215" s="185" t="str">
        <f>IFERROR(__xludf.DUMMYFUNCTION("""COMPUTED_VALUE"""),"COMPETITOR")</f>
        <v>COMPETITOR</v>
      </c>
      <c r="H215" s="185" t="str">
        <f>IFERROR(__xludf.DUMMYFUNCTION("""COMPUTED_VALUE"""),"No")</f>
        <v>No</v>
      </c>
      <c r="I215" s="185" t="str">
        <f>IFERROR(__xludf.DUMMYFUNCTION("""COMPUTED_VALUE"""),"Medium")</f>
        <v>Medium</v>
      </c>
      <c r="J215" s="185" t="str">
        <f>IFERROR(__xludf.DUMMYFUNCTION("""COMPUTED_VALUE"""),"Yes")</f>
        <v>Yes</v>
      </c>
      <c r="K215" s="185" t="str">
        <f>IFERROR(__xludf.DUMMYFUNCTION("""COMPUTED_VALUE"""),"Clutch, KlientBoost, Disruptive Advertising, AdVenture Media, Elit-Web, HawkSEM, SmartSites, Intero Digital, Storm Brain, Acadia")</f>
        <v>Clutch, KlientBoost, Disruptive Advertising, AdVenture Media, Elit-Web, HawkSEM, SmartSites, Intero Digital, Storm Brain, Acadia</v>
      </c>
      <c r="L215" s="187">
        <f>IFERROR(__xludf.DUMMYFUNCTION("""COMPUTED_VALUE"""),1.0)</f>
        <v>1</v>
      </c>
      <c r="M215" s="188">
        <f>IFERROR(__xludf.DUMMYFUNCTION("""COMPUTED_VALUE"""),0.0)</f>
        <v>0</v>
      </c>
      <c r="N215" s="188">
        <f>IFERROR(__xludf.DUMMYFUNCTION("""COMPUTED_VALUE"""),1.0)</f>
        <v>1</v>
      </c>
      <c r="O215" s="208"/>
      <c r="P215" s="208"/>
      <c r="Q215" s="208"/>
      <c r="R215" s="208"/>
    </row>
    <row r="216">
      <c r="A216" s="185" t="str">
        <f>IFERROR(__xludf.DUMMYFUNCTION("""COMPUTED_VALUE"""),"Agency directory / review marketplace")</f>
        <v>Agency directory / review marketplace</v>
      </c>
      <c r="B216" s="186" t="str">
        <f>IFERROR(__xludf.DUMMYFUNCTION("""COMPUTED_VALUE"""),"https://clutch.co/us/agencies/ppc/google-adwords%3Fpage%3D16")</f>
        <v>https://clutch.co/us/agencies/ppc/google-adwords%3Fpage%3D16</v>
      </c>
      <c r="C216" s="185" t="str">
        <f>IFERROR(__xludf.DUMMYFUNCTION("""COMPUTED_VALUE"""),"Top Adwords PPC Agencies in the United States - Jul 2026 Rankings \| Clutch.co")</f>
        <v>Top Adwords PPC Agencies in the United States - Jul 2026 Rankings \| Clutch.co</v>
      </c>
      <c r="D216" s="185" t="str">
        <f>IFERROR(__xludf.DUMMYFUNCTION("""COMPUTED_VALUE"""),"US")</f>
        <v>US</v>
      </c>
      <c r="E216" s="185" t="str">
        <f>IFERROR(__xludf.DUMMYFUNCTION("""COMPUTED_VALUE"""),"clutch.co")</f>
        <v>clutch.co</v>
      </c>
      <c r="F216" s="185" t="str">
        <f>IFERROR(__xludf.DUMMYFUNCTION("""COMPUTED_VALUE"""),"Category Page")</f>
        <v>Category Page</v>
      </c>
      <c r="G216" s="185" t="str">
        <f>IFERROR(__xludf.DUMMYFUNCTION("""COMPUTED_VALUE"""),"COMPETITOR")</f>
        <v>COMPETITOR</v>
      </c>
      <c r="H216" s="185" t="str">
        <f>IFERROR(__xludf.DUMMYFUNCTION("""COMPUTED_VALUE"""),"No")</f>
        <v>No</v>
      </c>
      <c r="I216" s="185" t="str">
        <f>IFERROR(__xludf.DUMMYFUNCTION("""COMPUTED_VALUE"""),"Medium")</f>
        <v>Medium</v>
      </c>
      <c r="J216" s="185" t="str">
        <f>IFERROR(__xludf.DUMMYFUNCTION("""COMPUTED_VALUE"""),"Yes")</f>
        <v>Yes</v>
      </c>
      <c r="K216" s="185" t="str">
        <f>IFERROR(__xludf.DUMMYFUNCTION("""COMPUTED_VALUE"""),"Clutch, KlientBoost, Disruptive Advertising, AdVenture Media, HawkSEM, SmartSites, Intero Digital, Elit-Web, Accelerated Digital Media, Ignite Visibility, Searchbloom, Funnel Boost Media")</f>
        <v>Clutch, KlientBoost, Disruptive Advertising, AdVenture Media, HawkSEM, SmartSites, Intero Digital, Elit-Web, Accelerated Digital Media, Ignite Visibility, Searchbloom, Funnel Boost Media</v>
      </c>
      <c r="L216" s="187">
        <f>IFERROR(__xludf.DUMMYFUNCTION("""COMPUTED_VALUE"""),1.0)</f>
        <v>1</v>
      </c>
      <c r="M216" s="188">
        <f>IFERROR(__xludf.DUMMYFUNCTION("""COMPUTED_VALUE"""),0.0)</f>
        <v>0</v>
      </c>
      <c r="N216" s="188">
        <f>IFERROR(__xludf.DUMMYFUNCTION("""COMPUTED_VALUE"""),0.0)</f>
        <v>0</v>
      </c>
      <c r="O216" s="208"/>
      <c r="P216" s="208"/>
      <c r="Q216" s="208"/>
      <c r="R216" s="208"/>
    </row>
    <row r="217">
      <c r="A217" s="185" t="str">
        <f>IFERROR(__xludf.DUMMYFUNCTION("""COMPUTED_VALUE"""),"Agency directory / review marketplace")</f>
        <v>Agency directory / review marketplace</v>
      </c>
      <c r="B217" s="186" t="str">
        <f>IFERROR(__xludf.DUMMYFUNCTION("""COMPUTED_VALUE"""),"https://clutch.co/us/agencies/programmatic%3Fpage%3D2")</f>
        <v>https://clutch.co/us/agencies/programmatic%3Fpage%3D2</v>
      </c>
      <c r="C217" s="185" t="str">
        <f>IFERROR(__xludf.DUMMYFUNCTION("""COMPUTED_VALUE"""),"Top Programmatic Advertising Agencies in the United States - Jul 2026 Rankings \| Clutch.co")</f>
        <v>Top Programmatic Advertising Agencies in the United States - Jul 2026 Rankings \| Clutch.co</v>
      </c>
      <c r="D217" s="185" t="str">
        <f>IFERROR(__xludf.DUMMYFUNCTION("""COMPUTED_VALUE"""),"US")</f>
        <v>US</v>
      </c>
      <c r="E217" s="185" t="str">
        <f>IFERROR(__xludf.DUMMYFUNCTION("""COMPUTED_VALUE"""),"clutch.co")</f>
        <v>clutch.co</v>
      </c>
      <c r="F217" s="185" t="str">
        <f>IFERROR(__xludf.DUMMYFUNCTION("""COMPUTED_VALUE"""),"Category Page")</f>
        <v>Category Page</v>
      </c>
      <c r="G217" s="185" t="str">
        <f>IFERROR(__xludf.DUMMYFUNCTION("""COMPUTED_VALUE"""),"COMPETITOR")</f>
        <v>COMPETITOR</v>
      </c>
      <c r="H217" s="185" t="str">
        <f>IFERROR(__xludf.DUMMYFUNCTION("""COMPUTED_VALUE"""),"No")</f>
        <v>No</v>
      </c>
      <c r="I217" s="185" t="str">
        <f>IFERROR(__xludf.DUMMYFUNCTION("""COMPUTED_VALUE"""),"Medium")</f>
        <v>Medium</v>
      </c>
      <c r="J217" s="185" t="str">
        <f>IFERROR(__xludf.DUMMYFUNCTION("""COMPUTED_VALUE"""),"Yes")</f>
        <v>Yes</v>
      </c>
      <c r="K217" s="185" t="str">
        <f>IFERROR(__xludf.DUMMYFUNCTION("""COMPUTED_VALUE"""),"Clutch, SmartSites, Funnel Boost Media, LYFE Marketing, AdVenture Media, Accelerated Digital Media, Storm Brain")</f>
        <v>Clutch, SmartSites, Funnel Boost Media, LYFE Marketing, AdVenture Media, Accelerated Digital Media, Storm Brain</v>
      </c>
      <c r="L217" s="187">
        <f>IFERROR(__xludf.DUMMYFUNCTION("""COMPUTED_VALUE"""),1.0)</f>
        <v>1</v>
      </c>
      <c r="M217" s="188">
        <f>IFERROR(__xludf.DUMMYFUNCTION("""COMPUTED_VALUE"""),0.0)</f>
        <v>0</v>
      </c>
      <c r="N217" s="188">
        <f>IFERROR(__xludf.DUMMYFUNCTION("""COMPUTED_VALUE"""),0.0)</f>
        <v>0</v>
      </c>
      <c r="O217" s="208"/>
      <c r="P217" s="208"/>
      <c r="Q217" s="208"/>
      <c r="R217" s="208"/>
    </row>
    <row r="218">
      <c r="A218" s="185" t="str">
        <f>IFERROR(__xludf.DUMMYFUNCTION("""COMPUTED_VALUE"""),"Agency directory / review marketplace")</f>
        <v>Agency directory / review marketplace</v>
      </c>
      <c r="B218" s="186" t="str">
        <f>IFERROR(__xludf.DUMMYFUNCTION("""COMPUTED_VALUE"""),"https://clutch.co/us/agencies/programmatic%3Fpage%3D3")</f>
        <v>https://clutch.co/us/agencies/programmatic%3Fpage%3D3</v>
      </c>
      <c r="C218" s="185" t="str">
        <f>IFERROR(__xludf.DUMMYFUNCTION("""COMPUTED_VALUE"""),"Top Programmatic Advertising Agencies in the United States - Jul 2026 Rankings \| Clutch.co")</f>
        <v>Top Programmatic Advertising Agencies in the United States - Jul 2026 Rankings \| Clutch.co</v>
      </c>
      <c r="D218" s="185" t="str">
        <f>IFERROR(__xludf.DUMMYFUNCTION("""COMPUTED_VALUE"""),"US")</f>
        <v>US</v>
      </c>
      <c r="E218" s="185" t="str">
        <f>IFERROR(__xludf.DUMMYFUNCTION("""COMPUTED_VALUE"""),"clutch.co")</f>
        <v>clutch.co</v>
      </c>
      <c r="F218" s="185" t="str">
        <f>IFERROR(__xludf.DUMMYFUNCTION("""COMPUTED_VALUE"""),"Category Page")</f>
        <v>Category Page</v>
      </c>
      <c r="G218" s="185" t="str">
        <f>IFERROR(__xludf.DUMMYFUNCTION("""COMPUTED_VALUE"""),"COMPETITOR")</f>
        <v>COMPETITOR</v>
      </c>
      <c r="H218" s="185" t="str">
        <f>IFERROR(__xludf.DUMMYFUNCTION("""COMPUTED_VALUE"""),"No")</f>
        <v>No</v>
      </c>
      <c r="I218" s="185" t="str">
        <f>IFERROR(__xludf.DUMMYFUNCTION("""COMPUTED_VALUE"""),"Medium")</f>
        <v>Medium</v>
      </c>
      <c r="J218" s="185" t="str">
        <f>IFERROR(__xludf.DUMMYFUNCTION("""COMPUTED_VALUE"""),"Yes")</f>
        <v>Yes</v>
      </c>
      <c r="K218" s="185" t="str">
        <f>IFERROR(__xludf.DUMMYFUNCTION("""COMPUTED_VALUE"""),"Clutch, SmartSites, Funnel Boost Media, LYFE Marketing, AdVenture Media, Accelerated Digital Media, Storm Brain")</f>
        <v>Clutch, SmartSites, Funnel Boost Media, LYFE Marketing, AdVenture Media, Accelerated Digital Media, Storm Brain</v>
      </c>
      <c r="L218" s="187">
        <f>IFERROR(__xludf.DUMMYFUNCTION("""COMPUTED_VALUE"""),1.0)</f>
        <v>1</v>
      </c>
      <c r="M218" s="188">
        <f>IFERROR(__xludf.DUMMYFUNCTION("""COMPUTED_VALUE"""),0.0)</f>
        <v>0</v>
      </c>
      <c r="N218" s="188">
        <f>IFERROR(__xludf.DUMMYFUNCTION("""COMPUTED_VALUE"""),0.0)</f>
        <v>0</v>
      </c>
      <c r="O218" s="208"/>
      <c r="P218" s="208"/>
      <c r="Q218" s="208"/>
      <c r="R218" s="208"/>
    </row>
    <row r="219">
      <c r="A219" s="185" t="str">
        <f>IFERROR(__xludf.DUMMYFUNCTION("""COMPUTED_VALUE"""),"Agency directory / review marketplace")</f>
        <v>Agency directory / review marketplace</v>
      </c>
      <c r="B219" s="186" t="str">
        <f>IFERROR(__xludf.DUMMYFUNCTION("""COMPUTED_VALUE"""),"https://clutch.co/us/agencies/programmatic%3Fpage%3D7")</f>
        <v>https://clutch.co/us/agencies/programmatic%3Fpage%3D7</v>
      </c>
      <c r="C219" s="185" t="str">
        <f>IFERROR(__xludf.DUMMYFUNCTION("""COMPUTED_VALUE"""),"Top Programmatic Advertising Agencies in the United States - Jul 2026 Rankings \| Clutch.co")</f>
        <v>Top Programmatic Advertising Agencies in the United States - Jul 2026 Rankings \| Clutch.co</v>
      </c>
      <c r="D219" s="185" t="str">
        <f>IFERROR(__xludf.DUMMYFUNCTION("""COMPUTED_VALUE"""),"US")</f>
        <v>US</v>
      </c>
      <c r="E219" s="185" t="str">
        <f>IFERROR(__xludf.DUMMYFUNCTION("""COMPUTED_VALUE"""),"clutch.co")</f>
        <v>clutch.co</v>
      </c>
      <c r="F219" s="185" t="str">
        <f>IFERROR(__xludf.DUMMYFUNCTION("""COMPUTED_VALUE"""),"Category Page")</f>
        <v>Category Page</v>
      </c>
      <c r="G219" s="185" t="str">
        <f>IFERROR(__xludf.DUMMYFUNCTION("""COMPUTED_VALUE"""),"COMPETITOR")</f>
        <v>COMPETITOR</v>
      </c>
      <c r="H219" s="185" t="str">
        <f>IFERROR(__xludf.DUMMYFUNCTION("""COMPUTED_VALUE"""),"No")</f>
        <v>No</v>
      </c>
      <c r="I219" s="185" t="str">
        <f>IFERROR(__xludf.DUMMYFUNCTION("""COMPUTED_VALUE"""),"Medium")</f>
        <v>Medium</v>
      </c>
      <c r="J219" s="185" t="str">
        <f>IFERROR(__xludf.DUMMYFUNCTION("""COMPUTED_VALUE"""),"Yes")</f>
        <v>Yes</v>
      </c>
      <c r="K219" s="185" t="str">
        <f>IFERROR(__xludf.DUMMYFUNCTION("""COMPUTED_VALUE"""),"Clutch, SmartSites, Funnel Boost Media, LYFE Marketing, AdVenture Media, Accelerated Digital Media, Storm Brain")</f>
        <v>Clutch, SmartSites, Funnel Boost Media, LYFE Marketing, AdVenture Media, Accelerated Digital Media, Storm Brain</v>
      </c>
      <c r="L219" s="187">
        <f>IFERROR(__xludf.DUMMYFUNCTION("""COMPUTED_VALUE"""),1.0)</f>
        <v>1</v>
      </c>
      <c r="M219" s="188">
        <f>IFERROR(__xludf.DUMMYFUNCTION("""COMPUTED_VALUE"""),0.0)</f>
        <v>0</v>
      </c>
      <c r="N219" s="188">
        <f>IFERROR(__xludf.DUMMYFUNCTION("""COMPUTED_VALUE"""),0.0)</f>
        <v>0</v>
      </c>
      <c r="O219" s="208"/>
      <c r="P219" s="208"/>
      <c r="Q219" s="208"/>
      <c r="R219" s="208"/>
    </row>
    <row r="220">
      <c r="A220" s="185" t="str">
        <f>IFERROR(__xludf.DUMMYFUNCTION("""COMPUTED_VALUE"""),"Agency directory / review marketplace")</f>
        <v>Agency directory / review marketplace</v>
      </c>
      <c r="B220" s="186" t="str">
        <f>IFERROR(__xludf.DUMMYFUNCTION("""COMPUTED_VALUE"""),"https://clutch.co/us/agencies/social-media-marketing/influencer/tiktok")</f>
        <v>https://clutch.co/us/agencies/social-media-marketing/influencer/tiktok</v>
      </c>
      <c r="C220" s="185" t="str">
        <f>IFERROR(__xludf.DUMMYFUNCTION("""COMPUTED_VALUE"""),"Top TikTok Influencer Marketing Agencies in the United States - Jul 2026 Rankings \| Clutch.co")</f>
        <v>Top TikTok Influencer Marketing Agencies in the United States - Jul 2026 Rankings \| Clutch.co</v>
      </c>
      <c r="D220" s="185" t="str">
        <f>IFERROR(__xludf.DUMMYFUNCTION("""COMPUTED_VALUE"""),"US")</f>
        <v>US</v>
      </c>
      <c r="E220" s="185" t="str">
        <f>IFERROR(__xludf.DUMMYFUNCTION("""COMPUTED_VALUE"""),"clutch.co")</f>
        <v>clutch.co</v>
      </c>
      <c r="F220" s="185" t="str">
        <f>IFERROR(__xludf.DUMMYFUNCTION("""COMPUTED_VALUE"""),"Category Page")</f>
        <v>Category Page</v>
      </c>
      <c r="G220" s="185" t="str">
        <f>IFERROR(__xludf.DUMMYFUNCTION("""COMPUTED_VALUE"""),"COMPETITOR")</f>
        <v>COMPETITOR</v>
      </c>
      <c r="H220" s="185" t="str">
        <f>IFERROR(__xludf.DUMMYFUNCTION("""COMPUTED_VALUE"""),"No")</f>
        <v>No</v>
      </c>
      <c r="I220" s="185" t="str">
        <f>IFERROR(__xludf.DUMMYFUNCTION("""COMPUTED_VALUE"""),"Medium")</f>
        <v>Medium</v>
      </c>
      <c r="J220" s="185" t="str">
        <f>IFERROR(__xludf.DUMMYFUNCTION("""COMPUTED_VALUE"""),"Yes")</f>
        <v>Yes</v>
      </c>
      <c r="K220" s="185" t="str">
        <f>IFERROR(__xludf.DUMMYFUNCTION("""COMPUTED_VALUE"""),"Clutch, SmartSites, Sociallyin, Elit-Web, Acadia, Disruptive Advertising, Brighter Click, AdVenture Media, Measured")</f>
        <v>Clutch, SmartSites, Sociallyin, Elit-Web, Acadia, Disruptive Advertising, Brighter Click, AdVenture Media, Measured</v>
      </c>
      <c r="L220" s="187">
        <f>IFERROR(__xludf.DUMMYFUNCTION("""COMPUTED_VALUE"""),1.0)</f>
        <v>1</v>
      </c>
      <c r="M220" s="188">
        <f>IFERROR(__xludf.DUMMYFUNCTION("""COMPUTED_VALUE"""),0.0)</f>
        <v>0</v>
      </c>
      <c r="N220" s="188">
        <f>IFERROR(__xludf.DUMMYFUNCTION("""COMPUTED_VALUE"""),0.0)</f>
        <v>0</v>
      </c>
      <c r="O220" s="208"/>
      <c r="P220" s="208"/>
      <c r="Q220" s="208"/>
      <c r="R220" s="208"/>
    </row>
    <row r="221">
      <c r="A221" s="185" t="str">
        <f>IFERROR(__xludf.DUMMYFUNCTION("""COMPUTED_VALUE"""),"Agency directory / review marketplace")</f>
        <v>Agency directory / review marketplace</v>
      </c>
      <c r="B221" s="186" t="str">
        <f>IFERROR(__xludf.DUMMYFUNCTION("""COMPUTED_VALUE"""),"https://clutch.co/us/agencies/social-media-marketing/tik-tok")</f>
        <v>https://clutch.co/us/agencies/social-media-marketing/tik-tok</v>
      </c>
      <c r="C221" s="185" t="str">
        <f>IFERROR(__xludf.DUMMYFUNCTION("""COMPUTED_VALUE"""),"Top TikTok Advertising Agencies in the United States - Jul 2026 Rankings \| Clutch.co")</f>
        <v>Top TikTok Advertising Agencies in the United States - Jul 2026 Rankings \| Clutch.co</v>
      </c>
      <c r="D221" s="185" t="str">
        <f>IFERROR(__xludf.DUMMYFUNCTION("""COMPUTED_VALUE"""),"US")</f>
        <v>US</v>
      </c>
      <c r="E221" s="185" t="str">
        <f>IFERROR(__xludf.DUMMYFUNCTION("""COMPUTED_VALUE"""),"clutch.co")</f>
        <v>clutch.co</v>
      </c>
      <c r="F221" s="185" t="str">
        <f>IFERROR(__xludf.DUMMYFUNCTION("""COMPUTED_VALUE"""),"Category Page")</f>
        <v>Category Page</v>
      </c>
      <c r="G221" s="185" t="str">
        <f>IFERROR(__xludf.DUMMYFUNCTION("""COMPUTED_VALUE"""),"COMPETITOR")</f>
        <v>COMPETITOR</v>
      </c>
      <c r="H221" s="185" t="str">
        <f>IFERROR(__xludf.DUMMYFUNCTION("""COMPUTED_VALUE"""),"No")</f>
        <v>No</v>
      </c>
      <c r="I221" s="185" t="str">
        <f>IFERROR(__xludf.DUMMYFUNCTION("""COMPUTED_VALUE"""),"Medium")</f>
        <v>Medium</v>
      </c>
      <c r="J221" s="185" t="str">
        <f>IFERROR(__xludf.DUMMYFUNCTION("""COMPUTED_VALUE"""),"Yes")</f>
        <v>Yes</v>
      </c>
      <c r="K221" s="185" t="str">
        <f>IFERROR(__xludf.DUMMYFUNCTION("""COMPUTED_VALUE"""),"Clutch, Sociallyin, Elit-Web, SmartSites, Viral Nation, Acadia, HawkSEM, Momentum, Accelerated Digital Media")</f>
        <v>Clutch, Sociallyin, Elit-Web, SmartSites, Viral Nation, Acadia, HawkSEM, Momentum, Accelerated Digital Media</v>
      </c>
      <c r="L221" s="187">
        <f>IFERROR(__xludf.DUMMYFUNCTION("""COMPUTED_VALUE"""),1.0)</f>
        <v>1</v>
      </c>
      <c r="M221" s="188">
        <f>IFERROR(__xludf.DUMMYFUNCTION("""COMPUTED_VALUE"""),0.0)</f>
        <v>0</v>
      </c>
      <c r="N221" s="188">
        <f>IFERROR(__xludf.DUMMYFUNCTION("""COMPUTED_VALUE"""),6.0)</f>
        <v>6</v>
      </c>
      <c r="O221" s="208"/>
      <c r="P221" s="208"/>
      <c r="Q221" s="208"/>
      <c r="R221" s="208"/>
    </row>
    <row r="222">
      <c r="A222" s="185" t="str">
        <f>IFERROR(__xludf.DUMMYFUNCTION("""COMPUTED_VALUE"""),"Agency directory / review marketplace")</f>
        <v>Agency directory / review marketplace</v>
      </c>
      <c r="B222" s="186" t="str">
        <f>IFERROR(__xludf.DUMMYFUNCTION("""COMPUTED_VALUE"""),"https://clutch.co/us/consulting/ai/maturation?page=6")</f>
        <v>https://clutch.co/us/consulting/ai/maturation?page=6</v>
      </c>
      <c r="C222" s="185" t="str">
        <f>IFERROR(__xludf.DUMMYFUNCTION("""COMPUTED_VALUE"""),"Page 6 - Top AI Maturation Services in the United States - Jul 2026 Rankings | Clutch.co")</f>
        <v>Page 6 - Top AI Maturation Services in the United States - Jul 2026 Rankings | Clutch.co</v>
      </c>
      <c r="D222" s="185" t="str">
        <f>IFERROR(__xludf.DUMMYFUNCTION("""COMPUTED_VALUE"""),"US")</f>
        <v>US</v>
      </c>
      <c r="E222" s="185" t="str">
        <f>IFERROR(__xludf.DUMMYFUNCTION("""COMPUTED_VALUE"""),"clutch.co")</f>
        <v>clutch.co</v>
      </c>
      <c r="F222" s="185" t="str">
        <f>IFERROR(__xludf.DUMMYFUNCTION("""COMPUTED_VALUE"""),"Category Page")</f>
        <v>Category Page</v>
      </c>
      <c r="G222" s="185" t="str">
        <f>IFERROR(__xludf.DUMMYFUNCTION("""COMPUTED_VALUE"""),"COMPETITOR")</f>
        <v>COMPETITOR</v>
      </c>
      <c r="H222" s="185" t="str">
        <f>IFERROR(__xludf.DUMMYFUNCTION("""COMPUTED_VALUE"""),"No")</f>
        <v>No</v>
      </c>
      <c r="I222" s="185" t="str">
        <f>IFERROR(__xludf.DUMMYFUNCTION("""COMPUTED_VALUE"""),"Medium")</f>
        <v>Medium</v>
      </c>
      <c r="J222" s="185" t="str">
        <f>IFERROR(__xludf.DUMMYFUNCTION("""COMPUTED_VALUE"""),"Yes")</f>
        <v>Yes</v>
      </c>
      <c r="K222" s="185" t="str">
        <f>IFERROR(__xludf.DUMMYFUNCTION("""COMPUTED_VALUE"""),"Clutch, Go Fish Digital")</f>
        <v>Clutch, Go Fish Digital</v>
      </c>
      <c r="L222" s="187">
        <f>IFERROR(__xludf.DUMMYFUNCTION("""COMPUTED_VALUE"""),1.0)</f>
        <v>1</v>
      </c>
      <c r="M222" s="188">
        <f>IFERROR(__xludf.DUMMYFUNCTION("""COMPUTED_VALUE"""),0.0)</f>
        <v>0</v>
      </c>
      <c r="N222" s="188">
        <f>IFERROR(__xludf.DUMMYFUNCTION("""COMPUTED_VALUE"""),0.0)</f>
        <v>0</v>
      </c>
      <c r="O222" s="208"/>
      <c r="P222" s="208"/>
      <c r="Q222" s="208"/>
      <c r="R222" s="208"/>
    </row>
    <row r="223">
      <c r="A223" s="185" t="str">
        <f>IFERROR(__xludf.DUMMYFUNCTION("""COMPUTED_VALUE"""),"Agency directory / review marketplace")</f>
        <v>Agency directory / review marketplace</v>
      </c>
      <c r="B223" s="186" t="str">
        <f>IFERROR(__xludf.DUMMYFUNCTION("""COMPUTED_VALUE"""),"https://clutch.co/us/developers/artificial-intelligence")</f>
        <v>https://clutch.co/us/developers/artificial-intelligence</v>
      </c>
      <c r="C223" s="185" t="str">
        <f>IFERROR(__xludf.DUMMYFUNCTION("""COMPUTED_VALUE"""),"Top Artificial Intelligence Companies in the United States - Jul 2026 Rankings | Clutch.co")</f>
        <v>Top Artificial Intelligence Companies in the United States - Jul 2026 Rankings | Clutch.co</v>
      </c>
      <c r="D223" s="185" t="str">
        <f>IFERROR(__xludf.DUMMYFUNCTION("""COMPUTED_VALUE"""),"US")</f>
        <v>US</v>
      </c>
      <c r="E223" s="185" t="str">
        <f>IFERROR(__xludf.DUMMYFUNCTION("""COMPUTED_VALUE"""),"clutch.co")</f>
        <v>clutch.co</v>
      </c>
      <c r="F223" s="185" t="str">
        <f>IFERROR(__xludf.DUMMYFUNCTION("""COMPUTED_VALUE"""),"Category Page")</f>
        <v>Category Page</v>
      </c>
      <c r="G223" s="185" t="str">
        <f>IFERROR(__xludf.DUMMYFUNCTION("""COMPUTED_VALUE"""),"COMPETITOR")</f>
        <v>COMPETITOR</v>
      </c>
      <c r="H223" s="185" t="str">
        <f>IFERROR(__xludf.DUMMYFUNCTION("""COMPUTED_VALUE"""),"No")</f>
        <v>No</v>
      </c>
      <c r="I223" s="185" t="str">
        <f>IFERROR(__xludf.DUMMYFUNCTION("""COMPUTED_VALUE"""),"Medium")</f>
        <v>Medium</v>
      </c>
      <c r="J223" s="185" t="str">
        <f>IFERROR(__xludf.DUMMYFUNCTION("""COMPUTED_VALUE"""),"Yes")</f>
        <v>Yes</v>
      </c>
      <c r="K223" s="185" t="str">
        <f>IFERROR(__xludf.DUMMYFUNCTION("""COMPUTED_VALUE"""),"Clutch, Momentum, Huge")</f>
        <v>Clutch, Momentum, Huge</v>
      </c>
      <c r="L223" s="187">
        <f>IFERROR(__xludf.DUMMYFUNCTION("""COMPUTED_VALUE"""),1.0)</f>
        <v>1</v>
      </c>
      <c r="M223" s="188">
        <f>IFERROR(__xludf.DUMMYFUNCTION("""COMPUTED_VALUE"""),0.0)</f>
        <v>0</v>
      </c>
      <c r="N223" s="188">
        <f>IFERROR(__xludf.DUMMYFUNCTION("""COMPUTED_VALUE"""),0.0)</f>
        <v>0</v>
      </c>
      <c r="O223" s="208"/>
      <c r="P223" s="208"/>
      <c r="Q223" s="208"/>
      <c r="R223" s="208"/>
    </row>
    <row r="224">
      <c r="A224" s="185" t="str">
        <f>IFERROR(__xludf.DUMMYFUNCTION("""COMPUTED_VALUE"""),"Agency directory / review marketplace")</f>
        <v>Agency directory / review marketplace</v>
      </c>
      <c r="B224" s="186" t="str">
        <f>IFERROR(__xludf.DUMMYFUNCTION("""COMPUTED_VALUE"""),"https://clutch.co/us/seo-firms")</f>
        <v>https://clutch.co/us/seo-firms</v>
      </c>
      <c r="C224" s="185" t="str">
        <f>IFERROR(__xludf.DUMMYFUNCTION("""COMPUTED_VALUE"""),"Top SEO Agencies in the United States - Jul 2026 Rankings \| Clutch.co")</f>
        <v>Top SEO Agencies in the United States - Jul 2026 Rankings \| Clutch.co</v>
      </c>
      <c r="D224" s="185" t="str">
        <f>IFERROR(__xludf.DUMMYFUNCTION("""COMPUTED_VALUE"""),"US")</f>
        <v>US</v>
      </c>
      <c r="E224" s="185" t="str">
        <f>IFERROR(__xludf.DUMMYFUNCTION("""COMPUTED_VALUE"""),"clutch.co")</f>
        <v>clutch.co</v>
      </c>
      <c r="F224" s="185" t="str">
        <f>IFERROR(__xludf.DUMMYFUNCTION("""COMPUTED_VALUE"""),"Category Page")</f>
        <v>Category Page</v>
      </c>
      <c r="G224" s="185" t="str">
        <f>IFERROR(__xludf.DUMMYFUNCTION("""COMPUTED_VALUE"""),"COMPETITOR")</f>
        <v>COMPETITOR</v>
      </c>
      <c r="H224" s="185" t="str">
        <f>IFERROR(__xludf.DUMMYFUNCTION("""COMPUTED_VALUE"""),"No")</f>
        <v>No</v>
      </c>
      <c r="I224" s="185" t="str">
        <f>IFERROR(__xludf.DUMMYFUNCTION("""COMPUTED_VALUE"""),"Medium")</f>
        <v>Medium</v>
      </c>
      <c r="J224" s="185" t="str">
        <f>IFERROR(__xludf.DUMMYFUNCTION("""COMPUTED_VALUE"""),"Yes")</f>
        <v>Yes</v>
      </c>
      <c r="K224" s="185" t="str">
        <f>IFERROR(__xludf.DUMMYFUNCTION("""COMPUTED_VALUE"""),"Clutch, Funnel Boost Media, SmartSites, Victorious, Acadia, WebFX, Intero Digital, Ignite Visibility, Elit-Web, Searchbloom, Thrive Internet Marketing Agency, HawkSEM, KlientBoost, Disruptive Advertising, Storm Brain, Digital Authority Partners, RevenueZe"&amp;"n")</f>
        <v>Clutch, Funnel Boost Media, SmartSites, Victorious, Acadia, WebFX, Intero Digital, Ignite Visibility, Elit-Web, Searchbloom, Thrive Internet Marketing Agency, HawkSEM, KlientBoost, Disruptive Advertising, Storm Brain, Digital Authority Partners, RevenueZen</v>
      </c>
      <c r="L224" s="187">
        <f>IFERROR(__xludf.DUMMYFUNCTION("""COMPUTED_VALUE"""),1.0)</f>
        <v>1</v>
      </c>
      <c r="M224" s="188">
        <f>IFERROR(__xludf.DUMMYFUNCTION("""COMPUTED_VALUE"""),0.0)</f>
        <v>0</v>
      </c>
      <c r="N224" s="188">
        <f>IFERROR(__xludf.DUMMYFUNCTION("""COMPUTED_VALUE"""),0.0)</f>
        <v>0</v>
      </c>
      <c r="O224" s="208"/>
      <c r="P224" s="208"/>
      <c r="Q224" s="208"/>
      <c r="R224" s="208"/>
    </row>
    <row r="225">
      <c r="A225" s="185" t="str">
        <f>IFERROR(__xludf.DUMMYFUNCTION("""COMPUTED_VALUE"""),"Agency directory / review marketplace")</f>
        <v>Agency directory / review marketplace</v>
      </c>
      <c r="B225" s="186" t="str">
        <f>IFERROR(__xludf.DUMMYFUNCTION("""COMPUTED_VALUE"""),"https://clutch.co/us/seo-firms/international")</f>
        <v>https://clutch.co/us/seo-firms/international</v>
      </c>
      <c r="C225" s="185" t="str">
        <f>IFERROR(__xludf.DUMMYFUNCTION("""COMPUTED_VALUE"""),"Top International SEO Agencies in the United States - Jul 2026 Rankings \| Clutch.co")</f>
        <v>Top International SEO Agencies in the United States - Jul 2026 Rankings \| Clutch.co</v>
      </c>
      <c r="D225" s="185" t="str">
        <f>IFERROR(__xludf.DUMMYFUNCTION("""COMPUTED_VALUE"""),"US")</f>
        <v>US</v>
      </c>
      <c r="E225" s="185" t="str">
        <f>IFERROR(__xludf.DUMMYFUNCTION("""COMPUTED_VALUE"""),"clutch.co")</f>
        <v>clutch.co</v>
      </c>
      <c r="F225" s="185" t="str">
        <f>IFERROR(__xludf.DUMMYFUNCTION("""COMPUTED_VALUE"""),"Category Page")</f>
        <v>Category Page</v>
      </c>
      <c r="G225" s="185" t="str">
        <f>IFERROR(__xludf.DUMMYFUNCTION("""COMPUTED_VALUE"""),"COMPETITOR")</f>
        <v>COMPETITOR</v>
      </c>
      <c r="H225" s="185" t="str">
        <f>IFERROR(__xludf.DUMMYFUNCTION("""COMPUTED_VALUE"""),"No")</f>
        <v>No</v>
      </c>
      <c r="I225" s="185" t="str">
        <f>IFERROR(__xludf.DUMMYFUNCTION("""COMPUTED_VALUE"""),"Medium")</f>
        <v>Medium</v>
      </c>
      <c r="J225" s="185" t="str">
        <f>IFERROR(__xludf.DUMMYFUNCTION("""COMPUTED_VALUE"""),"Yes")</f>
        <v>Yes</v>
      </c>
      <c r="K225" s="185" t="str">
        <f>IFERROR(__xludf.DUMMYFUNCTION("""COMPUTED_VALUE"""),"Clutch, Elit-Web, Searchbloom, Storm Brain, Acadia, NinjaPromo")</f>
        <v>Clutch, Elit-Web, Searchbloom, Storm Brain, Acadia, NinjaPromo</v>
      </c>
      <c r="L225" s="187">
        <f>IFERROR(__xludf.DUMMYFUNCTION("""COMPUTED_VALUE"""),1.0)</f>
        <v>1</v>
      </c>
      <c r="M225" s="188">
        <f>IFERROR(__xludf.DUMMYFUNCTION("""COMPUTED_VALUE"""),0.0)</f>
        <v>0</v>
      </c>
      <c r="N225" s="188">
        <f>IFERROR(__xludf.DUMMYFUNCTION("""COMPUTED_VALUE"""),1.0)</f>
        <v>1</v>
      </c>
      <c r="O225" s="208"/>
      <c r="P225" s="208"/>
      <c r="Q225" s="208"/>
      <c r="R225" s="208"/>
    </row>
    <row r="226">
      <c r="A226" s="185" t="str">
        <f>IFERROR(__xludf.DUMMYFUNCTION("""COMPUTED_VALUE"""),"Agency directory / review marketplace")</f>
        <v>Agency directory / review marketplace</v>
      </c>
      <c r="B226" s="186" t="str">
        <f>IFERROR(__xludf.DUMMYFUNCTION("""COMPUTED_VALUE"""),"https://clutch.co/us/seo-firms/media-industry")</f>
        <v>https://clutch.co/us/seo-firms/media-industry</v>
      </c>
      <c r="C226" s="185" t="str">
        <f>IFERROR(__xludf.DUMMYFUNCTION("""COMPUTED_VALUE"""),"Top SEO Companies for Media in the United States - Jul 2026 Rankings \| Clutch.co")</f>
        <v>Top SEO Companies for Media in the United States - Jul 2026 Rankings \| Clutch.co</v>
      </c>
      <c r="D226" s="185" t="str">
        <f>IFERROR(__xludf.DUMMYFUNCTION("""COMPUTED_VALUE"""),"US")</f>
        <v>US</v>
      </c>
      <c r="E226" s="185" t="str">
        <f>IFERROR(__xludf.DUMMYFUNCTION("""COMPUTED_VALUE"""),"clutch.co")</f>
        <v>clutch.co</v>
      </c>
      <c r="F226" s="185" t="str">
        <f>IFERROR(__xludf.DUMMYFUNCTION("""COMPUTED_VALUE"""),"Category Page")</f>
        <v>Category Page</v>
      </c>
      <c r="G226" s="185" t="str">
        <f>IFERROR(__xludf.DUMMYFUNCTION("""COMPUTED_VALUE"""),"COMPETITOR")</f>
        <v>COMPETITOR</v>
      </c>
      <c r="H226" s="185" t="str">
        <f>IFERROR(__xludf.DUMMYFUNCTION("""COMPUTED_VALUE"""),"No")</f>
        <v>No</v>
      </c>
      <c r="I226" s="185" t="str">
        <f>IFERROR(__xludf.DUMMYFUNCTION("""COMPUTED_VALUE"""),"Medium")</f>
        <v>Medium</v>
      </c>
      <c r="J226" s="185" t="str">
        <f>IFERROR(__xludf.DUMMYFUNCTION("""COMPUTED_VALUE"""),"Yes")</f>
        <v>Yes</v>
      </c>
      <c r="K226" s="185" t="str">
        <f>IFERROR(__xludf.DUMMYFUNCTION("""COMPUTED_VALUE"""),"Clutch, SmartSites, Funnel Boost Media")</f>
        <v>Clutch, SmartSites, Funnel Boost Media</v>
      </c>
      <c r="L226" s="187">
        <f>IFERROR(__xludf.DUMMYFUNCTION("""COMPUTED_VALUE"""),1.0)</f>
        <v>1</v>
      </c>
      <c r="M226" s="188">
        <f>IFERROR(__xludf.DUMMYFUNCTION("""COMPUTED_VALUE"""),0.0)</f>
        <v>0</v>
      </c>
      <c r="N226" s="188">
        <f>IFERROR(__xludf.DUMMYFUNCTION("""COMPUTED_VALUE"""),0.0)</f>
        <v>0</v>
      </c>
      <c r="O226" s="208"/>
      <c r="P226" s="208"/>
      <c r="Q226" s="208"/>
      <c r="R226" s="208"/>
    </row>
    <row r="227">
      <c r="A227" s="185" t="str">
        <f>IFERROR(__xludf.DUMMYFUNCTION("""COMPUTED_VALUE"""),"Agency directory / review marketplace")</f>
        <v>Agency directory / review marketplace</v>
      </c>
      <c r="B227" s="186" t="str">
        <f>IFERROR(__xludf.DUMMYFUNCTION("""COMPUTED_VALUE"""),"https://clutch.co/video-production/post-production")</f>
        <v>https://clutch.co/video-production/post-production</v>
      </c>
      <c r="C227" s="185" t="str">
        <f>IFERROR(__xludf.DUMMYFUNCTION("""COMPUTED_VALUE"""),"Top Post Production Services - Jul 2026 Rankings \| Clutch.co")</f>
        <v>Top Post Production Services - Jul 2026 Rankings \| Clutch.co</v>
      </c>
      <c r="D227" s="185" t="str">
        <f>IFERROR(__xludf.DUMMYFUNCTION("""COMPUTED_VALUE"""),"US")</f>
        <v>US</v>
      </c>
      <c r="E227" s="185" t="str">
        <f>IFERROR(__xludf.DUMMYFUNCTION("""COMPUTED_VALUE"""),"clutch.co")</f>
        <v>clutch.co</v>
      </c>
      <c r="F227" s="185" t="str">
        <f>IFERROR(__xludf.DUMMYFUNCTION("""COMPUTED_VALUE"""),"Category Page")</f>
        <v>Category Page</v>
      </c>
      <c r="G227" s="185" t="str">
        <f>IFERROR(__xludf.DUMMYFUNCTION("""COMPUTED_VALUE"""),"COMPETITOR")</f>
        <v>COMPETITOR</v>
      </c>
      <c r="H227" s="185" t="str">
        <f>IFERROR(__xludf.DUMMYFUNCTION("""COMPUTED_VALUE"""),"No")</f>
        <v>No</v>
      </c>
      <c r="I227" s="185" t="str">
        <f>IFERROR(__xludf.DUMMYFUNCTION("""COMPUTED_VALUE"""),"Medium")</f>
        <v>Medium</v>
      </c>
      <c r="J227" s="185" t="str">
        <f>IFERROR(__xludf.DUMMYFUNCTION("""COMPUTED_VALUE"""),"Yes")</f>
        <v>Yes</v>
      </c>
      <c r="K227" s="185" t="str">
        <f>IFERROR(__xludf.DUMMYFUNCTION("""COMPUTED_VALUE"""),"Clutch")</f>
        <v>Clutch</v>
      </c>
      <c r="L227" s="187">
        <f>IFERROR(__xludf.DUMMYFUNCTION("""COMPUTED_VALUE"""),1.0)</f>
        <v>1</v>
      </c>
      <c r="M227" s="188">
        <f>IFERROR(__xludf.DUMMYFUNCTION("""COMPUTED_VALUE"""),0.0)</f>
        <v>0</v>
      </c>
      <c r="N227" s="188">
        <f>IFERROR(__xludf.DUMMYFUNCTION("""COMPUTED_VALUE"""),0.0)</f>
        <v>0</v>
      </c>
      <c r="O227" s="208"/>
      <c r="P227" s="208"/>
      <c r="Q227" s="208"/>
      <c r="R227" s="208"/>
    </row>
    <row r="228">
      <c r="A228" s="185" t="str">
        <f>IFERROR(__xludf.DUMMYFUNCTION("""COMPUTED_VALUE"""),"Lower-priority competitor/vendor roundup")</f>
        <v>Lower-priority competitor/vendor roundup</v>
      </c>
      <c r="B228" s="186" t="str">
        <f>IFERROR(__xludf.DUMMYFUNCTION("""COMPUTED_VALUE"""),"https://www.cometly.com/post/agency-marketing-attribution-tools")</f>
        <v>https://www.cometly.com/post/agency-marketing-attribution-tools</v>
      </c>
      <c r="C228" s="185" t="str">
        <f>IFERROR(__xludf.DUMMYFUNCTION("""COMPUTED_VALUE"""),"Top Agency Marketing Attribution Tools for 2026 Tips")</f>
        <v>Top Agency Marketing Attribution Tools for 2026 Tips</v>
      </c>
      <c r="D228" s="185" t="str">
        <f>IFERROR(__xludf.DUMMYFUNCTION("""COMPUTED_VALUE"""),"US")</f>
        <v>US</v>
      </c>
      <c r="E228" s="185" t="str">
        <f>IFERROR(__xludf.DUMMYFUNCTION("""COMPUTED_VALUE"""),"cometly.com")</f>
        <v>cometly.com</v>
      </c>
      <c r="F228" s="185" t="str">
        <f>IFERROR(__xludf.DUMMYFUNCTION("""COMPUTED_VALUE"""),"Listicle")</f>
        <v>Listicle</v>
      </c>
      <c r="G228" s="185" t="str">
        <f>IFERROR(__xludf.DUMMYFUNCTION("""COMPUTED_VALUE"""),"COMPETITOR")</f>
        <v>COMPETITOR</v>
      </c>
      <c r="H228" s="185" t="str">
        <f>IFERROR(__xludf.DUMMYFUNCTION("""COMPUTED_VALUE"""),"No")</f>
        <v>No</v>
      </c>
      <c r="I228" s="185" t="str">
        <f>IFERROR(__xludf.DUMMYFUNCTION("""COMPUTED_VALUE"""),"Low")</f>
        <v>Low</v>
      </c>
      <c r="J228" s="185" t="str">
        <f>IFERROR(__xludf.DUMMYFUNCTION("""COMPUTED_VALUE"""),"Secondary")</f>
        <v>Secondary</v>
      </c>
      <c r="K228" s="185" t="str">
        <f>IFERROR(__xludf.DUMMYFUNCTION("""COMPUTED_VALUE"""),"Cometly, Triple Whale, Anomaly, Northbeam, Rockerbox, Ruler Analytics")</f>
        <v>Cometly, Triple Whale, Anomaly, Northbeam, Rockerbox, Ruler Analytics</v>
      </c>
      <c r="L228" s="187">
        <f>IFERROR(__xludf.DUMMYFUNCTION("""COMPUTED_VALUE"""),1.0)</f>
        <v>1</v>
      </c>
      <c r="M228" s="188">
        <f>IFERROR(__xludf.DUMMYFUNCTION("""COMPUTED_VALUE"""),0.0)</f>
        <v>0</v>
      </c>
      <c r="N228" s="188">
        <f>IFERROR(__xludf.DUMMYFUNCTION("""COMPUTED_VALUE"""),1.0)</f>
        <v>1</v>
      </c>
      <c r="O228" s="208"/>
      <c r="P228" s="208"/>
      <c r="Q228" s="208"/>
      <c r="R228" s="208"/>
    </row>
    <row r="229">
      <c r="A229" s="185" t="str">
        <f>IFERROR(__xludf.DUMMYFUNCTION("""COMPUTED_VALUE"""),"Lower-priority competitor/vendor roundup")</f>
        <v>Lower-priority competitor/vendor roundup</v>
      </c>
      <c r="B229" s="186" t="str">
        <f>IFERROR(__xludf.DUMMYFUNCTION("""COMPUTED_VALUE"""),"https://www.cometly.com/post/attribution-data-platform")</f>
        <v>https://www.cometly.com/post/attribution-data-platform</v>
      </c>
      <c r="C229" s="185" t="str">
        <f>IFERROR(__xludf.DUMMYFUNCTION("""COMPUTED_VALUE"""),"9 Best Attribution Data Platforms for Marketers 2026")</f>
        <v>9 Best Attribution Data Platforms for Marketers 2026</v>
      </c>
      <c r="D229" s="185" t="str">
        <f>IFERROR(__xludf.DUMMYFUNCTION("""COMPUTED_VALUE"""),"US")</f>
        <v>US</v>
      </c>
      <c r="E229" s="185" t="str">
        <f>IFERROR(__xludf.DUMMYFUNCTION("""COMPUTED_VALUE"""),"cometly.com")</f>
        <v>cometly.com</v>
      </c>
      <c r="F229" s="185" t="str">
        <f>IFERROR(__xludf.DUMMYFUNCTION("""COMPUTED_VALUE"""),"Listicle")</f>
        <v>Listicle</v>
      </c>
      <c r="G229" s="185" t="str">
        <f>IFERROR(__xludf.DUMMYFUNCTION("""COMPUTED_VALUE"""),"COMPETITOR")</f>
        <v>COMPETITOR</v>
      </c>
      <c r="H229" s="185" t="str">
        <f>IFERROR(__xludf.DUMMYFUNCTION("""COMPUTED_VALUE"""),"No")</f>
        <v>No</v>
      </c>
      <c r="I229" s="185" t="str">
        <f>IFERROR(__xludf.DUMMYFUNCTION("""COMPUTED_VALUE"""),"Low")</f>
        <v>Low</v>
      </c>
      <c r="J229" s="185" t="str">
        <f>IFERROR(__xludf.DUMMYFUNCTION("""COMPUTED_VALUE"""),"Secondary")</f>
        <v>Secondary</v>
      </c>
      <c r="K229" s="185" t="str">
        <f>IFERROR(__xludf.DUMMYFUNCTION("""COMPUTED_VALUE"""),"Cometly, Triple Whale, Northbeam, Rockerbox, Ruler Analytics, HockeyStack")</f>
        <v>Cometly, Triple Whale, Northbeam, Rockerbox, Ruler Analytics, HockeyStack</v>
      </c>
      <c r="L229" s="187">
        <f>IFERROR(__xludf.DUMMYFUNCTION("""COMPUTED_VALUE"""),1.0)</f>
        <v>1</v>
      </c>
      <c r="M229" s="188">
        <f>IFERROR(__xludf.DUMMYFUNCTION("""COMPUTED_VALUE"""),0.0)</f>
        <v>0</v>
      </c>
      <c r="N229" s="188">
        <f>IFERROR(__xludf.DUMMYFUNCTION("""COMPUTED_VALUE"""),1.0)</f>
        <v>1</v>
      </c>
      <c r="O229" s="208"/>
      <c r="P229" s="208"/>
      <c r="Q229" s="208"/>
      <c r="R229" s="208"/>
    </row>
    <row r="230">
      <c r="A230" s="185" t="str">
        <f>IFERROR(__xludf.DUMMYFUNCTION("""COMPUTED_VALUE"""),"Lower-priority competitor/vendor roundup")</f>
        <v>Lower-priority competitor/vendor roundup</v>
      </c>
      <c r="B230" s="186" t="str">
        <f>IFERROR(__xludf.DUMMYFUNCTION("""COMPUTED_VALUE"""),"https://www.cometly.com/post/best-ai-powered-marketing-attribution-tools")</f>
        <v>https://www.cometly.com/post/best-ai-powered-marketing-attribution-tools</v>
      </c>
      <c r="C230" s="185" t="str">
        <f>IFERROR(__xludf.DUMMYFUNCTION("""COMPUTED_VALUE"""),"Best AI-Powered Marketing Attribution Tools Guide 2026")</f>
        <v>Best AI-Powered Marketing Attribution Tools Guide 2026</v>
      </c>
      <c r="D230" s="185" t="str">
        <f>IFERROR(__xludf.DUMMYFUNCTION("""COMPUTED_VALUE"""),"US")</f>
        <v>US</v>
      </c>
      <c r="E230" s="185" t="str">
        <f>IFERROR(__xludf.DUMMYFUNCTION("""COMPUTED_VALUE"""),"cometly.com")</f>
        <v>cometly.com</v>
      </c>
      <c r="F230" s="185" t="str">
        <f>IFERROR(__xludf.DUMMYFUNCTION("""COMPUTED_VALUE"""),"Listicle")</f>
        <v>Listicle</v>
      </c>
      <c r="G230" s="185" t="str">
        <f>IFERROR(__xludf.DUMMYFUNCTION("""COMPUTED_VALUE"""),"COMPETITOR")</f>
        <v>COMPETITOR</v>
      </c>
      <c r="H230" s="185" t="str">
        <f>IFERROR(__xludf.DUMMYFUNCTION("""COMPUTED_VALUE"""),"No")</f>
        <v>No</v>
      </c>
      <c r="I230" s="185" t="str">
        <f>IFERROR(__xludf.DUMMYFUNCTION("""COMPUTED_VALUE"""),"Low")</f>
        <v>Low</v>
      </c>
      <c r="J230" s="185" t="str">
        <f>IFERROR(__xludf.DUMMYFUNCTION("""COMPUTED_VALUE"""),"Secondary")</f>
        <v>Secondary</v>
      </c>
      <c r="K230" s="185" t="str">
        <f>IFERROR(__xludf.DUMMYFUNCTION("""COMPUTED_VALUE"""),"Cometly, Northbeam, Triple Whale, Rockerbox, Ruler Analytics")</f>
        <v>Cometly, Northbeam, Triple Whale, Rockerbox, Ruler Analytics</v>
      </c>
      <c r="L230" s="187">
        <f>IFERROR(__xludf.DUMMYFUNCTION("""COMPUTED_VALUE"""),1.0)</f>
        <v>1</v>
      </c>
      <c r="M230" s="188">
        <f>IFERROR(__xludf.DUMMYFUNCTION("""COMPUTED_VALUE"""),0.0)</f>
        <v>0</v>
      </c>
      <c r="N230" s="188">
        <f>IFERROR(__xludf.DUMMYFUNCTION("""COMPUTED_VALUE"""),1.0)</f>
        <v>1</v>
      </c>
      <c r="O230" s="208"/>
      <c r="P230" s="208"/>
      <c r="Q230" s="208"/>
      <c r="R230" s="208"/>
    </row>
    <row r="231">
      <c r="A231" s="185" t="str">
        <f>IFERROR(__xludf.DUMMYFUNCTION("""COMPUTED_VALUE"""),"Lower-priority competitor/vendor roundup")</f>
        <v>Lower-priority competitor/vendor roundup</v>
      </c>
      <c r="B231" s="186" t="str">
        <f>IFERROR(__xludf.DUMMYFUNCTION("""COMPUTED_VALUE"""),"https://www.cometly.com/post/best-enterprise-attribution-tools")</f>
        <v>https://www.cometly.com/post/best-enterprise-attribution-tools</v>
      </c>
      <c r="C231" s="185" t="str">
        <f>IFERROR(__xludf.DUMMYFUNCTION("""COMPUTED_VALUE"""),"Best Enterprise Attribution Tools: Complete 2026 Guide")</f>
        <v>Best Enterprise Attribution Tools: Complete 2026 Guide</v>
      </c>
      <c r="D231" s="185" t="str">
        <f>IFERROR(__xludf.DUMMYFUNCTION("""COMPUTED_VALUE"""),"US")</f>
        <v>US</v>
      </c>
      <c r="E231" s="185" t="str">
        <f>IFERROR(__xludf.DUMMYFUNCTION("""COMPUTED_VALUE"""),"cometly.com")</f>
        <v>cometly.com</v>
      </c>
      <c r="F231" s="185" t="str">
        <f>IFERROR(__xludf.DUMMYFUNCTION("""COMPUTED_VALUE"""),"Listicle")</f>
        <v>Listicle</v>
      </c>
      <c r="G231" s="185" t="str">
        <f>IFERROR(__xludf.DUMMYFUNCTION("""COMPUTED_VALUE"""),"COMPETITOR")</f>
        <v>COMPETITOR</v>
      </c>
      <c r="H231" s="185" t="str">
        <f>IFERROR(__xludf.DUMMYFUNCTION("""COMPUTED_VALUE"""),"No")</f>
        <v>No</v>
      </c>
      <c r="I231" s="185" t="str">
        <f>IFERROR(__xludf.DUMMYFUNCTION("""COMPUTED_VALUE"""),"Low")</f>
        <v>Low</v>
      </c>
      <c r="J231" s="185" t="str">
        <f>IFERROR(__xludf.DUMMYFUNCTION("""COMPUTED_VALUE"""),"Secondary")</f>
        <v>Secondary</v>
      </c>
      <c r="K231" s="185" t="str">
        <f>IFERROR(__xludf.DUMMYFUNCTION("""COMPUTED_VALUE"""),"Cometly, Anomaly, Northbeam, Triple Whale, Rockerbox, Ruler Analytics")</f>
        <v>Cometly, Anomaly, Northbeam, Triple Whale, Rockerbox, Ruler Analytics</v>
      </c>
      <c r="L231" s="187">
        <f>IFERROR(__xludf.DUMMYFUNCTION("""COMPUTED_VALUE"""),1.0)</f>
        <v>1</v>
      </c>
      <c r="M231" s="188">
        <f>IFERROR(__xludf.DUMMYFUNCTION("""COMPUTED_VALUE"""),0.0)</f>
        <v>0</v>
      </c>
      <c r="N231" s="188">
        <f>IFERROR(__xludf.DUMMYFUNCTION("""COMPUTED_VALUE"""),1.0)</f>
        <v>1</v>
      </c>
      <c r="O231" s="208"/>
      <c r="P231" s="208"/>
      <c r="Q231" s="208"/>
      <c r="R231" s="208"/>
    </row>
    <row r="232">
      <c r="A232" s="185" t="str">
        <f>IFERROR(__xludf.DUMMYFUNCTION("""COMPUTED_VALUE"""),"Lower-priority competitor/vendor roundup")</f>
        <v>Lower-priority competitor/vendor roundup</v>
      </c>
      <c r="B232" s="186" t="str">
        <f>IFERROR(__xludf.DUMMYFUNCTION("""COMPUTED_VALUE"""),"https://www.cometly.com/post/cross-channel-campaign-measurement-solutions")</f>
        <v>https://www.cometly.com/post/cross-channel-campaign-measurement-solutions</v>
      </c>
      <c r="C232" s="185" t="str">
        <f>IFERROR(__xludf.DUMMYFUNCTION("""COMPUTED_VALUE"""),"Top 9 Cross-Channel Campaign Measurement Solutions")</f>
        <v>Top 9 Cross-Channel Campaign Measurement Solutions</v>
      </c>
      <c r="D232" s="185" t="str">
        <f>IFERROR(__xludf.DUMMYFUNCTION("""COMPUTED_VALUE"""),"US")</f>
        <v>US</v>
      </c>
      <c r="E232" s="185" t="str">
        <f>IFERROR(__xludf.DUMMYFUNCTION("""COMPUTED_VALUE"""),"cometly.com")</f>
        <v>cometly.com</v>
      </c>
      <c r="F232" s="185" t="str">
        <f>IFERROR(__xludf.DUMMYFUNCTION("""COMPUTED_VALUE"""),"Listicle")</f>
        <v>Listicle</v>
      </c>
      <c r="G232" s="185" t="str">
        <f>IFERROR(__xludf.DUMMYFUNCTION("""COMPUTED_VALUE"""),"COMPETITOR")</f>
        <v>COMPETITOR</v>
      </c>
      <c r="H232" s="185" t="str">
        <f>IFERROR(__xludf.DUMMYFUNCTION("""COMPUTED_VALUE"""),"No")</f>
        <v>No</v>
      </c>
      <c r="I232" s="185" t="str">
        <f>IFERROR(__xludf.DUMMYFUNCTION("""COMPUTED_VALUE"""),"Low")</f>
        <v>Low</v>
      </c>
      <c r="J232" s="185" t="str">
        <f>IFERROR(__xludf.DUMMYFUNCTION("""COMPUTED_VALUE"""),"Secondary")</f>
        <v>Secondary</v>
      </c>
      <c r="K232" s="185" t="str">
        <f>IFERROR(__xludf.DUMMYFUNCTION("""COMPUTED_VALUE"""),"Cometly, Triple Whale, Northbeam, Rockerbox, Measured")</f>
        <v>Cometly, Triple Whale, Northbeam, Rockerbox, Measured</v>
      </c>
      <c r="L232" s="187">
        <f>IFERROR(__xludf.DUMMYFUNCTION("""COMPUTED_VALUE"""),1.0)</f>
        <v>1</v>
      </c>
      <c r="M232" s="188">
        <f>IFERROR(__xludf.DUMMYFUNCTION("""COMPUTED_VALUE"""),0.0)</f>
        <v>0</v>
      </c>
      <c r="N232" s="188">
        <f>IFERROR(__xludf.DUMMYFUNCTION("""COMPUTED_VALUE"""),1.0)</f>
        <v>1</v>
      </c>
      <c r="O232" s="208"/>
      <c r="P232" s="208"/>
      <c r="Q232" s="208"/>
      <c r="R232" s="208"/>
    </row>
    <row r="233">
      <c r="A233" s="185" t="str">
        <f>IFERROR(__xludf.DUMMYFUNCTION("""COMPUTED_VALUE"""),"Lower-priority competitor/vendor roundup")</f>
        <v>Lower-priority competitor/vendor roundup</v>
      </c>
      <c r="B233" s="186" t="str">
        <f>IFERROR(__xludf.DUMMYFUNCTION("""COMPUTED_VALUE"""),"https://www.cometly.com/post/marketing-analytics-platforms-review")</f>
        <v>https://www.cometly.com/post/marketing-analytics-platforms-review</v>
      </c>
      <c r="C233" s="185" t="str">
        <f>IFERROR(__xludf.DUMMYFUNCTION("""COMPUTED_VALUE"""),"9 Best Marketing Analytics Platforms Review Guide 2026")</f>
        <v>9 Best Marketing Analytics Platforms Review Guide 2026</v>
      </c>
      <c r="D233" s="185" t="str">
        <f>IFERROR(__xludf.DUMMYFUNCTION("""COMPUTED_VALUE"""),"US")</f>
        <v>US</v>
      </c>
      <c r="E233" s="185" t="str">
        <f>IFERROR(__xludf.DUMMYFUNCTION("""COMPUTED_VALUE"""),"cometly.com")</f>
        <v>cometly.com</v>
      </c>
      <c r="F233" s="185" t="str">
        <f>IFERROR(__xludf.DUMMYFUNCTION("""COMPUTED_VALUE"""),"Listicle")</f>
        <v>Listicle</v>
      </c>
      <c r="G233" s="185" t="str">
        <f>IFERROR(__xludf.DUMMYFUNCTION("""COMPUTED_VALUE"""),"COMPETITOR")</f>
        <v>COMPETITOR</v>
      </c>
      <c r="H233" s="185" t="str">
        <f>IFERROR(__xludf.DUMMYFUNCTION("""COMPUTED_VALUE"""),"No")</f>
        <v>No</v>
      </c>
      <c r="I233" s="185" t="str">
        <f>IFERROR(__xludf.DUMMYFUNCTION("""COMPUTED_VALUE"""),"Low")</f>
        <v>Low</v>
      </c>
      <c r="J233" s="185" t="str">
        <f>IFERROR(__xludf.DUMMYFUNCTION("""COMPUTED_VALUE"""),"Secondary")</f>
        <v>Secondary</v>
      </c>
      <c r="K233" s="185" t="str">
        <f>IFERROR(__xludf.DUMMYFUNCTION("""COMPUTED_VALUE"""),"Cometly, Anomaly, Triple Whale, Northbeam, Ruler Analytics")</f>
        <v>Cometly, Anomaly, Triple Whale, Northbeam, Ruler Analytics</v>
      </c>
      <c r="L233" s="187">
        <f>IFERROR(__xludf.DUMMYFUNCTION("""COMPUTED_VALUE"""),1.0)</f>
        <v>1</v>
      </c>
      <c r="M233" s="188">
        <f>IFERROR(__xludf.DUMMYFUNCTION("""COMPUTED_VALUE"""),0.0)</f>
        <v>0</v>
      </c>
      <c r="N233" s="188">
        <f>IFERROR(__xludf.DUMMYFUNCTION("""COMPUTED_VALUE"""),1.0)</f>
        <v>1</v>
      </c>
      <c r="O233" s="208"/>
      <c r="P233" s="208"/>
      <c r="Q233" s="208"/>
      <c r="R233" s="208"/>
    </row>
    <row r="234">
      <c r="A234" s="185" t="str">
        <f>IFERROR(__xludf.DUMMYFUNCTION("""COMPUTED_VALUE"""),"Lower-priority competitor/vendor roundup")</f>
        <v>Lower-priority competitor/vendor roundup</v>
      </c>
      <c r="B234" s="186" t="str">
        <f>IFERROR(__xludf.DUMMYFUNCTION("""COMPUTED_VALUE"""),"https://www.cometly.com/post/marketing-attribution-tools-comparison")</f>
        <v>https://www.cometly.com/post/marketing-attribution-tools-comparison</v>
      </c>
      <c r="C234" s="185" t="str">
        <f>IFERROR(__xludf.DUMMYFUNCTION("""COMPUTED_VALUE"""),"Marketing Attribution Tools Comparison: 2026 Guide")</f>
        <v>Marketing Attribution Tools Comparison: 2026 Guide</v>
      </c>
      <c r="D234" s="185" t="str">
        <f>IFERROR(__xludf.DUMMYFUNCTION("""COMPUTED_VALUE"""),"US")</f>
        <v>US</v>
      </c>
      <c r="E234" s="185" t="str">
        <f>IFERROR(__xludf.DUMMYFUNCTION("""COMPUTED_VALUE"""),"cometly.com")</f>
        <v>cometly.com</v>
      </c>
      <c r="F234" s="185" t="str">
        <f>IFERROR(__xludf.DUMMYFUNCTION("""COMPUTED_VALUE"""),"Listicle")</f>
        <v>Listicle</v>
      </c>
      <c r="G234" s="185" t="str">
        <f>IFERROR(__xludf.DUMMYFUNCTION("""COMPUTED_VALUE"""),"COMPETITOR")</f>
        <v>COMPETITOR</v>
      </c>
      <c r="H234" s="185" t="str">
        <f>IFERROR(__xludf.DUMMYFUNCTION("""COMPUTED_VALUE"""),"No")</f>
        <v>No</v>
      </c>
      <c r="I234" s="185" t="str">
        <f>IFERROR(__xludf.DUMMYFUNCTION("""COMPUTED_VALUE"""),"Low")</f>
        <v>Low</v>
      </c>
      <c r="J234" s="185" t="str">
        <f>IFERROR(__xludf.DUMMYFUNCTION("""COMPUTED_VALUE"""),"Secondary")</f>
        <v>Secondary</v>
      </c>
      <c r="K234" s="185" t="str">
        <f>IFERROR(__xludf.DUMMYFUNCTION("""COMPUTED_VALUE"""),"Cometly, Triple Whale, Northbeam, Rockerbox, Ruler Analytics")</f>
        <v>Cometly, Triple Whale, Northbeam, Rockerbox, Ruler Analytics</v>
      </c>
      <c r="L234" s="187">
        <f>IFERROR(__xludf.DUMMYFUNCTION("""COMPUTED_VALUE"""),1.0)</f>
        <v>1</v>
      </c>
      <c r="M234" s="188">
        <f>IFERROR(__xludf.DUMMYFUNCTION("""COMPUTED_VALUE"""),0.0)</f>
        <v>0</v>
      </c>
      <c r="N234" s="188">
        <f>IFERROR(__xludf.DUMMYFUNCTION("""COMPUTED_VALUE"""),1.0)</f>
        <v>1</v>
      </c>
      <c r="O234" s="208"/>
      <c r="P234" s="208"/>
      <c r="Q234" s="208"/>
      <c r="R234" s="208"/>
    </row>
    <row r="235">
      <c r="A235" s="185" t="str">
        <f>IFERROR(__xludf.DUMMYFUNCTION("""COMPUTED_VALUE"""),"Lower-priority competitor/vendor roundup")</f>
        <v>Lower-priority competitor/vendor roundup</v>
      </c>
      <c r="B235" s="186" t="str">
        <f>IFERROR(__xludf.DUMMYFUNCTION("""COMPUTED_VALUE"""),"https://www.cometly.com/post/marketing-performance-analytics-tools")</f>
        <v>https://www.cometly.com/post/marketing-performance-analytics-tools</v>
      </c>
      <c r="C235" s="185" t="str">
        <f>IFERROR(__xludf.DUMMYFUNCTION("""COMPUTED_VALUE"""),"9 Best Marketing Performance Analytics Tools for 2026")</f>
        <v>9 Best Marketing Performance Analytics Tools for 2026</v>
      </c>
      <c r="D235" s="185" t="str">
        <f>IFERROR(__xludf.DUMMYFUNCTION("""COMPUTED_VALUE"""),"US")</f>
        <v>US</v>
      </c>
      <c r="E235" s="185" t="str">
        <f>IFERROR(__xludf.DUMMYFUNCTION("""COMPUTED_VALUE"""),"cometly.com")</f>
        <v>cometly.com</v>
      </c>
      <c r="F235" s="185" t="str">
        <f>IFERROR(__xludf.DUMMYFUNCTION("""COMPUTED_VALUE"""),"Listicle")</f>
        <v>Listicle</v>
      </c>
      <c r="G235" s="185" t="str">
        <f>IFERROR(__xludf.DUMMYFUNCTION("""COMPUTED_VALUE"""),"COMPETITOR")</f>
        <v>COMPETITOR</v>
      </c>
      <c r="H235" s="185" t="str">
        <f>IFERROR(__xludf.DUMMYFUNCTION("""COMPUTED_VALUE"""),"No")</f>
        <v>No</v>
      </c>
      <c r="I235" s="185" t="str">
        <f>IFERROR(__xludf.DUMMYFUNCTION("""COMPUTED_VALUE"""),"Low")</f>
        <v>Low</v>
      </c>
      <c r="J235" s="185" t="str">
        <f>IFERROR(__xludf.DUMMYFUNCTION("""COMPUTED_VALUE"""),"Secondary")</f>
        <v>Secondary</v>
      </c>
      <c r="K235" s="185" t="str">
        <f>IFERROR(__xludf.DUMMYFUNCTION("""COMPUTED_VALUE"""),"Cometly, Triple Whale, Northbeam, Rockerbox")</f>
        <v>Cometly, Triple Whale, Northbeam, Rockerbox</v>
      </c>
      <c r="L235" s="187">
        <f>IFERROR(__xludf.DUMMYFUNCTION("""COMPUTED_VALUE"""),1.0)</f>
        <v>1</v>
      </c>
      <c r="M235" s="188">
        <f>IFERROR(__xludf.DUMMYFUNCTION("""COMPUTED_VALUE"""),0.0)</f>
        <v>0</v>
      </c>
      <c r="N235" s="188">
        <f>IFERROR(__xludf.DUMMYFUNCTION("""COMPUTED_VALUE"""),1.0)</f>
        <v>1</v>
      </c>
      <c r="O235" s="208"/>
      <c r="P235" s="208"/>
      <c r="Q235" s="208"/>
      <c r="R235" s="208"/>
    </row>
    <row r="236">
      <c r="A236" s="185" t="str">
        <f>IFERROR(__xludf.DUMMYFUNCTION("""COMPUTED_VALUE"""),"Lower-priority competitor/vendor roundup")</f>
        <v>Lower-priority competitor/vendor roundup</v>
      </c>
      <c r="B236" s="186" t="str">
        <f>IFERROR(__xludf.DUMMYFUNCTION("""COMPUTED_VALUE"""),"https://www.cometly.com/post/paid-advertising-analytics-tools")</f>
        <v>https://www.cometly.com/post/paid-advertising-analytics-tools</v>
      </c>
      <c r="C236" s="185" t="str">
        <f>IFERROR(__xludf.DUMMYFUNCTION("""COMPUTED_VALUE"""),"11 Best Paid Advertising Analytics Tools (2026 Guide)")</f>
        <v>11 Best Paid Advertising Analytics Tools (2026 Guide)</v>
      </c>
      <c r="D236" s="185" t="str">
        <f>IFERROR(__xludf.DUMMYFUNCTION("""COMPUTED_VALUE"""),"US")</f>
        <v>US</v>
      </c>
      <c r="E236" s="185" t="str">
        <f>IFERROR(__xludf.DUMMYFUNCTION("""COMPUTED_VALUE"""),"cometly.com")</f>
        <v>cometly.com</v>
      </c>
      <c r="F236" s="185" t="str">
        <f>IFERROR(__xludf.DUMMYFUNCTION("""COMPUTED_VALUE"""),"Listicle")</f>
        <v>Listicle</v>
      </c>
      <c r="G236" s="185" t="str">
        <f>IFERROR(__xludf.DUMMYFUNCTION("""COMPUTED_VALUE"""),"COMPETITOR")</f>
        <v>COMPETITOR</v>
      </c>
      <c r="H236" s="185" t="str">
        <f>IFERROR(__xludf.DUMMYFUNCTION("""COMPUTED_VALUE"""),"No")</f>
        <v>No</v>
      </c>
      <c r="I236" s="185" t="str">
        <f>IFERROR(__xludf.DUMMYFUNCTION("""COMPUTED_VALUE"""),"Low")</f>
        <v>Low</v>
      </c>
      <c r="J236" s="185" t="str">
        <f>IFERROR(__xludf.DUMMYFUNCTION("""COMPUTED_VALUE"""),"Secondary")</f>
        <v>Secondary</v>
      </c>
      <c r="K236" s="185" t="str">
        <f>IFERROR(__xludf.DUMMYFUNCTION("""COMPUTED_VALUE"""),"Cometly, Triple Whale, Northbeam, Rockerbox")</f>
        <v>Cometly, Triple Whale, Northbeam, Rockerbox</v>
      </c>
      <c r="L236" s="187">
        <f>IFERROR(__xludf.DUMMYFUNCTION("""COMPUTED_VALUE"""),1.0)</f>
        <v>1</v>
      </c>
      <c r="M236" s="188">
        <f>IFERROR(__xludf.DUMMYFUNCTION("""COMPUTED_VALUE"""),0.0)</f>
        <v>0</v>
      </c>
      <c r="N236" s="188">
        <f>IFERROR(__xludf.DUMMYFUNCTION("""COMPUTED_VALUE"""),1.0)</f>
        <v>1</v>
      </c>
      <c r="O236" s="208"/>
      <c r="P236" s="208"/>
      <c r="Q236" s="208"/>
      <c r="R236" s="208"/>
    </row>
    <row r="237">
      <c r="A237" s="185" t="str">
        <f>IFERROR(__xludf.DUMMYFUNCTION("""COMPUTED_VALUE"""),"Agency directory / review marketplace")</f>
        <v>Agency directory / review marketplace</v>
      </c>
      <c r="B237" s="186" t="str">
        <f>IFERROR(__xludf.DUMMYFUNCTION("""COMPUTED_VALUE"""),"https://www.designrush.com/agency/ad-agencies/missouri/kansas-city")</f>
        <v>https://www.designrush.com/agency/ad-agencies/missouri/kansas-city</v>
      </c>
      <c r="C237" s="185" t="str">
        <f>IFERROR(__xludf.DUMMYFUNCTION("""COMPUTED_VALUE"""),"Top Advertising Agencies in Kansas City | 2026")</f>
        <v>Top Advertising Agencies in Kansas City | 2026</v>
      </c>
      <c r="D237" s="185" t="str">
        <f>IFERROR(__xludf.DUMMYFUNCTION("""COMPUTED_VALUE"""),"US")</f>
        <v>US</v>
      </c>
      <c r="E237" s="185" t="str">
        <f>IFERROR(__xludf.DUMMYFUNCTION("""COMPUTED_VALUE"""),"designrush.com")</f>
        <v>designrush.com</v>
      </c>
      <c r="F237" s="185" t="str">
        <f>IFERROR(__xludf.DUMMYFUNCTION("""COMPUTED_VALUE"""),"Category Page")</f>
        <v>Category Page</v>
      </c>
      <c r="G237" s="185" t="str">
        <f>IFERROR(__xludf.DUMMYFUNCTION("""COMPUTED_VALUE"""),"CORPORATE")</f>
        <v>CORPORATE</v>
      </c>
      <c r="H237" s="185" t="str">
        <f>IFERROR(__xludf.DUMMYFUNCTION("""COMPUTED_VALUE"""),"No")</f>
        <v>No</v>
      </c>
      <c r="I237" s="185" t="str">
        <f>IFERROR(__xludf.DUMMYFUNCTION("""COMPUTED_VALUE"""),"Medium")</f>
        <v>Medium</v>
      </c>
      <c r="J237" s="185" t="str">
        <f>IFERROR(__xludf.DUMMYFUNCTION("""COMPUTED_VALUE"""),"Yes")</f>
        <v>Yes</v>
      </c>
      <c r="K237" s="185" t="str">
        <f>IFERROR(__xludf.DUMMYFUNCTION("""COMPUTED_VALUE"""),"Searchbloom, Funnel Boost Media, Huge, SmartSites, Disruptive Advertising, VML")</f>
        <v>Searchbloom, Funnel Boost Media, Huge, SmartSites, Disruptive Advertising, VML</v>
      </c>
      <c r="L237" s="187">
        <f>IFERROR(__xludf.DUMMYFUNCTION("""COMPUTED_VALUE"""),1.0)</f>
        <v>1</v>
      </c>
      <c r="M237" s="188">
        <f>IFERROR(__xludf.DUMMYFUNCTION("""COMPUTED_VALUE"""),0.0)</f>
        <v>0</v>
      </c>
      <c r="N237" s="188">
        <f>IFERROR(__xludf.DUMMYFUNCTION("""COMPUTED_VALUE"""),0.0)</f>
        <v>0</v>
      </c>
      <c r="O237" s="208"/>
      <c r="P237" s="208"/>
      <c r="Q237" s="208"/>
      <c r="R237" s="208"/>
    </row>
    <row r="238">
      <c r="A238" s="185" t="str">
        <f>IFERROR(__xludf.DUMMYFUNCTION("""COMPUTED_VALUE"""),"Agency directory / review marketplace")</f>
        <v>Agency directory / review marketplace</v>
      </c>
      <c r="B238" s="186" t="str">
        <f>IFERROR(__xludf.DUMMYFUNCTION("""COMPUTED_VALUE"""),"https://www.designrush.com/agency/digital-marketing/digital-advertising/us")</f>
        <v>https://www.designrush.com/agency/digital-marketing/digital-advertising/us</v>
      </c>
      <c r="C238" s="185" t="str">
        <f>IFERROR(__xludf.DUMMYFUNCTION("""COMPUTED_VALUE"""),"Top Digital Advertising Agencies in the United States | 2026")</f>
        <v>Top Digital Advertising Agencies in the United States | 2026</v>
      </c>
      <c r="D238" s="185" t="str">
        <f>IFERROR(__xludf.DUMMYFUNCTION("""COMPUTED_VALUE"""),"US")</f>
        <v>US</v>
      </c>
      <c r="E238" s="185" t="str">
        <f>IFERROR(__xludf.DUMMYFUNCTION("""COMPUTED_VALUE"""),"designrush.com")</f>
        <v>designrush.com</v>
      </c>
      <c r="F238" s="185" t="str">
        <f>IFERROR(__xludf.DUMMYFUNCTION("""COMPUTED_VALUE"""),"Category Page")</f>
        <v>Category Page</v>
      </c>
      <c r="G238" s="185" t="str">
        <f>IFERROR(__xludf.DUMMYFUNCTION("""COMPUTED_VALUE"""),"CORPORATE")</f>
        <v>CORPORATE</v>
      </c>
      <c r="H238" s="185" t="str">
        <f>IFERROR(__xludf.DUMMYFUNCTION("""COMPUTED_VALUE"""),"No")</f>
        <v>No</v>
      </c>
      <c r="I238" s="185" t="str">
        <f>IFERROR(__xludf.DUMMYFUNCTION("""COMPUTED_VALUE"""),"Medium")</f>
        <v>Medium</v>
      </c>
      <c r="J238" s="185" t="str">
        <f>IFERROR(__xludf.DUMMYFUNCTION("""COMPUTED_VALUE"""),"Yes")</f>
        <v>Yes</v>
      </c>
      <c r="K238" s="185" t="str">
        <f>IFERROR(__xludf.DUMMYFUNCTION("""COMPUTED_VALUE"""),"Searchbloom, Funnel Boost Media, Huge, SmartSites, Disruptive Advertising, IBM, Silverback Strategies, Intero Digital, PwC, NinjaPromo, Elit-Web, Major Tom")</f>
        <v>Searchbloom, Funnel Boost Media, Huge, SmartSites, Disruptive Advertising, IBM, Silverback Strategies, Intero Digital, PwC, NinjaPromo, Elit-Web, Major Tom</v>
      </c>
      <c r="L238" s="187">
        <f>IFERROR(__xludf.DUMMYFUNCTION("""COMPUTED_VALUE"""),1.0)</f>
        <v>1</v>
      </c>
      <c r="M238" s="188">
        <f>IFERROR(__xludf.DUMMYFUNCTION("""COMPUTED_VALUE"""),0.0)</f>
        <v>0</v>
      </c>
      <c r="N238" s="188">
        <f>IFERROR(__xludf.DUMMYFUNCTION("""COMPUTED_VALUE"""),0.0)</f>
        <v>0</v>
      </c>
      <c r="O238" s="208"/>
      <c r="P238" s="208"/>
      <c r="Q238" s="208"/>
      <c r="R238" s="208"/>
    </row>
    <row r="239">
      <c r="A239" s="185" t="str">
        <f>IFERROR(__xludf.DUMMYFUNCTION("""COMPUTED_VALUE"""),"Agency directory / review marketplace")</f>
        <v>Agency directory / review marketplace</v>
      </c>
      <c r="B239" s="186" t="str">
        <f>IFERROR(__xludf.DUMMYFUNCTION("""COMPUTED_VALUE"""),"https://www.designrush.com/agency/media-buying-agencies/us")</f>
        <v>https://www.designrush.com/agency/media-buying-agencies/us</v>
      </c>
      <c r="C239" s="185" t="str">
        <f>IFERROR(__xludf.DUMMYFUNCTION("""COMPUTED_VALUE"""),"Top Media Buying Agencies in US 2026 | DesignRush")</f>
        <v>Top Media Buying Agencies in US 2026 | DesignRush</v>
      </c>
      <c r="D239" s="185" t="str">
        <f>IFERROR(__xludf.DUMMYFUNCTION("""COMPUTED_VALUE"""),"US")</f>
        <v>US</v>
      </c>
      <c r="E239" s="185" t="str">
        <f>IFERROR(__xludf.DUMMYFUNCTION("""COMPUTED_VALUE"""),"designrush.com")</f>
        <v>designrush.com</v>
      </c>
      <c r="F239" s="185" t="str">
        <f>IFERROR(__xludf.DUMMYFUNCTION("""COMPUTED_VALUE"""),"Category Page")</f>
        <v>Category Page</v>
      </c>
      <c r="G239" s="185" t="str">
        <f>IFERROR(__xludf.DUMMYFUNCTION("""COMPUTED_VALUE"""),"CORPORATE")</f>
        <v>CORPORATE</v>
      </c>
      <c r="H239" s="185" t="str">
        <f>IFERROR(__xludf.DUMMYFUNCTION("""COMPUTED_VALUE"""),"No")</f>
        <v>No</v>
      </c>
      <c r="I239" s="185" t="str">
        <f>IFERROR(__xludf.DUMMYFUNCTION("""COMPUTED_VALUE"""),"Medium")</f>
        <v>Medium</v>
      </c>
      <c r="J239" s="185" t="str">
        <f>IFERROR(__xludf.DUMMYFUNCTION("""COMPUTED_VALUE"""),"Yes")</f>
        <v>Yes</v>
      </c>
      <c r="K239" s="185" t="str">
        <f>IFERROR(__xludf.DUMMYFUNCTION("""COMPUTED_VALUE"""),"Searchbloom, AdVenture Media, Clutch, Nielsen, Web Tonic, Measured")</f>
        <v>Searchbloom, AdVenture Media, Clutch, Nielsen, Web Tonic, Measured</v>
      </c>
      <c r="L239" s="187">
        <f>IFERROR(__xludf.DUMMYFUNCTION("""COMPUTED_VALUE"""),1.0)</f>
        <v>1</v>
      </c>
      <c r="M239" s="188">
        <f>IFERROR(__xludf.DUMMYFUNCTION("""COMPUTED_VALUE"""),0.0)</f>
        <v>0</v>
      </c>
      <c r="N239" s="188">
        <f>IFERROR(__xludf.DUMMYFUNCTION("""COMPUTED_VALUE"""),0.0)</f>
        <v>0</v>
      </c>
      <c r="O239" s="208"/>
      <c r="P239" s="208"/>
      <c r="Q239" s="208"/>
      <c r="R239" s="208"/>
    </row>
    <row r="240">
      <c r="A240" s="185" t="str">
        <f>IFERROR(__xludf.DUMMYFUNCTION("""COMPUTED_VALUE"""),"Agency directory / review marketplace")</f>
        <v>Agency directory / review marketplace</v>
      </c>
      <c r="B240" s="186" t="str">
        <f>IFERROR(__xludf.DUMMYFUNCTION("""COMPUTED_VALUE"""),"https://www.designrush.com/agency/paid-media-pay-per-click/trends/display-ads")</f>
        <v>https://www.designrush.com/agency/paid-media-pay-per-click/trends/display-ads</v>
      </c>
      <c r="C240" s="185" t="str">
        <f>IFERROR(__xludf.DUMMYFUNCTION("""COMPUTED_VALUE"""),"PPC Trends \| DesignRush")</f>
        <v>PPC Trends \| DesignRush</v>
      </c>
      <c r="D240" s="185" t="str">
        <f>IFERROR(__xludf.DUMMYFUNCTION("""COMPUTED_VALUE"""),"US")</f>
        <v>US</v>
      </c>
      <c r="E240" s="185" t="str">
        <f>IFERROR(__xludf.DUMMYFUNCTION("""COMPUTED_VALUE"""),"designrush.com")</f>
        <v>designrush.com</v>
      </c>
      <c r="F240" s="185" t="str">
        <f>IFERROR(__xludf.DUMMYFUNCTION("""COMPUTED_VALUE"""),"Listicle")</f>
        <v>Listicle</v>
      </c>
      <c r="G240" s="185" t="str">
        <f>IFERROR(__xludf.DUMMYFUNCTION("""COMPUTED_VALUE"""),"CORPORATE")</f>
        <v>CORPORATE</v>
      </c>
      <c r="H240" s="185" t="str">
        <f>IFERROR(__xludf.DUMMYFUNCTION("""COMPUTED_VALUE"""),"No")</f>
        <v>No</v>
      </c>
      <c r="I240" s="185" t="str">
        <f>IFERROR(__xludf.DUMMYFUNCTION("""COMPUTED_VALUE"""),"Medium")</f>
        <v>Medium</v>
      </c>
      <c r="J240" s="185" t="str">
        <f>IFERROR(__xludf.DUMMYFUNCTION("""COMPUTED_VALUE"""),"Yes")</f>
        <v>Yes</v>
      </c>
      <c r="K240" s="185"/>
      <c r="L240" s="187">
        <f>IFERROR(__xludf.DUMMYFUNCTION("""COMPUTED_VALUE"""),1.0)</f>
        <v>1</v>
      </c>
      <c r="M240" s="188">
        <f>IFERROR(__xludf.DUMMYFUNCTION("""COMPUTED_VALUE"""),0.0)</f>
        <v>0</v>
      </c>
      <c r="N240" s="188">
        <f>IFERROR(__xludf.DUMMYFUNCTION("""COMPUTED_VALUE"""),1.0)</f>
        <v>1</v>
      </c>
      <c r="O240" s="208"/>
      <c r="P240" s="208"/>
      <c r="Q240" s="208"/>
      <c r="R240" s="208"/>
    </row>
    <row r="241">
      <c r="A241" s="185" t="str">
        <f>IFERROR(__xludf.DUMMYFUNCTION("""COMPUTED_VALUE"""),"Agency directory / review marketplace")</f>
        <v>Agency directory / review marketplace</v>
      </c>
      <c r="B241" s="186" t="str">
        <f>IFERROR(__xludf.DUMMYFUNCTION("""COMPUTED_VALUE"""),"https://digitalagencynetwork.com/agencies/san-diego/")</f>
        <v>https://digitalagencynetwork.com/agencies/san-diego/</v>
      </c>
      <c r="C241" s="185" t="str">
        <f>IFERROR(__xludf.DUMMYFUNCTION("""COMPUTED_VALUE"""),"Best Digital Marketing Agencies in San Diego | Digital Agency Network")</f>
        <v>Best Digital Marketing Agencies in San Diego | Digital Agency Network</v>
      </c>
      <c r="D241" s="185" t="str">
        <f>IFERROR(__xludf.DUMMYFUNCTION("""COMPUTED_VALUE"""),"US")</f>
        <v>US</v>
      </c>
      <c r="E241" s="185" t="str">
        <f>IFERROR(__xludf.DUMMYFUNCTION("""COMPUTED_VALUE"""),"digitalagencynetwork.com")</f>
        <v>digitalagencynetwork.com</v>
      </c>
      <c r="F241" s="185" t="str">
        <f>IFERROR(__xludf.DUMMYFUNCTION("""COMPUTED_VALUE"""),"Category Page")</f>
        <v>Category Page</v>
      </c>
      <c r="G241" s="185" t="str">
        <f>IFERROR(__xludf.DUMMYFUNCTION("""COMPUTED_VALUE"""),"REFERENCE")</f>
        <v>REFERENCE</v>
      </c>
      <c r="H241" s="185" t="str">
        <f>IFERROR(__xludf.DUMMYFUNCTION("""COMPUTED_VALUE"""),"No")</f>
        <v>No</v>
      </c>
      <c r="I241" s="185" t="str">
        <f>IFERROR(__xludf.DUMMYFUNCTION("""COMPUTED_VALUE"""),"Medium")</f>
        <v>Medium</v>
      </c>
      <c r="J241" s="185" t="str">
        <f>IFERROR(__xludf.DUMMYFUNCTION("""COMPUTED_VALUE"""),"Yes")</f>
        <v>Yes</v>
      </c>
      <c r="K241" s="185" t="str">
        <f>IFERROR(__xludf.DUMMYFUNCTION("""COMPUTED_VALUE"""),"Ignite Visibility, SmartSites, Amsive, Power Digital, Storm Brain")</f>
        <v>Ignite Visibility, SmartSites, Amsive, Power Digital, Storm Brain</v>
      </c>
      <c r="L241" s="187">
        <f>IFERROR(__xludf.DUMMYFUNCTION("""COMPUTED_VALUE"""),1.0)</f>
        <v>1</v>
      </c>
      <c r="M241" s="188">
        <f>IFERROR(__xludf.DUMMYFUNCTION("""COMPUTED_VALUE"""),0.0)</f>
        <v>0</v>
      </c>
      <c r="N241" s="188">
        <f>IFERROR(__xludf.DUMMYFUNCTION("""COMPUTED_VALUE"""),1.0)</f>
        <v>1</v>
      </c>
      <c r="O241" s="208"/>
      <c r="P241" s="208"/>
      <c r="Q241" s="208"/>
      <c r="R241" s="208"/>
    </row>
    <row r="242">
      <c r="A242" s="185" t="str">
        <f>IFERROR(__xludf.DUMMYFUNCTION("""COMPUTED_VALUE"""),"Agency directory / review marketplace")</f>
        <v>Agency directory / review marketplace</v>
      </c>
      <c r="B242" s="186" t="str">
        <f>IFERROR(__xludf.DUMMYFUNCTION("""COMPUTED_VALUE"""),"https://digitalagencynetwork.com/agencies/usa/industry/travel-tourism/")</f>
        <v>https://digitalagencynetwork.com/agencies/usa/industry/travel-tourism/</v>
      </c>
      <c r="C242" s="185" t="str">
        <f>IFERROR(__xludf.DUMMYFUNCTION("""COMPUTED_VALUE"""),"Top Travel &amp;amp; Tourism Marketing Agencies in USA | Digital Agency Network")</f>
        <v>Top Travel &amp;amp; Tourism Marketing Agencies in USA | Digital Agency Network</v>
      </c>
      <c r="D242" s="185" t="str">
        <f>IFERROR(__xludf.DUMMYFUNCTION("""COMPUTED_VALUE"""),"US")</f>
        <v>US</v>
      </c>
      <c r="E242" s="185" t="str">
        <f>IFERROR(__xludf.DUMMYFUNCTION("""COMPUTED_VALUE"""),"digitalagencynetwork.com")</f>
        <v>digitalagencynetwork.com</v>
      </c>
      <c r="F242" s="185" t="str">
        <f>IFERROR(__xludf.DUMMYFUNCTION("""COMPUTED_VALUE"""),"Category Page")</f>
        <v>Category Page</v>
      </c>
      <c r="G242" s="185" t="str">
        <f>IFERROR(__xludf.DUMMYFUNCTION("""COMPUTED_VALUE"""),"REFERENCE")</f>
        <v>REFERENCE</v>
      </c>
      <c r="H242" s="185" t="str">
        <f>IFERROR(__xludf.DUMMYFUNCTION("""COMPUTED_VALUE"""),"No")</f>
        <v>No</v>
      </c>
      <c r="I242" s="185" t="str">
        <f>IFERROR(__xludf.DUMMYFUNCTION("""COMPUTED_VALUE"""),"Medium")</f>
        <v>Medium</v>
      </c>
      <c r="J242" s="185" t="str">
        <f>IFERROR(__xludf.DUMMYFUNCTION("""COMPUTED_VALUE"""),"Yes")</f>
        <v>Yes</v>
      </c>
      <c r="K242" s="185" t="str">
        <f>IFERROR(__xludf.DUMMYFUNCTION("""COMPUTED_VALUE"""),"Victorious, BCG, Monks, Web Tonic, Major Tom, PwC")</f>
        <v>Victorious, BCG, Monks, Web Tonic, Major Tom, PwC</v>
      </c>
      <c r="L242" s="187">
        <f>IFERROR(__xludf.DUMMYFUNCTION("""COMPUTED_VALUE"""),1.0)</f>
        <v>1</v>
      </c>
      <c r="M242" s="188">
        <f>IFERROR(__xludf.DUMMYFUNCTION("""COMPUTED_VALUE"""),0.0)</f>
        <v>0</v>
      </c>
      <c r="N242" s="188">
        <f>IFERROR(__xludf.DUMMYFUNCTION("""COMPUTED_VALUE"""),1.0)</f>
        <v>1</v>
      </c>
      <c r="O242" s="208"/>
      <c r="P242" s="208"/>
      <c r="Q242" s="208"/>
      <c r="R242" s="208"/>
    </row>
    <row r="243">
      <c r="A243" s="185" t="str">
        <f>IFERROR(__xludf.DUMMYFUNCTION("""COMPUTED_VALUE"""),"Agency directory / review marketplace")</f>
        <v>Agency directory / review marketplace</v>
      </c>
      <c r="B243" s="186" t="str">
        <f>IFERROR(__xludf.DUMMYFUNCTION("""COMPUTED_VALUE"""),"https://digitalagencynetwork.com/agency/seer-interactive/")</f>
        <v>https://digitalagencynetwork.com/agency/seer-interactive/</v>
      </c>
      <c r="C243" s="185" t="str">
        <f>IFERROR(__xludf.DUMMYFUNCTION("""COMPUTED_VALUE"""),"Seer Interactive Agency | Digital Agency Network")</f>
        <v>Seer Interactive Agency | Digital Agency Network</v>
      </c>
      <c r="D243" s="185" t="str">
        <f>IFERROR(__xludf.DUMMYFUNCTION("""COMPUTED_VALUE"""),"US")</f>
        <v>US</v>
      </c>
      <c r="E243" s="185" t="str">
        <f>IFERROR(__xludf.DUMMYFUNCTION("""COMPUTED_VALUE"""),"digitalagencynetwork.com")</f>
        <v>digitalagencynetwork.com</v>
      </c>
      <c r="F243" s="185" t="str">
        <f>IFERROR(__xludf.DUMMYFUNCTION("""COMPUTED_VALUE"""),"Profile")</f>
        <v>Profile</v>
      </c>
      <c r="G243" s="185" t="str">
        <f>IFERROR(__xludf.DUMMYFUNCTION("""COMPUTED_VALUE"""),"REFERENCE")</f>
        <v>REFERENCE</v>
      </c>
      <c r="H243" s="185" t="str">
        <f>IFERROR(__xludf.DUMMYFUNCTION("""COMPUTED_VALUE"""),"No")</f>
        <v>No</v>
      </c>
      <c r="I243" s="185" t="str">
        <f>IFERROR(__xludf.DUMMYFUNCTION("""COMPUTED_VALUE"""),"Medium")</f>
        <v>Medium</v>
      </c>
      <c r="J243" s="185" t="str">
        <f>IFERROR(__xludf.DUMMYFUNCTION("""COMPUTED_VALUE"""),"Yes")</f>
        <v>Yes</v>
      </c>
      <c r="K243" s="185" t="str">
        <f>IFERROR(__xludf.DUMMYFUNCTION("""COMPUTED_VALUE"""),"Seer Interactive")</f>
        <v>Seer Interactive</v>
      </c>
      <c r="L243" s="187">
        <f>IFERROR(__xludf.DUMMYFUNCTION("""COMPUTED_VALUE"""),1.0)</f>
        <v>1</v>
      </c>
      <c r="M243" s="188">
        <f>IFERROR(__xludf.DUMMYFUNCTION("""COMPUTED_VALUE"""),0.0)</f>
        <v>0</v>
      </c>
      <c r="N243" s="188">
        <f>IFERROR(__xludf.DUMMYFUNCTION("""COMPUTED_VALUE"""),0.0)</f>
        <v>0</v>
      </c>
      <c r="O243" s="208"/>
      <c r="P243" s="208"/>
      <c r="Q243" s="208"/>
      <c r="R243" s="208"/>
    </row>
    <row r="244">
      <c r="A244" s="185" t="str">
        <f>IFERROR(__xludf.DUMMYFUNCTION("""COMPUTED_VALUE"""),"Agency directory / review marketplace")</f>
        <v>Agency directory / review marketplace</v>
      </c>
      <c r="B244" s="186" t="str">
        <f>IFERROR(__xludf.DUMMYFUNCTION("""COMPUTED_VALUE"""),"https://digitalagencynetwork.com/agency/webfx/")</f>
        <v>https://digitalagencynetwork.com/agency/webfx/</v>
      </c>
      <c r="C244" s="185" t="str">
        <f>IFERROR(__xludf.DUMMYFUNCTION("""COMPUTED_VALUE"""),"WebFX Agency | Digital Agency Network")</f>
        <v>WebFX Agency | Digital Agency Network</v>
      </c>
      <c r="D244" s="185" t="str">
        <f>IFERROR(__xludf.DUMMYFUNCTION("""COMPUTED_VALUE"""),"US")</f>
        <v>US</v>
      </c>
      <c r="E244" s="185" t="str">
        <f>IFERROR(__xludf.DUMMYFUNCTION("""COMPUTED_VALUE"""),"digitalagencynetwork.com")</f>
        <v>digitalagencynetwork.com</v>
      </c>
      <c r="F244" s="185" t="str">
        <f>IFERROR(__xludf.DUMMYFUNCTION("""COMPUTED_VALUE"""),"Profile")</f>
        <v>Profile</v>
      </c>
      <c r="G244" s="185" t="str">
        <f>IFERROR(__xludf.DUMMYFUNCTION("""COMPUTED_VALUE"""),"REFERENCE")</f>
        <v>REFERENCE</v>
      </c>
      <c r="H244" s="185" t="str">
        <f>IFERROR(__xludf.DUMMYFUNCTION("""COMPUTED_VALUE"""),"No")</f>
        <v>No</v>
      </c>
      <c r="I244" s="185" t="str">
        <f>IFERROR(__xludf.DUMMYFUNCTION("""COMPUTED_VALUE"""),"Medium")</f>
        <v>Medium</v>
      </c>
      <c r="J244" s="185" t="str">
        <f>IFERROR(__xludf.DUMMYFUNCTION("""COMPUTED_VALUE"""),"Yes")</f>
        <v>Yes</v>
      </c>
      <c r="K244" s="185" t="str">
        <f>IFERROR(__xludf.DUMMYFUNCTION("""COMPUTED_VALUE"""),"WebFX")</f>
        <v>WebFX</v>
      </c>
      <c r="L244" s="187">
        <f>IFERROR(__xludf.DUMMYFUNCTION("""COMPUTED_VALUE"""),1.0)</f>
        <v>1</v>
      </c>
      <c r="M244" s="188">
        <f>IFERROR(__xludf.DUMMYFUNCTION("""COMPUTED_VALUE"""),0.0)</f>
        <v>0</v>
      </c>
      <c r="N244" s="188">
        <f>IFERROR(__xludf.DUMMYFUNCTION("""COMPUTED_VALUE"""),1.0)</f>
        <v>1</v>
      </c>
      <c r="O244" s="208"/>
      <c r="P244" s="208"/>
      <c r="Q244" s="208"/>
      <c r="R244" s="208"/>
    </row>
    <row r="245">
      <c r="A245" s="185" t="str">
        <f>IFERROR(__xludf.DUMMYFUNCTION("""COMPUTED_VALUE"""),"Agency directory / review marketplace")</f>
        <v>Agency directory / review marketplace</v>
      </c>
      <c r="B245" s="186" t="str">
        <f>IFERROR(__xludf.DUMMYFUNCTION("""COMPUTED_VALUE"""),"https://digitalagencynetwork.com/geo-agency/")</f>
        <v>https://digitalagencynetwork.com/geo-agency/</v>
      </c>
      <c r="C245" s="185" t="str">
        <f>IFERROR(__xludf.DUMMYFUNCTION("""COMPUTED_VALUE"""),"What is a GEO Agency? Top 10 GEO Agencies Leading AI Search Optimization")</f>
        <v>What is a GEO Agency? Top 10 GEO Agencies Leading AI Search Optimization</v>
      </c>
      <c r="D245" s="185" t="str">
        <f>IFERROR(__xludf.DUMMYFUNCTION("""COMPUTED_VALUE"""),"US")</f>
        <v>US</v>
      </c>
      <c r="E245" s="185" t="str">
        <f>IFERROR(__xludf.DUMMYFUNCTION("""COMPUTED_VALUE"""),"digitalagencynetwork.com")</f>
        <v>digitalagencynetwork.com</v>
      </c>
      <c r="F245" s="185" t="str">
        <f>IFERROR(__xludf.DUMMYFUNCTION("""COMPUTED_VALUE"""),"Article")</f>
        <v>Article</v>
      </c>
      <c r="G245" s="185" t="str">
        <f>IFERROR(__xludf.DUMMYFUNCTION("""COMPUTED_VALUE"""),"REFERENCE")</f>
        <v>REFERENCE</v>
      </c>
      <c r="H245" s="185" t="str">
        <f>IFERROR(__xludf.DUMMYFUNCTION("""COMPUTED_VALUE"""),"No")</f>
        <v>No</v>
      </c>
      <c r="I245" s="185" t="str">
        <f>IFERROR(__xludf.DUMMYFUNCTION("""COMPUTED_VALUE"""),"Medium")</f>
        <v>Medium</v>
      </c>
      <c r="J245" s="185" t="str">
        <f>IFERROR(__xludf.DUMMYFUNCTION("""COMPUTED_VALUE"""),"Yes")</f>
        <v>Yes</v>
      </c>
      <c r="K245" s="185" t="str">
        <f>IFERROR(__xludf.DUMMYFUNCTION("""COMPUTED_VALUE"""),"McKinsey, QuantumBlack, BCG, Major Tom, SmartSites, The SEO Works")</f>
        <v>McKinsey, QuantumBlack, BCG, Major Tom, SmartSites, The SEO Works</v>
      </c>
      <c r="L245" s="187">
        <f>IFERROR(__xludf.DUMMYFUNCTION("""COMPUTED_VALUE"""),1.0)</f>
        <v>1</v>
      </c>
      <c r="M245" s="188">
        <f>IFERROR(__xludf.DUMMYFUNCTION("""COMPUTED_VALUE"""),0.0)</f>
        <v>0</v>
      </c>
      <c r="N245" s="188">
        <f>IFERROR(__xludf.DUMMYFUNCTION("""COMPUTED_VALUE"""),2.0)</f>
        <v>2</v>
      </c>
      <c r="O245" s="208"/>
      <c r="P245" s="208"/>
      <c r="Q245" s="208"/>
      <c r="R245" s="208"/>
    </row>
    <row r="246">
      <c r="A246" s="185" t="str">
        <f>IFERROR(__xludf.DUMMYFUNCTION("""COMPUTED_VALUE"""),"Official partner / certification ecosystem")</f>
        <v>Official partner / certification ecosystem</v>
      </c>
      <c r="B246" s="186" t="str">
        <f>IFERROR(__xludf.DUMMYFUNCTION("""COMPUTED_VALUE"""),"https://enterprisemarketingportal.google/find-a-partner/adswerve-us")</f>
        <v>https://enterprisemarketingportal.google/find-a-partner/adswerve-us</v>
      </c>
      <c r="C246" s="185"/>
      <c r="D246" s="185" t="str">
        <f>IFERROR(__xludf.DUMMYFUNCTION("""COMPUTED_VALUE"""),"US")</f>
        <v>US</v>
      </c>
      <c r="E246" s="185" t="str">
        <f>IFERROR(__xludf.DUMMYFUNCTION("""COMPUTED_VALUE"""),"enterprisemarketingportal.google")</f>
        <v>enterprisemarketingportal.google</v>
      </c>
      <c r="F246" s="185" t="str">
        <f>IFERROR(__xludf.DUMMYFUNCTION("""COMPUTED_VALUE"""),"Other")</f>
        <v>Other</v>
      </c>
      <c r="G246" s="185" t="str">
        <f>IFERROR(__xludf.DUMMYFUNCTION("""COMPUTED_VALUE"""),"OTHER")</f>
        <v>OTHER</v>
      </c>
      <c r="H246" s="185" t="str">
        <f>IFERROR(__xludf.DUMMYFUNCTION("""COMPUTED_VALUE"""),"No")</f>
        <v>No</v>
      </c>
      <c r="I246" s="185" t="str">
        <f>IFERROR(__xludf.DUMMYFUNCTION("""COMPUTED_VALUE"""),"High")</f>
        <v>High</v>
      </c>
      <c r="J246" s="185" t="str">
        <f>IFERROR(__xludf.DUMMYFUNCTION("""COMPUTED_VALUE"""),"Yes - priority")</f>
        <v>Yes - priority</v>
      </c>
      <c r="K246" s="185" t="str">
        <f>IFERROR(__xludf.DUMMYFUNCTION("""COMPUTED_VALUE"""),"Unknown")</f>
        <v>Unknown</v>
      </c>
      <c r="L246" s="187">
        <f>IFERROR(__xludf.DUMMYFUNCTION("""COMPUTED_VALUE"""),1.0)</f>
        <v>1</v>
      </c>
      <c r="M246" s="188">
        <f>IFERROR(__xludf.DUMMYFUNCTION("""COMPUTED_VALUE"""),0.0)</f>
        <v>0</v>
      </c>
      <c r="N246" s="188">
        <f>IFERROR(__xludf.DUMMYFUNCTION("""COMPUTED_VALUE"""),1.0)</f>
        <v>1</v>
      </c>
      <c r="O246" s="208"/>
      <c r="P246" s="208"/>
      <c r="Q246" s="208"/>
      <c r="R246" s="208"/>
    </row>
    <row r="247">
      <c r="A247" s="185" t="str">
        <f>IFERROR(__xludf.DUMMYFUNCTION("""COMPUTED_VALUE"""),"Analyst / research authority")</f>
        <v>Analyst / research authority</v>
      </c>
      <c r="B247" s="186" t="str">
        <f>IFERROR(__xludf.DUMMYFUNCTION("""COMPUTED_VALUE"""),"https://www.gartner.com/reviews/product/ogilvy-global-digital-marketing-agencies")</f>
        <v>https://www.gartner.com/reviews/product/ogilvy-global-digital-marketing-agencies</v>
      </c>
      <c r="C247" s="185" t="str">
        <f>IFERROR(__xludf.DUMMYFUNCTION("""COMPUTED_VALUE"""),"Ogilvy Global Digital Marketing Agencies Reviews &amp; Ratings 2026 \| Gartner Peer Insights")</f>
        <v>Ogilvy Global Digital Marketing Agencies Reviews &amp; Ratings 2026 \| Gartner Peer Insights</v>
      </c>
      <c r="D247" s="185" t="str">
        <f>IFERROR(__xludf.DUMMYFUNCTION("""COMPUTED_VALUE"""),"US")</f>
        <v>US</v>
      </c>
      <c r="E247" s="185" t="str">
        <f>IFERROR(__xludf.DUMMYFUNCTION("""COMPUTED_VALUE"""),"gartner.com")</f>
        <v>gartner.com</v>
      </c>
      <c r="F247" s="185" t="str">
        <f>IFERROR(__xludf.DUMMYFUNCTION("""COMPUTED_VALUE"""),"Profile")</f>
        <v>Profile</v>
      </c>
      <c r="G247" s="185" t="str">
        <f>IFERROR(__xludf.DUMMYFUNCTION("""COMPUTED_VALUE"""),"CORPORATE")</f>
        <v>CORPORATE</v>
      </c>
      <c r="H247" s="185" t="str">
        <f>IFERROR(__xludf.DUMMYFUNCTION("""COMPUTED_VALUE"""),"No")</f>
        <v>No</v>
      </c>
      <c r="I247" s="185" t="str">
        <f>IFERROR(__xludf.DUMMYFUNCTION("""COMPUTED_VALUE"""),"High")</f>
        <v>High</v>
      </c>
      <c r="J247" s="185" t="str">
        <f>IFERROR(__xludf.DUMMYFUNCTION("""COMPUTED_VALUE"""),"Yes - priority")</f>
        <v>Yes - priority</v>
      </c>
      <c r="K247" s="185" t="str">
        <f>IFERROR(__xludf.DUMMYFUNCTION("""COMPUTED_VALUE"""),"Ogilvy, VML, Accenture Song, Digitas")</f>
        <v>Ogilvy, VML, Accenture Song, Digitas</v>
      </c>
      <c r="L247" s="187">
        <f>IFERROR(__xludf.DUMMYFUNCTION("""COMPUTED_VALUE"""),1.0)</f>
        <v>1</v>
      </c>
      <c r="M247" s="188">
        <f>IFERROR(__xludf.DUMMYFUNCTION("""COMPUTED_VALUE"""),0.0)</f>
        <v>0</v>
      </c>
      <c r="N247" s="188">
        <f>IFERROR(__xludf.DUMMYFUNCTION("""COMPUTED_VALUE"""),1.0)</f>
        <v>1</v>
      </c>
      <c r="O247" s="208"/>
      <c r="P247" s="208"/>
      <c r="Q247" s="208"/>
      <c r="R247" s="208"/>
    </row>
    <row r="248">
      <c r="A248" s="185" t="str">
        <f>IFERROR(__xludf.DUMMYFUNCTION("""COMPUTED_VALUE"""),"Agency directory / review marketplace")</f>
        <v>Agency directory / review marketplace</v>
      </c>
      <c r="B248" s="186" t="str">
        <f>IFERROR(__xludf.DUMMYFUNCTION("""COMPUTED_VALUE"""),"https://www.goodfirms.co/advertising-companies/creative/usa?page=12")</f>
        <v>https://www.goodfirms.co/advertising-companies/creative/usa?page=12</v>
      </c>
      <c r="C248" s="185" t="str">
        <f>IFERROR(__xludf.DUMMYFUNCTION("""COMPUTED_VALUE"""),"Top Creative Agencies in the United States - 2026 Reviews | Goodfirms")</f>
        <v>Top Creative Agencies in the United States - 2026 Reviews | Goodfirms</v>
      </c>
      <c r="D248" s="185" t="str">
        <f>IFERROR(__xludf.DUMMYFUNCTION("""COMPUTED_VALUE"""),"US")</f>
        <v>US</v>
      </c>
      <c r="E248" s="185" t="str">
        <f>IFERROR(__xludf.DUMMYFUNCTION("""COMPUTED_VALUE"""),"goodfirms.co")</f>
        <v>goodfirms.co</v>
      </c>
      <c r="F248" s="185" t="str">
        <f>IFERROR(__xludf.DUMMYFUNCTION("""COMPUTED_VALUE"""),"Listicle")</f>
        <v>Listicle</v>
      </c>
      <c r="G248" s="185" t="str">
        <f>IFERROR(__xludf.DUMMYFUNCTION("""COMPUTED_VALUE"""),"UGC")</f>
        <v>UGC</v>
      </c>
      <c r="H248" s="185" t="str">
        <f>IFERROR(__xludf.DUMMYFUNCTION("""COMPUTED_VALUE"""),"No")</f>
        <v>No</v>
      </c>
      <c r="I248" s="185" t="str">
        <f>IFERROR(__xludf.DUMMYFUNCTION("""COMPUTED_VALUE"""),"Medium")</f>
        <v>Medium</v>
      </c>
      <c r="J248" s="185" t="str">
        <f>IFERROR(__xludf.DUMMYFUNCTION("""COMPUTED_VALUE"""),"Yes")</f>
        <v>Yes</v>
      </c>
      <c r="K248" s="185" t="str">
        <f>IFERROR(__xludf.DUMMYFUNCTION("""COMPUTED_VALUE"""),"Measured")</f>
        <v>Measured</v>
      </c>
      <c r="L248" s="187">
        <f>IFERROR(__xludf.DUMMYFUNCTION("""COMPUTED_VALUE"""),1.0)</f>
        <v>1</v>
      </c>
      <c r="M248" s="188">
        <f>IFERROR(__xludf.DUMMYFUNCTION("""COMPUTED_VALUE"""),0.0)</f>
        <v>0</v>
      </c>
      <c r="N248" s="188">
        <f>IFERROR(__xludf.DUMMYFUNCTION("""COMPUTED_VALUE"""),0.0)</f>
        <v>0</v>
      </c>
      <c r="O248" s="208"/>
      <c r="P248" s="208"/>
      <c r="Q248" s="208"/>
      <c r="R248" s="208"/>
    </row>
    <row r="249">
      <c r="A249" s="185" t="str">
        <f>IFERROR(__xludf.DUMMYFUNCTION("""COMPUTED_VALUE"""),"Agency directory / review marketplace")</f>
        <v>Agency directory / review marketplace</v>
      </c>
      <c r="B249" s="186" t="str">
        <f>IFERROR(__xludf.DUMMYFUNCTION("""COMPUTED_VALUE"""),"https://www.goodfirms.co/advertising-companies/creative/usa?page=6")</f>
        <v>https://www.goodfirms.co/advertising-companies/creative/usa?page=6</v>
      </c>
      <c r="C249" s="185" t="str">
        <f>IFERROR(__xludf.DUMMYFUNCTION("""COMPUTED_VALUE"""),"Top Creative Agencies in the United States - 2026 Reviews | Goodfirms")</f>
        <v>Top Creative Agencies in the United States - 2026 Reviews | Goodfirms</v>
      </c>
      <c r="D249" s="185" t="str">
        <f>IFERROR(__xludf.DUMMYFUNCTION("""COMPUTED_VALUE"""),"US")</f>
        <v>US</v>
      </c>
      <c r="E249" s="185" t="str">
        <f>IFERROR(__xludf.DUMMYFUNCTION("""COMPUTED_VALUE"""),"goodfirms.co")</f>
        <v>goodfirms.co</v>
      </c>
      <c r="F249" s="185" t="str">
        <f>IFERROR(__xludf.DUMMYFUNCTION("""COMPUTED_VALUE"""),"Category Page")</f>
        <v>Category Page</v>
      </c>
      <c r="G249" s="185" t="str">
        <f>IFERROR(__xludf.DUMMYFUNCTION("""COMPUTED_VALUE"""),"UGC")</f>
        <v>UGC</v>
      </c>
      <c r="H249" s="185" t="str">
        <f>IFERROR(__xludf.DUMMYFUNCTION("""COMPUTED_VALUE"""),"No")</f>
        <v>No</v>
      </c>
      <c r="I249" s="185" t="str">
        <f>IFERROR(__xludf.DUMMYFUNCTION("""COMPUTED_VALUE"""),"Medium")</f>
        <v>Medium</v>
      </c>
      <c r="J249" s="185" t="str">
        <f>IFERROR(__xludf.DUMMYFUNCTION("""COMPUTED_VALUE"""),"Yes")</f>
        <v>Yes</v>
      </c>
      <c r="K249" s="185" t="str">
        <f>IFERROR(__xludf.DUMMYFUNCTION("""COMPUTED_VALUE"""),"Momentum, Accelerated Digital Media")</f>
        <v>Momentum, Accelerated Digital Media</v>
      </c>
      <c r="L249" s="187">
        <f>IFERROR(__xludf.DUMMYFUNCTION("""COMPUTED_VALUE"""),1.0)</f>
        <v>1</v>
      </c>
      <c r="M249" s="188">
        <f>IFERROR(__xludf.DUMMYFUNCTION("""COMPUTED_VALUE"""),0.0)</f>
        <v>0</v>
      </c>
      <c r="N249" s="188">
        <f>IFERROR(__xludf.DUMMYFUNCTION("""COMPUTED_VALUE"""),0.0)</f>
        <v>0</v>
      </c>
      <c r="O249" s="208"/>
      <c r="P249" s="208"/>
      <c r="Q249" s="208"/>
      <c r="R249" s="208"/>
    </row>
    <row r="250">
      <c r="A250" s="185" t="str">
        <f>IFERROR(__xludf.DUMMYFUNCTION("""COMPUTED_VALUE"""),"Agency directory / review marketplace")</f>
        <v>Agency directory / review marketplace</v>
      </c>
      <c r="B250" s="186" t="str">
        <f>IFERROR(__xludf.DUMMYFUNCTION("""COMPUTED_VALUE"""),"https://www.goodfirms.co/advertising-companies/creative?sort_by=rating")</f>
        <v>https://www.goodfirms.co/advertising-companies/creative?sort_by=rating</v>
      </c>
      <c r="C250" s="185" t="str">
        <f>IFERROR(__xludf.DUMMYFUNCTION("""COMPUTED_VALUE"""),"Top Creative Agencies - 2026 Reviews | Goodfirms")</f>
        <v>Top Creative Agencies - 2026 Reviews | Goodfirms</v>
      </c>
      <c r="D250" s="185" t="str">
        <f>IFERROR(__xludf.DUMMYFUNCTION("""COMPUTED_VALUE"""),"US")</f>
        <v>US</v>
      </c>
      <c r="E250" s="185" t="str">
        <f>IFERROR(__xludf.DUMMYFUNCTION("""COMPUTED_VALUE"""),"goodfirms.co")</f>
        <v>goodfirms.co</v>
      </c>
      <c r="F250" s="185" t="str">
        <f>IFERROR(__xludf.DUMMYFUNCTION("""COMPUTED_VALUE"""),"Other")</f>
        <v>Other</v>
      </c>
      <c r="G250" s="185" t="str">
        <f>IFERROR(__xludf.DUMMYFUNCTION("""COMPUTED_VALUE"""),"UGC")</f>
        <v>UGC</v>
      </c>
      <c r="H250" s="185" t="str">
        <f>IFERROR(__xludf.DUMMYFUNCTION("""COMPUTED_VALUE"""),"No")</f>
        <v>No</v>
      </c>
      <c r="I250" s="185" t="str">
        <f>IFERROR(__xludf.DUMMYFUNCTION("""COMPUTED_VALUE"""),"Medium")</f>
        <v>Medium</v>
      </c>
      <c r="J250" s="185" t="str">
        <f>IFERROR(__xludf.DUMMYFUNCTION("""COMPUTED_VALUE"""),"Yes")</f>
        <v>Yes</v>
      </c>
      <c r="K250" s="185" t="str">
        <f>IFERROR(__xludf.DUMMYFUNCTION("""COMPUTED_VALUE"""),"IBM")</f>
        <v>IBM</v>
      </c>
      <c r="L250" s="187">
        <f>IFERROR(__xludf.DUMMYFUNCTION("""COMPUTED_VALUE"""),1.0)</f>
        <v>1</v>
      </c>
      <c r="M250" s="188">
        <f>IFERROR(__xludf.DUMMYFUNCTION("""COMPUTED_VALUE"""),0.0)</f>
        <v>0</v>
      </c>
      <c r="N250" s="188">
        <f>IFERROR(__xludf.DUMMYFUNCTION("""COMPUTED_VALUE"""),0.0)</f>
        <v>0</v>
      </c>
      <c r="O250" s="208"/>
      <c r="P250" s="208"/>
      <c r="Q250" s="208"/>
      <c r="R250" s="208"/>
    </row>
    <row r="251">
      <c r="A251" s="185" t="str">
        <f>IFERROR(__xludf.DUMMYFUNCTION("""COMPUTED_VALUE"""),"Agency directory / review marketplace")</f>
        <v>Agency directory / review marketplace</v>
      </c>
      <c r="B251" s="186" t="str">
        <f>IFERROR(__xludf.DUMMYFUNCTION("""COMPUTED_VALUE"""),"https://www.goodfirms.co/advertising-companies/usa")</f>
        <v>https://www.goodfirms.co/advertising-companies/usa</v>
      </c>
      <c r="C251" s="185" t="str">
        <f>IFERROR(__xludf.DUMMYFUNCTION("""COMPUTED_VALUE"""),"Top Advertising Agencies in the USA - 2026 Reviews | Goodfirms")</f>
        <v>Top Advertising Agencies in the USA - 2026 Reviews | Goodfirms</v>
      </c>
      <c r="D251" s="185" t="str">
        <f>IFERROR(__xludf.DUMMYFUNCTION("""COMPUTED_VALUE"""),"US")</f>
        <v>US</v>
      </c>
      <c r="E251" s="185" t="str">
        <f>IFERROR(__xludf.DUMMYFUNCTION("""COMPUTED_VALUE"""),"goodfirms.co")</f>
        <v>goodfirms.co</v>
      </c>
      <c r="F251" s="185" t="str">
        <f>IFERROR(__xludf.DUMMYFUNCTION("""COMPUTED_VALUE"""),"Category Page")</f>
        <v>Category Page</v>
      </c>
      <c r="G251" s="185" t="str">
        <f>IFERROR(__xludf.DUMMYFUNCTION("""COMPUTED_VALUE"""),"UGC")</f>
        <v>UGC</v>
      </c>
      <c r="H251" s="185" t="str">
        <f>IFERROR(__xludf.DUMMYFUNCTION("""COMPUTED_VALUE"""),"No")</f>
        <v>No</v>
      </c>
      <c r="I251" s="185" t="str">
        <f>IFERROR(__xludf.DUMMYFUNCTION("""COMPUTED_VALUE"""),"Medium")</f>
        <v>Medium</v>
      </c>
      <c r="J251" s="185" t="str">
        <f>IFERROR(__xludf.DUMMYFUNCTION("""COMPUTED_VALUE"""),"Yes")</f>
        <v>Yes</v>
      </c>
      <c r="K251" s="185" t="str">
        <f>IFERROR(__xludf.DUMMYFUNCTION("""COMPUTED_VALUE"""),"Funnel Boost Media")</f>
        <v>Funnel Boost Media</v>
      </c>
      <c r="L251" s="187">
        <f>IFERROR(__xludf.DUMMYFUNCTION("""COMPUTED_VALUE"""),1.0)</f>
        <v>1</v>
      </c>
      <c r="M251" s="188">
        <f>IFERROR(__xludf.DUMMYFUNCTION("""COMPUTED_VALUE"""),0.0)</f>
        <v>0</v>
      </c>
      <c r="N251" s="188">
        <f>IFERROR(__xludf.DUMMYFUNCTION("""COMPUTED_VALUE"""),0.0)</f>
        <v>0</v>
      </c>
      <c r="O251" s="208"/>
      <c r="P251" s="208"/>
      <c r="Q251" s="208"/>
      <c r="R251" s="208"/>
    </row>
    <row r="252">
      <c r="A252" s="185" t="str">
        <f>IFERROR(__xludf.DUMMYFUNCTION("""COMPUTED_VALUE"""),"Agency directory / review marketplace")</f>
        <v>Agency directory / review marketplace</v>
      </c>
      <c r="B252" s="186" t="str">
        <f>IFERROR(__xludf.DUMMYFUNCTION("""COMPUTED_VALUE"""),"https://www.goodfirms.co/directory/country/top-digital-marketing-companies/us?reviews=1&amp;sort_by=rating")</f>
        <v>https://www.goodfirms.co/directory/country/top-digital-marketing-companies/us?reviews=1&amp;sort_by=rating</v>
      </c>
      <c r="C252" s="185" t="str">
        <f>IFERROR(__xludf.DUMMYFUNCTION("""COMPUTED_VALUE"""),"Top Digital Marketing Agencies in USA - 2026 Reviews | Goodfirms")</f>
        <v>Top Digital Marketing Agencies in USA - 2026 Reviews | Goodfirms</v>
      </c>
      <c r="D252" s="185" t="str">
        <f>IFERROR(__xludf.DUMMYFUNCTION("""COMPUTED_VALUE"""),"US")</f>
        <v>US</v>
      </c>
      <c r="E252" s="185" t="str">
        <f>IFERROR(__xludf.DUMMYFUNCTION("""COMPUTED_VALUE"""),"goodfirms.co")</f>
        <v>goodfirms.co</v>
      </c>
      <c r="F252" s="185" t="str">
        <f>IFERROR(__xludf.DUMMYFUNCTION("""COMPUTED_VALUE"""),"Other")</f>
        <v>Other</v>
      </c>
      <c r="G252" s="185" t="str">
        <f>IFERROR(__xludf.DUMMYFUNCTION("""COMPUTED_VALUE"""),"UGC")</f>
        <v>UGC</v>
      </c>
      <c r="H252" s="185" t="str">
        <f>IFERROR(__xludf.DUMMYFUNCTION("""COMPUTED_VALUE"""),"No")</f>
        <v>No</v>
      </c>
      <c r="I252" s="185" t="str">
        <f>IFERROR(__xludf.DUMMYFUNCTION("""COMPUTED_VALUE"""),"Medium")</f>
        <v>Medium</v>
      </c>
      <c r="J252" s="185" t="str">
        <f>IFERROR(__xludf.DUMMYFUNCTION("""COMPUTED_VALUE"""),"Yes")</f>
        <v>Yes</v>
      </c>
      <c r="K252" s="185" t="str">
        <f>IFERROR(__xludf.DUMMYFUNCTION("""COMPUTED_VALUE"""),"Funnel Boost Media, Elit-Web, Searchbloom, Storm Brain")</f>
        <v>Funnel Boost Media, Elit-Web, Searchbloom, Storm Brain</v>
      </c>
      <c r="L252" s="187">
        <f>IFERROR(__xludf.DUMMYFUNCTION("""COMPUTED_VALUE"""),1.0)</f>
        <v>1</v>
      </c>
      <c r="M252" s="188">
        <f>IFERROR(__xludf.DUMMYFUNCTION("""COMPUTED_VALUE"""),0.0)</f>
        <v>0</v>
      </c>
      <c r="N252" s="188">
        <f>IFERROR(__xludf.DUMMYFUNCTION("""COMPUTED_VALUE"""),0.0)</f>
        <v>0</v>
      </c>
      <c r="O252" s="208"/>
      <c r="P252" s="208"/>
      <c r="Q252" s="208"/>
      <c r="R252" s="208"/>
    </row>
    <row r="253">
      <c r="A253" s="185" t="str">
        <f>IFERROR(__xludf.DUMMYFUNCTION("""COMPUTED_VALUE"""),"Agency directory / review marketplace")</f>
        <v>Agency directory / review marketplace</v>
      </c>
      <c r="B253" s="186" t="str">
        <f>IFERROR(__xludf.DUMMYFUNCTION("""COMPUTED_VALUE"""),"https://www.goodfirms.co/directory/country/top-digital-marketing-companies/us?sid=3951")</f>
        <v>https://www.goodfirms.co/directory/country/top-digital-marketing-companies/us?sid=3951</v>
      </c>
      <c r="C253" s="185" t="str">
        <f>IFERROR(__xludf.DUMMYFUNCTION("""COMPUTED_VALUE"""),"Top Digital Marketing Agencies in USA - 2026 Reviews | Goodfirms")</f>
        <v>Top Digital Marketing Agencies in USA - 2026 Reviews | Goodfirms</v>
      </c>
      <c r="D253" s="185" t="str">
        <f>IFERROR(__xludf.DUMMYFUNCTION("""COMPUTED_VALUE"""),"US")</f>
        <v>US</v>
      </c>
      <c r="E253" s="185" t="str">
        <f>IFERROR(__xludf.DUMMYFUNCTION("""COMPUTED_VALUE"""),"goodfirms.co")</f>
        <v>goodfirms.co</v>
      </c>
      <c r="F253" s="185" t="str">
        <f>IFERROR(__xludf.DUMMYFUNCTION("""COMPUTED_VALUE"""),"Other")</f>
        <v>Other</v>
      </c>
      <c r="G253" s="185" t="str">
        <f>IFERROR(__xludf.DUMMYFUNCTION("""COMPUTED_VALUE"""),"UGC")</f>
        <v>UGC</v>
      </c>
      <c r="H253" s="185" t="str">
        <f>IFERROR(__xludf.DUMMYFUNCTION("""COMPUTED_VALUE"""),"No")</f>
        <v>No</v>
      </c>
      <c r="I253" s="185" t="str">
        <f>IFERROR(__xludf.DUMMYFUNCTION("""COMPUTED_VALUE"""),"Medium")</f>
        <v>Medium</v>
      </c>
      <c r="J253" s="185" t="str">
        <f>IFERROR(__xludf.DUMMYFUNCTION("""COMPUTED_VALUE"""),"Yes")</f>
        <v>Yes</v>
      </c>
      <c r="K253" s="185" t="str">
        <f>IFERROR(__xludf.DUMMYFUNCTION("""COMPUTED_VALUE"""),"Searchbloom, Elit-Web, Storm Brain")</f>
        <v>Searchbloom, Elit-Web, Storm Brain</v>
      </c>
      <c r="L253" s="187">
        <f>IFERROR(__xludf.DUMMYFUNCTION("""COMPUTED_VALUE"""),1.0)</f>
        <v>1</v>
      </c>
      <c r="M253" s="188">
        <f>IFERROR(__xludf.DUMMYFUNCTION("""COMPUTED_VALUE"""),0.0)</f>
        <v>0</v>
      </c>
      <c r="N253" s="188">
        <f>IFERROR(__xludf.DUMMYFUNCTION("""COMPUTED_VALUE"""),0.0)</f>
        <v>0</v>
      </c>
      <c r="O253" s="208"/>
      <c r="P253" s="208"/>
      <c r="Q253" s="208"/>
      <c r="R253" s="208"/>
    </row>
    <row r="254">
      <c r="A254" s="185" t="str">
        <f>IFERROR(__xludf.DUMMYFUNCTION("""COMPUTED_VALUE"""),"Agency directory / review marketplace")</f>
        <v>Agency directory / review marketplace</v>
      </c>
      <c r="B254" s="186" t="str">
        <f>IFERROR(__xludf.DUMMYFUNCTION("""COMPUTED_VALUE"""),"https://www.goodfirms.co/directory/country/top-digital-marketing-companies/us?sid=3953")</f>
        <v>https://www.goodfirms.co/directory/country/top-digital-marketing-companies/us?sid=3953</v>
      </c>
      <c r="C254" s="185" t="str">
        <f>IFERROR(__xludf.DUMMYFUNCTION("""COMPUTED_VALUE"""),"Top Digital Marketing Agencies in USA - 2026 Reviews | Goodfirms")</f>
        <v>Top Digital Marketing Agencies in USA - 2026 Reviews | Goodfirms</v>
      </c>
      <c r="D254" s="185" t="str">
        <f>IFERROR(__xludf.DUMMYFUNCTION("""COMPUTED_VALUE"""),"US")</f>
        <v>US</v>
      </c>
      <c r="E254" s="185" t="str">
        <f>IFERROR(__xludf.DUMMYFUNCTION("""COMPUTED_VALUE"""),"goodfirms.co")</f>
        <v>goodfirms.co</v>
      </c>
      <c r="F254" s="185" t="str">
        <f>IFERROR(__xludf.DUMMYFUNCTION("""COMPUTED_VALUE"""),"Other")</f>
        <v>Other</v>
      </c>
      <c r="G254" s="185" t="str">
        <f>IFERROR(__xludf.DUMMYFUNCTION("""COMPUTED_VALUE"""),"UGC")</f>
        <v>UGC</v>
      </c>
      <c r="H254" s="185" t="str">
        <f>IFERROR(__xludf.DUMMYFUNCTION("""COMPUTED_VALUE"""),"No")</f>
        <v>No</v>
      </c>
      <c r="I254" s="185" t="str">
        <f>IFERROR(__xludf.DUMMYFUNCTION("""COMPUTED_VALUE"""),"Medium")</f>
        <v>Medium</v>
      </c>
      <c r="J254" s="185" t="str">
        <f>IFERROR(__xludf.DUMMYFUNCTION("""COMPUTED_VALUE"""),"Yes")</f>
        <v>Yes</v>
      </c>
      <c r="K254" s="185" t="str">
        <f>IFERROR(__xludf.DUMMYFUNCTION("""COMPUTED_VALUE"""),"Searchbloom, SmartSites, Elit-Web, Storm Brain")</f>
        <v>Searchbloom, SmartSites, Elit-Web, Storm Brain</v>
      </c>
      <c r="L254" s="187">
        <f>IFERROR(__xludf.DUMMYFUNCTION("""COMPUTED_VALUE"""),1.0)</f>
        <v>1</v>
      </c>
      <c r="M254" s="188">
        <f>IFERROR(__xludf.DUMMYFUNCTION("""COMPUTED_VALUE"""),0.0)</f>
        <v>0</v>
      </c>
      <c r="N254" s="188">
        <f>IFERROR(__xludf.DUMMYFUNCTION("""COMPUTED_VALUE"""),0.0)</f>
        <v>0</v>
      </c>
      <c r="O254" s="208"/>
      <c r="P254" s="208"/>
      <c r="Q254" s="208"/>
      <c r="R254" s="208"/>
    </row>
    <row r="255">
      <c r="A255" s="185" t="str">
        <f>IFERROR(__xludf.DUMMYFUNCTION("""COMPUTED_VALUE"""),"Agency directory / review marketplace")</f>
        <v>Agency directory / review marketplace</v>
      </c>
      <c r="B255" s="186" t="str">
        <f>IFERROR(__xludf.DUMMYFUNCTION("""COMPUTED_VALUE"""),"https://www.goodfirms.co/directory/country/top-digital-marketing-companies/us?sid=3975")</f>
        <v>https://www.goodfirms.co/directory/country/top-digital-marketing-companies/us?sid=3975</v>
      </c>
      <c r="C255" s="185" t="str">
        <f>IFERROR(__xludf.DUMMYFUNCTION("""COMPUTED_VALUE"""),"Top Digital Marketing Agencies in USA - 2026 Reviews | Goodfirms")</f>
        <v>Top Digital Marketing Agencies in USA - 2026 Reviews | Goodfirms</v>
      </c>
      <c r="D255" s="185" t="str">
        <f>IFERROR(__xludf.DUMMYFUNCTION("""COMPUTED_VALUE"""),"US")</f>
        <v>US</v>
      </c>
      <c r="E255" s="185" t="str">
        <f>IFERROR(__xludf.DUMMYFUNCTION("""COMPUTED_VALUE"""),"goodfirms.co")</f>
        <v>goodfirms.co</v>
      </c>
      <c r="F255" s="185" t="str">
        <f>IFERROR(__xludf.DUMMYFUNCTION("""COMPUTED_VALUE"""),"Other")</f>
        <v>Other</v>
      </c>
      <c r="G255" s="185" t="str">
        <f>IFERROR(__xludf.DUMMYFUNCTION("""COMPUTED_VALUE"""),"UGC")</f>
        <v>UGC</v>
      </c>
      <c r="H255" s="185" t="str">
        <f>IFERROR(__xludf.DUMMYFUNCTION("""COMPUTED_VALUE"""),"No")</f>
        <v>No</v>
      </c>
      <c r="I255" s="185" t="str">
        <f>IFERROR(__xludf.DUMMYFUNCTION("""COMPUTED_VALUE"""),"Medium")</f>
        <v>Medium</v>
      </c>
      <c r="J255" s="185" t="str">
        <f>IFERROR(__xludf.DUMMYFUNCTION("""COMPUTED_VALUE"""),"Yes")</f>
        <v>Yes</v>
      </c>
      <c r="K255" s="185" t="str">
        <f>IFERROR(__xludf.DUMMYFUNCTION("""COMPUTED_VALUE"""),"WebFX, Searchbloom, SmartSites, Elit-Web, Storm Brain")</f>
        <v>WebFX, Searchbloom, SmartSites, Elit-Web, Storm Brain</v>
      </c>
      <c r="L255" s="187">
        <f>IFERROR(__xludf.DUMMYFUNCTION("""COMPUTED_VALUE"""),1.0)</f>
        <v>1</v>
      </c>
      <c r="M255" s="188">
        <f>IFERROR(__xludf.DUMMYFUNCTION("""COMPUTED_VALUE"""),0.0)</f>
        <v>0</v>
      </c>
      <c r="N255" s="188">
        <f>IFERROR(__xludf.DUMMYFUNCTION("""COMPUTED_VALUE"""),0.0)</f>
        <v>0</v>
      </c>
      <c r="O255" s="208"/>
      <c r="P255" s="208"/>
      <c r="Q255" s="208"/>
      <c r="R255" s="208"/>
    </row>
    <row r="256">
      <c r="A256" s="185" t="str">
        <f>IFERROR(__xludf.DUMMYFUNCTION("""COMPUTED_VALUE"""),"Agency directory / review marketplace")</f>
        <v>Agency directory / review marketplace</v>
      </c>
      <c r="B256" s="186" t="str">
        <f>IFERROR(__xludf.DUMMYFUNCTION("""COMPUTED_VALUE"""),"https://www.goodfirms.co/directory/marketing-services/top-digital-marketing-companies")</f>
        <v>https://www.goodfirms.co/directory/marketing-services/top-digital-marketing-companies</v>
      </c>
      <c r="C256" s="185" t="str">
        <f>IFERROR(__xludf.DUMMYFUNCTION("""COMPUTED_VALUE"""),"Top Digital Marketing Companies - 2026 Reviews | Goodfirms")</f>
        <v>Top Digital Marketing Companies - 2026 Reviews | Goodfirms</v>
      </c>
      <c r="D256" s="185" t="str">
        <f>IFERROR(__xludf.DUMMYFUNCTION("""COMPUTED_VALUE"""),"US")</f>
        <v>US</v>
      </c>
      <c r="E256" s="185" t="str">
        <f>IFERROR(__xludf.DUMMYFUNCTION("""COMPUTED_VALUE"""),"goodfirms.co")</f>
        <v>goodfirms.co</v>
      </c>
      <c r="F256" s="185" t="str">
        <f>IFERROR(__xludf.DUMMYFUNCTION("""COMPUTED_VALUE"""),"Category Page")</f>
        <v>Category Page</v>
      </c>
      <c r="G256" s="185" t="str">
        <f>IFERROR(__xludf.DUMMYFUNCTION("""COMPUTED_VALUE"""),"UGC")</f>
        <v>UGC</v>
      </c>
      <c r="H256" s="185" t="str">
        <f>IFERROR(__xludf.DUMMYFUNCTION("""COMPUTED_VALUE"""),"No")</f>
        <v>No</v>
      </c>
      <c r="I256" s="185" t="str">
        <f>IFERROR(__xludf.DUMMYFUNCTION("""COMPUTED_VALUE"""),"Medium")</f>
        <v>Medium</v>
      </c>
      <c r="J256" s="185" t="str">
        <f>IFERROR(__xludf.DUMMYFUNCTION("""COMPUTED_VALUE"""),"Yes")</f>
        <v>Yes</v>
      </c>
      <c r="K256" s="185" t="str">
        <f>IFERROR(__xludf.DUMMYFUNCTION("""COMPUTED_VALUE"""),"WebFX, Searchbloom, SmartSites, Funnel Boost Media, Elit-Web, Power Digital")</f>
        <v>WebFX, Searchbloom, SmartSites, Funnel Boost Media, Elit-Web, Power Digital</v>
      </c>
      <c r="L256" s="187">
        <f>IFERROR(__xludf.DUMMYFUNCTION("""COMPUTED_VALUE"""),1.0)</f>
        <v>1</v>
      </c>
      <c r="M256" s="188">
        <f>IFERROR(__xludf.DUMMYFUNCTION("""COMPUTED_VALUE"""),0.0)</f>
        <v>0</v>
      </c>
      <c r="N256" s="188">
        <f>IFERROR(__xludf.DUMMYFUNCTION("""COMPUTED_VALUE"""),0.0)</f>
        <v>0</v>
      </c>
      <c r="O256" s="208"/>
      <c r="P256" s="208"/>
      <c r="Q256" s="208"/>
      <c r="R256" s="208"/>
    </row>
    <row r="257">
      <c r="A257" s="185" t="str">
        <f>IFERROR(__xludf.DUMMYFUNCTION("""COMPUTED_VALUE"""),"Agency directory / review marketplace")</f>
        <v>Agency directory / review marketplace</v>
      </c>
      <c r="B257" s="186" t="str">
        <f>IFERROR(__xludf.DUMMYFUNCTION("""COMPUTED_VALUE"""),"https://www.goodfirms.co/directory/marketing-services/top-digital-marketing-companies/generative-engine-optimization")</f>
        <v>https://www.goodfirms.co/directory/marketing-services/top-digital-marketing-companies/generative-engine-optimization</v>
      </c>
      <c r="C257" s="185" t="str">
        <f>IFERROR(__xludf.DUMMYFUNCTION("""COMPUTED_VALUE"""),"Top Generative Engine Optimization (GEO) Companies - 2026 Reviews | Goodfirms")</f>
        <v>Top Generative Engine Optimization (GEO) Companies - 2026 Reviews | Goodfirms</v>
      </c>
      <c r="D257" s="185" t="str">
        <f>IFERROR(__xludf.DUMMYFUNCTION("""COMPUTED_VALUE"""),"US")</f>
        <v>US</v>
      </c>
      <c r="E257" s="185" t="str">
        <f>IFERROR(__xludf.DUMMYFUNCTION("""COMPUTED_VALUE"""),"goodfirms.co")</f>
        <v>goodfirms.co</v>
      </c>
      <c r="F257" s="185" t="str">
        <f>IFERROR(__xludf.DUMMYFUNCTION("""COMPUTED_VALUE"""),"Category Page")</f>
        <v>Category Page</v>
      </c>
      <c r="G257" s="185" t="str">
        <f>IFERROR(__xludf.DUMMYFUNCTION("""COMPUTED_VALUE"""),"UGC")</f>
        <v>UGC</v>
      </c>
      <c r="H257" s="185" t="str">
        <f>IFERROR(__xludf.DUMMYFUNCTION("""COMPUTED_VALUE"""),"No")</f>
        <v>No</v>
      </c>
      <c r="I257" s="185" t="str">
        <f>IFERROR(__xludf.DUMMYFUNCTION("""COMPUTED_VALUE"""),"Medium")</f>
        <v>Medium</v>
      </c>
      <c r="J257" s="185" t="str">
        <f>IFERROR(__xludf.DUMMYFUNCTION("""COMPUTED_VALUE"""),"Yes")</f>
        <v>Yes</v>
      </c>
      <c r="K257" s="185" t="str">
        <f>IFERROR(__xludf.DUMMYFUNCTION("""COMPUTED_VALUE"""),"WebFX, Searchbloom, Elit-Web, Intero Digital, Go Fish Digital, Ignite Visibility, Measured, Funnel Boost Media")</f>
        <v>WebFX, Searchbloom, Elit-Web, Intero Digital, Go Fish Digital, Ignite Visibility, Measured, Funnel Boost Media</v>
      </c>
      <c r="L257" s="187">
        <f>IFERROR(__xludf.DUMMYFUNCTION("""COMPUTED_VALUE"""),1.0)</f>
        <v>1</v>
      </c>
      <c r="M257" s="188">
        <f>IFERROR(__xludf.DUMMYFUNCTION("""COMPUTED_VALUE"""),0.0)</f>
        <v>0</v>
      </c>
      <c r="N257" s="188">
        <f>IFERROR(__xludf.DUMMYFUNCTION("""COMPUTED_VALUE"""),0.0)</f>
        <v>0</v>
      </c>
      <c r="O257" s="208"/>
      <c r="P257" s="208"/>
      <c r="Q257" s="208"/>
      <c r="R257" s="208"/>
    </row>
    <row r="258">
      <c r="A258" s="185" t="str">
        <f>IFERROR(__xludf.DUMMYFUNCTION("""COMPUTED_VALUE"""),"Official partner / certification ecosystem")</f>
        <v>Official partner / certification ecosystem</v>
      </c>
      <c r="B258" s="186" t="str">
        <f>IFERROR(__xludf.DUMMYFUNCTION("""COMPUTED_VALUE"""),"https://www.google.com/ads/publisher/partners/work-with-a-partner/")</f>
        <v>https://www.google.com/ads/publisher/partners/work-with-a-partner/</v>
      </c>
      <c r="C258" s="185"/>
      <c r="D258" s="185" t="str">
        <f>IFERROR(__xludf.DUMMYFUNCTION("""COMPUTED_VALUE"""),"US")</f>
        <v>US</v>
      </c>
      <c r="E258" s="185" t="str">
        <f>IFERROR(__xludf.DUMMYFUNCTION("""COMPUTED_VALUE"""),"google.com")</f>
        <v>google.com</v>
      </c>
      <c r="F258" s="185" t="str">
        <f>IFERROR(__xludf.DUMMYFUNCTION("""COMPUTED_VALUE"""),"Other")</f>
        <v>Other</v>
      </c>
      <c r="G258" s="185" t="str">
        <f>IFERROR(__xludf.DUMMYFUNCTION("""COMPUTED_VALUE"""),"OTHER")</f>
        <v>OTHER</v>
      </c>
      <c r="H258" s="185" t="str">
        <f>IFERROR(__xludf.DUMMYFUNCTION("""COMPUTED_VALUE"""),"No")</f>
        <v>No</v>
      </c>
      <c r="I258" s="185" t="str">
        <f>IFERROR(__xludf.DUMMYFUNCTION("""COMPUTED_VALUE"""),"High")</f>
        <v>High</v>
      </c>
      <c r="J258" s="185" t="str">
        <f>IFERROR(__xludf.DUMMYFUNCTION("""COMPUTED_VALUE"""),"Yes - priority")</f>
        <v>Yes - priority</v>
      </c>
      <c r="K258" s="185" t="str">
        <f>IFERROR(__xludf.DUMMYFUNCTION("""COMPUTED_VALUE"""),"Unknown")</f>
        <v>Unknown</v>
      </c>
      <c r="L258" s="187">
        <f>IFERROR(__xludf.DUMMYFUNCTION("""COMPUTED_VALUE"""),1.0)</f>
        <v>1</v>
      </c>
      <c r="M258" s="188">
        <f>IFERROR(__xludf.DUMMYFUNCTION("""COMPUTED_VALUE"""),0.0)</f>
        <v>0</v>
      </c>
      <c r="N258" s="188">
        <f>IFERROR(__xludf.DUMMYFUNCTION("""COMPUTED_VALUE"""),0.0)</f>
        <v>0</v>
      </c>
      <c r="O258" s="208"/>
      <c r="P258" s="208"/>
      <c r="Q258" s="208"/>
      <c r="R258" s="208"/>
    </row>
    <row r="259">
      <c r="A259" s="185" t="str">
        <f>IFERROR(__xludf.DUMMYFUNCTION("""COMPUTED_VALUE"""),"Official partner / certification ecosystem")</f>
        <v>Official partner / certification ecosystem</v>
      </c>
      <c r="B259" s="186" t="str">
        <f>IFERROR(__xludf.DUMMYFUNCTION("""COMPUTED_VALUE"""),"https://www.google.com/searchviewer/10?svid=CAwSGxIZCgNwdnESEkNnc3ZaeTh4ZEhKd2NuQjRhZxgK")</f>
        <v>https://www.google.com/searchviewer/10?svid=CAwSGxIZCgNwdnESEkNnc3ZaeTh4ZEhKd2NuQjRhZxgK</v>
      </c>
      <c r="C259" s="185"/>
      <c r="D259" s="185" t="str">
        <f>IFERROR(__xludf.DUMMYFUNCTION("""COMPUTED_VALUE"""),"US")</f>
        <v>US</v>
      </c>
      <c r="E259" s="185" t="str">
        <f>IFERROR(__xludf.DUMMYFUNCTION("""COMPUTED_VALUE"""),"google.com")</f>
        <v>google.com</v>
      </c>
      <c r="F259" s="185" t="str">
        <f>IFERROR(__xludf.DUMMYFUNCTION("""COMPUTED_VALUE"""),"Other")</f>
        <v>Other</v>
      </c>
      <c r="G259" s="185" t="str">
        <f>IFERROR(__xludf.DUMMYFUNCTION("""COMPUTED_VALUE"""),"OTHER")</f>
        <v>OTHER</v>
      </c>
      <c r="H259" s="185" t="str">
        <f>IFERROR(__xludf.DUMMYFUNCTION("""COMPUTED_VALUE"""),"No")</f>
        <v>No</v>
      </c>
      <c r="I259" s="185" t="str">
        <f>IFERROR(__xludf.DUMMYFUNCTION("""COMPUTED_VALUE"""),"High")</f>
        <v>High</v>
      </c>
      <c r="J259" s="185" t="str">
        <f>IFERROR(__xludf.DUMMYFUNCTION("""COMPUTED_VALUE"""),"Yes - priority")</f>
        <v>Yes - priority</v>
      </c>
      <c r="K259" s="185" t="str">
        <f>IFERROR(__xludf.DUMMYFUNCTION("""COMPUTED_VALUE"""),"Unknown")</f>
        <v>Unknown</v>
      </c>
      <c r="L259" s="187">
        <f>IFERROR(__xludf.DUMMYFUNCTION("""COMPUTED_VALUE"""),1.0)</f>
        <v>1</v>
      </c>
      <c r="M259" s="188">
        <f>IFERROR(__xludf.DUMMYFUNCTION("""COMPUTED_VALUE"""),0.0)</f>
        <v>0</v>
      </c>
      <c r="N259" s="188">
        <f>IFERROR(__xludf.DUMMYFUNCTION("""COMPUTED_VALUE"""),1.0)</f>
        <v>1</v>
      </c>
      <c r="O259" s="208"/>
      <c r="P259" s="208"/>
      <c r="Q259" s="208"/>
      <c r="R259" s="208"/>
    </row>
    <row r="260">
      <c r="A260" s="185" t="str">
        <f>IFERROR(__xludf.DUMMYFUNCTION("""COMPUTED_VALUE"""),"Official partner / certification ecosystem")</f>
        <v>Official partner / certification ecosystem</v>
      </c>
      <c r="B260" s="186" t="str">
        <f>IFERROR(__xludf.DUMMYFUNCTION("""COMPUTED_VALUE"""),"https://www.google.com/searchviewer/10?svid=CAwSGxIZCgNwdnESEkNnc3ZaeTh4ZEhaMFkyTXliZxgK")</f>
        <v>https://www.google.com/searchviewer/10?svid=CAwSGxIZCgNwdnESEkNnc3ZaeTh4ZEhaMFkyTXliZxgK</v>
      </c>
      <c r="C260" s="185"/>
      <c r="D260" s="185" t="str">
        <f>IFERROR(__xludf.DUMMYFUNCTION("""COMPUTED_VALUE"""),"US")</f>
        <v>US</v>
      </c>
      <c r="E260" s="185" t="str">
        <f>IFERROR(__xludf.DUMMYFUNCTION("""COMPUTED_VALUE"""),"google.com")</f>
        <v>google.com</v>
      </c>
      <c r="F260" s="185" t="str">
        <f>IFERROR(__xludf.DUMMYFUNCTION("""COMPUTED_VALUE"""),"Other")</f>
        <v>Other</v>
      </c>
      <c r="G260" s="185" t="str">
        <f>IFERROR(__xludf.DUMMYFUNCTION("""COMPUTED_VALUE"""),"OTHER")</f>
        <v>OTHER</v>
      </c>
      <c r="H260" s="185" t="str">
        <f>IFERROR(__xludf.DUMMYFUNCTION("""COMPUTED_VALUE"""),"No")</f>
        <v>No</v>
      </c>
      <c r="I260" s="185" t="str">
        <f>IFERROR(__xludf.DUMMYFUNCTION("""COMPUTED_VALUE"""),"High")</f>
        <v>High</v>
      </c>
      <c r="J260" s="185" t="str">
        <f>IFERROR(__xludf.DUMMYFUNCTION("""COMPUTED_VALUE"""),"Yes - priority")</f>
        <v>Yes - priority</v>
      </c>
      <c r="K260" s="185" t="str">
        <f>IFERROR(__xludf.DUMMYFUNCTION("""COMPUTED_VALUE"""),"Unknown")</f>
        <v>Unknown</v>
      </c>
      <c r="L260" s="187">
        <f>IFERROR(__xludf.DUMMYFUNCTION("""COMPUTED_VALUE"""),1.0)</f>
        <v>1</v>
      </c>
      <c r="M260" s="188">
        <f>IFERROR(__xludf.DUMMYFUNCTION("""COMPUTED_VALUE"""),0.0)</f>
        <v>0</v>
      </c>
      <c r="N260" s="188">
        <f>IFERROR(__xludf.DUMMYFUNCTION("""COMPUTED_VALUE"""),0.0)</f>
        <v>0</v>
      </c>
      <c r="O260" s="208"/>
      <c r="P260" s="208"/>
      <c r="Q260" s="208"/>
      <c r="R260" s="208"/>
    </row>
    <row r="261">
      <c r="A261" s="185" t="str">
        <f>IFERROR(__xludf.DUMMYFUNCTION("""COMPUTED_VALUE"""),"Official partner / certification ecosystem")</f>
        <v>Official partner / certification ecosystem</v>
      </c>
      <c r="B261" s="186" t="str">
        <f>IFERROR(__xludf.DUMMYFUNCTION("""COMPUTED_VALUE"""),"https://www.google.com/searchviewer/10?svid=CAwSGxIZCgNwdnESEkNnc3ZaeTh4ZUc1ZmNEVjVhQRgK")</f>
        <v>https://www.google.com/searchviewer/10?svid=CAwSGxIZCgNwdnESEkNnc3ZaeTh4ZUc1ZmNEVjVhQRgK</v>
      </c>
      <c r="C261" s="185"/>
      <c r="D261" s="185" t="str">
        <f>IFERROR(__xludf.DUMMYFUNCTION("""COMPUTED_VALUE"""),"US")</f>
        <v>US</v>
      </c>
      <c r="E261" s="185" t="str">
        <f>IFERROR(__xludf.DUMMYFUNCTION("""COMPUTED_VALUE"""),"google.com")</f>
        <v>google.com</v>
      </c>
      <c r="F261" s="185" t="str">
        <f>IFERROR(__xludf.DUMMYFUNCTION("""COMPUTED_VALUE"""),"Other")</f>
        <v>Other</v>
      </c>
      <c r="G261" s="185" t="str">
        <f>IFERROR(__xludf.DUMMYFUNCTION("""COMPUTED_VALUE"""),"OTHER")</f>
        <v>OTHER</v>
      </c>
      <c r="H261" s="185" t="str">
        <f>IFERROR(__xludf.DUMMYFUNCTION("""COMPUTED_VALUE"""),"No")</f>
        <v>No</v>
      </c>
      <c r="I261" s="185" t="str">
        <f>IFERROR(__xludf.DUMMYFUNCTION("""COMPUTED_VALUE"""),"High")</f>
        <v>High</v>
      </c>
      <c r="J261" s="185" t="str">
        <f>IFERROR(__xludf.DUMMYFUNCTION("""COMPUTED_VALUE"""),"Yes - priority")</f>
        <v>Yes - priority</v>
      </c>
      <c r="K261" s="185" t="str">
        <f>IFERROR(__xludf.DUMMYFUNCTION("""COMPUTED_VALUE"""),"Unknown")</f>
        <v>Unknown</v>
      </c>
      <c r="L261" s="187">
        <f>IFERROR(__xludf.DUMMYFUNCTION("""COMPUTED_VALUE"""),1.0)</f>
        <v>1</v>
      </c>
      <c r="M261" s="188">
        <f>IFERROR(__xludf.DUMMYFUNCTION("""COMPUTED_VALUE"""),0.0)</f>
        <v>0</v>
      </c>
      <c r="N261" s="188">
        <f>IFERROR(__xludf.DUMMYFUNCTION("""COMPUTED_VALUE"""),0.0)</f>
        <v>0</v>
      </c>
      <c r="O261" s="208"/>
      <c r="P261" s="208"/>
      <c r="Q261" s="208"/>
      <c r="R261" s="208"/>
    </row>
    <row r="262">
      <c r="A262" s="185" t="str">
        <f>IFERROR(__xludf.DUMMYFUNCTION("""COMPUTED_VALUE"""),"Official partner / certification ecosystem")</f>
        <v>Official partner / certification ecosystem</v>
      </c>
      <c r="B262" s="186" t="str">
        <f>IFERROR(__xludf.DUMMYFUNCTION("""COMPUTED_VALUE"""),"https://www.google.com/searchviewer/10?svid=CAwSHBIaCgNwdnESE0Nnd3ZaeTh4TW1oNGJESTFkSGsYCg")</f>
        <v>https://www.google.com/searchviewer/10?svid=CAwSHBIaCgNwdnESE0Nnd3ZaeTh4TW1oNGJESTFkSGsYCg</v>
      </c>
      <c r="C262" s="185"/>
      <c r="D262" s="185" t="str">
        <f>IFERROR(__xludf.DUMMYFUNCTION("""COMPUTED_VALUE"""),"US")</f>
        <v>US</v>
      </c>
      <c r="E262" s="185" t="str">
        <f>IFERROR(__xludf.DUMMYFUNCTION("""COMPUTED_VALUE"""),"google.com")</f>
        <v>google.com</v>
      </c>
      <c r="F262" s="185" t="str">
        <f>IFERROR(__xludf.DUMMYFUNCTION("""COMPUTED_VALUE"""),"Other")</f>
        <v>Other</v>
      </c>
      <c r="G262" s="185" t="str">
        <f>IFERROR(__xludf.DUMMYFUNCTION("""COMPUTED_VALUE"""),"OTHER")</f>
        <v>OTHER</v>
      </c>
      <c r="H262" s="185" t="str">
        <f>IFERROR(__xludf.DUMMYFUNCTION("""COMPUTED_VALUE"""),"No")</f>
        <v>No</v>
      </c>
      <c r="I262" s="185" t="str">
        <f>IFERROR(__xludf.DUMMYFUNCTION("""COMPUTED_VALUE"""),"High")</f>
        <v>High</v>
      </c>
      <c r="J262" s="185" t="str">
        <f>IFERROR(__xludf.DUMMYFUNCTION("""COMPUTED_VALUE"""),"Yes - priority")</f>
        <v>Yes - priority</v>
      </c>
      <c r="K262" s="185" t="str">
        <f>IFERROR(__xludf.DUMMYFUNCTION("""COMPUTED_VALUE"""),"Unknown")</f>
        <v>Unknown</v>
      </c>
      <c r="L262" s="187">
        <f>IFERROR(__xludf.DUMMYFUNCTION("""COMPUTED_VALUE"""),1.0)</f>
        <v>1</v>
      </c>
      <c r="M262" s="188">
        <f>IFERROR(__xludf.DUMMYFUNCTION("""COMPUTED_VALUE"""),0.0)</f>
        <v>0</v>
      </c>
      <c r="N262" s="188">
        <f>IFERROR(__xludf.DUMMYFUNCTION("""COMPUTED_VALUE"""),0.0)</f>
        <v>0</v>
      </c>
      <c r="O262" s="208"/>
      <c r="P262" s="208"/>
      <c r="Q262" s="208"/>
      <c r="R262" s="208"/>
    </row>
    <row r="263">
      <c r="A263" s="185" t="str">
        <f>IFERROR(__xludf.DUMMYFUNCTION("""COMPUTED_VALUE"""),"Official partner / certification ecosystem")</f>
        <v>Official partner / certification ecosystem</v>
      </c>
      <c r="B263" s="186" t="str">
        <f>IFERROR(__xludf.DUMMYFUNCTION("""COMPUTED_VALUE"""),"https://www.google.com/searchviewer/10?svid=CAwSHRIbCgNwdnESFENnMHZaeTh4TVcwMWFqbDNjbk4yGAo")</f>
        <v>https://www.google.com/searchviewer/10?svid=CAwSHRIbCgNwdnESFENnMHZaeTh4TVcwMWFqbDNjbk4yGAo</v>
      </c>
      <c r="C263" s="185"/>
      <c r="D263" s="185" t="str">
        <f>IFERROR(__xludf.DUMMYFUNCTION("""COMPUTED_VALUE"""),"US")</f>
        <v>US</v>
      </c>
      <c r="E263" s="185" t="str">
        <f>IFERROR(__xludf.DUMMYFUNCTION("""COMPUTED_VALUE"""),"google.com")</f>
        <v>google.com</v>
      </c>
      <c r="F263" s="185" t="str">
        <f>IFERROR(__xludf.DUMMYFUNCTION("""COMPUTED_VALUE"""),"Other")</f>
        <v>Other</v>
      </c>
      <c r="G263" s="185" t="str">
        <f>IFERROR(__xludf.DUMMYFUNCTION("""COMPUTED_VALUE"""),"OTHER")</f>
        <v>OTHER</v>
      </c>
      <c r="H263" s="185" t="str">
        <f>IFERROR(__xludf.DUMMYFUNCTION("""COMPUTED_VALUE"""),"No")</f>
        <v>No</v>
      </c>
      <c r="I263" s="185" t="str">
        <f>IFERROR(__xludf.DUMMYFUNCTION("""COMPUTED_VALUE"""),"High")</f>
        <v>High</v>
      </c>
      <c r="J263" s="185" t="str">
        <f>IFERROR(__xludf.DUMMYFUNCTION("""COMPUTED_VALUE"""),"Yes - priority")</f>
        <v>Yes - priority</v>
      </c>
      <c r="K263" s="185" t="str">
        <f>IFERROR(__xludf.DUMMYFUNCTION("""COMPUTED_VALUE"""),"Unknown")</f>
        <v>Unknown</v>
      </c>
      <c r="L263" s="187">
        <f>IFERROR(__xludf.DUMMYFUNCTION("""COMPUTED_VALUE"""),1.0)</f>
        <v>1</v>
      </c>
      <c r="M263" s="188">
        <f>IFERROR(__xludf.DUMMYFUNCTION("""COMPUTED_VALUE"""),0.0)</f>
        <v>0</v>
      </c>
      <c r="N263" s="188">
        <f>IFERROR(__xludf.DUMMYFUNCTION("""COMPUTED_VALUE"""),0.0)</f>
        <v>0</v>
      </c>
      <c r="O263" s="208"/>
      <c r="P263" s="208"/>
      <c r="Q263" s="208"/>
      <c r="R263" s="208"/>
    </row>
    <row r="264">
      <c r="A264" s="185" t="str">
        <f>IFERROR(__xludf.DUMMYFUNCTION("""COMPUTED_VALUE"""),"Official partner / certification ecosystem")</f>
        <v>Official partner / certification ecosystem</v>
      </c>
      <c r="B264" s="186" t="str">
        <f>IFERROR(__xludf.DUMMYFUNCTION("""COMPUTED_VALUE"""),"https://www.google.com/searchviewer/10?svid=CAwSHRIbCgNwdnESFENnMHZaeTh4TVdJMk9ESjBjWFpzGAo")</f>
        <v>https://www.google.com/searchviewer/10?svid=CAwSHRIbCgNwdnESFENnMHZaeTh4TVdJMk9ESjBjWFpzGAo</v>
      </c>
      <c r="C264" s="185"/>
      <c r="D264" s="185" t="str">
        <f>IFERROR(__xludf.DUMMYFUNCTION("""COMPUTED_VALUE"""),"US")</f>
        <v>US</v>
      </c>
      <c r="E264" s="185" t="str">
        <f>IFERROR(__xludf.DUMMYFUNCTION("""COMPUTED_VALUE"""),"google.com")</f>
        <v>google.com</v>
      </c>
      <c r="F264" s="185" t="str">
        <f>IFERROR(__xludf.DUMMYFUNCTION("""COMPUTED_VALUE"""),"Other")</f>
        <v>Other</v>
      </c>
      <c r="G264" s="185" t="str">
        <f>IFERROR(__xludf.DUMMYFUNCTION("""COMPUTED_VALUE"""),"OTHER")</f>
        <v>OTHER</v>
      </c>
      <c r="H264" s="185" t="str">
        <f>IFERROR(__xludf.DUMMYFUNCTION("""COMPUTED_VALUE"""),"No")</f>
        <v>No</v>
      </c>
      <c r="I264" s="185" t="str">
        <f>IFERROR(__xludf.DUMMYFUNCTION("""COMPUTED_VALUE"""),"High")</f>
        <v>High</v>
      </c>
      <c r="J264" s="185" t="str">
        <f>IFERROR(__xludf.DUMMYFUNCTION("""COMPUTED_VALUE"""),"Yes - priority")</f>
        <v>Yes - priority</v>
      </c>
      <c r="K264" s="185" t="str">
        <f>IFERROR(__xludf.DUMMYFUNCTION("""COMPUTED_VALUE"""),"Unknown")</f>
        <v>Unknown</v>
      </c>
      <c r="L264" s="187">
        <f>IFERROR(__xludf.DUMMYFUNCTION("""COMPUTED_VALUE"""),1.0)</f>
        <v>1</v>
      </c>
      <c r="M264" s="188">
        <f>IFERROR(__xludf.DUMMYFUNCTION("""COMPUTED_VALUE"""),0.0)</f>
        <v>0</v>
      </c>
      <c r="N264" s="188">
        <f>IFERROR(__xludf.DUMMYFUNCTION("""COMPUTED_VALUE"""),0.0)</f>
        <v>0</v>
      </c>
      <c r="O264" s="208"/>
      <c r="P264" s="208"/>
      <c r="Q264" s="208"/>
      <c r="R264" s="208"/>
    </row>
    <row r="265">
      <c r="A265" s="185" t="str">
        <f>IFERROR(__xludf.DUMMYFUNCTION("""COMPUTED_VALUE"""),"Official partner / certification ecosystem")</f>
        <v>Official partner / certification ecosystem</v>
      </c>
      <c r="B265" s="186" t="str">
        <f>IFERROR(__xludf.DUMMYFUNCTION("""COMPUTED_VALUE"""),"https://www.google.com/searchviewer/10?svid=CAwSHRIbCgNwdnESFENnMHZaeTh4TVdnMWJXNHhhREJtGAo")</f>
        <v>https://www.google.com/searchviewer/10?svid=CAwSHRIbCgNwdnESFENnMHZaeTh4TVdnMWJXNHhhREJtGAo</v>
      </c>
      <c r="C265" s="185"/>
      <c r="D265" s="185" t="str">
        <f>IFERROR(__xludf.DUMMYFUNCTION("""COMPUTED_VALUE"""),"US")</f>
        <v>US</v>
      </c>
      <c r="E265" s="185" t="str">
        <f>IFERROR(__xludf.DUMMYFUNCTION("""COMPUTED_VALUE"""),"google.com")</f>
        <v>google.com</v>
      </c>
      <c r="F265" s="185" t="str">
        <f>IFERROR(__xludf.DUMMYFUNCTION("""COMPUTED_VALUE"""),"Other")</f>
        <v>Other</v>
      </c>
      <c r="G265" s="185" t="str">
        <f>IFERROR(__xludf.DUMMYFUNCTION("""COMPUTED_VALUE"""),"OTHER")</f>
        <v>OTHER</v>
      </c>
      <c r="H265" s="185" t="str">
        <f>IFERROR(__xludf.DUMMYFUNCTION("""COMPUTED_VALUE"""),"No")</f>
        <v>No</v>
      </c>
      <c r="I265" s="185" t="str">
        <f>IFERROR(__xludf.DUMMYFUNCTION("""COMPUTED_VALUE"""),"High")</f>
        <v>High</v>
      </c>
      <c r="J265" s="185" t="str">
        <f>IFERROR(__xludf.DUMMYFUNCTION("""COMPUTED_VALUE"""),"Yes - priority")</f>
        <v>Yes - priority</v>
      </c>
      <c r="K265" s="185" t="str">
        <f>IFERROR(__xludf.DUMMYFUNCTION("""COMPUTED_VALUE"""),"Unknown")</f>
        <v>Unknown</v>
      </c>
      <c r="L265" s="187">
        <f>IFERROR(__xludf.DUMMYFUNCTION("""COMPUTED_VALUE"""),1.0)</f>
        <v>1</v>
      </c>
      <c r="M265" s="188">
        <f>IFERROR(__xludf.DUMMYFUNCTION("""COMPUTED_VALUE"""),0.0)</f>
        <v>0</v>
      </c>
      <c r="N265" s="188">
        <f>IFERROR(__xludf.DUMMYFUNCTION("""COMPUTED_VALUE"""),0.0)</f>
        <v>0</v>
      </c>
      <c r="O265" s="208"/>
      <c r="P265" s="208"/>
      <c r="Q265" s="208"/>
      <c r="R265" s="208"/>
    </row>
    <row r="266">
      <c r="A266" s="185" t="str">
        <f>IFERROR(__xludf.DUMMYFUNCTION("""COMPUTED_VALUE"""),"Official partner / certification ecosystem")</f>
        <v>Official partner / certification ecosystem</v>
      </c>
      <c r="B266" s="186" t="str">
        <f>IFERROR(__xludf.DUMMYFUNCTION("""COMPUTED_VALUE"""),"https://www.google.com/searchviewer/10?svid=CAwSHRIbCgNwdnESFENnMHZaeTh4TVhZNWFqZHVOR3htGAo")</f>
        <v>https://www.google.com/searchviewer/10?svid=CAwSHRIbCgNwdnESFENnMHZaeTh4TVhZNWFqZHVOR3htGAo</v>
      </c>
      <c r="C266" s="185"/>
      <c r="D266" s="185" t="str">
        <f>IFERROR(__xludf.DUMMYFUNCTION("""COMPUTED_VALUE"""),"US")</f>
        <v>US</v>
      </c>
      <c r="E266" s="185" t="str">
        <f>IFERROR(__xludf.DUMMYFUNCTION("""COMPUTED_VALUE"""),"google.com")</f>
        <v>google.com</v>
      </c>
      <c r="F266" s="185" t="str">
        <f>IFERROR(__xludf.DUMMYFUNCTION("""COMPUTED_VALUE"""),"Other")</f>
        <v>Other</v>
      </c>
      <c r="G266" s="185" t="str">
        <f>IFERROR(__xludf.DUMMYFUNCTION("""COMPUTED_VALUE"""),"OTHER")</f>
        <v>OTHER</v>
      </c>
      <c r="H266" s="185" t="str">
        <f>IFERROR(__xludf.DUMMYFUNCTION("""COMPUTED_VALUE"""),"No")</f>
        <v>No</v>
      </c>
      <c r="I266" s="185" t="str">
        <f>IFERROR(__xludf.DUMMYFUNCTION("""COMPUTED_VALUE"""),"High")</f>
        <v>High</v>
      </c>
      <c r="J266" s="185" t="str">
        <f>IFERROR(__xludf.DUMMYFUNCTION("""COMPUTED_VALUE"""),"Yes - priority")</f>
        <v>Yes - priority</v>
      </c>
      <c r="K266" s="185" t="str">
        <f>IFERROR(__xludf.DUMMYFUNCTION("""COMPUTED_VALUE"""),"Unknown")</f>
        <v>Unknown</v>
      </c>
      <c r="L266" s="187">
        <f>IFERROR(__xludf.DUMMYFUNCTION("""COMPUTED_VALUE"""),1.0)</f>
        <v>1</v>
      </c>
      <c r="M266" s="188">
        <f>IFERROR(__xludf.DUMMYFUNCTION("""COMPUTED_VALUE"""),0.0)</f>
        <v>0</v>
      </c>
      <c r="N266" s="188">
        <f>IFERROR(__xludf.DUMMYFUNCTION("""COMPUTED_VALUE"""),0.0)</f>
        <v>0</v>
      </c>
      <c r="O266" s="208"/>
      <c r="P266" s="208"/>
      <c r="Q266" s="208"/>
      <c r="R266" s="208"/>
    </row>
    <row r="267">
      <c r="A267" s="185" t="str">
        <f>IFERROR(__xludf.DUMMYFUNCTION("""COMPUTED_VALUE"""),"Trade media / editorial publication")</f>
        <v>Trade media / editorial publication</v>
      </c>
      <c r="B267" s="186" t="str">
        <f>IFERROR(__xludf.DUMMYFUNCTION("""COMPUTED_VALUE"""),"https://influencermarketinghub.com/creative-agency/")</f>
        <v>https://influencermarketinghub.com/creative-agency/</v>
      </c>
      <c r="C267" s="185" t="str">
        <f>IFERROR(__xludf.DUMMYFUNCTION("""COMPUTED_VALUE"""),"20 Creative Agencies Shaping Brand Storytelling in 2026")</f>
        <v>20 Creative Agencies Shaping Brand Storytelling in 2026</v>
      </c>
      <c r="D267" s="185" t="str">
        <f>IFERROR(__xludf.DUMMYFUNCTION("""COMPUTED_VALUE"""),"US")</f>
        <v>US</v>
      </c>
      <c r="E267" s="185" t="str">
        <f>IFERROR(__xludf.DUMMYFUNCTION("""COMPUTED_VALUE"""),"influencermarketinghub.com")</f>
        <v>influencermarketinghub.com</v>
      </c>
      <c r="F267" s="185" t="str">
        <f>IFERROR(__xludf.DUMMYFUNCTION("""COMPUTED_VALUE"""),"Listicle")</f>
        <v>Listicle</v>
      </c>
      <c r="G267" s="185" t="str">
        <f>IFERROR(__xludf.DUMMYFUNCTION("""COMPUTED_VALUE"""),"REFERENCE")</f>
        <v>REFERENCE</v>
      </c>
      <c r="H267" s="185" t="str">
        <f>IFERROR(__xludf.DUMMYFUNCTION("""COMPUTED_VALUE"""),"No")</f>
        <v>No</v>
      </c>
      <c r="I267" s="185" t="str">
        <f>IFERROR(__xludf.DUMMYFUNCTION("""COMPUTED_VALUE"""),"Medium")</f>
        <v>Medium</v>
      </c>
      <c r="J267" s="185" t="str">
        <f>IFERROR(__xludf.DUMMYFUNCTION("""COMPUTED_VALUE"""),"Yes")</f>
        <v>Yes</v>
      </c>
      <c r="K267" s="185" t="str">
        <f>IFERROR(__xludf.DUMMYFUNCTION("""COMPUTED_VALUE"""),"Viral Nation, SmartSites, McKinsey, Brighter Click, VML, R/GA, Sociallyin")</f>
        <v>Viral Nation, SmartSites, McKinsey, Brighter Click, VML, R/GA, Sociallyin</v>
      </c>
      <c r="L267" s="187">
        <f>IFERROR(__xludf.DUMMYFUNCTION("""COMPUTED_VALUE"""),1.0)</f>
        <v>1</v>
      </c>
      <c r="M267" s="188">
        <f>IFERROR(__xludf.DUMMYFUNCTION("""COMPUTED_VALUE"""),0.0)</f>
        <v>0</v>
      </c>
      <c r="N267" s="188">
        <f>IFERROR(__xludf.DUMMYFUNCTION("""COMPUTED_VALUE"""),0.0)</f>
        <v>0</v>
      </c>
      <c r="O267" s="208"/>
      <c r="P267" s="208"/>
      <c r="Q267" s="208"/>
      <c r="R267" s="208"/>
    </row>
    <row r="268">
      <c r="A268" s="185" t="str">
        <f>IFERROR(__xludf.DUMMYFUNCTION("""COMPUTED_VALUE"""),"Trade media / editorial publication")</f>
        <v>Trade media / editorial publication</v>
      </c>
      <c r="B268" s="186" t="str">
        <f>IFERROR(__xludf.DUMMYFUNCTION("""COMPUTED_VALUE"""),"https://influencermarketinghub.com/geo-agencies/")</f>
        <v>https://influencermarketinghub.com/geo-agencies/</v>
      </c>
      <c r="C268" s="185" t="str">
        <f>IFERROR(__xludf.DUMMYFUNCTION("""COMPUTED_VALUE"""),"6 Best GEO Agencies Driving AI Search Visibility")</f>
        <v>6 Best GEO Agencies Driving AI Search Visibility</v>
      </c>
      <c r="D268" s="185" t="str">
        <f>IFERROR(__xludf.DUMMYFUNCTION("""COMPUTED_VALUE"""),"US")</f>
        <v>US</v>
      </c>
      <c r="E268" s="185" t="str">
        <f>IFERROR(__xludf.DUMMYFUNCTION("""COMPUTED_VALUE"""),"influencermarketinghub.com")</f>
        <v>influencermarketinghub.com</v>
      </c>
      <c r="F268" s="185" t="str">
        <f>IFERROR(__xludf.DUMMYFUNCTION("""COMPUTED_VALUE"""),"Listicle")</f>
        <v>Listicle</v>
      </c>
      <c r="G268" s="185" t="str">
        <f>IFERROR(__xludf.DUMMYFUNCTION("""COMPUTED_VALUE"""),"REFERENCE")</f>
        <v>REFERENCE</v>
      </c>
      <c r="H268" s="185" t="str">
        <f>IFERROR(__xludf.DUMMYFUNCTION("""COMPUTED_VALUE"""),"No")</f>
        <v>No</v>
      </c>
      <c r="I268" s="185" t="str">
        <f>IFERROR(__xludf.DUMMYFUNCTION("""COMPUTED_VALUE"""),"Medium")</f>
        <v>Medium</v>
      </c>
      <c r="J268" s="185" t="str">
        <f>IFERROR(__xludf.DUMMYFUNCTION("""COMPUTED_VALUE"""),"Yes")</f>
        <v>Yes</v>
      </c>
      <c r="K268" s="185" t="str">
        <f>IFERROR(__xludf.DUMMYFUNCTION("""COMPUTED_VALUE"""),"Viral Nation, SmartSites, McKinsey, Stratabeat, Directive")</f>
        <v>Viral Nation, SmartSites, McKinsey, Stratabeat, Directive</v>
      </c>
      <c r="L268" s="187">
        <f>IFERROR(__xludf.DUMMYFUNCTION("""COMPUTED_VALUE"""),1.0)</f>
        <v>1</v>
      </c>
      <c r="M268" s="188">
        <f>IFERROR(__xludf.DUMMYFUNCTION("""COMPUTED_VALUE"""),0.0)</f>
        <v>0</v>
      </c>
      <c r="N268" s="188">
        <f>IFERROR(__xludf.DUMMYFUNCTION("""COMPUTED_VALUE"""),4.0)</f>
        <v>4</v>
      </c>
      <c r="O268" s="208"/>
      <c r="P268" s="208"/>
      <c r="Q268" s="208"/>
      <c r="R268" s="208"/>
    </row>
    <row r="269">
      <c r="A269" s="185" t="str">
        <f>IFERROR(__xludf.DUMMYFUNCTION("""COMPUTED_VALUE"""),"Official partner / certification ecosystem")</f>
        <v>Official partner / certification ecosystem</v>
      </c>
      <c r="B269" s="186" t="str">
        <f>IFERROR(__xludf.DUMMYFUNCTION("""COMPUTED_VALUE"""),"https://marketingplatform.google.com/about/enterprise/")</f>
        <v>https://marketingplatform.google.com/about/enterprise/</v>
      </c>
      <c r="C269" s="185" t="str">
        <f>IFERROR(__xludf.DUMMYFUNCTION("""COMPUTED_VALUE"""),"Enterprise Advertising &amp; Analytics Solutions - Google Marketing Platform")</f>
        <v>Enterprise Advertising &amp; Analytics Solutions - Google Marketing Platform</v>
      </c>
      <c r="D269" s="185" t="str">
        <f>IFERROR(__xludf.DUMMYFUNCTION("""COMPUTED_VALUE"""),"US")</f>
        <v>US</v>
      </c>
      <c r="E269" s="185" t="str">
        <f>IFERROR(__xludf.DUMMYFUNCTION("""COMPUTED_VALUE"""),"google.com")</f>
        <v>google.com</v>
      </c>
      <c r="F269" s="185" t="str">
        <f>IFERROR(__xludf.DUMMYFUNCTION("""COMPUTED_VALUE"""),"Product Page")</f>
        <v>Product Page</v>
      </c>
      <c r="G269" s="185" t="str">
        <f>IFERROR(__xludf.DUMMYFUNCTION("""COMPUTED_VALUE"""),"OTHER")</f>
        <v>OTHER</v>
      </c>
      <c r="H269" s="185" t="str">
        <f>IFERROR(__xludf.DUMMYFUNCTION("""COMPUTED_VALUE"""),"No")</f>
        <v>No</v>
      </c>
      <c r="I269" s="185" t="str">
        <f>IFERROR(__xludf.DUMMYFUNCTION("""COMPUTED_VALUE"""),"High")</f>
        <v>High</v>
      </c>
      <c r="J269" s="185" t="str">
        <f>IFERROR(__xludf.DUMMYFUNCTION("""COMPUTED_VALUE"""),"Yes - priority")</f>
        <v>Yes - priority</v>
      </c>
      <c r="K269" s="185"/>
      <c r="L269" s="187">
        <f>IFERROR(__xludf.DUMMYFUNCTION("""COMPUTED_VALUE"""),1.0)</f>
        <v>1</v>
      </c>
      <c r="M269" s="188">
        <f>IFERROR(__xludf.DUMMYFUNCTION("""COMPUTED_VALUE"""),0.0)</f>
        <v>0</v>
      </c>
      <c r="N269" s="188">
        <f>IFERROR(__xludf.DUMMYFUNCTION("""COMPUTED_VALUE"""),1.0)</f>
        <v>1</v>
      </c>
      <c r="O269" s="208"/>
      <c r="P269" s="208"/>
      <c r="Q269" s="208"/>
      <c r="R269" s="208"/>
    </row>
    <row r="270">
      <c r="A270" s="185" t="str">
        <f>IFERROR(__xludf.DUMMYFUNCTION("""COMPUTED_VALUE"""),"Official partner / certification ecosystem")</f>
        <v>Official partner / certification ecosystem</v>
      </c>
      <c r="B270" s="186" t="str">
        <f>IFERROR(__xludf.DUMMYFUNCTION("""COMPUTED_VALUE"""),"https://marketingplatform.google.com/about/partners/find-a-partner")</f>
        <v>https://marketingplatform.google.com/about/partners/find-a-partner</v>
      </c>
      <c r="C270" s="185"/>
      <c r="D270" s="185" t="str">
        <f>IFERROR(__xludf.DUMMYFUNCTION("""COMPUTED_VALUE"""),"US")</f>
        <v>US</v>
      </c>
      <c r="E270" s="185" t="str">
        <f>IFERROR(__xludf.DUMMYFUNCTION("""COMPUTED_VALUE"""),"google.com")</f>
        <v>google.com</v>
      </c>
      <c r="F270" s="185" t="str">
        <f>IFERROR(__xludf.DUMMYFUNCTION("""COMPUTED_VALUE"""),"Other")</f>
        <v>Other</v>
      </c>
      <c r="G270" s="185" t="str">
        <f>IFERROR(__xludf.DUMMYFUNCTION("""COMPUTED_VALUE"""),"OTHER")</f>
        <v>OTHER</v>
      </c>
      <c r="H270" s="185" t="str">
        <f>IFERROR(__xludf.DUMMYFUNCTION("""COMPUTED_VALUE"""),"No")</f>
        <v>No</v>
      </c>
      <c r="I270" s="185" t="str">
        <f>IFERROR(__xludf.DUMMYFUNCTION("""COMPUTED_VALUE"""),"High")</f>
        <v>High</v>
      </c>
      <c r="J270" s="185" t="str">
        <f>IFERROR(__xludf.DUMMYFUNCTION("""COMPUTED_VALUE"""),"Yes - priority")</f>
        <v>Yes - priority</v>
      </c>
      <c r="K270" s="185" t="str">
        <f>IFERROR(__xludf.DUMMYFUNCTION("""COMPUTED_VALUE"""),"Unknown")</f>
        <v>Unknown</v>
      </c>
      <c r="L270" s="187">
        <f>IFERROR(__xludf.DUMMYFUNCTION("""COMPUTED_VALUE"""),1.0)</f>
        <v>1</v>
      </c>
      <c r="M270" s="188">
        <f>IFERROR(__xludf.DUMMYFUNCTION("""COMPUTED_VALUE"""),0.0)</f>
        <v>0</v>
      </c>
      <c r="N270" s="188">
        <f>IFERROR(__xludf.DUMMYFUNCTION("""COMPUTED_VALUE"""),0.0)</f>
        <v>0</v>
      </c>
      <c r="O270" s="208"/>
      <c r="P270" s="208"/>
      <c r="Q270" s="208"/>
      <c r="R270" s="208"/>
    </row>
    <row r="271">
      <c r="A271" s="185" t="str">
        <f>IFERROR(__xludf.DUMMYFUNCTION("""COMPUTED_VALUE"""),"Official partner / certification ecosystem")</f>
        <v>Official partner / certification ecosystem</v>
      </c>
      <c r="B271" s="186" t="str">
        <f>IFERROR(__xludf.DUMMYFUNCTION("""COMPUTED_VALUE"""),"https://marketingplatform.google.com/about/partners/find-a-partner?category=206")</f>
        <v>https://marketingplatform.google.com/about/partners/find-a-partner?category=206</v>
      </c>
      <c r="C271" s="185"/>
      <c r="D271" s="185" t="str">
        <f>IFERROR(__xludf.DUMMYFUNCTION("""COMPUTED_VALUE"""),"US")</f>
        <v>US</v>
      </c>
      <c r="E271" s="185" t="str">
        <f>IFERROR(__xludf.DUMMYFUNCTION("""COMPUTED_VALUE"""),"google.com")</f>
        <v>google.com</v>
      </c>
      <c r="F271" s="185" t="str">
        <f>IFERROR(__xludf.DUMMYFUNCTION("""COMPUTED_VALUE"""),"Other")</f>
        <v>Other</v>
      </c>
      <c r="G271" s="185" t="str">
        <f>IFERROR(__xludf.DUMMYFUNCTION("""COMPUTED_VALUE"""),"OTHER")</f>
        <v>OTHER</v>
      </c>
      <c r="H271" s="185" t="str">
        <f>IFERROR(__xludf.DUMMYFUNCTION("""COMPUTED_VALUE"""),"No")</f>
        <v>No</v>
      </c>
      <c r="I271" s="185" t="str">
        <f>IFERROR(__xludf.DUMMYFUNCTION("""COMPUTED_VALUE"""),"High")</f>
        <v>High</v>
      </c>
      <c r="J271" s="185" t="str">
        <f>IFERROR(__xludf.DUMMYFUNCTION("""COMPUTED_VALUE"""),"Yes - priority")</f>
        <v>Yes - priority</v>
      </c>
      <c r="K271" s="185" t="str">
        <f>IFERROR(__xludf.DUMMYFUNCTION("""COMPUTED_VALUE"""),"Unknown")</f>
        <v>Unknown</v>
      </c>
      <c r="L271" s="187">
        <f>IFERROR(__xludf.DUMMYFUNCTION("""COMPUTED_VALUE"""),1.0)</f>
        <v>1</v>
      </c>
      <c r="M271" s="188">
        <f>IFERROR(__xludf.DUMMYFUNCTION("""COMPUTED_VALUE"""),0.0)</f>
        <v>0</v>
      </c>
      <c r="N271" s="188">
        <f>IFERROR(__xludf.DUMMYFUNCTION("""COMPUTED_VALUE"""),1.0)</f>
        <v>1</v>
      </c>
      <c r="O271" s="208"/>
      <c r="P271" s="208"/>
      <c r="Q271" s="208"/>
      <c r="R271" s="208"/>
    </row>
    <row r="272">
      <c r="A272" s="185" t="str">
        <f>IFERROR(__xludf.DUMMYFUNCTION("""COMPUTED_VALUE"""),"Industry association / institutional authority")</f>
        <v>Industry association / institutional authority</v>
      </c>
      <c r="B272" s="186" t="str">
        <f>IFERROR(__xludf.DUMMYFUNCTION("""COMPUTED_VALUE"""),"https://www.oneclub.org/AWARDS/THEONESHOW/-archive/holdingcompany/2025/all/1/840")</f>
        <v>https://www.oneclub.org/AWARDS/THEONESHOW/-archive/holdingcompany/2025/all/1/840</v>
      </c>
      <c r="C272" s="185" t="str">
        <f>IFERROR(__xludf.DUMMYFUNCTION("""COMPUTED_VALUE"""),"One Show | Awards Archive | 2025")</f>
        <v>One Show | Awards Archive | 2025</v>
      </c>
      <c r="D272" s="185" t="str">
        <f>IFERROR(__xludf.DUMMYFUNCTION("""COMPUTED_VALUE"""),"US")</f>
        <v>US</v>
      </c>
      <c r="E272" s="185" t="str">
        <f>IFERROR(__xludf.DUMMYFUNCTION("""COMPUTED_VALUE"""),"oneclub.org")</f>
        <v>oneclub.org</v>
      </c>
      <c r="F272" s="185" t="str">
        <f>IFERROR(__xludf.DUMMYFUNCTION("""COMPUTED_VALUE"""),"Profile")</f>
        <v>Profile</v>
      </c>
      <c r="G272" s="185" t="str">
        <f>IFERROR(__xludf.DUMMYFUNCTION("""COMPUTED_VALUE"""),"INSTITUTIONAL")</f>
        <v>INSTITUTIONAL</v>
      </c>
      <c r="H272" s="185" t="str">
        <f>IFERROR(__xludf.DUMMYFUNCTION("""COMPUTED_VALUE"""),"No")</f>
        <v>No</v>
      </c>
      <c r="I272" s="185" t="str">
        <f>IFERROR(__xludf.DUMMYFUNCTION("""COMPUTED_VALUE"""),"High")</f>
        <v>High</v>
      </c>
      <c r="J272" s="185" t="str">
        <f>IFERROR(__xludf.DUMMYFUNCTION("""COMPUTED_VALUE"""),"Yes - priority")</f>
        <v>Yes - priority</v>
      </c>
      <c r="K272" s="185" t="str">
        <f>IFERROR(__xludf.DUMMYFUNCTION("""COMPUTED_VALUE"""),"BBDO, VML, Ogilvy, Dentsu, Droga5, AKQA, Monks")</f>
        <v>BBDO, VML, Ogilvy, Dentsu, Droga5, AKQA, Monks</v>
      </c>
      <c r="L272" s="187">
        <f>IFERROR(__xludf.DUMMYFUNCTION("""COMPUTED_VALUE"""),1.0)</f>
        <v>1</v>
      </c>
      <c r="M272" s="188">
        <f>IFERROR(__xludf.DUMMYFUNCTION("""COMPUTED_VALUE"""),0.0)</f>
        <v>0</v>
      </c>
      <c r="N272" s="188">
        <f>IFERROR(__xludf.DUMMYFUNCTION("""COMPUTED_VALUE"""),0.0)</f>
        <v>0</v>
      </c>
      <c r="O272" s="208"/>
      <c r="P272" s="208"/>
      <c r="Q272" s="208"/>
      <c r="R272" s="208"/>
    </row>
    <row r="273">
      <c r="A273" s="185" t="str">
        <f>IFERROR(__xludf.DUMMYFUNCTION("""COMPUTED_VALUE"""),"Industry association / institutional authority")</f>
        <v>Industry association / institutional authority</v>
      </c>
      <c r="B273" s="186" t="str">
        <f>IFERROR(__xludf.DUMMYFUNCTION("""COMPUTED_VALUE"""),"https://www.oneclub.org/awards/adcawards/-archive/agency/2025/38/all/1/840")</f>
        <v>https://www.oneclub.org/awards/adcawards/-archive/agency/2025/38/all/1/840</v>
      </c>
      <c r="C273" s="185" t="str">
        <f>IFERROR(__xludf.DUMMYFUNCTION("""COMPUTED_VALUE"""),"ADC Awards | Agency Rankings | 2025 | Advertising | North America | United States")</f>
        <v>ADC Awards | Agency Rankings | 2025 | Advertising | North America | United States</v>
      </c>
      <c r="D273" s="185" t="str">
        <f>IFERROR(__xludf.DUMMYFUNCTION("""COMPUTED_VALUE"""),"US")</f>
        <v>US</v>
      </c>
      <c r="E273" s="185" t="str">
        <f>IFERROR(__xludf.DUMMYFUNCTION("""COMPUTED_VALUE"""),"oneclub.org")</f>
        <v>oneclub.org</v>
      </c>
      <c r="F273" s="185" t="str">
        <f>IFERROR(__xludf.DUMMYFUNCTION("""COMPUTED_VALUE"""),"Category Page")</f>
        <v>Category Page</v>
      </c>
      <c r="G273" s="185" t="str">
        <f>IFERROR(__xludf.DUMMYFUNCTION("""COMPUTED_VALUE"""),"INSTITUTIONAL")</f>
        <v>INSTITUTIONAL</v>
      </c>
      <c r="H273" s="185" t="str">
        <f>IFERROR(__xludf.DUMMYFUNCTION("""COMPUTED_VALUE"""),"No")</f>
        <v>No</v>
      </c>
      <c r="I273" s="185" t="str">
        <f>IFERROR(__xludf.DUMMYFUNCTION("""COMPUTED_VALUE"""),"High")</f>
        <v>High</v>
      </c>
      <c r="J273" s="185" t="str">
        <f>IFERROR(__xludf.DUMMYFUNCTION("""COMPUTED_VALUE"""),"Yes - priority")</f>
        <v>Yes - priority</v>
      </c>
      <c r="K273" s="185" t="str">
        <f>IFERROR(__xludf.DUMMYFUNCTION("""COMPUTED_VALUE"""),"BBDO, Accenture Song, Droga5, 72andSunny, Dentsu")</f>
        <v>BBDO, Accenture Song, Droga5, 72andSunny, Dentsu</v>
      </c>
      <c r="L273" s="187">
        <f>IFERROR(__xludf.DUMMYFUNCTION("""COMPUTED_VALUE"""),1.0)</f>
        <v>1</v>
      </c>
      <c r="M273" s="188">
        <f>IFERROR(__xludf.DUMMYFUNCTION("""COMPUTED_VALUE"""),0.0)</f>
        <v>0</v>
      </c>
      <c r="N273" s="188">
        <f>IFERROR(__xludf.DUMMYFUNCTION("""COMPUTED_VALUE"""),0.0)</f>
        <v>0</v>
      </c>
      <c r="O273" s="208"/>
      <c r="P273" s="208"/>
      <c r="Q273" s="208"/>
      <c r="R273" s="208"/>
    </row>
    <row r="274">
      <c r="A274" s="185" t="str">
        <f>IFERROR(__xludf.DUMMYFUNCTION("""COMPUTED_VALUE"""),"Industry association / institutional authority")</f>
        <v>Industry association / institutional authority</v>
      </c>
      <c r="B274" s="186" t="str">
        <f>IFERROR(__xludf.DUMMYFUNCTION("""COMPUTED_VALUE"""),"https://www.oneclub.org/awards/adcawards/-archive/agency/2025/61/all/1/all")</f>
        <v>https://www.oneclub.org/awards/adcawards/-archive/agency/2025/61/all/1/all</v>
      </c>
      <c r="C274" s="185" t="str">
        <f>IFERROR(__xludf.DUMMYFUNCTION("""COMPUTED_VALUE"""),"ADC Awards | Agency Rankings | 2025 | Interactive | North America")</f>
        <v>ADC Awards | Agency Rankings | 2025 | Interactive | North America</v>
      </c>
      <c r="D274" s="185" t="str">
        <f>IFERROR(__xludf.DUMMYFUNCTION("""COMPUTED_VALUE"""),"US")</f>
        <v>US</v>
      </c>
      <c r="E274" s="185" t="str">
        <f>IFERROR(__xludf.DUMMYFUNCTION("""COMPUTED_VALUE"""),"oneclub.org")</f>
        <v>oneclub.org</v>
      </c>
      <c r="F274" s="185" t="str">
        <f>IFERROR(__xludf.DUMMYFUNCTION("""COMPUTED_VALUE"""),"Category Page")</f>
        <v>Category Page</v>
      </c>
      <c r="G274" s="185" t="str">
        <f>IFERROR(__xludf.DUMMYFUNCTION("""COMPUTED_VALUE"""),"INSTITUTIONAL")</f>
        <v>INSTITUTIONAL</v>
      </c>
      <c r="H274" s="185" t="str">
        <f>IFERROR(__xludf.DUMMYFUNCTION("""COMPUTED_VALUE"""),"No")</f>
        <v>No</v>
      </c>
      <c r="I274" s="185" t="str">
        <f>IFERROR(__xludf.DUMMYFUNCTION("""COMPUTED_VALUE"""),"High")</f>
        <v>High</v>
      </c>
      <c r="J274" s="185" t="str">
        <f>IFERROR(__xludf.DUMMYFUNCTION("""COMPUTED_VALUE"""),"Yes - priority")</f>
        <v>Yes - priority</v>
      </c>
      <c r="K274" s="185" t="str">
        <f>IFERROR(__xludf.DUMMYFUNCTION("""COMPUTED_VALUE"""),"Dentsu, Accenture Song, Droga5")</f>
        <v>Dentsu, Accenture Song, Droga5</v>
      </c>
      <c r="L274" s="187">
        <f>IFERROR(__xludf.DUMMYFUNCTION("""COMPUTED_VALUE"""),1.0)</f>
        <v>1</v>
      </c>
      <c r="M274" s="188">
        <f>IFERROR(__xludf.DUMMYFUNCTION("""COMPUTED_VALUE"""),0.0)</f>
        <v>0</v>
      </c>
      <c r="N274" s="188">
        <f>IFERROR(__xludf.DUMMYFUNCTION("""COMPUTED_VALUE"""),0.0)</f>
        <v>0</v>
      </c>
      <c r="O274" s="208"/>
      <c r="P274" s="208"/>
      <c r="Q274" s="208"/>
      <c r="R274" s="208"/>
    </row>
    <row r="275">
      <c r="A275" s="185" t="str">
        <f>IFERROR(__xludf.DUMMYFUNCTION("""COMPUTED_VALUE"""),"Lower-priority competitor/vendor roundup")</f>
        <v>Lower-priority competitor/vendor roundup</v>
      </c>
      <c r="B275" s="186" t="str">
        <f>IFERROR(__xludf.DUMMYFUNCTION("""COMPUTED_VALUE"""),"https://oski.site/blog/sales-and-marketing-analytics-usa/")</f>
        <v>https://oski.site/blog/sales-and-marketing-analytics-usa/</v>
      </c>
      <c r="C275" s="185" t="str">
        <f>IFERROR(__xludf.DUMMYFUNCTION("""COMPUTED_VALUE"""),"10 Best Sales and Marketing Analytics Companies in the USA (2026)")</f>
        <v>10 Best Sales and Marketing Analytics Companies in the USA (2026)</v>
      </c>
      <c r="D275" s="185" t="str">
        <f>IFERROR(__xludf.DUMMYFUNCTION("""COMPUTED_VALUE"""),"US")</f>
        <v>US</v>
      </c>
      <c r="E275" s="185" t="str">
        <f>IFERROR(__xludf.DUMMYFUNCTION("""COMPUTED_VALUE"""),"oski.site")</f>
        <v>oski.site</v>
      </c>
      <c r="F275" s="185" t="str">
        <f>IFERROR(__xludf.DUMMYFUNCTION("""COMPUTED_VALUE"""),"Listicle")</f>
        <v>Listicle</v>
      </c>
      <c r="G275" s="185" t="str">
        <f>IFERROR(__xludf.DUMMYFUNCTION("""COMPUTED_VALUE"""),"OTHER")</f>
        <v>OTHER</v>
      </c>
      <c r="H275" s="185" t="str">
        <f>IFERROR(__xludf.DUMMYFUNCTION("""COMPUTED_VALUE"""),"No")</f>
        <v>No</v>
      </c>
      <c r="I275" s="185" t="str">
        <f>IFERROR(__xludf.DUMMYFUNCTION("""COMPUTED_VALUE"""),"Low")</f>
        <v>Low</v>
      </c>
      <c r="J275" s="185" t="str">
        <f>IFERROR(__xludf.DUMMYFUNCTION("""COMPUTED_VALUE"""),"Secondary")</f>
        <v>Secondary</v>
      </c>
      <c r="K275" s="185" t="str">
        <f>IFERROR(__xludf.DUMMYFUNCTION("""COMPUTED_VALUE"""),"Circana")</f>
        <v>Circana</v>
      </c>
      <c r="L275" s="187">
        <f>IFERROR(__xludf.DUMMYFUNCTION("""COMPUTED_VALUE"""),1.0)</f>
        <v>1</v>
      </c>
      <c r="M275" s="188">
        <f>IFERROR(__xludf.DUMMYFUNCTION("""COMPUTED_VALUE"""),0.0)</f>
        <v>0</v>
      </c>
      <c r="N275" s="188">
        <f>IFERROR(__xludf.DUMMYFUNCTION("""COMPUTED_VALUE"""),1.0)</f>
        <v>1</v>
      </c>
      <c r="O275" s="208"/>
      <c r="P275" s="208"/>
      <c r="Q275" s="208"/>
      <c r="R275" s="208"/>
    </row>
    <row r="276">
      <c r="A276" s="185" t="str">
        <f>IFERROR(__xludf.DUMMYFUNCTION("""COMPUTED_VALUE"""),"Official partner / certification ecosystem")</f>
        <v>Official partner / certification ecosystem</v>
      </c>
      <c r="B276" s="186" t="str">
        <f>IFERROR(__xludf.DUMMYFUNCTION("""COMPUTED_VALUE"""),"https://partnersdirectory.withgoogle.com/intl/en-GB/")</f>
        <v>https://partnersdirectory.withgoogle.com/intl/en-GB/</v>
      </c>
      <c r="C276" s="185" t="str">
        <f>IFERROR(__xludf.DUMMYFUNCTION("""COMPUTED_VALUE"""),"Google Partners directory – Find a Partner for business growth")</f>
        <v>Google Partners directory – Find a Partner for business growth</v>
      </c>
      <c r="D276" s="185" t="str">
        <f>IFERROR(__xludf.DUMMYFUNCTION("""COMPUTED_VALUE"""),"US")</f>
        <v>US</v>
      </c>
      <c r="E276" s="185" t="str">
        <f>IFERROR(__xludf.DUMMYFUNCTION("""COMPUTED_VALUE"""),"withgoogle.com")</f>
        <v>withgoogle.com</v>
      </c>
      <c r="F276" s="185" t="str">
        <f>IFERROR(__xludf.DUMMYFUNCTION("""COMPUTED_VALUE"""),"Other")</f>
        <v>Other</v>
      </c>
      <c r="G276" s="185" t="str">
        <f>IFERROR(__xludf.DUMMYFUNCTION("""COMPUTED_VALUE"""),"CORPORATE")</f>
        <v>CORPORATE</v>
      </c>
      <c r="H276" s="185" t="str">
        <f>IFERROR(__xludf.DUMMYFUNCTION("""COMPUTED_VALUE"""),"No")</f>
        <v>No</v>
      </c>
      <c r="I276" s="185" t="str">
        <f>IFERROR(__xludf.DUMMYFUNCTION("""COMPUTED_VALUE"""),"High")</f>
        <v>High</v>
      </c>
      <c r="J276" s="185" t="str">
        <f>IFERROR(__xludf.DUMMYFUNCTION("""COMPUTED_VALUE"""),"Yes - priority")</f>
        <v>Yes - priority</v>
      </c>
      <c r="K276" s="185" t="str">
        <f>IFERROR(__xludf.DUMMYFUNCTION("""COMPUTED_VALUE"""),"Acadia, Accelerated Digital Media")</f>
        <v>Acadia, Accelerated Digital Media</v>
      </c>
      <c r="L276" s="187">
        <f>IFERROR(__xludf.DUMMYFUNCTION("""COMPUTED_VALUE"""),1.0)</f>
        <v>1</v>
      </c>
      <c r="M276" s="188">
        <f>IFERROR(__xludf.DUMMYFUNCTION("""COMPUTED_VALUE"""),0.0)</f>
        <v>0</v>
      </c>
      <c r="N276" s="188">
        <f>IFERROR(__xludf.DUMMYFUNCTION("""COMPUTED_VALUE"""),0.0)</f>
        <v>0</v>
      </c>
      <c r="O276" s="208"/>
      <c r="P276" s="208"/>
      <c r="Q276" s="208"/>
      <c r="R276" s="208"/>
    </row>
    <row r="277">
      <c r="A277" s="185" t="str">
        <f>IFERROR(__xludf.DUMMYFUNCTION("""COMPUTED_VALUE"""),"Official partner / certification ecosystem")</f>
        <v>Official partner / certification ecosystem</v>
      </c>
      <c r="B277" s="186"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C277" s="185"/>
      <c r="D277" s="185" t="str">
        <f>IFERROR(__xludf.DUMMYFUNCTION("""COMPUTED_VALUE"""),"US")</f>
        <v>US</v>
      </c>
      <c r="E277" s="185" t="str">
        <f>IFERROR(__xludf.DUMMYFUNCTION("""COMPUTED_VALUE"""),"withgoogle.com")</f>
        <v>withgoogle.com</v>
      </c>
      <c r="F277" s="185" t="str">
        <f>IFERROR(__xludf.DUMMYFUNCTION("""COMPUTED_VALUE"""),"Other")</f>
        <v>Other</v>
      </c>
      <c r="G277" s="185" t="str">
        <f>IFERROR(__xludf.DUMMYFUNCTION("""COMPUTED_VALUE"""),"CORPORATE")</f>
        <v>CORPORATE</v>
      </c>
      <c r="H277" s="185" t="str">
        <f>IFERROR(__xludf.DUMMYFUNCTION("""COMPUTED_VALUE"""),"No")</f>
        <v>No</v>
      </c>
      <c r="I277" s="185" t="str">
        <f>IFERROR(__xludf.DUMMYFUNCTION("""COMPUTED_VALUE"""),"High")</f>
        <v>High</v>
      </c>
      <c r="J277" s="185" t="str">
        <f>IFERROR(__xludf.DUMMYFUNCTION("""COMPUTED_VALUE"""),"Yes - priority")</f>
        <v>Yes - priority</v>
      </c>
      <c r="K277" s="185" t="str">
        <f>IFERROR(__xludf.DUMMYFUNCTION("""COMPUTED_VALUE"""),"Unknown")</f>
        <v>Unknown</v>
      </c>
      <c r="L277" s="187">
        <f>IFERROR(__xludf.DUMMYFUNCTION("""COMPUTED_VALUE"""),1.0)</f>
        <v>1</v>
      </c>
      <c r="M277" s="188">
        <f>IFERROR(__xludf.DUMMYFUNCTION("""COMPUTED_VALUE"""),0.0)</f>
        <v>0</v>
      </c>
      <c r="N277" s="188">
        <f>IFERROR(__xludf.DUMMYFUNCTION("""COMPUTED_VALUE"""),0.0)</f>
        <v>0</v>
      </c>
      <c r="O277" s="208"/>
      <c r="P277" s="208"/>
      <c r="Q277" s="208"/>
      <c r="R277" s="208"/>
    </row>
    <row r="278">
      <c r="A278" s="185" t="str">
        <f>IFERROR(__xludf.DUMMYFUNCTION("""COMPUTED_VALUE"""),"Industry data / software authority")</f>
        <v>Industry data / software authority</v>
      </c>
      <c r="B278" s="186" t="str">
        <f>IFERROR(__xludf.DUMMYFUNCTION("""COMPUTED_VALUE"""),"https://www.semrush.com/agencies/list/display-advertising/information-technology/united-states/")</f>
        <v>https://www.semrush.com/agencies/list/display-advertising/information-technology/united-states/</v>
      </c>
      <c r="C278" s="185" t="str">
        <f>IFERROR(__xludf.DUMMYFUNCTION("""COMPUTED_VALUE"""),"Best IT Display Ads Agencies in United States 2026 \| Semrush")</f>
        <v>Best IT Display Ads Agencies in United States 2026 \| Semrush</v>
      </c>
      <c r="D278" s="185" t="str">
        <f>IFERROR(__xludf.DUMMYFUNCTION("""COMPUTED_VALUE"""),"US")</f>
        <v>US</v>
      </c>
      <c r="E278" s="185" t="str">
        <f>IFERROR(__xludf.DUMMYFUNCTION("""COMPUTED_VALUE"""),"semrush.com")</f>
        <v>semrush.com</v>
      </c>
      <c r="F278" s="185" t="str">
        <f>IFERROR(__xludf.DUMMYFUNCTION("""COMPUTED_VALUE"""),"Profile")</f>
        <v>Profile</v>
      </c>
      <c r="G278" s="185" t="str">
        <f>IFERROR(__xludf.DUMMYFUNCTION("""COMPUTED_VALUE"""),"CORPORATE")</f>
        <v>CORPORATE</v>
      </c>
      <c r="H278" s="185" t="str">
        <f>IFERROR(__xludf.DUMMYFUNCTION("""COMPUTED_VALUE"""),"No")</f>
        <v>No</v>
      </c>
      <c r="I278" s="185" t="str">
        <f>IFERROR(__xludf.DUMMYFUNCTION("""COMPUTED_VALUE"""),"Medium")</f>
        <v>Medium</v>
      </c>
      <c r="J278" s="185" t="str">
        <f>IFERROR(__xludf.DUMMYFUNCTION("""COMPUTED_VALUE"""),"Yes")</f>
        <v>Yes</v>
      </c>
      <c r="K278" s="185" t="str">
        <f>IFERROR(__xludf.DUMMYFUNCTION("""COMPUTED_VALUE"""),"SmartSites, Elit-Web, Silverback Strategies, WebFX, Measured, Funnel Boost Media")</f>
        <v>SmartSites, Elit-Web, Silverback Strategies, WebFX, Measured, Funnel Boost Media</v>
      </c>
      <c r="L278" s="187">
        <f>IFERROR(__xludf.DUMMYFUNCTION("""COMPUTED_VALUE"""),1.0)</f>
        <v>1</v>
      </c>
      <c r="M278" s="188">
        <f>IFERROR(__xludf.DUMMYFUNCTION("""COMPUTED_VALUE"""),0.0)</f>
        <v>0</v>
      </c>
      <c r="N278" s="188">
        <f>IFERROR(__xludf.DUMMYFUNCTION("""COMPUTED_VALUE"""),0.0)</f>
        <v>0</v>
      </c>
      <c r="O278" s="208"/>
      <c r="P278" s="208"/>
      <c r="Q278" s="208"/>
      <c r="R278" s="208"/>
    </row>
    <row r="279">
      <c r="A279" s="185" t="str">
        <f>IFERROR(__xludf.DUMMYFUNCTION("""COMPUTED_VALUE"""),"Agency directory / review marketplace")</f>
        <v>Agency directory / review marketplace</v>
      </c>
      <c r="B279" s="186" t="str">
        <f>IFERROR(__xludf.DUMMYFUNCTION("""COMPUTED_VALUE"""),"https://www.sortlist.com/digital-marketing/doha-qa")</f>
        <v>https://www.sortlist.com/digital-marketing/doha-qa</v>
      </c>
      <c r="C279" s="185" t="str">
        <f>IFERROR(__xludf.DUMMYFUNCTION("""COMPUTED_VALUE"""),"The 10 Best Digital Marketing Agencies in Doha - 2026 Reviews")</f>
        <v>The 10 Best Digital Marketing Agencies in Doha - 2026 Reviews</v>
      </c>
      <c r="D279" s="185" t="str">
        <f>IFERROR(__xludf.DUMMYFUNCTION("""COMPUTED_VALUE"""),"US")</f>
        <v>US</v>
      </c>
      <c r="E279" s="185" t="str">
        <f>IFERROR(__xludf.DUMMYFUNCTION("""COMPUTED_VALUE"""),"sortlist.com")</f>
        <v>sortlist.com</v>
      </c>
      <c r="F279" s="185" t="str">
        <f>IFERROR(__xludf.DUMMYFUNCTION("""COMPUTED_VALUE"""),"Category Page")</f>
        <v>Category Page</v>
      </c>
      <c r="G279" s="185" t="str">
        <f>IFERROR(__xludf.DUMMYFUNCTION("""COMPUTED_VALUE"""),"CORPORATE")</f>
        <v>CORPORATE</v>
      </c>
      <c r="H279" s="185" t="str">
        <f>IFERROR(__xludf.DUMMYFUNCTION("""COMPUTED_VALUE"""),"No")</f>
        <v>No</v>
      </c>
      <c r="I279" s="185" t="str">
        <f>IFERROR(__xludf.DUMMYFUNCTION("""COMPUTED_VALUE"""),"Medium")</f>
        <v>Medium</v>
      </c>
      <c r="J279" s="185" t="str">
        <f>IFERROR(__xludf.DUMMYFUNCTION("""COMPUTED_VALUE"""),"Yes")</f>
        <v>Yes</v>
      </c>
      <c r="K279" s="185" t="str">
        <f>IFERROR(__xludf.DUMMYFUNCTION("""COMPUTED_VALUE"""),"Clutch, Directive")</f>
        <v>Clutch, Directive</v>
      </c>
      <c r="L279" s="187">
        <f>IFERROR(__xludf.DUMMYFUNCTION("""COMPUTED_VALUE"""),1.0)</f>
        <v>1</v>
      </c>
      <c r="M279" s="188">
        <f>IFERROR(__xludf.DUMMYFUNCTION("""COMPUTED_VALUE"""),0.0)</f>
        <v>0</v>
      </c>
      <c r="N279" s="188">
        <f>IFERROR(__xludf.DUMMYFUNCTION("""COMPUTED_VALUE"""),0.0)</f>
        <v>0</v>
      </c>
      <c r="O279" s="208"/>
      <c r="P279" s="208"/>
      <c r="Q279" s="208"/>
      <c r="R279" s="208"/>
    </row>
    <row r="280">
      <c r="A280" s="185" t="str">
        <f>IFERROR(__xludf.DUMMYFUNCTION("""COMPUTED_VALUE"""),"Agency directory / review marketplace")</f>
        <v>Agency directory / review marketplace</v>
      </c>
      <c r="B280" s="186" t="str">
        <f>IFERROR(__xludf.DUMMYFUNCTION("""COMPUTED_VALUE"""),"https://www.sortlist.com/paid-media#:~:text=Instead%20of%20traditional%20agencies%20that%20bill%20per,marketing%20across%20all%20key%20channels%20and%20disciplines.")</f>
        <v>https://www.sortlist.com/paid-media#:~:text=Instead%20of%20traditional%20agencies%20that%20bill%20per,marketing%20across%20all%20key%20channels%20and%20disciplines.</v>
      </c>
      <c r="C280" s="185" t="str">
        <f>IFERROR(__xludf.DUMMYFUNCTION("""COMPUTED_VALUE"""),"The 100 Best Paid Media Agencies - 2026 Reviews")</f>
        <v>The 100 Best Paid Media Agencies - 2026 Reviews</v>
      </c>
      <c r="D280" s="185" t="str">
        <f>IFERROR(__xludf.DUMMYFUNCTION("""COMPUTED_VALUE"""),"US")</f>
        <v>US</v>
      </c>
      <c r="E280" s="185" t="str">
        <f>IFERROR(__xludf.DUMMYFUNCTION("""COMPUTED_VALUE"""),"sortlist.com")</f>
        <v>sortlist.com</v>
      </c>
      <c r="F280" s="185" t="str">
        <f>IFERROR(__xludf.DUMMYFUNCTION("""COMPUTED_VALUE"""),"Category Page")</f>
        <v>Category Page</v>
      </c>
      <c r="G280" s="185" t="str">
        <f>IFERROR(__xludf.DUMMYFUNCTION("""COMPUTED_VALUE"""),"CORPORATE")</f>
        <v>CORPORATE</v>
      </c>
      <c r="H280" s="185" t="str">
        <f>IFERROR(__xludf.DUMMYFUNCTION("""COMPUTED_VALUE"""),"No")</f>
        <v>No</v>
      </c>
      <c r="I280" s="185" t="str">
        <f>IFERROR(__xludf.DUMMYFUNCTION("""COMPUTED_VALUE"""),"Medium")</f>
        <v>Medium</v>
      </c>
      <c r="J280" s="185" t="str">
        <f>IFERROR(__xludf.DUMMYFUNCTION("""COMPUTED_VALUE"""),"Yes")</f>
        <v>Yes</v>
      </c>
      <c r="K280" s="185" t="str">
        <f>IFERROR(__xludf.DUMMYFUNCTION("""COMPUTED_VALUE"""),"NinjaPromo, Triple Whale, Northbeam, HockeyStack")</f>
        <v>NinjaPromo, Triple Whale, Northbeam, HockeyStack</v>
      </c>
      <c r="L280" s="187">
        <f>IFERROR(__xludf.DUMMYFUNCTION("""COMPUTED_VALUE"""),1.0)</f>
        <v>1</v>
      </c>
      <c r="M280" s="188">
        <f>IFERROR(__xludf.DUMMYFUNCTION("""COMPUTED_VALUE"""),0.0)</f>
        <v>0</v>
      </c>
      <c r="N280" s="188">
        <f>IFERROR(__xludf.DUMMYFUNCTION("""COMPUTED_VALUE"""),2.0)</f>
        <v>2</v>
      </c>
      <c r="O280" s="208"/>
      <c r="P280" s="208"/>
      <c r="Q280" s="208"/>
      <c r="R280" s="208"/>
    </row>
    <row r="281">
      <c r="A281" s="185" t="str">
        <f>IFERROR(__xludf.DUMMYFUNCTION("""COMPUTED_VALUE"""),"Agency directory / review marketplace")</f>
        <v>Agency directory / review marketplace</v>
      </c>
      <c r="B281" s="186" t="str">
        <f>IFERROR(__xludf.DUMMYFUNCTION("""COMPUTED_VALUE"""),"https://www.sortlist.com/performance-marketing")</f>
        <v>https://www.sortlist.com/performance-marketing</v>
      </c>
      <c r="C281" s="185" t="str">
        <f>IFERROR(__xludf.DUMMYFUNCTION("""COMPUTED_VALUE"""),"The 100 Best Performance Marketing Agencies - 2026 Reviews")</f>
        <v>The 100 Best Performance Marketing Agencies - 2026 Reviews</v>
      </c>
      <c r="D281" s="185" t="str">
        <f>IFERROR(__xludf.DUMMYFUNCTION("""COMPUTED_VALUE"""),"US")</f>
        <v>US</v>
      </c>
      <c r="E281" s="185" t="str">
        <f>IFERROR(__xludf.DUMMYFUNCTION("""COMPUTED_VALUE"""),"sortlist.com")</f>
        <v>sortlist.com</v>
      </c>
      <c r="F281" s="185" t="str">
        <f>IFERROR(__xludf.DUMMYFUNCTION("""COMPUTED_VALUE"""),"Category Page")</f>
        <v>Category Page</v>
      </c>
      <c r="G281" s="185" t="str">
        <f>IFERROR(__xludf.DUMMYFUNCTION("""COMPUTED_VALUE"""),"CORPORATE")</f>
        <v>CORPORATE</v>
      </c>
      <c r="H281" s="185" t="str">
        <f>IFERROR(__xludf.DUMMYFUNCTION("""COMPUTED_VALUE"""),"No")</f>
        <v>No</v>
      </c>
      <c r="I281" s="185" t="str">
        <f>IFERROR(__xludf.DUMMYFUNCTION("""COMPUTED_VALUE"""),"Medium")</f>
        <v>Medium</v>
      </c>
      <c r="J281" s="185" t="str">
        <f>IFERROR(__xludf.DUMMYFUNCTION("""COMPUTED_VALUE"""),"Yes")</f>
        <v>Yes</v>
      </c>
      <c r="K281" s="185" t="str">
        <f>IFERROR(__xludf.DUMMYFUNCTION("""COMPUTED_VALUE"""),"Triple Whale, Northbeam, HockeyStack, Measured")</f>
        <v>Triple Whale, Northbeam, HockeyStack, Measured</v>
      </c>
      <c r="L281" s="187">
        <f>IFERROR(__xludf.DUMMYFUNCTION("""COMPUTED_VALUE"""),1.0)</f>
        <v>1</v>
      </c>
      <c r="M281" s="188">
        <f>IFERROR(__xludf.DUMMYFUNCTION("""COMPUTED_VALUE"""),0.0)</f>
        <v>0</v>
      </c>
      <c r="N281" s="188">
        <f>IFERROR(__xludf.DUMMYFUNCTION("""COMPUTED_VALUE"""),0.0)</f>
        <v>0</v>
      </c>
      <c r="O281" s="208"/>
      <c r="P281" s="208"/>
      <c r="Q281" s="208"/>
      <c r="R281" s="208"/>
    </row>
    <row r="282">
      <c r="A282" s="185" t="str">
        <f>IFERROR(__xludf.DUMMYFUNCTION("""COMPUTED_VALUE"""),"Agency directory / review marketplace")</f>
        <v>Agency directory / review marketplace</v>
      </c>
      <c r="B282" s="186" t="str">
        <f>IFERROR(__xludf.DUMMYFUNCTION("""COMPUTED_VALUE"""),"https://www.sortlist.com/s/artificial-intelligence/united-states-us")</f>
        <v>https://www.sortlist.com/s/artificial-intelligence/united-states-us</v>
      </c>
      <c r="C282" s="185" t="str">
        <f>IFERROR(__xludf.DUMMYFUNCTION("""COMPUTED_VALUE"""),"The 10 Best Artificial Intelligence Agencies in the United States - 2026 Reviews")</f>
        <v>The 10 Best Artificial Intelligence Agencies in the United States - 2026 Reviews</v>
      </c>
      <c r="D282" s="185" t="str">
        <f>IFERROR(__xludf.DUMMYFUNCTION("""COMPUTED_VALUE"""),"US")</f>
        <v>US</v>
      </c>
      <c r="E282" s="185" t="str">
        <f>IFERROR(__xludf.DUMMYFUNCTION("""COMPUTED_VALUE"""),"sortlist.com")</f>
        <v>sortlist.com</v>
      </c>
      <c r="F282" s="185" t="str">
        <f>IFERROR(__xludf.DUMMYFUNCTION("""COMPUTED_VALUE"""),"Category Page")</f>
        <v>Category Page</v>
      </c>
      <c r="G282" s="185" t="str">
        <f>IFERROR(__xludf.DUMMYFUNCTION("""COMPUTED_VALUE"""),"CORPORATE")</f>
        <v>CORPORATE</v>
      </c>
      <c r="H282" s="185" t="str">
        <f>IFERROR(__xludf.DUMMYFUNCTION("""COMPUTED_VALUE"""),"No")</f>
        <v>No</v>
      </c>
      <c r="I282" s="185" t="str">
        <f>IFERROR(__xludf.DUMMYFUNCTION("""COMPUTED_VALUE"""),"Medium")</f>
        <v>Medium</v>
      </c>
      <c r="J282" s="185" t="str">
        <f>IFERROR(__xludf.DUMMYFUNCTION("""COMPUTED_VALUE"""),"Yes")</f>
        <v>Yes</v>
      </c>
      <c r="K282" s="185" t="str">
        <f>IFERROR(__xludf.DUMMYFUNCTION("""COMPUTED_VALUE"""),"Clutch")</f>
        <v>Clutch</v>
      </c>
      <c r="L282" s="187">
        <f>IFERROR(__xludf.DUMMYFUNCTION("""COMPUTED_VALUE"""),1.0)</f>
        <v>1</v>
      </c>
      <c r="M282" s="188">
        <f>IFERROR(__xludf.DUMMYFUNCTION("""COMPUTED_VALUE"""),0.0)</f>
        <v>0</v>
      </c>
      <c r="N282" s="188">
        <f>IFERROR(__xludf.DUMMYFUNCTION("""COMPUTED_VALUE"""),0.0)</f>
        <v>0</v>
      </c>
      <c r="O282" s="208"/>
      <c r="P282" s="208"/>
      <c r="Q282" s="208"/>
      <c r="R282" s="208"/>
    </row>
    <row r="283">
      <c r="A283" s="185" t="str">
        <f>IFERROR(__xludf.DUMMYFUNCTION("""COMPUTED_VALUE"""),"Agency directory / review marketplace")</f>
        <v>Agency directory / review marketplace</v>
      </c>
      <c r="B283" s="186" t="str">
        <f>IFERROR(__xludf.DUMMYFUNCTION("""COMPUTED_VALUE"""),"https://www.sortlist.com/s/display-advertising/los-angeles-ca-us")</f>
        <v>https://www.sortlist.com/s/display-advertising/los-angeles-ca-us</v>
      </c>
      <c r="C283" s="185" t="str">
        <f>IFERROR(__xludf.DUMMYFUNCTION("""COMPUTED_VALUE"""),"The 10 Best Display Advertising Agencies in Los Angeles, CA - 2026 Reviews")</f>
        <v>The 10 Best Display Advertising Agencies in Los Angeles, CA - 2026 Reviews</v>
      </c>
      <c r="D283" s="185" t="str">
        <f>IFERROR(__xludf.DUMMYFUNCTION("""COMPUTED_VALUE"""),"US")</f>
        <v>US</v>
      </c>
      <c r="E283" s="185" t="str">
        <f>IFERROR(__xludf.DUMMYFUNCTION("""COMPUTED_VALUE"""),"sortlist.com")</f>
        <v>sortlist.com</v>
      </c>
      <c r="F283" s="185" t="str">
        <f>IFERROR(__xludf.DUMMYFUNCTION("""COMPUTED_VALUE"""),"Category Page")</f>
        <v>Category Page</v>
      </c>
      <c r="G283" s="185" t="str">
        <f>IFERROR(__xludf.DUMMYFUNCTION("""COMPUTED_VALUE"""),"CORPORATE")</f>
        <v>CORPORATE</v>
      </c>
      <c r="H283" s="185" t="str">
        <f>IFERROR(__xludf.DUMMYFUNCTION("""COMPUTED_VALUE"""),"No")</f>
        <v>No</v>
      </c>
      <c r="I283" s="185" t="str">
        <f>IFERROR(__xludf.DUMMYFUNCTION("""COMPUTED_VALUE"""),"Medium")</f>
        <v>Medium</v>
      </c>
      <c r="J283" s="185" t="str">
        <f>IFERROR(__xludf.DUMMYFUNCTION("""COMPUTED_VALUE"""),"Yes")</f>
        <v>Yes</v>
      </c>
      <c r="K283" s="185" t="str">
        <f>IFERROR(__xludf.DUMMYFUNCTION("""COMPUTED_VALUE"""),"NinjaPromo, IBM, Clutch, Clay")</f>
        <v>NinjaPromo, IBM, Clutch, Clay</v>
      </c>
      <c r="L283" s="187">
        <f>IFERROR(__xludf.DUMMYFUNCTION("""COMPUTED_VALUE"""),1.0)</f>
        <v>1</v>
      </c>
      <c r="M283" s="188">
        <f>IFERROR(__xludf.DUMMYFUNCTION("""COMPUTED_VALUE"""),0.0)</f>
        <v>0</v>
      </c>
      <c r="N283" s="188">
        <f>IFERROR(__xludf.DUMMYFUNCTION("""COMPUTED_VALUE"""),0.0)</f>
        <v>0</v>
      </c>
      <c r="O283" s="208"/>
      <c r="P283" s="208"/>
      <c r="Q283" s="208"/>
      <c r="R283" s="208"/>
    </row>
    <row r="284">
      <c r="A284" s="185" t="str">
        <f>IFERROR(__xludf.DUMMYFUNCTION("""COMPUTED_VALUE"""),"Agency directory / review marketplace")</f>
        <v>Agency directory / review marketplace</v>
      </c>
      <c r="B284" s="186" t="str">
        <f>IFERROR(__xludf.DUMMYFUNCTION("""COMPUTED_VALUE"""),"https://www.sortlist.com/s/display-advertising/nashville-tn-us")</f>
        <v>https://www.sortlist.com/s/display-advertising/nashville-tn-us</v>
      </c>
      <c r="C284" s="185" t="str">
        <f>IFERROR(__xludf.DUMMYFUNCTION("""COMPUTED_VALUE"""),"The 10 Best Display Advertising Agencies in Nashville - 2026 Reviews")</f>
        <v>The 10 Best Display Advertising Agencies in Nashville - 2026 Reviews</v>
      </c>
      <c r="D284" s="185" t="str">
        <f>IFERROR(__xludf.DUMMYFUNCTION("""COMPUTED_VALUE"""),"US")</f>
        <v>US</v>
      </c>
      <c r="E284" s="185" t="str">
        <f>IFERROR(__xludf.DUMMYFUNCTION("""COMPUTED_VALUE"""),"sortlist.com")</f>
        <v>sortlist.com</v>
      </c>
      <c r="F284" s="185" t="str">
        <f>IFERROR(__xludf.DUMMYFUNCTION("""COMPUTED_VALUE"""),"Category Page")</f>
        <v>Category Page</v>
      </c>
      <c r="G284" s="185" t="str">
        <f>IFERROR(__xludf.DUMMYFUNCTION("""COMPUTED_VALUE"""),"CORPORATE")</f>
        <v>CORPORATE</v>
      </c>
      <c r="H284" s="185" t="str">
        <f>IFERROR(__xludf.DUMMYFUNCTION("""COMPUTED_VALUE"""),"No")</f>
        <v>No</v>
      </c>
      <c r="I284" s="185" t="str">
        <f>IFERROR(__xludf.DUMMYFUNCTION("""COMPUTED_VALUE"""),"Medium")</f>
        <v>Medium</v>
      </c>
      <c r="J284" s="185" t="str">
        <f>IFERROR(__xludf.DUMMYFUNCTION("""COMPUTED_VALUE"""),"Yes")</f>
        <v>Yes</v>
      </c>
      <c r="K284" s="185" t="str">
        <f>IFERROR(__xludf.DUMMYFUNCTION("""COMPUTED_VALUE"""),"NinjaPromo, IBM, Clutch, Clay, Nielsen")</f>
        <v>NinjaPromo, IBM, Clutch, Clay, Nielsen</v>
      </c>
      <c r="L284" s="187">
        <f>IFERROR(__xludf.DUMMYFUNCTION("""COMPUTED_VALUE"""),1.0)</f>
        <v>1</v>
      </c>
      <c r="M284" s="188">
        <f>IFERROR(__xludf.DUMMYFUNCTION("""COMPUTED_VALUE"""),0.0)</f>
        <v>0</v>
      </c>
      <c r="N284" s="188">
        <f>IFERROR(__xludf.DUMMYFUNCTION("""COMPUTED_VALUE"""),0.0)</f>
        <v>0</v>
      </c>
      <c r="O284" s="208"/>
      <c r="P284" s="208"/>
      <c r="Q284" s="208"/>
      <c r="R284" s="208"/>
    </row>
    <row r="285">
      <c r="A285" s="185" t="str">
        <f>IFERROR(__xludf.DUMMYFUNCTION("""COMPUTED_VALUE"""),"Agency directory / review marketplace")</f>
        <v>Agency directory / review marketplace</v>
      </c>
      <c r="B285" s="186" t="str">
        <f>IFERROR(__xludf.DUMMYFUNCTION("""COMPUTED_VALUE"""),"https://www.sortlist.com/s/performance-marketing/atlanta-ga-us")</f>
        <v>https://www.sortlist.com/s/performance-marketing/atlanta-ga-us</v>
      </c>
      <c r="C285" s="185" t="str">
        <f>IFERROR(__xludf.DUMMYFUNCTION("""COMPUTED_VALUE"""),"The 10 Best Performance Marketing Agencies in Atlanta, GA - 2026 Reviews")</f>
        <v>The 10 Best Performance Marketing Agencies in Atlanta, GA - 2026 Reviews</v>
      </c>
      <c r="D285" s="185" t="str">
        <f>IFERROR(__xludf.DUMMYFUNCTION("""COMPUTED_VALUE"""),"US")</f>
        <v>US</v>
      </c>
      <c r="E285" s="185" t="str">
        <f>IFERROR(__xludf.DUMMYFUNCTION("""COMPUTED_VALUE"""),"sortlist.com")</f>
        <v>sortlist.com</v>
      </c>
      <c r="F285" s="185" t="str">
        <f>IFERROR(__xludf.DUMMYFUNCTION("""COMPUTED_VALUE"""),"Category Page")</f>
        <v>Category Page</v>
      </c>
      <c r="G285" s="185" t="str">
        <f>IFERROR(__xludf.DUMMYFUNCTION("""COMPUTED_VALUE"""),"CORPORATE")</f>
        <v>CORPORATE</v>
      </c>
      <c r="H285" s="185" t="str">
        <f>IFERROR(__xludf.DUMMYFUNCTION("""COMPUTED_VALUE"""),"No")</f>
        <v>No</v>
      </c>
      <c r="I285" s="185" t="str">
        <f>IFERROR(__xludf.DUMMYFUNCTION("""COMPUTED_VALUE"""),"Medium")</f>
        <v>Medium</v>
      </c>
      <c r="J285" s="185" t="str">
        <f>IFERROR(__xludf.DUMMYFUNCTION("""COMPUTED_VALUE"""),"Yes")</f>
        <v>Yes</v>
      </c>
      <c r="K285" s="185" t="str">
        <f>IFERROR(__xludf.DUMMYFUNCTION("""COMPUTED_VALUE"""),"IBM, Clutch, Clay, Anomaly")</f>
        <v>IBM, Clutch, Clay, Anomaly</v>
      </c>
      <c r="L285" s="187">
        <f>IFERROR(__xludf.DUMMYFUNCTION("""COMPUTED_VALUE"""),1.0)</f>
        <v>1</v>
      </c>
      <c r="M285" s="188">
        <f>IFERROR(__xludf.DUMMYFUNCTION("""COMPUTED_VALUE"""),0.0)</f>
        <v>0</v>
      </c>
      <c r="N285" s="188">
        <f>IFERROR(__xludf.DUMMYFUNCTION("""COMPUTED_VALUE"""),0.0)</f>
        <v>0</v>
      </c>
      <c r="O285" s="208"/>
      <c r="P285" s="208"/>
      <c r="Q285" s="208"/>
      <c r="R285" s="208"/>
    </row>
    <row r="286">
      <c r="A286" s="185" t="str">
        <f>IFERROR(__xludf.DUMMYFUNCTION("""COMPUTED_VALUE"""),"Official partner / certification ecosystem")</f>
        <v>Official partner / certification ecosystem</v>
      </c>
      <c r="B286" s="186" t="str">
        <f>IFERROR(__xludf.DUMMYFUNCTION("""COMPUTED_VALUE"""),"https://support.google.com/tagmanager/answer/7237700?hl=en-AU")</f>
        <v>https://support.google.com/tagmanager/answer/7237700?hl=en-AU</v>
      </c>
      <c r="C286" s="185" t="str">
        <f>IFERROR(__xludf.DUMMYFUNCTION("""COMPUTED_VALUE"""),"Google Marketing Platform Partners - Tag Manager Help")</f>
        <v>Google Marketing Platform Partners - Tag Manager Help</v>
      </c>
      <c r="D286" s="185" t="str">
        <f>IFERROR(__xludf.DUMMYFUNCTION("""COMPUTED_VALUE"""),"US")</f>
        <v>US</v>
      </c>
      <c r="E286" s="185" t="str">
        <f>IFERROR(__xludf.DUMMYFUNCTION("""COMPUTED_VALUE"""),"google.com")</f>
        <v>google.com</v>
      </c>
      <c r="F286" s="185" t="str">
        <f>IFERROR(__xludf.DUMMYFUNCTION("""COMPUTED_VALUE"""),"Other")</f>
        <v>Other</v>
      </c>
      <c r="G286" s="185" t="str">
        <f>IFERROR(__xludf.DUMMYFUNCTION("""COMPUTED_VALUE"""),"OTHER")</f>
        <v>OTHER</v>
      </c>
      <c r="H286" s="185" t="str">
        <f>IFERROR(__xludf.DUMMYFUNCTION("""COMPUTED_VALUE"""),"No")</f>
        <v>No</v>
      </c>
      <c r="I286" s="185" t="str">
        <f>IFERROR(__xludf.DUMMYFUNCTION("""COMPUTED_VALUE"""),"High")</f>
        <v>High</v>
      </c>
      <c r="J286" s="185" t="str">
        <f>IFERROR(__xludf.DUMMYFUNCTION("""COMPUTED_VALUE"""),"Yes - priority")</f>
        <v>Yes - priority</v>
      </c>
      <c r="K286" s="185"/>
      <c r="L286" s="187">
        <f>IFERROR(__xludf.DUMMYFUNCTION("""COMPUTED_VALUE"""),1.0)</f>
        <v>1</v>
      </c>
      <c r="M286" s="188">
        <f>IFERROR(__xludf.DUMMYFUNCTION("""COMPUTED_VALUE"""),0.0)</f>
        <v>0</v>
      </c>
      <c r="N286" s="188">
        <f>IFERROR(__xludf.DUMMYFUNCTION("""COMPUTED_VALUE"""),0.0)</f>
        <v>0</v>
      </c>
      <c r="O286" s="208"/>
      <c r="P286" s="208"/>
      <c r="Q286" s="208"/>
      <c r="R286" s="208"/>
    </row>
    <row r="287">
      <c r="A287" s="185" t="str">
        <f>IFERROR(__xludf.DUMMYFUNCTION("""COMPUTED_VALUE"""),"Trade media / editorial publication")</f>
        <v>Trade media / editorial publication</v>
      </c>
      <c r="B287" s="186"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C287" s="185" t="str">
        <f>IFERROR(__xludf.DUMMYFUNCTION("""COMPUTED_VALUE"""),"Beyond AI pilots, the organisations turning AI ambition into action \| The Australian")</f>
        <v>Beyond AI pilots, the organisations turning AI ambition into action \| The Australian</v>
      </c>
      <c r="D287" s="185" t="str">
        <f>IFERROR(__xludf.DUMMYFUNCTION("""COMPUTED_VALUE"""),"US")</f>
        <v>US</v>
      </c>
      <c r="E287" s="185" t="str">
        <f>IFERROR(__xludf.DUMMYFUNCTION("""COMPUTED_VALUE"""),"theaustralian.com.au")</f>
        <v>theaustralian.com.au</v>
      </c>
      <c r="F287" s="185" t="str">
        <f>IFERROR(__xludf.DUMMYFUNCTION("""COMPUTED_VALUE"""),"Article")</f>
        <v>Article</v>
      </c>
      <c r="G287" s="185" t="str">
        <f>IFERROR(__xludf.DUMMYFUNCTION("""COMPUTED_VALUE"""),"EDITORIAL")</f>
        <v>EDITORIAL</v>
      </c>
      <c r="H287" s="185" t="str">
        <f>IFERROR(__xludf.DUMMYFUNCTION("""COMPUTED_VALUE"""),"No")</f>
        <v>No</v>
      </c>
      <c r="I287" s="185" t="str">
        <f>IFERROR(__xludf.DUMMYFUNCTION("""COMPUTED_VALUE"""),"High")</f>
        <v>High</v>
      </c>
      <c r="J287" s="185" t="str">
        <f>IFERROR(__xludf.DUMMYFUNCTION("""COMPUTED_VALUE"""),"Yes - priority")</f>
        <v>Yes - priority</v>
      </c>
      <c r="K287" s="185" t="str">
        <f>IFERROR(__xludf.DUMMYFUNCTION("""COMPUTED_VALUE"""),"Momentum, Deloitte Digital")</f>
        <v>Momentum, Deloitte Digital</v>
      </c>
      <c r="L287" s="187">
        <f>IFERROR(__xludf.DUMMYFUNCTION("""COMPUTED_VALUE"""),1.0)</f>
        <v>1</v>
      </c>
      <c r="M287" s="188">
        <f>IFERROR(__xludf.DUMMYFUNCTION("""COMPUTED_VALUE"""),0.0)</f>
        <v>0</v>
      </c>
      <c r="N287" s="188">
        <f>IFERROR(__xludf.DUMMYFUNCTION("""COMPUTED_VALUE"""),2.0)</f>
        <v>2</v>
      </c>
      <c r="O287" s="208"/>
      <c r="P287" s="208"/>
      <c r="Q287" s="208"/>
      <c r="R287" s="208"/>
    </row>
    <row r="288">
      <c r="A288" s="185" t="str">
        <f>IFERROR(__xludf.DUMMYFUNCTION("""COMPUTED_VALUE"""),"Lower-priority competitor/vendor roundup")</f>
        <v>Lower-priority competitor/vendor roundup</v>
      </c>
      <c r="B288" s="186" t="str">
        <f>IFERROR(__xludf.DUMMYFUNCTION("""COMPUTED_VALUE"""),"https://www.thegrowthsyndicate.com/agencies/best-b2b-marketing-agencies-us")</f>
        <v>https://www.thegrowthsyndicate.com/agencies/best-b2b-marketing-agencies-us</v>
      </c>
      <c r="C288" s="185" t="str">
        <f>IFERROR(__xludf.DUMMYFUNCTION("""COMPUTED_VALUE"""),"The 10 Best B2B Marketing Agencies in the US in 2026")</f>
        <v>The 10 Best B2B Marketing Agencies in the US in 2026</v>
      </c>
      <c r="D288" s="185" t="str">
        <f>IFERROR(__xludf.DUMMYFUNCTION("""COMPUTED_VALUE"""),"US")</f>
        <v>US</v>
      </c>
      <c r="E288" s="185" t="str">
        <f>IFERROR(__xludf.DUMMYFUNCTION("""COMPUTED_VALUE"""),"thegrowthsyndicate.com")</f>
        <v>thegrowthsyndicate.com</v>
      </c>
      <c r="F288" s="185" t="str">
        <f>IFERROR(__xludf.DUMMYFUNCTION("""COMPUTED_VALUE"""),"Listicle")</f>
        <v>Listicle</v>
      </c>
      <c r="G288" s="185" t="str">
        <f>IFERROR(__xludf.DUMMYFUNCTION("""COMPUTED_VALUE"""),"CORPORATE")</f>
        <v>CORPORATE</v>
      </c>
      <c r="H288" s="185" t="str">
        <f>IFERROR(__xludf.DUMMYFUNCTION("""COMPUTED_VALUE"""),"No")</f>
        <v>No</v>
      </c>
      <c r="I288" s="185" t="str">
        <f>IFERROR(__xludf.DUMMYFUNCTION("""COMPUTED_VALUE"""),"Low")</f>
        <v>Low</v>
      </c>
      <c r="J288" s="185" t="str">
        <f>IFERROR(__xludf.DUMMYFUNCTION("""COMPUTED_VALUE"""),"Secondary")</f>
        <v>Secondary</v>
      </c>
      <c r="K288" s="185" t="str">
        <f>IFERROR(__xludf.DUMMYFUNCTION("""COMPUTED_VALUE"""),"Directive, Measured, Animalz, Clutch, Refine Labs")</f>
        <v>Directive, Measured, Animalz, Clutch, Refine Labs</v>
      </c>
      <c r="L288" s="187">
        <f>IFERROR(__xludf.DUMMYFUNCTION("""COMPUTED_VALUE"""),1.0)</f>
        <v>1</v>
      </c>
      <c r="M288" s="188">
        <f>IFERROR(__xludf.DUMMYFUNCTION("""COMPUTED_VALUE"""),0.0)</f>
        <v>0</v>
      </c>
      <c r="N288" s="188">
        <f>IFERROR(__xludf.DUMMYFUNCTION("""COMPUTED_VALUE"""),1.0)</f>
        <v>1</v>
      </c>
      <c r="O288" s="208"/>
      <c r="P288" s="208"/>
      <c r="Q288" s="208"/>
      <c r="R288" s="208"/>
    </row>
    <row r="289">
      <c r="A289" s="185" t="str">
        <f>IFERROR(__xludf.DUMMYFUNCTION("""COMPUTED_VALUE"""),"Lower-priority competitor/vendor roundup")</f>
        <v>Lower-priority competitor/vendor roundup</v>
      </c>
      <c r="B289" s="186" t="str">
        <f>IFERROR(__xludf.DUMMYFUNCTION("""COMPUTED_VALUE"""),"https://www.thegrowthsyndicate.com/agencies/best-linkedin-ads-agencies-us")</f>
        <v>https://www.thegrowthsyndicate.com/agencies/best-linkedin-ads-agencies-us</v>
      </c>
      <c r="C289" s="185" t="str">
        <f>IFERROR(__xludf.DUMMYFUNCTION("""COMPUTED_VALUE"""),"Best LinkedIn Ads Agencies in the US (2026)")</f>
        <v>Best LinkedIn Ads Agencies in the US (2026)</v>
      </c>
      <c r="D289" s="185" t="str">
        <f>IFERROR(__xludf.DUMMYFUNCTION("""COMPUTED_VALUE"""),"US")</f>
        <v>US</v>
      </c>
      <c r="E289" s="185" t="str">
        <f>IFERROR(__xludf.DUMMYFUNCTION("""COMPUTED_VALUE"""),"thegrowthsyndicate.com")</f>
        <v>thegrowthsyndicate.com</v>
      </c>
      <c r="F289" s="185" t="str">
        <f>IFERROR(__xludf.DUMMYFUNCTION("""COMPUTED_VALUE"""),"Listicle")</f>
        <v>Listicle</v>
      </c>
      <c r="G289" s="185" t="str">
        <f>IFERROR(__xludf.DUMMYFUNCTION("""COMPUTED_VALUE"""),"CORPORATE")</f>
        <v>CORPORATE</v>
      </c>
      <c r="H289" s="185" t="str">
        <f>IFERROR(__xludf.DUMMYFUNCTION("""COMPUTED_VALUE"""),"No")</f>
        <v>No</v>
      </c>
      <c r="I289" s="185" t="str">
        <f>IFERROR(__xludf.DUMMYFUNCTION("""COMPUTED_VALUE"""),"Low")</f>
        <v>Low</v>
      </c>
      <c r="J289" s="185" t="str">
        <f>IFERROR(__xludf.DUMMYFUNCTION("""COMPUTED_VALUE"""),"Secondary")</f>
        <v>Secondary</v>
      </c>
      <c r="K289" s="185" t="str">
        <f>IFERROR(__xludf.DUMMYFUNCTION("""COMPUTED_VALUE"""),"Directive, Refine Labs, Disruptive Advertising, Clutch, Measured")</f>
        <v>Directive, Refine Labs, Disruptive Advertising, Clutch, Measured</v>
      </c>
      <c r="L289" s="187">
        <f>IFERROR(__xludf.DUMMYFUNCTION("""COMPUTED_VALUE"""),1.0)</f>
        <v>1</v>
      </c>
      <c r="M289" s="188">
        <f>IFERROR(__xludf.DUMMYFUNCTION("""COMPUTED_VALUE"""),0.0)</f>
        <v>0</v>
      </c>
      <c r="N289" s="188">
        <f>IFERROR(__xludf.DUMMYFUNCTION("""COMPUTED_VALUE"""),2.0)</f>
        <v>2</v>
      </c>
      <c r="O289" s="208"/>
      <c r="P289" s="208"/>
      <c r="Q289" s="208"/>
      <c r="R289" s="208"/>
    </row>
    <row r="290">
      <c r="A290" s="185" t="str">
        <f>IFERROR(__xludf.DUMMYFUNCTION("""COMPUTED_VALUE"""),"Agency directory / review marketplace")</f>
        <v>Agency directory / review marketplace</v>
      </c>
      <c r="B290" s="186" t="str">
        <f>IFERROR(__xludf.DUMMYFUNCTION("""COMPUTED_VALUE"""),"https://themanifest.com/media-buying/agencies")</f>
        <v>https://themanifest.com/media-buying/agencies</v>
      </c>
      <c r="C290" s="185" t="str">
        <f>IFERROR(__xludf.DUMMYFUNCTION("""COMPUTED_VALUE"""),"The Best Media Planning and Buying Companies - Jul 2026 | The Manifest")</f>
        <v>The Best Media Planning and Buying Companies - Jul 2026 | The Manifest</v>
      </c>
      <c r="D290" s="185" t="str">
        <f>IFERROR(__xludf.DUMMYFUNCTION("""COMPUTED_VALUE"""),"US")</f>
        <v>US</v>
      </c>
      <c r="E290" s="185" t="str">
        <f>IFERROR(__xludf.DUMMYFUNCTION("""COMPUTED_VALUE"""),"themanifest.com")</f>
        <v>themanifest.com</v>
      </c>
      <c r="F290" s="185" t="str">
        <f>IFERROR(__xludf.DUMMYFUNCTION("""COMPUTED_VALUE"""),"Listicle")</f>
        <v>Listicle</v>
      </c>
      <c r="G290" s="185" t="str">
        <f>IFERROR(__xludf.DUMMYFUNCTION("""COMPUTED_VALUE"""),"REFERENCE")</f>
        <v>REFERENCE</v>
      </c>
      <c r="H290" s="185" t="str">
        <f>IFERROR(__xludf.DUMMYFUNCTION("""COMPUTED_VALUE"""),"No")</f>
        <v>No</v>
      </c>
      <c r="I290" s="185" t="str">
        <f>IFERROR(__xludf.DUMMYFUNCTION("""COMPUTED_VALUE"""),"Medium")</f>
        <v>Medium</v>
      </c>
      <c r="J290" s="185" t="str">
        <f>IFERROR(__xludf.DUMMYFUNCTION("""COMPUTED_VALUE"""),"Yes")</f>
        <v>Yes</v>
      </c>
      <c r="K290" s="185" t="str">
        <f>IFERROR(__xludf.DUMMYFUNCTION("""COMPUTED_VALUE"""),"Clutch, Accelerated Digital Media, Major Tom, Tinuiti")</f>
        <v>Clutch, Accelerated Digital Media, Major Tom, Tinuiti</v>
      </c>
      <c r="L290" s="187">
        <f>IFERROR(__xludf.DUMMYFUNCTION("""COMPUTED_VALUE"""),1.0)</f>
        <v>1</v>
      </c>
      <c r="M290" s="188">
        <f>IFERROR(__xludf.DUMMYFUNCTION("""COMPUTED_VALUE"""),0.0)</f>
        <v>0</v>
      </c>
      <c r="N290" s="188">
        <f>IFERROR(__xludf.DUMMYFUNCTION("""COMPUTED_VALUE"""),0.0)</f>
        <v>0</v>
      </c>
      <c r="O290" s="208"/>
      <c r="P290" s="208"/>
      <c r="Q290" s="208"/>
      <c r="R290" s="208"/>
    </row>
    <row r="291">
      <c r="A291" s="185" t="str">
        <f>IFERROR(__xludf.DUMMYFUNCTION("""COMPUTED_VALUE"""),"Agency directory / review marketplace")</f>
        <v>Agency directory / review marketplace</v>
      </c>
      <c r="B291" s="186" t="str">
        <f>IFERROR(__xludf.DUMMYFUNCTION("""COMPUTED_VALUE"""),"https://themanifest.com/us/creative/agencies?page=1")</f>
        <v>https://themanifest.com/us/creative/agencies?page=1</v>
      </c>
      <c r="C291" s="185" t="str">
        <f>IFERROR(__xludf.DUMMYFUNCTION("""COMPUTED_VALUE"""),"The Best Creative Companies in United States - Jul 2026 | The Manifest")</f>
        <v>The Best Creative Companies in United States - Jul 2026 | The Manifest</v>
      </c>
      <c r="D291" s="185" t="str">
        <f>IFERROR(__xludf.DUMMYFUNCTION("""COMPUTED_VALUE"""),"US")</f>
        <v>US</v>
      </c>
      <c r="E291" s="185" t="str">
        <f>IFERROR(__xludf.DUMMYFUNCTION("""COMPUTED_VALUE"""),"themanifest.com")</f>
        <v>themanifest.com</v>
      </c>
      <c r="F291" s="185" t="str">
        <f>IFERROR(__xludf.DUMMYFUNCTION("""COMPUTED_VALUE"""),"Listicle")</f>
        <v>Listicle</v>
      </c>
      <c r="G291" s="185" t="str">
        <f>IFERROR(__xludf.DUMMYFUNCTION("""COMPUTED_VALUE"""),"REFERENCE")</f>
        <v>REFERENCE</v>
      </c>
      <c r="H291" s="185" t="str">
        <f>IFERROR(__xludf.DUMMYFUNCTION("""COMPUTED_VALUE"""),"No")</f>
        <v>No</v>
      </c>
      <c r="I291" s="185" t="str">
        <f>IFERROR(__xludf.DUMMYFUNCTION("""COMPUTED_VALUE"""),"Medium")</f>
        <v>Medium</v>
      </c>
      <c r="J291" s="185" t="str">
        <f>IFERROR(__xludf.DUMMYFUNCTION("""COMPUTED_VALUE"""),"Yes")</f>
        <v>Yes</v>
      </c>
      <c r="K291" s="185" t="str">
        <f>IFERROR(__xludf.DUMMYFUNCTION("""COMPUTED_VALUE"""),"Clutch")</f>
        <v>Clutch</v>
      </c>
      <c r="L291" s="187">
        <f>IFERROR(__xludf.DUMMYFUNCTION("""COMPUTED_VALUE"""),1.0)</f>
        <v>1</v>
      </c>
      <c r="M291" s="188">
        <f>IFERROR(__xludf.DUMMYFUNCTION("""COMPUTED_VALUE"""),0.0)</f>
        <v>0</v>
      </c>
      <c r="N291" s="188">
        <f>IFERROR(__xludf.DUMMYFUNCTION("""COMPUTED_VALUE"""),0.0)</f>
        <v>0</v>
      </c>
      <c r="O291" s="208"/>
      <c r="P291" s="208"/>
      <c r="Q291" s="208"/>
      <c r="R291" s="208"/>
    </row>
    <row r="292">
      <c r="A292" s="185" t="str">
        <f>IFERROR(__xludf.DUMMYFUNCTION("""COMPUTED_VALUE"""),"Agency directory / review marketplace")</f>
        <v>Agency directory / review marketplace</v>
      </c>
      <c r="B292" s="186" t="str">
        <f>IFERROR(__xludf.DUMMYFUNCTION("""COMPUTED_VALUE"""),"https://themanifest.com/us/digital/agencies")</f>
        <v>https://themanifest.com/us/digital/agencies</v>
      </c>
      <c r="C292" s="185" t="str">
        <f>IFERROR(__xludf.DUMMYFUNCTION("""COMPUTED_VALUE"""),"The Best Full Service Digital Companies in United States - Jul 2026 | The Manifest")</f>
        <v>The Best Full Service Digital Companies in United States - Jul 2026 | The Manifest</v>
      </c>
      <c r="D292" s="185" t="str">
        <f>IFERROR(__xludf.DUMMYFUNCTION("""COMPUTED_VALUE"""),"US")</f>
        <v>US</v>
      </c>
      <c r="E292" s="185" t="str">
        <f>IFERROR(__xludf.DUMMYFUNCTION("""COMPUTED_VALUE"""),"themanifest.com")</f>
        <v>themanifest.com</v>
      </c>
      <c r="F292" s="185" t="str">
        <f>IFERROR(__xludf.DUMMYFUNCTION("""COMPUTED_VALUE"""),"Listicle")</f>
        <v>Listicle</v>
      </c>
      <c r="G292" s="185" t="str">
        <f>IFERROR(__xludf.DUMMYFUNCTION("""COMPUTED_VALUE"""),"REFERENCE")</f>
        <v>REFERENCE</v>
      </c>
      <c r="H292" s="185" t="str">
        <f>IFERROR(__xludf.DUMMYFUNCTION("""COMPUTED_VALUE"""),"No")</f>
        <v>No</v>
      </c>
      <c r="I292" s="185" t="str">
        <f>IFERROR(__xludf.DUMMYFUNCTION("""COMPUTED_VALUE"""),"Medium")</f>
        <v>Medium</v>
      </c>
      <c r="J292" s="185" t="str">
        <f>IFERROR(__xludf.DUMMYFUNCTION("""COMPUTED_VALUE"""),"Yes")</f>
        <v>Yes</v>
      </c>
      <c r="K292" s="185" t="str">
        <f>IFERROR(__xludf.DUMMYFUNCTION("""COMPUTED_VALUE"""),"Clutch, Ignite Visibility, Storm Brain, Funnel Boost Media")</f>
        <v>Clutch, Ignite Visibility, Storm Brain, Funnel Boost Media</v>
      </c>
      <c r="L292" s="187">
        <f>IFERROR(__xludf.DUMMYFUNCTION("""COMPUTED_VALUE"""),1.0)</f>
        <v>1</v>
      </c>
      <c r="M292" s="188">
        <f>IFERROR(__xludf.DUMMYFUNCTION("""COMPUTED_VALUE"""),0.0)</f>
        <v>0</v>
      </c>
      <c r="N292" s="188">
        <f>IFERROR(__xludf.DUMMYFUNCTION("""COMPUTED_VALUE"""),0.0)</f>
        <v>0</v>
      </c>
      <c r="O292" s="208"/>
      <c r="P292" s="208"/>
      <c r="Q292" s="208"/>
      <c r="R292" s="208"/>
    </row>
    <row r="293">
      <c r="A293" s="185" t="str">
        <f>IFERROR(__xludf.DUMMYFUNCTION("""COMPUTED_VALUE"""),"Agency directory / review marketplace")</f>
        <v>Agency directory / review marketplace</v>
      </c>
      <c r="B293" s="186" t="str">
        <f>IFERROR(__xludf.DUMMYFUNCTION("""COMPUTED_VALUE"""),"https://themanifest.com/us/social-media/agencies?page=1")</f>
        <v>https://themanifest.com/us/social-media/agencies?page=1</v>
      </c>
      <c r="C293" s="185" t="str">
        <f>IFERROR(__xludf.DUMMYFUNCTION("""COMPUTED_VALUE"""),"The Best Social Media Marketing Companies in United States - Jul 2026 | The Manifest")</f>
        <v>The Best Social Media Marketing Companies in United States - Jul 2026 | The Manifest</v>
      </c>
      <c r="D293" s="185" t="str">
        <f>IFERROR(__xludf.DUMMYFUNCTION("""COMPUTED_VALUE"""),"US")</f>
        <v>US</v>
      </c>
      <c r="E293" s="185" t="str">
        <f>IFERROR(__xludf.DUMMYFUNCTION("""COMPUTED_VALUE"""),"themanifest.com")</f>
        <v>themanifest.com</v>
      </c>
      <c r="F293" s="185" t="str">
        <f>IFERROR(__xludf.DUMMYFUNCTION("""COMPUTED_VALUE"""),"Other")</f>
        <v>Other</v>
      </c>
      <c r="G293" s="185" t="str">
        <f>IFERROR(__xludf.DUMMYFUNCTION("""COMPUTED_VALUE"""),"REFERENCE")</f>
        <v>REFERENCE</v>
      </c>
      <c r="H293" s="185" t="str">
        <f>IFERROR(__xludf.DUMMYFUNCTION("""COMPUTED_VALUE"""),"No")</f>
        <v>No</v>
      </c>
      <c r="I293" s="185" t="str">
        <f>IFERROR(__xludf.DUMMYFUNCTION("""COMPUTED_VALUE"""),"Medium")</f>
        <v>Medium</v>
      </c>
      <c r="J293" s="185" t="str">
        <f>IFERROR(__xludf.DUMMYFUNCTION("""COMPUTED_VALUE"""),"Yes")</f>
        <v>Yes</v>
      </c>
      <c r="K293" s="185" t="str">
        <f>IFERROR(__xludf.DUMMYFUNCTION("""COMPUTED_VALUE"""),"Clutch, Ignite Visibility, Elit-Web, KlientBoost, Disruptive Advertising, AdVenture Media, HawkSEM, Acadia, SmartSites, NinjaPromo, LYFE Marketing, Sociallyin")</f>
        <v>Clutch, Ignite Visibility, Elit-Web, KlientBoost, Disruptive Advertising, AdVenture Media, HawkSEM, Acadia, SmartSites, NinjaPromo, LYFE Marketing, Sociallyin</v>
      </c>
      <c r="L293" s="187">
        <f>IFERROR(__xludf.DUMMYFUNCTION("""COMPUTED_VALUE"""),1.0)</f>
        <v>1</v>
      </c>
      <c r="M293" s="188">
        <f>IFERROR(__xludf.DUMMYFUNCTION("""COMPUTED_VALUE"""),0.0)</f>
        <v>0</v>
      </c>
      <c r="N293" s="188">
        <f>IFERROR(__xludf.DUMMYFUNCTION("""COMPUTED_VALUE"""),0.0)</f>
        <v>0</v>
      </c>
      <c r="O293" s="208"/>
      <c r="P293" s="208"/>
      <c r="Q293" s="208"/>
      <c r="R293" s="208"/>
    </row>
    <row r="294">
      <c r="A294" s="185" t="str">
        <f>IFERROR(__xludf.DUMMYFUNCTION("""COMPUTED_VALUE"""),"Agency directory / review marketplace")</f>
        <v>Agency directory / review marketplace</v>
      </c>
      <c r="B294" s="186" t="str">
        <f>IFERROR(__xludf.DUMMYFUNCTION("""COMPUTED_VALUE"""),"https://themanifest.com/us/social-media/instagram/agencies")</f>
        <v>https://themanifest.com/us/social-media/instagram/agencies</v>
      </c>
      <c r="C294" s="185" t="str">
        <f>IFERROR(__xludf.DUMMYFUNCTION("""COMPUTED_VALUE"""),"The Best Instagram Advertising Companies in United States - Jul 2026 | The Manifest")</f>
        <v>The Best Instagram Advertising Companies in United States - Jul 2026 | The Manifest</v>
      </c>
      <c r="D294" s="185" t="str">
        <f>IFERROR(__xludf.DUMMYFUNCTION("""COMPUTED_VALUE"""),"US")</f>
        <v>US</v>
      </c>
      <c r="E294" s="185" t="str">
        <f>IFERROR(__xludf.DUMMYFUNCTION("""COMPUTED_VALUE"""),"themanifest.com")</f>
        <v>themanifest.com</v>
      </c>
      <c r="F294" s="185" t="str">
        <f>IFERROR(__xludf.DUMMYFUNCTION("""COMPUTED_VALUE"""),"Category Page")</f>
        <v>Category Page</v>
      </c>
      <c r="G294" s="185" t="str">
        <f>IFERROR(__xludf.DUMMYFUNCTION("""COMPUTED_VALUE"""),"REFERENCE")</f>
        <v>REFERENCE</v>
      </c>
      <c r="H294" s="185" t="str">
        <f>IFERROR(__xludf.DUMMYFUNCTION("""COMPUTED_VALUE"""),"No")</f>
        <v>No</v>
      </c>
      <c r="I294" s="185" t="str">
        <f>IFERROR(__xludf.DUMMYFUNCTION("""COMPUTED_VALUE"""),"Medium")</f>
        <v>Medium</v>
      </c>
      <c r="J294" s="185" t="str">
        <f>IFERROR(__xludf.DUMMYFUNCTION("""COMPUTED_VALUE"""),"Yes")</f>
        <v>Yes</v>
      </c>
      <c r="K294" s="185" t="str">
        <f>IFERROR(__xludf.DUMMYFUNCTION("""COMPUTED_VALUE"""),"Clutch, LYFE Marketing, Elit-Web, Power Digital, Disruptive Advertising, Sociallyin, SmartSites, AdVenture Media, HawkSEM, Brighter Click, NinjaPromo")</f>
        <v>Clutch, LYFE Marketing, Elit-Web, Power Digital, Disruptive Advertising, Sociallyin, SmartSites, AdVenture Media, HawkSEM, Brighter Click, NinjaPromo</v>
      </c>
      <c r="L294" s="187">
        <f>IFERROR(__xludf.DUMMYFUNCTION("""COMPUTED_VALUE"""),1.0)</f>
        <v>1</v>
      </c>
      <c r="M294" s="188">
        <f>IFERROR(__xludf.DUMMYFUNCTION("""COMPUTED_VALUE"""),0.0)</f>
        <v>0</v>
      </c>
      <c r="N294" s="188">
        <f>IFERROR(__xludf.DUMMYFUNCTION("""COMPUTED_VALUE"""),0.0)</f>
        <v>0</v>
      </c>
      <c r="O294" s="208"/>
      <c r="P294" s="208"/>
      <c r="Q294" s="208"/>
      <c r="R294" s="208"/>
    </row>
    <row r="295">
      <c r="A295" s="185" t="str">
        <f>IFERROR(__xludf.DUMMYFUNCTION("""COMPUTED_VALUE"""),"Lower-priority competitor/vendor roundup")</f>
        <v>Lower-priority competitor/vendor roundup</v>
      </c>
      <c r="B295" s="186" t="str">
        <f>IFERROR(__xludf.DUMMYFUNCTION("""COMPUTED_VALUE"""),"https://www.webtonic.io/blog/best-ai-powered-agencies")</f>
        <v>https://www.webtonic.io/blog/best-ai-powered-agencies</v>
      </c>
      <c r="C295" s="185" t="str">
        <f>IFERROR(__xludf.DUMMYFUNCTION("""COMPUTED_VALUE"""),"30 Best AI-Powered Agencies for 2026")</f>
        <v>30 Best AI-Powered Agencies for 2026</v>
      </c>
      <c r="D295" s="185" t="str">
        <f>IFERROR(__xludf.DUMMYFUNCTION("""COMPUTED_VALUE"""),"US")</f>
        <v>US</v>
      </c>
      <c r="E295" s="185" t="str">
        <f>IFERROR(__xludf.DUMMYFUNCTION("""COMPUTED_VALUE"""),"webtonic.io")</f>
        <v>webtonic.io</v>
      </c>
      <c r="F295" s="185" t="str">
        <f>IFERROR(__xludf.DUMMYFUNCTION("""COMPUTED_VALUE"""),"Listicle")</f>
        <v>Listicle</v>
      </c>
      <c r="G295" s="185" t="str">
        <f>IFERROR(__xludf.DUMMYFUNCTION("""COMPUTED_VALUE"""),"COMPETITOR")</f>
        <v>COMPETITOR</v>
      </c>
      <c r="H295" s="185" t="str">
        <f>IFERROR(__xludf.DUMMYFUNCTION("""COMPUTED_VALUE"""),"No")</f>
        <v>No</v>
      </c>
      <c r="I295" s="185" t="str">
        <f>IFERROR(__xludf.DUMMYFUNCTION("""COMPUTED_VALUE"""),"Low")</f>
        <v>Low</v>
      </c>
      <c r="J295" s="185" t="str">
        <f>IFERROR(__xludf.DUMMYFUNCTION("""COMPUTED_VALUE"""),"Secondary")</f>
        <v>Secondary</v>
      </c>
      <c r="K295" s="185" t="str">
        <f>IFERROR(__xludf.DUMMYFUNCTION("""COMPUTED_VALUE"""),"Web Tonic, Disruptive Advertising, WebFX, Sociallyin, Ignite Visibility, Merkle, Dentsu, iProspect, Jellyfish, Publicis Sapient, Huge, R/GA, Accenture Song, Hawke Media, Wpromote, TransUnion, Tinuiti, Brainlabs, VaynerMedia, IBM, Seer Interactive, SmartSi"&amp;"tes, Power Digital")</f>
        <v>Web Tonic, Disruptive Advertising, WebFX, Sociallyin, Ignite Visibility, Merkle, Dentsu, iProspect, Jellyfish, Publicis Sapient, Huge, R/GA, Accenture Song, Hawke Media, Wpromote, TransUnion, Tinuiti, Brainlabs, VaynerMedia, IBM, Seer Interactive, SmartSites, Power Digital</v>
      </c>
      <c r="L295" s="187">
        <f>IFERROR(__xludf.DUMMYFUNCTION("""COMPUTED_VALUE"""),1.0)</f>
        <v>1</v>
      </c>
      <c r="M295" s="188">
        <f>IFERROR(__xludf.DUMMYFUNCTION("""COMPUTED_VALUE"""),0.0)</f>
        <v>0</v>
      </c>
      <c r="N295" s="188">
        <f>IFERROR(__xludf.DUMMYFUNCTION("""COMPUTED_VALUE"""),0.0)</f>
        <v>0</v>
      </c>
      <c r="O295" s="208"/>
      <c r="P295" s="208"/>
      <c r="Q295" s="208"/>
      <c r="R295" s="208"/>
    </row>
    <row r="296">
      <c r="A296" s="185" t="str">
        <f>IFERROR(__xludf.DUMMYFUNCTION("""COMPUTED_VALUE"""),"Lower-priority competitor/vendor roundup")</f>
        <v>Lower-priority competitor/vendor roundup</v>
      </c>
      <c r="B296" s="186" t="str">
        <f>IFERROR(__xludf.DUMMYFUNCTION("""COMPUTED_VALUE"""),"https://www.webtonic.io/blog/best-global-marketing-agencies")</f>
        <v>https://www.webtonic.io/blog/best-global-marketing-agencies</v>
      </c>
      <c r="C296" s="185" t="str">
        <f>IFERROR(__xludf.DUMMYFUNCTION("""COMPUTED_VALUE"""),"35 Best Global Marketing Agencies for 2026")</f>
        <v>35 Best Global Marketing Agencies for 2026</v>
      </c>
      <c r="D296" s="185" t="str">
        <f>IFERROR(__xludf.DUMMYFUNCTION("""COMPUTED_VALUE"""),"US")</f>
        <v>US</v>
      </c>
      <c r="E296" s="185" t="str">
        <f>IFERROR(__xludf.DUMMYFUNCTION("""COMPUTED_VALUE"""),"webtonic.io")</f>
        <v>webtonic.io</v>
      </c>
      <c r="F296" s="185" t="str">
        <f>IFERROR(__xludf.DUMMYFUNCTION("""COMPUTED_VALUE"""),"Listicle")</f>
        <v>Listicle</v>
      </c>
      <c r="G296" s="185" t="str">
        <f>IFERROR(__xludf.DUMMYFUNCTION("""COMPUTED_VALUE"""),"COMPETITOR")</f>
        <v>COMPETITOR</v>
      </c>
      <c r="H296" s="185" t="str">
        <f>IFERROR(__xludf.DUMMYFUNCTION("""COMPUTED_VALUE"""),"No")</f>
        <v>No</v>
      </c>
      <c r="I296" s="185" t="str">
        <f>IFERROR(__xludf.DUMMYFUNCTION("""COMPUTED_VALUE"""),"Low")</f>
        <v>Low</v>
      </c>
      <c r="J296" s="185" t="str">
        <f>IFERROR(__xludf.DUMMYFUNCTION("""COMPUTED_VALUE"""),"Secondary")</f>
        <v>Secondary</v>
      </c>
      <c r="K296" s="185" t="str">
        <f>IFERROR(__xludf.DUMMYFUNCTION("""COMPUTED_VALUE"""),"Web Tonic, BBDO, WPP, Ogilvy, VML, GroupM, Publicis Groupe, Dentsu, Merkle, Accenture Song, Deloitte Digital, PwC, IBM, R/GA, 72andSunny, Wieden+Kennedy, Droga5, AKQA, Huge")</f>
        <v>Web Tonic, BBDO, WPP, Ogilvy, VML, GroupM, Publicis Groupe, Dentsu, Merkle, Accenture Song, Deloitte Digital, PwC, IBM, R/GA, 72andSunny, Wieden+Kennedy, Droga5, AKQA, Huge</v>
      </c>
      <c r="L296" s="187">
        <f>IFERROR(__xludf.DUMMYFUNCTION("""COMPUTED_VALUE"""),1.0)</f>
        <v>1</v>
      </c>
      <c r="M296" s="188">
        <f>IFERROR(__xludf.DUMMYFUNCTION("""COMPUTED_VALUE"""),0.0)</f>
        <v>0</v>
      </c>
      <c r="N296" s="188">
        <f>IFERROR(__xludf.DUMMYFUNCTION("""COMPUTED_VALUE"""),1.0)</f>
        <v>1</v>
      </c>
      <c r="O296" s="208"/>
      <c r="P296" s="208"/>
      <c r="Q296" s="208"/>
      <c r="R296" s="208"/>
    </row>
    <row r="297">
      <c r="A297" s="185" t="str">
        <f>IFERROR(__xludf.DUMMYFUNCTION("""COMPUTED_VALUE"""),"Lower-priority competitor/vendor roundup")</f>
        <v>Lower-priority competitor/vendor roundup</v>
      </c>
      <c r="B297" s="186" t="str">
        <f>IFERROR(__xludf.DUMMYFUNCTION("""COMPUTED_VALUE"""),"https://www.webtonic.io/blog/best-ppc-agencies-us#:~:text=%238.-,HawkSEM,clients%20averaging%204.5x%20ROI.")</f>
        <v>https://www.webtonic.io/blog/best-ppc-agencies-us#:~:text=%238.-,HawkSEM,clients%20averaging%204.5x%20ROI.</v>
      </c>
      <c r="C297" s="185" t="str">
        <f>IFERROR(__xludf.DUMMYFUNCTION("""COMPUTED_VALUE"""),"The 37 Best PPC Agencies in the US for 2026")</f>
        <v>The 37 Best PPC Agencies in the US for 2026</v>
      </c>
      <c r="D297" s="185" t="str">
        <f>IFERROR(__xludf.DUMMYFUNCTION("""COMPUTED_VALUE"""),"US")</f>
        <v>US</v>
      </c>
      <c r="E297" s="185" t="str">
        <f>IFERROR(__xludf.DUMMYFUNCTION("""COMPUTED_VALUE"""),"webtonic.io")</f>
        <v>webtonic.io</v>
      </c>
      <c r="F297" s="185" t="str">
        <f>IFERROR(__xludf.DUMMYFUNCTION("""COMPUTED_VALUE"""),"Listicle")</f>
        <v>Listicle</v>
      </c>
      <c r="G297" s="185" t="str">
        <f>IFERROR(__xludf.DUMMYFUNCTION("""COMPUTED_VALUE"""),"COMPETITOR")</f>
        <v>COMPETITOR</v>
      </c>
      <c r="H297" s="185" t="str">
        <f>IFERROR(__xludf.DUMMYFUNCTION("""COMPUTED_VALUE"""),"No")</f>
        <v>No</v>
      </c>
      <c r="I297" s="185" t="str">
        <f>IFERROR(__xludf.DUMMYFUNCTION("""COMPUTED_VALUE"""),"Low")</f>
        <v>Low</v>
      </c>
      <c r="J297" s="185" t="str">
        <f>IFERROR(__xludf.DUMMYFUNCTION("""COMPUTED_VALUE"""),"Secondary")</f>
        <v>Secondary</v>
      </c>
      <c r="K297" s="185" t="str">
        <f>IFERROR(__xludf.DUMMYFUNCTION("""COMPUTED_VALUE"""),"Web Tonic, Disruptive Advertising, KlientBoost, WebFX, SmartSites, Thrive Internet Marketing Agency, Tinuiti, HawkSEM, Ignite Visibility, Directive, Power Digital, Wpromote, TransUnion, Silverback Strategies, Clutch, AdVenture Media, Intero Digital, LYFE "&amp;"Marketing, Hawke Media, Seer Interactive, Searchbloom, NinjaPromo")</f>
        <v>Web Tonic, Disruptive Advertising, KlientBoost, WebFX, SmartSites, Thrive Internet Marketing Agency, Tinuiti, HawkSEM, Ignite Visibility, Directive, Power Digital, Wpromote, TransUnion, Silverback Strategies, Clutch, AdVenture Media, Intero Digital, LYFE Marketing, Hawke Media, Seer Interactive, Searchbloom, NinjaPromo</v>
      </c>
      <c r="L297" s="187">
        <f>IFERROR(__xludf.DUMMYFUNCTION("""COMPUTED_VALUE"""),1.0)</f>
        <v>1</v>
      </c>
      <c r="M297" s="188">
        <f>IFERROR(__xludf.DUMMYFUNCTION("""COMPUTED_VALUE"""),0.0)</f>
        <v>0</v>
      </c>
      <c r="N297" s="188">
        <f>IFERROR(__xludf.DUMMYFUNCTION("""COMPUTED_VALUE"""),2.0)</f>
        <v>2</v>
      </c>
      <c r="O297" s="208"/>
      <c r="P297" s="208"/>
      <c r="Q297" s="208"/>
      <c r="R297" s="208"/>
    </row>
    <row r="298">
      <c r="A298" s="185" t="str">
        <f>IFERROR(__xludf.DUMMYFUNCTION("""COMPUTED_VALUE"""),"Lower-priority competitor/vendor roundup")</f>
        <v>Lower-priority competitor/vendor roundup</v>
      </c>
      <c r="B298" s="186" t="str">
        <f>IFERROR(__xludf.DUMMYFUNCTION("""COMPUTED_VALUE"""),"https://www.webtonic.io/blog/top-creative-performance-agencies")</f>
        <v>https://www.webtonic.io/blog/top-creative-performance-agencies</v>
      </c>
      <c r="C298" s="185" t="str">
        <f>IFERROR(__xludf.DUMMYFUNCTION("""COMPUTED_VALUE"""),"37 Top Creative Performance Agencies for 2026")</f>
        <v>37 Top Creative Performance Agencies for 2026</v>
      </c>
      <c r="D298" s="185" t="str">
        <f>IFERROR(__xludf.DUMMYFUNCTION("""COMPUTED_VALUE"""),"US")</f>
        <v>US</v>
      </c>
      <c r="E298" s="185" t="str">
        <f>IFERROR(__xludf.DUMMYFUNCTION("""COMPUTED_VALUE"""),"webtonic.io")</f>
        <v>webtonic.io</v>
      </c>
      <c r="F298" s="185" t="str">
        <f>IFERROR(__xludf.DUMMYFUNCTION("""COMPUTED_VALUE"""),"Listicle")</f>
        <v>Listicle</v>
      </c>
      <c r="G298" s="185" t="str">
        <f>IFERROR(__xludf.DUMMYFUNCTION("""COMPUTED_VALUE"""),"COMPETITOR")</f>
        <v>COMPETITOR</v>
      </c>
      <c r="H298" s="185" t="str">
        <f>IFERROR(__xludf.DUMMYFUNCTION("""COMPUTED_VALUE"""),"No")</f>
        <v>No</v>
      </c>
      <c r="I298" s="185" t="str">
        <f>IFERROR(__xludf.DUMMYFUNCTION("""COMPUTED_VALUE"""),"Low")</f>
        <v>Low</v>
      </c>
      <c r="J298" s="185" t="str">
        <f>IFERROR(__xludf.DUMMYFUNCTION("""COMPUTED_VALUE"""),"Secondary")</f>
        <v>Secondary</v>
      </c>
      <c r="K298" s="185" t="str">
        <f>IFERROR(__xludf.DUMMYFUNCTION("""COMPUTED_VALUE"""),"Web Tonic, MuteSix, Tinuiti, Wpromote, TransUnion, Metric Theory, WPP, Hawke Media, AKQA, R/GA, Droga5, Accenture Song, 72andSunny, Wieden+Kennedy, Superside")</f>
        <v>Web Tonic, MuteSix, Tinuiti, Wpromote, TransUnion, Metric Theory, WPP, Hawke Media, AKQA, R/GA, Droga5, Accenture Song, 72andSunny, Wieden+Kennedy, Superside</v>
      </c>
      <c r="L298" s="187">
        <f>IFERROR(__xludf.DUMMYFUNCTION("""COMPUTED_VALUE"""),1.0)</f>
        <v>1</v>
      </c>
      <c r="M298" s="188">
        <f>IFERROR(__xludf.DUMMYFUNCTION("""COMPUTED_VALUE"""),0.0)</f>
        <v>0</v>
      </c>
      <c r="N298" s="188">
        <f>IFERROR(__xludf.DUMMYFUNCTION("""COMPUTED_VALUE"""),1.0)</f>
        <v>1</v>
      </c>
      <c r="O298" s="208"/>
      <c r="P298" s="208"/>
      <c r="Q298" s="208"/>
      <c r="R298" s="208"/>
    </row>
    <row r="299">
      <c r="A299" s="185" t="str">
        <f>IFERROR(__xludf.DUMMYFUNCTION("""COMPUTED_VALUE"""),"Lower-priority competitor/vendor roundup")</f>
        <v>Lower-priority competitor/vendor roundup</v>
      </c>
      <c r="B299" s="186" t="str">
        <f>IFERROR(__xludf.DUMMYFUNCTION("""COMPUTED_VALUE"""),"https://www.webtonic.io/blog/top-performance-creative-agencies")</f>
        <v>https://www.webtonic.io/blog/top-performance-creative-agencies</v>
      </c>
      <c r="C299" s="185" t="str">
        <f>IFERROR(__xludf.DUMMYFUNCTION("""COMPUTED_VALUE"""),"36 Top Performance Creative Agencies in 2026")</f>
        <v>36 Top Performance Creative Agencies in 2026</v>
      </c>
      <c r="D299" s="185" t="str">
        <f>IFERROR(__xludf.DUMMYFUNCTION("""COMPUTED_VALUE"""),"US")</f>
        <v>US</v>
      </c>
      <c r="E299" s="185" t="str">
        <f>IFERROR(__xludf.DUMMYFUNCTION("""COMPUTED_VALUE"""),"webtonic.io")</f>
        <v>webtonic.io</v>
      </c>
      <c r="F299" s="185" t="str">
        <f>IFERROR(__xludf.DUMMYFUNCTION("""COMPUTED_VALUE"""),"Listicle")</f>
        <v>Listicle</v>
      </c>
      <c r="G299" s="185" t="str">
        <f>IFERROR(__xludf.DUMMYFUNCTION("""COMPUTED_VALUE"""),"COMPETITOR")</f>
        <v>COMPETITOR</v>
      </c>
      <c r="H299" s="185" t="str">
        <f>IFERROR(__xludf.DUMMYFUNCTION("""COMPUTED_VALUE"""),"No")</f>
        <v>No</v>
      </c>
      <c r="I299" s="185" t="str">
        <f>IFERROR(__xludf.DUMMYFUNCTION("""COMPUTED_VALUE"""),"Low")</f>
        <v>Low</v>
      </c>
      <c r="J299" s="185" t="str">
        <f>IFERROR(__xludf.DUMMYFUNCTION("""COMPUTED_VALUE"""),"Secondary")</f>
        <v>Secondary</v>
      </c>
      <c r="K299" s="185" t="str">
        <f>IFERROR(__xludf.DUMMYFUNCTION("""COMPUTED_VALUE"""),"Web Tonic, Triple Whale, Superside, MuteSix, Brainlabs, Tinuiti, NoGood, Jellyfish")</f>
        <v>Web Tonic, Triple Whale, Superside, MuteSix, Brainlabs, Tinuiti, NoGood, Jellyfish</v>
      </c>
      <c r="L299" s="187">
        <f>IFERROR(__xludf.DUMMYFUNCTION("""COMPUTED_VALUE"""),1.0)</f>
        <v>1</v>
      </c>
      <c r="M299" s="188">
        <f>IFERROR(__xludf.DUMMYFUNCTION("""COMPUTED_VALUE"""),0.0)</f>
        <v>0</v>
      </c>
      <c r="N299" s="188">
        <f>IFERROR(__xludf.DUMMYFUNCTION("""COMPUTED_VALUE"""),1.0)</f>
        <v>1</v>
      </c>
      <c r="O299" s="208"/>
      <c r="P299" s="208"/>
      <c r="Q299" s="208"/>
      <c r="R299" s="208"/>
    </row>
    <row r="300">
      <c r="A300" s="185" t="str">
        <f>IFERROR(__xludf.DUMMYFUNCTION("""COMPUTED_VALUE"""),"Industry data / software authority")</f>
        <v>Industry data / software authority</v>
      </c>
      <c r="B300" s="186" t="str">
        <f>IFERROR(__xludf.DUMMYFUNCTION("""COMPUTED_VALUE"""),"https://agencies.semrush.com/list/australia/")</f>
        <v>https://agencies.semrush.com/list/australia/</v>
      </c>
      <c r="C300" s="185" t="str">
        <f>IFERROR(__xludf.DUMMYFUNCTION("""COMPUTED_VALUE"""),"Best Digital Marketing Agencies in Australia 2026 | Semrush")</f>
        <v>Best Digital Marketing Agencies in Australia 2026 | Semrush</v>
      </c>
      <c r="D300" s="185" t="str">
        <f>IFERROR(__xludf.DUMMYFUNCTION("""COMPUTED_VALUE"""),"AU")</f>
        <v>AU</v>
      </c>
      <c r="E300" s="185" t="str">
        <f>IFERROR(__xludf.DUMMYFUNCTION("""COMPUTED_VALUE"""),"semrush.com")</f>
        <v>semrush.com</v>
      </c>
      <c r="F300" s="185" t="str">
        <f>IFERROR(__xludf.DUMMYFUNCTION("""COMPUTED_VALUE"""),"Category Page")</f>
        <v>Category Page</v>
      </c>
      <c r="G300" s="185" t="str">
        <f>IFERROR(__xludf.DUMMYFUNCTION("""COMPUTED_VALUE"""),"CORPORATE")</f>
        <v>CORPORATE</v>
      </c>
      <c r="H300" s="185" t="str">
        <f>IFERROR(__xludf.DUMMYFUNCTION("""COMPUTED_VALUE"""),"No")</f>
        <v>No</v>
      </c>
      <c r="I300" s="185" t="str">
        <f>IFERROR(__xludf.DUMMYFUNCTION("""COMPUTED_VALUE"""),"Medium")</f>
        <v>Medium</v>
      </c>
      <c r="J300" s="185" t="str">
        <f>IFERROR(__xludf.DUMMYFUNCTION("""COMPUTED_VALUE"""),"Yes")</f>
        <v>Yes</v>
      </c>
      <c r="K300" s="185" t="str">
        <f>IFERROR(__xludf.DUMMYFUNCTION("""COMPUTED_VALUE"""),"Edge Marketing, Digital Nomads HQ, Supple Digital, DNM Digital, Soup Agency, First Page, Clearwater Agency, Measured, Earned Media, Impressive, Online Marketing Gurus, Omnicom Media Group, Human Digital, Click Click Media")</f>
        <v>Edge Marketing, Digital Nomads HQ, Supple Digital, DNM Digital, Soup Agency, First Page, Clearwater Agency, Measured, Earned Media, Impressive, Online Marketing Gurus, Omnicom Media Group, Human Digital, Click Click Media</v>
      </c>
      <c r="L300" s="187">
        <f>IFERROR(__xludf.DUMMYFUNCTION("""COMPUTED_VALUE"""),120.0)</f>
        <v>120</v>
      </c>
      <c r="M300" s="188">
        <f>IFERROR(__xludf.DUMMYFUNCTION("""COMPUTED_VALUE"""),0.13)</f>
        <v>0.13</v>
      </c>
      <c r="N300" s="188">
        <f>IFERROR(__xludf.DUMMYFUNCTION("""COMPUTED_VALUE"""),0.36)</f>
        <v>0.36</v>
      </c>
      <c r="O300" s="208"/>
      <c r="P300" s="208"/>
      <c r="Q300" s="208"/>
      <c r="R300" s="208"/>
    </row>
    <row r="301">
      <c r="A301" s="185" t="str">
        <f>IFERROR(__xludf.DUMMYFUNCTION("""COMPUTED_VALUE"""),"Agency directory / review marketplace")</f>
        <v>Agency directory / review marketplace</v>
      </c>
      <c r="B301" s="186" t="str">
        <f>IFERROR(__xludf.DUMMYFUNCTION("""COMPUTED_VALUE"""),"https://clutch.co/au/agencies/digital-marketing")</f>
        <v>https://clutch.co/au/agencies/digital-marketing</v>
      </c>
      <c r="C301" s="185" t="str">
        <f>IFERROR(__xludf.DUMMYFUNCTION("""COMPUTED_VALUE"""),"Top Digital Marketing Agencies in Australia - Jul 2026 Rankings \| Clutch.co")</f>
        <v>Top Digital Marketing Agencies in Australia - Jul 2026 Rankings \| Clutch.co</v>
      </c>
      <c r="D301" s="185" t="str">
        <f>IFERROR(__xludf.DUMMYFUNCTION("""COMPUTED_VALUE"""),"AU")</f>
        <v>AU</v>
      </c>
      <c r="E301" s="185" t="str">
        <f>IFERROR(__xludf.DUMMYFUNCTION("""COMPUTED_VALUE"""),"clutch.co")</f>
        <v>clutch.co</v>
      </c>
      <c r="F301" s="185" t="str">
        <f>IFERROR(__xludf.DUMMYFUNCTION("""COMPUTED_VALUE"""),"Category Page")</f>
        <v>Category Page</v>
      </c>
      <c r="G301" s="185" t="str">
        <f>IFERROR(__xludf.DUMMYFUNCTION("""COMPUTED_VALUE"""),"CORPORATE")</f>
        <v>CORPORATE</v>
      </c>
      <c r="H301" s="185" t="str">
        <f>IFERROR(__xludf.DUMMYFUNCTION("""COMPUTED_VALUE"""),"No")</f>
        <v>No</v>
      </c>
      <c r="I301" s="185" t="str">
        <f>IFERROR(__xludf.DUMMYFUNCTION("""COMPUTED_VALUE"""),"Medium")</f>
        <v>Medium</v>
      </c>
      <c r="J301" s="185" t="str">
        <f>IFERROR(__xludf.DUMMYFUNCTION("""COMPUTED_VALUE"""),"Yes")</f>
        <v>Yes</v>
      </c>
      <c r="K301" s="185" t="str">
        <f>IFERROR(__xludf.DUMMYFUNCTION("""COMPUTED_VALUE"""),"Clearwater Agency, Soup Agency, Luminary, Farsiight, Digital Nomads HQ, SIXGUN, Impressive, Intesols, 80/20 Digital, MyWork, Ninja Promo, Human Digital, Undivided, Salt &amp; Fuessel, Emote Digital, StudioHawk, Supple Digital, Alley Group, EvenDigit")</f>
        <v>Clearwater Agency, Soup Agency, Luminary, Farsiight, Digital Nomads HQ, SIXGUN, Impressive, Intesols, 80/20 Digital, MyWork, Ninja Promo, Human Digital, Undivided, Salt &amp; Fuessel, Emote Digital, StudioHawk, Supple Digital, Alley Group, EvenDigit</v>
      </c>
      <c r="L301" s="187">
        <f>IFERROR(__xludf.DUMMYFUNCTION("""COMPUTED_VALUE"""),93.0)</f>
        <v>93</v>
      </c>
      <c r="M301" s="188">
        <f>IFERROR(__xludf.DUMMYFUNCTION("""COMPUTED_VALUE"""),0.1)</f>
        <v>0.1</v>
      </c>
      <c r="N301" s="188">
        <f>IFERROR(__xludf.DUMMYFUNCTION("""COMPUTED_VALUE"""),1.11)</f>
        <v>1.11</v>
      </c>
      <c r="O301" s="208"/>
      <c r="P301" s="208"/>
      <c r="Q301" s="208"/>
      <c r="R301" s="208"/>
    </row>
    <row r="302">
      <c r="A302" s="185" t="str">
        <f>IFERROR(__xludf.DUMMYFUNCTION("""COMPUTED_VALUE"""),"Agency directory / review marketplace")</f>
        <v>Agency directory / review marketplace</v>
      </c>
      <c r="B302" s="186" t="str">
        <f>IFERROR(__xludf.DUMMYFUNCTION("""COMPUTED_VALUE"""),"https://clutch.co/au/agencies")</f>
        <v>https://clutch.co/au/agencies</v>
      </c>
      <c r="C302" s="185" t="str">
        <f>IFERROR(__xludf.DUMMYFUNCTION("""COMPUTED_VALUE"""),"Top Advertising Agencies in Australia - Jul 2026 Rankings \| Clutch.co")</f>
        <v>Top Advertising Agencies in Australia - Jul 2026 Rankings \| Clutch.co</v>
      </c>
      <c r="D302" s="185" t="str">
        <f>IFERROR(__xludf.DUMMYFUNCTION("""COMPUTED_VALUE"""),"AU")</f>
        <v>AU</v>
      </c>
      <c r="E302" s="185" t="str">
        <f>IFERROR(__xludf.DUMMYFUNCTION("""COMPUTED_VALUE"""),"clutch.co")</f>
        <v>clutch.co</v>
      </c>
      <c r="F302" s="185" t="str">
        <f>IFERROR(__xludf.DUMMYFUNCTION("""COMPUTED_VALUE"""),"Category Page")</f>
        <v>Category Page</v>
      </c>
      <c r="G302" s="185" t="str">
        <f>IFERROR(__xludf.DUMMYFUNCTION("""COMPUTED_VALUE"""),"CORPORATE")</f>
        <v>CORPORATE</v>
      </c>
      <c r="H302" s="185" t="str">
        <f>IFERROR(__xludf.DUMMYFUNCTION("""COMPUTED_VALUE"""),"No")</f>
        <v>No</v>
      </c>
      <c r="I302" s="185" t="str">
        <f>IFERROR(__xludf.DUMMYFUNCTION("""COMPUTED_VALUE"""),"Medium")</f>
        <v>Medium</v>
      </c>
      <c r="J302" s="185" t="str">
        <f>IFERROR(__xludf.DUMMYFUNCTION("""COMPUTED_VALUE"""),"Yes")</f>
        <v>Yes</v>
      </c>
      <c r="K302" s="185" t="str">
        <f>IFERROR(__xludf.DUMMYFUNCTION("""COMPUTED_VALUE"""),"Chello, Human Digital, Soup Agency, Farsiight, DNM Digital, In Marketing We Trust, Version2, Impressive, Ninja Promo, Bench Media, Insil")</f>
        <v>Chello, Human Digital, Soup Agency, Farsiight, DNM Digital, In Marketing We Trust, Version2, Impressive, Ninja Promo, Bench Media, Insil</v>
      </c>
      <c r="L302" s="187">
        <f>IFERROR(__xludf.DUMMYFUNCTION("""COMPUTED_VALUE"""),83.0)</f>
        <v>83</v>
      </c>
      <c r="M302" s="188">
        <f>IFERROR(__xludf.DUMMYFUNCTION("""COMPUTED_VALUE"""),0.09)</f>
        <v>0.09</v>
      </c>
      <c r="N302" s="188">
        <f>IFERROR(__xludf.DUMMYFUNCTION("""COMPUTED_VALUE"""),0.59)</f>
        <v>0.59</v>
      </c>
      <c r="O302" s="208"/>
      <c r="P302" s="208"/>
      <c r="Q302" s="208"/>
      <c r="R302" s="208"/>
    </row>
    <row r="303">
      <c r="A303" s="185" t="str">
        <f>IFERROR(__xludf.DUMMYFUNCTION("""COMPUTED_VALUE"""),"Industry data / software authority")</f>
        <v>Industry data / software authority</v>
      </c>
      <c r="B303" s="186" t="str">
        <f>IFERROR(__xludf.DUMMYFUNCTION("""COMPUTED_VALUE"""),"https://agencies.semrush.com/list/advertising/australia/")</f>
        <v>https://agencies.semrush.com/list/advertising/australia/</v>
      </c>
      <c r="C303" s="185" t="str">
        <f>IFERROR(__xludf.DUMMYFUNCTION("""COMPUTED_VALUE"""),"Best Advertising Agencies in Australia 2026 | Semrush")</f>
        <v>Best Advertising Agencies in Australia 2026 | Semrush</v>
      </c>
      <c r="D303" s="185" t="str">
        <f>IFERROR(__xludf.DUMMYFUNCTION("""COMPUTED_VALUE"""),"AU")</f>
        <v>AU</v>
      </c>
      <c r="E303" s="185" t="str">
        <f>IFERROR(__xludf.DUMMYFUNCTION("""COMPUTED_VALUE"""),"semrush.com")</f>
        <v>semrush.com</v>
      </c>
      <c r="F303" s="185" t="str">
        <f>IFERROR(__xludf.DUMMYFUNCTION("""COMPUTED_VALUE"""),"Category Page")</f>
        <v>Category Page</v>
      </c>
      <c r="G303" s="185" t="str">
        <f>IFERROR(__xludf.DUMMYFUNCTION("""COMPUTED_VALUE"""),"CORPORATE")</f>
        <v>CORPORATE</v>
      </c>
      <c r="H303" s="185" t="str">
        <f>IFERROR(__xludf.DUMMYFUNCTION("""COMPUTED_VALUE"""),"No")</f>
        <v>No</v>
      </c>
      <c r="I303" s="185" t="str">
        <f>IFERROR(__xludf.DUMMYFUNCTION("""COMPUTED_VALUE"""),"Medium")</f>
        <v>Medium</v>
      </c>
      <c r="J303" s="185" t="str">
        <f>IFERROR(__xludf.DUMMYFUNCTION("""COMPUTED_VALUE"""),"Yes")</f>
        <v>Yes</v>
      </c>
      <c r="K303" s="185"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L303" s="187">
        <f>IFERROR(__xludf.DUMMYFUNCTION("""COMPUTED_VALUE"""),56.0)</f>
        <v>56</v>
      </c>
      <c r="M303" s="188">
        <f>IFERROR(__xludf.DUMMYFUNCTION("""COMPUTED_VALUE"""),0.06)</f>
        <v>0.06</v>
      </c>
      <c r="N303" s="188">
        <f>IFERROR(__xludf.DUMMYFUNCTION("""COMPUTED_VALUE"""),0.07)</f>
        <v>0.07</v>
      </c>
      <c r="O303" s="208"/>
      <c r="P303" s="208"/>
      <c r="Q303" s="208"/>
      <c r="R303" s="208"/>
    </row>
    <row r="304">
      <c r="A304" s="185" t="str">
        <f>IFERROR(__xludf.DUMMYFUNCTION("""COMPUTED_VALUE"""),"Agency directory / review marketplace")</f>
        <v>Agency directory / review marketplace</v>
      </c>
      <c r="B304" s="186" t="str">
        <f>IFERROR(__xludf.DUMMYFUNCTION("""COMPUTED_VALUE"""),"https://www.sortlist.com/s/paid-media/australia-au")</f>
        <v>https://www.sortlist.com/s/paid-media/australia-au</v>
      </c>
      <c r="C304" s="185" t="str">
        <f>IFERROR(__xludf.DUMMYFUNCTION("""COMPUTED_VALUE"""),"The 10 Best Paid Media Agencies in Australia - 2026 Reviews")</f>
        <v>The 10 Best Paid Media Agencies in Australia - 2026 Reviews</v>
      </c>
      <c r="D304" s="185" t="str">
        <f>IFERROR(__xludf.DUMMYFUNCTION("""COMPUTED_VALUE"""),"AU")</f>
        <v>AU</v>
      </c>
      <c r="E304" s="185" t="str">
        <f>IFERROR(__xludf.DUMMYFUNCTION("""COMPUTED_VALUE"""),"sortlist.com")</f>
        <v>sortlist.com</v>
      </c>
      <c r="F304" s="185" t="str">
        <f>IFERROR(__xludf.DUMMYFUNCTION("""COMPUTED_VALUE"""),"Category Page")</f>
        <v>Category Page</v>
      </c>
      <c r="G304" s="185" t="str">
        <f>IFERROR(__xludf.DUMMYFUNCTION("""COMPUTED_VALUE"""),"CORPORATE")</f>
        <v>CORPORATE</v>
      </c>
      <c r="H304" s="185" t="str">
        <f>IFERROR(__xludf.DUMMYFUNCTION("""COMPUTED_VALUE"""),"No")</f>
        <v>No</v>
      </c>
      <c r="I304" s="185" t="str">
        <f>IFERROR(__xludf.DUMMYFUNCTION("""COMPUTED_VALUE"""),"Medium")</f>
        <v>Medium</v>
      </c>
      <c r="J304" s="185" t="str">
        <f>IFERROR(__xludf.DUMMYFUNCTION("""COMPUTED_VALUE"""),"Yes")</f>
        <v>Yes</v>
      </c>
      <c r="K304" s="185" t="str">
        <f>IFERROR(__xludf.DUMMYFUNCTION("""COMPUTED_VALUE"""),"Measured, Earned Media, Clearwater Agency, Impressive, Supple Digital, SIXGUN, Digital Nomads HQ, Soup Agency, HERO")</f>
        <v>Measured, Earned Media, Clearwater Agency, Impressive, Supple Digital, SIXGUN, Digital Nomads HQ, Soup Agency, HERO</v>
      </c>
      <c r="L304" s="187">
        <f>IFERROR(__xludf.DUMMYFUNCTION("""COMPUTED_VALUE"""),53.0)</f>
        <v>53</v>
      </c>
      <c r="M304" s="188">
        <f>IFERROR(__xludf.DUMMYFUNCTION("""COMPUTED_VALUE"""),0.06)</f>
        <v>0.06</v>
      </c>
      <c r="N304" s="188">
        <f>IFERROR(__xludf.DUMMYFUNCTION("""COMPUTED_VALUE"""),0.58)</f>
        <v>0.58</v>
      </c>
      <c r="O304" s="208"/>
      <c r="P304" s="208"/>
      <c r="Q304" s="208"/>
      <c r="R304" s="208"/>
    </row>
    <row r="305">
      <c r="A305" s="185" t="str">
        <f>IFERROR(__xludf.DUMMYFUNCTION("""COMPUTED_VALUE"""),"Trade media / editorial publication")</f>
        <v>Trade media / editorial publication</v>
      </c>
      <c r="B305" s="186" t="str">
        <f>IFERROR(__xludf.DUMMYFUNCTION("""COMPUTED_VALUE"""),"https://www.formulate.com.au/articles/best-ai-seo-agencies-in-australia-2026/#:~:text=This%20sits%20alongside%20a%20mature%20technical%20SEO,of%20the%20discipline.%20%2D%20Jaywing.%20Best%20for.")</f>
        <v>https://www.formulate.com.au/articles/best-ai-seo-agencies-in-australia-2026/#:~:text=This%20sits%20alongside%20a%20mature%20technical%20SEO,of%20the%20discipline.%20%2D%20Jaywing.%20Best%20for.</v>
      </c>
      <c r="C305" s="185" t="str">
        <f>IFERROR(__xludf.DUMMYFUNCTION("""COMPUTED_VALUE"""),"Best AI SEO Agencies in Australia (2026) &amp;#8211; Formulate Design Blog")</f>
        <v>Best AI SEO Agencies in Australia (2026) &amp;#8211; Formulate Design Blog</v>
      </c>
      <c r="D305" s="185" t="str">
        <f>IFERROR(__xludf.DUMMYFUNCTION("""COMPUTED_VALUE"""),"AU")</f>
        <v>AU</v>
      </c>
      <c r="E305" s="185" t="str">
        <f>IFERROR(__xludf.DUMMYFUNCTION("""COMPUTED_VALUE"""),"formulate.com.au")</f>
        <v>formulate.com.au</v>
      </c>
      <c r="F305" s="185" t="str">
        <f>IFERROR(__xludf.DUMMYFUNCTION("""COMPUTED_VALUE"""),"Listicle")</f>
        <v>Listicle</v>
      </c>
      <c r="G305" s="185" t="str">
        <f>IFERROR(__xludf.DUMMYFUNCTION("""COMPUTED_VALUE"""),"EDITORIAL")</f>
        <v>EDITORIAL</v>
      </c>
      <c r="H305" s="185" t="str">
        <f>IFERROR(__xludf.DUMMYFUNCTION("""COMPUTED_VALUE"""),"No")</f>
        <v>No</v>
      </c>
      <c r="I305" s="185" t="str">
        <f>IFERROR(__xludf.DUMMYFUNCTION("""COMPUTED_VALUE"""),"Medium")</f>
        <v>Medium</v>
      </c>
      <c r="J305" s="185" t="str">
        <f>IFERROR(__xludf.DUMMYFUNCTION("""COMPUTED_VALUE"""),"Yes")</f>
        <v>Yes</v>
      </c>
      <c r="K305" s="185" t="str">
        <f>IFERROR(__xludf.DUMMYFUNCTION("""COMPUTED_VALUE"""),"Prosperity Media, Jaywing")</f>
        <v>Prosperity Media, Jaywing</v>
      </c>
      <c r="L305" s="187">
        <f>IFERROR(__xludf.DUMMYFUNCTION("""COMPUTED_VALUE"""),51.0)</f>
        <v>51</v>
      </c>
      <c r="M305" s="188">
        <f>IFERROR(__xludf.DUMMYFUNCTION("""COMPUTED_VALUE"""),0.05)</f>
        <v>0.05</v>
      </c>
      <c r="N305" s="188">
        <f>IFERROR(__xludf.DUMMYFUNCTION("""COMPUTED_VALUE"""),2.14)</f>
        <v>2.14</v>
      </c>
      <c r="O305" s="208"/>
      <c r="P305" s="208"/>
      <c r="Q305" s="208"/>
      <c r="R305" s="208"/>
    </row>
    <row r="306">
      <c r="A306" s="185" t="str">
        <f>IFERROR(__xludf.DUMMYFUNCTION("""COMPUTED_VALUE"""),"Industry data / software authority")</f>
        <v>Industry data / software authority</v>
      </c>
      <c r="B306" s="186" t="str">
        <f>IFERROR(__xludf.DUMMYFUNCTION("""COMPUTED_VALUE"""),"https://agencies.semrush.com/list/display-advertising/australia/")</f>
        <v>https://agencies.semrush.com/list/display-advertising/australia/</v>
      </c>
      <c r="C306" s="185" t="str">
        <f>IFERROR(__xludf.DUMMYFUNCTION("""COMPUTED_VALUE"""),"Best Display Ads Agencies in Australia 2026 | Semrush")</f>
        <v>Best Display Ads Agencies in Australia 2026 | Semrush</v>
      </c>
      <c r="D306" s="185" t="str">
        <f>IFERROR(__xludf.DUMMYFUNCTION("""COMPUTED_VALUE"""),"AU")</f>
        <v>AU</v>
      </c>
      <c r="E306" s="185" t="str">
        <f>IFERROR(__xludf.DUMMYFUNCTION("""COMPUTED_VALUE"""),"semrush.com")</f>
        <v>semrush.com</v>
      </c>
      <c r="F306" s="185" t="str">
        <f>IFERROR(__xludf.DUMMYFUNCTION("""COMPUTED_VALUE"""),"Other")</f>
        <v>Other</v>
      </c>
      <c r="G306" s="185" t="str">
        <f>IFERROR(__xludf.DUMMYFUNCTION("""COMPUTED_VALUE"""),"CORPORATE")</f>
        <v>CORPORATE</v>
      </c>
      <c r="H306" s="185" t="str">
        <f>IFERROR(__xludf.DUMMYFUNCTION("""COMPUTED_VALUE"""),"No")</f>
        <v>No</v>
      </c>
      <c r="I306" s="185" t="str">
        <f>IFERROR(__xludf.DUMMYFUNCTION("""COMPUTED_VALUE"""),"Medium")</f>
        <v>Medium</v>
      </c>
      <c r="J306" s="185" t="str">
        <f>IFERROR(__xludf.DUMMYFUNCTION("""COMPUTED_VALUE"""),"Yes")</f>
        <v>Yes</v>
      </c>
      <c r="K306" s="185"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L306" s="187">
        <f>IFERROR(__xludf.DUMMYFUNCTION("""COMPUTED_VALUE"""),47.0)</f>
        <v>47</v>
      </c>
      <c r="M306" s="188">
        <f>IFERROR(__xludf.DUMMYFUNCTION("""COMPUTED_VALUE"""),0.05)</f>
        <v>0.05</v>
      </c>
      <c r="N306" s="188">
        <f>IFERROR(__xludf.DUMMYFUNCTION("""COMPUTED_VALUE"""),1.06)</f>
        <v>1.06</v>
      </c>
      <c r="O306" s="208"/>
      <c r="P306" s="208"/>
      <c r="Q306" s="208"/>
      <c r="R306" s="208"/>
    </row>
    <row r="307">
      <c r="A307" s="185" t="str">
        <f>IFERROR(__xludf.DUMMYFUNCTION("""COMPUTED_VALUE"""),"Agency directory / review marketplace")</f>
        <v>Agency directory / review marketplace</v>
      </c>
      <c r="B307" s="186" t="str">
        <f>IFERROR(__xludf.DUMMYFUNCTION("""COMPUTED_VALUE"""),"https://clutch.co/au/agencies/ppc")</f>
        <v>https://clutch.co/au/agencies/ppc</v>
      </c>
      <c r="C307" s="185" t="str">
        <f>IFERROR(__xludf.DUMMYFUNCTION("""COMPUTED_VALUE"""),"Top PPC Agencies in Australia - Jul 2026 Rankings | Clutch.co")</f>
        <v>Top PPC Agencies in Australia - Jul 2026 Rankings | Clutch.co</v>
      </c>
      <c r="D307" s="185" t="str">
        <f>IFERROR(__xludf.DUMMYFUNCTION("""COMPUTED_VALUE"""),"AU")</f>
        <v>AU</v>
      </c>
      <c r="E307" s="185" t="str">
        <f>IFERROR(__xludf.DUMMYFUNCTION("""COMPUTED_VALUE"""),"clutch.co")</f>
        <v>clutch.co</v>
      </c>
      <c r="F307" s="185" t="str">
        <f>IFERROR(__xludf.DUMMYFUNCTION("""COMPUTED_VALUE"""),"Category Page")</f>
        <v>Category Page</v>
      </c>
      <c r="G307" s="185" t="str">
        <f>IFERROR(__xludf.DUMMYFUNCTION("""COMPUTED_VALUE"""),"CORPORATE")</f>
        <v>CORPORATE</v>
      </c>
      <c r="H307" s="185" t="str">
        <f>IFERROR(__xludf.DUMMYFUNCTION("""COMPUTED_VALUE"""),"No")</f>
        <v>No</v>
      </c>
      <c r="I307" s="185" t="str">
        <f>IFERROR(__xludf.DUMMYFUNCTION("""COMPUTED_VALUE"""),"Medium")</f>
        <v>Medium</v>
      </c>
      <c r="J307" s="185" t="str">
        <f>IFERROR(__xludf.DUMMYFUNCTION("""COMPUTED_VALUE"""),"Yes")</f>
        <v>Yes</v>
      </c>
      <c r="K307" s="185" t="str">
        <f>IFERROR(__xludf.DUMMYFUNCTION("""COMPUTED_VALUE"""),"Soup Agency, Digital Nomads HQ, SIXGUN, Impressive, First Page, Farsiight, Human Digital, Intesols, MyWork, Salt &amp; Fuessel, Emote Digital, 80/20 Digital, Supple Digital, Alley Group, EvenDigit, Rocket Agency, Clearwater Agency, DNM Digital, Edge Marketing"&amp;", Megaphone, Huge, Paradox Marketing, Online Marketing Gurus, Omnicom Media Group, Marketix Digital")</f>
        <v>Soup Agency, Digital Nomads HQ, SIXGUN, Impressive, First Page, Farsiight, Human Digital, Intesols, MyWork, Salt &amp; Fuessel, Emote Digital, 80/20 Digital, Supple Digital, Alley Group, EvenDigit, Rocket Agency, Clearwater Agency, DNM Digital, Edge Marketing, Megaphone, Huge, Paradox Marketing, Online Marketing Gurus, Omnicom Media Group, Marketix Digital</v>
      </c>
      <c r="L307" s="187">
        <f>IFERROR(__xludf.DUMMYFUNCTION("""COMPUTED_VALUE"""),42.0)</f>
        <v>42</v>
      </c>
      <c r="M307" s="188">
        <f>IFERROR(__xludf.DUMMYFUNCTION("""COMPUTED_VALUE"""),0.04)</f>
        <v>0.04</v>
      </c>
      <c r="N307" s="188">
        <f>IFERROR(__xludf.DUMMYFUNCTION("""COMPUTED_VALUE"""),2.81)</f>
        <v>2.81</v>
      </c>
      <c r="O307" s="208"/>
      <c r="P307" s="208"/>
      <c r="Q307" s="208"/>
      <c r="R307" s="208"/>
    </row>
    <row r="308">
      <c r="A308" s="185" t="str">
        <f>IFERROR(__xludf.DUMMYFUNCTION("""COMPUTED_VALUE"""),"Agency directory / review marketplace")</f>
        <v>Agency directory / review marketplace</v>
      </c>
      <c r="B308" s="186" t="str">
        <f>IFERROR(__xludf.DUMMYFUNCTION("""COMPUTED_VALUE"""),"https://digitalagencynetwork.com/agencies/australia/ai-marketing/")</f>
        <v>https://digitalagencynetwork.com/agencies/australia/ai-marketing/</v>
      </c>
      <c r="C308" s="185" t="str">
        <f>IFERROR(__xludf.DUMMYFUNCTION("""COMPUTED_VALUE"""),"Top AI Marketing Agencies in Australia (2026)")</f>
        <v>Top AI Marketing Agencies in Australia (2026)</v>
      </c>
      <c r="D308" s="185" t="str">
        <f>IFERROR(__xludf.DUMMYFUNCTION("""COMPUTED_VALUE"""),"AU")</f>
        <v>AU</v>
      </c>
      <c r="E308" s="185" t="str">
        <f>IFERROR(__xludf.DUMMYFUNCTION("""COMPUTED_VALUE"""),"digitalagencynetwork.com")</f>
        <v>digitalagencynetwork.com</v>
      </c>
      <c r="F308" s="185" t="str">
        <f>IFERROR(__xludf.DUMMYFUNCTION("""COMPUTED_VALUE"""),"Profile")</f>
        <v>Profile</v>
      </c>
      <c r="G308" s="185" t="str">
        <f>IFERROR(__xludf.DUMMYFUNCTION("""COMPUTED_VALUE"""),"REFERENCE")</f>
        <v>REFERENCE</v>
      </c>
      <c r="H308" s="185" t="str">
        <f>IFERROR(__xludf.DUMMYFUNCTION("""COMPUTED_VALUE"""),"No")</f>
        <v>No</v>
      </c>
      <c r="I308" s="185" t="str">
        <f>IFERROR(__xludf.DUMMYFUNCTION("""COMPUTED_VALUE"""),"Medium")</f>
        <v>Medium</v>
      </c>
      <c r="J308" s="185" t="str">
        <f>IFERROR(__xludf.DUMMYFUNCTION("""COMPUTED_VALUE"""),"Yes")</f>
        <v>Yes</v>
      </c>
      <c r="K308" s="185" t="str">
        <f>IFERROR(__xludf.DUMMYFUNCTION("""COMPUTED_VALUE"""),"In Marketing We Trust, Soup Agency")</f>
        <v>In Marketing We Trust, Soup Agency</v>
      </c>
      <c r="L308" s="187">
        <f>IFERROR(__xludf.DUMMYFUNCTION("""COMPUTED_VALUE"""),40.0)</f>
        <v>40</v>
      </c>
      <c r="M308" s="188">
        <f>IFERROR(__xludf.DUMMYFUNCTION("""COMPUTED_VALUE"""),0.04)</f>
        <v>0.04</v>
      </c>
      <c r="N308" s="188">
        <f>IFERROR(__xludf.DUMMYFUNCTION("""COMPUTED_VALUE"""),0.88)</f>
        <v>0.88</v>
      </c>
      <c r="O308" s="208"/>
      <c r="P308" s="208"/>
      <c r="Q308" s="208"/>
      <c r="R308" s="208"/>
    </row>
    <row r="309">
      <c r="A309" s="185" t="str">
        <f>IFERROR(__xludf.DUMMYFUNCTION("""COMPUTED_VALUE"""),"Agency directory / review marketplace")</f>
        <v>Agency directory / review marketplace</v>
      </c>
      <c r="B309" s="186" t="str">
        <f>IFERROR(__xludf.DUMMYFUNCTION("""COMPUTED_VALUE"""),"https://clutch.co/au/agencies/social-media-marketing#:~:text=farsiight%20is%20a%20digital%20marketing%20agency%20specializing,return%20on%20ad%20spend%20and%20customer%20acquisition.")</f>
        <v>https://clutch.co/au/agencies/social-media-marketing#:~:text=farsiight%20is%20a%20digital%20marketing%20agency%20specializing,return%20on%20ad%20spend%20and%20customer%20acquisition.</v>
      </c>
      <c r="C309" s="185" t="str">
        <f>IFERROR(__xludf.DUMMYFUNCTION("""COMPUTED_VALUE"""),"Top Social Media Marketing Companies in Australia - Jul 2026 Rankings | Clutch.co")</f>
        <v>Top Social Media Marketing Companies in Australia - Jul 2026 Rankings | Clutch.co</v>
      </c>
      <c r="D309" s="185" t="str">
        <f>IFERROR(__xludf.DUMMYFUNCTION("""COMPUTED_VALUE"""),"AU")</f>
        <v>AU</v>
      </c>
      <c r="E309" s="185" t="str">
        <f>IFERROR(__xludf.DUMMYFUNCTION("""COMPUTED_VALUE"""),"clutch.co")</f>
        <v>clutch.co</v>
      </c>
      <c r="F309" s="185" t="str">
        <f>IFERROR(__xludf.DUMMYFUNCTION("""COMPUTED_VALUE"""),"Other")</f>
        <v>Other</v>
      </c>
      <c r="G309" s="185" t="str">
        <f>IFERROR(__xludf.DUMMYFUNCTION("""COMPUTED_VALUE"""),"CORPORATE")</f>
        <v>CORPORATE</v>
      </c>
      <c r="H309" s="185" t="str">
        <f>IFERROR(__xludf.DUMMYFUNCTION("""COMPUTED_VALUE"""),"No")</f>
        <v>No</v>
      </c>
      <c r="I309" s="185" t="str">
        <f>IFERROR(__xludf.DUMMYFUNCTION("""COMPUTED_VALUE"""),"Medium")</f>
        <v>Medium</v>
      </c>
      <c r="J309" s="185" t="str">
        <f>IFERROR(__xludf.DUMMYFUNCTION("""COMPUTED_VALUE"""),"Yes")</f>
        <v>Yes</v>
      </c>
      <c r="K309" s="185" t="str">
        <f>IFERROR(__xludf.DUMMYFUNCTION("""COMPUTED_VALUE"""),"Soup Agency, Impressive, Digital Nomads HQ, SIXGUN, Farsiight, Human Digital, Emote Digital, Intesols, MyWork, Salt &amp; Fuessel, Alley Group, EvenDigit, Rocket Agency, Clearwater Agency, DNM Digital, Edge Marketing, Megaphone")</f>
        <v>Soup Agency, Impressive, Digital Nomads HQ, SIXGUN, Farsiight, Human Digital, Emote Digital, Intesols, MyWork, Salt &amp; Fuessel, Alley Group, EvenDigit, Rocket Agency, Clearwater Agency, DNM Digital, Edge Marketing, Megaphone</v>
      </c>
      <c r="L309" s="187">
        <f>IFERROR(__xludf.DUMMYFUNCTION("""COMPUTED_VALUE"""),38.0)</f>
        <v>38</v>
      </c>
      <c r="M309" s="188">
        <f>IFERROR(__xludf.DUMMYFUNCTION("""COMPUTED_VALUE"""),0.04)</f>
        <v>0.04</v>
      </c>
      <c r="N309" s="188">
        <f>IFERROR(__xludf.DUMMYFUNCTION("""COMPUTED_VALUE"""),2.66)</f>
        <v>2.66</v>
      </c>
      <c r="O309" s="208"/>
      <c r="P309" s="208"/>
      <c r="Q309" s="208"/>
      <c r="R309" s="208"/>
    </row>
    <row r="310">
      <c r="A310" s="185" t="str">
        <f>IFERROR(__xludf.DUMMYFUNCTION("""COMPUTED_VALUE"""),"Agency directory / review marketplace")</f>
        <v>Agency directory / review marketplace</v>
      </c>
      <c r="B310" s="186" t="str">
        <f>IFERROR(__xludf.DUMMYFUNCTION("""COMPUTED_VALUE"""),"https://digitalagencynetwork.com/agencies/australia/")</f>
        <v>https://digitalagencynetwork.com/agencies/australia/</v>
      </c>
      <c r="C310" s="185" t="str">
        <f>IFERROR(__xludf.DUMMYFUNCTION("""COMPUTED_VALUE"""),"Best Digital Marketing Agencies in Australia | Digital Agency Network")</f>
        <v>Best Digital Marketing Agencies in Australia | Digital Agency Network</v>
      </c>
      <c r="D310" s="185" t="str">
        <f>IFERROR(__xludf.DUMMYFUNCTION("""COMPUTED_VALUE"""),"AU")</f>
        <v>AU</v>
      </c>
      <c r="E310" s="185" t="str">
        <f>IFERROR(__xludf.DUMMYFUNCTION("""COMPUTED_VALUE"""),"digitalagencynetwork.com")</f>
        <v>digitalagencynetwork.com</v>
      </c>
      <c r="F310" s="185" t="str">
        <f>IFERROR(__xludf.DUMMYFUNCTION("""COMPUTED_VALUE"""),"Category Page")</f>
        <v>Category Page</v>
      </c>
      <c r="G310" s="185" t="str">
        <f>IFERROR(__xludf.DUMMYFUNCTION("""COMPUTED_VALUE"""),"REFERENCE")</f>
        <v>REFERENCE</v>
      </c>
      <c r="H310" s="185" t="str">
        <f>IFERROR(__xludf.DUMMYFUNCTION("""COMPUTED_VALUE"""),"No")</f>
        <v>No</v>
      </c>
      <c r="I310" s="185" t="str">
        <f>IFERROR(__xludf.DUMMYFUNCTION("""COMPUTED_VALUE"""),"Medium")</f>
        <v>Medium</v>
      </c>
      <c r="J310" s="185" t="str">
        <f>IFERROR(__xludf.DUMMYFUNCTION("""COMPUTED_VALUE"""),"Yes")</f>
        <v>Yes</v>
      </c>
      <c r="K310" s="185" t="str">
        <f>IFERROR(__xludf.DUMMYFUNCTION("""COMPUTED_VALUE"""),"Emote Digital, Luminary, Supple Digital, 80/20 Digital, Clearwater Agency, Digital Nomads HQ, Soup Agency, Impressive, Jaywing, In Marketing We Trust")</f>
        <v>Emote Digital, Luminary, Supple Digital, 80/20 Digital, Clearwater Agency, Digital Nomads HQ, Soup Agency, Impressive, Jaywing, In Marketing We Trust</v>
      </c>
      <c r="L310" s="187">
        <f>IFERROR(__xludf.DUMMYFUNCTION("""COMPUTED_VALUE"""),36.0)</f>
        <v>36</v>
      </c>
      <c r="M310" s="188">
        <f>IFERROR(__xludf.DUMMYFUNCTION("""COMPUTED_VALUE"""),0.04)</f>
        <v>0.04</v>
      </c>
      <c r="N310" s="188">
        <f>IFERROR(__xludf.DUMMYFUNCTION("""COMPUTED_VALUE"""),0.33)</f>
        <v>0.33</v>
      </c>
      <c r="O310" s="208"/>
      <c r="P310" s="208"/>
      <c r="Q310" s="208"/>
      <c r="R310" s="208"/>
    </row>
    <row r="311">
      <c r="A311" s="185" t="str">
        <f>IFERROR(__xludf.DUMMYFUNCTION("""COMPUTED_VALUE"""),"Industry data / software authority")</f>
        <v>Industry data / software authority</v>
      </c>
      <c r="B311" s="186" t="str">
        <f>IFERROR(__xludf.DUMMYFUNCTION("""COMPUTED_VALUE"""),"https://agencies.semrush.com/list/smm/australia/")</f>
        <v>https://agencies.semrush.com/list/smm/australia/</v>
      </c>
      <c r="C311" s="185" t="str">
        <f>IFERROR(__xludf.DUMMYFUNCTION("""COMPUTED_VALUE"""),"Best Social Media Marketing Agencies in Australia 2026 | Semrush")</f>
        <v>Best Social Media Marketing Agencies in Australia 2026 | Semrush</v>
      </c>
      <c r="D311" s="185" t="str">
        <f>IFERROR(__xludf.DUMMYFUNCTION("""COMPUTED_VALUE"""),"AU")</f>
        <v>AU</v>
      </c>
      <c r="E311" s="185" t="str">
        <f>IFERROR(__xludf.DUMMYFUNCTION("""COMPUTED_VALUE"""),"semrush.com")</f>
        <v>semrush.com</v>
      </c>
      <c r="F311" s="185" t="str">
        <f>IFERROR(__xludf.DUMMYFUNCTION("""COMPUTED_VALUE"""),"Category Page")</f>
        <v>Category Page</v>
      </c>
      <c r="G311" s="185" t="str">
        <f>IFERROR(__xludf.DUMMYFUNCTION("""COMPUTED_VALUE"""),"CORPORATE")</f>
        <v>CORPORATE</v>
      </c>
      <c r="H311" s="185" t="str">
        <f>IFERROR(__xludf.DUMMYFUNCTION("""COMPUTED_VALUE"""),"No")</f>
        <v>No</v>
      </c>
      <c r="I311" s="185" t="str">
        <f>IFERROR(__xludf.DUMMYFUNCTION("""COMPUTED_VALUE"""),"Medium")</f>
        <v>Medium</v>
      </c>
      <c r="J311" s="185" t="str">
        <f>IFERROR(__xludf.DUMMYFUNCTION("""COMPUTED_VALUE"""),"Yes")</f>
        <v>Yes</v>
      </c>
      <c r="K311" s="185"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L311" s="187">
        <f>IFERROR(__xludf.DUMMYFUNCTION("""COMPUTED_VALUE"""),34.0)</f>
        <v>34</v>
      </c>
      <c r="M311" s="188">
        <f>IFERROR(__xludf.DUMMYFUNCTION("""COMPUTED_VALUE"""),0.04)</f>
        <v>0.04</v>
      </c>
      <c r="N311" s="188">
        <f>IFERROR(__xludf.DUMMYFUNCTION("""COMPUTED_VALUE"""),0.41)</f>
        <v>0.41</v>
      </c>
      <c r="O311" s="208"/>
      <c r="P311" s="208"/>
      <c r="Q311" s="208"/>
      <c r="R311" s="208"/>
    </row>
    <row r="312">
      <c r="A312" s="185" t="str">
        <f>IFERROR(__xludf.DUMMYFUNCTION("""COMPUTED_VALUE"""),"Industry data / software authority")</f>
        <v>Industry data / software authority</v>
      </c>
      <c r="B312" s="186" t="str">
        <f>IFERROR(__xludf.DUMMYFUNCTION("""COMPUTED_VALUE"""),"https://agencies.semrush.com/list/ai-optimization/sydney/")</f>
        <v>https://agencies.semrush.com/list/ai-optimization/sydney/</v>
      </c>
      <c r="C312" s="185" t="str">
        <f>IFERROR(__xludf.DUMMYFUNCTION("""COMPUTED_VALUE"""),"Best AI Search Optimization Agencies in Sydney 2026 | Semrush")</f>
        <v>Best AI Search Optimization Agencies in Sydney 2026 | Semrush</v>
      </c>
      <c r="D312" s="185" t="str">
        <f>IFERROR(__xludf.DUMMYFUNCTION("""COMPUTED_VALUE"""),"AU")</f>
        <v>AU</v>
      </c>
      <c r="E312" s="185" t="str">
        <f>IFERROR(__xludf.DUMMYFUNCTION("""COMPUTED_VALUE"""),"semrush.com")</f>
        <v>semrush.com</v>
      </c>
      <c r="F312" s="185" t="str">
        <f>IFERROR(__xludf.DUMMYFUNCTION("""COMPUTED_VALUE"""),"Category Page")</f>
        <v>Category Page</v>
      </c>
      <c r="G312" s="185" t="str">
        <f>IFERROR(__xludf.DUMMYFUNCTION("""COMPUTED_VALUE"""),"CORPORATE")</f>
        <v>CORPORATE</v>
      </c>
      <c r="H312" s="185" t="str">
        <f>IFERROR(__xludf.DUMMYFUNCTION("""COMPUTED_VALUE"""),"No")</f>
        <v>No</v>
      </c>
      <c r="I312" s="185" t="str">
        <f>IFERROR(__xludf.DUMMYFUNCTION("""COMPUTED_VALUE"""),"Medium")</f>
        <v>Medium</v>
      </c>
      <c r="J312" s="185" t="str">
        <f>IFERROR(__xludf.DUMMYFUNCTION("""COMPUTED_VALUE"""),"Yes")</f>
        <v>Yes</v>
      </c>
      <c r="K312" s="185" t="str">
        <f>IFERROR(__xludf.DUMMYFUNCTION("""COMPUTED_VALUE"""),"DNM Digital, Online Marketing Gurus, Omnicom Media Group, Earned Media, Huge, Edge Marketing, First Page, Clearwater Agency, Measured")</f>
        <v>DNM Digital, Online Marketing Gurus, Omnicom Media Group, Earned Media, Huge, Edge Marketing, First Page, Clearwater Agency, Measured</v>
      </c>
      <c r="L312" s="187">
        <f>IFERROR(__xludf.DUMMYFUNCTION("""COMPUTED_VALUE"""),33.0)</f>
        <v>33</v>
      </c>
      <c r="M312" s="188">
        <f>IFERROR(__xludf.DUMMYFUNCTION("""COMPUTED_VALUE"""),0.03)</f>
        <v>0.03</v>
      </c>
      <c r="N312" s="188">
        <f>IFERROR(__xludf.DUMMYFUNCTION("""COMPUTED_VALUE"""),0.79)</f>
        <v>0.79</v>
      </c>
      <c r="O312" s="208"/>
      <c r="P312" s="208"/>
      <c r="Q312" s="208"/>
      <c r="R312" s="208"/>
    </row>
    <row r="313">
      <c r="A313" s="185" t="str">
        <f>IFERROR(__xludf.DUMMYFUNCTION("""COMPUTED_VALUE"""),"Agency directory / review marketplace")</f>
        <v>Agency directory / review marketplace</v>
      </c>
      <c r="B313" s="186" t="str">
        <f>IFERROR(__xludf.DUMMYFUNCTION("""COMPUTED_VALUE"""),"https://clutch.co/au/agencies/creative")</f>
        <v>https://clutch.co/au/agencies/creative</v>
      </c>
      <c r="C313" s="185" t="str">
        <f>IFERROR(__xludf.DUMMYFUNCTION("""COMPUTED_VALUE"""),"Top Creative Agencies in Australia - Jul 2026 Rankings \| Clutch.co")</f>
        <v>Top Creative Agencies in Australia - Jul 2026 Rankings \| Clutch.co</v>
      </c>
      <c r="D313" s="185" t="str">
        <f>IFERROR(__xludf.DUMMYFUNCTION("""COMPUTED_VALUE"""),"AU")</f>
        <v>AU</v>
      </c>
      <c r="E313" s="185" t="str">
        <f>IFERROR(__xludf.DUMMYFUNCTION("""COMPUTED_VALUE"""),"clutch.co")</f>
        <v>clutch.co</v>
      </c>
      <c r="F313" s="185" t="str">
        <f>IFERROR(__xludf.DUMMYFUNCTION("""COMPUTED_VALUE"""),"Category Page")</f>
        <v>Category Page</v>
      </c>
      <c r="G313" s="185" t="str">
        <f>IFERROR(__xludf.DUMMYFUNCTION("""COMPUTED_VALUE"""),"CORPORATE")</f>
        <v>CORPORATE</v>
      </c>
      <c r="H313" s="185" t="str">
        <f>IFERROR(__xludf.DUMMYFUNCTION("""COMPUTED_VALUE"""),"No")</f>
        <v>No</v>
      </c>
      <c r="I313" s="185" t="str">
        <f>IFERROR(__xludf.DUMMYFUNCTION("""COMPUTED_VALUE"""),"Medium")</f>
        <v>Medium</v>
      </c>
      <c r="J313" s="185" t="str">
        <f>IFERROR(__xludf.DUMMYFUNCTION("""COMPUTED_VALUE"""),"Yes")</f>
        <v>Yes</v>
      </c>
      <c r="K313" s="185" t="str">
        <f>IFERROR(__xludf.DUMMYFUNCTION("""COMPUTED_VALUE"""),"Chello, Human Digital, Impressive, Measured, Dentsu")</f>
        <v>Chello, Human Digital, Impressive, Measured, Dentsu</v>
      </c>
      <c r="L313" s="187">
        <f>IFERROR(__xludf.DUMMYFUNCTION("""COMPUTED_VALUE"""),33.0)</f>
        <v>33</v>
      </c>
      <c r="M313" s="188">
        <f>IFERROR(__xludf.DUMMYFUNCTION("""COMPUTED_VALUE"""),0.03)</f>
        <v>0.03</v>
      </c>
      <c r="N313" s="188">
        <f>IFERROR(__xludf.DUMMYFUNCTION("""COMPUTED_VALUE"""),1.15)</f>
        <v>1.15</v>
      </c>
      <c r="O313" s="208"/>
      <c r="P313" s="208"/>
      <c r="Q313" s="208"/>
      <c r="R313" s="208"/>
    </row>
    <row r="314">
      <c r="A314" s="185" t="str">
        <f>IFERROR(__xludf.DUMMYFUNCTION("""COMPUTED_VALUE"""),"Agency directory / review marketplace")</f>
        <v>Agency directory / review marketplace</v>
      </c>
      <c r="B314" s="186" t="str">
        <f>IFERROR(__xludf.DUMMYFUNCTION("""COMPUTED_VALUE"""),"https://clutch.co/au/agencies/ppc/display")</f>
        <v>https://clutch.co/au/agencies/ppc/display</v>
      </c>
      <c r="C314" s="185" t="str">
        <f>IFERROR(__xludf.DUMMYFUNCTION("""COMPUTED_VALUE"""),"Top Display Advertising Services in Australia - Jul 2026 Rankings | Clutch.co")</f>
        <v>Top Display Advertising Services in Australia - Jul 2026 Rankings | Clutch.co</v>
      </c>
      <c r="D314" s="185" t="str">
        <f>IFERROR(__xludf.DUMMYFUNCTION("""COMPUTED_VALUE"""),"AU")</f>
        <v>AU</v>
      </c>
      <c r="E314" s="185" t="str">
        <f>IFERROR(__xludf.DUMMYFUNCTION("""COMPUTED_VALUE"""),"clutch.co")</f>
        <v>clutch.co</v>
      </c>
      <c r="F314" s="185" t="str">
        <f>IFERROR(__xludf.DUMMYFUNCTION("""COMPUTED_VALUE"""),"Profile")</f>
        <v>Profile</v>
      </c>
      <c r="G314" s="185" t="str">
        <f>IFERROR(__xludf.DUMMYFUNCTION("""COMPUTED_VALUE"""),"CORPORATE")</f>
        <v>CORPORATE</v>
      </c>
      <c r="H314" s="185" t="str">
        <f>IFERROR(__xludf.DUMMYFUNCTION("""COMPUTED_VALUE"""),"No")</f>
        <v>No</v>
      </c>
      <c r="I314" s="185" t="str">
        <f>IFERROR(__xludf.DUMMYFUNCTION("""COMPUTED_VALUE"""),"Medium")</f>
        <v>Medium</v>
      </c>
      <c r="J314" s="185" t="str">
        <f>IFERROR(__xludf.DUMMYFUNCTION("""COMPUTED_VALUE"""),"Yes")</f>
        <v>Yes</v>
      </c>
      <c r="K314" s="185" t="str">
        <f>IFERROR(__xludf.DUMMYFUNCTION("""COMPUTED_VALUE"""),"Intesols, First Page, Soup Agency, Impressive, Salt &amp; Fuessel, EvenDigit, Paradox Marketing, Click Click Media")</f>
        <v>Intesols, First Page, Soup Agency, Impressive, Salt &amp; Fuessel, EvenDigit, Paradox Marketing, Click Click Media</v>
      </c>
      <c r="L314" s="187">
        <f>IFERROR(__xludf.DUMMYFUNCTION("""COMPUTED_VALUE"""),32.0)</f>
        <v>32</v>
      </c>
      <c r="M314" s="188">
        <f>IFERROR(__xludf.DUMMYFUNCTION("""COMPUTED_VALUE"""),0.03)</f>
        <v>0.03</v>
      </c>
      <c r="N314" s="188">
        <f>IFERROR(__xludf.DUMMYFUNCTION("""COMPUTED_VALUE"""),1.09)</f>
        <v>1.09</v>
      </c>
      <c r="O314" s="208"/>
      <c r="P314" s="208"/>
      <c r="Q314" s="208"/>
      <c r="R314" s="208"/>
    </row>
    <row r="315">
      <c r="A315" s="185" t="str">
        <f>IFERROR(__xludf.DUMMYFUNCTION("""COMPUTED_VALUE"""),"Industry data / software authority")</f>
        <v>Industry data / software authority</v>
      </c>
      <c r="B315" s="186" t="str">
        <f>IFERROR(__xludf.DUMMYFUNCTION("""COMPUTED_VALUE"""),"https://agencies.semrush.com/list/analytics-data-science/australia/")</f>
        <v>https://agencies.semrush.com/list/analytics-data-science/australia/</v>
      </c>
      <c r="C315" s="185" t="str">
        <f>IFERROR(__xludf.DUMMYFUNCTION("""COMPUTED_VALUE"""),"Best Data Analytics Services in Australia 2026 | Semrush")</f>
        <v>Best Data Analytics Services in Australia 2026 | Semrush</v>
      </c>
      <c r="D315" s="185" t="str">
        <f>IFERROR(__xludf.DUMMYFUNCTION("""COMPUTED_VALUE"""),"AU")</f>
        <v>AU</v>
      </c>
      <c r="E315" s="185" t="str">
        <f>IFERROR(__xludf.DUMMYFUNCTION("""COMPUTED_VALUE"""),"semrush.com")</f>
        <v>semrush.com</v>
      </c>
      <c r="F315" s="185" t="str">
        <f>IFERROR(__xludf.DUMMYFUNCTION("""COMPUTED_VALUE"""),"Category Page")</f>
        <v>Category Page</v>
      </c>
      <c r="G315" s="185" t="str">
        <f>IFERROR(__xludf.DUMMYFUNCTION("""COMPUTED_VALUE"""),"CORPORATE")</f>
        <v>CORPORATE</v>
      </c>
      <c r="H315" s="185" t="str">
        <f>IFERROR(__xludf.DUMMYFUNCTION("""COMPUTED_VALUE"""),"No")</f>
        <v>No</v>
      </c>
      <c r="I315" s="185" t="str">
        <f>IFERROR(__xludf.DUMMYFUNCTION("""COMPUTED_VALUE"""),"Medium")</f>
        <v>Medium</v>
      </c>
      <c r="J315" s="185" t="str">
        <f>IFERROR(__xludf.DUMMYFUNCTION("""COMPUTED_VALUE"""),"Yes")</f>
        <v>Yes</v>
      </c>
      <c r="K315" s="185"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L315" s="187">
        <f>IFERROR(__xludf.DUMMYFUNCTION("""COMPUTED_VALUE"""),30.0)</f>
        <v>30</v>
      </c>
      <c r="M315" s="188">
        <f>IFERROR(__xludf.DUMMYFUNCTION("""COMPUTED_VALUE"""),0.03)</f>
        <v>0.03</v>
      </c>
      <c r="N315" s="188">
        <f>IFERROR(__xludf.DUMMYFUNCTION("""COMPUTED_VALUE"""),0.77)</f>
        <v>0.77</v>
      </c>
      <c r="O315" s="208"/>
      <c r="P315" s="208"/>
      <c r="Q315" s="208"/>
      <c r="R315" s="208"/>
    </row>
    <row r="316">
      <c r="A316" s="185" t="str">
        <f>IFERROR(__xludf.DUMMYFUNCTION("""COMPUTED_VALUE"""),"Agency directory / review marketplace")</f>
        <v>Agency directory / review marketplace</v>
      </c>
      <c r="B316" s="186" t="str">
        <f>IFERROR(__xludf.DUMMYFUNCTION("""COMPUTED_VALUE"""),"https://digitalagencynetwork.com/agencies/australia/geo/")</f>
        <v>https://digitalagencynetwork.com/agencies/australia/geo/</v>
      </c>
      <c r="C316" s="185" t="str">
        <f>IFERROR(__xludf.DUMMYFUNCTION("""COMPUTED_VALUE"""),"Top GEO Agencies in Australia for Generative Engine Optimization (2026)")</f>
        <v>Top GEO Agencies in Australia for Generative Engine Optimization (2026)</v>
      </c>
      <c r="D316" s="185" t="str">
        <f>IFERROR(__xludf.DUMMYFUNCTION("""COMPUTED_VALUE"""),"AU")</f>
        <v>AU</v>
      </c>
      <c r="E316" s="185" t="str">
        <f>IFERROR(__xludf.DUMMYFUNCTION("""COMPUTED_VALUE"""),"digitalagencynetwork.com")</f>
        <v>digitalagencynetwork.com</v>
      </c>
      <c r="F316" s="185" t="str">
        <f>IFERROR(__xludf.DUMMYFUNCTION("""COMPUTED_VALUE"""),"Profile")</f>
        <v>Profile</v>
      </c>
      <c r="G316" s="185" t="str">
        <f>IFERROR(__xludf.DUMMYFUNCTION("""COMPUTED_VALUE"""),"REFERENCE")</f>
        <v>REFERENCE</v>
      </c>
      <c r="H316" s="185" t="str">
        <f>IFERROR(__xludf.DUMMYFUNCTION("""COMPUTED_VALUE"""),"No")</f>
        <v>No</v>
      </c>
      <c r="I316" s="185" t="str">
        <f>IFERROR(__xludf.DUMMYFUNCTION("""COMPUTED_VALUE"""),"Medium")</f>
        <v>Medium</v>
      </c>
      <c r="J316" s="185" t="str">
        <f>IFERROR(__xludf.DUMMYFUNCTION("""COMPUTED_VALUE"""),"Yes")</f>
        <v>Yes</v>
      </c>
      <c r="K316" s="185" t="str">
        <f>IFERROR(__xludf.DUMMYFUNCTION("""COMPUTED_VALUE"""),"Luminary, Digital Nomads HQ, Clearwater Agency, In Marketing We Trust")</f>
        <v>Luminary, Digital Nomads HQ, Clearwater Agency, In Marketing We Trust</v>
      </c>
      <c r="L316" s="187">
        <f>IFERROR(__xludf.DUMMYFUNCTION("""COMPUTED_VALUE"""),28.0)</f>
        <v>28</v>
      </c>
      <c r="M316" s="188">
        <f>IFERROR(__xludf.DUMMYFUNCTION("""COMPUTED_VALUE"""),0.03)</f>
        <v>0.03</v>
      </c>
      <c r="N316" s="188">
        <f>IFERROR(__xludf.DUMMYFUNCTION("""COMPUTED_VALUE"""),1.32)</f>
        <v>1.32</v>
      </c>
      <c r="O316" s="208"/>
      <c r="P316" s="208"/>
      <c r="Q316" s="208"/>
      <c r="R316" s="208"/>
    </row>
    <row r="317">
      <c r="A317" s="185" t="str">
        <f>IFERROR(__xludf.DUMMYFUNCTION("""COMPUTED_VALUE"""),"Agency directory / review marketplace")</f>
        <v>Agency directory / review marketplace</v>
      </c>
      <c r="B317" s="186" t="str">
        <f>IFERROR(__xludf.DUMMYFUNCTION("""COMPUTED_VALUE"""),"https://www.sortlist.com/s/display-advertising/australia-au")</f>
        <v>https://www.sortlist.com/s/display-advertising/australia-au</v>
      </c>
      <c r="C317" s="185" t="str">
        <f>IFERROR(__xludf.DUMMYFUNCTION("""COMPUTED_VALUE"""),"The 10 Best Display Advertising Agencies in Australia - 2026 Reviews")</f>
        <v>The 10 Best Display Advertising Agencies in Australia - 2026 Reviews</v>
      </c>
      <c r="D317" s="185" t="str">
        <f>IFERROR(__xludf.DUMMYFUNCTION("""COMPUTED_VALUE"""),"AU")</f>
        <v>AU</v>
      </c>
      <c r="E317" s="185" t="str">
        <f>IFERROR(__xludf.DUMMYFUNCTION("""COMPUTED_VALUE"""),"sortlist.com")</f>
        <v>sortlist.com</v>
      </c>
      <c r="F317" s="185" t="str">
        <f>IFERROR(__xludf.DUMMYFUNCTION("""COMPUTED_VALUE"""),"Profile")</f>
        <v>Profile</v>
      </c>
      <c r="G317" s="185" t="str">
        <f>IFERROR(__xludf.DUMMYFUNCTION("""COMPUTED_VALUE"""),"CORPORATE")</f>
        <v>CORPORATE</v>
      </c>
      <c r="H317" s="185" t="str">
        <f>IFERROR(__xludf.DUMMYFUNCTION("""COMPUTED_VALUE"""),"No")</f>
        <v>No</v>
      </c>
      <c r="I317" s="185" t="str">
        <f>IFERROR(__xludf.DUMMYFUNCTION("""COMPUTED_VALUE"""),"Medium")</f>
        <v>Medium</v>
      </c>
      <c r="J317" s="185" t="str">
        <f>IFERROR(__xludf.DUMMYFUNCTION("""COMPUTED_VALUE"""),"Yes")</f>
        <v>Yes</v>
      </c>
      <c r="K317" s="185" t="str">
        <f>IFERROR(__xludf.DUMMYFUNCTION("""COMPUTED_VALUE"""),"Measured, Earned Media, Clearwater Agency, Impressive, Supple Digital, SIXGUN, Soup Agency, HERO, Digital Nomads HQ, Momentum, CUT THRU")</f>
        <v>Measured, Earned Media, Clearwater Agency, Impressive, Supple Digital, SIXGUN, Soup Agency, HERO, Digital Nomads HQ, Momentum, CUT THRU</v>
      </c>
      <c r="L317" s="187">
        <f>IFERROR(__xludf.DUMMYFUNCTION("""COMPUTED_VALUE"""),27.0)</f>
        <v>27</v>
      </c>
      <c r="M317" s="188">
        <f>IFERROR(__xludf.DUMMYFUNCTION("""COMPUTED_VALUE"""),0.03)</f>
        <v>0.03</v>
      </c>
      <c r="N317" s="188">
        <f>IFERROR(__xludf.DUMMYFUNCTION("""COMPUTED_VALUE"""),0.56)</f>
        <v>0.56</v>
      </c>
      <c r="O317" s="208"/>
      <c r="P317" s="208"/>
      <c r="Q317" s="208"/>
      <c r="R317" s="208"/>
    </row>
    <row r="318">
      <c r="A318" s="185" t="str">
        <f>IFERROR(__xludf.DUMMYFUNCTION("""COMPUTED_VALUE"""),"Agency directory / review marketplace")</f>
        <v>Agency directory / review marketplace</v>
      </c>
      <c r="B318" s="186" t="str">
        <f>IFERROR(__xludf.DUMMYFUNCTION("""COMPUTED_VALUE"""),"https://clutch.co/au/consulting/ai")</f>
        <v>https://clutch.co/au/consulting/ai</v>
      </c>
      <c r="C318" s="185" t="str">
        <f>IFERROR(__xludf.DUMMYFUNCTION("""COMPUTED_VALUE"""),"Top AI Consultants in Australia - Jul 2026 Rankings \| Clutch.co")</f>
        <v>Top AI Consultants in Australia - Jul 2026 Rankings \| Clutch.co</v>
      </c>
      <c r="D318" s="185" t="str">
        <f>IFERROR(__xludf.DUMMYFUNCTION("""COMPUTED_VALUE"""),"AU")</f>
        <v>AU</v>
      </c>
      <c r="E318" s="185" t="str">
        <f>IFERROR(__xludf.DUMMYFUNCTION("""COMPUTED_VALUE"""),"clutch.co")</f>
        <v>clutch.co</v>
      </c>
      <c r="F318" s="185" t="str">
        <f>IFERROR(__xludf.DUMMYFUNCTION("""COMPUTED_VALUE"""),"Category Page")</f>
        <v>Category Page</v>
      </c>
      <c r="G318" s="185" t="str">
        <f>IFERROR(__xludf.DUMMYFUNCTION("""COMPUTED_VALUE"""),"CORPORATE")</f>
        <v>CORPORATE</v>
      </c>
      <c r="H318" s="185" t="str">
        <f>IFERROR(__xludf.DUMMYFUNCTION("""COMPUTED_VALUE"""),"No")</f>
        <v>No</v>
      </c>
      <c r="I318" s="185" t="str">
        <f>IFERROR(__xludf.DUMMYFUNCTION("""COMPUTED_VALUE"""),"Medium")</f>
        <v>Medium</v>
      </c>
      <c r="J318" s="185" t="str">
        <f>IFERROR(__xludf.DUMMYFUNCTION("""COMPUTED_VALUE"""),"Yes")</f>
        <v>Yes</v>
      </c>
      <c r="K318" s="185" t="str">
        <f>IFERROR(__xludf.DUMMYFUNCTION("""COMPUTED_VALUE"""),"Luminary, Impressive, Huge, In Marketing We Trust, Team 400")</f>
        <v>Luminary, Impressive, Huge, In Marketing We Trust, Team 400</v>
      </c>
      <c r="L318" s="187">
        <f>IFERROR(__xludf.DUMMYFUNCTION("""COMPUTED_VALUE"""),25.0)</f>
        <v>25</v>
      </c>
      <c r="M318" s="188">
        <f>IFERROR(__xludf.DUMMYFUNCTION("""COMPUTED_VALUE"""),0.03)</f>
        <v>0.03</v>
      </c>
      <c r="N318" s="188">
        <f>IFERROR(__xludf.DUMMYFUNCTION("""COMPUTED_VALUE"""),0.12)</f>
        <v>0.12</v>
      </c>
      <c r="O318" s="208"/>
      <c r="P318" s="208"/>
      <c r="Q318" s="208"/>
      <c r="R318" s="208"/>
    </row>
    <row r="319">
      <c r="A319" s="185" t="str">
        <f>IFERROR(__xludf.DUMMYFUNCTION("""COMPUTED_VALUE"""),"Agency directory / review marketplace")</f>
        <v>Agency directory / review marketplace</v>
      </c>
      <c r="B319" s="186" t="str">
        <f>IFERROR(__xludf.DUMMYFUNCTION("""COMPUTED_VALUE"""),"https://digitalagencynetwork.com/agencies/australia/creative/")</f>
        <v>https://digitalagencynetwork.com/agencies/australia/creative/</v>
      </c>
      <c r="C319" s="185" t="str">
        <f>IFERROR(__xludf.DUMMYFUNCTION("""COMPUTED_VALUE"""),"Top Creative Agencies in Australia (2026)")</f>
        <v>Top Creative Agencies in Australia (2026)</v>
      </c>
      <c r="D319" s="185" t="str">
        <f>IFERROR(__xludf.DUMMYFUNCTION("""COMPUTED_VALUE"""),"AU")</f>
        <v>AU</v>
      </c>
      <c r="E319" s="185" t="str">
        <f>IFERROR(__xludf.DUMMYFUNCTION("""COMPUTED_VALUE"""),"digitalagencynetwork.com")</f>
        <v>digitalagencynetwork.com</v>
      </c>
      <c r="F319" s="185" t="str">
        <f>IFERROR(__xludf.DUMMYFUNCTION("""COMPUTED_VALUE"""),"Category Page")</f>
        <v>Category Page</v>
      </c>
      <c r="G319" s="185" t="str">
        <f>IFERROR(__xludf.DUMMYFUNCTION("""COMPUTED_VALUE"""),"REFERENCE")</f>
        <v>REFERENCE</v>
      </c>
      <c r="H319" s="185" t="str">
        <f>IFERROR(__xludf.DUMMYFUNCTION("""COMPUTED_VALUE"""),"No")</f>
        <v>No</v>
      </c>
      <c r="I319" s="185" t="str">
        <f>IFERROR(__xludf.DUMMYFUNCTION("""COMPUTED_VALUE"""),"Medium")</f>
        <v>Medium</v>
      </c>
      <c r="J319" s="185" t="str">
        <f>IFERROR(__xludf.DUMMYFUNCTION("""COMPUTED_VALUE"""),"Yes")</f>
        <v>Yes</v>
      </c>
      <c r="K319" s="185" t="str">
        <f>IFERROR(__xludf.DUMMYFUNCTION("""COMPUTED_VALUE"""),"Jaywing, Clearwater Agency, Emote Digital")</f>
        <v>Jaywing, Clearwater Agency, Emote Digital</v>
      </c>
      <c r="L319" s="187">
        <f>IFERROR(__xludf.DUMMYFUNCTION("""COMPUTED_VALUE"""),25.0)</f>
        <v>25</v>
      </c>
      <c r="M319" s="188">
        <f>IFERROR(__xludf.DUMMYFUNCTION("""COMPUTED_VALUE"""),0.03)</f>
        <v>0.03</v>
      </c>
      <c r="N319" s="188">
        <f>IFERROR(__xludf.DUMMYFUNCTION("""COMPUTED_VALUE"""),0.12)</f>
        <v>0.12</v>
      </c>
      <c r="O319" s="208"/>
      <c r="P319" s="208"/>
      <c r="Q319" s="208"/>
      <c r="R319" s="208"/>
    </row>
    <row r="320">
      <c r="A320" s="185" t="str">
        <f>IFERROR(__xludf.DUMMYFUNCTION("""COMPUTED_VALUE"""),"Agency directory / review marketplace")</f>
        <v>Agency directory / review marketplace</v>
      </c>
      <c r="B320" s="186" t="str">
        <f>IFERROR(__xludf.DUMMYFUNCTION("""COMPUTED_VALUE"""),"https://www.goodfirms.co/advertising-companies/creative/australia")</f>
        <v>https://www.goodfirms.co/advertising-companies/creative/australia</v>
      </c>
      <c r="C320" s="185" t="str">
        <f>IFERROR(__xludf.DUMMYFUNCTION("""COMPUTED_VALUE"""),"Top Creative Agencies in Australia - 2026 Reviews | Goodfirms")</f>
        <v>Top Creative Agencies in Australia - 2026 Reviews | Goodfirms</v>
      </c>
      <c r="D320" s="185" t="str">
        <f>IFERROR(__xludf.DUMMYFUNCTION("""COMPUTED_VALUE"""),"AU")</f>
        <v>AU</v>
      </c>
      <c r="E320" s="185" t="str">
        <f>IFERROR(__xludf.DUMMYFUNCTION("""COMPUTED_VALUE"""),"goodfirms.co")</f>
        <v>goodfirms.co</v>
      </c>
      <c r="F320" s="185" t="str">
        <f>IFERROR(__xludf.DUMMYFUNCTION("""COMPUTED_VALUE"""),"Category Page")</f>
        <v>Category Page</v>
      </c>
      <c r="G320" s="185" t="str">
        <f>IFERROR(__xludf.DUMMYFUNCTION("""COMPUTED_VALUE"""),"UGC")</f>
        <v>UGC</v>
      </c>
      <c r="H320" s="185" t="str">
        <f>IFERROR(__xludf.DUMMYFUNCTION("""COMPUTED_VALUE"""),"No")</f>
        <v>No</v>
      </c>
      <c r="I320" s="185" t="str">
        <f>IFERROR(__xludf.DUMMYFUNCTION("""COMPUTED_VALUE"""),"Medium")</f>
        <v>Medium</v>
      </c>
      <c r="J320" s="185" t="str">
        <f>IFERROR(__xludf.DUMMYFUNCTION("""COMPUTED_VALUE"""),"Yes")</f>
        <v>Yes</v>
      </c>
      <c r="K320" s="185" t="str">
        <f>IFERROR(__xludf.DUMMYFUNCTION("""COMPUTED_VALUE"""),"Uprise Digital, CUT THRU, BMF, Measured, Digital Movement")</f>
        <v>Uprise Digital, CUT THRU, BMF, Measured, Digital Movement</v>
      </c>
      <c r="L320" s="187">
        <f>IFERROR(__xludf.DUMMYFUNCTION("""COMPUTED_VALUE"""),25.0)</f>
        <v>25</v>
      </c>
      <c r="M320" s="188">
        <f>IFERROR(__xludf.DUMMYFUNCTION("""COMPUTED_VALUE"""),0.03)</f>
        <v>0.03</v>
      </c>
      <c r="N320" s="188">
        <f>IFERROR(__xludf.DUMMYFUNCTION("""COMPUTED_VALUE"""),0.16)</f>
        <v>0.16</v>
      </c>
      <c r="O320" s="208"/>
      <c r="P320" s="208"/>
      <c r="Q320" s="208"/>
      <c r="R320" s="208"/>
    </row>
    <row r="321">
      <c r="A321" s="185" t="str">
        <f>IFERROR(__xludf.DUMMYFUNCTION("""COMPUTED_VALUE"""),"Agency directory / review marketplace")</f>
        <v>Agency directory / review marketplace</v>
      </c>
      <c r="B321" s="186" t="str">
        <f>IFERROR(__xludf.DUMMYFUNCTION("""COMPUTED_VALUE"""),"https://www.designrush.com/agency/creative-agencies/au")</f>
        <v>https://www.designrush.com/agency/creative-agencies/au</v>
      </c>
      <c r="C321" s="185" t="str">
        <f>IFERROR(__xludf.DUMMYFUNCTION("""COMPUTED_VALUE"""),"Top Creative Agencies in Australia | 2026")</f>
        <v>Top Creative Agencies in Australia | 2026</v>
      </c>
      <c r="D321" s="185" t="str">
        <f>IFERROR(__xludf.DUMMYFUNCTION("""COMPUTED_VALUE"""),"AU")</f>
        <v>AU</v>
      </c>
      <c r="E321" s="185" t="str">
        <f>IFERROR(__xludf.DUMMYFUNCTION("""COMPUTED_VALUE"""),"designrush.com")</f>
        <v>designrush.com</v>
      </c>
      <c r="F321" s="185" t="str">
        <f>IFERROR(__xludf.DUMMYFUNCTION("""COMPUTED_VALUE"""),"Category Page")</f>
        <v>Category Page</v>
      </c>
      <c r="G321" s="185" t="str">
        <f>IFERROR(__xludf.DUMMYFUNCTION("""COMPUTED_VALUE"""),"CORPORATE")</f>
        <v>CORPORATE</v>
      </c>
      <c r="H321" s="185" t="str">
        <f>IFERROR(__xludf.DUMMYFUNCTION("""COMPUTED_VALUE"""),"No")</f>
        <v>No</v>
      </c>
      <c r="I321" s="185" t="str">
        <f>IFERROR(__xludf.DUMMYFUNCTION("""COMPUTED_VALUE"""),"Medium")</f>
        <v>Medium</v>
      </c>
      <c r="J321" s="185" t="str">
        <f>IFERROR(__xludf.DUMMYFUNCTION("""COMPUTED_VALUE"""),"Yes")</f>
        <v>Yes</v>
      </c>
      <c r="K321" s="185"/>
      <c r="L321" s="187">
        <f>IFERROR(__xludf.DUMMYFUNCTION("""COMPUTED_VALUE"""),24.0)</f>
        <v>24</v>
      </c>
      <c r="M321" s="188">
        <f>IFERROR(__xludf.DUMMYFUNCTION("""COMPUTED_VALUE"""),0.03)</f>
        <v>0.03</v>
      </c>
      <c r="N321" s="188">
        <f>IFERROR(__xludf.DUMMYFUNCTION("""COMPUTED_VALUE"""),0.33)</f>
        <v>0.33</v>
      </c>
      <c r="O321" s="208"/>
      <c r="P321" s="208"/>
      <c r="Q321" s="208"/>
      <c r="R321" s="208"/>
    </row>
    <row r="322">
      <c r="A322" s="185" t="str">
        <f>IFERROR(__xludf.DUMMYFUNCTION("""COMPUTED_VALUE"""),"Agency directory / review marketplace")</f>
        <v>Agency directory / review marketplace</v>
      </c>
      <c r="B322" s="186" t="str">
        <f>IFERROR(__xludf.DUMMYFUNCTION("""COMPUTED_VALUE"""),"https://clutch.co/au/agencies/media-buying")</f>
        <v>https://clutch.co/au/agencies/media-buying</v>
      </c>
      <c r="C322" s="185" t="str">
        <f>IFERROR(__xludf.DUMMYFUNCTION("""COMPUTED_VALUE"""),"Top Media Buying Agencies in Australia - Jul 2026 Rankings \| Clutch.co")</f>
        <v>Top Media Buying Agencies in Australia - Jul 2026 Rankings \| Clutch.co</v>
      </c>
      <c r="D322" s="185" t="str">
        <f>IFERROR(__xludf.DUMMYFUNCTION("""COMPUTED_VALUE"""),"AU")</f>
        <v>AU</v>
      </c>
      <c r="E322" s="185" t="str">
        <f>IFERROR(__xludf.DUMMYFUNCTION("""COMPUTED_VALUE"""),"clutch.co")</f>
        <v>clutch.co</v>
      </c>
      <c r="F322" s="185" t="str">
        <f>IFERROR(__xludf.DUMMYFUNCTION("""COMPUTED_VALUE"""),"Profile")</f>
        <v>Profile</v>
      </c>
      <c r="G322" s="185" t="str">
        <f>IFERROR(__xludf.DUMMYFUNCTION("""COMPUTED_VALUE"""),"CORPORATE")</f>
        <v>CORPORATE</v>
      </c>
      <c r="H322" s="185" t="str">
        <f>IFERROR(__xludf.DUMMYFUNCTION("""COMPUTED_VALUE"""),"No")</f>
        <v>No</v>
      </c>
      <c r="I322" s="185" t="str">
        <f>IFERROR(__xludf.DUMMYFUNCTION("""COMPUTED_VALUE"""),"Medium")</f>
        <v>Medium</v>
      </c>
      <c r="J322" s="185" t="str">
        <f>IFERROR(__xludf.DUMMYFUNCTION("""COMPUTED_VALUE"""),"Yes")</f>
        <v>Yes</v>
      </c>
      <c r="K322" s="185" t="str">
        <f>IFERROR(__xludf.DUMMYFUNCTION("""COMPUTED_VALUE"""),"Soup Agency, DNM Digital, Bench Media, Impressive, MK Media")</f>
        <v>Soup Agency, DNM Digital, Bench Media, Impressive, MK Media</v>
      </c>
      <c r="L322" s="187">
        <f>IFERROR(__xludf.DUMMYFUNCTION("""COMPUTED_VALUE"""),23.0)</f>
        <v>23</v>
      </c>
      <c r="M322" s="188">
        <f>IFERROR(__xludf.DUMMYFUNCTION("""COMPUTED_VALUE"""),0.02)</f>
        <v>0.02</v>
      </c>
      <c r="N322" s="188">
        <f>IFERROR(__xludf.DUMMYFUNCTION("""COMPUTED_VALUE"""),0.39)</f>
        <v>0.39</v>
      </c>
      <c r="O322" s="208"/>
      <c r="P322" s="208"/>
      <c r="Q322" s="208"/>
      <c r="R322" s="208"/>
    </row>
    <row r="323">
      <c r="A323" s="185" t="str">
        <f>IFERROR(__xludf.DUMMYFUNCTION("""COMPUTED_VALUE"""),"Agency directory / review marketplace")</f>
        <v>Agency directory / review marketplace</v>
      </c>
      <c r="B323" s="186" t="str">
        <f>IFERROR(__xludf.DUMMYFUNCTION("""COMPUTED_VALUE"""),"https://digitalagencynetwork.com/agencies/australia/social-media-marketing/")</f>
        <v>https://digitalagencynetwork.com/agencies/australia/social-media-marketing/</v>
      </c>
      <c r="C323" s="185" t="str">
        <f>IFERROR(__xludf.DUMMYFUNCTION("""COMPUTED_VALUE"""),"Best Social Media Marketing Agencies in Australia | Digital Agency Network")</f>
        <v>Best Social Media Marketing Agencies in Australia | Digital Agency Network</v>
      </c>
      <c r="D323" s="185" t="str">
        <f>IFERROR(__xludf.DUMMYFUNCTION("""COMPUTED_VALUE"""),"AU")</f>
        <v>AU</v>
      </c>
      <c r="E323" s="185" t="str">
        <f>IFERROR(__xludf.DUMMYFUNCTION("""COMPUTED_VALUE"""),"digitalagencynetwork.com")</f>
        <v>digitalagencynetwork.com</v>
      </c>
      <c r="F323" s="185" t="str">
        <f>IFERROR(__xludf.DUMMYFUNCTION("""COMPUTED_VALUE"""),"Category Page")</f>
        <v>Category Page</v>
      </c>
      <c r="G323" s="185" t="str">
        <f>IFERROR(__xludf.DUMMYFUNCTION("""COMPUTED_VALUE"""),"REFERENCE")</f>
        <v>REFERENCE</v>
      </c>
      <c r="H323" s="185" t="str">
        <f>IFERROR(__xludf.DUMMYFUNCTION("""COMPUTED_VALUE"""),"No")</f>
        <v>No</v>
      </c>
      <c r="I323" s="185" t="str">
        <f>IFERROR(__xludf.DUMMYFUNCTION("""COMPUTED_VALUE"""),"Medium")</f>
        <v>Medium</v>
      </c>
      <c r="J323" s="185" t="str">
        <f>IFERROR(__xludf.DUMMYFUNCTION("""COMPUTED_VALUE"""),"Yes")</f>
        <v>Yes</v>
      </c>
      <c r="K323" s="185" t="str">
        <f>IFERROR(__xludf.DUMMYFUNCTION("""COMPUTED_VALUE"""),"Emote Digital, Clearwater Agency, Supple Digital, Soup Agency, Digital Nomads HQ, Impressive, Momentum, Measured, Human Digital")</f>
        <v>Emote Digital, Clearwater Agency, Supple Digital, Soup Agency, Digital Nomads HQ, Impressive, Momentum, Measured, Human Digital</v>
      </c>
      <c r="L323" s="187">
        <f>IFERROR(__xludf.DUMMYFUNCTION("""COMPUTED_VALUE"""),23.0)</f>
        <v>23</v>
      </c>
      <c r="M323" s="188">
        <f>IFERROR(__xludf.DUMMYFUNCTION("""COMPUTED_VALUE"""),0.02)</f>
        <v>0.02</v>
      </c>
      <c r="N323" s="188">
        <f>IFERROR(__xludf.DUMMYFUNCTION("""COMPUTED_VALUE"""),0.04)</f>
        <v>0.04</v>
      </c>
      <c r="O323" s="208"/>
      <c r="P323" s="208"/>
      <c r="Q323" s="208"/>
      <c r="R323" s="208"/>
    </row>
    <row r="324">
      <c r="A324" s="185" t="str">
        <f>IFERROR(__xludf.DUMMYFUNCTION("""COMPUTED_VALUE"""),"Agency directory / review marketplace")</f>
        <v>Agency directory / review marketplace</v>
      </c>
      <c r="B324" s="186" t="str">
        <f>IFERROR(__xludf.DUMMYFUNCTION("""COMPUTED_VALUE"""),"https://digitalagencynetwork.com/agencies/sydney/geo/")</f>
        <v>https://digitalagencynetwork.com/agencies/sydney/geo/</v>
      </c>
      <c r="C324" s="185" t="str">
        <f>IFERROR(__xludf.DUMMYFUNCTION("""COMPUTED_VALUE"""),"Top GEO Agencies in Sydney for Generative Engine Optimization (2026)")</f>
        <v>Top GEO Agencies in Sydney for Generative Engine Optimization (2026)</v>
      </c>
      <c r="D324" s="185" t="str">
        <f>IFERROR(__xludf.DUMMYFUNCTION("""COMPUTED_VALUE"""),"AU")</f>
        <v>AU</v>
      </c>
      <c r="E324" s="185" t="str">
        <f>IFERROR(__xludf.DUMMYFUNCTION("""COMPUTED_VALUE"""),"digitalagencynetwork.com")</f>
        <v>digitalagencynetwork.com</v>
      </c>
      <c r="F324" s="185" t="str">
        <f>IFERROR(__xludf.DUMMYFUNCTION("""COMPUTED_VALUE"""),"Profile")</f>
        <v>Profile</v>
      </c>
      <c r="G324" s="185" t="str">
        <f>IFERROR(__xludf.DUMMYFUNCTION("""COMPUTED_VALUE"""),"REFERENCE")</f>
        <v>REFERENCE</v>
      </c>
      <c r="H324" s="185" t="str">
        <f>IFERROR(__xludf.DUMMYFUNCTION("""COMPUTED_VALUE"""),"No")</f>
        <v>No</v>
      </c>
      <c r="I324" s="185" t="str">
        <f>IFERROR(__xludf.DUMMYFUNCTION("""COMPUTED_VALUE"""),"Medium")</f>
        <v>Medium</v>
      </c>
      <c r="J324" s="185" t="str">
        <f>IFERROR(__xludf.DUMMYFUNCTION("""COMPUTED_VALUE"""),"Yes")</f>
        <v>Yes</v>
      </c>
      <c r="K324" s="185" t="str">
        <f>IFERROR(__xludf.DUMMYFUNCTION("""COMPUTED_VALUE"""),"Luminary, Digital Nomads HQ, In Marketing We Trust")</f>
        <v>Luminary, Digital Nomads HQ, In Marketing We Trust</v>
      </c>
      <c r="L324" s="187">
        <f>IFERROR(__xludf.DUMMYFUNCTION("""COMPUTED_VALUE"""),23.0)</f>
        <v>23</v>
      </c>
      <c r="M324" s="188">
        <f>IFERROR(__xludf.DUMMYFUNCTION("""COMPUTED_VALUE"""),0.02)</f>
        <v>0.02</v>
      </c>
      <c r="N324" s="188">
        <f>IFERROR(__xludf.DUMMYFUNCTION("""COMPUTED_VALUE"""),0.22)</f>
        <v>0.22</v>
      </c>
      <c r="O324" s="208"/>
      <c r="P324" s="208"/>
      <c r="Q324" s="208"/>
      <c r="R324" s="208"/>
    </row>
    <row r="325">
      <c r="A325" s="185" t="str">
        <f>IFERROR(__xludf.DUMMYFUNCTION("""COMPUTED_VALUE"""),"Agency directory / review marketplace")</f>
        <v>Agency directory / review marketplace</v>
      </c>
      <c r="B325" s="186" t="str">
        <f>IFERROR(__xludf.DUMMYFUNCTION("""COMPUTED_VALUE"""),"https://clutch.co/au/agencies/ppc/advertising-industry")</f>
        <v>https://clutch.co/au/agencies/ppc/advertising-industry</v>
      </c>
      <c r="C325" s="185" t="str">
        <f>IFERROR(__xludf.DUMMYFUNCTION("""COMPUTED_VALUE"""),"Top PPC Agencies for Ad Agencies in Australia - Jul 2026 Rankings | Clutch.co")</f>
        <v>Top PPC Agencies for Ad Agencies in Australia - Jul 2026 Rankings | Clutch.co</v>
      </c>
      <c r="D325" s="185" t="str">
        <f>IFERROR(__xludf.DUMMYFUNCTION("""COMPUTED_VALUE"""),"AU")</f>
        <v>AU</v>
      </c>
      <c r="E325" s="185" t="str">
        <f>IFERROR(__xludf.DUMMYFUNCTION("""COMPUTED_VALUE"""),"clutch.co")</f>
        <v>clutch.co</v>
      </c>
      <c r="F325" s="185" t="str">
        <f>IFERROR(__xludf.DUMMYFUNCTION("""COMPUTED_VALUE"""),"Category Page")</f>
        <v>Category Page</v>
      </c>
      <c r="G325" s="185" t="str">
        <f>IFERROR(__xludf.DUMMYFUNCTION("""COMPUTED_VALUE"""),"CORPORATE")</f>
        <v>CORPORATE</v>
      </c>
      <c r="H325" s="185" t="str">
        <f>IFERROR(__xludf.DUMMYFUNCTION("""COMPUTED_VALUE"""),"No")</f>
        <v>No</v>
      </c>
      <c r="I325" s="185" t="str">
        <f>IFERROR(__xludf.DUMMYFUNCTION("""COMPUTED_VALUE"""),"Medium")</f>
        <v>Medium</v>
      </c>
      <c r="J325" s="185" t="str">
        <f>IFERROR(__xludf.DUMMYFUNCTION("""COMPUTED_VALUE"""),"Yes")</f>
        <v>Yes</v>
      </c>
      <c r="K325" s="185" t="str">
        <f>IFERROR(__xludf.DUMMYFUNCTION("""COMPUTED_VALUE"""),"Soup Agency, Impressive, Alley Group, Rocket Agency, DNM Digital, Megaphone, Online Marketing Gurus, Omnicom Media Group")</f>
        <v>Soup Agency, Impressive, Alley Group, Rocket Agency, DNM Digital, Megaphone, Online Marketing Gurus, Omnicom Media Group</v>
      </c>
      <c r="L325" s="187">
        <f>IFERROR(__xludf.DUMMYFUNCTION("""COMPUTED_VALUE"""),21.0)</f>
        <v>21</v>
      </c>
      <c r="M325" s="188">
        <f>IFERROR(__xludf.DUMMYFUNCTION("""COMPUTED_VALUE"""),0.02)</f>
        <v>0.02</v>
      </c>
      <c r="N325" s="188">
        <f>IFERROR(__xludf.DUMMYFUNCTION("""COMPUTED_VALUE"""),0.24)</f>
        <v>0.24</v>
      </c>
      <c r="O325" s="208"/>
      <c r="P325" s="208"/>
      <c r="Q325" s="208"/>
      <c r="R325" s="208"/>
    </row>
    <row r="326">
      <c r="A326" s="185" t="str">
        <f>IFERROR(__xludf.DUMMYFUNCTION("""COMPUTED_VALUE"""),"Agency directory / review marketplace")</f>
        <v>Agency directory / review marketplace</v>
      </c>
      <c r="B326" s="186" t="str">
        <f>IFERROR(__xludf.DUMMYFUNCTION("""COMPUTED_VALUE"""),"https://www.sortlist.com/s/paid-media/sydney-au")</f>
        <v>https://www.sortlist.com/s/paid-media/sydney-au</v>
      </c>
      <c r="C326" s="185" t="str">
        <f>IFERROR(__xludf.DUMMYFUNCTION("""COMPUTED_VALUE"""),"The 10 Best Paid Media Agencies in Sydney - 2026 Reviews")</f>
        <v>The 10 Best Paid Media Agencies in Sydney - 2026 Reviews</v>
      </c>
      <c r="D326" s="185" t="str">
        <f>IFERROR(__xludf.DUMMYFUNCTION("""COMPUTED_VALUE"""),"AU")</f>
        <v>AU</v>
      </c>
      <c r="E326" s="185" t="str">
        <f>IFERROR(__xludf.DUMMYFUNCTION("""COMPUTED_VALUE"""),"sortlist.com")</f>
        <v>sortlist.com</v>
      </c>
      <c r="F326" s="185" t="str">
        <f>IFERROR(__xludf.DUMMYFUNCTION("""COMPUTED_VALUE"""),"Category Page")</f>
        <v>Category Page</v>
      </c>
      <c r="G326" s="185" t="str">
        <f>IFERROR(__xludf.DUMMYFUNCTION("""COMPUTED_VALUE"""),"CORPORATE")</f>
        <v>CORPORATE</v>
      </c>
      <c r="H326" s="185" t="str">
        <f>IFERROR(__xludf.DUMMYFUNCTION("""COMPUTED_VALUE"""),"No")</f>
        <v>No</v>
      </c>
      <c r="I326" s="185" t="str">
        <f>IFERROR(__xludf.DUMMYFUNCTION("""COMPUTED_VALUE"""),"Medium")</f>
        <v>Medium</v>
      </c>
      <c r="J326" s="185" t="str">
        <f>IFERROR(__xludf.DUMMYFUNCTION("""COMPUTED_VALUE"""),"Yes")</f>
        <v>Yes</v>
      </c>
      <c r="K326" s="185" t="str">
        <f>IFERROR(__xludf.DUMMYFUNCTION("""COMPUTED_VALUE"""),"Impressive, Supple Digital, Measured, Earned Media, Clearwater Agency, SIXGUN, Ninja Promo, Momentum, Soup Agency, HERO, Digital Nomads HQ")</f>
        <v>Impressive, Supple Digital, Measured, Earned Media, Clearwater Agency, SIXGUN, Ninja Promo, Momentum, Soup Agency, HERO, Digital Nomads HQ</v>
      </c>
      <c r="L326" s="187">
        <f>IFERROR(__xludf.DUMMYFUNCTION("""COMPUTED_VALUE"""),20.0)</f>
        <v>20</v>
      </c>
      <c r="M326" s="188">
        <f>IFERROR(__xludf.DUMMYFUNCTION("""COMPUTED_VALUE"""),0.02)</f>
        <v>0.02</v>
      </c>
      <c r="N326" s="188">
        <f>IFERROR(__xludf.DUMMYFUNCTION("""COMPUTED_VALUE"""),0.55)</f>
        <v>0.55</v>
      </c>
      <c r="O326" s="208"/>
      <c r="P326" s="208"/>
      <c r="Q326" s="208"/>
      <c r="R326" s="208"/>
    </row>
    <row r="327">
      <c r="A327" s="185" t="str">
        <f>IFERROR(__xludf.DUMMYFUNCTION("""COMPUTED_VALUE"""),"Agency directory / review marketplace")</f>
        <v>Agency directory / review marketplace</v>
      </c>
      <c r="B327" s="186" t="str">
        <f>IFERROR(__xludf.DUMMYFUNCTION("""COMPUTED_VALUE"""),"https://www.sortlist.com/s/performance-marketing/australia-au")</f>
        <v>https://www.sortlist.com/s/performance-marketing/australia-au</v>
      </c>
      <c r="C327" s="185" t="str">
        <f>IFERROR(__xludf.DUMMYFUNCTION("""COMPUTED_VALUE"""),"The 10 Best Performance Marketing Agencies in Australia - 2026 Reviews")</f>
        <v>The 10 Best Performance Marketing Agencies in Australia - 2026 Reviews</v>
      </c>
      <c r="D327" s="185" t="str">
        <f>IFERROR(__xludf.DUMMYFUNCTION("""COMPUTED_VALUE"""),"AU")</f>
        <v>AU</v>
      </c>
      <c r="E327" s="185" t="str">
        <f>IFERROR(__xludf.DUMMYFUNCTION("""COMPUTED_VALUE"""),"sortlist.com")</f>
        <v>sortlist.com</v>
      </c>
      <c r="F327" s="185" t="str">
        <f>IFERROR(__xludf.DUMMYFUNCTION("""COMPUTED_VALUE"""),"Category Page")</f>
        <v>Category Page</v>
      </c>
      <c r="G327" s="185" t="str">
        <f>IFERROR(__xludf.DUMMYFUNCTION("""COMPUTED_VALUE"""),"CORPORATE")</f>
        <v>CORPORATE</v>
      </c>
      <c r="H327" s="185" t="str">
        <f>IFERROR(__xludf.DUMMYFUNCTION("""COMPUTED_VALUE"""),"No")</f>
        <v>No</v>
      </c>
      <c r="I327" s="185" t="str">
        <f>IFERROR(__xludf.DUMMYFUNCTION("""COMPUTED_VALUE"""),"Medium")</f>
        <v>Medium</v>
      </c>
      <c r="J327" s="185" t="str">
        <f>IFERROR(__xludf.DUMMYFUNCTION("""COMPUTED_VALUE"""),"Yes")</f>
        <v>Yes</v>
      </c>
      <c r="K327" s="185" t="str">
        <f>IFERROR(__xludf.DUMMYFUNCTION("""COMPUTED_VALUE"""),"Measured, Earned Media, Clearwater Agency, Impressive, Supple Digital, SIXGUN, Digital Nomads HQ, Soup Agency, HERO, Momentum, CUT THRU")</f>
        <v>Measured, Earned Media, Clearwater Agency, Impressive, Supple Digital, SIXGUN, Digital Nomads HQ, Soup Agency, HERO, Momentum, CUT THRU</v>
      </c>
      <c r="L327" s="187">
        <f>IFERROR(__xludf.DUMMYFUNCTION("""COMPUTED_VALUE"""),20.0)</f>
        <v>20</v>
      </c>
      <c r="M327" s="188">
        <f>IFERROR(__xludf.DUMMYFUNCTION("""COMPUTED_VALUE"""),0.02)</f>
        <v>0.02</v>
      </c>
      <c r="N327" s="188">
        <f>IFERROR(__xludf.DUMMYFUNCTION("""COMPUTED_VALUE"""),0.95)</f>
        <v>0.95</v>
      </c>
      <c r="O327" s="208"/>
      <c r="P327" s="208"/>
      <c r="Q327" s="208"/>
      <c r="R327" s="208"/>
    </row>
    <row r="328">
      <c r="A328" s="185" t="str">
        <f>IFERROR(__xludf.DUMMYFUNCTION("""COMPUTED_VALUE"""),"Agency directory / review marketplace")</f>
        <v>Agency directory / review marketplace</v>
      </c>
      <c r="B328" s="186" t="str">
        <f>IFERROR(__xludf.DUMMYFUNCTION("""COMPUTED_VALUE"""),"https://clutch.co/au/agencies/social-media-marketing/facebook")</f>
        <v>https://clutch.co/au/agencies/social-media-marketing/facebook</v>
      </c>
      <c r="C328" s="185" t="str">
        <f>IFERROR(__xludf.DUMMYFUNCTION("""COMPUTED_VALUE"""),"Top Facebook Advertising Agencies in Australia - Jul 2026 Rankings | Clutch.co")</f>
        <v>Top Facebook Advertising Agencies in Australia - Jul 2026 Rankings | Clutch.co</v>
      </c>
      <c r="D328" s="185" t="str">
        <f>IFERROR(__xludf.DUMMYFUNCTION("""COMPUTED_VALUE"""),"AU")</f>
        <v>AU</v>
      </c>
      <c r="E328" s="185" t="str">
        <f>IFERROR(__xludf.DUMMYFUNCTION("""COMPUTED_VALUE"""),"clutch.co")</f>
        <v>clutch.co</v>
      </c>
      <c r="F328" s="185" t="str">
        <f>IFERROR(__xludf.DUMMYFUNCTION("""COMPUTED_VALUE"""),"Category Page")</f>
        <v>Category Page</v>
      </c>
      <c r="G328" s="185" t="str">
        <f>IFERROR(__xludf.DUMMYFUNCTION("""COMPUTED_VALUE"""),"CORPORATE")</f>
        <v>CORPORATE</v>
      </c>
      <c r="H328" s="185" t="str">
        <f>IFERROR(__xludf.DUMMYFUNCTION("""COMPUTED_VALUE"""),"No")</f>
        <v>No</v>
      </c>
      <c r="I328" s="185" t="str">
        <f>IFERROR(__xludf.DUMMYFUNCTION("""COMPUTED_VALUE"""),"Medium")</f>
        <v>Medium</v>
      </c>
      <c r="J328" s="185" t="str">
        <f>IFERROR(__xludf.DUMMYFUNCTION("""COMPUTED_VALUE"""),"Yes")</f>
        <v>Yes</v>
      </c>
      <c r="K328" s="185" t="str">
        <f>IFERROR(__xludf.DUMMYFUNCTION("""COMPUTED_VALUE"""),"Digital Nomads HQ, SIXGUN, Intesols, Impressive, Farsiight, Soup Agency, Emote Digital, Human Digital, Salt &amp; Fuessel, EvenDigit, Rocket Agency, Clearwater Agency, DNM Digital, Edge Marketing, Megaphone, Online Marketing Gurus, Omnicom Media Group, Parado"&amp;"x Marketing, Bench Media, Insil")</f>
        <v>Digital Nomads HQ, SIXGUN, Intesols, Impressive, Farsiight, Soup Agency, Emote Digital, Human Digital, Salt &amp; Fuessel, EvenDigit, Rocket Agency, Clearwater Agency, DNM Digital, Edge Marketing, Megaphone, Online Marketing Gurus, Omnicom Media Group, Paradox Marketing, Bench Media, Insil</v>
      </c>
      <c r="L328" s="187">
        <f>IFERROR(__xludf.DUMMYFUNCTION("""COMPUTED_VALUE"""),18.0)</f>
        <v>18</v>
      </c>
      <c r="M328" s="188">
        <f>IFERROR(__xludf.DUMMYFUNCTION("""COMPUTED_VALUE"""),0.02)</f>
        <v>0.02</v>
      </c>
      <c r="N328" s="188">
        <f>IFERROR(__xludf.DUMMYFUNCTION("""COMPUTED_VALUE"""),0.06)</f>
        <v>0.06</v>
      </c>
      <c r="O328" s="208"/>
      <c r="P328" s="208"/>
      <c r="Q328" s="208"/>
      <c r="R328" s="208"/>
    </row>
    <row r="329">
      <c r="A329" s="185" t="str">
        <f>IFERROR(__xludf.DUMMYFUNCTION("""COMPUTED_VALUE"""),"Lower-priority competitor/vendor roundup")</f>
        <v>Lower-priority competitor/vendor roundup</v>
      </c>
      <c r="B329" s="186" t="str">
        <f>IFERROR(__xludf.DUMMYFUNCTION("""COMPUTED_VALUE"""),"https://www.cometly.com/post/marketing-incrementality-testing-tools")</f>
        <v>https://www.cometly.com/post/marketing-incrementality-testing-tools</v>
      </c>
      <c r="C329" s="185" t="str">
        <f>IFERROR(__xludf.DUMMYFUNCTION("""COMPUTED_VALUE"""),"9 Best Marketing Incrementality Testing Tools 2026")</f>
        <v>9 Best Marketing Incrementality Testing Tools 2026</v>
      </c>
      <c r="D329" s="185" t="str">
        <f>IFERROR(__xludf.DUMMYFUNCTION("""COMPUTED_VALUE"""),"AU")</f>
        <v>AU</v>
      </c>
      <c r="E329" s="185" t="str">
        <f>IFERROR(__xludf.DUMMYFUNCTION("""COMPUTED_VALUE"""),"cometly.com")</f>
        <v>cometly.com</v>
      </c>
      <c r="F329" s="185" t="str">
        <f>IFERROR(__xludf.DUMMYFUNCTION("""COMPUTED_VALUE"""),"Listicle")</f>
        <v>Listicle</v>
      </c>
      <c r="G329" s="185" t="str">
        <f>IFERROR(__xludf.DUMMYFUNCTION("""COMPUTED_VALUE"""),"CORPORATE")</f>
        <v>CORPORATE</v>
      </c>
      <c r="H329" s="185" t="str">
        <f>IFERROR(__xludf.DUMMYFUNCTION("""COMPUTED_VALUE"""),"No")</f>
        <v>No</v>
      </c>
      <c r="I329" s="185" t="str">
        <f>IFERROR(__xludf.DUMMYFUNCTION("""COMPUTED_VALUE"""),"Low")</f>
        <v>Low</v>
      </c>
      <c r="J329" s="185" t="str">
        <f>IFERROR(__xludf.DUMMYFUNCTION("""COMPUTED_VALUE"""),"Secondary")</f>
        <v>Secondary</v>
      </c>
      <c r="K329" s="185" t="str">
        <f>IFERROR(__xludf.DUMMYFUNCTION("""COMPUTED_VALUE"""),"Measured, Lifesight, Haus")</f>
        <v>Measured, Lifesight, Haus</v>
      </c>
      <c r="L329" s="187">
        <f>IFERROR(__xludf.DUMMYFUNCTION("""COMPUTED_VALUE"""),18.0)</f>
        <v>18</v>
      </c>
      <c r="M329" s="188">
        <f>IFERROR(__xludf.DUMMYFUNCTION("""COMPUTED_VALUE"""),0.02)</f>
        <v>0.02</v>
      </c>
      <c r="N329" s="188">
        <f>IFERROR(__xludf.DUMMYFUNCTION("""COMPUTED_VALUE"""),0.67)</f>
        <v>0.67</v>
      </c>
      <c r="O329" s="208"/>
      <c r="P329" s="208"/>
      <c r="Q329" s="208"/>
      <c r="R329" s="208"/>
    </row>
    <row r="330">
      <c r="A330" s="185" t="str">
        <f>IFERROR(__xludf.DUMMYFUNCTION("""COMPUTED_VALUE"""),"Agency directory / review marketplace")</f>
        <v>Agency directory / review marketplace</v>
      </c>
      <c r="B330" s="186" t="str">
        <f>IFERROR(__xludf.DUMMYFUNCTION("""COMPUTED_VALUE"""),"https://www.sortlist.com/s/creative/australia-au")</f>
        <v>https://www.sortlist.com/s/creative/australia-au</v>
      </c>
      <c r="C330" s="185" t="str">
        <f>IFERROR(__xludf.DUMMYFUNCTION("""COMPUTED_VALUE"""),"The 10 Best Creative Agencies in Australia - 2026 Reviews")</f>
        <v>The 10 Best Creative Agencies in Australia - 2026 Reviews</v>
      </c>
      <c r="D330" s="185" t="str">
        <f>IFERROR(__xludf.DUMMYFUNCTION("""COMPUTED_VALUE"""),"AU")</f>
        <v>AU</v>
      </c>
      <c r="E330" s="185" t="str">
        <f>IFERROR(__xludf.DUMMYFUNCTION("""COMPUTED_VALUE"""),"sortlist.com")</f>
        <v>sortlist.com</v>
      </c>
      <c r="F330" s="185" t="str">
        <f>IFERROR(__xludf.DUMMYFUNCTION("""COMPUTED_VALUE"""),"Profile")</f>
        <v>Profile</v>
      </c>
      <c r="G330" s="185" t="str">
        <f>IFERROR(__xludf.DUMMYFUNCTION("""COMPUTED_VALUE"""),"CORPORATE")</f>
        <v>CORPORATE</v>
      </c>
      <c r="H330" s="185" t="str">
        <f>IFERROR(__xludf.DUMMYFUNCTION("""COMPUTED_VALUE"""),"No")</f>
        <v>No</v>
      </c>
      <c r="I330" s="185" t="str">
        <f>IFERROR(__xludf.DUMMYFUNCTION("""COMPUTED_VALUE"""),"Medium")</f>
        <v>Medium</v>
      </c>
      <c r="J330" s="185" t="str">
        <f>IFERROR(__xludf.DUMMYFUNCTION("""COMPUTED_VALUE"""),"Yes")</f>
        <v>Yes</v>
      </c>
      <c r="K330" s="185" t="str">
        <f>IFERROR(__xludf.DUMMYFUNCTION("""COMPUTED_VALUE"""),"Momentum, Impressive, Ninja Promo")</f>
        <v>Momentum, Impressive, Ninja Promo</v>
      </c>
      <c r="L330" s="187">
        <f>IFERROR(__xludf.DUMMYFUNCTION("""COMPUTED_VALUE"""),18.0)</f>
        <v>18</v>
      </c>
      <c r="M330" s="188">
        <f>IFERROR(__xludf.DUMMYFUNCTION("""COMPUTED_VALUE"""),0.02)</f>
        <v>0.02</v>
      </c>
      <c r="N330" s="188">
        <f>IFERROR(__xludf.DUMMYFUNCTION("""COMPUTED_VALUE"""),0.0)</f>
        <v>0</v>
      </c>
      <c r="O330" s="208"/>
      <c r="P330" s="208"/>
      <c r="Q330" s="208"/>
      <c r="R330" s="208"/>
    </row>
    <row r="331">
      <c r="A331" s="185" t="str">
        <f>IFERROR(__xludf.DUMMYFUNCTION("""COMPUTED_VALUE"""),"Agency directory / review marketplace")</f>
        <v>Agency directory / review marketplace</v>
      </c>
      <c r="B331" s="186" t="str">
        <f>IFERROR(__xludf.DUMMYFUNCTION("""COMPUTED_VALUE"""),"https://www.sortlist.com/s/performance-marketing/melbourne-au")</f>
        <v>https://www.sortlist.com/s/performance-marketing/melbourne-au</v>
      </c>
      <c r="C331" s="185" t="str">
        <f>IFERROR(__xludf.DUMMYFUNCTION("""COMPUTED_VALUE"""),"The 10 Best Performance Marketing Agencies in Melbourne - 2026 Reviews")</f>
        <v>The 10 Best Performance Marketing Agencies in Melbourne - 2026 Reviews</v>
      </c>
      <c r="D331" s="185" t="str">
        <f>IFERROR(__xludf.DUMMYFUNCTION("""COMPUTED_VALUE"""),"AU")</f>
        <v>AU</v>
      </c>
      <c r="E331" s="185" t="str">
        <f>IFERROR(__xludf.DUMMYFUNCTION("""COMPUTED_VALUE"""),"sortlist.com")</f>
        <v>sortlist.com</v>
      </c>
      <c r="F331" s="185" t="str">
        <f>IFERROR(__xludf.DUMMYFUNCTION("""COMPUTED_VALUE"""),"Category Page")</f>
        <v>Category Page</v>
      </c>
      <c r="G331" s="185" t="str">
        <f>IFERROR(__xludf.DUMMYFUNCTION("""COMPUTED_VALUE"""),"CORPORATE")</f>
        <v>CORPORATE</v>
      </c>
      <c r="H331" s="185" t="str">
        <f>IFERROR(__xludf.DUMMYFUNCTION("""COMPUTED_VALUE"""),"No")</f>
        <v>No</v>
      </c>
      <c r="I331" s="185" t="str">
        <f>IFERROR(__xludf.DUMMYFUNCTION("""COMPUTED_VALUE"""),"Medium")</f>
        <v>Medium</v>
      </c>
      <c r="J331" s="185" t="str">
        <f>IFERROR(__xludf.DUMMYFUNCTION("""COMPUTED_VALUE"""),"Yes")</f>
        <v>Yes</v>
      </c>
      <c r="K331" s="185" t="str">
        <f>IFERROR(__xludf.DUMMYFUNCTION("""COMPUTED_VALUE"""),"Measured, Earned Media, Clearwater Agency, SIXGUN, Impressive, Supple Digital, Momentum, Adcore Elite, 80/20 Digital, Deloitte")</f>
        <v>Measured, Earned Media, Clearwater Agency, SIXGUN, Impressive, Supple Digital, Momentum, Adcore Elite, 80/20 Digital, Deloitte</v>
      </c>
      <c r="L331" s="187">
        <f>IFERROR(__xludf.DUMMYFUNCTION("""COMPUTED_VALUE"""),18.0)</f>
        <v>18</v>
      </c>
      <c r="M331" s="188">
        <f>IFERROR(__xludf.DUMMYFUNCTION("""COMPUTED_VALUE"""),0.02)</f>
        <v>0.02</v>
      </c>
      <c r="N331" s="188">
        <f>IFERROR(__xludf.DUMMYFUNCTION("""COMPUTED_VALUE"""),0.72)</f>
        <v>0.72</v>
      </c>
      <c r="O331" s="208"/>
      <c r="P331" s="208"/>
      <c r="Q331" s="208"/>
      <c r="R331" s="208"/>
    </row>
    <row r="332">
      <c r="A332" s="185" t="str">
        <f>IFERROR(__xludf.DUMMYFUNCTION("""COMPUTED_VALUE"""),"Official partner / certification ecosystem")</f>
        <v>Official partner / certification ecosystem</v>
      </c>
      <c r="B332" s="186" t="str">
        <f>IFERROR(__xludf.DUMMYFUNCTION("""COMPUTED_VALUE"""),"https://support.google.com/tagmanager/answer/7237700?hl=en-au")</f>
        <v>https://support.google.com/tagmanager/answer/7237700?hl=en-au</v>
      </c>
      <c r="C332" s="185" t="str">
        <f>IFERROR(__xludf.DUMMYFUNCTION("""COMPUTED_VALUE"""),"Google Marketing Platform Partners - Tag Manager Help")</f>
        <v>Google Marketing Platform Partners - Tag Manager Help</v>
      </c>
      <c r="D332" s="185" t="str">
        <f>IFERROR(__xludf.DUMMYFUNCTION("""COMPUTED_VALUE"""),"AU")</f>
        <v>AU</v>
      </c>
      <c r="E332" s="185" t="str">
        <f>IFERROR(__xludf.DUMMYFUNCTION("""COMPUTED_VALUE"""),"google.com")</f>
        <v>google.com</v>
      </c>
      <c r="F332" s="185" t="str">
        <f>IFERROR(__xludf.DUMMYFUNCTION("""COMPUTED_VALUE"""),"Other")</f>
        <v>Other</v>
      </c>
      <c r="G332" s="185" t="str">
        <f>IFERROR(__xludf.DUMMYFUNCTION("""COMPUTED_VALUE"""),"OTHER")</f>
        <v>OTHER</v>
      </c>
      <c r="H332" s="185" t="str">
        <f>IFERROR(__xludf.DUMMYFUNCTION("""COMPUTED_VALUE"""),"No")</f>
        <v>No</v>
      </c>
      <c r="I332" s="185" t="str">
        <f>IFERROR(__xludf.DUMMYFUNCTION("""COMPUTED_VALUE"""),"High")</f>
        <v>High</v>
      </c>
      <c r="J332" s="185" t="str">
        <f>IFERROR(__xludf.DUMMYFUNCTION("""COMPUTED_VALUE"""),"Yes - priority")</f>
        <v>Yes - priority</v>
      </c>
      <c r="K332" s="185"/>
      <c r="L332" s="187">
        <f>IFERROR(__xludf.DUMMYFUNCTION("""COMPUTED_VALUE"""),18.0)</f>
        <v>18</v>
      </c>
      <c r="M332" s="188">
        <f>IFERROR(__xludf.DUMMYFUNCTION("""COMPUTED_VALUE"""),0.02)</f>
        <v>0.02</v>
      </c>
      <c r="N332" s="188">
        <f>IFERROR(__xludf.DUMMYFUNCTION("""COMPUTED_VALUE"""),1.17)</f>
        <v>1.17</v>
      </c>
      <c r="O332" s="208"/>
      <c r="P332" s="208"/>
      <c r="Q332" s="208"/>
      <c r="R332" s="208"/>
    </row>
    <row r="333">
      <c r="A333" s="185" t="str">
        <f>IFERROR(__xludf.DUMMYFUNCTION("""COMPUTED_VALUE"""),"Industry data / software authority")</f>
        <v>Industry data / software authority</v>
      </c>
      <c r="B333" s="186" t="str">
        <f>IFERROR(__xludf.DUMMYFUNCTION("""COMPUTED_VALUE"""),"https://agencies.semrush.com/list/ai-optimization/australia/small-business/")</f>
        <v>https://agencies.semrush.com/list/ai-optimization/australia/small-business/</v>
      </c>
      <c r="C333" s="185" t="str">
        <f>IFERROR(__xludf.DUMMYFUNCTION("""COMPUTED_VALUE"""),"Best AI Search Optimization Agencies for Small Business in Australia 2026 | Semrush")</f>
        <v>Best AI Search Optimization Agencies for Small Business in Australia 2026 | Semrush</v>
      </c>
      <c r="D333" s="185" t="str">
        <f>IFERROR(__xludf.DUMMYFUNCTION("""COMPUTED_VALUE"""),"AU")</f>
        <v>AU</v>
      </c>
      <c r="E333" s="185" t="str">
        <f>IFERROR(__xludf.DUMMYFUNCTION("""COMPUTED_VALUE"""),"semrush.com")</f>
        <v>semrush.com</v>
      </c>
      <c r="F333" s="185" t="str">
        <f>IFERROR(__xludf.DUMMYFUNCTION("""COMPUTED_VALUE"""),"Category Page")</f>
        <v>Category Page</v>
      </c>
      <c r="G333" s="185" t="str">
        <f>IFERROR(__xludf.DUMMYFUNCTION("""COMPUTED_VALUE"""),"CORPORATE")</f>
        <v>CORPORATE</v>
      </c>
      <c r="H333" s="185" t="str">
        <f>IFERROR(__xludf.DUMMYFUNCTION("""COMPUTED_VALUE"""),"No")</f>
        <v>No</v>
      </c>
      <c r="I333" s="185" t="str">
        <f>IFERROR(__xludf.DUMMYFUNCTION("""COMPUTED_VALUE"""),"Medium")</f>
        <v>Medium</v>
      </c>
      <c r="J333" s="185" t="str">
        <f>IFERROR(__xludf.DUMMYFUNCTION("""COMPUTED_VALUE"""),"Yes")</f>
        <v>Yes</v>
      </c>
      <c r="K333" s="185" t="str">
        <f>IFERROR(__xludf.DUMMYFUNCTION("""COMPUTED_VALUE"""),"DNM Digital, First Page, Clearwater Agency, Measured, Earned Media, Online Marketing Gurus, Omnicom Media Group, Huge")</f>
        <v>DNM Digital, First Page, Clearwater Agency, Measured, Earned Media, Online Marketing Gurus, Omnicom Media Group, Huge</v>
      </c>
      <c r="L333" s="187">
        <f>IFERROR(__xludf.DUMMYFUNCTION("""COMPUTED_VALUE"""),17.0)</f>
        <v>17</v>
      </c>
      <c r="M333" s="188">
        <f>IFERROR(__xludf.DUMMYFUNCTION("""COMPUTED_VALUE"""),0.02)</f>
        <v>0.02</v>
      </c>
      <c r="N333" s="188">
        <f>IFERROR(__xludf.DUMMYFUNCTION("""COMPUTED_VALUE"""),0.18)</f>
        <v>0.18</v>
      </c>
      <c r="O333" s="208"/>
      <c r="P333" s="208"/>
      <c r="Q333" s="208"/>
      <c r="R333" s="208"/>
    </row>
    <row r="334">
      <c r="A334" s="185" t="str">
        <f>IFERROR(__xludf.DUMMYFUNCTION("""COMPUTED_VALUE"""),"Agency directory / review marketplace")</f>
        <v>Agency directory / review marketplace</v>
      </c>
      <c r="B334" s="186" t="str">
        <f>IFERROR(__xludf.DUMMYFUNCTION("""COMPUTED_VALUE"""),"https://www.sortlist.com/s/marketing-analytics/australia-au")</f>
        <v>https://www.sortlist.com/s/marketing-analytics/australia-au</v>
      </c>
      <c r="C334" s="185" t="str">
        <f>IFERROR(__xludf.DUMMYFUNCTION("""COMPUTED_VALUE"""),"The 10 Best Marketing Analytics Companies in Australia - 2026 Reviews")</f>
        <v>The 10 Best Marketing Analytics Companies in Australia - 2026 Reviews</v>
      </c>
      <c r="D334" s="185" t="str">
        <f>IFERROR(__xludf.DUMMYFUNCTION("""COMPUTED_VALUE"""),"AU")</f>
        <v>AU</v>
      </c>
      <c r="E334" s="185" t="str">
        <f>IFERROR(__xludf.DUMMYFUNCTION("""COMPUTED_VALUE"""),"sortlist.com")</f>
        <v>sortlist.com</v>
      </c>
      <c r="F334" s="185" t="str">
        <f>IFERROR(__xludf.DUMMYFUNCTION("""COMPUTED_VALUE"""),"Category Page")</f>
        <v>Category Page</v>
      </c>
      <c r="G334" s="185" t="str">
        <f>IFERROR(__xludf.DUMMYFUNCTION("""COMPUTED_VALUE"""),"CORPORATE")</f>
        <v>CORPORATE</v>
      </c>
      <c r="H334" s="185" t="str">
        <f>IFERROR(__xludf.DUMMYFUNCTION("""COMPUTED_VALUE"""),"No")</f>
        <v>No</v>
      </c>
      <c r="I334" s="185" t="str">
        <f>IFERROR(__xludf.DUMMYFUNCTION("""COMPUTED_VALUE"""),"Medium")</f>
        <v>Medium</v>
      </c>
      <c r="J334" s="185" t="str">
        <f>IFERROR(__xludf.DUMMYFUNCTION("""COMPUTED_VALUE"""),"Yes")</f>
        <v>Yes</v>
      </c>
      <c r="K334" s="185" t="str">
        <f>IFERROR(__xludf.DUMMYFUNCTION("""COMPUTED_VALUE"""),"Digital Nomads HQ, Momentum, Soup Agency, HERO, SIXGUN, Impressive, Intelligent Resourcing, Ninja Promo")</f>
        <v>Digital Nomads HQ, Momentum, Soup Agency, HERO, SIXGUN, Impressive, Intelligent Resourcing, Ninja Promo</v>
      </c>
      <c r="L334" s="187">
        <f>IFERROR(__xludf.DUMMYFUNCTION("""COMPUTED_VALUE"""),17.0)</f>
        <v>17</v>
      </c>
      <c r="M334" s="188">
        <f>IFERROR(__xludf.DUMMYFUNCTION("""COMPUTED_VALUE"""),0.02)</f>
        <v>0.02</v>
      </c>
      <c r="N334" s="188">
        <f>IFERROR(__xludf.DUMMYFUNCTION("""COMPUTED_VALUE"""),0.65)</f>
        <v>0.65</v>
      </c>
      <c r="O334" s="208"/>
      <c r="P334" s="208"/>
      <c r="Q334" s="208"/>
      <c r="R334" s="208"/>
    </row>
    <row r="335">
      <c r="A335" s="185" t="str">
        <f>IFERROR(__xludf.DUMMYFUNCTION("""COMPUTED_VALUE"""),"Agency directory / review marketplace")</f>
        <v>Agency directory / review marketplace</v>
      </c>
      <c r="B335" s="186" t="str">
        <f>IFERROR(__xludf.DUMMYFUNCTION("""COMPUTED_VALUE"""),"https://www.designrush.com/agency/ad-agencies/au")</f>
        <v>https://www.designrush.com/agency/ad-agencies/au</v>
      </c>
      <c r="C335" s="185" t="str">
        <f>IFERROR(__xludf.DUMMYFUNCTION("""COMPUTED_VALUE"""),"Top Australia Advertising Agencies | 2026")</f>
        <v>Top Australia Advertising Agencies | 2026</v>
      </c>
      <c r="D335" s="185" t="str">
        <f>IFERROR(__xludf.DUMMYFUNCTION("""COMPUTED_VALUE"""),"AU")</f>
        <v>AU</v>
      </c>
      <c r="E335" s="185" t="str">
        <f>IFERROR(__xludf.DUMMYFUNCTION("""COMPUTED_VALUE"""),"designrush.com")</f>
        <v>designrush.com</v>
      </c>
      <c r="F335" s="185" t="str">
        <f>IFERROR(__xludf.DUMMYFUNCTION("""COMPUTED_VALUE"""),"Category Page")</f>
        <v>Category Page</v>
      </c>
      <c r="G335" s="185" t="str">
        <f>IFERROR(__xludf.DUMMYFUNCTION("""COMPUTED_VALUE"""),"CORPORATE")</f>
        <v>CORPORATE</v>
      </c>
      <c r="H335" s="185" t="str">
        <f>IFERROR(__xludf.DUMMYFUNCTION("""COMPUTED_VALUE"""),"No")</f>
        <v>No</v>
      </c>
      <c r="I335" s="185" t="str">
        <f>IFERROR(__xludf.DUMMYFUNCTION("""COMPUTED_VALUE"""),"Medium")</f>
        <v>Medium</v>
      </c>
      <c r="J335" s="185" t="str">
        <f>IFERROR(__xludf.DUMMYFUNCTION("""COMPUTED_VALUE"""),"Yes")</f>
        <v>Yes</v>
      </c>
      <c r="K335" s="185" t="str">
        <f>IFERROR(__xludf.DUMMYFUNCTION("""COMPUTED_VALUE"""),"Growth Digital, Soup Agency")</f>
        <v>Growth Digital, Soup Agency</v>
      </c>
      <c r="L335" s="187">
        <f>IFERROR(__xludf.DUMMYFUNCTION("""COMPUTED_VALUE"""),16.0)</f>
        <v>16</v>
      </c>
      <c r="M335" s="188">
        <f>IFERROR(__xludf.DUMMYFUNCTION("""COMPUTED_VALUE"""),0.02)</f>
        <v>0.02</v>
      </c>
      <c r="N335" s="188">
        <f>IFERROR(__xludf.DUMMYFUNCTION("""COMPUTED_VALUE"""),0.0)</f>
        <v>0</v>
      </c>
      <c r="O335" s="208"/>
      <c r="P335" s="208"/>
      <c r="Q335" s="208"/>
      <c r="R335" s="208"/>
    </row>
    <row r="336">
      <c r="A336" s="185" t="str">
        <f>IFERROR(__xludf.DUMMYFUNCTION("""COMPUTED_VALUE"""),"Industry data / software authority")</f>
        <v>Industry data / software authority</v>
      </c>
      <c r="B336" s="186" t="str">
        <f>IFERROR(__xludf.DUMMYFUNCTION("""COMPUTED_VALUE"""),"https://agencies.semrush.com/list/machine-learning-and-ai/australia/")</f>
        <v>https://agencies.semrush.com/list/machine-learning-and-ai/australia/</v>
      </c>
      <c r="C336" s="185" t="str">
        <f>IFERROR(__xludf.DUMMYFUNCTION("""COMPUTED_VALUE"""),"Best Machine Learning and AI Services in Australia 2026 | Semrush")</f>
        <v>Best Machine Learning and AI Services in Australia 2026 | Semrush</v>
      </c>
      <c r="D336" s="185" t="str">
        <f>IFERROR(__xludf.DUMMYFUNCTION("""COMPUTED_VALUE"""),"AU")</f>
        <v>AU</v>
      </c>
      <c r="E336" s="185" t="str">
        <f>IFERROR(__xludf.DUMMYFUNCTION("""COMPUTED_VALUE"""),"semrush.com")</f>
        <v>semrush.com</v>
      </c>
      <c r="F336" s="185" t="str">
        <f>IFERROR(__xludf.DUMMYFUNCTION("""COMPUTED_VALUE"""),"Category Page")</f>
        <v>Category Page</v>
      </c>
      <c r="G336" s="185" t="str">
        <f>IFERROR(__xludf.DUMMYFUNCTION("""COMPUTED_VALUE"""),"CORPORATE")</f>
        <v>CORPORATE</v>
      </c>
      <c r="H336" s="185" t="str">
        <f>IFERROR(__xludf.DUMMYFUNCTION("""COMPUTED_VALUE"""),"No")</f>
        <v>No</v>
      </c>
      <c r="I336" s="185" t="str">
        <f>IFERROR(__xludf.DUMMYFUNCTION("""COMPUTED_VALUE"""),"Medium")</f>
        <v>Medium</v>
      </c>
      <c r="J336" s="185" t="str">
        <f>IFERROR(__xludf.DUMMYFUNCTION("""COMPUTED_VALUE"""),"Yes")</f>
        <v>Yes</v>
      </c>
      <c r="K336" s="185" t="str">
        <f>IFERROR(__xludf.DUMMYFUNCTION("""COMPUTED_VALUE"""),"Soup Agency, First Page, Clearwater Agency, Measured, Earned Media, Impressive, Online Marketing Gurus, Omnicom Media Group, 80/20 Digital")</f>
        <v>Soup Agency, First Page, Clearwater Agency, Measured, Earned Media, Impressive, Online Marketing Gurus, Omnicom Media Group, 80/20 Digital</v>
      </c>
      <c r="L336" s="187">
        <f>IFERROR(__xludf.DUMMYFUNCTION("""COMPUTED_VALUE"""),15.0)</f>
        <v>15</v>
      </c>
      <c r="M336" s="188">
        <f>IFERROR(__xludf.DUMMYFUNCTION("""COMPUTED_VALUE"""),0.02)</f>
        <v>0.02</v>
      </c>
      <c r="N336" s="188">
        <f>IFERROR(__xludf.DUMMYFUNCTION("""COMPUTED_VALUE"""),0.0)</f>
        <v>0</v>
      </c>
      <c r="O336" s="208"/>
      <c r="P336" s="208"/>
      <c r="Q336" s="208"/>
      <c r="R336" s="208"/>
    </row>
    <row r="337">
      <c r="A337" s="185" t="str">
        <f>IFERROR(__xludf.DUMMYFUNCTION("""COMPUTED_VALUE"""),"Agency directory / review marketplace")</f>
        <v>Agency directory / review marketplace</v>
      </c>
      <c r="B337" s="186" t="str">
        <f>IFERROR(__xludf.DUMMYFUNCTION("""COMPUTED_VALUE"""),"https://clutch.co/au/agencies/ppc/google-adwords")</f>
        <v>https://clutch.co/au/agencies/ppc/google-adwords</v>
      </c>
      <c r="C337" s="185" t="str">
        <f>IFERROR(__xludf.DUMMYFUNCTION("""COMPUTED_VALUE"""),"Top Google Ads PPC Agencies in Australia - Jul 2026 Rankings \| Clutch.co")</f>
        <v>Top Google Ads PPC Agencies in Australia - Jul 2026 Rankings \| Clutch.co</v>
      </c>
      <c r="D337" s="185" t="str">
        <f>IFERROR(__xludf.DUMMYFUNCTION("""COMPUTED_VALUE"""),"AU")</f>
        <v>AU</v>
      </c>
      <c r="E337" s="185" t="str">
        <f>IFERROR(__xludf.DUMMYFUNCTION("""COMPUTED_VALUE"""),"clutch.co")</f>
        <v>clutch.co</v>
      </c>
      <c r="F337" s="185" t="str">
        <f>IFERROR(__xludf.DUMMYFUNCTION("""COMPUTED_VALUE"""),"Category Page")</f>
        <v>Category Page</v>
      </c>
      <c r="G337" s="185" t="str">
        <f>IFERROR(__xludf.DUMMYFUNCTION("""COMPUTED_VALUE"""),"CORPORATE")</f>
        <v>CORPORATE</v>
      </c>
      <c r="H337" s="185" t="str">
        <f>IFERROR(__xludf.DUMMYFUNCTION("""COMPUTED_VALUE"""),"No")</f>
        <v>No</v>
      </c>
      <c r="I337" s="185" t="str">
        <f>IFERROR(__xludf.DUMMYFUNCTION("""COMPUTED_VALUE"""),"Medium")</f>
        <v>Medium</v>
      </c>
      <c r="J337" s="185" t="str">
        <f>IFERROR(__xludf.DUMMYFUNCTION("""COMPUTED_VALUE"""),"Yes")</f>
        <v>Yes</v>
      </c>
      <c r="K337" s="185" t="str">
        <f>IFERROR(__xludf.DUMMYFUNCTION("""COMPUTED_VALUE"""),"Digital Nomads HQ, SIXGUN, Human Digital, Farsiight, Intesols, MyWork, Soup Agency, 80/20 Digital, Impressive, Salt &amp; Fuessel, Emote Digital, Supple Digital, EvenDigit, Rocket Agency, Clearwater Agency, DNM Digital, Megaphone, Momentum")</f>
        <v>Digital Nomads HQ, SIXGUN, Human Digital, Farsiight, Intesols, MyWork, Soup Agency, 80/20 Digital, Impressive, Salt &amp; Fuessel, Emote Digital, Supple Digital, EvenDigit, Rocket Agency, Clearwater Agency, DNM Digital, Megaphone, Momentum</v>
      </c>
      <c r="L337" s="187">
        <f>IFERROR(__xludf.DUMMYFUNCTION("""COMPUTED_VALUE"""),14.0)</f>
        <v>14</v>
      </c>
      <c r="M337" s="188">
        <f>IFERROR(__xludf.DUMMYFUNCTION("""COMPUTED_VALUE"""),0.01)</f>
        <v>0.01</v>
      </c>
      <c r="N337" s="188">
        <f>IFERROR(__xludf.DUMMYFUNCTION("""COMPUTED_VALUE"""),0.21)</f>
        <v>0.21</v>
      </c>
      <c r="O337" s="208"/>
      <c r="P337" s="208"/>
      <c r="Q337" s="208"/>
      <c r="R337" s="208"/>
    </row>
    <row r="338">
      <c r="A338" s="185" t="str">
        <f>IFERROR(__xludf.DUMMYFUNCTION("""COMPUTED_VALUE"""),"Official partner / certification ecosystem")</f>
        <v>Official partner / certification ecosystem</v>
      </c>
      <c r="B338" s="186" t="str">
        <f>IFERROR(__xludf.DUMMYFUNCTION("""COMPUTED_VALUE"""),"https://partnersdirectory.withgoogle.com/")</f>
        <v>https://partnersdirectory.withgoogle.com/</v>
      </c>
      <c r="C338" s="185" t="str">
        <f>IFERROR(__xludf.DUMMYFUNCTION("""COMPUTED_VALUE"""),"Google Partners Directory - Find a Partner for Business Growth")</f>
        <v>Google Partners Directory - Find a Partner for Business Growth</v>
      </c>
      <c r="D338" s="185" t="str">
        <f>IFERROR(__xludf.DUMMYFUNCTION("""COMPUTED_VALUE"""),"AU")</f>
        <v>AU</v>
      </c>
      <c r="E338" s="185" t="str">
        <f>IFERROR(__xludf.DUMMYFUNCTION("""COMPUTED_VALUE"""),"withgoogle.com")</f>
        <v>withgoogle.com</v>
      </c>
      <c r="F338" s="185" t="str">
        <f>IFERROR(__xludf.DUMMYFUNCTION("""COMPUTED_VALUE"""),"Homepage")</f>
        <v>Homepage</v>
      </c>
      <c r="G338" s="185" t="str">
        <f>IFERROR(__xludf.DUMMYFUNCTION("""COMPUTED_VALUE"""),"CORPORATE")</f>
        <v>CORPORATE</v>
      </c>
      <c r="H338" s="185" t="str">
        <f>IFERROR(__xludf.DUMMYFUNCTION("""COMPUTED_VALUE"""),"No")</f>
        <v>No</v>
      </c>
      <c r="I338" s="185" t="str">
        <f>IFERROR(__xludf.DUMMYFUNCTION("""COMPUTED_VALUE"""),"High")</f>
        <v>High</v>
      </c>
      <c r="J338" s="185" t="str">
        <f>IFERROR(__xludf.DUMMYFUNCTION("""COMPUTED_VALUE"""),"Yes - priority")</f>
        <v>Yes - priority</v>
      </c>
      <c r="K338" s="185" t="str">
        <f>IFERROR(__xludf.DUMMYFUNCTION("""COMPUTED_VALUE"""),"HERO, Acadia")</f>
        <v>HERO, Acadia</v>
      </c>
      <c r="L338" s="187">
        <f>IFERROR(__xludf.DUMMYFUNCTION("""COMPUTED_VALUE"""),14.0)</f>
        <v>14</v>
      </c>
      <c r="M338" s="188">
        <f>IFERROR(__xludf.DUMMYFUNCTION("""COMPUTED_VALUE"""),0.01)</f>
        <v>0.01</v>
      </c>
      <c r="N338" s="188">
        <f>IFERROR(__xludf.DUMMYFUNCTION("""COMPUTED_VALUE"""),0.5)</f>
        <v>0.5</v>
      </c>
      <c r="O338" s="208"/>
      <c r="P338" s="208"/>
      <c r="Q338" s="208"/>
      <c r="R338" s="208"/>
    </row>
    <row r="339">
      <c r="A339" s="185" t="str">
        <f>IFERROR(__xludf.DUMMYFUNCTION("""COMPUTED_VALUE"""),"Agency directory / review marketplace")</f>
        <v>Agency directory / review marketplace</v>
      </c>
      <c r="B339" s="186" t="str">
        <f>IFERROR(__xludf.DUMMYFUNCTION("""COMPUTED_VALUE"""),"https://themanifest.com/au/creative/agencies")</f>
        <v>https://themanifest.com/au/creative/agencies</v>
      </c>
      <c r="C339" s="185" t="str">
        <f>IFERROR(__xludf.DUMMYFUNCTION("""COMPUTED_VALUE"""),"The Best Creative Companies in Australia - Jul 2026 | The Manifest")</f>
        <v>The Best Creative Companies in Australia - Jul 2026 | The Manifest</v>
      </c>
      <c r="D339" s="185" t="str">
        <f>IFERROR(__xludf.DUMMYFUNCTION("""COMPUTED_VALUE"""),"AU")</f>
        <v>AU</v>
      </c>
      <c r="E339" s="185" t="str">
        <f>IFERROR(__xludf.DUMMYFUNCTION("""COMPUTED_VALUE"""),"themanifest.com")</f>
        <v>themanifest.com</v>
      </c>
      <c r="F339" s="185" t="str">
        <f>IFERROR(__xludf.DUMMYFUNCTION("""COMPUTED_VALUE"""),"Category Page")</f>
        <v>Category Page</v>
      </c>
      <c r="G339" s="185" t="str">
        <f>IFERROR(__xludf.DUMMYFUNCTION("""COMPUTED_VALUE"""),"REFERENCE")</f>
        <v>REFERENCE</v>
      </c>
      <c r="H339" s="185" t="str">
        <f>IFERROR(__xludf.DUMMYFUNCTION("""COMPUTED_VALUE"""),"No")</f>
        <v>No</v>
      </c>
      <c r="I339" s="185" t="str">
        <f>IFERROR(__xludf.DUMMYFUNCTION("""COMPUTED_VALUE"""),"Medium")</f>
        <v>Medium</v>
      </c>
      <c r="J339" s="185" t="str">
        <f>IFERROR(__xludf.DUMMYFUNCTION("""COMPUTED_VALUE"""),"Yes")</f>
        <v>Yes</v>
      </c>
      <c r="K339" s="185" t="str">
        <f>IFERROR(__xludf.DUMMYFUNCTION("""COMPUTED_VALUE"""),"Chello, Human Digital")</f>
        <v>Chello, Human Digital</v>
      </c>
      <c r="L339" s="187">
        <f>IFERROR(__xludf.DUMMYFUNCTION("""COMPUTED_VALUE"""),14.0)</f>
        <v>14</v>
      </c>
      <c r="M339" s="188">
        <f>IFERROR(__xludf.DUMMYFUNCTION("""COMPUTED_VALUE"""),0.01)</f>
        <v>0.01</v>
      </c>
      <c r="N339" s="188">
        <f>IFERROR(__xludf.DUMMYFUNCTION("""COMPUTED_VALUE"""),0.36)</f>
        <v>0.36</v>
      </c>
      <c r="O339" s="208"/>
      <c r="P339" s="208"/>
      <c r="Q339" s="208"/>
      <c r="R339" s="208"/>
    </row>
    <row r="340">
      <c r="A340" s="185" t="str">
        <f>IFERROR(__xludf.DUMMYFUNCTION("""COMPUTED_VALUE"""),"Agency directory / review marketplace")</f>
        <v>Agency directory / review marketplace</v>
      </c>
      <c r="B340" s="186" t="str">
        <f>IFERROR(__xludf.DUMMYFUNCTION("""COMPUTED_VALUE"""),"https://www.10seos.com/au/display-advertising-companies-in-australia?page=4")</f>
        <v>https://www.10seos.com/au/display-advertising-companies-in-australia?page=4</v>
      </c>
      <c r="C340" s="185" t="str">
        <f>IFERROR(__xludf.DUMMYFUNCTION("""COMPUTED_VALUE"""),"Top 10 Display Advertising Companies For Best Services-Australia | July 2026")</f>
        <v>Top 10 Display Advertising Companies For Best Services-Australia | July 2026</v>
      </c>
      <c r="D340" s="185" t="str">
        <f>IFERROR(__xludf.DUMMYFUNCTION("""COMPUTED_VALUE"""),"AU")</f>
        <v>AU</v>
      </c>
      <c r="E340" s="185" t="str">
        <f>IFERROR(__xludf.DUMMYFUNCTION("""COMPUTED_VALUE"""),"10seos.com")</f>
        <v>10seos.com</v>
      </c>
      <c r="F340" s="185" t="str">
        <f>IFERROR(__xludf.DUMMYFUNCTION("""COMPUTED_VALUE"""),"Other")</f>
        <v>Other</v>
      </c>
      <c r="G340" s="185" t="str">
        <f>IFERROR(__xludf.DUMMYFUNCTION("""COMPUTED_VALUE"""),"REFERENCE")</f>
        <v>REFERENCE</v>
      </c>
      <c r="H340" s="185" t="str">
        <f>IFERROR(__xludf.DUMMYFUNCTION("""COMPUTED_VALUE"""),"No")</f>
        <v>No</v>
      </c>
      <c r="I340" s="185" t="str">
        <f>IFERROR(__xludf.DUMMYFUNCTION("""COMPUTED_VALUE"""),"Medium")</f>
        <v>Medium</v>
      </c>
      <c r="J340" s="185" t="str">
        <f>IFERROR(__xludf.DUMMYFUNCTION("""COMPUTED_VALUE"""),"Yes")</f>
        <v>Yes</v>
      </c>
      <c r="K340" s="185"/>
      <c r="L340" s="187">
        <f>IFERROR(__xludf.DUMMYFUNCTION("""COMPUTED_VALUE"""),13.0)</f>
        <v>13</v>
      </c>
      <c r="M340" s="188">
        <f>IFERROR(__xludf.DUMMYFUNCTION("""COMPUTED_VALUE"""),0.01)</f>
        <v>0.01</v>
      </c>
      <c r="N340" s="188">
        <f>IFERROR(__xludf.DUMMYFUNCTION("""COMPUTED_VALUE"""),0.0)</f>
        <v>0</v>
      </c>
      <c r="O340" s="208"/>
      <c r="P340" s="208"/>
      <c r="Q340" s="208"/>
      <c r="R340" s="208"/>
    </row>
    <row r="341">
      <c r="A341" s="185" t="str">
        <f>IFERROR(__xludf.DUMMYFUNCTION("""COMPUTED_VALUE"""),"Agency directory / review marketplace")</f>
        <v>Agency directory / review marketplace</v>
      </c>
      <c r="B341" s="186" t="str">
        <f>IFERROR(__xludf.DUMMYFUNCTION("""COMPUTED_VALUE"""),"https://clutch.co/au/consulting/ai/strategy")</f>
        <v>https://clutch.co/au/consulting/ai/strategy</v>
      </c>
      <c r="C341" s="185" t="str">
        <f>IFERROR(__xludf.DUMMYFUNCTION("""COMPUTED_VALUE"""),"Top AI Strategy Companies in Australia - Jul 2026 Rankings \| Clutch.co")</f>
        <v>Top AI Strategy Companies in Australia - Jul 2026 Rankings \| Clutch.co</v>
      </c>
      <c r="D341" s="185" t="str">
        <f>IFERROR(__xludf.DUMMYFUNCTION("""COMPUTED_VALUE"""),"AU")</f>
        <v>AU</v>
      </c>
      <c r="E341" s="185" t="str">
        <f>IFERROR(__xludf.DUMMYFUNCTION("""COMPUTED_VALUE"""),"clutch.co")</f>
        <v>clutch.co</v>
      </c>
      <c r="F341" s="185" t="str">
        <f>IFERROR(__xludf.DUMMYFUNCTION("""COMPUTED_VALUE"""),"Profile")</f>
        <v>Profile</v>
      </c>
      <c r="G341" s="185" t="str">
        <f>IFERROR(__xludf.DUMMYFUNCTION("""COMPUTED_VALUE"""),"CORPORATE")</f>
        <v>CORPORATE</v>
      </c>
      <c r="H341" s="185" t="str">
        <f>IFERROR(__xludf.DUMMYFUNCTION("""COMPUTED_VALUE"""),"No")</f>
        <v>No</v>
      </c>
      <c r="I341" s="185" t="str">
        <f>IFERROR(__xludf.DUMMYFUNCTION("""COMPUTED_VALUE"""),"Medium")</f>
        <v>Medium</v>
      </c>
      <c r="J341" s="185" t="str">
        <f>IFERROR(__xludf.DUMMYFUNCTION("""COMPUTED_VALUE"""),"Yes")</f>
        <v>Yes</v>
      </c>
      <c r="K341" s="185" t="str">
        <f>IFERROR(__xludf.DUMMYFUNCTION("""COMPUTED_VALUE"""),"In Marketing We Trust, Impressive, Team 400")</f>
        <v>In Marketing We Trust, Impressive, Team 400</v>
      </c>
      <c r="L341" s="187">
        <f>IFERROR(__xludf.DUMMYFUNCTION("""COMPUTED_VALUE"""),13.0)</f>
        <v>13</v>
      </c>
      <c r="M341" s="188">
        <f>IFERROR(__xludf.DUMMYFUNCTION("""COMPUTED_VALUE"""),0.01)</f>
        <v>0.01</v>
      </c>
      <c r="N341" s="188">
        <f>IFERROR(__xludf.DUMMYFUNCTION("""COMPUTED_VALUE"""),0.77)</f>
        <v>0.77</v>
      </c>
      <c r="O341" s="208"/>
      <c r="P341" s="208"/>
      <c r="Q341" s="208"/>
      <c r="R341" s="208"/>
    </row>
    <row r="342">
      <c r="A342" s="185" t="str">
        <f>IFERROR(__xludf.DUMMYFUNCTION("""COMPUTED_VALUE"""),"Lower-priority competitor/vendor roundup")</f>
        <v>Lower-priority competitor/vendor roundup</v>
      </c>
      <c r="B342" s="186" t="str">
        <f>IFERROR(__xludf.DUMMYFUNCTION("""COMPUTED_VALUE"""),"https://www.cometly.com/post/marketing-attribution-consultant-services")</f>
        <v>https://www.cometly.com/post/marketing-attribution-consultant-services</v>
      </c>
      <c r="C342" s="185" t="str">
        <f>IFERROR(__xludf.DUMMYFUNCTION("""COMPUTED_VALUE"""),"Best Marketing Attribution Consultant Services 2026")</f>
        <v>Best Marketing Attribution Consultant Services 2026</v>
      </c>
      <c r="D342" s="185" t="str">
        <f>IFERROR(__xludf.DUMMYFUNCTION("""COMPUTED_VALUE"""),"AU")</f>
        <v>AU</v>
      </c>
      <c r="E342" s="185" t="str">
        <f>IFERROR(__xludf.DUMMYFUNCTION("""COMPUTED_VALUE"""),"cometly.com")</f>
        <v>cometly.com</v>
      </c>
      <c r="F342" s="185" t="str">
        <f>IFERROR(__xludf.DUMMYFUNCTION("""COMPUTED_VALUE"""),"Listicle")</f>
        <v>Listicle</v>
      </c>
      <c r="G342" s="185" t="str">
        <f>IFERROR(__xludf.DUMMYFUNCTION("""COMPUTED_VALUE"""),"CORPORATE")</f>
        <v>CORPORATE</v>
      </c>
      <c r="H342" s="185" t="str">
        <f>IFERROR(__xludf.DUMMYFUNCTION("""COMPUTED_VALUE"""),"No")</f>
        <v>No</v>
      </c>
      <c r="I342" s="185" t="str">
        <f>IFERROR(__xludf.DUMMYFUNCTION("""COMPUTED_VALUE"""),"Low")</f>
        <v>Low</v>
      </c>
      <c r="J342" s="185" t="str">
        <f>IFERROR(__xludf.DUMMYFUNCTION("""COMPUTED_VALUE"""),"Secondary")</f>
        <v>Secondary</v>
      </c>
      <c r="K342" s="185" t="str">
        <f>IFERROR(__xludf.DUMMYFUNCTION("""COMPUTED_VALUE"""),"Measured")</f>
        <v>Measured</v>
      </c>
      <c r="L342" s="187">
        <f>IFERROR(__xludf.DUMMYFUNCTION("""COMPUTED_VALUE"""),13.0)</f>
        <v>13</v>
      </c>
      <c r="M342" s="188">
        <f>IFERROR(__xludf.DUMMYFUNCTION("""COMPUTED_VALUE"""),0.01)</f>
        <v>0.01</v>
      </c>
      <c r="N342" s="188">
        <f>IFERROR(__xludf.DUMMYFUNCTION("""COMPUTED_VALUE"""),0.46)</f>
        <v>0.46</v>
      </c>
      <c r="O342" s="208"/>
      <c r="P342" s="208"/>
      <c r="Q342" s="208"/>
      <c r="R342" s="208"/>
    </row>
    <row r="343">
      <c r="A343" s="185" t="str">
        <f>IFERROR(__xludf.DUMMYFUNCTION("""COMPUTED_VALUE"""),"Lower-priority competitor/vendor roundup")</f>
        <v>Lower-priority competitor/vendor roundup</v>
      </c>
      <c r="B343" s="186" t="str">
        <f>IFERROR(__xludf.DUMMYFUNCTION("""COMPUTED_VALUE"""),"https://www.cometly.com/post/marketing-attribution-platform-for-agencies")</f>
        <v>https://www.cometly.com/post/marketing-attribution-platform-for-agencies</v>
      </c>
      <c r="C343" s="185" t="str">
        <f>IFERROR(__xludf.DUMMYFUNCTION("""COMPUTED_VALUE"""),"Best Marketing Attribution Platform For Agencies 2026")</f>
        <v>Best Marketing Attribution Platform For Agencies 2026</v>
      </c>
      <c r="D343" s="185" t="str">
        <f>IFERROR(__xludf.DUMMYFUNCTION("""COMPUTED_VALUE"""),"AU")</f>
        <v>AU</v>
      </c>
      <c r="E343" s="185" t="str">
        <f>IFERROR(__xludf.DUMMYFUNCTION("""COMPUTED_VALUE"""),"cometly.com")</f>
        <v>cometly.com</v>
      </c>
      <c r="F343" s="185" t="str">
        <f>IFERROR(__xludf.DUMMYFUNCTION("""COMPUTED_VALUE"""),"Listicle")</f>
        <v>Listicle</v>
      </c>
      <c r="G343" s="185" t="str">
        <f>IFERROR(__xludf.DUMMYFUNCTION("""COMPUTED_VALUE"""),"CORPORATE")</f>
        <v>CORPORATE</v>
      </c>
      <c r="H343" s="185" t="str">
        <f>IFERROR(__xludf.DUMMYFUNCTION("""COMPUTED_VALUE"""),"No")</f>
        <v>No</v>
      </c>
      <c r="I343" s="185" t="str">
        <f>IFERROR(__xludf.DUMMYFUNCTION("""COMPUTED_VALUE"""),"Low")</f>
        <v>Low</v>
      </c>
      <c r="J343" s="185" t="str">
        <f>IFERROR(__xludf.DUMMYFUNCTION("""COMPUTED_VALUE"""),"Secondary")</f>
        <v>Secondary</v>
      </c>
      <c r="K343" s="185" t="str">
        <f>IFERROR(__xludf.DUMMYFUNCTION("""COMPUTED_VALUE"""),"Impressive")</f>
        <v>Impressive</v>
      </c>
      <c r="L343" s="187">
        <f>IFERROR(__xludf.DUMMYFUNCTION("""COMPUTED_VALUE"""),13.0)</f>
        <v>13</v>
      </c>
      <c r="M343" s="188">
        <f>IFERROR(__xludf.DUMMYFUNCTION("""COMPUTED_VALUE"""),0.01)</f>
        <v>0.01</v>
      </c>
      <c r="N343" s="188">
        <f>IFERROR(__xludf.DUMMYFUNCTION("""COMPUTED_VALUE"""),1.46)</f>
        <v>1.46</v>
      </c>
      <c r="O343" s="208"/>
      <c r="P343" s="208"/>
      <c r="Q343" s="208"/>
      <c r="R343" s="208"/>
    </row>
    <row r="344">
      <c r="A344" s="185" t="str">
        <f>IFERROR(__xludf.DUMMYFUNCTION("""COMPUTED_VALUE"""),"Agency directory / review marketplace")</f>
        <v>Agency directory / review marketplace</v>
      </c>
      <c r="B344" s="186" t="str">
        <f>IFERROR(__xludf.DUMMYFUNCTION("""COMPUTED_VALUE"""),"https://digitalagencynetwork.com/agencies/australia/online-advertising/")</f>
        <v>https://digitalagencynetwork.com/agencies/australia/online-advertising/</v>
      </c>
      <c r="C344" s="185" t="str">
        <f>IFERROR(__xludf.DUMMYFUNCTION("""COMPUTED_VALUE"""),"Best Online Advertising Agencies in Australia")</f>
        <v>Best Online Advertising Agencies in Australia</v>
      </c>
      <c r="D344" s="185" t="str">
        <f>IFERROR(__xludf.DUMMYFUNCTION("""COMPUTED_VALUE"""),"AU")</f>
        <v>AU</v>
      </c>
      <c r="E344" s="185" t="str">
        <f>IFERROR(__xludf.DUMMYFUNCTION("""COMPUTED_VALUE"""),"digitalagencynetwork.com")</f>
        <v>digitalagencynetwork.com</v>
      </c>
      <c r="F344" s="185" t="str">
        <f>IFERROR(__xludf.DUMMYFUNCTION("""COMPUTED_VALUE"""),"Category Page")</f>
        <v>Category Page</v>
      </c>
      <c r="G344" s="185" t="str">
        <f>IFERROR(__xludf.DUMMYFUNCTION("""COMPUTED_VALUE"""),"REFERENCE")</f>
        <v>REFERENCE</v>
      </c>
      <c r="H344" s="185" t="str">
        <f>IFERROR(__xludf.DUMMYFUNCTION("""COMPUTED_VALUE"""),"No")</f>
        <v>No</v>
      </c>
      <c r="I344" s="185" t="str">
        <f>IFERROR(__xludf.DUMMYFUNCTION("""COMPUTED_VALUE"""),"Medium")</f>
        <v>Medium</v>
      </c>
      <c r="J344" s="185" t="str">
        <f>IFERROR(__xludf.DUMMYFUNCTION("""COMPUTED_VALUE"""),"Yes")</f>
        <v>Yes</v>
      </c>
      <c r="K344" s="185" t="str">
        <f>IFERROR(__xludf.DUMMYFUNCTION("""COMPUTED_VALUE"""),"Emote Digital, 80/20 Digital, Clearwater Agency, Jaywing, Impressive, In Marketing We Trust, Digital Nomads HQ, Human Digital, Online Marketing Gurus, Zib Digital")</f>
        <v>Emote Digital, 80/20 Digital, Clearwater Agency, Jaywing, Impressive, In Marketing We Trust, Digital Nomads HQ, Human Digital, Online Marketing Gurus, Zib Digital</v>
      </c>
      <c r="L344" s="187">
        <f>IFERROR(__xludf.DUMMYFUNCTION("""COMPUTED_VALUE"""),13.0)</f>
        <v>13</v>
      </c>
      <c r="M344" s="188">
        <f>IFERROR(__xludf.DUMMYFUNCTION("""COMPUTED_VALUE"""),0.01)</f>
        <v>0.01</v>
      </c>
      <c r="N344" s="188">
        <f>IFERROR(__xludf.DUMMYFUNCTION("""COMPUTED_VALUE"""),1.08)</f>
        <v>1.08</v>
      </c>
      <c r="O344" s="208"/>
      <c r="P344" s="208"/>
      <c r="Q344" s="208"/>
      <c r="R344" s="208"/>
    </row>
    <row r="345">
      <c r="A345" s="185" t="str">
        <f>IFERROR(__xludf.DUMMYFUNCTION("""COMPUTED_VALUE"""),"Agency directory / review marketplace")</f>
        <v>Agency directory / review marketplace</v>
      </c>
      <c r="B345" s="186" t="str">
        <f>IFERROR(__xludf.DUMMYFUNCTION("""COMPUTED_VALUE"""),"https://digitalagencynetwork.com/agencies/melbourne/ai-marketing/")</f>
        <v>https://digitalagencynetwork.com/agencies/melbourne/ai-marketing/</v>
      </c>
      <c r="C345" s="185" t="str">
        <f>IFERROR(__xludf.DUMMYFUNCTION("""COMPUTED_VALUE"""),"Top AI Marketing Agencies in Melbourne (2026)")</f>
        <v>Top AI Marketing Agencies in Melbourne (2026)</v>
      </c>
      <c r="D345" s="185" t="str">
        <f>IFERROR(__xludf.DUMMYFUNCTION("""COMPUTED_VALUE"""),"AU")</f>
        <v>AU</v>
      </c>
      <c r="E345" s="185" t="str">
        <f>IFERROR(__xludf.DUMMYFUNCTION("""COMPUTED_VALUE"""),"digitalagencynetwork.com")</f>
        <v>digitalagencynetwork.com</v>
      </c>
      <c r="F345" s="185" t="str">
        <f>IFERROR(__xludf.DUMMYFUNCTION("""COMPUTED_VALUE"""),"Profile")</f>
        <v>Profile</v>
      </c>
      <c r="G345" s="185" t="str">
        <f>IFERROR(__xludf.DUMMYFUNCTION("""COMPUTED_VALUE"""),"REFERENCE")</f>
        <v>REFERENCE</v>
      </c>
      <c r="H345" s="185" t="str">
        <f>IFERROR(__xludf.DUMMYFUNCTION("""COMPUTED_VALUE"""),"No")</f>
        <v>No</v>
      </c>
      <c r="I345" s="185" t="str">
        <f>IFERROR(__xludf.DUMMYFUNCTION("""COMPUTED_VALUE"""),"Medium")</f>
        <v>Medium</v>
      </c>
      <c r="J345" s="185" t="str">
        <f>IFERROR(__xludf.DUMMYFUNCTION("""COMPUTED_VALUE"""),"Yes")</f>
        <v>Yes</v>
      </c>
      <c r="K345" s="185" t="str">
        <f>IFERROR(__xludf.DUMMYFUNCTION("""COMPUTED_VALUE"""),"Emote Digital, Luminary, Soup Agency")</f>
        <v>Emote Digital, Luminary, Soup Agency</v>
      </c>
      <c r="L345" s="187">
        <f>IFERROR(__xludf.DUMMYFUNCTION("""COMPUTED_VALUE"""),13.0)</f>
        <v>13</v>
      </c>
      <c r="M345" s="188">
        <f>IFERROR(__xludf.DUMMYFUNCTION("""COMPUTED_VALUE"""),0.01)</f>
        <v>0.01</v>
      </c>
      <c r="N345" s="188">
        <f>IFERROR(__xludf.DUMMYFUNCTION("""COMPUTED_VALUE"""),0.15)</f>
        <v>0.15</v>
      </c>
      <c r="O345" s="208"/>
      <c r="P345" s="208"/>
      <c r="Q345" s="208"/>
      <c r="R345" s="208"/>
    </row>
    <row r="346">
      <c r="A346" s="185" t="str">
        <f>IFERROR(__xludf.DUMMYFUNCTION("""COMPUTED_VALUE"""),"Trade media / editorial publication")</f>
        <v>Trade media / editorial publication</v>
      </c>
      <c r="B346" s="186" t="str">
        <f>IFERROR(__xludf.DUMMYFUNCTION("""COMPUTED_VALUE"""),"https://digitaldigest.au/best-digital-marketing-agencies/")</f>
        <v>https://digitaldigest.au/best-digital-marketing-agencies/</v>
      </c>
      <c r="C346" s="185"/>
      <c r="D346" s="185" t="str">
        <f>IFERROR(__xludf.DUMMYFUNCTION("""COMPUTED_VALUE"""),"AU")</f>
        <v>AU</v>
      </c>
      <c r="E346" s="185" t="str">
        <f>IFERROR(__xludf.DUMMYFUNCTION("""COMPUTED_VALUE"""),"digitaldigest.au")</f>
        <v>digitaldigest.au</v>
      </c>
      <c r="F346" s="185" t="str">
        <f>IFERROR(__xludf.DUMMYFUNCTION("""COMPUTED_VALUE"""),"Listicle")</f>
        <v>Listicle</v>
      </c>
      <c r="G346" s="185" t="str">
        <f>IFERROR(__xludf.DUMMYFUNCTION("""COMPUTED_VALUE"""),"EDITORIAL")</f>
        <v>EDITORIAL</v>
      </c>
      <c r="H346" s="185" t="str">
        <f>IFERROR(__xludf.DUMMYFUNCTION("""COMPUTED_VALUE"""),"No")</f>
        <v>No</v>
      </c>
      <c r="I346" s="185" t="str">
        <f>IFERROR(__xludf.DUMMYFUNCTION("""COMPUTED_VALUE"""),"Medium")</f>
        <v>Medium</v>
      </c>
      <c r="J346" s="185" t="str">
        <f>IFERROR(__xludf.DUMMYFUNCTION("""COMPUTED_VALUE"""),"Yes")</f>
        <v>Yes</v>
      </c>
      <c r="K346" s="185" t="str">
        <f>IFERROR(__xludf.DUMMYFUNCTION("""COMPUTED_VALUE"""),"AdVisible, Digital Nomads HQ, Impressive, Sparro, Brainlabs, Online Marketing Gurus, Megaphone, King Kong, StudioHawk, Rocket Agency, Clearwater Agency, Emote Digital, Human Digital")</f>
        <v>AdVisible, Digital Nomads HQ, Impressive, Sparro, Brainlabs, Online Marketing Gurus, Megaphone, King Kong, StudioHawk, Rocket Agency, Clearwater Agency, Emote Digital, Human Digital</v>
      </c>
      <c r="L346" s="187">
        <f>IFERROR(__xludf.DUMMYFUNCTION("""COMPUTED_VALUE"""),13.0)</f>
        <v>13</v>
      </c>
      <c r="M346" s="188">
        <f>IFERROR(__xludf.DUMMYFUNCTION("""COMPUTED_VALUE"""),0.01)</f>
        <v>0.01</v>
      </c>
      <c r="N346" s="188">
        <f>IFERROR(__xludf.DUMMYFUNCTION("""COMPUTED_VALUE"""),0.08)</f>
        <v>0.08</v>
      </c>
      <c r="O346" s="208"/>
      <c r="P346" s="208"/>
      <c r="Q346" s="208"/>
      <c r="R346" s="208"/>
    </row>
    <row r="347">
      <c r="A347" s="185" t="str">
        <f>IFERROR(__xludf.DUMMYFUNCTION("""COMPUTED_VALUE"""),"Lower-priority competitor/vendor roundup")</f>
        <v>Lower-priority competitor/vendor roundup</v>
      </c>
      <c r="B347" s="186" t="str">
        <f>IFERROR(__xludf.DUMMYFUNCTION("""COMPUTED_VALUE"""),"https://oski.site/blog/ai-consulting-companies-australia/")</f>
        <v>https://oski.site/blog/ai-consulting-companies-australia/</v>
      </c>
      <c r="C347" s="185" t="str">
        <f>IFERROR(__xludf.DUMMYFUNCTION("""COMPUTED_VALUE"""),"Top AI Consulting Companies in Australia 2026")</f>
        <v>Top AI Consulting Companies in Australia 2026</v>
      </c>
      <c r="D347" s="185" t="str">
        <f>IFERROR(__xludf.DUMMYFUNCTION("""COMPUTED_VALUE"""),"AU")</f>
        <v>AU</v>
      </c>
      <c r="E347" s="185" t="str">
        <f>IFERROR(__xludf.DUMMYFUNCTION("""COMPUTED_VALUE"""),"oski.site")</f>
        <v>oski.site</v>
      </c>
      <c r="F347" s="185" t="str">
        <f>IFERROR(__xludf.DUMMYFUNCTION("""COMPUTED_VALUE"""),"Listicle")</f>
        <v>Listicle</v>
      </c>
      <c r="G347" s="185" t="str">
        <f>IFERROR(__xludf.DUMMYFUNCTION("""COMPUTED_VALUE"""),"OTHER")</f>
        <v>OTHER</v>
      </c>
      <c r="H347" s="185" t="str">
        <f>IFERROR(__xludf.DUMMYFUNCTION("""COMPUTED_VALUE"""),"No")</f>
        <v>No</v>
      </c>
      <c r="I347" s="185" t="str">
        <f>IFERROR(__xludf.DUMMYFUNCTION("""COMPUTED_VALUE"""),"Low")</f>
        <v>Low</v>
      </c>
      <c r="J347" s="185" t="str">
        <f>IFERROR(__xludf.DUMMYFUNCTION("""COMPUTED_VALUE"""),"Secondary")</f>
        <v>Secondary</v>
      </c>
      <c r="K347" s="185" t="str">
        <f>IFERROR(__xludf.DUMMYFUNCTION("""COMPUTED_VALUE"""),"PHD")</f>
        <v>PHD</v>
      </c>
      <c r="L347" s="187">
        <f>IFERROR(__xludf.DUMMYFUNCTION("""COMPUTED_VALUE"""),13.0)</f>
        <v>13</v>
      </c>
      <c r="M347" s="188">
        <f>IFERROR(__xludf.DUMMYFUNCTION("""COMPUTED_VALUE"""),0.01)</f>
        <v>0.01</v>
      </c>
      <c r="N347" s="188">
        <f>IFERROR(__xludf.DUMMYFUNCTION("""COMPUTED_VALUE"""),0.23)</f>
        <v>0.23</v>
      </c>
      <c r="O347" s="208"/>
      <c r="P347" s="208"/>
      <c r="Q347" s="208"/>
      <c r="R347" s="208"/>
    </row>
    <row r="348">
      <c r="A348" s="185" t="str">
        <f>IFERROR(__xludf.DUMMYFUNCTION("""COMPUTED_VALUE"""),"Agency directory / review marketplace")</f>
        <v>Agency directory / review marketplace</v>
      </c>
      <c r="B348" s="186" t="str">
        <f>IFERROR(__xludf.DUMMYFUNCTION("""COMPUTED_VALUE"""),"https://www.sortlist.com/media-planning/australia-au")</f>
        <v>https://www.sortlist.com/media-planning/australia-au</v>
      </c>
      <c r="C348" s="185" t="str">
        <f>IFERROR(__xludf.DUMMYFUNCTION("""COMPUTED_VALUE"""),"The 10 Best Media Agencies in Australia - 2026 Reviews")</f>
        <v>The 10 Best Media Agencies in Australia - 2026 Reviews</v>
      </c>
      <c r="D348" s="185" t="str">
        <f>IFERROR(__xludf.DUMMYFUNCTION("""COMPUTED_VALUE"""),"AU")</f>
        <v>AU</v>
      </c>
      <c r="E348" s="185" t="str">
        <f>IFERROR(__xludf.DUMMYFUNCTION("""COMPUTED_VALUE"""),"sortlist.com")</f>
        <v>sortlist.com</v>
      </c>
      <c r="F348" s="185" t="str">
        <f>IFERROR(__xludf.DUMMYFUNCTION("""COMPUTED_VALUE"""),"Category Page")</f>
        <v>Category Page</v>
      </c>
      <c r="G348" s="185" t="str">
        <f>IFERROR(__xludf.DUMMYFUNCTION("""COMPUTED_VALUE"""),"CORPORATE")</f>
        <v>CORPORATE</v>
      </c>
      <c r="H348" s="185" t="str">
        <f>IFERROR(__xludf.DUMMYFUNCTION("""COMPUTED_VALUE"""),"No")</f>
        <v>No</v>
      </c>
      <c r="I348" s="185" t="str">
        <f>IFERROR(__xludf.DUMMYFUNCTION("""COMPUTED_VALUE"""),"Medium")</f>
        <v>Medium</v>
      </c>
      <c r="J348" s="185" t="str">
        <f>IFERROR(__xludf.DUMMYFUNCTION("""COMPUTED_VALUE"""),"Yes")</f>
        <v>Yes</v>
      </c>
      <c r="K348" s="185" t="str">
        <f>IFERROR(__xludf.DUMMYFUNCTION("""COMPUTED_VALUE"""),"Impressive, CUT THRU, Momentum, Earned Media, SIXGUN")</f>
        <v>Impressive, CUT THRU, Momentum, Earned Media, SIXGUN</v>
      </c>
      <c r="L348" s="187">
        <f>IFERROR(__xludf.DUMMYFUNCTION("""COMPUTED_VALUE"""),13.0)</f>
        <v>13</v>
      </c>
      <c r="M348" s="188">
        <f>IFERROR(__xludf.DUMMYFUNCTION("""COMPUTED_VALUE"""),0.01)</f>
        <v>0.01</v>
      </c>
      <c r="N348" s="188">
        <f>IFERROR(__xludf.DUMMYFUNCTION("""COMPUTED_VALUE"""),0.92)</f>
        <v>0.92</v>
      </c>
      <c r="O348" s="208"/>
      <c r="P348" s="208"/>
      <c r="Q348" s="208"/>
      <c r="R348" s="208"/>
    </row>
    <row r="349">
      <c r="A349" s="185" t="str">
        <f>IFERROR(__xludf.DUMMYFUNCTION("""COMPUTED_VALUE"""),"Agency directory / review marketplace")</f>
        <v>Agency directory / review marketplace</v>
      </c>
      <c r="B349" s="186" t="str">
        <f>IFERROR(__xludf.DUMMYFUNCTION("""COMPUTED_VALUE"""),"https://www.sortlist.com/s/paid-media/australian-capital-territory-act-au")</f>
        <v>https://www.sortlist.com/s/paid-media/australian-capital-territory-act-au</v>
      </c>
      <c r="C349" s="185" t="str">
        <f>IFERROR(__xludf.DUMMYFUNCTION("""COMPUTED_VALUE"""),"The 10 Best Paid Media Agencies in Australian Capital Territory - 2026 Reviews")</f>
        <v>The 10 Best Paid Media Agencies in Australian Capital Territory - 2026 Reviews</v>
      </c>
      <c r="D349" s="185" t="str">
        <f>IFERROR(__xludf.DUMMYFUNCTION("""COMPUTED_VALUE"""),"AU")</f>
        <v>AU</v>
      </c>
      <c r="E349" s="185" t="str">
        <f>IFERROR(__xludf.DUMMYFUNCTION("""COMPUTED_VALUE"""),"sortlist.com")</f>
        <v>sortlist.com</v>
      </c>
      <c r="F349" s="185" t="str">
        <f>IFERROR(__xludf.DUMMYFUNCTION("""COMPUTED_VALUE"""),"Category Page")</f>
        <v>Category Page</v>
      </c>
      <c r="G349" s="185" t="str">
        <f>IFERROR(__xludf.DUMMYFUNCTION("""COMPUTED_VALUE"""),"CORPORATE")</f>
        <v>CORPORATE</v>
      </c>
      <c r="H349" s="185" t="str">
        <f>IFERROR(__xludf.DUMMYFUNCTION("""COMPUTED_VALUE"""),"No")</f>
        <v>No</v>
      </c>
      <c r="I349" s="185" t="str">
        <f>IFERROR(__xludf.DUMMYFUNCTION("""COMPUTED_VALUE"""),"Medium")</f>
        <v>Medium</v>
      </c>
      <c r="J349" s="185" t="str">
        <f>IFERROR(__xludf.DUMMYFUNCTION("""COMPUTED_VALUE"""),"Yes")</f>
        <v>Yes</v>
      </c>
      <c r="K349" s="185" t="str">
        <f>IFERROR(__xludf.DUMMYFUNCTION("""COMPUTED_VALUE"""),"Measured, Earned Media, Clearwater Agency, SIXGUN, Impressive, Supple Digital, Ninja Promo, Momentum, Digital Nomads HQ, Soup Agency, HERO, 23 Digital")</f>
        <v>Measured, Earned Media, Clearwater Agency, SIXGUN, Impressive, Supple Digital, Ninja Promo, Momentum, Digital Nomads HQ, Soup Agency, HERO, 23 Digital</v>
      </c>
      <c r="L349" s="187">
        <f>IFERROR(__xludf.DUMMYFUNCTION("""COMPUTED_VALUE"""),13.0)</f>
        <v>13</v>
      </c>
      <c r="M349" s="188">
        <f>IFERROR(__xludf.DUMMYFUNCTION("""COMPUTED_VALUE"""),0.01)</f>
        <v>0.01</v>
      </c>
      <c r="N349" s="188">
        <f>IFERROR(__xludf.DUMMYFUNCTION("""COMPUTED_VALUE"""),0.08)</f>
        <v>0.08</v>
      </c>
      <c r="O349" s="208"/>
      <c r="P349" s="208"/>
      <c r="Q349" s="208"/>
      <c r="R349" s="208"/>
    </row>
    <row r="350">
      <c r="A350" s="185" t="str">
        <f>IFERROR(__xludf.DUMMYFUNCTION("""COMPUTED_VALUE"""),"Industry data / software authority")</f>
        <v>Industry data / software authority</v>
      </c>
      <c r="B350" s="186" t="str">
        <f>IFERROR(__xludf.DUMMYFUNCTION("""COMPUTED_VALUE"""),"https://agencies.semrush.com/list/display-advertising/sydney/")</f>
        <v>https://agencies.semrush.com/list/display-advertising/sydney/</v>
      </c>
      <c r="C350" s="185" t="str">
        <f>IFERROR(__xludf.DUMMYFUNCTION("""COMPUTED_VALUE"""),"Best Display Ads Agencies in Sydney 2026 | Semrush")</f>
        <v>Best Display Ads Agencies in Sydney 2026 | Semrush</v>
      </c>
      <c r="D350" s="185" t="str">
        <f>IFERROR(__xludf.DUMMYFUNCTION("""COMPUTED_VALUE"""),"AU")</f>
        <v>AU</v>
      </c>
      <c r="E350" s="185" t="str">
        <f>IFERROR(__xludf.DUMMYFUNCTION("""COMPUTED_VALUE"""),"semrush.com")</f>
        <v>semrush.com</v>
      </c>
      <c r="F350" s="185" t="str">
        <f>IFERROR(__xludf.DUMMYFUNCTION("""COMPUTED_VALUE"""),"Category Page")</f>
        <v>Category Page</v>
      </c>
      <c r="G350" s="185" t="str">
        <f>IFERROR(__xludf.DUMMYFUNCTION("""COMPUTED_VALUE"""),"CORPORATE")</f>
        <v>CORPORATE</v>
      </c>
      <c r="H350" s="185" t="str">
        <f>IFERROR(__xludf.DUMMYFUNCTION("""COMPUTED_VALUE"""),"No")</f>
        <v>No</v>
      </c>
      <c r="I350" s="185" t="str">
        <f>IFERROR(__xludf.DUMMYFUNCTION("""COMPUTED_VALUE"""),"Medium")</f>
        <v>Medium</v>
      </c>
      <c r="J350" s="185" t="str">
        <f>IFERROR(__xludf.DUMMYFUNCTION("""COMPUTED_VALUE"""),"Yes")</f>
        <v>Yes</v>
      </c>
      <c r="K350" s="185" t="str">
        <f>IFERROR(__xludf.DUMMYFUNCTION("""COMPUTED_VALUE"""),"Soup Agency, Online Marketing Gurus, Omnicom Media Group, Click Click Media, Bench Media, Rocket Agency, First Page, Clearwater Agency, Measured, Earned Media, Impressive")</f>
        <v>Soup Agency, Online Marketing Gurus, Omnicom Media Group, Click Click Media, Bench Media, Rocket Agency, First Page, Clearwater Agency, Measured, Earned Media, Impressive</v>
      </c>
      <c r="L350" s="187">
        <f>IFERROR(__xludf.DUMMYFUNCTION("""COMPUTED_VALUE"""),12.0)</f>
        <v>12</v>
      </c>
      <c r="M350" s="188">
        <f>IFERROR(__xludf.DUMMYFUNCTION("""COMPUTED_VALUE"""),0.01)</f>
        <v>0.01</v>
      </c>
      <c r="N350" s="188">
        <f>IFERROR(__xludf.DUMMYFUNCTION("""COMPUTED_VALUE"""),0.5)</f>
        <v>0.5</v>
      </c>
      <c r="O350" s="208"/>
      <c r="P350" s="208"/>
      <c r="Q350" s="208"/>
      <c r="R350" s="208"/>
    </row>
    <row r="351">
      <c r="A351" s="185" t="str">
        <f>IFERROR(__xludf.DUMMYFUNCTION("""COMPUTED_VALUE"""),"Industry data / software authority")</f>
        <v>Industry data / software authority</v>
      </c>
      <c r="B351" s="186" t="str">
        <f>IFERROR(__xludf.DUMMYFUNCTION("""COMPUTED_VALUE"""),"https://agencies.semrush.com/list/programmatic-advertising/australia/")</f>
        <v>https://agencies.semrush.com/list/programmatic-advertising/australia/</v>
      </c>
      <c r="C351" s="185" t="str">
        <f>IFERROR(__xludf.DUMMYFUNCTION("""COMPUTED_VALUE"""),"Best Programmatic Advertising Agencies in Australia 2026 | Semrush")</f>
        <v>Best Programmatic Advertising Agencies in Australia 2026 | Semrush</v>
      </c>
      <c r="D351" s="185" t="str">
        <f>IFERROR(__xludf.DUMMYFUNCTION("""COMPUTED_VALUE"""),"AU")</f>
        <v>AU</v>
      </c>
      <c r="E351" s="185" t="str">
        <f>IFERROR(__xludf.DUMMYFUNCTION("""COMPUTED_VALUE"""),"semrush.com")</f>
        <v>semrush.com</v>
      </c>
      <c r="F351" s="185" t="str">
        <f>IFERROR(__xludf.DUMMYFUNCTION("""COMPUTED_VALUE"""),"Category Page")</f>
        <v>Category Page</v>
      </c>
      <c r="G351" s="185" t="str">
        <f>IFERROR(__xludf.DUMMYFUNCTION("""COMPUTED_VALUE"""),"CORPORATE")</f>
        <v>CORPORATE</v>
      </c>
      <c r="H351" s="185" t="str">
        <f>IFERROR(__xludf.DUMMYFUNCTION("""COMPUTED_VALUE"""),"No")</f>
        <v>No</v>
      </c>
      <c r="I351" s="185" t="str">
        <f>IFERROR(__xludf.DUMMYFUNCTION("""COMPUTED_VALUE"""),"Medium")</f>
        <v>Medium</v>
      </c>
      <c r="J351" s="185" t="str">
        <f>IFERROR(__xludf.DUMMYFUNCTION("""COMPUTED_VALUE"""),"Yes")</f>
        <v>Yes</v>
      </c>
      <c r="K351" s="185"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L351" s="187">
        <f>IFERROR(__xludf.DUMMYFUNCTION("""COMPUTED_VALUE"""),12.0)</f>
        <v>12</v>
      </c>
      <c r="M351" s="188">
        <f>IFERROR(__xludf.DUMMYFUNCTION("""COMPUTED_VALUE"""),0.01)</f>
        <v>0.01</v>
      </c>
      <c r="N351" s="188">
        <f>IFERROR(__xludf.DUMMYFUNCTION("""COMPUTED_VALUE"""),0.5)</f>
        <v>0.5</v>
      </c>
      <c r="O351" s="208"/>
      <c r="P351" s="208"/>
      <c r="Q351" s="208"/>
      <c r="R351" s="208"/>
    </row>
    <row r="352">
      <c r="A352" s="185" t="str">
        <f>IFERROR(__xludf.DUMMYFUNCTION("""COMPUTED_VALUE"""),"Agency directory / review marketplace")</f>
        <v>Agency directory / review marketplace</v>
      </c>
      <c r="B352" s="186" t="str">
        <f>IFERROR(__xludf.DUMMYFUNCTION("""COMPUTED_VALUE"""),"https://www.goodfirms.co/directory/country/top-digital-marketing-companies/au/")</f>
        <v>https://www.goodfirms.co/directory/country/top-digital-marketing-companies/au/</v>
      </c>
      <c r="C352" s="185" t="str">
        <f>IFERROR(__xludf.DUMMYFUNCTION("""COMPUTED_VALUE"""),"Top Digital Marketing Agencies in Australia - 2026 Reviews | Goodfirms")</f>
        <v>Top Digital Marketing Agencies in Australia - 2026 Reviews | Goodfirms</v>
      </c>
      <c r="D352" s="185" t="str">
        <f>IFERROR(__xludf.DUMMYFUNCTION("""COMPUTED_VALUE"""),"AU")</f>
        <v>AU</v>
      </c>
      <c r="E352" s="185" t="str">
        <f>IFERROR(__xludf.DUMMYFUNCTION("""COMPUTED_VALUE"""),"goodfirms.co")</f>
        <v>goodfirms.co</v>
      </c>
      <c r="F352" s="185" t="str">
        <f>IFERROR(__xludf.DUMMYFUNCTION("""COMPUTED_VALUE"""),"Other")</f>
        <v>Other</v>
      </c>
      <c r="G352" s="185" t="str">
        <f>IFERROR(__xludf.DUMMYFUNCTION("""COMPUTED_VALUE"""),"UGC")</f>
        <v>UGC</v>
      </c>
      <c r="H352" s="185" t="str">
        <f>IFERROR(__xludf.DUMMYFUNCTION("""COMPUTED_VALUE"""),"No")</f>
        <v>No</v>
      </c>
      <c r="I352" s="185" t="str">
        <f>IFERROR(__xludf.DUMMYFUNCTION("""COMPUTED_VALUE"""),"Medium")</f>
        <v>Medium</v>
      </c>
      <c r="J352" s="185" t="str">
        <f>IFERROR(__xludf.DUMMYFUNCTION("""COMPUTED_VALUE"""),"Yes")</f>
        <v>Yes</v>
      </c>
      <c r="K352" s="185" t="str">
        <f>IFERROR(__xludf.DUMMYFUNCTION("""COMPUTED_VALUE"""),"Impressive, CUT THRU, eMarket Experts, SIXGUN, Elephant In The Boardroom, Supple Digital, AdVisible, Digital Nomads HQ, Emote Digital")</f>
        <v>Impressive, CUT THRU, eMarket Experts, SIXGUN, Elephant In The Boardroom, Supple Digital, AdVisible, Digital Nomads HQ, Emote Digital</v>
      </c>
      <c r="L352" s="187">
        <f>IFERROR(__xludf.DUMMYFUNCTION("""COMPUTED_VALUE"""),12.0)</f>
        <v>12</v>
      </c>
      <c r="M352" s="188">
        <f>IFERROR(__xludf.DUMMYFUNCTION("""COMPUTED_VALUE"""),0.01)</f>
        <v>0.01</v>
      </c>
      <c r="N352" s="188">
        <f>IFERROR(__xludf.DUMMYFUNCTION("""COMPUTED_VALUE"""),0.0)</f>
        <v>0</v>
      </c>
      <c r="O352" s="208"/>
      <c r="P352" s="208"/>
      <c r="Q352" s="208"/>
      <c r="R352" s="208"/>
    </row>
    <row r="353">
      <c r="A353" s="185" t="str">
        <f>IFERROR(__xludf.DUMMYFUNCTION("""COMPUTED_VALUE"""),"Industry data / software authority")</f>
        <v>Industry data / software authority</v>
      </c>
      <c r="B353" s="186" t="str">
        <f>IFERROR(__xludf.DUMMYFUNCTION("""COMPUTED_VALUE"""),"https://www.semrush.com/agencies/list/analytics-data-science/melbourne/")</f>
        <v>https://www.semrush.com/agencies/list/analytics-data-science/melbourne/</v>
      </c>
      <c r="C353" s="185" t="str">
        <f>IFERROR(__xludf.DUMMYFUNCTION("""COMPUTED_VALUE"""),"Best Data Analytics Services in Melbourne 2026 \| Semrush")</f>
        <v>Best Data Analytics Services in Melbourne 2026 \| Semrush</v>
      </c>
      <c r="D353" s="185" t="str">
        <f>IFERROR(__xludf.DUMMYFUNCTION("""COMPUTED_VALUE"""),"AU")</f>
        <v>AU</v>
      </c>
      <c r="E353" s="185" t="str">
        <f>IFERROR(__xludf.DUMMYFUNCTION("""COMPUTED_VALUE"""),"semrush.com")</f>
        <v>semrush.com</v>
      </c>
      <c r="F353" s="185" t="str">
        <f>IFERROR(__xludf.DUMMYFUNCTION("""COMPUTED_VALUE"""),"Profile")</f>
        <v>Profile</v>
      </c>
      <c r="G353" s="185" t="str">
        <f>IFERROR(__xludf.DUMMYFUNCTION("""COMPUTED_VALUE"""),"CORPORATE")</f>
        <v>CORPORATE</v>
      </c>
      <c r="H353" s="185" t="str">
        <f>IFERROR(__xludf.DUMMYFUNCTION("""COMPUTED_VALUE"""),"No")</f>
        <v>No</v>
      </c>
      <c r="I353" s="185" t="str">
        <f>IFERROR(__xludf.DUMMYFUNCTION("""COMPUTED_VALUE"""),"Medium")</f>
        <v>Medium</v>
      </c>
      <c r="J353" s="185" t="str">
        <f>IFERROR(__xludf.DUMMYFUNCTION("""COMPUTED_VALUE"""),"Yes")</f>
        <v>Yes</v>
      </c>
      <c r="K353" s="185"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L353" s="187">
        <f>IFERROR(__xludf.DUMMYFUNCTION("""COMPUTED_VALUE"""),12.0)</f>
        <v>12</v>
      </c>
      <c r="M353" s="188">
        <f>IFERROR(__xludf.DUMMYFUNCTION("""COMPUTED_VALUE"""),0.01)</f>
        <v>0.01</v>
      </c>
      <c r="N353" s="188">
        <f>IFERROR(__xludf.DUMMYFUNCTION("""COMPUTED_VALUE"""),0.25)</f>
        <v>0.25</v>
      </c>
      <c r="O353" s="208"/>
      <c r="P353" s="208"/>
      <c r="Q353" s="208"/>
      <c r="R353" s="208"/>
    </row>
    <row r="354">
      <c r="A354" s="185" t="str">
        <f>IFERROR(__xludf.DUMMYFUNCTION("""COMPUTED_VALUE"""),"Agency directory / review marketplace")</f>
        <v>Agency directory / review marketplace</v>
      </c>
      <c r="B354" s="186" t="str">
        <f>IFERROR(__xludf.DUMMYFUNCTION("""COMPUTED_VALUE"""),"https://themanifest.com/au/programmatic/agencies")</f>
        <v>https://themanifest.com/au/programmatic/agencies</v>
      </c>
      <c r="C354" s="185" t="str">
        <f>IFERROR(__xludf.DUMMYFUNCTION("""COMPUTED_VALUE"""),"Top-Rated Programmatic Advertising &amp;amp; RTB Platforms for Retail, Automotive, Travel in Australia, Sydney, Melbourne | Vetted &amp;amp; Reviewed July 2026 | The Manifest")</f>
        <v>Top-Rated Programmatic Advertising &amp;amp; RTB Platforms for Retail, Automotive, Travel in Australia, Sydney, Melbourne | Vetted &amp;amp; Reviewed July 2026 | The Manifest</v>
      </c>
      <c r="D354" s="185" t="str">
        <f>IFERROR(__xludf.DUMMYFUNCTION("""COMPUTED_VALUE"""),"AU")</f>
        <v>AU</v>
      </c>
      <c r="E354" s="185" t="str">
        <f>IFERROR(__xludf.DUMMYFUNCTION("""COMPUTED_VALUE"""),"themanifest.com")</f>
        <v>themanifest.com</v>
      </c>
      <c r="F354" s="185" t="str">
        <f>IFERROR(__xludf.DUMMYFUNCTION("""COMPUTED_VALUE"""),"Listicle")</f>
        <v>Listicle</v>
      </c>
      <c r="G354" s="185" t="str">
        <f>IFERROR(__xludf.DUMMYFUNCTION("""COMPUTED_VALUE"""),"REFERENCE")</f>
        <v>REFERENCE</v>
      </c>
      <c r="H354" s="185" t="str">
        <f>IFERROR(__xludf.DUMMYFUNCTION("""COMPUTED_VALUE"""),"No")</f>
        <v>No</v>
      </c>
      <c r="I354" s="185" t="str">
        <f>IFERROR(__xludf.DUMMYFUNCTION("""COMPUTED_VALUE"""),"Medium")</f>
        <v>Medium</v>
      </c>
      <c r="J354" s="185" t="str">
        <f>IFERROR(__xludf.DUMMYFUNCTION("""COMPUTED_VALUE"""),"Yes")</f>
        <v>Yes</v>
      </c>
      <c r="K354" s="185" t="str">
        <f>IFERROR(__xludf.DUMMYFUNCTION("""COMPUTED_VALUE"""),"Soup Agency, Bench Media, DNM Digital, In Marketing We Trust")</f>
        <v>Soup Agency, Bench Media, DNM Digital, In Marketing We Trust</v>
      </c>
      <c r="L354" s="187">
        <f>IFERROR(__xludf.DUMMYFUNCTION("""COMPUTED_VALUE"""),12.0)</f>
        <v>12</v>
      </c>
      <c r="M354" s="188">
        <f>IFERROR(__xludf.DUMMYFUNCTION("""COMPUTED_VALUE"""),0.01)</f>
        <v>0.01</v>
      </c>
      <c r="N354" s="188">
        <f>IFERROR(__xludf.DUMMYFUNCTION("""COMPUTED_VALUE"""),0.42)</f>
        <v>0.42</v>
      </c>
      <c r="O354" s="208"/>
      <c r="P354" s="208"/>
      <c r="Q354" s="208"/>
      <c r="R354" s="208"/>
    </row>
    <row r="355">
      <c r="A355" s="185" t="str">
        <f>IFERROR(__xludf.DUMMYFUNCTION("""COMPUTED_VALUE"""),"Agency directory / review marketplace")</f>
        <v>Agency directory / review marketplace</v>
      </c>
      <c r="B355" s="186" t="str">
        <f>IFERROR(__xludf.DUMMYFUNCTION("""COMPUTED_VALUE"""),"https://clutch.co/au/agencies/digital")</f>
        <v>https://clutch.co/au/agencies/digital</v>
      </c>
      <c r="C355" s="185" t="str">
        <f>IFERROR(__xludf.DUMMYFUNCTION("""COMPUTED_VALUE"""),"Top Full-Service Digital Agencies in Australia - Jul 2026 Rankings \| Clutch.co")</f>
        <v>Top Full-Service Digital Agencies in Australia - Jul 2026 Rankings \| Clutch.co</v>
      </c>
      <c r="D355" s="185" t="str">
        <f>IFERROR(__xludf.DUMMYFUNCTION("""COMPUTED_VALUE"""),"AU")</f>
        <v>AU</v>
      </c>
      <c r="E355" s="185" t="str">
        <f>IFERROR(__xludf.DUMMYFUNCTION("""COMPUTED_VALUE"""),"clutch.co")</f>
        <v>clutch.co</v>
      </c>
      <c r="F355" s="185" t="str">
        <f>IFERROR(__xludf.DUMMYFUNCTION("""COMPUTED_VALUE"""),"Category Page")</f>
        <v>Category Page</v>
      </c>
      <c r="G355" s="185" t="str">
        <f>IFERROR(__xludf.DUMMYFUNCTION("""COMPUTED_VALUE"""),"CORPORATE")</f>
        <v>CORPORATE</v>
      </c>
      <c r="H355" s="185" t="str">
        <f>IFERROR(__xludf.DUMMYFUNCTION("""COMPUTED_VALUE"""),"No")</f>
        <v>No</v>
      </c>
      <c r="I355" s="185" t="str">
        <f>IFERROR(__xludf.DUMMYFUNCTION("""COMPUTED_VALUE"""),"Medium")</f>
        <v>Medium</v>
      </c>
      <c r="J355" s="185" t="str">
        <f>IFERROR(__xludf.DUMMYFUNCTION("""COMPUTED_VALUE"""),"Yes")</f>
        <v>Yes</v>
      </c>
      <c r="K355" s="185" t="str">
        <f>IFERROR(__xludf.DUMMYFUNCTION("""COMPUTED_VALUE"""),"Digital Nomads HQ, MyWork, Farsiight, Soup Agency, Emote Digital, Intesols, Luminary, Human Digital, Impressive, Salt &amp; Fuessel, Alley Group, Clearwater Agency, DNM Digital, Paradox Marketing")</f>
        <v>Digital Nomads HQ, MyWork, Farsiight, Soup Agency, Emote Digital, Intesols, Luminary, Human Digital, Impressive, Salt &amp; Fuessel, Alley Group, Clearwater Agency, DNM Digital, Paradox Marketing</v>
      </c>
      <c r="L355" s="187">
        <f>IFERROR(__xludf.DUMMYFUNCTION("""COMPUTED_VALUE"""),11.0)</f>
        <v>11</v>
      </c>
      <c r="M355" s="188">
        <f>IFERROR(__xludf.DUMMYFUNCTION("""COMPUTED_VALUE"""),0.01)</f>
        <v>0.01</v>
      </c>
      <c r="N355" s="188">
        <f>IFERROR(__xludf.DUMMYFUNCTION("""COMPUTED_VALUE"""),0.0)</f>
        <v>0</v>
      </c>
      <c r="O355" s="208"/>
      <c r="P355" s="208"/>
      <c r="Q355" s="208"/>
      <c r="R355" s="208"/>
    </row>
    <row r="356">
      <c r="A356" s="185" t="str">
        <f>IFERROR(__xludf.DUMMYFUNCTION("""COMPUTED_VALUE"""),"Trade media / editorial publication")</f>
        <v>Trade media / editorial publication</v>
      </c>
      <c r="B356" s="186" t="str">
        <f>IFERROR(__xludf.DUMMYFUNCTION("""COMPUTED_VALUE"""),"https://digitaldigest.au/google-ads-agencies/")</f>
        <v>https://digitaldigest.au/google-ads-agencies/</v>
      </c>
      <c r="C356" s="185" t="str">
        <f>IFERROR(__xludf.DUMMYFUNCTION("""COMPUTED_VALUE"""),"13 Best Google Ads Agencies Australia 2025 | Expert Reviews")</f>
        <v>13 Best Google Ads Agencies Australia 2025 | Expert Reviews</v>
      </c>
      <c r="D356" s="185" t="str">
        <f>IFERROR(__xludf.DUMMYFUNCTION("""COMPUTED_VALUE"""),"AU")</f>
        <v>AU</v>
      </c>
      <c r="E356" s="185" t="str">
        <f>IFERROR(__xludf.DUMMYFUNCTION("""COMPUTED_VALUE"""),"digitaldigest.au")</f>
        <v>digitaldigest.au</v>
      </c>
      <c r="F356" s="185" t="str">
        <f>IFERROR(__xludf.DUMMYFUNCTION("""COMPUTED_VALUE"""),"Listicle")</f>
        <v>Listicle</v>
      </c>
      <c r="G356" s="185" t="str">
        <f>IFERROR(__xludf.DUMMYFUNCTION("""COMPUTED_VALUE"""),"EDITORIAL")</f>
        <v>EDITORIAL</v>
      </c>
      <c r="H356" s="185" t="str">
        <f>IFERROR(__xludf.DUMMYFUNCTION("""COMPUTED_VALUE"""),"No")</f>
        <v>No</v>
      </c>
      <c r="I356" s="185" t="str">
        <f>IFERROR(__xludf.DUMMYFUNCTION("""COMPUTED_VALUE"""),"Medium")</f>
        <v>Medium</v>
      </c>
      <c r="J356" s="185" t="str">
        <f>IFERROR(__xludf.DUMMYFUNCTION("""COMPUTED_VALUE"""),"Yes")</f>
        <v>Yes</v>
      </c>
      <c r="K356" s="185" t="str">
        <f>IFERROR(__xludf.DUMMYFUNCTION("""COMPUTED_VALUE"""),"Huge, Digital Nomads HQ, Impressive, Online Marketing Gurus, Omnicom Media Group, Megaphone, Farsiight, Paradox Marketing, Human Digital, CUT THRU, Emote Digital, DNM Digital, First Page")</f>
        <v>Huge, Digital Nomads HQ, Impressive, Online Marketing Gurus, Omnicom Media Group, Megaphone, Farsiight, Paradox Marketing, Human Digital, CUT THRU, Emote Digital, DNM Digital, First Page</v>
      </c>
      <c r="L356" s="187">
        <f>IFERROR(__xludf.DUMMYFUNCTION("""COMPUTED_VALUE"""),11.0)</f>
        <v>11</v>
      </c>
      <c r="M356" s="188">
        <f>IFERROR(__xludf.DUMMYFUNCTION("""COMPUTED_VALUE"""),0.01)</f>
        <v>0.01</v>
      </c>
      <c r="N356" s="188">
        <f>IFERROR(__xludf.DUMMYFUNCTION("""COMPUTED_VALUE"""),0.36)</f>
        <v>0.36</v>
      </c>
      <c r="O356" s="208"/>
      <c r="P356" s="208"/>
      <c r="Q356" s="208"/>
      <c r="R356" s="208"/>
    </row>
    <row r="357">
      <c r="A357" s="185" t="str">
        <f>IFERROR(__xludf.DUMMYFUNCTION("""COMPUTED_VALUE"""),"Industry data / software authority")</f>
        <v>Industry data / software authority</v>
      </c>
      <c r="B357" s="186" t="str">
        <f>IFERROR(__xludf.DUMMYFUNCTION("""COMPUTED_VALUE"""),"https://www.semrush.com/agencies/list/display-advertising/australia/")</f>
        <v>https://www.semrush.com/agencies/list/display-advertising/australia/</v>
      </c>
      <c r="C357" s="185" t="str">
        <f>IFERROR(__xludf.DUMMYFUNCTION("""COMPUTED_VALUE"""),"Best Display Ads Agencies in Australia 2026 \| Semrush")</f>
        <v>Best Display Ads Agencies in Australia 2026 \| Semrush</v>
      </c>
      <c r="D357" s="185" t="str">
        <f>IFERROR(__xludf.DUMMYFUNCTION("""COMPUTED_VALUE"""),"AU")</f>
        <v>AU</v>
      </c>
      <c r="E357" s="185" t="str">
        <f>IFERROR(__xludf.DUMMYFUNCTION("""COMPUTED_VALUE"""),"semrush.com")</f>
        <v>semrush.com</v>
      </c>
      <c r="F357" s="185" t="str">
        <f>IFERROR(__xludf.DUMMYFUNCTION("""COMPUTED_VALUE"""),"Profile")</f>
        <v>Profile</v>
      </c>
      <c r="G357" s="185" t="str">
        <f>IFERROR(__xludf.DUMMYFUNCTION("""COMPUTED_VALUE"""),"CORPORATE")</f>
        <v>CORPORATE</v>
      </c>
      <c r="H357" s="185" t="str">
        <f>IFERROR(__xludf.DUMMYFUNCTION("""COMPUTED_VALUE"""),"No")</f>
        <v>No</v>
      </c>
      <c r="I357" s="185" t="str">
        <f>IFERROR(__xludf.DUMMYFUNCTION("""COMPUTED_VALUE"""),"Medium")</f>
        <v>Medium</v>
      </c>
      <c r="J357" s="185" t="str">
        <f>IFERROR(__xludf.DUMMYFUNCTION("""COMPUTED_VALUE"""),"Yes")</f>
        <v>Yes</v>
      </c>
      <c r="K357" s="185"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L357" s="187">
        <f>IFERROR(__xludf.DUMMYFUNCTION("""COMPUTED_VALUE"""),11.0)</f>
        <v>11</v>
      </c>
      <c r="M357" s="188">
        <f>IFERROR(__xludf.DUMMYFUNCTION("""COMPUTED_VALUE"""),0.01)</f>
        <v>0.01</v>
      </c>
      <c r="N357" s="188">
        <f>IFERROR(__xludf.DUMMYFUNCTION("""COMPUTED_VALUE"""),0.18)</f>
        <v>0.18</v>
      </c>
      <c r="O357" s="208"/>
      <c r="P357" s="208"/>
      <c r="Q357" s="208"/>
      <c r="R357" s="208"/>
    </row>
    <row r="358">
      <c r="A358" s="185" t="str">
        <f>IFERROR(__xludf.DUMMYFUNCTION("""COMPUTED_VALUE"""),"Agency directory / review marketplace")</f>
        <v>Agency directory / review marketplace</v>
      </c>
      <c r="B358" s="186" t="str">
        <f>IFERROR(__xludf.DUMMYFUNCTION("""COMPUTED_VALUE"""),"https://techbehemoths.com/companies/google-marketing-platform/australia")</f>
        <v>https://techbehemoths.com/companies/google-marketing-platform/australia</v>
      </c>
      <c r="C358" s="185" t="str">
        <f>IFERROR(__xludf.DUMMYFUNCTION("""COMPUTED_VALUE"""),"Top 20+ Google Marketing Platform Companies in Australia (2026) - TechBehemoths")</f>
        <v>Top 20+ Google Marketing Platform Companies in Australia (2026) - TechBehemoths</v>
      </c>
      <c r="D358" s="185" t="str">
        <f>IFERROR(__xludf.DUMMYFUNCTION("""COMPUTED_VALUE"""),"AU")</f>
        <v>AU</v>
      </c>
      <c r="E358" s="185" t="str">
        <f>IFERROR(__xludf.DUMMYFUNCTION("""COMPUTED_VALUE"""),"techbehemoths.com")</f>
        <v>techbehemoths.com</v>
      </c>
      <c r="F358" s="185" t="str">
        <f>IFERROR(__xludf.DUMMYFUNCTION("""COMPUTED_VALUE"""),"Profile")</f>
        <v>Profile</v>
      </c>
      <c r="G358" s="185" t="str">
        <f>IFERROR(__xludf.DUMMYFUNCTION("""COMPUTED_VALUE"""),"REFERENCE")</f>
        <v>REFERENCE</v>
      </c>
      <c r="H358" s="185" t="str">
        <f>IFERROR(__xludf.DUMMYFUNCTION("""COMPUTED_VALUE"""),"No")</f>
        <v>No</v>
      </c>
      <c r="I358" s="185" t="str">
        <f>IFERROR(__xludf.DUMMYFUNCTION("""COMPUTED_VALUE"""),"Medium")</f>
        <v>Medium</v>
      </c>
      <c r="J358" s="185" t="str">
        <f>IFERROR(__xludf.DUMMYFUNCTION("""COMPUTED_VALUE"""),"Yes")</f>
        <v>Yes</v>
      </c>
      <c r="K358" s="185" t="str">
        <f>IFERROR(__xludf.DUMMYFUNCTION("""COMPUTED_VALUE"""),"SIXGUN")</f>
        <v>SIXGUN</v>
      </c>
      <c r="L358" s="187">
        <f>IFERROR(__xludf.DUMMYFUNCTION("""COMPUTED_VALUE"""),11.0)</f>
        <v>11</v>
      </c>
      <c r="M358" s="188">
        <f>IFERROR(__xludf.DUMMYFUNCTION("""COMPUTED_VALUE"""),0.01)</f>
        <v>0.01</v>
      </c>
      <c r="N358" s="188">
        <f>IFERROR(__xludf.DUMMYFUNCTION("""COMPUTED_VALUE"""),0.0)</f>
        <v>0</v>
      </c>
      <c r="O358" s="208"/>
      <c r="P358" s="208"/>
      <c r="Q358" s="208"/>
      <c r="R358" s="208"/>
    </row>
    <row r="359">
      <c r="A359" s="185" t="str">
        <f>IFERROR(__xludf.DUMMYFUNCTION("""COMPUTED_VALUE"""),"Industry data / software authority")</f>
        <v>Industry data / software authority</v>
      </c>
      <c r="B359" s="186" t="str">
        <f>IFERROR(__xludf.DUMMYFUNCTION("""COMPUTED_VALUE"""),"https://agencies.semrush.com/list/display-advertising/australia/small-business/")</f>
        <v>https://agencies.semrush.com/list/display-advertising/australia/small-business/</v>
      </c>
      <c r="C359" s="185" t="str">
        <f>IFERROR(__xludf.DUMMYFUNCTION("""COMPUTED_VALUE"""),"Best Display Ads Agencies for Small Business in Australia 2026 | Semrush")</f>
        <v>Best Display Ads Agencies for Small Business in Australia 2026 | Semrush</v>
      </c>
      <c r="D359" s="185" t="str">
        <f>IFERROR(__xludf.DUMMYFUNCTION("""COMPUTED_VALUE"""),"AU")</f>
        <v>AU</v>
      </c>
      <c r="E359" s="185" t="str">
        <f>IFERROR(__xludf.DUMMYFUNCTION("""COMPUTED_VALUE"""),"semrush.com")</f>
        <v>semrush.com</v>
      </c>
      <c r="F359" s="185" t="str">
        <f>IFERROR(__xludf.DUMMYFUNCTION("""COMPUTED_VALUE"""),"Other")</f>
        <v>Other</v>
      </c>
      <c r="G359" s="185" t="str">
        <f>IFERROR(__xludf.DUMMYFUNCTION("""COMPUTED_VALUE"""),"CORPORATE")</f>
        <v>CORPORATE</v>
      </c>
      <c r="H359" s="185" t="str">
        <f>IFERROR(__xludf.DUMMYFUNCTION("""COMPUTED_VALUE"""),"No")</f>
        <v>No</v>
      </c>
      <c r="I359" s="185" t="str">
        <f>IFERROR(__xludf.DUMMYFUNCTION("""COMPUTED_VALUE"""),"Medium")</f>
        <v>Medium</v>
      </c>
      <c r="J359" s="185" t="str">
        <f>IFERROR(__xludf.DUMMYFUNCTION("""COMPUTED_VALUE"""),"Yes")</f>
        <v>Yes</v>
      </c>
      <c r="K359" s="185" t="str">
        <f>IFERROR(__xludf.DUMMYFUNCTION("""COMPUTED_VALUE"""),"Soup Agency, First Page, Clearwater Agency, Measured, Earned Media, Impressive, Online Marketing Gurus, Omnicom Media Group, Click Click Media, First Page Australia, 80/20 Digital")</f>
        <v>Soup Agency, First Page, Clearwater Agency, Measured, Earned Media, Impressive, Online Marketing Gurus, Omnicom Media Group, Click Click Media, First Page Australia, 80/20 Digital</v>
      </c>
      <c r="L359" s="187">
        <f>IFERROR(__xludf.DUMMYFUNCTION("""COMPUTED_VALUE"""),10.0)</f>
        <v>10</v>
      </c>
      <c r="M359" s="188">
        <f>IFERROR(__xludf.DUMMYFUNCTION("""COMPUTED_VALUE"""),0.01)</f>
        <v>0.01</v>
      </c>
      <c r="N359" s="188">
        <f>IFERROR(__xludf.DUMMYFUNCTION("""COMPUTED_VALUE"""),0.3)</f>
        <v>0.3</v>
      </c>
      <c r="O359" s="208"/>
      <c r="P359" s="208"/>
      <c r="Q359" s="208"/>
      <c r="R359" s="208"/>
    </row>
    <row r="360">
      <c r="A360" s="185" t="str">
        <f>IFERROR(__xludf.DUMMYFUNCTION("""COMPUTED_VALUE"""),"Industry data / software authority")</f>
        <v>Industry data / software authority</v>
      </c>
      <c r="B360" s="186" t="str">
        <f>IFERROR(__xludf.DUMMYFUNCTION("""COMPUTED_VALUE"""),"https://agencies.semrush.com/list/display-advertising/perth/")</f>
        <v>https://agencies.semrush.com/list/display-advertising/perth/</v>
      </c>
      <c r="C360" s="185" t="str">
        <f>IFERROR(__xludf.DUMMYFUNCTION("""COMPUTED_VALUE"""),"Best Display Ads Agencies in Perth 2026 | Semrush")</f>
        <v>Best Display Ads Agencies in Perth 2026 | Semrush</v>
      </c>
      <c r="D360" s="185" t="str">
        <f>IFERROR(__xludf.DUMMYFUNCTION("""COMPUTED_VALUE"""),"AU")</f>
        <v>AU</v>
      </c>
      <c r="E360" s="185" t="str">
        <f>IFERROR(__xludf.DUMMYFUNCTION("""COMPUTED_VALUE"""),"semrush.com")</f>
        <v>semrush.com</v>
      </c>
      <c r="F360" s="185" t="str">
        <f>IFERROR(__xludf.DUMMYFUNCTION("""COMPUTED_VALUE"""),"Other")</f>
        <v>Other</v>
      </c>
      <c r="G360" s="185" t="str">
        <f>IFERROR(__xludf.DUMMYFUNCTION("""COMPUTED_VALUE"""),"CORPORATE")</f>
        <v>CORPORATE</v>
      </c>
      <c r="H360" s="185" t="str">
        <f>IFERROR(__xludf.DUMMYFUNCTION("""COMPUTED_VALUE"""),"No")</f>
        <v>No</v>
      </c>
      <c r="I360" s="185" t="str">
        <f>IFERROR(__xludf.DUMMYFUNCTION("""COMPUTED_VALUE"""),"Medium")</f>
        <v>Medium</v>
      </c>
      <c r="J360" s="185" t="str">
        <f>IFERROR(__xludf.DUMMYFUNCTION("""COMPUTED_VALUE"""),"Yes")</f>
        <v>Yes</v>
      </c>
      <c r="K360" s="185"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L360" s="187">
        <f>IFERROR(__xludf.DUMMYFUNCTION("""COMPUTED_VALUE"""),10.0)</f>
        <v>10</v>
      </c>
      <c r="M360" s="188">
        <f>IFERROR(__xludf.DUMMYFUNCTION("""COMPUTED_VALUE"""),0.01)</f>
        <v>0.01</v>
      </c>
      <c r="N360" s="188">
        <f>IFERROR(__xludf.DUMMYFUNCTION("""COMPUTED_VALUE"""),0.8)</f>
        <v>0.8</v>
      </c>
      <c r="O360" s="208"/>
      <c r="P360" s="208"/>
      <c r="Q360" s="208"/>
      <c r="R360" s="208"/>
    </row>
    <row r="361">
      <c r="A361" s="185" t="str">
        <f>IFERROR(__xludf.DUMMYFUNCTION("""COMPUTED_VALUE"""),"Agency directory / review marketplace")</f>
        <v>Agency directory / review marketplace</v>
      </c>
      <c r="B361" s="186" t="str">
        <f>IFERROR(__xludf.DUMMYFUNCTION("""COMPUTED_VALUE"""),"https://clutch.co/au/agencies/programmatic")</f>
        <v>https://clutch.co/au/agencies/programmatic</v>
      </c>
      <c r="C361" s="185" t="str">
        <f>IFERROR(__xludf.DUMMYFUNCTION("""COMPUTED_VALUE"""),"Top Programmatic Advertising Companies in Australia - Jul 2026 Rankings | Clutch.co")</f>
        <v>Top Programmatic Advertising Companies in Australia - Jul 2026 Rankings | Clutch.co</v>
      </c>
      <c r="D361" s="185" t="str">
        <f>IFERROR(__xludf.DUMMYFUNCTION("""COMPUTED_VALUE"""),"AU")</f>
        <v>AU</v>
      </c>
      <c r="E361" s="185" t="str">
        <f>IFERROR(__xludf.DUMMYFUNCTION("""COMPUTED_VALUE"""),"clutch.co")</f>
        <v>clutch.co</v>
      </c>
      <c r="F361" s="185" t="str">
        <f>IFERROR(__xludf.DUMMYFUNCTION("""COMPUTED_VALUE"""),"Profile")</f>
        <v>Profile</v>
      </c>
      <c r="G361" s="185" t="str">
        <f>IFERROR(__xludf.DUMMYFUNCTION("""COMPUTED_VALUE"""),"CORPORATE")</f>
        <v>CORPORATE</v>
      </c>
      <c r="H361" s="185" t="str">
        <f>IFERROR(__xludf.DUMMYFUNCTION("""COMPUTED_VALUE"""),"No")</f>
        <v>No</v>
      </c>
      <c r="I361" s="185" t="str">
        <f>IFERROR(__xludf.DUMMYFUNCTION("""COMPUTED_VALUE"""),"Medium")</f>
        <v>Medium</v>
      </c>
      <c r="J361" s="185" t="str">
        <f>IFERROR(__xludf.DUMMYFUNCTION("""COMPUTED_VALUE"""),"Yes")</f>
        <v>Yes</v>
      </c>
      <c r="K361" s="185" t="str">
        <f>IFERROR(__xludf.DUMMYFUNCTION("""COMPUTED_VALUE"""),"Soup Agency, Impressive, DNM Digital, In Marketing We Trust, Bench Media")</f>
        <v>Soup Agency, Impressive, DNM Digital, In Marketing We Trust, Bench Media</v>
      </c>
      <c r="L361" s="187">
        <f>IFERROR(__xludf.DUMMYFUNCTION("""COMPUTED_VALUE"""),10.0)</f>
        <v>10</v>
      </c>
      <c r="M361" s="188">
        <f>IFERROR(__xludf.DUMMYFUNCTION("""COMPUTED_VALUE"""),0.01)</f>
        <v>0.01</v>
      </c>
      <c r="N361" s="188">
        <f>IFERROR(__xludf.DUMMYFUNCTION("""COMPUTED_VALUE"""),2.3)</f>
        <v>2.3</v>
      </c>
      <c r="O361" s="208"/>
      <c r="P361" s="208"/>
      <c r="Q361" s="208"/>
      <c r="R361" s="208"/>
    </row>
    <row r="362">
      <c r="A362" s="185" t="str">
        <f>IFERROR(__xludf.DUMMYFUNCTION("""COMPUTED_VALUE"""),"Lower-priority competitor/vendor roundup")</f>
        <v>Lower-priority competitor/vendor roundup</v>
      </c>
      <c r="B362" s="186" t="str">
        <f>IFERROR(__xludf.DUMMYFUNCTION("""COMPUTED_VALUE"""),"https://www.cometly.com/post/marketing-attribution-tools-for-agencies")</f>
        <v>https://www.cometly.com/post/marketing-attribution-tools-for-agencies</v>
      </c>
      <c r="C362" s="185" t="str">
        <f>IFERROR(__xludf.DUMMYFUNCTION("""COMPUTED_VALUE"""),"Best Marketing Attribution Tools For Agencies 2026")</f>
        <v>Best Marketing Attribution Tools For Agencies 2026</v>
      </c>
      <c r="D362" s="185" t="str">
        <f>IFERROR(__xludf.DUMMYFUNCTION("""COMPUTED_VALUE"""),"AU")</f>
        <v>AU</v>
      </c>
      <c r="E362" s="185" t="str">
        <f>IFERROR(__xludf.DUMMYFUNCTION("""COMPUTED_VALUE"""),"cometly.com")</f>
        <v>cometly.com</v>
      </c>
      <c r="F362" s="185" t="str">
        <f>IFERROR(__xludf.DUMMYFUNCTION("""COMPUTED_VALUE"""),"Listicle")</f>
        <v>Listicle</v>
      </c>
      <c r="G362" s="185" t="str">
        <f>IFERROR(__xludf.DUMMYFUNCTION("""COMPUTED_VALUE"""),"CORPORATE")</f>
        <v>CORPORATE</v>
      </c>
      <c r="H362" s="185" t="str">
        <f>IFERROR(__xludf.DUMMYFUNCTION("""COMPUTED_VALUE"""),"No")</f>
        <v>No</v>
      </c>
      <c r="I362" s="185" t="str">
        <f>IFERROR(__xludf.DUMMYFUNCTION("""COMPUTED_VALUE"""),"Low")</f>
        <v>Low</v>
      </c>
      <c r="J362" s="185" t="str">
        <f>IFERROR(__xludf.DUMMYFUNCTION("""COMPUTED_VALUE"""),"Secondary")</f>
        <v>Secondary</v>
      </c>
      <c r="K362" s="185"/>
      <c r="L362" s="187">
        <f>IFERROR(__xludf.DUMMYFUNCTION("""COMPUTED_VALUE"""),10.0)</f>
        <v>10</v>
      </c>
      <c r="M362" s="188">
        <f>IFERROR(__xludf.DUMMYFUNCTION("""COMPUTED_VALUE"""),0.01)</f>
        <v>0.01</v>
      </c>
      <c r="N362" s="188">
        <f>IFERROR(__xludf.DUMMYFUNCTION("""COMPUTED_VALUE"""),0.1)</f>
        <v>0.1</v>
      </c>
      <c r="O362" s="208"/>
      <c r="P362" s="208"/>
      <c r="Q362" s="208"/>
      <c r="R362" s="208"/>
    </row>
    <row r="363">
      <c r="A363" s="185" t="str">
        <f>IFERROR(__xludf.DUMMYFUNCTION("""COMPUTED_VALUE"""),"Agency directory / review marketplace")</f>
        <v>Agency directory / review marketplace</v>
      </c>
      <c r="B363" s="186" t="str">
        <f>IFERROR(__xludf.DUMMYFUNCTION("""COMPUTED_VALUE"""),"https://www.designrush.com/agency/social-media-marketing/au")</f>
        <v>https://www.designrush.com/agency/social-media-marketing/au</v>
      </c>
      <c r="C363" s="185" t="str">
        <f>IFERROR(__xludf.DUMMYFUNCTION("""COMPUTED_VALUE"""),"Top Social Media Marketing Agencies in Australia | 2026")</f>
        <v>Top Social Media Marketing Agencies in Australia | 2026</v>
      </c>
      <c r="D363" s="185" t="str">
        <f>IFERROR(__xludf.DUMMYFUNCTION("""COMPUTED_VALUE"""),"AU")</f>
        <v>AU</v>
      </c>
      <c r="E363" s="185" t="str">
        <f>IFERROR(__xludf.DUMMYFUNCTION("""COMPUTED_VALUE"""),"designrush.com")</f>
        <v>designrush.com</v>
      </c>
      <c r="F363" s="185" t="str">
        <f>IFERROR(__xludf.DUMMYFUNCTION("""COMPUTED_VALUE"""),"Listicle")</f>
        <v>Listicle</v>
      </c>
      <c r="G363" s="185" t="str">
        <f>IFERROR(__xludf.DUMMYFUNCTION("""COMPUTED_VALUE"""),"CORPORATE")</f>
        <v>CORPORATE</v>
      </c>
      <c r="H363" s="185" t="str">
        <f>IFERROR(__xludf.DUMMYFUNCTION("""COMPUTED_VALUE"""),"No")</f>
        <v>No</v>
      </c>
      <c r="I363" s="185" t="str">
        <f>IFERROR(__xludf.DUMMYFUNCTION("""COMPUTED_VALUE"""),"Medium")</f>
        <v>Medium</v>
      </c>
      <c r="J363" s="185" t="str">
        <f>IFERROR(__xludf.DUMMYFUNCTION("""COMPUTED_VALUE"""),"Yes")</f>
        <v>Yes</v>
      </c>
      <c r="K363" s="185" t="str">
        <f>IFERROR(__xludf.DUMMYFUNCTION("""COMPUTED_VALUE"""),"Supple Digital, eMarket Experts, Online Marketing Gurus, SIXGUN, Digital Nomads HQ, Impressive, Deloitte, HERO")</f>
        <v>Supple Digital, eMarket Experts, Online Marketing Gurus, SIXGUN, Digital Nomads HQ, Impressive, Deloitte, HERO</v>
      </c>
      <c r="L363" s="187">
        <f>IFERROR(__xludf.DUMMYFUNCTION("""COMPUTED_VALUE"""),10.0)</f>
        <v>10</v>
      </c>
      <c r="M363" s="188">
        <f>IFERROR(__xludf.DUMMYFUNCTION("""COMPUTED_VALUE"""),0.01)</f>
        <v>0.01</v>
      </c>
      <c r="N363" s="188">
        <f>IFERROR(__xludf.DUMMYFUNCTION("""COMPUTED_VALUE"""),0.1)</f>
        <v>0.1</v>
      </c>
      <c r="O363" s="208"/>
      <c r="P363" s="208"/>
      <c r="Q363" s="208"/>
      <c r="R363" s="208"/>
    </row>
    <row r="364">
      <c r="A364" s="185" t="str">
        <f>IFERROR(__xludf.DUMMYFUNCTION("""COMPUTED_VALUE"""),"Industry data / software authority")</f>
        <v>Industry data / software authority</v>
      </c>
      <c r="B364" s="186" t="str">
        <f>IFERROR(__xludf.DUMMYFUNCTION("""COMPUTED_VALUE"""),"https://agencies.semrush.com/list/ai-optimization/australia/mid-business/")</f>
        <v>https://agencies.semrush.com/list/ai-optimization/australia/mid-business/</v>
      </c>
      <c r="C364" s="185" t="str">
        <f>IFERROR(__xludf.DUMMYFUNCTION("""COMPUTED_VALUE"""),"Best AI Search Optimization Agencies for Mid Business in Australia 2026 | Semrush")</f>
        <v>Best AI Search Optimization Agencies for Mid Business in Australia 2026 | Semrush</v>
      </c>
      <c r="D364" s="185" t="str">
        <f>IFERROR(__xludf.DUMMYFUNCTION("""COMPUTED_VALUE"""),"AU")</f>
        <v>AU</v>
      </c>
      <c r="E364" s="185" t="str">
        <f>IFERROR(__xludf.DUMMYFUNCTION("""COMPUTED_VALUE"""),"semrush.com")</f>
        <v>semrush.com</v>
      </c>
      <c r="F364" s="185" t="str">
        <f>IFERROR(__xludf.DUMMYFUNCTION("""COMPUTED_VALUE"""),"Category Page")</f>
        <v>Category Page</v>
      </c>
      <c r="G364" s="185" t="str">
        <f>IFERROR(__xludf.DUMMYFUNCTION("""COMPUTED_VALUE"""),"CORPORATE")</f>
        <v>CORPORATE</v>
      </c>
      <c r="H364" s="185" t="str">
        <f>IFERROR(__xludf.DUMMYFUNCTION("""COMPUTED_VALUE"""),"No")</f>
        <v>No</v>
      </c>
      <c r="I364" s="185" t="str">
        <f>IFERROR(__xludf.DUMMYFUNCTION("""COMPUTED_VALUE"""),"Medium")</f>
        <v>Medium</v>
      </c>
      <c r="J364" s="185" t="str">
        <f>IFERROR(__xludf.DUMMYFUNCTION("""COMPUTED_VALUE"""),"Yes")</f>
        <v>Yes</v>
      </c>
      <c r="K364" s="185"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L364" s="187">
        <f>IFERROR(__xludf.DUMMYFUNCTION("""COMPUTED_VALUE"""),9.0)</f>
        <v>9</v>
      </c>
      <c r="M364" s="188">
        <f>IFERROR(__xludf.DUMMYFUNCTION("""COMPUTED_VALUE"""),0.01)</f>
        <v>0.01</v>
      </c>
      <c r="N364" s="188">
        <f>IFERROR(__xludf.DUMMYFUNCTION("""COMPUTED_VALUE"""),0.11)</f>
        <v>0.11</v>
      </c>
      <c r="O364" s="208"/>
      <c r="P364" s="208"/>
      <c r="Q364" s="208"/>
      <c r="R364" s="208"/>
    </row>
    <row r="365">
      <c r="A365" s="185" t="str">
        <f>IFERROR(__xludf.DUMMYFUNCTION("""COMPUTED_VALUE"""),"Trade media / editorial publication")</f>
        <v>Trade media / editorial publication</v>
      </c>
      <c r="B365" s="186" t="str">
        <f>IFERROR(__xludf.DUMMYFUNCTION("""COMPUTED_VALUE"""),"https://www.bandt.com.au/agencies/agency-scorecards/")</f>
        <v>https://www.bandt.com.au/agencies/agency-scorecards/</v>
      </c>
      <c r="C365" s="185" t="str">
        <f>IFERROR(__xludf.DUMMYFUNCTION("""COMPUTED_VALUE"""),"Agency Scorecards | B&amp;amp;T")</f>
        <v>Agency Scorecards | B&amp;amp;T</v>
      </c>
      <c r="D365" s="185" t="str">
        <f>IFERROR(__xludf.DUMMYFUNCTION("""COMPUTED_VALUE"""),"AU")</f>
        <v>AU</v>
      </c>
      <c r="E365" s="185" t="str">
        <f>IFERROR(__xludf.DUMMYFUNCTION("""COMPUTED_VALUE"""),"bandt.com.au")</f>
        <v>bandt.com.au</v>
      </c>
      <c r="F365" s="185" t="str">
        <f>IFERROR(__xludf.DUMMYFUNCTION("""COMPUTED_VALUE"""),"Other")</f>
        <v>Other</v>
      </c>
      <c r="G365" s="185" t="str">
        <f>IFERROR(__xludf.DUMMYFUNCTION("""COMPUTED_VALUE"""),"EDITORIAL")</f>
        <v>EDITORIAL</v>
      </c>
      <c r="H365" s="185" t="str">
        <f>IFERROR(__xludf.DUMMYFUNCTION("""COMPUTED_VALUE"""),"No")</f>
        <v>No</v>
      </c>
      <c r="I365" s="185" t="str">
        <f>IFERROR(__xludf.DUMMYFUNCTION("""COMPUTED_VALUE"""),"Medium")</f>
        <v>Medium</v>
      </c>
      <c r="J365" s="185" t="str">
        <f>IFERROR(__xludf.DUMMYFUNCTION("""COMPUTED_VALUE"""),"Yes")</f>
        <v>Yes</v>
      </c>
      <c r="K365" s="185" t="str">
        <f>IFERROR(__xludf.DUMMYFUNCTION("""COMPUTED_VALUE"""),"WPP, Momentum, VML, OMD, PHD, HERO, Mindshare, Thinkerbell, Leo Australia, Wavemaker, We Are Social, Bench Media, Howatson+Company, Saatchi &amp; Saatchi")</f>
        <v>WPP, Momentum, VML, OMD, PHD, HERO, Mindshare, Thinkerbell, Leo Australia, Wavemaker, We Are Social, Bench Media, Howatson+Company, Saatchi &amp; Saatchi</v>
      </c>
      <c r="L365" s="187">
        <f>IFERROR(__xludf.DUMMYFUNCTION("""COMPUTED_VALUE"""),9.0)</f>
        <v>9</v>
      </c>
      <c r="M365" s="188">
        <f>IFERROR(__xludf.DUMMYFUNCTION("""COMPUTED_VALUE"""),0.01)</f>
        <v>0.01</v>
      </c>
      <c r="N365" s="188">
        <f>IFERROR(__xludf.DUMMYFUNCTION("""COMPUTED_VALUE"""),0.33)</f>
        <v>0.33</v>
      </c>
      <c r="O365" s="208"/>
      <c r="P365" s="208"/>
      <c r="Q365" s="208"/>
      <c r="R365" s="208"/>
    </row>
    <row r="366">
      <c r="A366" s="185" t="str">
        <f>IFERROR(__xludf.DUMMYFUNCTION("""COMPUTED_VALUE"""),"Agency directory / review marketplace")</f>
        <v>Agency directory / review marketplace</v>
      </c>
      <c r="B366" s="186" t="str">
        <f>IFERROR(__xludf.DUMMYFUNCTION("""COMPUTED_VALUE"""),"https://www.designrush.com/agency/digital-marketing/au")</f>
        <v>https://www.designrush.com/agency/digital-marketing/au</v>
      </c>
      <c r="C366" s="185" t="str">
        <f>IFERROR(__xludf.DUMMYFUNCTION("""COMPUTED_VALUE"""),"Top Digital Marketing Agencies in Australia | 2026")</f>
        <v>Top Digital Marketing Agencies in Australia | 2026</v>
      </c>
      <c r="D366" s="185" t="str">
        <f>IFERROR(__xludf.DUMMYFUNCTION("""COMPUTED_VALUE"""),"AU")</f>
        <v>AU</v>
      </c>
      <c r="E366" s="185" t="str">
        <f>IFERROR(__xludf.DUMMYFUNCTION("""COMPUTED_VALUE"""),"designrush.com")</f>
        <v>designrush.com</v>
      </c>
      <c r="F366" s="185" t="str">
        <f>IFERROR(__xludf.DUMMYFUNCTION("""COMPUTED_VALUE"""),"Listicle")</f>
        <v>Listicle</v>
      </c>
      <c r="G366" s="185" t="str">
        <f>IFERROR(__xludf.DUMMYFUNCTION("""COMPUTED_VALUE"""),"CORPORATE")</f>
        <v>CORPORATE</v>
      </c>
      <c r="H366" s="185" t="str">
        <f>IFERROR(__xludf.DUMMYFUNCTION("""COMPUTED_VALUE"""),"No")</f>
        <v>No</v>
      </c>
      <c r="I366" s="185" t="str">
        <f>IFERROR(__xludf.DUMMYFUNCTION("""COMPUTED_VALUE"""),"Medium")</f>
        <v>Medium</v>
      </c>
      <c r="J366" s="185" t="str">
        <f>IFERROR(__xludf.DUMMYFUNCTION("""COMPUTED_VALUE"""),"Yes")</f>
        <v>Yes</v>
      </c>
      <c r="K366" s="185" t="str">
        <f>IFERROR(__xludf.DUMMYFUNCTION("""COMPUTED_VALUE"""),"First Page, First Page Australia, Impressive, Deloitte, Supple Digital, eMarket Experts, Online Marketing Gurus, SIXGUN, Digital Nomads HQ, 23 Digital")</f>
        <v>First Page, First Page Australia, Impressive, Deloitte, Supple Digital, eMarket Experts, Online Marketing Gurus, SIXGUN, Digital Nomads HQ, 23 Digital</v>
      </c>
      <c r="L366" s="187">
        <f>IFERROR(__xludf.DUMMYFUNCTION("""COMPUTED_VALUE"""),9.0)</f>
        <v>9</v>
      </c>
      <c r="M366" s="188">
        <f>IFERROR(__xludf.DUMMYFUNCTION("""COMPUTED_VALUE"""),0.01)</f>
        <v>0.01</v>
      </c>
      <c r="N366" s="188">
        <f>IFERROR(__xludf.DUMMYFUNCTION("""COMPUTED_VALUE"""),0.44)</f>
        <v>0.44</v>
      </c>
      <c r="O366" s="208"/>
      <c r="P366" s="208"/>
      <c r="Q366" s="208"/>
      <c r="R366" s="208"/>
    </row>
    <row r="367">
      <c r="A367" s="185" t="str">
        <f>IFERROR(__xludf.DUMMYFUNCTION("""COMPUTED_VALUE"""),"Trade media / editorial publication")</f>
        <v>Trade media / editorial publication</v>
      </c>
      <c r="B367" s="186" t="str">
        <f>IFERROR(__xludf.DUMMYFUNCTION("""COMPUTED_VALUE"""),"https://digitaldigest.au/ai-seo-agencies/")</f>
        <v>https://digitaldigest.au/ai-seo-agencies/</v>
      </c>
      <c r="C367" s="185" t="str">
        <f>IFERROR(__xludf.DUMMYFUNCTION("""COMPUTED_VALUE"""),"9 Best AI SEO Agencies in Australia (2026)")</f>
        <v>9 Best AI SEO Agencies in Australia (2026)</v>
      </c>
      <c r="D367" s="185" t="str">
        <f>IFERROR(__xludf.DUMMYFUNCTION("""COMPUTED_VALUE"""),"AU")</f>
        <v>AU</v>
      </c>
      <c r="E367" s="185" t="str">
        <f>IFERROR(__xludf.DUMMYFUNCTION("""COMPUTED_VALUE"""),"digitaldigest.au")</f>
        <v>digitaldigest.au</v>
      </c>
      <c r="F367" s="185" t="str">
        <f>IFERROR(__xludf.DUMMYFUNCTION("""COMPUTED_VALUE"""),"Listicle")</f>
        <v>Listicle</v>
      </c>
      <c r="G367" s="185" t="str">
        <f>IFERROR(__xludf.DUMMYFUNCTION("""COMPUTED_VALUE"""),"EDITORIAL")</f>
        <v>EDITORIAL</v>
      </c>
      <c r="H367" s="185" t="str">
        <f>IFERROR(__xludf.DUMMYFUNCTION("""COMPUTED_VALUE"""),"No")</f>
        <v>No</v>
      </c>
      <c r="I367" s="185" t="str">
        <f>IFERROR(__xludf.DUMMYFUNCTION("""COMPUTED_VALUE"""),"Medium")</f>
        <v>Medium</v>
      </c>
      <c r="J367" s="185" t="str">
        <f>IFERROR(__xludf.DUMMYFUNCTION("""COMPUTED_VALUE"""),"Yes")</f>
        <v>Yes</v>
      </c>
      <c r="K367" s="185" t="str">
        <f>IFERROR(__xludf.DUMMYFUNCTION("""COMPUTED_VALUE"""),"Digital Nomads HQ, Prosperity Media, StudioHawk, Impressive, Luminary, Intesols")</f>
        <v>Digital Nomads HQ, Prosperity Media, StudioHawk, Impressive, Luminary, Intesols</v>
      </c>
      <c r="L367" s="187">
        <f>IFERROR(__xludf.DUMMYFUNCTION("""COMPUTED_VALUE"""),9.0)</f>
        <v>9</v>
      </c>
      <c r="M367" s="188">
        <f>IFERROR(__xludf.DUMMYFUNCTION("""COMPUTED_VALUE"""),0.01)</f>
        <v>0.01</v>
      </c>
      <c r="N367" s="188">
        <f>IFERROR(__xludf.DUMMYFUNCTION("""COMPUTED_VALUE"""),2.78)</f>
        <v>2.78</v>
      </c>
      <c r="O367" s="208"/>
      <c r="P367" s="208"/>
      <c r="Q367" s="208"/>
      <c r="R367" s="208"/>
    </row>
    <row r="368">
      <c r="A368" s="185" t="str">
        <f>IFERROR(__xludf.DUMMYFUNCTION("""COMPUTED_VALUE"""),"Trade media / editorial publication")</f>
        <v>Trade media / editorial publication</v>
      </c>
      <c r="B368" s="186" t="str">
        <f>IFERROR(__xludf.DUMMYFUNCTION("""COMPUTED_VALUE"""),"https://digitaldigest.au/best-social-media-agencies/")</f>
        <v>https://digitaldigest.au/best-social-media-agencies/</v>
      </c>
      <c r="C368" s="185" t="str">
        <f>IFERROR(__xludf.DUMMYFUNCTION("""COMPUTED_VALUE"""),"15 Best Social Media Agencies in 2025 (With Reviews)")</f>
        <v>15 Best Social Media Agencies in 2025 (With Reviews)</v>
      </c>
      <c r="D368" s="185" t="str">
        <f>IFERROR(__xludf.DUMMYFUNCTION("""COMPUTED_VALUE"""),"AU")</f>
        <v>AU</v>
      </c>
      <c r="E368" s="185" t="str">
        <f>IFERROR(__xludf.DUMMYFUNCTION("""COMPUTED_VALUE"""),"digitaldigest.au")</f>
        <v>digitaldigest.au</v>
      </c>
      <c r="F368" s="185" t="str">
        <f>IFERROR(__xludf.DUMMYFUNCTION("""COMPUTED_VALUE"""),"Listicle")</f>
        <v>Listicle</v>
      </c>
      <c r="G368" s="185" t="str">
        <f>IFERROR(__xludf.DUMMYFUNCTION("""COMPUTED_VALUE"""),"EDITORIAL")</f>
        <v>EDITORIAL</v>
      </c>
      <c r="H368" s="185" t="str">
        <f>IFERROR(__xludf.DUMMYFUNCTION("""COMPUTED_VALUE"""),"No")</f>
        <v>No</v>
      </c>
      <c r="I368" s="185" t="str">
        <f>IFERROR(__xludf.DUMMYFUNCTION("""COMPUTED_VALUE"""),"Medium")</f>
        <v>Medium</v>
      </c>
      <c r="J368" s="185" t="str">
        <f>IFERROR(__xludf.DUMMYFUNCTION("""COMPUTED_VALUE"""),"Yes")</f>
        <v>Yes</v>
      </c>
      <c r="K368" s="185" t="str">
        <f>IFERROR(__xludf.DUMMYFUNCTION("""COMPUTED_VALUE"""),"Impressive, Online Marketing Gurus, Omnicom Media Group, Deloitte, Soup Agency, Farsiight, Megaphone, Paradox Marketing, Emote Digital, Human Digital, DNM Digital, Rocket Agency, Clearwater Agency, Earned Media")</f>
        <v>Impressive, Online Marketing Gurus, Omnicom Media Group, Deloitte, Soup Agency, Farsiight, Megaphone, Paradox Marketing, Emote Digital, Human Digital, DNM Digital, Rocket Agency, Clearwater Agency, Earned Media</v>
      </c>
      <c r="L368" s="187">
        <f>IFERROR(__xludf.DUMMYFUNCTION("""COMPUTED_VALUE"""),9.0)</f>
        <v>9</v>
      </c>
      <c r="M368" s="188">
        <f>IFERROR(__xludf.DUMMYFUNCTION("""COMPUTED_VALUE"""),0.01)</f>
        <v>0.01</v>
      </c>
      <c r="N368" s="188">
        <f>IFERROR(__xludf.DUMMYFUNCTION("""COMPUTED_VALUE"""),0.11)</f>
        <v>0.11</v>
      </c>
      <c r="O368" s="208"/>
      <c r="P368" s="208"/>
      <c r="Q368" s="208"/>
      <c r="R368" s="208"/>
    </row>
    <row r="369">
      <c r="A369" s="185" t="str">
        <f>IFERROR(__xludf.DUMMYFUNCTION("""COMPUTED_VALUE"""),"Agency directory / review marketplace")</f>
        <v>Agency directory / review marketplace</v>
      </c>
      <c r="B369" s="186" t="str">
        <f>IFERROR(__xludf.DUMMYFUNCTION("""COMPUTED_VALUE"""),"https://www.sortlist.com/s/performance-marketing/sydney-au")</f>
        <v>https://www.sortlist.com/s/performance-marketing/sydney-au</v>
      </c>
      <c r="C369" s="185" t="str">
        <f>IFERROR(__xludf.DUMMYFUNCTION("""COMPUTED_VALUE"""),"The 10 Best Performance Marketing Agencies in Sydney - 2026 Reviews")</f>
        <v>The 10 Best Performance Marketing Agencies in Sydney - 2026 Reviews</v>
      </c>
      <c r="D369" s="185" t="str">
        <f>IFERROR(__xludf.DUMMYFUNCTION("""COMPUTED_VALUE"""),"AU")</f>
        <v>AU</v>
      </c>
      <c r="E369" s="185" t="str">
        <f>IFERROR(__xludf.DUMMYFUNCTION("""COMPUTED_VALUE"""),"sortlist.com")</f>
        <v>sortlist.com</v>
      </c>
      <c r="F369" s="185" t="str">
        <f>IFERROR(__xludf.DUMMYFUNCTION("""COMPUTED_VALUE"""),"Category Page")</f>
        <v>Category Page</v>
      </c>
      <c r="G369" s="185" t="str">
        <f>IFERROR(__xludf.DUMMYFUNCTION("""COMPUTED_VALUE"""),"CORPORATE")</f>
        <v>CORPORATE</v>
      </c>
      <c r="H369" s="185" t="str">
        <f>IFERROR(__xludf.DUMMYFUNCTION("""COMPUTED_VALUE"""),"No")</f>
        <v>No</v>
      </c>
      <c r="I369" s="185" t="str">
        <f>IFERROR(__xludf.DUMMYFUNCTION("""COMPUTED_VALUE"""),"Medium")</f>
        <v>Medium</v>
      </c>
      <c r="J369" s="185" t="str">
        <f>IFERROR(__xludf.DUMMYFUNCTION("""COMPUTED_VALUE"""),"Yes")</f>
        <v>Yes</v>
      </c>
      <c r="K369" s="185" t="str">
        <f>IFERROR(__xludf.DUMMYFUNCTION("""COMPUTED_VALUE"""),"Impressive, Supple Digital, Measured, Earned Media, Clearwater Agency, SIXGUN, Momentum, Soup Agency, HERO, Digital Nomads HQ, Sparro, AdVisible")</f>
        <v>Impressive, Supple Digital, Measured, Earned Media, Clearwater Agency, SIXGUN, Momentum, Soup Agency, HERO, Digital Nomads HQ, Sparro, AdVisible</v>
      </c>
      <c r="L369" s="187">
        <f>IFERROR(__xludf.DUMMYFUNCTION("""COMPUTED_VALUE"""),9.0)</f>
        <v>9</v>
      </c>
      <c r="M369" s="188">
        <f>IFERROR(__xludf.DUMMYFUNCTION("""COMPUTED_VALUE"""),0.01)</f>
        <v>0.01</v>
      </c>
      <c r="N369" s="188">
        <f>IFERROR(__xludf.DUMMYFUNCTION("""COMPUTED_VALUE"""),0.11)</f>
        <v>0.11</v>
      </c>
      <c r="O369" s="208"/>
      <c r="P369" s="208"/>
      <c r="Q369" s="208"/>
      <c r="R369" s="208"/>
    </row>
    <row r="370">
      <c r="A370" s="185" t="str">
        <f>IFERROR(__xludf.DUMMYFUNCTION("""COMPUTED_VALUE"""),"Official partner / certification ecosystem")</f>
        <v>Official partner / certification ecosystem</v>
      </c>
      <c r="B370" s="186" t="str">
        <f>IFERROR(__xludf.DUMMYFUNCTION("""COMPUTED_VALUE"""),"https://support.google.com/analytics/answer/7237700?hl=en")</f>
        <v>https://support.google.com/analytics/answer/7237700?hl=en</v>
      </c>
      <c r="C370" s="185" t="str">
        <f>IFERROR(__xludf.DUMMYFUNCTION("""COMPUTED_VALUE"""),"Google Marketing Platform Partners - Analytics Help")</f>
        <v>Google Marketing Platform Partners - Analytics Help</v>
      </c>
      <c r="D370" s="185" t="str">
        <f>IFERROR(__xludf.DUMMYFUNCTION("""COMPUTED_VALUE"""),"AU")</f>
        <v>AU</v>
      </c>
      <c r="E370" s="185" t="str">
        <f>IFERROR(__xludf.DUMMYFUNCTION("""COMPUTED_VALUE"""),"google.com")</f>
        <v>google.com</v>
      </c>
      <c r="F370" s="185" t="str">
        <f>IFERROR(__xludf.DUMMYFUNCTION("""COMPUTED_VALUE"""),"Other")</f>
        <v>Other</v>
      </c>
      <c r="G370" s="185" t="str">
        <f>IFERROR(__xludf.DUMMYFUNCTION("""COMPUTED_VALUE"""),"OTHER")</f>
        <v>OTHER</v>
      </c>
      <c r="H370" s="185" t="str">
        <f>IFERROR(__xludf.DUMMYFUNCTION("""COMPUTED_VALUE"""),"No")</f>
        <v>No</v>
      </c>
      <c r="I370" s="185" t="str">
        <f>IFERROR(__xludf.DUMMYFUNCTION("""COMPUTED_VALUE"""),"High")</f>
        <v>High</v>
      </c>
      <c r="J370" s="185" t="str">
        <f>IFERROR(__xludf.DUMMYFUNCTION("""COMPUTED_VALUE"""),"Yes - priority")</f>
        <v>Yes - priority</v>
      </c>
      <c r="K370" s="185"/>
      <c r="L370" s="187">
        <f>IFERROR(__xludf.DUMMYFUNCTION("""COMPUTED_VALUE"""),9.0)</f>
        <v>9</v>
      </c>
      <c r="M370" s="188">
        <f>IFERROR(__xludf.DUMMYFUNCTION("""COMPUTED_VALUE"""),0.01)</f>
        <v>0.01</v>
      </c>
      <c r="N370" s="188">
        <f>IFERROR(__xludf.DUMMYFUNCTION("""COMPUTED_VALUE"""),0.89)</f>
        <v>0.89</v>
      </c>
      <c r="O370" s="208"/>
      <c r="P370" s="208"/>
      <c r="Q370" s="208"/>
      <c r="R370" s="208"/>
    </row>
    <row r="371">
      <c r="A371" s="185" t="str">
        <f>IFERROR(__xludf.DUMMYFUNCTION("""COMPUTED_VALUE"""),"Industry data / software authority")</f>
        <v>Industry data / software authority</v>
      </c>
      <c r="B371" s="186" t="str">
        <f>IFERROR(__xludf.DUMMYFUNCTION("""COMPUTED_VALUE"""),"https://agencies.semrush.com/list/analytics-data-science/australia/small-business/")</f>
        <v>https://agencies.semrush.com/list/analytics-data-science/australia/small-business/</v>
      </c>
      <c r="C371" s="185" t="str">
        <f>IFERROR(__xludf.DUMMYFUNCTION("""COMPUTED_VALUE"""),"Best Data Analytics Services for Small Business in Australia 2026 | Semrush")</f>
        <v>Best Data Analytics Services for Small Business in Australia 2026 | Semrush</v>
      </c>
      <c r="D371" s="185" t="str">
        <f>IFERROR(__xludf.DUMMYFUNCTION("""COMPUTED_VALUE"""),"AU")</f>
        <v>AU</v>
      </c>
      <c r="E371" s="185" t="str">
        <f>IFERROR(__xludf.DUMMYFUNCTION("""COMPUTED_VALUE"""),"semrush.com")</f>
        <v>semrush.com</v>
      </c>
      <c r="F371" s="185" t="str">
        <f>IFERROR(__xludf.DUMMYFUNCTION("""COMPUTED_VALUE"""),"Profile")</f>
        <v>Profile</v>
      </c>
      <c r="G371" s="185" t="str">
        <f>IFERROR(__xludf.DUMMYFUNCTION("""COMPUTED_VALUE"""),"CORPORATE")</f>
        <v>CORPORATE</v>
      </c>
      <c r="H371" s="185" t="str">
        <f>IFERROR(__xludf.DUMMYFUNCTION("""COMPUTED_VALUE"""),"No")</f>
        <v>No</v>
      </c>
      <c r="I371" s="185" t="str">
        <f>IFERROR(__xludf.DUMMYFUNCTION("""COMPUTED_VALUE"""),"Medium")</f>
        <v>Medium</v>
      </c>
      <c r="J371" s="185" t="str">
        <f>IFERROR(__xludf.DUMMYFUNCTION("""COMPUTED_VALUE"""),"Yes")</f>
        <v>Yes</v>
      </c>
      <c r="K371" s="185" t="str">
        <f>IFERROR(__xludf.DUMMYFUNCTION("""COMPUTED_VALUE"""),"Soup Agency, First Page, Clearwater Agency, Measured, Earned Media, Impressive, Online Marketing Gurus, Omnicom Media Group, Click Click Media, 80/20 Digital, Huge, Megantic")</f>
        <v>Soup Agency, First Page, Clearwater Agency, Measured, Earned Media, Impressive, Online Marketing Gurus, Omnicom Media Group, Click Click Media, 80/20 Digital, Huge, Megantic</v>
      </c>
      <c r="L371" s="187">
        <f>IFERROR(__xludf.DUMMYFUNCTION("""COMPUTED_VALUE"""),8.0)</f>
        <v>8</v>
      </c>
      <c r="M371" s="188">
        <f>IFERROR(__xludf.DUMMYFUNCTION("""COMPUTED_VALUE"""),0.01)</f>
        <v>0.01</v>
      </c>
      <c r="N371" s="188">
        <f>IFERROR(__xludf.DUMMYFUNCTION("""COMPUTED_VALUE"""),0.38)</f>
        <v>0.38</v>
      </c>
      <c r="O371" s="208"/>
      <c r="P371" s="208"/>
      <c r="Q371" s="208"/>
      <c r="R371" s="208"/>
    </row>
    <row r="372">
      <c r="A372" s="185" t="str">
        <f>IFERROR(__xludf.DUMMYFUNCTION("""COMPUTED_VALUE"""),"Official partner / certification ecosystem")</f>
        <v>Official partner / certification ecosystem</v>
      </c>
      <c r="B372" s="186" t="str">
        <f>IFERROR(__xludf.DUMMYFUNCTION("""COMPUTED_VALUE"""),"https://www.google.com/ads/publisher/partners/find-a-partner/")</f>
        <v>https://www.google.com/ads/publisher/partners/find-a-partner/</v>
      </c>
      <c r="C372" s="185" t="str">
        <f>IFERROR(__xludf.DUMMYFUNCTION("""COMPUTED_VALUE"""),"Find a Publishing Partner \| Certified Publishing Partner – Google")</f>
        <v>Find a Publishing Partner \| Certified Publishing Partner – Google</v>
      </c>
      <c r="D372" s="185" t="str">
        <f>IFERROR(__xludf.DUMMYFUNCTION("""COMPUTED_VALUE"""),"AU")</f>
        <v>AU</v>
      </c>
      <c r="E372" s="185" t="str">
        <f>IFERROR(__xludf.DUMMYFUNCTION("""COMPUTED_VALUE"""),"google.com")</f>
        <v>google.com</v>
      </c>
      <c r="F372" s="185" t="str">
        <f>IFERROR(__xludf.DUMMYFUNCTION("""COMPUTED_VALUE"""),"Category Page")</f>
        <v>Category Page</v>
      </c>
      <c r="G372" s="185" t="str">
        <f>IFERROR(__xludf.DUMMYFUNCTION("""COMPUTED_VALUE"""),"OTHER")</f>
        <v>OTHER</v>
      </c>
      <c r="H372" s="185" t="str">
        <f>IFERROR(__xludf.DUMMYFUNCTION("""COMPUTED_VALUE"""),"No")</f>
        <v>No</v>
      </c>
      <c r="I372" s="185" t="str">
        <f>IFERROR(__xludf.DUMMYFUNCTION("""COMPUTED_VALUE"""),"High")</f>
        <v>High</v>
      </c>
      <c r="J372" s="185" t="str">
        <f>IFERROR(__xludf.DUMMYFUNCTION("""COMPUTED_VALUE"""),"Yes - priority")</f>
        <v>Yes - priority</v>
      </c>
      <c r="K372" s="185"/>
      <c r="L372" s="187">
        <f>IFERROR(__xludf.DUMMYFUNCTION("""COMPUTED_VALUE"""),8.0)</f>
        <v>8</v>
      </c>
      <c r="M372" s="188">
        <f>IFERROR(__xludf.DUMMYFUNCTION("""COMPUTED_VALUE"""),0.01)</f>
        <v>0.01</v>
      </c>
      <c r="N372" s="188">
        <f>IFERROR(__xludf.DUMMYFUNCTION("""COMPUTED_VALUE"""),0.13)</f>
        <v>0.13</v>
      </c>
      <c r="O372" s="208"/>
      <c r="P372" s="208"/>
      <c r="Q372" s="208"/>
      <c r="R372" s="208"/>
    </row>
    <row r="373">
      <c r="A373" s="185" t="str">
        <f>IFERROR(__xludf.DUMMYFUNCTION("""COMPUTED_VALUE"""),"Agency directory / review marketplace")</f>
        <v>Agency directory / review marketplace</v>
      </c>
      <c r="B373" s="186" t="str">
        <f>IFERROR(__xludf.DUMMYFUNCTION("""COMPUTED_VALUE"""),"https://www.sortlist.com/s/programmatic-advertising/australia-au")</f>
        <v>https://www.sortlist.com/s/programmatic-advertising/australia-au</v>
      </c>
      <c r="C373" s="185" t="str">
        <f>IFERROR(__xludf.DUMMYFUNCTION("""COMPUTED_VALUE"""),"The 10 Best Programmatic Advertising Companies in Australia - 2026 Reviews")</f>
        <v>The 10 Best Programmatic Advertising Companies in Australia - 2026 Reviews</v>
      </c>
      <c r="D373" s="185" t="str">
        <f>IFERROR(__xludf.DUMMYFUNCTION("""COMPUTED_VALUE"""),"AU")</f>
        <v>AU</v>
      </c>
      <c r="E373" s="185" t="str">
        <f>IFERROR(__xludf.DUMMYFUNCTION("""COMPUTED_VALUE"""),"sortlist.com")</f>
        <v>sortlist.com</v>
      </c>
      <c r="F373" s="185" t="str">
        <f>IFERROR(__xludf.DUMMYFUNCTION("""COMPUTED_VALUE"""),"Category Page")</f>
        <v>Category Page</v>
      </c>
      <c r="G373" s="185" t="str">
        <f>IFERROR(__xludf.DUMMYFUNCTION("""COMPUTED_VALUE"""),"CORPORATE")</f>
        <v>CORPORATE</v>
      </c>
      <c r="H373" s="185" t="str">
        <f>IFERROR(__xludf.DUMMYFUNCTION("""COMPUTED_VALUE"""),"No")</f>
        <v>No</v>
      </c>
      <c r="I373" s="185" t="str">
        <f>IFERROR(__xludf.DUMMYFUNCTION("""COMPUTED_VALUE"""),"Medium")</f>
        <v>Medium</v>
      </c>
      <c r="J373" s="185" t="str">
        <f>IFERROR(__xludf.DUMMYFUNCTION("""COMPUTED_VALUE"""),"Yes")</f>
        <v>Yes</v>
      </c>
      <c r="K373" s="185" t="str">
        <f>IFERROR(__xludf.DUMMYFUNCTION("""COMPUTED_VALUE"""),"Measured, Earned Media, Clearwater Agency, Impressive, Supple Digital, SIXGUN, Digital Nomads HQ, Soup Agency, HERO")</f>
        <v>Measured, Earned Media, Clearwater Agency, Impressive, Supple Digital, SIXGUN, Digital Nomads HQ, Soup Agency, HERO</v>
      </c>
      <c r="L373" s="187">
        <f>IFERROR(__xludf.DUMMYFUNCTION("""COMPUTED_VALUE"""),8.0)</f>
        <v>8</v>
      </c>
      <c r="M373" s="188">
        <f>IFERROR(__xludf.DUMMYFUNCTION("""COMPUTED_VALUE"""),0.01)</f>
        <v>0.01</v>
      </c>
      <c r="N373" s="188">
        <f>IFERROR(__xludf.DUMMYFUNCTION("""COMPUTED_VALUE"""),0.13)</f>
        <v>0.13</v>
      </c>
      <c r="O373" s="208"/>
      <c r="P373" s="208"/>
      <c r="Q373" s="208"/>
      <c r="R373" s="208"/>
    </row>
    <row r="374">
      <c r="A374" s="185" t="str">
        <f>IFERROR(__xludf.DUMMYFUNCTION("""COMPUTED_VALUE"""),"Agency directory / review marketplace")</f>
        <v>Agency directory / review marketplace</v>
      </c>
      <c r="B374" s="186" t="str">
        <f>IFERROR(__xludf.DUMMYFUNCTION("""COMPUTED_VALUE"""),"https://www.sortlist.com/social-media/australia-au")</f>
        <v>https://www.sortlist.com/social-media/australia-au</v>
      </c>
      <c r="C374" s="185" t="str">
        <f>IFERROR(__xludf.DUMMYFUNCTION("""COMPUTED_VALUE"""),"The 10 Best Social Media Agencies in Australia - 2026 Reviews")</f>
        <v>The 10 Best Social Media Agencies in Australia - 2026 Reviews</v>
      </c>
      <c r="D374" s="185" t="str">
        <f>IFERROR(__xludf.DUMMYFUNCTION("""COMPUTED_VALUE"""),"AU")</f>
        <v>AU</v>
      </c>
      <c r="E374" s="185" t="str">
        <f>IFERROR(__xludf.DUMMYFUNCTION("""COMPUTED_VALUE"""),"sortlist.com")</f>
        <v>sortlist.com</v>
      </c>
      <c r="F374" s="185" t="str">
        <f>IFERROR(__xludf.DUMMYFUNCTION("""COMPUTED_VALUE"""),"Category Page")</f>
        <v>Category Page</v>
      </c>
      <c r="G374" s="185" t="str">
        <f>IFERROR(__xludf.DUMMYFUNCTION("""COMPUTED_VALUE"""),"CORPORATE")</f>
        <v>CORPORATE</v>
      </c>
      <c r="H374" s="185" t="str">
        <f>IFERROR(__xludf.DUMMYFUNCTION("""COMPUTED_VALUE"""),"No")</f>
        <v>No</v>
      </c>
      <c r="I374" s="185" t="str">
        <f>IFERROR(__xludf.DUMMYFUNCTION("""COMPUTED_VALUE"""),"Medium")</f>
        <v>Medium</v>
      </c>
      <c r="J374" s="185" t="str">
        <f>IFERROR(__xludf.DUMMYFUNCTION("""COMPUTED_VALUE"""),"Yes")</f>
        <v>Yes</v>
      </c>
      <c r="K374" s="185" t="str">
        <f>IFERROR(__xludf.DUMMYFUNCTION("""COMPUTED_VALUE"""),"Measured, Earned Media, Clearwater Agency, Impressive, Supple Digital, Soup Agency, HERO, Digital Nomads HQ, SIXGUN")</f>
        <v>Measured, Earned Media, Clearwater Agency, Impressive, Supple Digital, Soup Agency, HERO, Digital Nomads HQ, SIXGUN</v>
      </c>
      <c r="L374" s="187">
        <f>IFERROR(__xludf.DUMMYFUNCTION("""COMPUTED_VALUE"""),8.0)</f>
        <v>8</v>
      </c>
      <c r="M374" s="188">
        <f>IFERROR(__xludf.DUMMYFUNCTION("""COMPUTED_VALUE"""),0.01)</f>
        <v>0.01</v>
      </c>
      <c r="N374" s="188">
        <f>IFERROR(__xludf.DUMMYFUNCTION("""COMPUTED_VALUE"""),1.0)</f>
        <v>1</v>
      </c>
      <c r="O374" s="208"/>
      <c r="P374" s="208"/>
      <c r="Q374" s="208"/>
      <c r="R374" s="208"/>
    </row>
    <row r="375">
      <c r="A375" s="185" t="str">
        <f>IFERROR(__xludf.DUMMYFUNCTION("""COMPUTED_VALUE"""),"Agency directory / review marketplace")</f>
        <v>Agency directory / review marketplace</v>
      </c>
      <c r="B375" s="186" t="str">
        <f>IFERROR(__xludf.DUMMYFUNCTION("""COMPUTED_VALUE"""),"https://www.10seos.com/au/display-advertising-companies-in-australia?page=2")</f>
        <v>https://www.10seos.com/au/display-advertising-companies-in-australia?page=2</v>
      </c>
      <c r="C375" s="185" t="str">
        <f>IFERROR(__xludf.DUMMYFUNCTION("""COMPUTED_VALUE"""),"Top 10 Display Advertising Companies For Best Services-Australia | July 2026")</f>
        <v>Top 10 Display Advertising Companies For Best Services-Australia | July 2026</v>
      </c>
      <c r="D375" s="185" t="str">
        <f>IFERROR(__xludf.DUMMYFUNCTION("""COMPUTED_VALUE"""),"AU")</f>
        <v>AU</v>
      </c>
      <c r="E375" s="185" t="str">
        <f>IFERROR(__xludf.DUMMYFUNCTION("""COMPUTED_VALUE"""),"10seos.com")</f>
        <v>10seos.com</v>
      </c>
      <c r="F375" s="185" t="str">
        <f>IFERROR(__xludf.DUMMYFUNCTION("""COMPUTED_VALUE"""),"Other")</f>
        <v>Other</v>
      </c>
      <c r="G375" s="185" t="str">
        <f>IFERROR(__xludf.DUMMYFUNCTION("""COMPUTED_VALUE"""),"REFERENCE")</f>
        <v>REFERENCE</v>
      </c>
      <c r="H375" s="185" t="str">
        <f>IFERROR(__xludf.DUMMYFUNCTION("""COMPUTED_VALUE"""),"No")</f>
        <v>No</v>
      </c>
      <c r="I375" s="185" t="str">
        <f>IFERROR(__xludf.DUMMYFUNCTION("""COMPUTED_VALUE"""),"Medium")</f>
        <v>Medium</v>
      </c>
      <c r="J375" s="185" t="str">
        <f>IFERROR(__xludf.DUMMYFUNCTION("""COMPUTED_VALUE"""),"Yes")</f>
        <v>Yes</v>
      </c>
      <c r="K375" s="185"/>
      <c r="L375" s="187">
        <f>IFERROR(__xludf.DUMMYFUNCTION("""COMPUTED_VALUE"""),7.0)</f>
        <v>7</v>
      </c>
      <c r="M375" s="188">
        <f>IFERROR(__xludf.DUMMYFUNCTION("""COMPUTED_VALUE"""),0.01)</f>
        <v>0.01</v>
      </c>
      <c r="N375" s="188">
        <f>IFERROR(__xludf.DUMMYFUNCTION("""COMPUTED_VALUE"""),0.0)</f>
        <v>0</v>
      </c>
      <c r="O375" s="208"/>
      <c r="P375" s="208"/>
      <c r="Q375" s="208"/>
      <c r="R375" s="208"/>
    </row>
    <row r="376">
      <c r="A376" s="185" t="str">
        <f>IFERROR(__xludf.DUMMYFUNCTION("""COMPUTED_VALUE"""),"Industry data / software authority")</f>
        <v>Industry data / software authority</v>
      </c>
      <c r="B376" s="186" t="str">
        <f>IFERROR(__xludf.DUMMYFUNCTION("""COMPUTED_VALUE"""),"https://agencies.semrush.com/list/ai-optimization/australia/")</f>
        <v>https://agencies.semrush.com/list/ai-optimization/australia/</v>
      </c>
      <c r="C376" s="185" t="str">
        <f>IFERROR(__xludf.DUMMYFUNCTION("""COMPUTED_VALUE"""),"Best AI Search Optimization Agencies in Australia 2026 | Semrush")</f>
        <v>Best AI Search Optimization Agencies in Australia 2026 | Semrush</v>
      </c>
      <c r="D376" s="185" t="str">
        <f>IFERROR(__xludf.DUMMYFUNCTION("""COMPUTED_VALUE"""),"AU")</f>
        <v>AU</v>
      </c>
      <c r="E376" s="185" t="str">
        <f>IFERROR(__xludf.DUMMYFUNCTION("""COMPUTED_VALUE"""),"semrush.com")</f>
        <v>semrush.com</v>
      </c>
      <c r="F376" s="185" t="str">
        <f>IFERROR(__xludf.DUMMYFUNCTION("""COMPUTED_VALUE"""),"Profile")</f>
        <v>Profile</v>
      </c>
      <c r="G376" s="185" t="str">
        <f>IFERROR(__xludf.DUMMYFUNCTION("""COMPUTED_VALUE"""),"CORPORATE")</f>
        <v>CORPORATE</v>
      </c>
      <c r="H376" s="185" t="str">
        <f>IFERROR(__xludf.DUMMYFUNCTION("""COMPUTED_VALUE"""),"No")</f>
        <v>No</v>
      </c>
      <c r="I376" s="185" t="str">
        <f>IFERROR(__xludf.DUMMYFUNCTION("""COMPUTED_VALUE"""),"Medium")</f>
        <v>Medium</v>
      </c>
      <c r="J376" s="185" t="str">
        <f>IFERROR(__xludf.DUMMYFUNCTION("""COMPUTED_VALUE"""),"Yes")</f>
        <v>Yes</v>
      </c>
      <c r="K376" s="185" t="str">
        <f>IFERROR(__xludf.DUMMYFUNCTION("""COMPUTED_VALUE"""),"DNM Digital, Edge Marketing, First Page, Clearwater Agency, Measured, Earned Media, Online Marketing Gurus, Omnicom Media Group, Huge")</f>
        <v>DNM Digital, Edge Marketing, First Page, Clearwater Agency, Measured, Earned Media, Online Marketing Gurus, Omnicom Media Group, Huge</v>
      </c>
      <c r="L376" s="187">
        <f>IFERROR(__xludf.DUMMYFUNCTION("""COMPUTED_VALUE"""),7.0)</f>
        <v>7</v>
      </c>
      <c r="M376" s="188">
        <f>IFERROR(__xludf.DUMMYFUNCTION("""COMPUTED_VALUE"""),0.01)</f>
        <v>0.01</v>
      </c>
      <c r="N376" s="188">
        <f>IFERROR(__xludf.DUMMYFUNCTION("""COMPUTED_VALUE"""),2.43)</f>
        <v>2.43</v>
      </c>
      <c r="O376" s="208"/>
      <c r="P376" s="208"/>
      <c r="Q376" s="208"/>
      <c r="R376" s="208"/>
    </row>
    <row r="377">
      <c r="A377" s="185" t="str">
        <f>IFERROR(__xludf.DUMMYFUNCTION("""COMPUTED_VALUE"""),"Industry data / software authority")</f>
        <v>Industry data / software authority</v>
      </c>
      <c r="B377" s="186" t="str">
        <f>IFERROR(__xludf.DUMMYFUNCTION("""COMPUTED_VALUE"""),"https://agencies.semrush.com/list/display-advertising/arts-entertainment/australia/")</f>
        <v>https://agencies.semrush.com/list/display-advertising/arts-entertainment/australia/</v>
      </c>
      <c r="C377" s="185" t="str">
        <f>IFERROR(__xludf.DUMMYFUNCTION("""COMPUTED_VALUE"""),"Best Media &amp;amp; Entertainment Display Ads Agencies in Australia 2026 | Semrush")</f>
        <v>Best Media &amp;amp; Entertainment Display Ads Agencies in Australia 2026 | Semrush</v>
      </c>
      <c r="D377" s="185" t="str">
        <f>IFERROR(__xludf.DUMMYFUNCTION("""COMPUTED_VALUE"""),"AU")</f>
        <v>AU</v>
      </c>
      <c r="E377" s="185" t="str">
        <f>IFERROR(__xludf.DUMMYFUNCTION("""COMPUTED_VALUE"""),"semrush.com")</f>
        <v>semrush.com</v>
      </c>
      <c r="F377" s="185" t="str">
        <f>IFERROR(__xludf.DUMMYFUNCTION("""COMPUTED_VALUE"""),"Category Page")</f>
        <v>Category Page</v>
      </c>
      <c r="G377" s="185" t="str">
        <f>IFERROR(__xludf.DUMMYFUNCTION("""COMPUTED_VALUE"""),"CORPORATE")</f>
        <v>CORPORATE</v>
      </c>
      <c r="H377" s="185" t="str">
        <f>IFERROR(__xludf.DUMMYFUNCTION("""COMPUTED_VALUE"""),"No")</f>
        <v>No</v>
      </c>
      <c r="I377" s="185" t="str">
        <f>IFERROR(__xludf.DUMMYFUNCTION("""COMPUTED_VALUE"""),"Medium")</f>
        <v>Medium</v>
      </c>
      <c r="J377" s="185" t="str">
        <f>IFERROR(__xludf.DUMMYFUNCTION("""COMPUTED_VALUE"""),"Yes")</f>
        <v>Yes</v>
      </c>
      <c r="K377" s="185" t="str">
        <f>IFERROR(__xludf.DUMMYFUNCTION("""COMPUTED_VALUE"""),"Soup Agency, First Page, Online Marketing Gurus, Omnicom Media Group, 80/20 Digital, Measured")</f>
        <v>Soup Agency, First Page, Online Marketing Gurus, Omnicom Media Group, 80/20 Digital, Measured</v>
      </c>
      <c r="L377" s="187">
        <f>IFERROR(__xludf.DUMMYFUNCTION("""COMPUTED_VALUE"""),7.0)</f>
        <v>7</v>
      </c>
      <c r="M377" s="188">
        <f>IFERROR(__xludf.DUMMYFUNCTION("""COMPUTED_VALUE"""),0.01)</f>
        <v>0.01</v>
      </c>
      <c r="N377" s="188">
        <f>IFERROR(__xludf.DUMMYFUNCTION("""COMPUTED_VALUE"""),0.0)</f>
        <v>0</v>
      </c>
      <c r="O377" s="208"/>
      <c r="P377" s="208"/>
      <c r="Q377" s="208"/>
      <c r="R377" s="208"/>
    </row>
    <row r="378">
      <c r="A378" s="185" t="str">
        <f>IFERROR(__xludf.DUMMYFUNCTION("""COMPUTED_VALUE"""),"Agency directory / review marketplace")</f>
        <v>Agency directory / review marketplace</v>
      </c>
      <c r="B378" s="186" t="str">
        <f>IFERROR(__xludf.DUMMYFUNCTION("""COMPUTED_VALUE"""),"https://clutch.co/agencies/performance-marketing")</f>
        <v>https://clutch.co/agencies/performance-marketing</v>
      </c>
      <c r="C378" s="185" t="str">
        <f>IFERROR(__xludf.DUMMYFUNCTION("""COMPUTED_VALUE"""),"Top Performance Marketing Agencies - Jul 2026 Rankings | Clutch.co")</f>
        <v>Top Performance Marketing Agencies - Jul 2026 Rankings | Clutch.co</v>
      </c>
      <c r="D378" s="185" t="str">
        <f>IFERROR(__xludf.DUMMYFUNCTION("""COMPUTED_VALUE"""),"AU")</f>
        <v>AU</v>
      </c>
      <c r="E378" s="185" t="str">
        <f>IFERROR(__xludf.DUMMYFUNCTION("""COMPUTED_VALUE"""),"clutch.co")</f>
        <v>clutch.co</v>
      </c>
      <c r="F378" s="185" t="str">
        <f>IFERROR(__xludf.DUMMYFUNCTION("""COMPUTED_VALUE"""),"Category Page")</f>
        <v>Category Page</v>
      </c>
      <c r="G378" s="185" t="str">
        <f>IFERROR(__xludf.DUMMYFUNCTION("""COMPUTED_VALUE"""),"CORPORATE")</f>
        <v>CORPORATE</v>
      </c>
      <c r="H378" s="185" t="str">
        <f>IFERROR(__xludf.DUMMYFUNCTION("""COMPUTED_VALUE"""),"No")</f>
        <v>No</v>
      </c>
      <c r="I378" s="185" t="str">
        <f>IFERROR(__xludf.DUMMYFUNCTION("""COMPUTED_VALUE"""),"Medium")</f>
        <v>Medium</v>
      </c>
      <c r="J378" s="185" t="str">
        <f>IFERROR(__xludf.DUMMYFUNCTION("""COMPUTED_VALUE"""),"Yes")</f>
        <v>Yes</v>
      </c>
      <c r="K378" s="185" t="str">
        <f>IFERROR(__xludf.DUMMYFUNCTION("""COMPUTED_VALUE"""),"Impressive, Momentum, Edge Marketing")</f>
        <v>Impressive, Momentum, Edge Marketing</v>
      </c>
      <c r="L378" s="187">
        <f>IFERROR(__xludf.DUMMYFUNCTION("""COMPUTED_VALUE"""),7.0)</f>
        <v>7</v>
      </c>
      <c r="M378" s="188">
        <f>IFERROR(__xludf.DUMMYFUNCTION("""COMPUTED_VALUE"""),0.01)</f>
        <v>0.01</v>
      </c>
      <c r="N378" s="188">
        <f>IFERROR(__xludf.DUMMYFUNCTION("""COMPUTED_VALUE"""),0.0)</f>
        <v>0</v>
      </c>
      <c r="O378" s="208"/>
      <c r="P378" s="208"/>
      <c r="Q378" s="208"/>
      <c r="R378" s="208"/>
    </row>
    <row r="379">
      <c r="A379" s="185" t="str">
        <f>IFERROR(__xludf.DUMMYFUNCTION("""COMPUTED_VALUE"""),"Agency directory / review marketplace")</f>
        <v>Agency directory / review marketplace</v>
      </c>
      <c r="B379" s="186" t="str">
        <f>IFERROR(__xludf.DUMMYFUNCTION("""COMPUTED_VALUE"""),"https://digitalagencynetwork.com/agencies/sydney/ai-marketing/")</f>
        <v>https://digitalagencynetwork.com/agencies/sydney/ai-marketing/</v>
      </c>
      <c r="C379" s="185" t="str">
        <f>IFERROR(__xludf.DUMMYFUNCTION("""COMPUTED_VALUE"""),"Top AI Marketing Agencies in Sydney (2026)")</f>
        <v>Top AI Marketing Agencies in Sydney (2026)</v>
      </c>
      <c r="D379" s="185" t="str">
        <f>IFERROR(__xludf.DUMMYFUNCTION("""COMPUTED_VALUE"""),"AU")</f>
        <v>AU</v>
      </c>
      <c r="E379" s="185" t="str">
        <f>IFERROR(__xludf.DUMMYFUNCTION("""COMPUTED_VALUE"""),"digitalagencynetwork.com")</f>
        <v>digitalagencynetwork.com</v>
      </c>
      <c r="F379" s="185" t="str">
        <f>IFERROR(__xludf.DUMMYFUNCTION("""COMPUTED_VALUE"""),"Profile")</f>
        <v>Profile</v>
      </c>
      <c r="G379" s="185" t="str">
        <f>IFERROR(__xludf.DUMMYFUNCTION("""COMPUTED_VALUE"""),"REFERENCE")</f>
        <v>REFERENCE</v>
      </c>
      <c r="H379" s="185" t="str">
        <f>IFERROR(__xludf.DUMMYFUNCTION("""COMPUTED_VALUE"""),"No")</f>
        <v>No</v>
      </c>
      <c r="I379" s="185" t="str">
        <f>IFERROR(__xludf.DUMMYFUNCTION("""COMPUTED_VALUE"""),"Medium")</f>
        <v>Medium</v>
      </c>
      <c r="J379" s="185" t="str">
        <f>IFERROR(__xludf.DUMMYFUNCTION("""COMPUTED_VALUE"""),"Yes")</f>
        <v>Yes</v>
      </c>
      <c r="K379" s="185" t="str">
        <f>IFERROR(__xludf.DUMMYFUNCTION("""COMPUTED_VALUE"""),"Luminary, In Marketing We Trust, Soup Agency")</f>
        <v>Luminary, In Marketing We Trust, Soup Agency</v>
      </c>
      <c r="L379" s="187">
        <f>IFERROR(__xludf.DUMMYFUNCTION("""COMPUTED_VALUE"""),7.0)</f>
        <v>7</v>
      </c>
      <c r="M379" s="188">
        <f>IFERROR(__xludf.DUMMYFUNCTION("""COMPUTED_VALUE"""),0.01)</f>
        <v>0.01</v>
      </c>
      <c r="N379" s="188">
        <f>IFERROR(__xludf.DUMMYFUNCTION("""COMPUTED_VALUE"""),0.86)</f>
        <v>0.86</v>
      </c>
      <c r="O379" s="208"/>
      <c r="P379" s="208"/>
      <c r="Q379" s="208"/>
      <c r="R379" s="208"/>
    </row>
    <row r="380">
      <c r="A380" s="185" t="str">
        <f>IFERROR(__xludf.DUMMYFUNCTION("""COMPUTED_VALUE"""),"Trade media / editorial publication")</f>
        <v>Trade media / editorial publication</v>
      </c>
      <c r="B380" s="186" t="str">
        <f>IFERROR(__xludf.DUMMYFUNCTION("""COMPUTED_VALUE"""),"https://influencermarketinghub.com/social-media-marketing-agencies-australia/")</f>
        <v>https://influencermarketinghub.com/social-media-marketing-agencies-australia/</v>
      </c>
      <c r="C380" s="185" t="str">
        <f>IFERROR(__xludf.DUMMYFUNCTION("""COMPUTED_VALUE"""),"Top 13 Social Media Marketing Agencies in Australia")</f>
        <v>Top 13 Social Media Marketing Agencies in Australia</v>
      </c>
      <c r="D380" s="185" t="str">
        <f>IFERROR(__xludf.DUMMYFUNCTION("""COMPUTED_VALUE"""),"AU")</f>
        <v>AU</v>
      </c>
      <c r="E380" s="185" t="str">
        <f>IFERROR(__xludf.DUMMYFUNCTION("""COMPUTED_VALUE"""),"influencermarketinghub.com")</f>
        <v>influencermarketinghub.com</v>
      </c>
      <c r="F380" s="185" t="str">
        <f>IFERROR(__xludf.DUMMYFUNCTION("""COMPUTED_VALUE"""),"Listicle")</f>
        <v>Listicle</v>
      </c>
      <c r="G380" s="185" t="str">
        <f>IFERROR(__xludf.DUMMYFUNCTION("""COMPUTED_VALUE"""),"REFERENCE")</f>
        <v>REFERENCE</v>
      </c>
      <c r="H380" s="185" t="str">
        <f>IFERROR(__xludf.DUMMYFUNCTION("""COMPUTED_VALUE"""),"No")</f>
        <v>No</v>
      </c>
      <c r="I380" s="185" t="str">
        <f>IFERROR(__xludf.DUMMYFUNCTION("""COMPUTED_VALUE"""),"Medium")</f>
        <v>Medium</v>
      </c>
      <c r="J380" s="185" t="str">
        <f>IFERROR(__xludf.DUMMYFUNCTION("""COMPUTED_VALUE"""),"Yes")</f>
        <v>Yes</v>
      </c>
      <c r="K380" s="185" t="str">
        <f>IFERROR(__xludf.DUMMYFUNCTION("""COMPUTED_VALUE"""),"Megaphone, Farsiight, Emote Digital, Sparro")</f>
        <v>Megaphone, Farsiight, Emote Digital, Sparro</v>
      </c>
      <c r="L380" s="187">
        <f>IFERROR(__xludf.DUMMYFUNCTION("""COMPUTED_VALUE"""),7.0)</f>
        <v>7</v>
      </c>
      <c r="M380" s="188">
        <f>IFERROR(__xludf.DUMMYFUNCTION("""COMPUTED_VALUE"""),0.01)</f>
        <v>0.01</v>
      </c>
      <c r="N380" s="188">
        <f>IFERROR(__xludf.DUMMYFUNCTION("""COMPUTED_VALUE"""),2.14)</f>
        <v>2.14</v>
      </c>
      <c r="O380" s="208"/>
      <c r="P380" s="208"/>
      <c r="Q380" s="208"/>
      <c r="R380" s="208"/>
    </row>
    <row r="381">
      <c r="A381" s="185" t="str">
        <f>IFERROR(__xludf.DUMMYFUNCTION("""COMPUTED_VALUE"""),"Agency directory / review marketplace")</f>
        <v>Agency directory / review marketplace</v>
      </c>
      <c r="B381" s="186" t="str">
        <f>IFERROR(__xludf.DUMMYFUNCTION("""COMPUTED_VALUE"""),"https://www.sortlist.com/digital-marketing/australia-au")</f>
        <v>https://www.sortlist.com/digital-marketing/australia-au</v>
      </c>
      <c r="C381" s="185" t="str">
        <f>IFERROR(__xludf.DUMMYFUNCTION("""COMPUTED_VALUE"""),"The 10 Best Digital Marketing Agencies in Australia - 2026 Reviews")</f>
        <v>The 10 Best Digital Marketing Agencies in Australia - 2026 Reviews</v>
      </c>
      <c r="D381" s="185" t="str">
        <f>IFERROR(__xludf.DUMMYFUNCTION("""COMPUTED_VALUE"""),"AU")</f>
        <v>AU</v>
      </c>
      <c r="E381" s="185" t="str">
        <f>IFERROR(__xludf.DUMMYFUNCTION("""COMPUTED_VALUE"""),"sortlist.com")</f>
        <v>sortlist.com</v>
      </c>
      <c r="F381" s="185" t="str">
        <f>IFERROR(__xludf.DUMMYFUNCTION("""COMPUTED_VALUE"""),"Category Page")</f>
        <v>Category Page</v>
      </c>
      <c r="G381" s="185" t="str">
        <f>IFERROR(__xludf.DUMMYFUNCTION("""COMPUTED_VALUE"""),"CORPORATE")</f>
        <v>CORPORATE</v>
      </c>
      <c r="H381" s="185" t="str">
        <f>IFERROR(__xludf.DUMMYFUNCTION("""COMPUTED_VALUE"""),"No")</f>
        <v>No</v>
      </c>
      <c r="I381" s="185" t="str">
        <f>IFERROR(__xludf.DUMMYFUNCTION("""COMPUTED_VALUE"""),"Medium")</f>
        <v>Medium</v>
      </c>
      <c r="J381" s="185" t="str">
        <f>IFERROR(__xludf.DUMMYFUNCTION("""COMPUTED_VALUE"""),"Yes")</f>
        <v>Yes</v>
      </c>
      <c r="K381" s="185" t="str">
        <f>IFERROR(__xludf.DUMMYFUNCTION("""COMPUTED_VALUE"""),"Measured, Earned Media, Clearwater Agency, Impressive, Supple Digital, Digital Nomads HQ, Soup Agency, HERO, Momentum")</f>
        <v>Measured, Earned Media, Clearwater Agency, Impressive, Supple Digital, Digital Nomads HQ, Soup Agency, HERO, Momentum</v>
      </c>
      <c r="L381" s="187">
        <f>IFERROR(__xludf.DUMMYFUNCTION("""COMPUTED_VALUE"""),7.0)</f>
        <v>7</v>
      </c>
      <c r="M381" s="188">
        <f>IFERROR(__xludf.DUMMYFUNCTION("""COMPUTED_VALUE"""),0.01)</f>
        <v>0.01</v>
      </c>
      <c r="N381" s="188">
        <f>IFERROR(__xludf.DUMMYFUNCTION("""COMPUTED_VALUE"""),0.0)</f>
        <v>0</v>
      </c>
      <c r="O381" s="208"/>
      <c r="P381" s="208"/>
      <c r="Q381" s="208"/>
      <c r="R381" s="208"/>
    </row>
    <row r="382">
      <c r="A382" s="185" t="str">
        <f>IFERROR(__xludf.DUMMYFUNCTION("""COMPUTED_VALUE"""),"Agency directory / review marketplace")</f>
        <v>Agency directory / review marketplace</v>
      </c>
      <c r="B382" s="186" t="str">
        <f>IFERROR(__xludf.DUMMYFUNCTION("""COMPUTED_VALUE"""),"https://www.sortlist.com/l/australia-au")</f>
        <v>https://www.sortlist.com/l/australia-au</v>
      </c>
      <c r="C382" s="185" t="str">
        <f>IFERROR(__xludf.DUMMYFUNCTION("""COMPUTED_VALUE"""),"The 10 Best Marketing Agencies in Australia - 2026 Reviews")</f>
        <v>The 10 Best Marketing Agencies in Australia - 2026 Reviews</v>
      </c>
      <c r="D382" s="185" t="str">
        <f>IFERROR(__xludf.DUMMYFUNCTION("""COMPUTED_VALUE"""),"AU")</f>
        <v>AU</v>
      </c>
      <c r="E382" s="185" t="str">
        <f>IFERROR(__xludf.DUMMYFUNCTION("""COMPUTED_VALUE"""),"sortlist.com")</f>
        <v>sortlist.com</v>
      </c>
      <c r="F382" s="185" t="str">
        <f>IFERROR(__xludf.DUMMYFUNCTION("""COMPUTED_VALUE"""),"Profile")</f>
        <v>Profile</v>
      </c>
      <c r="G382" s="185" t="str">
        <f>IFERROR(__xludf.DUMMYFUNCTION("""COMPUTED_VALUE"""),"CORPORATE")</f>
        <v>CORPORATE</v>
      </c>
      <c r="H382" s="185" t="str">
        <f>IFERROR(__xludf.DUMMYFUNCTION("""COMPUTED_VALUE"""),"No")</f>
        <v>No</v>
      </c>
      <c r="I382" s="185" t="str">
        <f>IFERROR(__xludf.DUMMYFUNCTION("""COMPUTED_VALUE"""),"Medium")</f>
        <v>Medium</v>
      </c>
      <c r="J382" s="185" t="str">
        <f>IFERROR(__xludf.DUMMYFUNCTION("""COMPUTED_VALUE"""),"Yes")</f>
        <v>Yes</v>
      </c>
      <c r="K382" s="185" t="str">
        <f>IFERROR(__xludf.DUMMYFUNCTION("""COMPUTED_VALUE"""),"Measured, Earned Media, Clearwater Agency, Digital Nomads HQ, Soup Agency, HERO, Impressive, Supple Digital")</f>
        <v>Measured, Earned Media, Clearwater Agency, Digital Nomads HQ, Soup Agency, HERO, Impressive, Supple Digital</v>
      </c>
      <c r="L382" s="187">
        <f>IFERROR(__xludf.DUMMYFUNCTION("""COMPUTED_VALUE"""),7.0)</f>
        <v>7</v>
      </c>
      <c r="M382" s="188">
        <f>IFERROR(__xludf.DUMMYFUNCTION("""COMPUTED_VALUE"""),0.01)</f>
        <v>0.01</v>
      </c>
      <c r="N382" s="188">
        <f>IFERROR(__xludf.DUMMYFUNCTION("""COMPUTED_VALUE"""),0.86)</f>
        <v>0.86</v>
      </c>
      <c r="O382" s="208"/>
      <c r="P382" s="208"/>
      <c r="Q382" s="208"/>
      <c r="R382" s="208"/>
    </row>
    <row r="383">
      <c r="A383" s="185" t="str">
        <f>IFERROR(__xludf.DUMMYFUNCTION("""COMPUTED_VALUE"""),"Trade media / editorial publication")</f>
        <v>Trade media / editorial publication</v>
      </c>
      <c r="B383" s="186" t="str">
        <f>IFERROR(__xludf.DUMMYFUNCTION("""COMPUTED_VALUE"""),"https://www.theaustralian.com.au/sponsored-content/beyond-ai-pilots-the-organisations-turning-ai-ambition-into-action/news-story/415e261ad0bf616e51c3b7b79b17a86f")</f>
        <v>https://www.theaustralian.com.au/sponsored-content/beyond-ai-pilots-the-organisations-turning-ai-ambition-into-action/news-story/415e261ad0bf616e51c3b7b79b17a86f</v>
      </c>
      <c r="C383" s="185" t="str">
        <f>IFERROR(__xludf.DUMMYFUNCTION("""COMPUTED_VALUE"""),"Beyond AI pilots, the organisations turning AI ambition into action \| The Australian")</f>
        <v>Beyond AI pilots, the organisations turning AI ambition into action \| The Australian</v>
      </c>
      <c r="D383" s="185" t="str">
        <f>IFERROR(__xludf.DUMMYFUNCTION("""COMPUTED_VALUE"""),"AU")</f>
        <v>AU</v>
      </c>
      <c r="E383" s="185" t="str">
        <f>IFERROR(__xludf.DUMMYFUNCTION("""COMPUTED_VALUE"""),"theaustralian.com.au")</f>
        <v>theaustralian.com.au</v>
      </c>
      <c r="F383" s="185" t="str">
        <f>IFERROR(__xludf.DUMMYFUNCTION("""COMPUTED_VALUE"""),"Article")</f>
        <v>Article</v>
      </c>
      <c r="G383" s="185" t="str">
        <f>IFERROR(__xludf.DUMMYFUNCTION("""COMPUTED_VALUE"""),"EDITORIAL")</f>
        <v>EDITORIAL</v>
      </c>
      <c r="H383" s="185" t="str">
        <f>IFERROR(__xludf.DUMMYFUNCTION("""COMPUTED_VALUE"""),"No")</f>
        <v>No</v>
      </c>
      <c r="I383" s="185" t="str">
        <f>IFERROR(__xludf.DUMMYFUNCTION("""COMPUTED_VALUE"""),"High")</f>
        <v>High</v>
      </c>
      <c r="J383" s="185" t="str">
        <f>IFERROR(__xludf.DUMMYFUNCTION("""COMPUTED_VALUE"""),"Yes - priority")</f>
        <v>Yes - priority</v>
      </c>
      <c r="K383" s="185" t="str">
        <f>IFERROR(__xludf.DUMMYFUNCTION("""COMPUTED_VALUE"""),"Momentum, Deloitte Digital, Deloitte")</f>
        <v>Momentum, Deloitte Digital, Deloitte</v>
      </c>
      <c r="L383" s="187">
        <f>IFERROR(__xludf.DUMMYFUNCTION("""COMPUTED_VALUE"""),7.0)</f>
        <v>7</v>
      </c>
      <c r="M383" s="188">
        <f>IFERROR(__xludf.DUMMYFUNCTION("""COMPUTED_VALUE"""),0.01)</f>
        <v>0.01</v>
      </c>
      <c r="N383" s="188">
        <f>IFERROR(__xludf.DUMMYFUNCTION("""COMPUTED_VALUE"""),1.86)</f>
        <v>1.86</v>
      </c>
      <c r="O383" s="208"/>
      <c r="P383" s="208"/>
      <c r="Q383" s="208"/>
      <c r="R383" s="208"/>
    </row>
    <row r="384">
      <c r="A384" s="185" t="str">
        <f>IFERROR(__xludf.DUMMYFUNCTION("""COMPUTED_VALUE"""),"Agency directory / review marketplace")</f>
        <v>Agency directory / review marketplace</v>
      </c>
      <c r="B384" s="186" t="str">
        <f>IFERROR(__xludf.DUMMYFUNCTION("""COMPUTED_VALUE"""),"https://themanifest.com/au/media-buying/agencies")</f>
        <v>https://themanifest.com/au/media-buying/agencies</v>
      </c>
      <c r="C384" s="185" t="str">
        <f>IFERROR(__xludf.DUMMYFUNCTION("""COMPUTED_VALUE"""),"The Best Media Planning and Buying Companies in Australia - Jul 2026 | The Manifest")</f>
        <v>The Best Media Planning and Buying Companies in Australia - Jul 2026 | The Manifest</v>
      </c>
      <c r="D384" s="185" t="str">
        <f>IFERROR(__xludf.DUMMYFUNCTION("""COMPUTED_VALUE"""),"AU")</f>
        <v>AU</v>
      </c>
      <c r="E384" s="185" t="str">
        <f>IFERROR(__xludf.DUMMYFUNCTION("""COMPUTED_VALUE"""),"themanifest.com")</f>
        <v>themanifest.com</v>
      </c>
      <c r="F384" s="185" t="str">
        <f>IFERROR(__xludf.DUMMYFUNCTION("""COMPUTED_VALUE"""),"Listicle")</f>
        <v>Listicle</v>
      </c>
      <c r="G384" s="185" t="str">
        <f>IFERROR(__xludf.DUMMYFUNCTION("""COMPUTED_VALUE"""),"REFERENCE")</f>
        <v>REFERENCE</v>
      </c>
      <c r="H384" s="185" t="str">
        <f>IFERROR(__xludf.DUMMYFUNCTION("""COMPUTED_VALUE"""),"No")</f>
        <v>No</v>
      </c>
      <c r="I384" s="185" t="str">
        <f>IFERROR(__xludf.DUMMYFUNCTION("""COMPUTED_VALUE"""),"Medium")</f>
        <v>Medium</v>
      </c>
      <c r="J384" s="185" t="str">
        <f>IFERROR(__xludf.DUMMYFUNCTION("""COMPUTED_VALUE"""),"Yes")</f>
        <v>Yes</v>
      </c>
      <c r="K384" s="185" t="str">
        <f>IFERROR(__xludf.DUMMYFUNCTION("""COMPUTED_VALUE"""),"Soup Agency, Bench Media, DNM Digital, MK Media")</f>
        <v>Soup Agency, Bench Media, DNM Digital, MK Media</v>
      </c>
      <c r="L384" s="187">
        <f>IFERROR(__xludf.DUMMYFUNCTION("""COMPUTED_VALUE"""),7.0)</f>
        <v>7</v>
      </c>
      <c r="M384" s="188">
        <f>IFERROR(__xludf.DUMMYFUNCTION("""COMPUTED_VALUE"""),0.01)</f>
        <v>0.01</v>
      </c>
      <c r="N384" s="188">
        <f>IFERROR(__xludf.DUMMYFUNCTION("""COMPUTED_VALUE"""),0.0)</f>
        <v>0</v>
      </c>
      <c r="O384" s="208"/>
      <c r="P384" s="208"/>
      <c r="Q384" s="208"/>
      <c r="R384" s="208"/>
    </row>
    <row r="385">
      <c r="A385" s="185" t="str">
        <f>IFERROR(__xludf.DUMMYFUNCTION("""COMPUTED_VALUE"""),"Agency directory / review marketplace")</f>
        <v>Agency directory / review marketplace</v>
      </c>
      <c r="B385" s="186" t="str">
        <f>IFERROR(__xludf.DUMMYFUNCTION("""COMPUTED_VALUE"""),"https://clutch.co/au/consulting/ai/sydney")</f>
        <v>https://clutch.co/au/consulting/ai/sydney</v>
      </c>
      <c r="C385" s="185" t="str">
        <f>IFERROR(__xludf.DUMMYFUNCTION("""COMPUTED_VALUE"""),"Top AI Consultants in Sydney - Jul 2026 Rankings \| Clutch.co")</f>
        <v>Top AI Consultants in Sydney - Jul 2026 Rankings \| Clutch.co</v>
      </c>
      <c r="D385" s="185" t="str">
        <f>IFERROR(__xludf.DUMMYFUNCTION("""COMPUTED_VALUE"""),"AU")</f>
        <v>AU</v>
      </c>
      <c r="E385" s="185" t="str">
        <f>IFERROR(__xludf.DUMMYFUNCTION("""COMPUTED_VALUE"""),"clutch.co")</f>
        <v>clutch.co</v>
      </c>
      <c r="F385" s="185" t="str">
        <f>IFERROR(__xludf.DUMMYFUNCTION("""COMPUTED_VALUE"""),"Category Page")</f>
        <v>Category Page</v>
      </c>
      <c r="G385" s="185" t="str">
        <f>IFERROR(__xludf.DUMMYFUNCTION("""COMPUTED_VALUE"""),"CORPORATE")</f>
        <v>CORPORATE</v>
      </c>
      <c r="H385" s="185" t="str">
        <f>IFERROR(__xludf.DUMMYFUNCTION("""COMPUTED_VALUE"""),"No")</f>
        <v>No</v>
      </c>
      <c r="I385" s="185" t="str">
        <f>IFERROR(__xludf.DUMMYFUNCTION("""COMPUTED_VALUE"""),"Medium")</f>
        <v>Medium</v>
      </c>
      <c r="J385" s="185" t="str">
        <f>IFERROR(__xludf.DUMMYFUNCTION("""COMPUTED_VALUE"""),"Yes")</f>
        <v>Yes</v>
      </c>
      <c r="K385" s="185" t="str">
        <f>IFERROR(__xludf.DUMMYFUNCTION("""COMPUTED_VALUE"""),"Luminary, In Marketing We Trust, Impressive, Huge, Team 400")</f>
        <v>Luminary, In Marketing We Trust, Impressive, Huge, Team 400</v>
      </c>
      <c r="L385" s="187">
        <f>IFERROR(__xludf.DUMMYFUNCTION("""COMPUTED_VALUE"""),6.0)</f>
        <v>6</v>
      </c>
      <c r="M385" s="188">
        <f>IFERROR(__xludf.DUMMYFUNCTION("""COMPUTED_VALUE"""),0.01)</f>
        <v>0.01</v>
      </c>
      <c r="N385" s="188">
        <f>IFERROR(__xludf.DUMMYFUNCTION("""COMPUTED_VALUE"""),0.17)</f>
        <v>0.17</v>
      </c>
      <c r="O385" s="208"/>
      <c r="P385" s="208"/>
      <c r="Q385" s="208"/>
      <c r="R385" s="208"/>
    </row>
    <row r="386">
      <c r="A386" s="185" t="str">
        <f>IFERROR(__xludf.DUMMYFUNCTION("""COMPUTED_VALUE"""),"Analyst / research authority")</f>
        <v>Analyst / research authority</v>
      </c>
      <c r="B386" s="186" t="str">
        <f>IFERROR(__xludf.DUMMYFUNCTION("""COMPUTED_VALUE"""),"https://www.gartner.com/reviews/market/incrementality-measurement-platforms")</f>
        <v>https://www.gartner.com/reviews/market/incrementality-measurement-platforms</v>
      </c>
      <c r="C386" s="185" t="str">
        <f>IFERROR(__xludf.DUMMYFUNCTION("""COMPUTED_VALUE"""),"Best Incrementality Measurement Platforms Reviews 2026 \| Gartner Peer Insights")</f>
        <v>Best Incrementality Measurement Platforms Reviews 2026 \| Gartner Peer Insights</v>
      </c>
      <c r="D386" s="185" t="str">
        <f>IFERROR(__xludf.DUMMYFUNCTION("""COMPUTED_VALUE"""),"AU")</f>
        <v>AU</v>
      </c>
      <c r="E386" s="185" t="str">
        <f>IFERROR(__xludf.DUMMYFUNCTION("""COMPUTED_VALUE"""),"gartner.com")</f>
        <v>gartner.com</v>
      </c>
      <c r="F386" s="185" t="str">
        <f>IFERROR(__xludf.DUMMYFUNCTION("""COMPUTED_VALUE"""),"Category Page")</f>
        <v>Category Page</v>
      </c>
      <c r="G386" s="185" t="str">
        <f>IFERROR(__xludf.DUMMYFUNCTION("""COMPUTED_VALUE"""),"CORPORATE")</f>
        <v>CORPORATE</v>
      </c>
      <c r="H386" s="185" t="str">
        <f>IFERROR(__xludf.DUMMYFUNCTION("""COMPUTED_VALUE"""),"No")</f>
        <v>No</v>
      </c>
      <c r="I386" s="185" t="str">
        <f>IFERROR(__xludf.DUMMYFUNCTION("""COMPUTED_VALUE"""),"High")</f>
        <v>High</v>
      </c>
      <c r="J386" s="185" t="str">
        <f>IFERROR(__xludf.DUMMYFUNCTION("""COMPUTED_VALUE"""),"Yes - priority")</f>
        <v>Yes - priority</v>
      </c>
      <c r="K386" s="185" t="str">
        <f>IFERROR(__xludf.DUMMYFUNCTION("""COMPUTED_VALUE"""),"Haus, Measured, Lifesight, Workmagic")</f>
        <v>Haus, Measured, Lifesight, Workmagic</v>
      </c>
      <c r="L386" s="187">
        <f>IFERROR(__xludf.DUMMYFUNCTION("""COMPUTED_VALUE"""),6.0)</f>
        <v>6</v>
      </c>
      <c r="M386" s="188">
        <f>IFERROR(__xludf.DUMMYFUNCTION("""COMPUTED_VALUE"""),0.01)</f>
        <v>0.01</v>
      </c>
      <c r="N386" s="188">
        <f>IFERROR(__xludf.DUMMYFUNCTION("""COMPUTED_VALUE"""),0.83)</f>
        <v>0.83</v>
      </c>
      <c r="O386" s="208"/>
      <c r="P386" s="208"/>
      <c r="Q386" s="208"/>
      <c r="R386" s="208"/>
    </row>
    <row r="387">
      <c r="A387" s="185" t="str">
        <f>IFERROR(__xludf.DUMMYFUNCTION("""COMPUTED_VALUE"""),"Official partner / certification ecosystem")</f>
        <v>Official partner / certification ecosystem</v>
      </c>
      <c r="B387" s="186" t="str">
        <f>IFERROR(__xludf.DUMMYFUNCTION("""COMPUTED_VALUE"""),"https://support.google.com/tagmanager/answer/7237700?hl=en")</f>
        <v>https://support.google.com/tagmanager/answer/7237700?hl=en</v>
      </c>
      <c r="C387" s="185" t="str">
        <f>IFERROR(__xludf.DUMMYFUNCTION("""COMPUTED_VALUE"""),"Google Marketing Platform Partners - Tag Manager Help")</f>
        <v>Google Marketing Platform Partners - Tag Manager Help</v>
      </c>
      <c r="D387" s="185" t="str">
        <f>IFERROR(__xludf.DUMMYFUNCTION("""COMPUTED_VALUE"""),"AU")</f>
        <v>AU</v>
      </c>
      <c r="E387" s="185" t="str">
        <f>IFERROR(__xludf.DUMMYFUNCTION("""COMPUTED_VALUE"""),"google.com")</f>
        <v>google.com</v>
      </c>
      <c r="F387" s="185" t="str">
        <f>IFERROR(__xludf.DUMMYFUNCTION("""COMPUTED_VALUE"""),"Other")</f>
        <v>Other</v>
      </c>
      <c r="G387" s="185" t="str">
        <f>IFERROR(__xludf.DUMMYFUNCTION("""COMPUTED_VALUE"""),"OTHER")</f>
        <v>OTHER</v>
      </c>
      <c r="H387" s="185" t="str">
        <f>IFERROR(__xludf.DUMMYFUNCTION("""COMPUTED_VALUE"""),"No")</f>
        <v>No</v>
      </c>
      <c r="I387" s="185" t="str">
        <f>IFERROR(__xludf.DUMMYFUNCTION("""COMPUTED_VALUE"""),"High")</f>
        <v>High</v>
      </c>
      <c r="J387" s="185" t="str">
        <f>IFERROR(__xludf.DUMMYFUNCTION("""COMPUTED_VALUE"""),"Yes - priority")</f>
        <v>Yes - priority</v>
      </c>
      <c r="K387" s="185"/>
      <c r="L387" s="187">
        <f>IFERROR(__xludf.DUMMYFUNCTION("""COMPUTED_VALUE"""),6.0)</f>
        <v>6</v>
      </c>
      <c r="M387" s="188">
        <f>IFERROR(__xludf.DUMMYFUNCTION("""COMPUTED_VALUE"""),0.01)</f>
        <v>0.01</v>
      </c>
      <c r="N387" s="188">
        <f>IFERROR(__xludf.DUMMYFUNCTION("""COMPUTED_VALUE"""),0.5)</f>
        <v>0.5</v>
      </c>
      <c r="O387" s="208"/>
      <c r="P387" s="208"/>
      <c r="Q387" s="208"/>
      <c r="R387" s="208"/>
    </row>
    <row r="388">
      <c r="A388" s="185" t="str">
        <f>IFERROR(__xludf.DUMMYFUNCTION("""COMPUTED_VALUE"""),"Industry data / software authority")</f>
        <v>Industry data / software authority</v>
      </c>
      <c r="B388" s="186" t="str">
        <f>IFERROR(__xludf.DUMMYFUNCTION("""COMPUTED_VALUE"""),"https://agencies.semrush.com/list/display-advertising/western-australia/")</f>
        <v>https://agencies.semrush.com/list/display-advertising/western-australia/</v>
      </c>
      <c r="C388" s="185" t="str">
        <f>IFERROR(__xludf.DUMMYFUNCTION("""COMPUTED_VALUE"""),"Best Display Ads Agencies in Western Australia 2026 | Semrush")</f>
        <v>Best Display Ads Agencies in Western Australia 2026 | Semrush</v>
      </c>
      <c r="D388" s="185" t="str">
        <f>IFERROR(__xludf.DUMMYFUNCTION("""COMPUTED_VALUE"""),"AU")</f>
        <v>AU</v>
      </c>
      <c r="E388" s="185" t="str">
        <f>IFERROR(__xludf.DUMMYFUNCTION("""COMPUTED_VALUE"""),"semrush.com")</f>
        <v>semrush.com</v>
      </c>
      <c r="F388" s="185" t="str">
        <f>IFERROR(__xludf.DUMMYFUNCTION("""COMPUTED_VALUE"""),"Other")</f>
        <v>Other</v>
      </c>
      <c r="G388" s="185" t="str">
        <f>IFERROR(__xludf.DUMMYFUNCTION("""COMPUTED_VALUE"""),"CORPORATE")</f>
        <v>CORPORATE</v>
      </c>
      <c r="H388" s="185" t="str">
        <f>IFERROR(__xludf.DUMMYFUNCTION("""COMPUTED_VALUE"""),"No")</f>
        <v>No</v>
      </c>
      <c r="I388" s="185" t="str">
        <f>IFERROR(__xludf.DUMMYFUNCTION("""COMPUTED_VALUE"""),"Medium")</f>
        <v>Medium</v>
      </c>
      <c r="J388" s="185" t="str">
        <f>IFERROR(__xludf.DUMMYFUNCTION("""COMPUTED_VALUE"""),"Yes")</f>
        <v>Yes</v>
      </c>
      <c r="K388" s="185" t="str">
        <f>IFERROR(__xludf.DUMMYFUNCTION("""COMPUTED_VALUE"""),"Bonfire, Soup Agency, First Page, Clearwater Agency, Measured, Earned Media, Impressive, Online Marketing Gurus, Omnicom Media Group, Click Click Media")</f>
        <v>Bonfire, Soup Agency, First Page, Clearwater Agency, Measured, Earned Media, Impressive, Online Marketing Gurus, Omnicom Media Group, Click Click Media</v>
      </c>
      <c r="L388" s="187">
        <f>IFERROR(__xludf.DUMMYFUNCTION("""COMPUTED_VALUE"""),5.0)</f>
        <v>5</v>
      </c>
      <c r="M388" s="188">
        <f>IFERROR(__xludf.DUMMYFUNCTION("""COMPUTED_VALUE"""),0.01)</f>
        <v>0.01</v>
      </c>
      <c r="N388" s="188">
        <f>IFERROR(__xludf.DUMMYFUNCTION("""COMPUTED_VALUE"""),0.6)</f>
        <v>0.6</v>
      </c>
      <c r="O388" s="208"/>
      <c r="P388" s="208"/>
      <c r="Q388" s="208"/>
      <c r="R388" s="208"/>
    </row>
    <row r="389">
      <c r="A389" s="185" t="str">
        <f>IFERROR(__xludf.DUMMYFUNCTION("""COMPUTED_VALUE"""),"Agency directory / review marketplace")</f>
        <v>Agency directory / review marketplace</v>
      </c>
      <c r="B389" s="186" t="str">
        <f>IFERROR(__xludf.DUMMYFUNCTION("""COMPUTED_VALUE"""),"https://clutch.co/au/agencies/conversion-optimization")</f>
        <v>https://clutch.co/au/agencies/conversion-optimization</v>
      </c>
      <c r="C389" s="185" t="str">
        <f>IFERROR(__xludf.DUMMYFUNCTION("""COMPUTED_VALUE"""),"Top Conversion Rate Optimization Services in Australia - Jul 2026 Rankings \| Clutch.co")</f>
        <v>Top Conversion Rate Optimization Services in Australia - Jul 2026 Rankings \| Clutch.co</v>
      </c>
      <c r="D389" s="185" t="str">
        <f>IFERROR(__xludf.DUMMYFUNCTION("""COMPUTED_VALUE"""),"AU")</f>
        <v>AU</v>
      </c>
      <c r="E389" s="185" t="str">
        <f>IFERROR(__xludf.DUMMYFUNCTION("""COMPUTED_VALUE"""),"clutch.co")</f>
        <v>clutch.co</v>
      </c>
      <c r="F389" s="185" t="str">
        <f>IFERROR(__xludf.DUMMYFUNCTION("""COMPUTED_VALUE"""),"Category Page")</f>
        <v>Category Page</v>
      </c>
      <c r="G389" s="185" t="str">
        <f>IFERROR(__xludf.DUMMYFUNCTION("""COMPUTED_VALUE"""),"CORPORATE")</f>
        <v>CORPORATE</v>
      </c>
      <c r="H389" s="185" t="str">
        <f>IFERROR(__xludf.DUMMYFUNCTION("""COMPUTED_VALUE"""),"No")</f>
        <v>No</v>
      </c>
      <c r="I389" s="185" t="str">
        <f>IFERROR(__xludf.DUMMYFUNCTION("""COMPUTED_VALUE"""),"Medium")</f>
        <v>Medium</v>
      </c>
      <c r="J389" s="185" t="str">
        <f>IFERROR(__xludf.DUMMYFUNCTION("""COMPUTED_VALUE"""),"Yes")</f>
        <v>Yes</v>
      </c>
      <c r="K389" s="185" t="str">
        <f>IFERROR(__xludf.DUMMYFUNCTION("""COMPUTED_VALUE"""),"Human Digital, CUT THRU, Impressive, Huge, Reform Digital, ROI Growth Agency, RAW Studio, Digitxl")</f>
        <v>Human Digital, CUT THRU, Impressive, Huge, Reform Digital, ROI Growth Agency, RAW Studio, Digitxl</v>
      </c>
      <c r="L389" s="187">
        <f>IFERROR(__xludf.DUMMYFUNCTION("""COMPUTED_VALUE"""),5.0)</f>
        <v>5</v>
      </c>
      <c r="M389" s="188">
        <f>IFERROR(__xludf.DUMMYFUNCTION("""COMPUTED_VALUE"""),0.01)</f>
        <v>0.01</v>
      </c>
      <c r="N389" s="188">
        <f>IFERROR(__xludf.DUMMYFUNCTION("""COMPUTED_VALUE"""),0.2)</f>
        <v>0.2</v>
      </c>
      <c r="O389" s="208"/>
      <c r="P389" s="208"/>
      <c r="Q389" s="208"/>
      <c r="R389" s="208"/>
    </row>
    <row r="390">
      <c r="A390" s="185" t="str">
        <f>IFERROR(__xludf.DUMMYFUNCTION("""COMPUTED_VALUE"""),"Agency directory / review marketplace")</f>
        <v>Agency directory / review marketplace</v>
      </c>
      <c r="B390" s="186" t="str">
        <f>IFERROR(__xludf.DUMMYFUNCTION("""COMPUTED_VALUE"""),"https://clutch.co/au/agencies/creative/sydney")</f>
        <v>https://clutch.co/au/agencies/creative/sydney</v>
      </c>
      <c r="C390" s="185" t="str">
        <f>IFERROR(__xludf.DUMMYFUNCTION("""COMPUTED_VALUE"""),"Top Creative Agencies in Sydney - Jul 2026 Rankings \| Clutch.co")</f>
        <v>Top Creative Agencies in Sydney - Jul 2026 Rankings \| Clutch.co</v>
      </c>
      <c r="D390" s="185" t="str">
        <f>IFERROR(__xludf.DUMMYFUNCTION("""COMPUTED_VALUE"""),"AU")</f>
        <v>AU</v>
      </c>
      <c r="E390" s="185" t="str">
        <f>IFERROR(__xludf.DUMMYFUNCTION("""COMPUTED_VALUE"""),"clutch.co")</f>
        <v>clutch.co</v>
      </c>
      <c r="F390" s="185" t="str">
        <f>IFERROR(__xludf.DUMMYFUNCTION("""COMPUTED_VALUE"""),"Category Page")</f>
        <v>Category Page</v>
      </c>
      <c r="G390" s="185" t="str">
        <f>IFERROR(__xludf.DUMMYFUNCTION("""COMPUTED_VALUE"""),"CORPORATE")</f>
        <v>CORPORATE</v>
      </c>
      <c r="H390" s="185" t="str">
        <f>IFERROR(__xludf.DUMMYFUNCTION("""COMPUTED_VALUE"""),"No")</f>
        <v>No</v>
      </c>
      <c r="I390" s="185" t="str">
        <f>IFERROR(__xludf.DUMMYFUNCTION("""COMPUTED_VALUE"""),"Medium")</f>
        <v>Medium</v>
      </c>
      <c r="J390" s="185" t="str">
        <f>IFERROR(__xludf.DUMMYFUNCTION("""COMPUTED_VALUE"""),"Yes")</f>
        <v>Yes</v>
      </c>
      <c r="K390" s="185" t="str">
        <f>IFERROR(__xludf.DUMMYFUNCTION("""COMPUTED_VALUE"""),"Chello, Human Digital, Impressive, Huge, Dentsu, BMF")</f>
        <v>Chello, Human Digital, Impressive, Huge, Dentsu, BMF</v>
      </c>
      <c r="L390" s="187">
        <f>IFERROR(__xludf.DUMMYFUNCTION("""COMPUTED_VALUE"""),5.0)</f>
        <v>5</v>
      </c>
      <c r="M390" s="188">
        <f>IFERROR(__xludf.DUMMYFUNCTION("""COMPUTED_VALUE"""),0.01)</f>
        <v>0.01</v>
      </c>
      <c r="N390" s="188">
        <f>IFERROR(__xludf.DUMMYFUNCTION("""COMPUTED_VALUE"""),0.0)</f>
        <v>0</v>
      </c>
      <c r="O390" s="208"/>
      <c r="P390" s="208"/>
      <c r="Q390" s="208"/>
      <c r="R390" s="208"/>
    </row>
    <row r="391">
      <c r="A391" s="185" t="str">
        <f>IFERROR(__xludf.DUMMYFUNCTION("""COMPUTED_VALUE"""),"Agency directory / review marketplace")</f>
        <v>Agency directory / review marketplace</v>
      </c>
      <c r="B391" s="186" t="str">
        <f>IFERROR(__xludf.DUMMYFUNCTION("""COMPUTED_VALUE"""),"https://clutch.co/au/agencies/ppc/display?page=2")</f>
        <v>https://clutch.co/au/agencies/ppc/display?page=2</v>
      </c>
      <c r="C391" s="185" t="str">
        <f>IFERROR(__xludf.DUMMYFUNCTION("""COMPUTED_VALUE"""),"Page 2 - Top Display Advertising Services in Australia - Jul 2026 Rankings | Clutch.co")</f>
        <v>Page 2 - Top Display Advertising Services in Australia - Jul 2026 Rankings | Clutch.co</v>
      </c>
      <c r="D391" s="185" t="str">
        <f>IFERROR(__xludf.DUMMYFUNCTION("""COMPUTED_VALUE"""),"AU")</f>
        <v>AU</v>
      </c>
      <c r="E391" s="185" t="str">
        <f>IFERROR(__xludf.DUMMYFUNCTION("""COMPUTED_VALUE"""),"clutch.co")</f>
        <v>clutch.co</v>
      </c>
      <c r="F391" s="185" t="str">
        <f>IFERROR(__xludf.DUMMYFUNCTION("""COMPUTED_VALUE"""),"Other")</f>
        <v>Other</v>
      </c>
      <c r="G391" s="185" t="str">
        <f>IFERROR(__xludf.DUMMYFUNCTION("""COMPUTED_VALUE"""),"CORPORATE")</f>
        <v>CORPORATE</v>
      </c>
      <c r="H391" s="185" t="str">
        <f>IFERROR(__xludf.DUMMYFUNCTION("""COMPUTED_VALUE"""),"No")</f>
        <v>No</v>
      </c>
      <c r="I391" s="185" t="str">
        <f>IFERROR(__xludf.DUMMYFUNCTION("""COMPUTED_VALUE"""),"Medium")</f>
        <v>Medium</v>
      </c>
      <c r="J391" s="185" t="str">
        <f>IFERROR(__xludf.DUMMYFUNCTION("""COMPUTED_VALUE"""),"Yes")</f>
        <v>Yes</v>
      </c>
      <c r="K391" s="185" t="str">
        <f>IFERROR(__xludf.DUMMYFUNCTION("""COMPUTED_VALUE"""),"First Page, Impressive, Paradox Marketing, Intesols, Soup Agency, Salt &amp; Fuessel, Click Click Media")</f>
        <v>First Page, Impressive, Paradox Marketing, Intesols, Soup Agency, Salt &amp; Fuessel, Click Click Media</v>
      </c>
      <c r="L391" s="187">
        <f>IFERROR(__xludf.DUMMYFUNCTION("""COMPUTED_VALUE"""),5.0)</f>
        <v>5</v>
      </c>
      <c r="M391" s="188">
        <f>IFERROR(__xludf.DUMMYFUNCTION("""COMPUTED_VALUE"""),0.01)</f>
        <v>0.01</v>
      </c>
      <c r="N391" s="188">
        <f>IFERROR(__xludf.DUMMYFUNCTION("""COMPUTED_VALUE"""),0.0)</f>
        <v>0</v>
      </c>
      <c r="O391" s="208"/>
      <c r="P391" s="208"/>
      <c r="Q391" s="208"/>
      <c r="R391" s="208"/>
    </row>
    <row r="392">
      <c r="A392" s="185" t="str">
        <f>IFERROR(__xludf.DUMMYFUNCTION("""COMPUTED_VALUE"""),"Agency directory / review marketplace")</f>
        <v>Agency directory / review marketplace</v>
      </c>
      <c r="B392" s="186" t="str">
        <f>IFERROR(__xludf.DUMMYFUNCTION("""COMPUTED_VALUE"""),"https://clutch.co/au/it-services/analytics")</f>
        <v>https://clutch.co/au/it-services/analytics</v>
      </c>
      <c r="C392" s="185" t="str">
        <f>IFERROR(__xludf.DUMMYFUNCTION("""COMPUTED_VALUE"""),"Top Big Data Analytics Companies in Australia - Jul 2026 Rankings | Clutch.co")</f>
        <v>Top Big Data Analytics Companies in Australia - Jul 2026 Rankings | Clutch.co</v>
      </c>
      <c r="D392" s="185" t="str">
        <f>IFERROR(__xludf.DUMMYFUNCTION("""COMPUTED_VALUE"""),"AU")</f>
        <v>AU</v>
      </c>
      <c r="E392" s="185" t="str">
        <f>IFERROR(__xludf.DUMMYFUNCTION("""COMPUTED_VALUE"""),"clutch.co")</f>
        <v>clutch.co</v>
      </c>
      <c r="F392" s="185" t="str">
        <f>IFERROR(__xludf.DUMMYFUNCTION("""COMPUTED_VALUE"""),"Category Page")</f>
        <v>Category Page</v>
      </c>
      <c r="G392" s="185" t="str">
        <f>IFERROR(__xludf.DUMMYFUNCTION("""COMPUTED_VALUE"""),"CORPORATE")</f>
        <v>CORPORATE</v>
      </c>
      <c r="H392" s="185" t="str">
        <f>IFERROR(__xludf.DUMMYFUNCTION("""COMPUTED_VALUE"""),"No")</f>
        <v>No</v>
      </c>
      <c r="I392" s="185" t="str">
        <f>IFERROR(__xludf.DUMMYFUNCTION("""COMPUTED_VALUE"""),"Medium")</f>
        <v>Medium</v>
      </c>
      <c r="J392" s="185" t="str">
        <f>IFERROR(__xludf.DUMMYFUNCTION("""COMPUTED_VALUE"""),"Yes")</f>
        <v>Yes</v>
      </c>
      <c r="K392" s="185" t="str">
        <f>IFERROR(__xludf.DUMMYFUNCTION("""COMPUTED_VALUE"""),"Impressive, Huge")</f>
        <v>Impressive, Huge</v>
      </c>
      <c r="L392" s="187">
        <f>IFERROR(__xludf.DUMMYFUNCTION("""COMPUTED_VALUE"""),5.0)</f>
        <v>5</v>
      </c>
      <c r="M392" s="188">
        <f>IFERROR(__xludf.DUMMYFUNCTION("""COMPUTED_VALUE"""),0.01)</f>
        <v>0.01</v>
      </c>
      <c r="N392" s="188">
        <f>IFERROR(__xludf.DUMMYFUNCTION("""COMPUTED_VALUE"""),1.2)</f>
        <v>1.2</v>
      </c>
      <c r="O392" s="208"/>
      <c r="P392" s="208"/>
      <c r="Q392" s="208"/>
      <c r="R392" s="208"/>
    </row>
    <row r="393">
      <c r="A393" s="185" t="str">
        <f>IFERROR(__xludf.DUMMYFUNCTION("""COMPUTED_VALUE"""),"Agency directory / review marketplace")</f>
        <v>Agency directory / review marketplace</v>
      </c>
      <c r="B393" s="186" t="str">
        <f>IFERROR(__xludf.DUMMYFUNCTION("""COMPUTED_VALUE"""),"https://www.designrush.com/agency/paid-media-pay-per-click/au?page=6")</f>
        <v>https://www.designrush.com/agency/paid-media-pay-per-click/au?page=6</v>
      </c>
      <c r="C393" s="185" t="str">
        <f>IFERROR(__xludf.DUMMYFUNCTION("""COMPUTED_VALUE"""),"Top PPC Services in Australia - Page 6")</f>
        <v>Top PPC Services in Australia - Page 6</v>
      </c>
      <c r="D393" s="185" t="str">
        <f>IFERROR(__xludf.DUMMYFUNCTION("""COMPUTED_VALUE"""),"AU")</f>
        <v>AU</v>
      </c>
      <c r="E393" s="185" t="str">
        <f>IFERROR(__xludf.DUMMYFUNCTION("""COMPUTED_VALUE"""),"designrush.com")</f>
        <v>designrush.com</v>
      </c>
      <c r="F393" s="185" t="str">
        <f>IFERROR(__xludf.DUMMYFUNCTION("""COMPUTED_VALUE"""),"Product Page")</f>
        <v>Product Page</v>
      </c>
      <c r="G393" s="185" t="str">
        <f>IFERROR(__xludf.DUMMYFUNCTION("""COMPUTED_VALUE"""),"CORPORATE")</f>
        <v>CORPORATE</v>
      </c>
      <c r="H393" s="185" t="str">
        <f>IFERROR(__xludf.DUMMYFUNCTION("""COMPUTED_VALUE"""),"No")</f>
        <v>No</v>
      </c>
      <c r="I393" s="185" t="str">
        <f>IFERROR(__xludf.DUMMYFUNCTION("""COMPUTED_VALUE"""),"Medium")</f>
        <v>Medium</v>
      </c>
      <c r="J393" s="185" t="str">
        <f>IFERROR(__xludf.DUMMYFUNCTION("""COMPUTED_VALUE"""),"Yes")</f>
        <v>Yes</v>
      </c>
      <c r="K393" s="185" t="str">
        <f>IFERROR(__xludf.DUMMYFUNCTION("""COMPUTED_VALUE"""),"Reload Media, Impressive, Zib Digital, AdVisible")</f>
        <v>Reload Media, Impressive, Zib Digital, AdVisible</v>
      </c>
      <c r="L393" s="187">
        <f>IFERROR(__xludf.DUMMYFUNCTION("""COMPUTED_VALUE"""),5.0)</f>
        <v>5</v>
      </c>
      <c r="M393" s="188">
        <f>IFERROR(__xludf.DUMMYFUNCTION("""COMPUTED_VALUE"""),0.01)</f>
        <v>0.01</v>
      </c>
      <c r="N393" s="188">
        <f>IFERROR(__xludf.DUMMYFUNCTION("""COMPUTED_VALUE"""),2.2)</f>
        <v>2.2</v>
      </c>
      <c r="O393" s="208"/>
      <c r="P393" s="208"/>
      <c r="Q393" s="208"/>
      <c r="R393" s="208"/>
    </row>
    <row r="394">
      <c r="A394" s="185" t="str">
        <f>IFERROR(__xludf.DUMMYFUNCTION("""COMPUTED_VALUE"""),"Official partner / certification ecosystem")</f>
        <v>Official partner / certification ecosystem</v>
      </c>
      <c r="B394" s="186" t="str">
        <f>IFERROR(__xludf.DUMMYFUNCTION("""COMPUTED_VALUE"""),"https://www.google.com/intl/en_GB/ads/publisher/partners/find-a-partner/")</f>
        <v>https://www.google.com/intl/en_GB/ads/publisher/partners/find-a-partner/</v>
      </c>
      <c r="C394" s="185" t="str">
        <f>IFERROR(__xludf.DUMMYFUNCTION("""COMPUTED_VALUE"""),"Find a Publishing Partner")</f>
        <v>Find a Publishing Partner</v>
      </c>
      <c r="D394" s="185" t="str">
        <f>IFERROR(__xludf.DUMMYFUNCTION("""COMPUTED_VALUE"""),"AU")</f>
        <v>AU</v>
      </c>
      <c r="E394" s="185" t="str">
        <f>IFERROR(__xludf.DUMMYFUNCTION("""COMPUTED_VALUE"""),"google.com")</f>
        <v>google.com</v>
      </c>
      <c r="F394" s="185" t="str">
        <f>IFERROR(__xludf.DUMMYFUNCTION("""COMPUTED_VALUE"""),"Profile")</f>
        <v>Profile</v>
      </c>
      <c r="G394" s="185" t="str">
        <f>IFERROR(__xludf.DUMMYFUNCTION("""COMPUTED_VALUE"""),"OTHER")</f>
        <v>OTHER</v>
      </c>
      <c r="H394" s="185" t="str">
        <f>IFERROR(__xludf.DUMMYFUNCTION("""COMPUTED_VALUE"""),"No")</f>
        <v>No</v>
      </c>
      <c r="I394" s="185" t="str">
        <f>IFERROR(__xludf.DUMMYFUNCTION("""COMPUTED_VALUE"""),"High")</f>
        <v>High</v>
      </c>
      <c r="J394" s="185" t="str">
        <f>IFERROR(__xludf.DUMMYFUNCTION("""COMPUTED_VALUE"""),"Yes - priority")</f>
        <v>Yes - priority</v>
      </c>
      <c r="K394" s="185"/>
      <c r="L394" s="187">
        <f>IFERROR(__xludf.DUMMYFUNCTION("""COMPUTED_VALUE"""),5.0)</f>
        <v>5</v>
      </c>
      <c r="M394" s="188">
        <f>IFERROR(__xludf.DUMMYFUNCTION("""COMPUTED_VALUE"""),0.01)</f>
        <v>0.01</v>
      </c>
      <c r="N394" s="188">
        <f>IFERROR(__xludf.DUMMYFUNCTION("""COMPUTED_VALUE"""),0.0)</f>
        <v>0</v>
      </c>
      <c r="O394" s="208"/>
      <c r="P394" s="208"/>
      <c r="Q394" s="208"/>
      <c r="R394" s="208"/>
    </row>
    <row r="395">
      <c r="A395" s="185" t="str">
        <f>IFERROR(__xludf.DUMMYFUNCTION("""COMPUTED_VALUE"""),"Agency directory / review marketplace")</f>
        <v>Agency directory / review marketplace</v>
      </c>
      <c r="B395" s="186" t="str">
        <f>IFERROR(__xludf.DUMMYFUNCTION("""COMPUTED_VALUE"""),"https://www.sortlist.com/s/paid-media/melbourne-au")</f>
        <v>https://www.sortlist.com/s/paid-media/melbourne-au</v>
      </c>
      <c r="C395" s="185" t="str">
        <f>IFERROR(__xludf.DUMMYFUNCTION("""COMPUTED_VALUE"""),"The 10 Best Paid Media Agencies in Melbourne - 2026 Reviews")</f>
        <v>The 10 Best Paid Media Agencies in Melbourne - 2026 Reviews</v>
      </c>
      <c r="D395" s="185" t="str">
        <f>IFERROR(__xludf.DUMMYFUNCTION("""COMPUTED_VALUE"""),"AU")</f>
        <v>AU</v>
      </c>
      <c r="E395" s="185" t="str">
        <f>IFERROR(__xludf.DUMMYFUNCTION("""COMPUTED_VALUE"""),"sortlist.com")</f>
        <v>sortlist.com</v>
      </c>
      <c r="F395" s="185" t="str">
        <f>IFERROR(__xludf.DUMMYFUNCTION("""COMPUTED_VALUE"""),"Category Page")</f>
        <v>Category Page</v>
      </c>
      <c r="G395" s="185" t="str">
        <f>IFERROR(__xludf.DUMMYFUNCTION("""COMPUTED_VALUE"""),"CORPORATE")</f>
        <v>CORPORATE</v>
      </c>
      <c r="H395" s="185" t="str">
        <f>IFERROR(__xludf.DUMMYFUNCTION("""COMPUTED_VALUE"""),"No")</f>
        <v>No</v>
      </c>
      <c r="I395" s="185" t="str">
        <f>IFERROR(__xludf.DUMMYFUNCTION("""COMPUTED_VALUE"""),"Medium")</f>
        <v>Medium</v>
      </c>
      <c r="J395" s="185" t="str">
        <f>IFERROR(__xludf.DUMMYFUNCTION("""COMPUTED_VALUE"""),"Yes")</f>
        <v>Yes</v>
      </c>
      <c r="K395" s="185" t="str">
        <f>IFERROR(__xludf.DUMMYFUNCTION("""COMPUTED_VALUE"""),"Measured, Earned Media, Clearwater Agency, Impressive, SIXGUN, Supple Digital, Momentum, Adcore Elite")</f>
        <v>Measured, Earned Media, Clearwater Agency, Impressive, SIXGUN, Supple Digital, Momentum, Adcore Elite</v>
      </c>
      <c r="L395" s="187">
        <f>IFERROR(__xludf.DUMMYFUNCTION("""COMPUTED_VALUE"""),5.0)</f>
        <v>5</v>
      </c>
      <c r="M395" s="188">
        <f>IFERROR(__xludf.DUMMYFUNCTION("""COMPUTED_VALUE"""),0.01)</f>
        <v>0.01</v>
      </c>
      <c r="N395" s="188">
        <f>IFERROR(__xludf.DUMMYFUNCTION("""COMPUTED_VALUE"""),0.0)</f>
        <v>0</v>
      </c>
      <c r="O395" s="208"/>
      <c r="P395" s="208"/>
      <c r="Q395" s="208"/>
      <c r="R395" s="208"/>
    </row>
    <row r="396">
      <c r="A396" s="185" t="str">
        <f>IFERROR(__xludf.DUMMYFUNCTION("""COMPUTED_VALUE"""),"Industry data / software authority")</f>
        <v>Industry data / software authority</v>
      </c>
      <c r="B396" s="186" t="str">
        <f>IFERROR(__xludf.DUMMYFUNCTION("""COMPUTED_VALUE"""),"https://agencies.semrush.com/list/display-advertising/ecommerce/australia/")</f>
        <v>https://agencies.semrush.com/list/display-advertising/ecommerce/australia/</v>
      </c>
      <c r="C396" s="185" t="str">
        <f>IFERROR(__xludf.DUMMYFUNCTION("""COMPUTED_VALUE"""),"Best Ecommerce Display Ads Agencies in Australia 2026 | Semrush")</f>
        <v>Best Ecommerce Display Ads Agencies in Australia 2026 | Semrush</v>
      </c>
      <c r="D396" s="185" t="str">
        <f>IFERROR(__xludf.DUMMYFUNCTION("""COMPUTED_VALUE"""),"AU")</f>
        <v>AU</v>
      </c>
      <c r="E396" s="185" t="str">
        <f>IFERROR(__xludf.DUMMYFUNCTION("""COMPUTED_VALUE"""),"semrush.com")</f>
        <v>semrush.com</v>
      </c>
      <c r="F396" s="185" t="str">
        <f>IFERROR(__xludf.DUMMYFUNCTION("""COMPUTED_VALUE"""),"Other")</f>
        <v>Other</v>
      </c>
      <c r="G396" s="185" t="str">
        <f>IFERROR(__xludf.DUMMYFUNCTION("""COMPUTED_VALUE"""),"CORPORATE")</f>
        <v>CORPORATE</v>
      </c>
      <c r="H396" s="185" t="str">
        <f>IFERROR(__xludf.DUMMYFUNCTION("""COMPUTED_VALUE"""),"No")</f>
        <v>No</v>
      </c>
      <c r="I396" s="185" t="str">
        <f>IFERROR(__xludf.DUMMYFUNCTION("""COMPUTED_VALUE"""),"Medium")</f>
        <v>Medium</v>
      </c>
      <c r="J396" s="185" t="str">
        <f>IFERROR(__xludf.DUMMYFUNCTION("""COMPUTED_VALUE"""),"Yes")</f>
        <v>Yes</v>
      </c>
      <c r="K396" s="185"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L396" s="187">
        <f>IFERROR(__xludf.DUMMYFUNCTION("""COMPUTED_VALUE"""),4.0)</f>
        <v>4</v>
      </c>
      <c r="M396" s="188">
        <f>IFERROR(__xludf.DUMMYFUNCTION("""COMPUTED_VALUE"""),0.0)</f>
        <v>0</v>
      </c>
      <c r="N396" s="188">
        <f>IFERROR(__xludf.DUMMYFUNCTION("""COMPUTED_VALUE"""),0.0)</f>
        <v>0</v>
      </c>
      <c r="O396" s="208"/>
      <c r="P396" s="208"/>
      <c r="Q396" s="208"/>
      <c r="R396" s="208"/>
    </row>
    <row r="397">
      <c r="A397" s="185" t="str">
        <f>IFERROR(__xludf.DUMMYFUNCTION("""COMPUTED_VALUE"""),"Industry data / software authority")</f>
        <v>Industry data / software authority</v>
      </c>
      <c r="B397" s="186" t="str">
        <f>IFERROR(__xludf.DUMMYFUNCTION("""COMPUTED_VALUE"""),"https://agencies.semrush.com/list/ppc/australia/")</f>
        <v>https://agencies.semrush.com/list/ppc/australia/</v>
      </c>
      <c r="C397" s="185" t="str">
        <f>IFERROR(__xludf.DUMMYFUNCTION("""COMPUTED_VALUE"""),"Best PPC Agencies in Australia 2026 | Semrush")</f>
        <v>Best PPC Agencies in Australia 2026 | Semrush</v>
      </c>
      <c r="D397" s="185" t="str">
        <f>IFERROR(__xludf.DUMMYFUNCTION("""COMPUTED_VALUE"""),"AU")</f>
        <v>AU</v>
      </c>
      <c r="E397" s="185" t="str">
        <f>IFERROR(__xludf.DUMMYFUNCTION("""COMPUTED_VALUE"""),"semrush.com")</f>
        <v>semrush.com</v>
      </c>
      <c r="F397" s="185" t="str">
        <f>IFERROR(__xludf.DUMMYFUNCTION("""COMPUTED_VALUE"""),"Category Page")</f>
        <v>Category Page</v>
      </c>
      <c r="G397" s="185" t="str">
        <f>IFERROR(__xludf.DUMMYFUNCTION("""COMPUTED_VALUE"""),"CORPORATE")</f>
        <v>CORPORATE</v>
      </c>
      <c r="H397" s="185" t="str">
        <f>IFERROR(__xludf.DUMMYFUNCTION("""COMPUTED_VALUE"""),"No")</f>
        <v>No</v>
      </c>
      <c r="I397" s="185" t="str">
        <f>IFERROR(__xludf.DUMMYFUNCTION("""COMPUTED_VALUE"""),"Medium")</f>
        <v>Medium</v>
      </c>
      <c r="J397" s="185" t="str">
        <f>IFERROR(__xludf.DUMMYFUNCTION("""COMPUTED_VALUE"""),"Yes")</f>
        <v>Yes</v>
      </c>
      <c r="K397" s="185" t="str">
        <f>IFERROR(__xludf.DUMMYFUNCTION("""COMPUTED_VALUE"""),"Edge Marketing, Momentum, Supple Digital, DNM Digital, Soup Agency, First Page, Clearwater Agency, Measured, Earned Media, Impressive, Online Marketing Gurus, Omnicom Media Group, Click Click Media, First Page Australia")</f>
        <v>Edge Marketing, Momentum, Supple Digital, DNM Digital, Soup Agency, First Page, Clearwater Agency, Measured, Earned Media, Impressive, Online Marketing Gurus, Omnicom Media Group, Click Click Media, First Page Australia</v>
      </c>
      <c r="L397" s="187">
        <f>IFERROR(__xludf.DUMMYFUNCTION("""COMPUTED_VALUE"""),4.0)</f>
        <v>4</v>
      </c>
      <c r="M397" s="188">
        <f>IFERROR(__xludf.DUMMYFUNCTION("""COMPUTED_VALUE"""),0.0)</f>
        <v>0</v>
      </c>
      <c r="N397" s="188">
        <f>IFERROR(__xludf.DUMMYFUNCTION("""COMPUTED_VALUE"""),0.0)</f>
        <v>0</v>
      </c>
      <c r="O397" s="208"/>
      <c r="P397" s="208"/>
      <c r="Q397" s="208"/>
      <c r="R397" s="208"/>
    </row>
    <row r="398">
      <c r="A398" s="185" t="str">
        <f>IFERROR(__xludf.DUMMYFUNCTION("""COMPUTED_VALUE"""),"Agency directory / review marketplace")</f>
        <v>Agency directory / review marketplace</v>
      </c>
      <c r="B398" s="186" t="str">
        <f>IFERROR(__xludf.DUMMYFUNCTION("""COMPUTED_VALUE"""),"https://clutch.co/au/agencies/business-services-industry")</f>
        <v>https://clutch.co/au/agencies/business-services-industry</v>
      </c>
      <c r="C398" s="185" t="str">
        <f>IFERROR(__xludf.DUMMYFUNCTION("""COMPUTED_VALUE"""),"Top Advertising Agencies for B2B in Australia - Jul 2026 Rankings | Clutch.co")</f>
        <v>Top Advertising Agencies for B2B in Australia - Jul 2026 Rankings | Clutch.co</v>
      </c>
      <c r="D398" s="185" t="str">
        <f>IFERROR(__xludf.DUMMYFUNCTION("""COMPUTED_VALUE"""),"AU")</f>
        <v>AU</v>
      </c>
      <c r="E398" s="185" t="str">
        <f>IFERROR(__xludf.DUMMYFUNCTION("""COMPUTED_VALUE"""),"clutch.co")</f>
        <v>clutch.co</v>
      </c>
      <c r="F398" s="185" t="str">
        <f>IFERROR(__xludf.DUMMYFUNCTION("""COMPUTED_VALUE"""),"Category Page")</f>
        <v>Category Page</v>
      </c>
      <c r="G398" s="185" t="str">
        <f>IFERROR(__xludf.DUMMYFUNCTION("""COMPUTED_VALUE"""),"CORPORATE")</f>
        <v>CORPORATE</v>
      </c>
      <c r="H398" s="185" t="str">
        <f>IFERROR(__xludf.DUMMYFUNCTION("""COMPUTED_VALUE"""),"No")</f>
        <v>No</v>
      </c>
      <c r="I398" s="185" t="str">
        <f>IFERROR(__xludf.DUMMYFUNCTION("""COMPUTED_VALUE"""),"Medium")</f>
        <v>Medium</v>
      </c>
      <c r="J398" s="185" t="str">
        <f>IFERROR(__xludf.DUMMYFUNCTION("""COMPUTED_VALUE"""),"Yes")</f>
        <v>Yes</v>
      </c>
      <c r="K398" s="185" t="str">
        <f>IFERROR(__xludf.DUMMYFUNCTION("""COMPUTED_VALUE"""),"Version2, Impressive, Chello, Human Digital, Soup Agency, Farsiight, DNM Digital, Ninja Promo, Insil, First Page")</f>
        <v>Version2, Impressive, Chello, Human Digital, Soup Agency, Farsiight, DNM Digital, Ninja Promo, Insil, First Page</v>
      </c>
      <c r="L398" s="187">
        <f>IFERROR(__xludf.DUMMYFUNCTION("""COMPUTED_VALUE"""),4.0)</f>
        <v>4</v>
      </c>
      <c r="M398" s="188">
        <f>IFERROR(__xludf.DUMMYFUNCTION("""COMPUTED_VALUE"""),0.0)</f>
        <v>0</v>
      </c>
      <c r="N398" s="188">
        <f>IFERROR(__xludf.DUMMYFUNCTION("""COMPUTED_VALUE"""),0.0)</f>
        <v>0</v>
      </c>
      <c r="O398" s="208"/>
      <c r="P398" s="208"/>
      <c r="Q398" s="208"/>
      <c r="R398" s="208"/>
    </row>
    <row r="399">
      <c r="A399" s="185" t="str">
        <f>IFERROR(__xludf.DUMMYFUNCTION("""COMPUTED_VALUE"""),"Agency directory / review marketplace")</f>
        <v>Agency directory / review marketplace</v>
      </c>
      <c r="B399" s="186" t="str">
        <f>IFERROR(__xludf.DUMMYFUNCTION("""COMPUTED_VALUE"""),"https://clutch.co/au/agencies/melbourne")</f>
        <v>https://clutch.co/au/agencies/melbourne</v>
      </c>
      <c r="C399" s="185" t="str">
        <f>IFERROR(__xludf.DUMMYFUNCTION("""COMPUTED_VALUE"""),"Top Advertising Agencies in Melbourne, Australia - Jul 2026 Rankings \| Clutch.co")</f>
        <v>Top Advertising Agencies in Melbourne, Australia - Jul 2026 Rankings \| Clutch.co</v>
      </c>
      <c r="D399" s="185" t="str">
        <f>IFERROR(__xludf.DUMMYFUNCTION("""COMPUTED_VALUE"""),"AU")</f>
        <v>AU</v>
      </c>
      <c r="E399" s="185" t="str">
        <f>IFERROR(__xludf.DUMMYFUNCTION("""COMPUTED_VALUE"""),"clutch.co")</f>
        <v>clutch.co</v>
      </c>
      <c r="F399" s="185" t="str">
        <f>IFERROR(__xludf.DUMMYFUNCTION("""COMPUTED_VALUE"""),"Category Page")</f>
        <v>Category Page</v>
      </c>
      <c r="G399" s="185" t="str">
        <f>IFERROR(__xludf.DUMMYFUNCTION("""COMPUTED_VALUE"""),"CORPORATE")</f>
        <v>CORPORATE</v>
      </c>
      <c r="H399" s="185" t="str">
        <f>IFERROR(__xludf.DUMMYFUNCTION("""COMPUTED_VALUE"""),"No")</f>
        <v>No</v>
      </c>
      <c r="I399" s="185" t="str">
        <f>IFERROR(__xludf.DUMMYFUNCTION("""COMPUTED_VALUE"""),"Medium")</f>
        <v>Medium</v>
      </c>
      <c r="J399" s="185" t="str">
        <f>IFERROR(__xludf.DUMMYFUNCTION("""COMPUTED_VALUE"""),"Yes")</f>
        <v>Yes</v>
      </c>
      <c r="K399" s="185" t="str">
        <f>IFERROR(__xludf.DUMMYFUNCTION("""COMPUTED_VALUE"""),"Version2, Impressive, Ninja Promo, WebSavvy")</f>
        <v>Version2, Impressive, Ninja Promo, WebSavvy</v>
      </c>
      <c r="L399" s="187">
        <f>IFERROR(__xludf.DUMMYFUNCTION("""COMPUTED_VALUE"""),4.0)</f>
        <v>4</v>
      </c>
      <c r="M399" s="188">
        <f>IFERROR(__xludf.DUMMYFUNCTION("""COMPUTED_VALUE"""),0.0)</f>
        <v>0</v>
      </c>
      <c r="N399" s="188">
        <f>IFERROR(__xludf.DUMMYFUNCTION("""COMPUTED_VALUE"""),0.0)</f>
        <v>0</v>
      </c>
      <c r="O399" s="208"/>
      <c r="P399" s="208"/>
      <c r="Q399" s="208"/>
      <c r="R399" s="208"/>
    </row>
    <row r="400">
      <c r="A400" s="185" t="str">
        <f>IFERROR(__xludf.DUMMYFUNCTION("""COMPUTED_VALUE"""),"Agency directory / review marketplace")</f>
        <v>Agency directory / review marketplace</v>
      </c>
      <c r="B400" s="186" t="str">
        <f>IFERROR(__xludf.DUMMYFUNCTION("""COMPUTED_VALUE"""),"https://clutch.co/au/agencies/ppc%3Fpage%3D2")</f>
        <v>https://clutch.co/au/agencies/ppc%3Fpage%3D2</v>
      </c>
      <c r="C400" s="185" t="str">
        <f>IFERROR(__xludf.DUMMYFUNCTION("""COMPUTED_VALUE"""),"Top PPC Agencies in Australia - Jul 2026 Rankings | Clutch.co")</f>
        <v>Top PPC Agencies in Australia - Jul 2026 Rankings | Clutch.co</v>
      </c>
      <c r="D400" s="185" t="str">
        <f>IFERROR(__xludf.DUMMYFUNCTION("""COMPUTED_VALUE"""),"AU")</f>
        <v>AU</v>
      </c>
      <c r="E400" s="185" t="str">
        <f>IFERROR(__xludf.DUMMYFUNCTION("""COMPUTED_VALUE"""),"clutch.co")</f>
        <v>clutch.co</v>
      </c>
      <c r="F400" s="185" t="str">
        <f>IFERROR(__xludf.DUMMYFUNCTION("""COMPUTED_VALUE"""),"Category Page")</f>
        <v>Category Page</v>
      </c>
      <c r="G400" s="185" t="str">
        <f>IFERROR(__xludf.DUMMYFUNCTION("""COMPUTED_VALUE"""),"CORPORATE")</f>
        <v>CORPORATE</v>
      </c>
      <c r="H400" s="185" t="str">
        <f>IFERROR(__xludf.DUMMYFUNCTION("""COMPUTED_VALUE"""),"No")</f>
        <v>No</v>
      </c>
      <c r="I400" s="185" t="str">
        <f>IFERROR(__xludf.DUMMYFUNCTION("""COMPUTED_VALUE"""),"Medium")</f>
        <v>Medium</v>
      </c>
      <c r="J400" s="185" t="str">
        <f>IFERROR(__xludf.DUMMYFUNCTION("""COMPUTED_VALUE"""),"Yes")</f>
        <v>Yes</v>
      </c>
      <c r="K400" s="185" t="str">
        <f>IFERROR(__xludf.DUMMYFUNCTION("""COMPUTED_VALUE"""),"Soup Agency, Digital Nomads HQ, SIXGUN, Farsiight, Human Digital, Impressive, Intesols, MyWork, Salt &amp; Fuessel, Emote Digital, 80/20 Digital, Supple Digital, First Page, Alley Group, EvenDigit, Rocket Agency, Clearwater Agency, DNM Digital, Edge Marketing"&amp;", Megaphone, Paradox Marketing, Online Marketing Gurus, Omnicom Media Group, Marketix Digital")</f>
        <v>Soup Agency, Digital Nomads HQ, SIXGUN, Farsiight, Human Digital, Impressive, Intesols, MyWork, Salt &amp; Fuessel, Emote Digital, 80/20 Digital, Supple Digital, First Page, Alley Group, EvenDigit, Rocket Agency, Clearwater Agency, DNM Digital, Edge Marketing, Megaphone, Paradox Marketing, Online Marketing Gurus, Omnicom Media Group, Marketix Digital</v>
      </c>
      <c r="L400" s="187">
        <f>IFERROR(__xludf.DUMMYFUNCTION("""COMPUTED_VALUE"""),4.0)</f>
        <v>4</v>
      </c>
      <c r="M400" s="188">
        <f>IFERROR(__xludf.DUMMYFUNCTION("""COMPUTED_VALUE"""),0.0)</f>
        <v>0</v>
      </c>
      <c r="N400" s="188">
        <f>IFERROR(__xludf.DUMMYFUNCTION("""COMPUTED_VALUE"""),0.0)</f>
        <v>0</v>
      </c>
      <c r="O400" s="208"/>
      <c r="P400" s="208"/>
      <c r="Q400" s="208"/>
      <c r="R400" s="208"/>
    </row>
    <row r="401">
      <c r="A401" s="185" t="str">
        <f>IFERROR(__xludf.DUMMYFUNCTION("""COMPUTED_VALUE"""),"Agency directory / review marketplace")</f>
        <v>Agency directory / review marketplace</v>
      </c>
      <c r="B401" s="186" t="str">
        <f>IFERROR(__xludf.DUMMYFUNCTION("""COMPUTED_VALUE"""),"https://clutch.co/au/agencies/ppc/sydney")</f>
        <v>https://clutch.co/au/agencies/ppc/sydney</v>
      </c>
      <c r="C401" s="185" t="str">
        <f>IFERROR(__xludf.DUMMYFUNCTION("""COMPUTED_VALUE"""),"Top PPC Agencies in Sydney - Jul 2026 Rankings \| Clutch.co")</f>
        <v>Top PPC Agencies in Sydney - Jul 2026 Rankings \| Clutch.co</v>
      </c>
      <c r="D401" s="185" t="str">
        <f>IFERROR(__xludf.DUMMYFUNCTION("""COMPUTED_VALUE"""),"AU")</f>
        <v>AU</v>
      </c>
      <c r="E401" s="185" t="str">
        <f>IFERROR(__xludf.DUMMYFUNCTION("""COMPUTED_VALUE"""),"clutch.co")</f>
        <v>clutch.co</v>
      </c>
      <c r="F401" s="185" t="str">
        <f>IFERROR(__xludf.DUMMYFUNCTION("""COMPUTED_VALUE"""),"Category Page")</f>
        <v>Category Page</v>
      </c>
      <c r="G401" s="185" t="str">
        <f>IFERROR(__xludf.DUMMYFUNCTION("""COMPUTED_VALUE"""),"CORPORATE")</f>
        <v>CORPORATE</v>
      </c>
      <c r="H401" s="185" t="str">
        <f>IFERROR(__xludf.DUMMYFUNCTION("""COMPUTED_VALUE"""),"No")</f>
        <v>No</v>
      </c>
      <c r="I401" s="185" t="str">
        <f>IFERROR(__xludf.DUMMYFUNCTION("""COMPUTED_VALUE"""),"Medium")</f>
        <v>Medium</v>
      </c>
      <c r="J401" s="185" t="str">
        <f>IFERROR(__xludf.DUMMYFUNCTION("""COMPUTED_VALUE"""),"Yes")</f>
        <v>Yes</v>
      </c>
      <c r="K401" s="185" t="str">
        <f>IFERROR(__xludf.DUMMYFUNCTION("""COMPUTED_VALUE"""),"Human Digital, Soup Agency, Supple Digital, Alley Group, Digital Nomads HQ, Rocket Agency, Impressive, Huge, DNM Digital, Megaphone, Online Marketing Gurus, Marketix Digital, First Page, Sparro, Insil, AdVisible")</f>
        <v>Human Digital, Soup Agency, Supple Digital, Alley Group, Digital Nomads HQ, Rocket Agency, Impressive, Huge, DNM Digital, Megaphone, Online Marketing Gurus, Marketix Digital, First Page, Sparro, Insil, AdVisible</v>
      </c>
      <c r="L401" s="187">
        <f>IFERROR(__xludf.DUMMYFUNCTION("""COMPUTED_VALUE"""),4.0)</f>
        <v>4</v>
      </c>
      <c r="M401" s="188">
        <f>IFERROR(__xludf.DUMMYFUNCTION("""COMPUTED_VALUE"""),0.0)</f>
        <v>0</v>
      </c>
      <c r="N401" s="188">
        <f>IFERROR(__xludf.DUMMYFUNCTION("""COMPUTED_VALUE"""),0.5)</f>
        <v>0.5</v>
      </c>
      <c r="O401" s="208"/>
      <c r="P401" s="208"/>
      <c r="Q401" s="208"/>
      <c r="R401" s="208"/>
    </row>
    <row r="402">
      <c r="A402" s="185" t="str">
        <f>IFERROR(__xludf.DUMMYFUNCTION("""COMPUTED_VALUE"""),"Agency directory / review marketplace")</f>
        <v>Agency directory / review marketplace</v>
      </c>
      <c r="B402" s="186" t="str">
        <f>IFERROR(__xludf.DUMMYFUNCTION("""COMPUTED_VALUE"""),"https://www.goodfirms.co/directory/city/top-digital-marketing-companies/media-planning-buying/melbourne")</f>
        <v>https://www.goodfirms.co/directory/city/top-digital-marketing-companies/media-planning-buying/melbourne</v>
      </c>
      <c r="C402" s="185" t="str">
        <f>IFERROR(__xludf.DUMMYFUNCTION("""COMPUTED_VALUE"""),"Top Media Buying Agencies in Melbourne - 2026 Reviews | Goodfirms")</f>
        <v>Top Media Buying Agencies in Melbourne - 2026 Reviews | Goodfirms</v>
      </c>
      <c r="D402" s="185" t="str">
        <f>IFERROR(__xludf.DUMMYFUNCTION("""COMPUTED_VALUE"""),"AU")</f>
        <v>AU</v>
      </c>
      <c r="E402" s="185" t="str">
        <f>IFERROR(__xludf.DUMMYFUNCTION("""COMPUTED_VALUE"""),"goodfirms.co")</f>
        <v>goodfirms.co</v>
      </c>
      <c r="F402" s="185" t="str">
        <f>IFERROR(__xludf.DUMMYFUNCTION("""COMPUTED_VALUE"""),"Other")</f>
        <v>Other</v>
      </c>
      <c r="G402" s="185" t="str">
        <f>IFERROR(__xludf.DUMMYFUNCTION("""COMPUTED_VALUE"""),"UGC")</f>
        <v>UGC</v>
      </c>
      <c r="H402" s="185" t="str">
        <f>IFERROR(__xludf.DUMMYFUNCTION("""COMPUTED_VALUE"""),"No")</f>
        <v>No</v>
      </c>
      <c r="I402" s="185" t="str">
        <f>IFERROR(__xludf.DUMMYFUNCTION("""COMPUTED_VALUE"""),"Medium")</f>
        <v>Medium</v>
      </c>
      <c r="J402" s="185" t="str">
        <f>IFERROR(__xludf.DUMMYFUNCTION("""COMPUTED_VALUE"""),"Yes")</f>
        <v>Yes</v>
      </c>
      <c r="K402" s="185" t="str">
        <f>IFERROR(__xludf.DUMMYFUNCTION("""COMPUTED_VALUE"""),"Emote Digital, eMarket Experts, SIXGUN, Impressive")</f>
        <v>Emote Digital, eMarket Experts, SIXGUN, Impressive</v>
      </c>
      <c r="L402" s="187">
        <f>IFERROR(__xludf.DUMMYFUNCTION("""COMPUTED_VALUE"""),4.0)</f>
        <v>4</v>
      </c>
      <c r="M402" s="188">
        <f>IFERROR(__xludf.DUMMYFUNCTION("""COMPUTED_VALUE"""),0.0)</f>
        <v>0</v>
      </c>
      <c r="N402" s="188">
        <f>IFERROR(__xludf.DUMMYFUNCTION("""COMPUTED_VALUE"""),0.0)</f>
        <v>0</v>
      </c>
      <c r="O402" s="208"/>
      <c r="P402" s="208"/>
      <c r="Q402" s="208"/>
      <c r="R402" s="208"/>
    </row>
    <row r="403">
      <c r="A403" s="185" t="str">
        <f>IFERROR(__xludf.DUMMYFUNCTION("""COMPUTED_VALUE"""),"Agency directory / review marketplace")</f>
        <v>Agency directory / review marketplace</v>
      </c>
      <c r="B403" s="186" t="str">
        <f>IFERROR(__xludf.DUMMYFUNCTION("""COMPUTED_VALUE"""),"https://www.goodfirms.co/directory/country/top-digital-marketing-companies/media-planning-buying/australia")</f>
        <v>https://www.goodfirms.co/directory/country/top-digital-marketing-companies/media-planning-buying/australia</v>
      </c>
      <c r="C403" s="185" t="str">
        <f>IFERROR(__xludf.DUMMYFUNCTION("""COMPUTED_VALUE"""),"Top Media Buying Agencies in Australia - 2026 Reviews | Goodfirms")</f>
        <v>Top Media Buying Agencies in Australia - 2026 Reviews | Goodfirms</v>
      </c>
      <c r="D403" s="185" t="str">
        <f>IFERROR(__xludf.DUMMYFUNCTION("""COMPUTED_VALUE"""),"AU")</f>
        <v>AU</v>
      </c>
      <c r="E403" s="185" t="str">
        <f>IFERROR(__xludf.DUMMYFUNCTION("""COMPUTED_VALUE"""),"goodfirms.co")</f>
        <v>goodfirms.co</v>
      </c>
      <c r="F403" s="185" t="str">
        <f>IFERROR(__xludf.DUMMYFUNCTION("""COMPUTED_VALUE"""),"Profile")</f>
        <v>Profile</v>
      </c>
      <c r="G403" s="185" t="str">
        <f>IFERROR(__xludf.DUMMYFUNCTION("""COMPUTED_VALUE"""),"UGC")</f>
        <v>UGC</v>
      </c>
      <c r="H403" s="185" t="str">
        <f>IFERROR(__xludf.DUMMYFUNCTION("""COMPUTED_VALUE"""),"No")</f>
        <v>No</v>
      </c>
      <c r="I403" s="185" t="str">
        <f>IFERROR(__xludf.DUMMYFUNCTION("""COMPUTED_VALUE"""),"Medium")</f>
        <v>Medium</v>
      </c>
      <c r="J403" s="185" t="str">
        <f>IFERROR(__xludf.DUMMYFUNCTION("""COMPUTED_VALUE"""),"Yes")</f>
        <v>Yes</v>
      </c>
      <c r="K403" s="185" t="str">
        <f>IFERROR(__xludf.DUMMYFUNCTION("""COMPUTED_VALUE"""),"Emote Digital, Bench Media, Reload Media, Soup Agency, Impressive, eMarket Experts, CUT THRU")</f>
        <v>Emote Digital, Bench Media, Reload Media, Soup Agency, Impressive, eMarket Experts, CUT THRU</v>
      </c>
      <c r="L403" s="187">
        <f>IFERROR(__xludf.DUMMYFUNCTION("""COMPUTED_VALUE"""),4.0)</f>
        <v>4</v>
      </c>
      <c r="M403" s="188">
        <f>IFERROR(__xludf.DUMMYFUNCTION("""COMPUTED_VALUE"""),0.0)</f>
        <v>0</v>
      </c>
      <c r="N403" s="188">
        <f>IFERROR(__xludf.DUMMYFUNCTION("""COMPUTED_VALUE"""),0.0)</f>
        <v>0</v>
      </c>
      <c r="O403" s="208"/>
      <c r="P403" s="208"/>
      <c r="Q403" s="208"/>
      <c r="R403" s="208"/>
    </row>
    <row r="404">
      <c r="A404" s="185" t="str">
        <f>IFERROR(__xludf.DUMMYFUNCTION("""COMPUTED_VALUE"""),"Agency directory / review marketplace")</f>
        <v>Agency directory / review marketplace</v>
      </c>
      <c r="B404" s="186" t="str">
        <f>IFERROR(__xludf.DUMMYFUNCTION("""COMPUTED_VALUE"""),"https://www.sortlist.com/s/display-advertising/brisbane-qld-au")</f>
        <v>https://www.sortlist.com/s/display-advertising/brisbane-qld-au</v>
      </c>
      <c r="C404" s="185" t="str">
        <f>IFERROR(__xludf.DUMMYFUNCTION("""COMPUTED_VALUE"""),"The 10 Best Display Advertising Agencies in Brisbane - 2026 Reviews")</f>
        <v>The 10 Best Display Advertising Agencies in Brisbane - 2026 Reviews</v>
      </c>
      <c r="D404" s="185" t="str">
        <f>IFERROR(__xludf.DUMMYFUNCTION("""COMPUTED_VALUE"""),"AU")</f>
        <v>AU</v>
      </c>
      <c r="E404" s="185" t="str">
        <f>IFERROR(__xludf.DUMMYFUNCTION("""COMPUTED_VALUE"""),"sortlist.com")</f>
        <v>sortlist.com</v>
      </c>
      <c r="F404" s="185" t="str">
        <f>IFERROR(__xludf.DUMMYFUNCTION("""COMPUTED_VALUE"""),"Profile")</f>
        <v>Profile</v>
      </c>
      <c r="G404" s="185" t="str">
        <f>IFERROR(__xludf.DUMMYFUNCTION("""COMPUTED_VALUE"""),"CORPORATE")</f>
        <v>CORPORATE</v>
      </c>
      <c r="H404" s="185" t="str">
        <f>IFERROR(__xludf.DUMMYFUNCTION("""COMPUTED_VALUE"""),"No")</f>
        <v>No</v>
      </c>
      <c r="I404" s="185" t="str">
        <f>IFERROR(__xludf.DUMMYFUNCTION("""COMPUTED_VALUE"""),"Medium")</f>
        <v>Medium</v>
      </c>
      <c r="J404" s="185" t="str">
        <f>IFERROR(__xludf.DUMMYFUNCTION("""COMPUTED_VALUE"""),"Yes")</f>
        <v>Yes</v>
      </c>
      <c r="K404" s="185" t="str">
        <f>IFERROR(__xludf.DUMMYFUNCTION("""COMPUTED_VALUE"""),"Measured, Earned Media, Clearwater Agency, SIXGUN, Soup Agency, HERO, Impressive, Supple Digital, Ninja Promo, Digital Nomads HQ, Momentum, Alpha Digital")</f>
        <v>Measured, Earned Media, Clearwater Agency, SIXGUN, Soup Agency, HERO, Impressive, Supple Digital, Ninja Promo, Digital Nomads HQ, Momentum, Alpha Digital</v>
      </c>
      <c r="L404" s="187">
        <f>IFERROR(__xludf.DUMMYFUNCTION("""COMPUTED_VALUE"""),4.0)</f>
        <v>4</v>
      </c>
      <c r="M404" s="188">
        <f>IFERROR(__xludf.DUMMYFUNCTION("""COMPUTED_VALUE"""),0.0)</f>
        <v>0</v>
      </c>
      <c r="N404" s="188">
        <f>IFERROR(__xludf.DUMMYFUNCTION("""COMPUTED_VALUE"""),0.0)</f>
        <v>0</v>
      </c>
      <c r="O404" s="208"/>
      <c r="P404" s="208"/>
      <c r="Q404" s="208"/>
      <c r="R404" s="208"/>
    </row>
    <row r="405">
      <c r="A405" s="185" t="str">
        <f>IFERROR(__xludf.DUMMYFUNCTION("""COMPUTED_VALUE"""),"Official partner / certification ecosystem")</f>
        <v>Official partner / certification ecosystem</v>
      </c>
      <c r="B405" s="186" t="str">
        <f>IFERROR(__xludf.DUMMYFUNCTION("""COMPUTED_VALUE"""),"https://support.google.com/analytics/answer/7237700?hl=en-AU")</f>
        <v>https://support.google.com/analytics/answer/7237700?hl=en-AU</v>
      </c>
      <c r="C405" s="185" t="str">
        <f>IFERROR(__xludf.DUMMYFUNCTION("""COMPUTED_VALUE"""),"Google Marketing Platform Partners - Analytics Help")</f>
        <v>Google Marketing Platform Partners - Analytics Help</v>
      </c>
      <c r="D405" s="185" t="str">
        <f>IFERROR(__xludf.DUMMYFUNCTION("""COMPUTED_VALUE"""),"AU")</f>
        <v>AU</v>
      </c>
      <c r="E405" s="185" t="str">
        <f>IFERROR(__xludf.DUMMYFUNCTION("""COMPUTED_VALUE"""),"google.com")</f>
        <v>google.com</v>
      </c>
      <c r="F405" s="185" t="str">
        <f>IFERROR(__xludf.DUMMYFUNCTION("""COMPUTED_VALUE"""),"Other")</f>
        <v>Other</v>
      </c>
      <c r="G405" s="185" t="str">
        <f>IFERROR(__xludf.DUMMYFUNCTION("""COMPUTED_VALUE"""),"OTHER")</f>
        <v>OTHER</v>
      </c>
      <c r="H405" s="185" t="str">
        <f>IFERROR(__xludf.DUMMYFUNCTION("""COMPUTED_VALUE"""),"No")</f>
        <v>No</v>
      </c>
      <c r="I405" s="185" t="str">
        <f>IFERROR(__xludf.DUMMYFUNCTION("""COMPUTED_VALUE"""),"High")</f>
        <v>High</v>
      </c>
      <c r="J405" s="185" t="str">
        <f>IFERROR(__xludf.DUMMYFUNCTION("""COMPUTED_VALUE"""),"Yes - priority")</f>
        <v>Yes - priority</v>
      </c>
      <c r="K405" s="185"/>
      <c r="L405" s="187">
        <f>IFERROR(__xludf.DUMMYFUNCTION("""COMPUTED_VALUE"""),4.0)</f>
        <v>4</v>
      </c>
      <c r="M405" s="188">
        <f>IFERROR(__xludf.DUMMYFUNCTION("""COMPUTED_VALUE"""),0.0)</f>
        <v>0</v>
      </c>
      <c r="N405" s="188">
        <f>IFERROR(__xludf.DUMMYFUNCTION("""COMPUTED_VALUE"""),1.75)</f>
        <v>1.75</v>
      </c>
      <c r="O405" s="208"/>
      <c r="P405" s="208"/>
      <c r="Q405" s="208"/>
      <c r="R405" s="208"/>
    </row>
    <row r="406">
      <c r="A406" s="185" t="str">
        <f>IFERROR(__xludf.DUMMYFUNCTION("""COMPUTED_VALUE"""),"Trade media / editorial publication")</f>
        <v>Trade media / editorial publication</v>
      </c>
      <c r="B406" s="186" t="str">
        <f>IFERROR(__xludf.DUMMYFUNCTION("""COMPUTED_VALUE"""),"https://www.theaustralian.com.au/business/media/the-little-agencies-attracting-big-dollars/news-story/2a4a9f535e088c25718a59cba4451cda")</f>
        <v>https://www.theaustralian.com.au/business/media/the-little-agencies-attracting-big-dollars/news-story/2a4a9f535e088c25718a59cba4451cda</v>
      </c>
      <c r="C406" s="185" t="str">
        <f>IFERROR(__xludf.DUMMYFUNCTION("""COMPUTED_VALUE"""),"Subscribe to The Australian \| Newspaper home delivery, website, iPad, iPhone &amp; Android apps")</f>
        <v>Subscribe to The Australian \| Newspaper home delivery, website, iPad, iPhone &amp; Android apps</v>
      </c>
      <c r="D406" s="185" t="str">
        <f>IFERROR(__xludf.DUMMYFUNCTION("""COMPUTED_VALUE"""),"AU")</f>
        <v>AU</v>
      </c>
      <c r="E406" s="185" t="str">
        <f>IFERROR(__xludf.DUMMYFUNCTION("""COMPUTED_VALUE"""),"theaustralian.com.au")</f>
        <v>theaustralian.com.au</v>
      </c>
      <c r="F406" s="185" t="str">
        <f>IFERROR(__xludf.DUMMYFUNCTION("""COMPUTED_VALUE"""),"Article")</f>
        <v>Article</v>
      </c>
      <c r="G406" s="185" t="str">
        <f>IFERROR(__xludf.DUMMYFUNCTION("""COMPUTED_VALUE"""),"EDITORIAL")</f>
        <v>EDITORIAL</v>
      </c>
      <c r="H406" s="185" t="str">
        <f>IFERROR(__xludf.DUMMYFUNCTION("""COMPUTED_VALUE"""),"No")</f>
        <v>No</v>
      </c>
      <c r="I406" s="185" t="str">
        <f>IFERROR(__xludf.DUMMYFUNCTION("""COMPUTED_VALUE"""),"High")</f>
        <v>High</v>
      </c>
      <c r="J406" s="185" t="str">
        <f>IFERROR(__xludf.DUMMYFUNCTION("""COMPUTED_VALUE"""),"Yes - priority")</f>
        <v>Yes - priority</v>
      </c>
      <c r="K406" s="185"/>
      <c r="L406" s="187">
        <f>IFERROR(__xludf.DUMMYFUNCTION("""COMPUTED_VALUE"""),4.0)</f>
        <v>4</v>
      </c>
      <c r="M406" s="188">
        <f>IFERROR(__xludf.DUMMYFUNCTION("""COMPUTED_VALUE"""),0.0)</f>
        <v>0</v>
      </c>
      <c r="N406" s="188">
        <f>IFERROR(__xludf.DUMMYFUNCTION("""COMPUTED_VALUE"""),2.25)</f>
        <v>2.25</v>
      </c>
      <c r="O406" s="208"/>
      <c r="P406" s="208"/>
      <c r="Q406" s="208"/>
      <c r="R406" s="208"/>
    </row>
    <row r="407">
      <c r="A407" s="185" t="str">
        <f>IFERROR(__xludf.DUMMYFUNCTION("""COMPUTED_VALUE"""),"Industry data / software authority")</f>
        <v>Industry data / software authority</v>
      </c>
      <c r="B407" s="186" t="str">
        <f>IFERROR(__xludf.DUMMYFUNCTION("""COMPUTED_VALUE"""),"https://agencies.semrush.com/list/analytics-data-science/information-technology/australia/")</f>
        <v>https://agencies.semrush.com/list/analytics-data-science/information-technology/australia/</v>
      </c>
      <c r="C407" s="185" t="str">
        <f>IFERROR(__xludf.DUMMYFUNCTION("""COMPUTED_VALUE"""),"Best IT Data Analytics Services in Australia 2026 | Semrush")</f>
        <v>Best IT Data Analytics Services in Australia 2026 | Semrush</v>
      </c>
      <c r="D407" s="185" t="str">
        <f>IFERROR(__xludf.DUMMYFUNCTION("""COMPUTED_VALUE"""),"AU")</f>
        <v>AU</v>
      </c>
      <c r="E407" s="185" t="str">
        <f>IFERROR(__xludf.DUMMYFUNCTION("""COMPUTED_VALUE"""),"semrush.com")</f>
        <v>semrush.com</v>
      </c>
      <c r="F407" s="185" t="str">
        <f>IFERROR(__xludf.DUMMYFUNCTION("""COMPUTED_VALUE"""),"Other")</f>
        <v>Other</v>
      </c>
      <c r="G407" s="185" t="str">
        <f>IFERROR(__xludf.DUMMYFUNCTION("""COMPUTED_VALUE"""),"CORPORATE")</f>
        <v>CORPORATE</v>
      </c>
      <c r="H407" s="185" t="str">
        <f>IFERROR(__xludf.DUMMYFUNCTION("""COMPUTED_VALUE"""),"No")</f>
        <v>No</v>
      </c>
      <c r="I407" s="185" t="str">
        <f>IFERROR(__xludf.DUMMYFUNCTION("""COMPUTED_VALUE"""),"Medium")</f>
        <v>Medium</v>
      </c>
      <c r="J407" s="185" t="str">
        <f>IFERROR(__xludf.DUMMYFUNCTION("""COMPUTED_VALUE"""),"Yes")</f>
        <v>Yes</v>
      </c>
      <c r="K407" s="185" t="str">
        <f>IFERROR(__xludf.DUMMYFUNCTION("""COMPUTED_VALUE"""),"Soup Agency, First Page, Online Marketing Gurus, Omnicom Media Group, 80/20 Digital, Earned Media")</f>
        <v>Soup Agency, First Page, Online Marketing Gurus, Omnicom Media Group, 80/20 Digital, Earned Media</v>
      </c>
      <c r="L407" s="187">
        <f>IFERROR(__xludf.DUMMYFUNCTION("""COMPUTED_VALUE"""),3.0)</f>
        <v>3</v>
      </c>
      <c r="M407" s="188">
        <f>IFERROR(__xludf.DUMMYFUNCTION("""COMPUTED_VALUE"""),0.0)</f>
        <v>0</v>
      </c>
      <c r="N407" s="188">
        <f>IFERROR(__xludf.DUMMYFUNCTION("""COMPUTED_VALUE"""),0.0)</f>
        <v>0</v>
      </c>
      <c r="O407" s="208"/>
      <c r="P407" s="208"/>
      <c r="Q407" s="208"/>
      <c r="R407" s="208"/>
    </row>
    <row r="408">
      <c r="A408" s="185" t="str">
        <f>IFERROR(__xludf.DUMMYFUNCTION("""COMPUTED_VALUE"""),"Industry data / software authority")</f>
        <v>Industry data / software authority</v>
      </c>
      <c r="B408" s="186" t="str">
        <f>IFERROR(__xludf.DUMMYFUNCTION("""COMPUTED_VALUE"""),"https://agencies.semrush.com/list/display-advertising/australia/enterprise-business/")</f>
        <v>https://agencies.semrush.com/list/display-advertising/australia/enterprise-business/</v>
      </c>
      <c r="C408" s="185" t="str">
        <f>IFERROR(__xludf.DUMMYFUNCTION("""COMPUTED_VALUE"""),"Best Display Ads Agencies for Enterprise Business in Australia 2026 | Semrush")</f>
        <v>Best Display Ads Agencies for Enterprise Business in Australia 2026 | Semrush</v>
      </c>
      <c r="D408" s="185" t="str">
        <f>IFERROR(__xludf.DUMMYFUNCTION("""COMPUTED_VALUE"""),"AU")</f>
        <v>AU</v>
      </c>
      <c r="E408" s="185" t="str">
        <f>IFERROR(__xludf.DUMMYFUNCTION("""COMPUTED_VALUE"""),"semrush.com")</f>
        <v>semrush.com</v>
      </c>
      <c r="F408" s="185" t="str">
        <f>IFERROR(__xludf.DUMMYFUNCTION("""COMPUTED_VALUE"""),"Category Page")</f>
        <v>Category Page</v>
      </c>
      <c r="G408" s="185" t="str">
        <f>IFERROR(__xludf.DUMMYFUNCTION("""COMPUTED_VALUE"""),"CORPORATE")</f>
        <v>CORPORATE</v>
      </c>
      <c r="H408" s="185" t="str">
        <f>IFERROR(__xludf.DUMMYFUNCTION("""COMPUTED_VALUE"""),"No")</f>
        <v>No</v>
      </c>
      <c r="I408" s="185" t="str">
        <f>IFERROR(__xludf.DUMMYFUNCTION("""COMPUTED_VALUE"""),"Medium")</f>
        <v>Medium</v>
      </c>
      <c r="J408" s="185" t="str">
        <f>IFERROR(__xludf.DUMMYFUNCTION("""COMPUTED_VALUE"""),"Yes")</f>
        <v>Yes</v>
      </c>
      <c r="K408" s="185" t="str">
        <f>IFERROR(__xludf.DUMMYFUNCTION("""COMPUTED_VALUE"""),"Soup Agency, First Page, Clearwater Agency, Measured, Earned Media, Impressive, Online Marketing Gurus, Omnicom Media Group, Click Click Media, First Page Australia, Bench Media")</f>
        <v>Soup Agency, First Page, Clearwater Agency, Measured, Earned Media, Impressive, Online Marketing Gurus, Omnicom Media Group, Click Click Media, First Page Australia, Bench Media</v>
      </c>
      <c r="L408" s="187">
        <f>IFERROR(__xludf.DUMMYFUNCTION("""COMPUTED_VALUE"""),3.0)</f>
        <v>3</v>
      </c>
      <c r="M408" s="188">
        <f>IFERROR(__xludf.DUMMYFUNCTION("""COMPUTED_VALUE"""),0.0)</f>
        <v>0</v>
      </c>
      <c r="N408" s="188">
        <f>IFERROR(__xludf.DUMMYFUNCTION("""COMPUTED_VALUE"""),1.0)</f>
        <v>1</v>
      </c>
      <c r="O408" s="208"/>
      <c r="P408" s="208"/>
      <c r="Q408" s="208"/>
      <c r="R408" s="208"/>
    </row>
    <row r="409">
      <c r="A409" s="185" t="str">
        <f>IFERROR(__xludf.DUMMYFUNCTION("""COMPUTED_VALUE"""),"Industry data / software authority")</f>
        <v>Industry data / software authority</v>
      </c>
      <c r="B409" s="186" t="str">
        <f>IFERROR(__xludf.DUMMYFUNCTION("""COMPUTED_VALUE"""),"https://agencies.semrush.com/list/display-advertising/melbourne/")</f>
        <v>https://agencies.semrush.com/list/display-advertising/melbourne/</v>
      </c>
      <c r="C409" s="185" t="str">
        <f>IFERROR(__xludf.DUMMYFUNCTION("""COMPUTED_VALUE"""),"Best Display Ads Agencies in Melbourne 2026 | Semrush")</f>
        <v>Best Display Ads Agencies in Melbourne 2026 | Semrush</v>
      </c>
      <c r="D409" s="185" t="str">
        <f>IFERROR(__xludf.DUMMYFUNCTION("""COMPUTED_VALUE"""),"AU")</f>
        <v>AU</v>
      </c>
      <c r="E409" s="185" t="str">
        <f>IFERROR(__xludf.DUMMYFUNCTION("""COMPUTED_VALUE"""),"semrush.com")</f>
        <v>semrush.com</v>
      </c>
      <c r="F409" s="185" t="str">
        <f>IFERROR(__xludf.DUMMYFUNCTION("""COMPUTED_VALUE"""),"Other")</f>
        <v>Other</v>
      </c>
      <c r="G409" s="185" t="str">
        <f>IFERROR(__xludf.DUMMYFUNCTION("""COMPUTED_VALUE"""),"CORPORATE")</f>
        <v>CORPORATE</v>
      </c>
      <c r="H409" s="185" t="str">
        <f>IFERROR(__xludf.DUMMYFUNCTION("""COMPUTED_VALUE"""),"No")</f>
        <v>No</v>
      </c>
      <c r="I409" s="185" t="str">
        <f>IFERROR(__xludf.DUMMYFUNCTION("""COMPUTED_VALUE"""),"Medium")</f>
        <v>Medium</v>
      </c>
      <c r="J409" s="185" t="str">
        <f>IFERROR(__xludf.DUMMYFUNCTION("""COMPUTED_VALUE"""),"Yes")</f>
        <v>Yes</v>
      </c>
      <c r="K409" s="185" t="str">
        <f>IFERROR(__xludf.DUMMYFUNCTION("""COMPUTED_VALUE"""),"Soup Agency, First Page, Clearwater Agency, Measured, Earned Media, Impressive, Online Marketing Gurus, Omnicom Media Group, First Page Australia, 80/20 Digital, Salt &amp; Fuessel, Megaphone, Bonfire")</f>
        <v>Soup Agency, First Page, Clearwater Agency, Measured, Earned Media, Impressive, Online Marketing Gurus, Omnicom Media Group, First Page Australia, 80/20 Digital, Salt &amp; Fuessel, Megaphone, Bonfire</v>
      </c>
      <c r="L409" s="187">
        <f>IFERROR(__xludf.DUMMYFUNCTION("""COMPUTED_VALUE"""),3.0)</f>
        <v>3</v>
      </c>
      <c r="M409" s="188">
        <f>IFERROR(__xludf.DUMMYFUNCTION("""COMPUTED_VALUE"""),0.0)</f>
        <v>0</v>
      </c>
      <c r="N409" s="188">
        <f>IFERROR(__xludf.DUMMYFUNCTION("""COMPUTED_VALUE"""),1.0)</f>
        <v>1</v>
      </c>
      <c r="O409" s="208"/>
      <c r="P409" s="208"/>
      <c r="Q409" s="208"/>
      <c r="R409" s="208"/>
    </row>
    <row r="410">
      <c r="A410" s="185" t="str">
        <f>IFERROR(__xludf.DUMMYFUNCTION("""COMPUTED_VALUE"""),"Industry data / software authority")</f>
        <v>Industry data / software authority</v>
      </c>
      <c r="B410" s="186" t="str">
        <f>IFERROR(__xludf.DUMMYFUNCTION("""COMPUTED_VALUE"""),"https://agencies.semrush.com/list/ppc/arts-entertainment/australia/")</f>
        <v>https://agencies.semrush.com/list/ppc/arts-entertainment/australia/</v>
      </c>
      <c r="C410" s="185" t="str">
        <f>IFERROR(__xludf.DUMMYFUNCTION("""COMPUTED_VALUE"""),"Best Media &amp;amp; Entertainment PPC Agencies in Australia 2026 | Semrush")</f>
        <v>Best Media &amp;amp; Entertainment PPC Agencies in Australia 2026 | Semrush</v>
      </c>
      <c r="D410" s="185" t="str">
        <f>IFERROR(__xludf.DUMMYFUNCTION("""COMPUTED_VALUE"""),"AU")</f>
        <v>AU</v>
      </c>
      <c r="E410" s="185" t="str">
        <f>IFERROR(__xludf.DUMMYFUNCTION("""COMPUTED_VALUE"""),"semrush.com")</f>
        <v>semrush.com</v>
      </c>
      <c r="F410" s="185" t="str">
        <f>IFERROR(__xludf.DUMMYFUNCTION("""COMPUTED_VALUE"""),"Category Page")</f>
        <v>Category Page</v>
      </c>
      <c r="G410" s="185" t="str">
        <f>IFERROR(__xludf.DUMMYFUNCTION("""COMPUTED_VALUE"""),"CORPORATE")</f>
        <v>CORPORATE</v>
      </c>
      <c r="H410" s="185" t="str">
        <f>IFERROR(__xludf.DUMMYFUNCTION("""COMPUTED_VALUE"""),"No")</f>
        <v>No</v>
      </c>
      <c r="I410" s="185" t="str">
        <f>IFERROR(__xludf.DUMMYFUNCTION("""COMPUTED_VALUE"""),"Medium")</f>
        <v>Medium</v>
      </c>
      <c r="J410" s="185" t="str">
        <f>IFERROR(__xludf.DUMMYFUNCTION("""COMPUTED_VALUE"""),"Yes")</f>
        <v>Yes</v>
      </c>
      <c r="K410" s="185" t="str">
        <f>IFERROR(__xludf.DUMMYFUNCTION("""COMPUTED_VALUE"""),"Supple Digital, Soup Agency, First Page, Online Marketing Gurus, Omnicom Media Group, 80/20 Digital, Measured")</f>
        <v>Supple Digital, Soup Agency, First Page, Online Marketing Gurus, Omnicom Media Group, 80/20 Digital, Measured</v>
      </c>
      <c r="L410" s="187">
        <f>IFERROR(__xludf.DUMMYFUNCTION("""COMPUTED_VALUE"""),3.0)</f>
        <v>3</v>
      </c>
      <c r="M410" s="188">
        <f>IFERROR(__xludf.DUMMYFUNCTION("""COMPUTED_VALUE"""),0.0)</f>
        <v>0</v>
      </c>
      <c r="N410" s="188">
        <f>IFERROR(__xludf.DUMMYFUNCTION("""COMPUTED_VALUE"""),0.0)</f>
        <v>0</v>
      </c>
      <c r="O410" s="208"/>
      <c r="P410" s="208"/>
      <c r="Q410" s="208"/>
      <c r="R410" s="208"/>
    </row>
    <row r="411">
      <c r="A411" s="185" t="str">
        <f>IFERROR(__xludf.DUMMYFUNCTION("""COMPUTED_VALUE"""),"Trade media / editorial publication")</f>
        <v>Trade media / editorial publication</v>
      </c>
      <c r="B411" s="186" t="str">
        <f>IFERROR(__xludf.DUMMYFUNCTION("""COMPUTED_VALUE"""),"https://www.bandt.com.au/bts-ones-to-watch-creative-agencies-2/")</f>
        <v>https://www.bandt.com.au/bts-ones-to-watch-creative-agencies-2/</v>
      </c>
      <c r="C411" s="185" t="str">
        <f>IFERROR(__xludf.DUMMYFUNCTION("""COMPUTED_VALUE"""),"B&amp;amp;T's Ones To Watch: Creative Agencies - B&amp;amp;T")</f>
        <v>B&amp;amp;T's Ones To Watch: Creative Agencies - B&amp;amp;T</v>
      </c>
      <c r="D411" s="185" t="str">
        <f>IFERROR(__xludf.DUMMYFUNCTION("""COMPUTED_VALUE"""),"AU")</f>
        <v>AU</v>
      </c>
      <c r="E411" s="185" t="str">
        <f>IFERROR(__xludf.DUMMYFUNCTION("""COMPUTED_VALUE"""),"bandt.com.au")</f>
        <v>bandt.com.au</v>
      </c>
      <c r="F411" s="185" t="str">
        <f>IFERROR(__xludf.DUMMYFUNCTION("""COMPUTED_VALUE"""),"Listicle")</f>
        <v>Listicle</v>
      </c>
      <c r="G411" s="185" t="str">
        <f>IFERROR(__xludf.DUMMYFUNCTION("""COMPUTED_VALUE"""),"EDITORIAL")</f>
        <v>EDITORIAL</v>
      </c>
      <c r="H411" s="185" t="str">
        <f>IFERROR(__xludf.DUMMYFUNCTION("""COMPUTED_VALUE"""),"No")</f>
        <v>No</v>
      </c>
      <c r="I411" s="185" t="str">
        <f>IFERROR(__xludf.DUMMYFUNCTION("""COMPUTED_VALUE"""),"Medium")</f>
        <v>Medium</v>
      </c>
      <c r="J411" s="185" t="str">
        <f>IFERROR(__xludf.DUMMYFUNCTION("""COMPUTED_VALUE"""),"Yes")</f>
        <v>Yes</v>
      </c>
      <c r="K411" s="185" t="str">
        <f>IFERROR(__xludf.DUMMYFUNCTION("""COMPUTED_VALUE"""),"WPP, Clemenger BBDO, Impressive, The Monkeys, Deloitte Digital, Deloitte")</f>
        <v>WPP, Clemenger BBDO, Impressive, The Monkeys, Deloitte Digital, Deloitte</v>
      </c>
      <c r="L411" s="187">
        <f>IFERROR(__xludf.DUMMYFUNCTION("""COMPUTED_VALUE"""),3.0)</f>
        <v>3</v>
      </c>
      <c r="M411" s="188">
        <f>IFERROR(__xludf.DUMMYFUNCTION("""COMPUTED_VALUE"""),0.0)</f>
        <v>0</v>
      </c>
      <c r="N411" s="188">
        <f>IFERROR(__xludf.DUMMYFUNCTION("""COMPUTED_VALUE"""),0.0)</f>
        <v>0</v>
      </c>
      <c r="O411" s="208"/>
      <c r="P411" s="208"/>
      <c r="Q411" s="208"/>
      <c r="R411" s="208"/>
    </row>
    <row r="412">
      <c r="A412" s="185" t="str">
        <f>IFERROR(__xludf.DUMMYFUNCTION("""COMPUTED_VALUE"""),"Agency directory / review marketplace")</f>
        <v>Agency directory / review marketplace</v>
      </c>
      <c r="B412" s="186" t="str">
        <f>IFERROR(__xludf.DUMMYFUNCTION("""COMPUTED_VALUE"""),"https://clutch.co/au/agencies/social-media-marketing/tik-tok")</f>
        <v>https://clutch.co/au/agencies/social-media-marketing/tik-tok</v>
      </c>
      <c r="C412" s="185" t="str">
        <f>IFERROR(__xludf.DUMMYFUNCTION("""COMPUTED_VALUE"""),"Top TikTok Advertising Agencies in Australia - Jul 2026 Rankings | Clutch.co")</f>
        <v>Top TikTok Advertising Agencies in Australia - Jul 2026 Rankings | Clutch.co</v>
      </c>
      <c r="D412" s="185" t="str">
        <f>IFERROR(__xludf.DUMMYFUNCTION("""COMPUTED_VALUE"""),"AU")</f>
        <v>AU</v>
      </c>
      <c r="E412" s="185" t="str">
        <f>IFERROR(__xludf.DUMMYFUNCTION("""COMPUTED_VALUE"""),"clutch.co")</f>
        <v>clutch.co</v>
      </c>
      <c r="F412" s="185" t="str">
        <f>IFERROR(__xludf.DUMMYFUNCTION("""COMPUTED_VALUE"""),"Category Page")</f>
        <v>Category Page</v>
      </c>
      <c r="G412" s="185" t="str">
        <f>IFERROR(__xludf.DUMMYFUNCTION("""COMPUTED_VALUE"""),"CORPORATE")</f>
        <v>CORPORATE</v>
      </c>
      <c r="H412" s="185" t="str">
        <f>IFERROR(__xludf.DUMMYFUNCTION("""COMPUTED_VALUE"""),"No")</f>
        <v>No</v>
      </c>
      <c r="I412" s="185" t="str">
        <f>IFERROR(__xludf.DUMMYFUNCTION("""COMPUTED_VALUE"""),"Medium")</f>
        <v>Medium</v>
      </c>
      <c r="J412" s="185" t="str">
        <f>IFERROR(__xludf.DUMMYFUNCTION("""COMPUTED_VALUE"""),"Yes")</f>
        <v>Yes</v>
      </c>
      <c r="K412" s="185" t="str">
        <f>IFERROR(__xludf.DUMMYFUNCTION("""COMPUTED_VALUE"""),"Impressive, Digital Nomads HQ, Soup Agency, Emote Digital, Salt &amp; Fuessel, Edge Marketing, Megaphone, Paradox Marketing, Momentum, Bench Media, Reform Digital, Eight Clients")</f>
        <v>Impressive, Digital Nomads HQ, Soup Agency, Emote Digital, Salt &amp; Fuessel, Edge Marketing, Megaphone, Paradox Marketing, Momentum, Bench Media, Reform Digital, Eight Clients</v>
      </c>
      <c r="L412" s="187">
        <f>IFERROR(__xludf.DUMMYFUNCTION("""COMPUTED_VALUE"""),3.0)</f>
        <v>3</v>
      </c>
      <c r="M412" s="188">
        <f>IFERROR(__xludf.DUMMYFUNCTION("""COMPUTED_VALUE"""),0.0)</f>
        <v>0</v>
      </c>
      <c r="N412" s="188">
        <f>IFERROR(__xludf.DUMMYFUNCTION("""COMPUTED_VALUE"""),3.33)</f>
        <v>3.33</v>
      </c>
      <c r="O412" s="208"/>
      <c r="P412" s="208"/>
      <c r="Q412" s="208"/>
      <c r="R412" s="208"/>
    </row>
    <row r="413">
      <c r="A413" s="185" t="str">
        <f>IFERROR(__xludf.DUMMYFUNCTION("""COMPUTED_VALUE"""),"Agency directory / review marketplace")</f>
        <v>Agency directory / review marketplace</v>
      </c>
      <c r="B413" s="186" t="str">
        <f>IFERROR(__xludf.DUMMYFUNCTION("""COMPUTED_VALUE"""),"https://www.designrush.com/agency/digital-agencies/au")</f>
        <v>https://www.designrush.com/agency/digital-agencies/au</v>
      </c>
      <c r="C413" s="185" t="str">
        <f>IFERROR(__xludf.DUMMYFUNCTION("""COMPUTED_VALUE"""),"Top Digital Agencies in Australia | 2026")</f>
        <v>Top Digital Agencies in Australia | 2026</v>
      </c>
      <c r="D413" s="185" t="str">
        <f>IFERROR(__xludf.DUMMYFUNCTION("""COMPUTED_VALUE"""),"AU")</f>
        <v>AU</v>
      </c>
      <c r="E413" s="185" t="str">
        <f>IFERROR(__xludf.DUMMYFUNCTION("""COMPUTED_VALUE"""),"designrush.com")</f>
        <v>designrush.com</v>
      </c>
      <c r="F413" s="185" t="str">
        <f>IFERROR(__xludf.DUMMYFUNCTION("""COMPUTED_VALUE"""),"Listicle")</f>
        <v>Listicle</v>
      </c>
      <c r="G413" s="185" t="str">
        <f>IFERROR(__xludf.DUMMYFUNCTION("""COMPUTED_VALUE"""),"CORPORATE")</f>
        <v>CORPORATE</v>
      </c>
      <c r="H413" s="185" t="str">
        <f>IFERROR(__xludf.DUMMYFUNCTION("""COMPUTED_VALUE"""),"No")</f>
        <v>No</v>
      </c>
      <c r="I413" s="185" t="str">
        <f>IFERROR(__xludf.DUMMYFUNCTION("""COMPUTED_VALUE"""),"Medium")</f>
        <v>Medium</v>
      </c>
      <c r="J413" s="185" t="str">
        <f>IFERROR(__xludf.DUMMYFUNCTION("""COMPUTED_VALUE"""),"Yes")</f>
        <v>Yes</v>
      </c>
      <c r="K413" s="185" t="str">
        <f>IFERROR(__xludf.DUMMYFUNCTION("""COMPUTED_VALUE"""),"Impressive, Digital Nomads HQ, 80/20 Digital, Luminary, Edge Marketing")</f>
        <v>Impressive, Digital Nomads HQ, 80/20 Digital, Luminary, Edge Marketing</v>
      </c>
      <c r="L413" s="187">
        <f>IFERROR(__xludf.DUMMYFUNCTION("""COMPUTED_VALUE"""),3.0)</f>
        <v>3</v>
      </c>
      <c r="M413" s="188">
        <f>IFERROR(__xludf.DUMMYFUNCTION("""COMPUTED_VALUE"""),0.0)</f>
        <v>0</v>
      </c>
      <c r="N413" s="188">
        <f>IFERROR(__xludf.DUMMYFUNCTION("""COMPUTED_VALUE"""),0.0)</f>
        <v>0</v>
      </c>
      <c r="O413" s="208"/>
      <c r="P413" s="208"/>
      <c r="Q413" s="208"/>
      <c r="R413" s="208"/>
    </row>
    <row r="414">
      <c r="A414" s="185" t="str">
        <f>IFERROR(__xludf.DUMMYFUNCTION("""COMPUTED_VALUE"""),"Agency directory / review marketplace")</f>
        <v>Agency directory / review marketplace</v>
      </c>
      <c r="B414" s="186" t="str">
        <f>IFERROR(__xludf.DUMMYFUNCTION("""COMPUTED_VALUE"""),"https://www.designrush.com/agency/paid-media-pay-per-click/au/melbourne")</f>
        <v>https://www.designrush.com/agency/paid-media-pay-per-click/au/melbourne</v>
      </c>
      <c r="C414" s="185" t="str">
        <f>IFERROR(__xludf.DUMMYFUNCTION("""COMPUTED_VALUE"""),"Top PPC Agencies in Melbourne | 2026")</f>
        <v>Top PPC Agencies in Melbourne | 2026</v>
      </c>
      <c r="D414" s="185" t="str">
        <f>IFERROR(__xludf.DUMMYFUNCTION("""COMPUTED_VALUE"""),"AU")</f>
        <v>AU</v>
      </c>
      <c r="E414" s="185" t="str">
        <f>IFERROR(__xludf.DUMMYFUNCTION("""COMPUTED_VALUE"""),"designrush.com")</f>
        <v>designrush.com</v>
      </c>
      <c r="F414" s="185" t="str">
        <f>IFERROR(__xludf.DUMMYFUNCTION("""COMPUTED_VALUE"""),"Listicle")</f>
        <v>Listicle</v>
      </c>
      <c r="G414" s="185" t="str">
        <f>IFERROR(__xludf.DUMMYFUNCTION("""COMPUTED_VALUE"""),"CORPORATE")</f>
        <v>CORPORATE</v>
      </c>
      <c r="H414" s="185" t="str">
        <f>IFERROR(__xludf.DUMMYFUNCTION("""COMPUTED_VALUE"""),"No")</f>
        <v>No</v>
      </c>
      <c r="I414" s="185" t="str">
        <f>IFERROR(__xludf.DUMMYFUNCTION("""COMPUTED_VALUE"""),"Medium")</f>
        <v>Medium</v>
      </c>
      <c r="J414" s="185" t="str">
        <f>IFERROR(__xludf.DUMMYFUNCTION("""COMPUTED_VALUE"""),"Yes")</f>
        <v>Yes</v>
      </c>
      <c r="K414" s="185" t="str">
        <f>IFERROR(__xludf.DUMMYFUNCTION("""COMPUTED_VALUE"""),"eMarket Experts, First Page, Supple Digital, Online Marketing Gurus, SIXGUN, Predicta Digital, First Page Australia, Impressive")</f>
        <v>eMarket Experts, First Page, Supple Digital, Online Marketing Gurus, SIXGUN, Predicta Digital, First Page Australia, Impressive</v>
      </c>
      <c r="L414" s="187">
        <f>IFERROR(__xludf.DUMMYFUNCTION("""COMPUTED_VALUE"""),3.0)</f>
        <v>3</v>
      </c>
      <c r="M414" s="188">
        <f>IFERROR(__xludf.DUMMYFUNCTION("""COMPUTED_VALUE"""),0.0)</f>
        <v>0</v>
      </c>
      <c r="N414" s="188">
        <f>IFERROR(__xludf.DUMMYFUNCTION("""COMPUTED_VALUE"""),0.0)</f>
        <v>0</v>
      </c>
      <c r="O414" s="208"/>
      <c r="P414" s="208"/>
      <c r="Q414" s="208"/>
      <c r="R414" s="208"/>
    </row>
    <row r="415">
      <c r="A415" s="185" t="str">
        <f>IFERROR(__xludf.DUMMYFUNCTION("""COMPUTED_VALUE"""),"Agency directory / review marketplace")</f>
        <v>Agency directory / review marketplace</v>
      </c>
      <c r="B415" s="186" t="str">
        <f>IFERROR(__xludf.DUMMYFUNCTION("""COMPUTED_VALUE"""),"https://digitalagencynetwork.com/agencies/australia/industry/it-technology/")</f>
        <v>https://digitalagencynetwork.com/agencies/australia/industry/it-technology/</v>
      </c>
      <c r="C415" s="185" t="str">
        <f>IFERROR(__xludf.DUMMYFUNCTION("""COMPUTED_VALUE"""),"Top Technology Marketing Agencies in Australia (2026)")</f>
        <v>Top Technology Marketing Agencies in Australia (2026)</v>
      </c>
      <c r="D415" s="185" t="str">
        <f>IFERROR(__xludf.DUMMYFUNCTION("""COMPUTED_VALUE"""),"AU")</f>
        <v>AU</v>
      </c>
      <c r="E415" s="185" t="str">
        <f>IFERROR(__xludf.DUMMYFUNCTION("""COMPUTED_VALUE"""),"digitalagencynetwork.com")</f>
        <v>digitalagencynetwork.com</v>
      </c>
      <c r="F415" s="185" t="str">
        <f>IFERROR(__xludf.DUMMYFUNCTION("""COMPUTED_VALUE"""),"How-To Guide")</f>
        <v>How-To Guide</v>
      </c>
      <c r="G415" s="185" t="str">
        <f>IFERROR(__xludf.DUMMYFUNCTION("""COMPUTED_VALUE"""),"REFERENCE")</f>
        <v>REFERENCE</v>
      </c>
      <c r="H415" s="185" t="str">
        <f>IFERROR(__xludf.DUMMYFUNCTION("""COMPUTED_VALUE"""),"No")</f>
        <v>No</v>
      </c>
      <c r="I415" s="185" t="str">
        <f>IFERROR(__xludf.DUMMYFUNCTION("""COMPUTED_VALUE"""),"Medium")</f>
        <v>Medium</v>
      </c>
      <c r="J415" s="185" t="str">
        <f>IFERROR(__xludf.DUMMYFUNCTION("""COMPUTED_VALUE"""),"Yes")</f>
        <v>Yes</v>
      </c>
      <c r="K415" s="185" t="str">
        <f>IFERROR(__xludf.DUMMYFUNCTION("""COMPUTED_VALUE"""),"Clearwater Agency, Digital Nomads HQ, Emote Digital, Impressive")</f>
        <v>Clearwater Agency, Digital Nomads HQ, Emote Digital, Impressive</v>
      </c>
      <c r="L415" s="187">
        <f>IFERROR(__xludf.DUMMYFUNCTION("""COMPUTED_VALUE"""),3.0)</f>
        <v>3</v>
      </c>
      <c r="M415" s="188">
        <f>IFERROR(__xludf.DUMMYFUNCTION("""COMPUTED_VALUE"""),0.0)</f>
        <v>0</v>
      </c>
      <c r="N415" s="188">
        <f>IFERROR(__xludf.DUMMYFUNCTION("""COMPUTED_VALUE"""),0.0)</f>
        <v>0</v>
      </c>
      <c r="O415" s="208"/>
      <c r="P415" s="208"/>
      <c r="Q415" s="208"/>
      <c r="R415" s="208"/>
    </row>
    <row r="416">
      <c r="A416" s="185" t="str">
        <f>IFERROR(__xludf.DUMMYFUNCTION("""COMPUTED_VALUE"""),"Agency directory / review marketplace")</f>
        <v>Agency directory / review marketplace</v>
      </c>
      <c r="B416" s="186" t="str">
        <f>IFERROR(__xludf.DUMMYFUNCTION("""COMPUTED_VALUE"""),"https://digitalagencynetwork.com/google-reveals-in-marketing-we-trust-in-top-1-of-google-agency-partners-in-australia/")</f>
        <v>https://digitalagencynetwork.com/google-reveals-in-marketing-we-trust-in-top-1-of-google-agency-partners-in-australia/</v>
      </c>
      <c r="C416" s="185" t="str">
        <f>IFERROR(__xludf.DUMMYFUNCTION("""COMPUTED_VALUE"""),"In Marketing We Trust Agency \| Digital Agency Network")</f>
        <v>In Marketing We Trust Agency \| Digital Agency Network</v>
      </c>
      <c r="D416" s="185" t="str">
        <f>IFERROR(__xludf.DUMMYFUNCTION("""COMPUTED_VALUE"""),"AU")</f>
        <v>AU</v>
      </c>
      <c r="E416" s="185" t="str">
        <f>IFERROR(__xludf.DUMMYFUNCTION("""COMPUTED_VALUE"""),"digitalagencynetwork.com")</f>
        <v>digitalagencynetwork.com</v>
      </c>
      <c r="F416" s="185" t="str">
        <f>IFERROR(__xludf.DUMMYFUNCTION("""COMPUTED_VALUE"""),"Article")</f>
        <v>Article</v>
      </c>
      <c r="G416" s="185" t="str">
        <f>IFERROR(__xludf.DUMMYFUNCTION("""COMPUTED_VALUE"""),"REFERENCE")</f>
        <v>REFERENCE</v>
      </c>
      <c r="H416" s="185" t="str">
        <f>IFERROR(__xludf.DUMMYFUNCTION("""COMPUTED_VALUE"""),"No")</f>
        <v>No</v>
      </c>
      <c r="I416" s="185" t="str">
        <f>IFERROR(__xludf.DUMMYFUNCTION("""COMPUTED_VALUE"""),"Medium")</f>
        <v>Medium</v>
      </c>
      <c r="J416" s="185" t="str">
        <f>IFERROR(__xludf.DUMMYFUNCTION("""COMPUTED_VALUE"""),"Yes")</f>
        <v>Yes</v>
      </c>
      <c r="K416" s="185" t="str">
        <f>IFERROR(__xludf.DUMMYFUNCTION("""COMPUTED_VALUE"""),"In Marketing We Trust, Huge, HERO, Alpha Digital, The Monkeys")</f>
        <v>In Marketing We Trust, Huge, HERO, Alpha Digital, The Monkeys</v>
      </c>
      <c r="L416" s="187">
        <f>IFERROR(__xludf.DUMMYFUNCTION("""COMPUTED_VALUE"""),3.0)</f>
        <v>3</v>
      </c>
      <c r="M416" s="188">
        <f>IFERROR(__xludf.DUMMYFUNCTION("""COMPUTED_VALUE"""),0.0)</f>
        <v>0</v>
      </c>
      <c r="N416" s="188">
        <f>IFERROR(__xludf.DUMMYFUNCTION("""COMPUTED_VALUE"""),2.0)</f>
        <v>2</v>
      </c>
      <c r="O416" s="208"/>
      <c r="P416" s="208"/>
      <c r="Q416" s="208"/>
      <c r="R416" s="208"/>
    </row>
    <row r="417">
      <c r="A417" s="185" t="str">
        <f>IFERROR(__xludf.DUMMYFUNCTION("""COMPUTED_VALUE"""),"Agency directory / review marketplace")</f>
        <v>Agency directory / review marketplace</v>
      </c>
      <c r="B417" s="186" t="str">
        <f>IFERROR(__xludf.DUMMYFUNCTION("""COMPUTED_VALUE"""),"https://www.goodfirms.co/advertising-companies/sydney")</f>
        <v>https://www.goodfirms.co/advertising-companies/sydney</v>
      </c>
      <c r="C417" s="185" t="str">
        <f>IFERROR(__xludf.DUMMYFUNCTION("""COMPUTED_VALUE"""),"Best Advertising Agencies in Sydney - 2026 Reviews | Goodfirms")</f>
        <v>Best Advertising Agencies in Sydney - 2026 Reviews | Goodfirms</v>
      </c>
      <c r="D417" s="185" t="str">
        <f>IFERROR(__xludf.DUMMYFUNCTION("""COMPUTED_VALUE"""),"AU")</f>
        <v>AU</v>
      </c>
      <c r="E417" s="185" t="str">
        <f>IFERROR(__xludf.DUMMYFUNCTION("""COMPUTED_VALUE"""),"goodfirms.co")</f>
        <v>goodfirms.co</v>
      </c>
      <c r="F417" s="185" t="str">
        <f>IFERROR(__xludf.DUMMYFUNCTION("""COMPUTED_VALUE"""),"Category Page")</f>
        <v>Category Page</v>
      </c>
      <c r="G417" s="185" t="str">
        <f>IFERROR(__xludf.DUMMYFUNCTION("""COMPUTED_VALUE"""),"UGC")</f>
        <v>UGC</v>
      </c>
      <c r="H417" s="185" t="str">
        <f>IFERROR(__xludf.DUMMYFUNCTION("""COMPUTED_VALUE"""),"No")</f>
        <v>No</v>
      </c>
      <c r="I417" s="185" t="str">
        <f>IFERROR(__xludf.DUMMYFUNCTION("""COMPUTED_VALUE"""),"Medium")</f>
        <v>Medium</v>
      </c>
      <c r="J417" s="185" t="str">
        <f>IFERROR(__xludf.DUMMYFUNCTION("""COMPUTED_VALUE"""),"Yes")</f>
        <v>Yes</v>
      </c>
      <c r="K417" s="185" t="str">
        <f>IFERROR(__xludf.DUMMYFUNCTION("""COMPUTED_VALUE"""),"CUT THRU, BMF, Bench Media, Chello, Edge Marketing")</f>
        <v>CUT THRU, BMF, Bench Media, Chello, Edge Marketing</v>
      </c>
      <c r="L417" s="187">
        <f>IFERROR(__xludf.DUMMYFUNCTION("""COMPUTED_VALUE"""),3.0)</f>
        <v>3</v>
      </c>
      <c r="M417" s="188">
        <f>IFERROR(__xludf.DUMMYFUNCTION("""COMPUTED_VALUE"""),0.0)</f>
        <v>0</v>
      </c>
      <c r="N417" s="188">
        <f>IFERROR(__xludf.DUMMYFUNCTION("""COMPUTED_VALUE"""),0.0)</f>
        <v>0</v>
      </c>
      <c r="O417" s="208"/>
      <c r="P417" s="208"/>
      <c r="Q417" s="208"/>
      <c r="R417" s="208"/>
    </row>
    <row r="418">
      <c r="A418" s="185" t="str">
        <f>IFERROR(__xludf.DUMMYFUNCTION("""COMPUTED_VALUE"""),"Agency directory / review marketplace")</f>
        <v>Agency directory / review marketplace</v>
      </c>
      <c r="B418" s="186" t="str">
        <f>IFERROR(__xludf.DUMMYFUNCTION("""COMPUTED_VALUE"""),"https://www.goodfirms.co/company/get-ai-ready")</f>
        <v>https://www.goodfirms.co/company/get-ai-ready</v>
      </c>
      <c r="C418" s="185" t="str">
        <f>IFERROR(__xludf.DUMMYFUNCTION("""COMPUTED_VALUE"""),"Get AI Ready Reviews &amp;amp; Ratings | Goodfirms")</f>
        <v>Get AI Ready Reviews &amp;amp; Ratings | Goodfirms</v>
      </c>
      <c r="D418" s="185" t="str">
        <f>IFERROR(__xludf.DUMMYFUNCTION("""COMPUTED_VALUE"""),"AU")</f>
        <v>AU</v>
      </c>
      <c r="E418" s="185" t="str">
        <f>IFERROR(__xludf.DUMMYFUNCTION("""COMPUTED_VALUE"""),"goodfirms.co")</f>
        <v>goodfirms.co</v>
      </c>
      <c r="F418" s="185" t="str">
        <f>IFERROR(__xludf.DUMMYFUNCTION("""COMPUTED_VALUE"""),"Profile")</f>
        <v>Profile</v>
      </c>
      <c r="G418" s="185" t="str">
        <f>IFERROR(__xludf.DUMMYFUNCTION("""COMPUTED_VALUE"""),"UGC")</f>
        <v>UGC</v>
      </c>
      <c r="H418" s="185" t="str">
        <f>IFERROR(__xludf.DUMMYFUNCTION("""COMPUTED_VALUE"""),"No")</f>
        <v>No</v>
      </c>
      <c r="I418" s="185" t="str">
        <f>IFERROR(__xludf.DUMMYFUNCTION("""COMPUTED_VALUE"""),"Medium")</f>
        <v>Medium</v>
      </c>
      <c r="J418" s="185" t="str">
        <f>IFERROR(__xludf.DUMMYFUNCTION("""COMPUTED_VALUE"""),"Yes")</f>
        <v>Yes</v>
      </c>
      <c r="K418" s="185" t="str">
        <f>IFERROR(__xludf.DUMMYFUNCTION("""COMPUTED_VALUE"""),"Get AI Ready")</f>
        <v>Get AI Ready</v>
      </c>
      <c r="L418" s="187">
        <f>IFERROR(__xludf.DUMMYFUNCTION("""COMPUTED_VALUE"""),3.0)</f>
        <v>3</v>
      </c>
      <c r="M418" s="188">
        <f>IFERROR(__xludf.DUMMYFUNCTION("""COMPUTED_VALUE"""),0.0)</f>
        <v>0</v>
      </c>
      <c r="N418" s="188">
        <f>IFERROR(__xludf.DUMMYFUNCTION("""COMPUTED_VALUE"""),0.0)</f>
        <v>0</v>
      </c>
      <c r="O418" s="208"/>
      <c r="P418" s="208"/>
      <c r="Q418" s="208"/>
      <c r="R418" s="208"/>
    </row>
    <row r="419">
      <c r="A419" s="185" t="str">
        <f>IFERROR(__xludf.DUMMYFUNCTION("""COMPUTED_VALUE"""),"Agency directory / review marketplace")</f>
        <v>Agency directory / review marketplace</v>
      </c>
      <c r="B419" s="186" t="str">
        <f>IFERROR(__xludf.DUMMYFUNCTION("""COMPUTED_VALUE"""),"https://www.goodfirms.co/directory/country/top-digital-marketing-companies/au?sort_by=matrix")</f>
        <v>https://www.goodfirms.co/directory/country/top-digital-marketing-companies/au?sort_by=matrix</v>
      </c>
      <c r="C419" s="185" t="str">
        <f>IFERROR(__xludf.DUMMYFUNCTION("""COMPUTED_VALUE"""),"Top Digital Marketing Agencies in Australia - 2026 Reviews | Goodfirms")</f>
        <v>Top Digital Marketing Agencies in Australia - 2026 Reviews | Goodfirms</v>
      </c>
      <c r="D419" s="185" t="str">
        <f>IFERROR(__xludf.DUMMYFUNCTION("""COMPUTED_VALUE"""),"AU")</f>
        <v>AU</v>
      </c>
      <c r="E419" s="185" t="str">
        <f>IFERROR(__xludf.DUMMYFUNCTION("""COMPUTED_VALUE"""),"goodfirms.co")</f>
        <v>goodfirms.co</v>
      </c>
      <c r="F419" s="185" t="str">
        <f>IFERROR(__xludf.DUMMYFUNCTION("""COMPUTED_VALUE"""),"Other")</f>
        <v>Other</v>
      </c>
      <c r="G419" s="185" t="str">
        <f>IFERROR(__xludf.DUMMYFUNCTION("""COMPUTED_VALUE"""),"UGC")</f>
        <v>UGC</v>
      </c>
      <c r="H419" s="185" t="str">
        <f>IFERROR(__xludf.DUMMYFUNCTION("""COMPUTED_VALUE"""),"No")</f>
        <v>No</v>
      </c>
      <c r="I419" s="185" t="str">
        <f>IFERROR(__xludf.DUMMYFUNCTION("""COMPUTED_VALUE"""),"Medium")</f>
        <v>Medium</v>
      </c>
      <c r="J419" s="185" t="str">
        <f>IFERROR(__xludf.DUMMYFUNCTION("""COMPUTED_VALUE"""),"Yes")</f>
        <v>Yes</v>
      </c>
      <c r="K419" s="185" t="str">
        <f>IFERROR(__xludf.DUMMYFUNCTION("""COMPUTED_VALUE"""),"eMarket Experts, Impressive, AdVisible, SIXGUN, Supple Digital, Digital Nomads HQ, CUT THRU, Intesols, Emote Digital")</f>
        <v>eMarket Experts, Impressive, AdVisible, SIXGUN, Supple Digital, Digital Nomads HQ, CUT THRU, Intesols, Emote Digital</v>
      </c>
      <c r="L419" s="187">
        <f>IFERROR(__xludf.DUMMYFUNCTION("""COMPUTED_VALUE"""),3.0)</f>
        <v>3</v>
      </c>
      <c r="M419" s="188">
        <f>IFERROR(__xludf.DUMMYFUNCTION("""COMPUTED_VALUE"""),0.0)</f>
        <v>0</v>
      </c>
      <c r="N419" s="188">
        <f>IFERROR(__xludf.DUMMYFUNCTION("""COMPUTED_VALUE"""),0.0)</f>
        <v>0</v>
      </c>
      <c r="O419" s="208"/>
      <c r="P419" s="208"/>
      <c r="Q419" s="208"/>
      <c r="R419" s="208"/>
    </row>
    <row r="420">
      <c r="A420" s="185" t="str">
        <f>IFERROR(__xludf.DUMMYFUNCTION("""COMPUTED_VALUE"""),"Official partner / certification ecosystem")</f>
        <v>Official partner / certification ecosystem</v>
      </c>
      <c r="B420" s="186" t="str">
        <f>IFERROR(__xludf.DUMMYFUNCTION("""COMPUTED_VALUE"""),"https://www.google.com/partners")</f>
        <v>https://www.google.com/partners</v>
      </c>
      <c r="C420" s="185"/>
      <c r="D420" s="185" t="str">
        <f>IFERROR(__xludf.DUMMYFUNCTION("""COMPUTED_VALUE"""),"AU")</f>
        <v>AU</v>
      </c>
      <c r="E420" s="185" t="str">
        <f>IFERROR(__xludf.DUMMYFUNCTION("""COMPUTED_VALUE"""),"google.com")</f>
        <v>google.com</v>
      </c>
      <c r="F420" s="185" t="str">
        <f>IFERROR(__xludf.DUMMYFUNCTION("""COMPUTED_VALUE"""),"Other")</f>
        <v>Other</v>
      </c>
      <c r="G420" s="185" t="str">
        <f>IFERROR(__xludf.DUMMYFUNCTION("""COMPUTED_VALUE"""),"OTHER")</f>
        <v>OTHER</v>
      </c>
      <c r="H420" s="185" t="str">
        <f>IFERROR(__xludf.DUMMYFUNCTION("""COMPUTED_VALUE"""),"No")</f>
        <v>No</v>
      </c>
      <c r="I420" s="185" t="str">
        <f>IFERROR(__xludf.DUMMYFUNCTION("""COMPUTED_VALUE"""),"High")</f>
        <v>High</v>
      </c>
      <c r="J420" s="185" t="str">
        <f>IFERROR(__xludf.DUMMYFUNCTION("""COMPUTED_VALUE"""),"Yes - priority")</f>
        <v>Yes - priority</v>
      </c>
      <c r="K420" s="185" t="str">
        <f>IFERROR(__xludf.DUMMYFUNCTION("""COMPUTED_VALUE"""),"Unknown")</f>
        <v>Unknown</v>
      </c>
      <c r="L420" s="187">
        <f>IFERROR(__xludf.DUMMYFUNCTION("""COMPUTED_VALUE"""),3.0)</f>
        <v>3</v>
      </c>
      <c r="M420" s="188">
        <f>IFERROR(__xludf.DUMMYFUNCTION("""COMPUTED_VALUE"""),0.0)</f>
        <v>0</v>
      </c>
      <c r="N420" s="188">
        <f>IFERROR(__xludf.DUMMYFUNCTION("""COMPUTED_VALUE"""),0.0)</f>
        <v>0</v>
      </c>
      <c r="O420" s="208"/>
      <c r="P420" s="208"/>
      <c r="Q420" s="208"/>
      <c r="R420" s="208"/>
    </row>
    <row r="421">
      <c r="A421" s="185" t="str">
        <f>IFERROR(__xludf.DUMMYFUNCTION("""COMPUTED_VALUE"""),"Trade media / editorial publication")</f>
        <v>Trade media / editorial publication</v>
      </c>
      <c r="B421" s="186" t="str">
        <f>IFERROR(__xludf.DUMMYFUNCTION("""COMPUTED_VALUE"""),"https://seocompare.co.uk/ai-search-agencies-australia/")</f>
        <v>https://seocompare.co.uk/ai-search-agencies-australia/</v>
      </c>
      <c r="C421" s="185" t="str">
        <f>IFERROR(__xludf.DUMMYFUNCTION("""COMPUTED_VALUE"""),"4 Best AI Search Agencies Australia - 2026 Guide | SEOCompare")</f>
        <v>4 Best AI Search Agencies Australia - 2026 Guide | SEOCompare</v>
      </c>
      <c r="D421" s="185" t="str">
        <f>IFERROR(__xludf.DUMMYFUNCTION("""COMPUTED_VALUE"""),"AU")</f>
        <v>AU</v>
      </c>
      <c r="E421" s="185" t="str">
        <f>IFERROR(__xludf.DUMMYFUNCTION("""COMPUTED_VALUE"""),"seocompare.co.uk")</f>
        <v>seocompare.co.uk</v>
      </c>
      <c r="F421" s="185" t="str">
        <f>IFERROR(__xludf.DUMMYFUNCTION("""COMPUTED_VALUE"""),"Listicle")</f>
        <v>Listicle</v>
      </c>
      <c r="G421" s="185" t="str">
        <f>IFERROR(__xludf.DUMMYFUNCTION("""COMPUTED_VALUE"""),"EDITORIAL")</f>
        <v>EDITORIAL</v>
      </c>
      <c r="H421" s="185" t="str">
        <f>IFERROR(__xludf.DUMMYFUNCTION("""COMPUTED_VALUE"""),"No")</f>
        <v>No</v>
      </c>
      <c r="I421" s="185" t="str">
        <f>IFERROR(__xludf.DUMMYFUNCTION("""COMPUTED_VALUE"""),"Low")</f>
        <v>Low</v>
      </c>
      <c r="J421" s="185" t="str">
        <f>IFERROR(__xludf.DUMMYFUNCTION("""COMPUTED_VALUE"""),"Secondary")</f>
        <v>Secondary</v>
      </c>
      <c r="K421" s="185" t="str">
        <f>IFERROR(__xludf.DUMMYFUNCTION("""COMPUTED_VALUE"""),"First Page")</f>
        <v>First Page</v>
      </c>
      <c r="L421" s="187">
        <f>IFERROR(__xludf.DUMMYFUNCTION("""COMPUTED_VALUE"""),3.0)</f>
        <v>3</v>
      </c>
      <c r="M421" s="188">
        <f>IFERROR(__xludf.DUMMYFUNCTION("""COMPUTED_VALUE"""),0.0)</f>
        <v>0</v>
      </c>
      <c r="N421" s="188">
        <f>IFERROR(__xludf.DUMMYFUNCTION("""COMPUTED_VALUE"""),0.0)</f>
        <v>0</v>
      </c>
      <c r="O421" s="208"/>
      <c r="P421" s="208"/>
      <c r="Q421" s="208"/>
      <c r="R421" s="208"/>
    </row>
    <row r="422">
      <c r="A422" s="185" t="str">
        <f>IFERROR(__xludf.DUMMYFUNCTION("""COMPUTED_VALUE"""),"Agency directory / review marketplace")</f>
        <v>Agency directory / review marketplace</v>
      </c>
      <c r="B422" s="186" t="str">
        <f>IFERROR(__xludf.DUMMYFUNCTION("""COMPUTED_VALUE"""),"https://www.sortlist.com/s/data-driven-marketing/australia-au")</f>
        <v>https://www.sortlist.com/s/data-driven-marketing/australia-au</v>
      </c>
      <c r="C422" s="185" t="str">
        <f>IFERROR(__xludf.DUMMYFUNCTION("""COMPUTED_VALUE"""),"The 10 Best Data Driven Marketing Agencies in Australia - 2026 Reviews")</f>
        <v>The 10 Best Data Driven Marketing Agencies in Australia - 2026 Reviews</v>
      </c>
      <c r="D422" s="185" t="str">
        <f>IFERROR(__xludf.DUMMYFUNCTION("""COMPUTED_VALUE"""),"AU")</f>
        <v>AU</v>
      </c>
      <c r="E422" s="185" t="str">
        <f>IFERROR(__xludf.DUMMYFUNCTION("""COMPUTED_VALUE"""),"sortlist.com")</f>
        <v>sortlist.com</v>
      </c>
      <c r="F422" s="185" t="str">
        <f>IFERROR(__xludf.DUMMYFUNCTION("""COMPUTED_VALUE"""),"Category Page")</f>
        <v>Category Page</v>
      </c>
      <c r="G422" s="185" t="str">
        <f>IFERROR(__xludf.DUMMYFUNCTION("""COMPUTED_VALUE"""),"CORPORATE")</f>
        <v>CORPORATE</v>
      </c>
      <c r="H422" s="185" t="str">
        <f>IFERROR(__xludf.DUMMYFUNCTION("""COMPUTED_VALUE"""),"No")</f>
        <v>No</v>
      </c>
      <c r="I422" s="185" t="str">
        <f>IFERROR(__xludf.DUMMYFUNCTION("""COMPUTED_VALUE"""),"Medium")</f>
        <v>Medium</v>
      </c>
      <c r="J422" s="185" t="str">
        <f>IFERROR(__xludf.DUMMYFUNCTION("""COMPUTED_VALUE"""),"Yes")</f>
        <v>Yes</v>
      </c>
      <c r="K422" s="185" t="str">
        <f>IFERROR(__xludf.DUMMYFUNCTION("""COMPUTED_VALUE"""),"Measured, Earned Media, Clearwater Agency, SIXGUN, Soup Agency, HERO, Ninja Promo")</f>
        <v>Measured, Earned Media, Clearwater Agency, SIXGUN, Soup Agency, HERO, Ninja Promo</v>
      </c>
      <c r="L422" s="187">
        <f>IFERROR(__xludf.DUMMYFUNCTION("""COMPUTED_VALUE"""),3.0)</f>
        <v>3</v>
      </c>
      <c r="M422" s="188">
        <f>IFERROR(__xludf.DUMMYFUNCTION("""COMPUTED_VALUE"""),0.0)</f>
        <v>0</v>
      </c>
      <c r="N422" s="188">
        <f>IFERROR(__xludf.DUMMYFUNCTION("""COMPUTED_VALUE"""),0.0)</f>
        <v>0</v>
      </c>
      <c r="O422" s="208"/>
      <c r="P422" s="208"/>
      <c r="Q422" s="208"/>
      <c r="R422" s="208"/>
    </row>
    <row r="423">
      <c r="A423" s="185" t="str">
        <f>IFERROR(__xludf.DUMMYFUNCTION("""COMPUTED_VALUE"""),"Agency directory / review marketplace")</f>
        <v>Agency directory / review marketplace</v>
      </c>
      <c r="B423" s="186" t="str">
        <f>IFERROR(__xludf.DUMMYFUNCTION("""COMPUTED_VALUE"""),"https://www.sortlist.com/s/paid-media/new-south-wales-nsw-au")</f>
        <v>https://www.sortlist.com/s/paid-media/new-south-wales-nsw-au</v>
      </c>
      <c r="C423" s="185" t="str">
        <f>IFERROR(__xludf.DUMMYFUNCTION("""COMPUTED_VALUE"""),"The 10 Best Paid Media Agencies in New South Wales - 2026 Reviews")</f>
        <v>The 10 Best Paid Media Agencies in New South Wales - 2026 Reviews</v>
      </c>
      <c r="D423" s="185" t="str">
        <f>IFERROR(__xludf.DUMMYFUNCTION("""COMPUTED_VALUE"""),"AU")</f>
        <v>AU</v>
      </c>
      <c r="E423" s="185" t="str">
        <f>IFERROR(__xludf.DUMMYFUNCTION("""COMPUTED_VALUE"""),"sortlist.com")</f>
        <v>sortlist.com</v>
      </c>
      <c r="F423" s="185" t="str">
        <f>IFERROR(__xludf.DUMMYFUNCTION("""COMPUTED_VALUE"""),"Category Page")</f>
        <v>Category Page</v>
      </c>
      <c r="G423" s="185" t="str">
        <f>IFERROR(__xludf.DUMMYFUNCTION("""COMPUTED_VALUE"""),"CORPORATE")</f>
        <v>CORPORATE</v>
      </c>
      <c r="H423" s="185" t="str">
        <f>IFERROR(__xludf.DUMMYFUNCTION("""COMPUTED_VALUE"""),"No")</f>
        <v>No</v>
      </c>
      <c r="I423" s="185" t="str">
        <f>IFERROR(__xludf.DUMMYFUNCTION("""COMPUTED_VALUE"""),"Medium")</f>
        <v>Medium</v>
      </c>
      <c r="J423" s="185" t="str">
        <f>IFERROR(__xludf.DUMMYFUNCTION("""COMPUTED_VALUE"""),"Yes")</f>
        <v>Yes</v>
      </c>
      <c r="K423" s="185" t="str">
        <f>IFERROR(__xludf.DUMMYFUNCTION("""COMPUTED_VALUE"""),"Impressive, Supple Digital, CUT THRU, Measured, Earned Media, Clearwater Agency, SIXGUN, Ninja Promo")</f>
        <v>Impressive, Supple Digital, CUT THRU, Measured, Earned Media, Clearwater Agency, SIXGUN, Ninja Promo</v>
      </c>
      <c r="L423" s="187">
        <f>IFERROR(__xludf.DUMMYFUNCTION("""COMPUTED_VALUE"""),3.0)</f>
        <v>3</v>
      </c>
      <c r="M423" s="188">
        <f>IFERROR(__xludf.DUMMYFUNCTION("""COMPUTED_VALUE"""),0.0)</f>
        <v>0</v>
      </c>
      <c r="N423" s="188">
        <f>IFERROR(__xludf.DUMMYFUNCTION("""COMPUTED_VALUE"""),0.0)</f>
        <v>0</v>
      </c>
      <c r="O423" s="208"/>
      <c r="P423" s="208"/>
      <c r="Q423" s="208"/>
      <c r="R423" s="208"/>
    </row>
    <row r="424">
      <c r="A424" s="185" t="str">
        <f>IFERROR(__xludf.DUMMYFUNCTION("""COMPUTED_VALUE"""),"Trade media / editorial publication")</f>
        <v>Trade media / editorial publication</v>
      </c>
      <c r="B424" s="186" t="str">
        <f>IFERROR(__xludf.DUMMYFUNCTION("""COMPUTED_VALUE"""),"https://techbullion.com/top-australian-geo-agencies-helping-brands-appear-in-ai-generated-answers/")</f>
        <v>https://techbullion.com/top-australian-geo-agencies-helping-brands-appear-in-ai-generated-answers/</v>
      </c>
      <c r="C424" s="185" t="str">
        <f>IFERROR(__xludf.DUMMYFUNCTION("""COMPUTED_VALUE"""),"Top Australian GEO Agencies Helping Brands Appear in AI-Generated Answers - TechBullion")</f>
        <v>Top Australian GEO Agencies Helping Brands Appear in AI-Generated Answers - TechBullion</v>
      </c>
      <c r="D424" s="185" t="str">
        <f>IFERROR(__xludf.DUMMYFUNCTION("""COMPUTED_VALUE"""),"AU")</f>
        <v>AU</v>
      </c>
      <c r="E424" s="185" t="str">
        <f>IFERROR(__xludf.DUMMYFUNCTION("""COMPUTED_VALUE"""),"techbullion.com")</f>
        <v>techbullion.com</v>
      </c>
      <c r="F424" s="185" t="str">
        <f>IFERROR(__xludf.DUMMYFUNCTION("""COMPUTED_VALUE"""),"Listicle")</f>
        <v>Listicle</v>
      </c>
      <c r="G424" s="185" t="str">
        <f>IFERROR(__xludf.DUMMYFUNCTION("""COMPUTED_VALUE"""),"EDITORIAL")</f>
        <v>EDITORIAL</v>
      </c>
      <c r="H424" s="185" t="str">
        <f>IFERROR(__xludf.DUMMYFUNCTION("""COMPUTED_VALUE"""),"No")</f>
        <v>No</v>
      </c>
      <c r="I424" s="185" t="str">
        <f>IFERROR(__xludf.DUMMYFUNCTION("""COMPUTED_VALUE"""),"Medium")</f>
        <v>Medium</v>
      </c>
      <c r="J424" s="185" t="str">
        <f>IFERROR(__xludf.DUMMYFUNCTION("""COMPUTED_VALUE"""),"Yes")</f>
        <v>Yes</v>
      </c>
      <c r="K424" s="185" t="str">
        <f>IFERROR(__xludf.DUMMYFUNCTION("""COMPUTED_VALUE"""),"NP Digital Australia, Soup Agency, Reef Digital Agency, First Page, First Page Australia, King Kong, Megantic, StudioHawk, Clearwater Agency")</f>
        <v>NP Digital Australia, Soup Agency, Reef Digital Agency, First Page, First Page Australia, King Kong, Megantic, StudioHawk, Clearwater Agency</v>
      </c>
      <c r="L424" s="187">
        <f>IFERROR(__xludf.DUMMYFUNCTION("""COMPUTED_VALUE"""),3.0)</f>
        <v>3</v>
      </c>
      <c r="M424" s="188">
        <f>IFERROR(__xludf.DUMMYFUNCTION("""COMPUTED_VALUE"""),0.0)</f>
        <v>0</v>
      </c>
      <c r="N424" s="188">
        <f>IFERROR(__xludf.DUMMYFUNCTION("""COMPUTED_VALUE"""),0.0)</f>
        <v>0</v>
      </c>
      <c r="O424" s="208"/>
      <c r="P424" s="208"/>
      <c r="Q424" s="208"/>
      <c r="R424" s="208"/>
    </row>
    <row r="425">
      <c r="A425" s="185" t="str">
        <f>IFERROR(__xludf.DUMMYFUNCTION("""COMPUTED_VALUE"""),"Agency directory / review marketplace")</f>
        <v>Agency directory / review marketplace</v>
      </c>
      <c r="B425" s="186" t="str">
        <f>IFERROR(__xludf.DUMMYFUNCTION("""COMPUTED_VALUE"""),"https://themanifest.com/au/digital-marketing/agencies")</f>
        <v>https://themanifest.com/au/digital-marketing/agencies</v>
      </c>
      <c r="C425" s="185" t="str">
        <f>IFERROR(__xludf.DUMMYFUNCTION("""COMPUTED_VALUE"""),"The Best Digital Marketing Companies in Australia - Jul 2026 | The Manifest")</f>
        <v>The Best Digital Marketing Companies in Australia - Jul 2026 | The Manifest</v>
      </c>
      <c r="D425" s="185" t="str">
        <f>IFERROR(__xludf.DUMMYFUNCTION("""COMPUTED_VALUE"""),"AU")</f>
        <v>AU</v>
      </c>
      <c r="E425" s="185" t="str">
        <f>IFERROR(__xludf.DUMMYFUNCTION("""COMPUTED_VALUE"""),"themanifest.com")</f>
        <v>themanifest.com</v>
      </c>
      <c r="F425" s="185" t="str">
        <f>IFERROR(__xludf.DUMMYFUNCTION("""COMPUTED_VALUE"""),"Category Page")</f>
        <v>Category Page</v>
      </c>
      <c r="G425" s="185" t="str">
        <f>IFERROR(__xludf.DUMMYFUNCTION("""COMPUTED_VALUE"""),"REFERENCE")</f>
        <v>REFERENCE</v>
      </c>
      <c r="H425" s="185" t="str">
        <f>IFERROR(__xludf.DUMMYFUNCTION("""COMPUTED_VALUE"""),"No")</f>
        <v>No</v>
      </c>
      <c r="I425" s="185" t="str">
        <f>IFERROR(__xludf.DUMMYFUNCTION("""COMPUTED_VALUE"""),"Medium")</f>
        <v>Medium</v>
      </c>
      <c r="J425" s="185" t="str">
        <f>IFERROR(__xludf.DUMMYFUNCTION("""COMPUTED_VALUE"""),"Yes")</f>
        <v>Yes</v>
      </c>
      <c r="K425" s="185" t="str">
        <f>IFERROR(__xludf.DUMMYFUNCTION("""COMPUTED_VALUE"""),"Digital Nomads HQ, SIXGUN, Megaphone, Paradox Marketing, Marketix Digital, eMarket Experts, Intesols, Soup Agency, Earned Media, Online Marketing Gurus, Rocket Agency, Human Digital, Emote Digital, Farsiight, 80/20 Digital, MyWork, Clearwater Agency, Supp"&amp;"le Digital, StudioHawk, EvenDigit, Alley Group")</f>
        <v>Digital Nomads HQ, SIXGUN, Megaphone, Paradox Marketing, Marketix Digital, eMarket Experts, Intesols, Soup Agency, Earned Media, Online Marketing Gurus, Rocket Agency, Human Digital, Emote Digital, Farsiight, 80/20 Digital, MyWork, Clearwater Agency, Supple Digital, StudioHawk, EvenDigit, Alley Group</v>
      </c>
      <c r="L425" s="187">
        <f>IFERROR(__xludf.DUMMYFUNCTION("""COMPUTED_VALUE"""),3.0)</f>
        <v>3</v>
      </c>
      <c r="M425" s="188">
        <f>IFERROR(__xludf.DUMMYFUNCTION("""COMPUTED_VALUE"""),0.0)</f>
        <v>0</v>
      </c>
      <c r="N425" s="188">
        <f>IFERROR(__xludf.DUMMYFUNCTION("""COMPUTED_VALUE"""),0.0)</f>
        <v>0</v>
      </c>
      <c r="O425" s="208"/>
      <c r="P425" s="208"/>
      <c r="Q425" s="208"/>
      <c r="R425" s="208"/>
    </row>
    <row r="426">
      <c r="A426" s="185" t="str">
        <f>IFERROR(__xludf.DUMMYFUNCTION("""COMPUTED_VALUE"""),"Agency directory / review marketplace")</f>
        <v>Agency directory / review marketplace</v>
      </c>
      <c r="B426" s="186" t="str">
        <f>IFERROR(__xludf.DUMMYFUNCTION("""COMPUTED_VALUE"""),"https://themanifest.com/au/digital-marketing/agencies?page=1")</f>
        <v>https://themanifest.com/au/digital-marketing/agencies?page=1</v>
      </c>
      <c r="C426" s="185" t="str">
        <f>IFERROR(__xludf.DUMMYFUNCTION("""COMPUTED_VALUE"""),"The Best Digital Marketing Companies in Australia - Jul 2026 | The Manifest")</f>
        <v>The Best Digital Marketing Companies in Australia - Jul 2026 | The Manifest</v>
      </c>
      <c r="D426" s="185" t="str">
        <f>IFERROR(__xludf.DUMMYFUNCTION("""COMPUTED_VALUE"""),"AU")</f>
        <v>AU</v>
      </c>
      <c r="E426" s="185" t="str">
        <f>IFERROR(__xludf.DUMMYFUNCTION("""COMPUTED_VALUE"""),"themanifest.com")</f>
        <v>themanifest.com</v>
      </c>
      <c r="F426" s="185" t="str">
        <f>IFERROR(__xludf.DUMMYFUNCTION("""COMPUTED_VALUE"""),"Listicle")</f>
        <v>Listicle</v>
      </c>
      <c r="G426" s="185" t="str">
        <f>IFERROR(__xludf.DUMMYFUNCTION("""COMPUTED_VALUE"""),"REFERENCE")</f>
        <v>REFERENCE</v>
      </c>
      <c r="H426" s="185" t="str">
        <f>IFERROR(__xludf.DUMMYFUNCTION("""COMPUTED_VALUE"""),"No")</f>
        <v>No</v>
      </c>
      <c r="I426" s="185" t="str">
        <f>IFERROR(__xludf.DUMMYFUNCTION("""COMPUTED_VALUE"""),"Medium")</f>
        <v>Medium</v>
      </c>
      <c r="J426" s="185" t="str">
        <f>IFERROR(__xludf.DUMMYFUNCTION("""COMPUTED_VALUE"""),"Yes")</f>
        <v>Yes</v>
      </c>
      <c r="K426" s="185" t="str">
        <f>IFERROR(__xludf.DUMMYFUNCTION("""COMPUTED_VALUE"""),"Salt &amp; Fuessel, Impressive, Insil, Luminary, Sparro, Reform Digital, Digital Nomads HQ, EvenDigit, Alley Group, SIXGUN, MyWork")</f>
        <v>Salt &amp; Fuessel, Impressive, Insil, Luminary, Sparro, Reform Digital, Digital Nomads HQ, EvenDigit, Alley Group, SIXGUN, MyWork</v>
      </c>
      <c r="L426" s="187">
        <f>IFERROR(__xludf.DUMMYFUNCTION("""COMPUTED_VALUE"""),3.0)</f>
        <v>3</v>
      </c>
      <c r="M426" s="188">
        <f>IFERROR(__xludf.DUMMYFUNCTION("""COMPUTED_VALUE"""),0.0)</f>
        <v>0</v>
      </c>
      <c r="N426" s="188">
        <f>IFERROR(__xludf.DUMMYFUNCTION("""COMPUTED_VALUE"""),0.0)</f>
        <v>0</v>
      </c>
      <c r="O426" s="208"/>
      <c r="P426" s="208"/>
      <c r="Q426" s="208"/>
      <c r="R426" s="208"/>
    </row>
    <row r="427">
      <c r="A427" s="185" t="str">
        <f>IFERROR(__xludf.DUMMYFUNCTION("""COMPUTED_VALUE"""),"Industry data / software authority")</f>
        <v>Industry data / software authority</v>
      </c>
      <c r="B427" s="186" t="str">
        <f>IFERROR(__xludf.DUMMYFUNCTION("""COMPUTED_VALUE"""),"https://agencies.semrush.com/list/advertising/melbourne/")</f>
        <v>https://agencies.semrush.com/list/advertising/melbourne/</v>
      </c>
      <c r="C427" s="185" t="str">
        <f>IFERROR(__xludf.DUMMYFUNCTION("""COMPUTED_VALUE"""),"Best Advertising Agencies in Melbourne 2026 | Semrush")</f>
        <v>Best Advertising Agencies in Melbourne 2026 | Semrush</v>
      </c>
      <c r="D427" s="185" t="str">
        <f>IFERROR(__xludf.DUMMYFUNCTION("""COMPUTED_VALUE"""),"AU")</f>
        <v>AU</v>
      </c>
      <c r="E427" s="185" t="str">
        <f>IFERROR(__xludf.DUMMYFUNCTION("""COMPUTED_VALUE"""),"semrush.com")</f>
        <v>semrush.com</v>
      </c>
      <c r="F427" s="185" t="str">
        <f>IFERROR(__xludf.DUMMYFUNCTION("""COMPUTED_VALUE"""),"Category Page")</f>
        <v>Category Page</v>
      </c>
      <c r="G427" s="185" t="str">
        <f>IFERROR(__xludf.DUMMYFUNCTION("""COMPUTED_VALUE"""),"CORPORATE")</f>
        <v>CORPORATE</v>
      </c>
      <c r="H427" s="185" t="str">
        <f>IFERROR(__xludf.DUMMYFUNCTION("""COMPUTED_VALUE"""),"No")</f>
        <v>No</v>
      </c>
      <c r="I427" s="185" t="str">
        <f>IFERROR(__xludf.DUMMYFUNCTION("""COMPUTED_VALUE"""),"Medium")</f>
        <v>Medium</v>
      </c>
      <c r="J427" s="185" t="str">
        <f>IFERROR(__xludf.DUMMYFUNCTION("""COMPUTED_VALUE"""),"Yes")</f>
        <v>Yes</v>
      </c>
      <c r="K427" s="185" t="str">
        <f>IFERROR(__xludf.DUMMYFUNCTION("""COMPUTED_VALUE"""),"Supple Digital, Soup Agency, First Page, Clearwater Agency, Measured, Earned Media, Impressive, Online Marketing Gurus, Omnicom Media Group, First Page Australia, 80/20 Digital, Salt &amp; Fuessel, Megaphone")</f>
        <v>Supple Digital, Soup Agency, First Page, Clearwater Agency, Measured, Earned Media, Impressive, Online Marketing Gurus, Omnicom Media Group, First Page Australia, 80/20 Digital, Salt &amp; Fuessel, Megaphone</v>
      </c>
      <c r="L427" s="187">
        <f>IFERROR(__xludf.DUMMYFUNCTION("""COMPUTED_VALUE"""),2.0)</f>
        <v>2</v>
      </c>
      <c r="M427" s="188">
        <f>IFERROR(__xludf.DUMMYFUNCTION("""COMPUTED_VALUE"""),0.0)</f>
        <v>0</v>
      </c>
      <c r="N427" s="188">
        <f>IFERROR(__xludf.DUMMYFUNCTION("""COMPUTED_VALUE"""),1.0)</f>
        <v>1</v>
      </c>
      <c r="O427" s="208"/>
      <c r="P427" s="208"/>
      <c r="Q427" s="208"/>
      <c r="R427" s="208"/>
    </row>
    <row r="428">
      <c r="A428" s="185" t="str">
        <f>IFERROR(__xludf.DUMMYFUNCTION("""COMPUTED_VALUE"""),"Industry data / software authority")</f>
        <v>Industry data / software authority</v>
      </c>
      <c r="B428" s="186" t="str">
        <f>IFERROR(__xludf.DUMMYFUNCTION("""COMPUTED_VALUE"""),"https://agencies.semrush.com/list/analytics-data-science/melbourne/")</f>
        <v>https://agencies.semrush.com/list/analytics-data-science/melbourne/</v>
      </c>
      <c r="C428" s="185" t="str">
        <f>IFERROR(__xludf.DUMMYFUNCTION("""COMPUTED_VALUE"""),"Best Data Analytics Services in Melbourne 2026 | Semrush")</f>
        <v>Best Data Analytics Services in Melbourne 2026 | Semrush</v>
      </c>
      <c r="D428" s="185" t="str">
        <f>IFERROR(__xludf.DUMMYFUNCTION("""COMPUTED_VALUE"""),"AU")</f>
        <v>AU</v>
      </c>
      <c r="E428" s="185" t="str">
        <f>IFERROR(__xludf.DUMMYFUNCTION("""COMPUTED_VALUE"""),"semrush.com")</f>
        <v>semrush.com</v>
      </c>
      <c r="F428" s="185" t="str">
        <f>IFERROR(__xludf.DUMMYFUNCTION("""COMPUTED_VALUE"""),"Category Page")</f>
        <v>Category Page</v>
      </c>
      <c r="G428" s="185" t="str">
        <f>IFERROR(__xludf.DUMMYFUNCTION("""COMPUTED_VALUE"""),"CORPORATE")</f>
        <v>CORPORATE</v>
      </c>
      <c r="H428" s="185" t="str">
        <f>IFERROR(__xludf.DUMMYFUNCTION("""COMPUTED_VALUE"""),"No")</f>
        <v>No</v>
      </c>
      <c r="I428" s="185" t="str">
        <f>IFERROR(__xludf.DUMMYFUNCTION("""COMPUTED_VALUE"""),"Medium")</f>
        <v>Medium</v>
      </c>
      <c r="J428" s="185" t="str">
        <f>IFERROR(__xludf.DUMMYFUNCTION("""COMPUTED_VALUE"""),"Yes")</f>
        <v>Yes</v>
      </c>
      <c r="K428" s="185" t="str">
        <f>IFERROR(__xludf.DUMMYFUNCTION("""COMPUTED_VALUE"""),"Soup Agency, First Page, Clearwater Agency, Measured, Earned Media, Impressive, Online Marketing Gurus, Omnicom Media Group, 80/20 Digital, Bonfire, Megantic, Click Click Media")</f>
        <v>Soup Agency, First Page, Clearwater Agency, Measured, Earned Media, Impressive, Online Marketing Gurus, Omnicom Media Group, 80/20 Digital, Bonfire, Megantic, Click Click Media</v>
      </c>
      <c r="L428" s="187">
        <f>IFERROR(__xludf.DUMMYFUNCTION("""COMPUTED_VALUE"""),2.0)</f>
        <v>2</v>
      </c>
      <c r="M428" s="188">
        <f>IFERROR(__xludf.DUMMYFUNCTION("""COMPUTED_VALUE"""),0.0)</f>
        <v>0</v>
      </c>
      <c r="N428" s="188">
        <f>IFERROR(__xludf.DUMMYFUNCTION("""COMPUTED_VALUE"""),0.0)</f>
        <v>0</v>
      </c>
      <c r="O428" s="208"/>
      <c r="P428" s="208"/>
      <c r="Q428" s="208"/>
      <c r="R428" s="208"/>
    </row>
    <row r="429">
      <c r="A429" s="185" t="str">
        <f>IFERROR(__xludf.DUMMYFUNCTION("""COMPUTED_VALUE"""),"Industry data / software authority")</f>
        <v>Industry data / software authority</v>
      </c>
      <c r="B429" s="186" t="str">
        <f>IFERROR(__xludf.DUMMYFUNCTION("""COMPUTED_VALUE"""),"https://agencies.semrush.com/list/analytics-data-science/melbourne/enterprise-business/")</f>
        <v>https://agencies.semrush.com/list/analytics-data-science/melbourne/enterprise-business/</v>
      </c>
      <c r="C429" s="185" t="str">
        <f>IFERROR(__xludf.DUMMYFUNCTION("""COMPUTED_VALUE"""),"Best Data Analytics Services for Enterprise Business in Melbourne 2026 | Semrush")</f>
        <v>Best Data Analytics Services for Enterprise Business in Melbourne 2026 | Semrush</v>
      </c>
      <c r="D429" s="185" t="str">
        <f>IFERROR(__xludf.DUMMYFUNCTION("""COMPUTED_VALUE"""),"AU")</f>
        <v>AU</v>
      </c>
      <c r="E429" s="185" t="str">
        <f>IFERROR(__xludf.DUMMYFUNCTION("""COMPUTED_VALUE"""),"semrush.com")</f>
        <v>semrush.com</v>
      </c>
      <c r="F429" s="185" t="str">
        <f>IFERROR(__xludf.DUMMYFUNCTION("""COMPUTED_VALUE"""),"Other")</f>
        <v>Other</v>
      </c>
      <c r="G429" s="185" t="str">
        <f>IFERROR(__xludf.DUMMYFUNCTION("""COMPUTED_VALUE"""),"CORPORATE")</f>
        <v>CORPORATE</v>
      </c>
      <c r="H429" s="185" t="str">
        <f>IFERROR(__xludf.DUMMYFUNCTION("""COMPUTED_VALUE"""),"No")</f>
        <v>No</v>
      </c>
      <c r="I429" s="185" t="str">
        <f>IFERROR(__xludf.DUMMYFUNCTION("""COMPUTED_VALUE"""),"Medium")</f>
        <v>Medium</v>
      </c>
      <c r="J429" s="185" t="str">
        <f>IFERROR(__xludf.DUMMYFUNCTION("""COMPUTED_VALUE"""),"Yes")</f>
        <v>Yes</v>
      </c>
      <c r="K429" s="185" t="str">
        <f>IFERROR(__xludf.DUMMYFUNCTION("""COMPUTED_VALUE"""),"Soup Agency, First Page, Clearwater Agency, Measured, Earned Media, Impressive, Online Marketing Gurus, Omnicom Media Group, Bonfire, Megantic, Click Click Media, Huge")</f>
        <v>Soup Agency, First Page, Clearwater Agency, Measured, Earned Media, Impressive, Online Marketing Gurus, Omnicom Media Group, Bonfire, Megantic, Click Click Media, Huge</v>
      </c>
      <c r="L429" s="187">
        <f>IFERROR(__xludf.DUMMYFUNCTION("""COMPUTED_VALUE"""),2.0)</f>
        <v>2</v>
      </c>
      <c r="M429" s="188">
        <f>IFERROR(__xludf.DUMMYFUNCTION("""COMPUTED_VALUE"""),0.0)</f>
        <v>0</v>
      </c>
      <c r="N429" s="188">
        <f>IFERROR(__xludf.DUMMYFUNCTION("""COMPUTED_VALUE"""),0.0)</f>
        <v>0</v>
      </c>
      <c r="O429" s="208"/>
      <c r="P429" s="208"/>
      <c r="Q429" s="208"/>
      <c r="R429" s="208"/>
    </row>
    <row r="430">
      <c r="A430" s="185" t="str">
        <f>IFERROR(__xludf.DUMMYFUNCTION("""COMPUTED_VALUE"""),"Industry data / software authority")</f>
        <v>Industry data / software authority</v>
      </c>
      <c r="B430" s="186" t="str">
        <f>IFERROR(__xludf.DUMMYFUNCTION("""COMPUTED_VALUE"""),"https://agencies.semrush.com/list/display-advertising/melbourne/small-business/")</f>
        <v>https://agencies.semrush.com/list/display-advertising/melbourne/small-business/</v>
      </c>
      <c r="C430" s="185" t="str">
        <f>IFERROR(__xludf.DUMMYFUNCTION("""COMPUTED_VALUE"""),"Best Display Ads Agencies for Small Business in Melbourne 2026 | Semrush")</f>
        <v>Best Display Ads Agencies for Small Business in Melbourne 2026 | Semrush</v>
      </c>
      <c r="D430" s="185" t="str">
        <f>IFERROR(__xludf.DUMMYFUNCTION("""COMPUTED_VALUE"""),"AU")</f>
        <v>AU</v>
      </c>
      <c r="E430" s="185" t="str">
        <f>IFERROR(__xludf.DUMMYFUNCTION("""COMPUTED_VALUE"""),"semrush.com")</f>
        <v>semrush.com</v>
      </c>
      <c r="F430" s="185" t="str">
        <f>IFERROR(__xludf.DUMMYFUNCTION("""COMPUTED_VALUE"""),"Category Page")</f>
        <v>Category Page</v>
      </c>
      <c r="G430" s="185" t="str">
        <f>IFERROR(__xludf.DUMMYFUNCTION("""COMPUTED_VALUE"""),"CORPORATE")</f>
        <v>CORPORATE</v>
      </c>
      <c r="H430" s="185" t="str">
        <f>IFERROR(__xludf.DUMMYFUNCTION("""COMPUTED_VALUE"""),"No")</f>
        <v>No</v>
      </c>
      <c r="I430" s="185" t="str">
        <f>IFERROR(__xludf.DUMMYFUNCTION("""COMPUTED_VALUE"""),"Medium")</f>
        <v>Medium</v>
      </c>
      <c r="J430" s="185" t="str">
        <f>IFERROR(__xludf.DUMMYFUNCTION("""COMPUTED_VALUE"""),"Yes")</f>
        <v>Yes</v>
      </c>
      <c r="K430" s="185" t="str">
        <f>IFERROR(__xludf.DUMMYFUNCTION("""COMPUTED_VALUE"""),"Soup Agency, First Page, Clearwater Agency, Measured, Earned Media, Impressive, Online Marketing Gurus, Omnicom Media Group, First Page Australia, 80/20 Digital, Megaphone, Salt &amp; Fuessel")</f>
        <v>Soup Agency, First Page, Clearwater Agency, Measured, Earned Media, Impressive, Online Marketing Gurus, Omnicom Media Group, First Page Australia, 80/20 Digital, Megaphone, Salt &amp; Fuessel</v>
      </c>
      <c r="L430" s="187">
        <f>IFERROR(__xludf.DUMMYFUNCTION("""COMPUTED_VALUE"""),2.0)</f>
        <v>2</v>
      </c>
      <c r="M430" s="188">
        <f>IFERROR(__xludf.DUMMYFUNCTION("""COMPUTED_VALUE"""),0.0)</f>
        <v>0</v>
      </c>
      <c r="N430" s="188">
        <f>IFERROR(__xludf.DUMMYFUNCTION("""COMPUTED_VALUE"""),1.0)</f>
        <v>1</v>
      </c>
      <c r="O430" s="208"/>
      <c r="P430" s="208"/>
      <c r="Q430" s="208"/>
      <c r="R430" s="208"/>
    </row>
    <row r="431">
      <c r="A431" s="185" t="str">
        <f>IFERROR(__xludf.DUMMYFUNCTION("""COMPUTED_VALUE"""),"Industry data / software authority")</f>
        <v>Industry data / software authority</v>
      </c>
      <c r="B431" s="186" t="str">
        <f>IFERROR(__xludf.DUMMYFUNCTION("""COMPUTED_VALUE"""),"https://agencies.semrush.com/list/facebook-advertising/australia/")</f>
        <v>https://agencies.semrush.com/list/facebook-advertising/australia/</v>
      </c>
      <c r="C431" s="185" t="str">
        <f>IFERROR(__xludf.DUMMYFUNCTION("""COMPUTED_VALUE"""),"Best Facebook Advertising Agencies in Australia 2026 | Semrush")</f>
        <v>Best Facebook Advertising Agencies in Australia 2026 | Semrush</v>
      </c>
      <c r="D431" s="185" t="str">
        <f>IFERROR(__xludf.DUMMYFUNCTION("""COMPUTED_VALUE"""),"AU")</f>
        <v>AU</v>
      </c>
      <c r="E431" s="185" t="str">
        <f>IFERROR(__xludf.DUMMYFUNCTION("""COMPUTED_VALUE"""),"semrush.com")</f>
        <v>semrush.com</v>
      </c>
      <c r="F431" s="185" t="str">
        <f>IFERROR(__xludf.DUMMYFUNCTION("""COMPUTED_VALUE"""),"Category Page")</f>
        <v>Category Page</v>
      </c>
      <c r="G431" s="185" t="str">
        <f>IFERROR(__xludf.DUMMYFUNCTION("""COMPUTED_VALUE"""),"CORPORATE")</f>
        <v>CORPORATE</v>
      </c>
      <c r="H431" s="185" t="str">
        <f>IFERROR(__xludf.DUMMYFUNCTION("""COMPUTED_VALUE"""),"No")</f>
        <v>No</v>
      </c>
      <c r="I431" s="185" t="str">
        <f>IFERROR(__xludf.DUMMYFUNCTION("""COMPUTED_VALUE"""),"Medium")</f>
        <v>Medium</v>
      </c>
      <c r="J431" s="185" t="str">
        <f>IFERROR(__xludf.DUMMYFUNCTION("""COMPUTED_VALUE"""),"Yes")</f>
        <v>Yes</v>
      </c>
      <c r="K431" s="185" t="str">
        <f>IFERROR(__xludf.DUMMYFUNCTION("""COMPUTED_VALUE"""),"Digital Nomads HQ, DNM Digital, Soup Agency, First Page, Clearwater Agency, Measured, Earned Media, Impressive, Online Marketing Gurus, Omnicom Media Group, Human Digital, Click Click Media, Bench Media")</f>
        <v>Digital Nomads HQ, DNM Digital, Soup Agency, First Page, Clearwater Agency, Measured, Earned Media, Impressive, Online Marketing Gurus, Omnicom Media Group, Human Digital, Click Click Media, Bench Media</v>
      </c>
      <c r="L431" s="187">
        <f>IFERROR(__xludf.DUMMYFUNCTION("""COMPUTED_VALUE"""),2.0)</f>
        <v>2</v>
      </c>
      <c r="M431" s="188">
        <f>IFERROR(__xludf.DUMMYFUNCTION("""COMPUTED_VALUE"""),0.0)</f>
        <v>0</v>
      </c>
      <c r="N431" s="188">
        <f>IFERROR(__xludf.DUMMYFUNCTION("""COMPUTED_VALUE"""),0.0)</f>
        <v>0</v>
      </c>
      <c r="O431" s="208"/>
      <c r="P431" s="208"/>
      <c r="Q431" s="208"/>
      <c r="R431" s="208"/>
    </row>
    <row r="432">
      <c r="A432" s="185" t="str">
        <f>IFERROR(__xludf.DUMMYFUNCTION("""COMPUTED_VALUE"""),"Industry data / software authority")</f>
        <v>Industry data / software authority</v>
      </c>
      <c r="B432" s="186" t="str">
        <f>IFERROR(__xludf.DUMMYFUNCTION("""COMPUTED_VALUE"""),"https://agencies.semrush.com/list/machine-learning-and-ai/sydney/")</f>
        <v>https://agencies.semrush.com/list/machine-learning-and-ai/sydney/</v>
      </c>
      <c r="C432" s="185" t="str">
        <f>IFERROR(__xludf.DUMMYFUNCTION("""COMPUTED_VALUE"""),"Best Machine Learning and AI Services in Sydney 2026 | Semrush")</f>
        <v>Best Machine Learning and AI Services in Sydney 2026 | Semrush</v>
      </c>
      <c r="D432" s="185" t="str">
        <f>IFERROR(__xludf.DUMMYFUNCTION("""COMPUTED_VALUE"""),"AU")</f>
        <v>AU</v>
      </c>
      <c r="E432" s="185" t="str">
        <f>IFERROR(__xludf.DUMMYFUNCTION("""COMPUTED_VALUE"""),"semrush.com")</f>
        <v>semrush.com</v>
      </c>
      <c r="F432" s="185" t="str">
        <f>IFERROR(__xludf.DUMMYFUNCTION("""COMPUTED_VALUE"""),"Category Page")</f>
        <v>Category Page</v>
      </c>
      <c r="G432" s="185" t="str">
        <f>IFERROR(__xludf.DUMMYFUNCTION("""COMPUTED_VALUE"""),"CORPORATE")</f>
        <v>CORPORATE</v>
      </c>
      <c r="H432" s="185" t="str">
        <f>IFERROR(__xludf.DUMMYFUNCTION("""COMPUTED_VALUE"""),"No")</f>
        <v>No</v>
      </c>
      <c r="I432" s="185" t="str">
        <f>IFERROR(__xludf.DUMMYFUNCTION("""COMPUTED_VALUE"""),"Medium")</f>
        <v>Medium</v>
      </c>
      <c r="J432" s="185" t="str">
        <f>IFERROR(__xludf.DUMMYFUNCTION("""COMPUTED_VALUE"""),"Yes")</f>
        <v>Yes</v>
      </c>
      <c r="K432" s="185" t="str">
        <f>IFERROR(__xludf.DUMMYFUNCTION("""COMPUTED_VALUE"""),"Soup Agency, Online Marketing Gurus, Omnicom Media Group, Earned Media, First Page, Clearwater Agency, Measured, Impressive, 80/20 Digital")</f>
        <v>Soup Agency, Online Marketing Gurus, Omnicom Media Group, Earned Media, First Page, Clearwater Agency, Measured, Impressive, 80/20 Digital</v>
      </c>
      <c r="L432" s="187">
        <f>IFERROR(__xludf.DUMMYFUNCTION("""COMPUTED_VALUE"""),2.0)</f>
        <v>2</v>
      </c>
      <c r="M432" s="188">
        <f>IFERROR(__xludf.DUMMYFUNCTION("""COMPUTED_VALUE"""),0.0)</f>
        <v>0</v>
      </c>
      <c r="N432" s="188">
        <f>IFERROR(__xludf.DUMMYFUNCTION("""COMPUTED_VALUE"""),2.0)</f>
        <v>2</v>
      </c>
      <c r="O432" s="208"/>
      <c r="P432" s="208"/>
      <c r="Q432" s="208"/>
      <c r="R432" s="208"/>
    </row>
    <row r="433">
      <c r="A433" s="185" t="str">
        <f>IFERROR(__xludf.DUMMYFUNCTION("""COMPUTED_VALUE"""),"Industry data / software authority")</f>
        <v>Industry data / software authority</v>
      </c>
      <c r="B433" s="186" t="str">
        <f>IFERROR(__xludf.DUMMYFUNCTION("""COMPUTED_VALUE"""),"https://agencies.semrush.com/list/smm/sydney/")</f>
        <v>https://agencies.semrush.com/list/smm/sydney/</v>
      </c>
      <c r="C433" s="185" t="str">
        <f>IFERROR(__xludf.DUMMYFUNCTION("""COMPUTED_VALUE"""),"Best Social Media Marketing Agencies in Sydney 2026 | Semrush")</f>
        <v>Best Social Media Marketing Agencies in Sydney 2026 | Semrush</v>
      </c>
      <c r="D433" s="185" t="str">
        <f>IFERROR(__xludf.DUMMYFUNCTION("""COMPUTED_VALUE"""),"AU")</f>
        <v>AU</v>
      </c>
      <c r="E433" s="185" t="str">
        <f>IFERROR(__xludf.DUMMYFUNCTION("""COMPUTED_VALUE"""),"semrush.com")</f>
        <v>semrush.com</v>
      </c>
      <c r="F433" s="185" t="str">
        <f>IFERROR(__xludf.DUMMYFUNCTION("""COMPUTED_VALUE"""),"Profile")</f>
        <v>Profile</v>
      </c>
      <c r="G433" s="185" t="str">
        <f>IFERROR(__xludf.DUMMYFUNCTION("""COMPUTED_VALUE"""),"CORPORATE")</f>
        <v>CORPORATE</v>
      </c>
      <c r="H433" s="185" t="str">
        <f>IFERROR(__xludf.DUMMYFUNCTION("""COMPUTED_VALUE"""),"No")</f>
        <v>No</v>
      </c>
      <c r="I433" s="185" t="str">
        <f>IFERROR(__xludf.DUMMYFUNCTION("""COMPUTED_VALUE"""),"Medium")</f>
        <v>Medium</v>
      </c>
      <c r="J433" s="185" t="str">
        <f>IFERROR(__xludf.DUMMYFUNCTION("""COMPUTED_VALUE"""),"Yes")</f>
        <v>Yes</v>
      </c>
      <c r="K433" s="185" t="str">
        <f>IFERROR(__xludf.DUMMYFUNCTION("""COMPUTED_VALUE"""),"DNM Digital, Soup Agency, Online Marketing Gurus, Omnicom Media Group, Human Digital, Digital Nomads HQ, Click Click Media, Bench Media, Earned Media, Rocket Agency, First Page, Clearwater Agency, Measured")</f>
        <v>DNM Digital, Soup Agency, Online Marketing Gurus, Omnicom Media Group, Human Digital, Digital Nomads HQ, Click Click Media, Bench Media, Earned Media, Rocket Agency, First Page, Clearwater Agency, Measured</v>
      </c>
      <c r="L433" s="187">
        <f>IFERROR(__xludf.DUMMYFUNCTION("""COMPUTED_VALUE"""),2.0)</f>
        <v>2</v>
      </c>
      <c r="M433" s="188">
        <f>IFERROR(__xludf.DUMMYFUNCTION("""COMPUTED_VALUE"""),0.0)</f>
        <v>0</v>
      </c>
      <c r="N433" s="188">
        <f>IFERROR(__xludf.DUMMYFUNCTION("""COMPUTED_VALUE"""),0.0)</f>
        <v>0</v>
      </c>
      <c r="O433" s="208"/>
      <c r="P433" s="208"/>
      <c r="Q433" s="208"/>
      <c r="R433" s="208"/>
    </row>
    <row r="434">
      <c r="A434" s="185" t="str">
        <f>IFERROR(__xludf.DUMMYFUNCTION("""COMPUTED_VALUE"""),"Official partner / certification ecosystem")</f>
        <v>Official partner / certification ecosystem</v>
      </c>
      <c r="B434" s="186" t="str">
        <f>IFERROR(__xludf.DUMMYFUNCTION("""COMPUTED_VALUE"""),"https://business.google.com/en-all/support/work-with-a-partner/")</f>
        <v>https://business.google.com/en-all/support/work-with-a-partner/</v>
      </c>
      <c r="C434" s="185" t="str">
        <f>IFERROR(__xludf.DUMMYFUNCTION("""COMPUTED_VALUE"""),"Work with a Google Partner for a Successful Campaign – Google Ads")</f>
        <v>Work with a Google Partner for a Successful Campaign – Google Ads</v>
      </c>
      <c r="D434" s="185" t="str">
        <f>IFERROR(__xludf.DUMMYFUNCTION("""COMPUTED_VALUE"""),"AU")</f>
        <v>AU</v>
      </c>
      <c r="E434" s="185" t="str">
        <f>IFERROR(__xludf.DUMMYFUNCTION("""COMPUTED_VALUE"""),"google.com")</f>
        <v>google.com</v>
      </c>
      <c r="F434" s="185" t="str">
        <f>IFERROR(__xludf.DUMMYFUNCTION("""COMPUTED_VALUE"""),"Product Page")</f>
        <v>Product Page</v>
      </c>
      <c r="G434" s="185" t="str">
        <f>IFERROR(__xludf.DUMMYFUNCTION("""COMPUTED_VALUE"""),"OTHER")</f>
        <v>OTHER</v>
      </c>
      <c r="H434" s="185" t="str">
        <f>IFERROR(__xludf.DUMMYFUNCTION("""COMPUTED_VALUE"""),"No")</f>
        <v>No</v>
      </c>
      <c r="I434" s="185" t="str">
        <f>IFERROR(__xludf.DUMMYFUNCTION("""COMPUTED_VALUE"""),"High")</f>
        <v>High</v>
      </c>
      <c r="J434" s="185" t="str">
        <f>IFERROR(__xludf.DUMMYFUNCTION("""COMPUTED_VALUE"""),"Yes - priority")</f>
        <v>Yes - priority</v>
      </c>
      <c r="K434" s="185" t="str">
        <f>IFERROR(__xludf.DUMMYFUNCTION("""COMPUTED_VALUE"""),"New Engen")</f>
        <v>New Engen</v>
      </c>
      <c r="L434" s="187">
        <f>IFERROR(__xludf.DUMMYFUNCTION("""COMPUTED_VALUE"""),2.0)</f>
        <v>2</v>
      </c>
      <c r="M434" s="188">
        <f>IFERROR(__xludf.DUMMYFUNCTION("""COMPUTED_VALUE"""),0.0)</f>
        <v>0</v>
      </c>
      <c r="N434" s="188">
        <f>IFERROR(__xludf.DUMMYFUNCTION("""COMPUTED_VALUE"""),0.0)</f>
        <v>0</v>
      </c>
      <c r="O434" s="208"/>
      <c r="P434" s="208"/>
      <c r="Q434" s="208"/>
      <c r="R434" s="208"/>
    </row>
    <row r="435">
      <c r="A435" s="185" t="str">
        <f>IFERROR(__xludf.DUMMYFUNCTION("""COMPUTED_VALUE"""),"Official partner / certification ecosystem")</f>
        <v>Official partner / certification ecosystem</v>
      </c>
      <c r="B435" s="186" t="str">
        <f>IFERROR(__xludf.DUMMYFUNCTION("""COMPUTED_VALUE"""),"https://business.google.com/us/accelerate/announcements/meridian-geox-googles-new-open-source-geo-incrementality-solution/")</f>
        <v>https://business.google.com/us/accelerate/announcements/meridian-geox-googles-new-open-source-geo-incrementality-solution/</v>
      </c>
      <c r="C435" s="185"/>
      <c r="D435" s="185" t="str">
        <f>IFERROR(__xludf.DUMMYFUNCTION("""COMPUTED_VALUE"""),"AU")</f>
        <v>AU</v>
      </c>
      <c r="E435" s="185" t="str">
        <f>IFERROR(__xludf.DUMMYFUNCTION("""COMPUTED_VALUE"""),"google.com")</f>
        <v>google.com</v>
      </c>
      <c r="F435" s="185" t="str">
        <f>IFERROR(__xludf.DUMMYFUNCTION("""COMPUTED_VALUE"""),"Other")</f>
        <v>Other</v>
      </c>
      <c r="G435" s="185" t="str">
        <f>IFERROR(__xludf.DUMMYFUNCTION("""COMPUTED_VALUE"""),"OTHER")</f>
        <v>OTHER</v>
      </c>
      <c r="H435" s="185" t="str">
        <f>IFERROR(__xludf.DUMMYFUNCTION("""COMPUTED_VALUE"""),"No")</f>
        <v>No</v>
      </c>
      <c r="I435" s="185" t="str">
        <f>IFERROR(__xludf.DUMMYFUNCTION("""COMPUTED_VALUE"""),"High")</f>
        <v>High</v>
      </c>
      <c r="J435" s="185" t="str">
        <f>IFERROR(__xludf.DUMMYFUNCTION("""COMPUTED_VALUE"""),"Yes - priority")</f>
        <v>Yes - priority</v>
      </c>
      <c r="K435" s="185" t="str">
        <f>IFERROR(__xludf.DUMMYFUNCTION("""COMPUTED_VALUE"""),"Unknown")</f>
        <v>Unknown</v>
      </c>
      <c r="L435" s="187">
        <f>IFERROR(__xludf.DUMMYFUNCTION("""COMPUTED_VALUE"""),2.0)</f>
        <v>2</v>
      </c>
      <c r="M435" s="188">
        <f>IFERROR(__xludf.DUMMYFUNCTION("""COMPUTED_VALUE"""),0.0)</f>
        <v>0</v>
      </c>
      <c r="N435" s="188">
        <f>IFERROR(__xludf.DUMMYFUNCTION("""COMPUTED_VALUE"""),2.0)</f>
        <v>2</v>
      </c>
      <c r="O435" s="208"/>
      <c r="P435" s="208"/>
      <c r="Q435" s="208"/>
      <c r="R435" s="208"/>
    </row>
    <row r="436">
      <c r="A436" s="185" t="str">
        <f>IFERROR(__xludf.DUMMYFUNCTION("""COMPUTED_VALUE"""),"Agency directory / review marketplace")</f>
        <v>Agency directory / review marketplace</v>
      </c>
      <c r="B436" s="186" t="str">
        <f>IFERROR(__xludf.DUMMYFUNCTION("""COMPUTED_VALUE"""),"https://clutch.co/au/agencies/creative/melbourne")</f>
        <v>https://clutch.co/au/agencies/creative/melbourne</v>
      </c>
      <c r="C436" s="185" t="str">
        <f>IFERROR(__xludf.DUMMYFUNCTION("""COMPUTED_VALUE"""),"Top Creative Agencies in Melbourne - Jul 2026 Rankings | Clutch.co")</f>
        <v>Top Creative Agencies in Melbourne - Jul 2026 Rankings | Clutch.co</v>
      </c>
      <c r="D436" s="185" t="str">
        <f>IFERROR(__xludf.DUMMYFUNCTION("""COMPUTED_VALUE"""),"AU")</f>
        <v>AU</v>
      </c>
      <c r="E436" s="185" t="str">
        <f>IFERROR(__xludf.DUMMYFUNCTION("""COMPUTED_VALUE"""),"clutch.co")</f>
        <v>clutch.co</v>
      </c>
      <c r="F436" s="185" t="str">
        <f>IFERROR(__xludf.DUMMYFUNCTION("""COMPUTED_VALUE"""),"Category Page")</f>
        <v>Category Page</v>
      </c>
      <c r="G436" s="185" t="str">
        <f>IFERROR(__xludf.DUMMYFUNCTION("""COMPUTED_VALUE"""),"CORPORATE")</f>
        <v>CORPORATE</v>
      </c>
      <c r="H436" s="185" t="str">
        <f>IFERROR(__xludf.DUMMYFUNCTION("""COMPUTED_VALUE"""),"No")</f>
        <v>No</v>
      </c>
      <c r="I436" s="185" t="str">
        <f>IFERROR(__xludf.DUMMYFUNCTION("""COMPUTED_VALUE"""),"Medium")</f>
        <v>Medium</v>
      </c>
      <c r="J436" s="185" t="str">
        <f>IFERROR(__xludf.DUMMYFUNCTION("""COMPUTED_VALUE"""),"Yes")</f>
        <v>Yes</v>
      </c>
      <c r="K436" s="185" t="str">
        <f>IFERROR(__xludf.DUMMYFUNCTION("""COMPUTED_VALUE"""),"Impressive")</f>
        <v>Impressive</v>
      </c>
      <c r="L436" s="187">
        <f>IFERROR(__xludf.DUMMYFUNCTION("""COMPUTED_VALUE"""),2.0)</f>
        <v>2</v>
      </c>
      <c r="M436" s="188">
        <f>IFERROR(__xludf.DUMMYFUNCTION("""COMPUTED_VALUE"""),0.0)</f>
        <v>0</v>
      </c>
      <c r="N436" s="188">
        <f>IFERROR(__xludf.DUMMYFUNCTION("""COMPUTED_VALUE"""),0.0)</f>
        <v>0</v>
      </c>
      <c r="O436" s="208"/>
      <c r="P436" s="208"/>
      <c r="Q436" s="208"/>
      <c r="R436" s="208"/>
    </row>
    <row r="437">
      <c r="A437" s="185" t="str">
        <f>IFERROR(__xludf.DUMMYFUNCTION("""COMPUTED_VALUE"""),"Agency directory / review marketplace")</f>
        <v>Agency directory / review marketplace</v>
      </c>
      <c r="B437" s="186" t="str">
        <f>IFERROR(__xludf.DUMMYFUNCTION("""COMPUTED_VALUE"""),"https://clutch.co/au/agencies/market-research")</f>
        <v>https://clutch.co/au/agencies/market-research</v>
      </c>
      <c r="C437" s="185" t="str">
        <f>IFERROR(__xludf.DUMMYFUNCTION("""COMPUTED_VALUE"""),"Top Market Research Companies in Australia - Jul 2026 Rankings | Clutch.co")</f>
        <v>Top Market Research Companies in Australia - Jul 2026 Rankings | Clutch.co</v>
      </c>
      <c r="D437" s="185" t="str">
        <f>IFERROR(__xludf.DUMMYFUNCTION("""COMPUTED_VALUE"""),"AU")</f>
        <v>AU</v>
      </c>
      <c r="E437" s="185" t="str">
        <f>IFERROR(__xludf.DUMMYFUNCTION("""COMPUTED_VALUE"""),"clutch.co")</f>
        <v>clutch.co</v>
      </c>
      <c r="F437" s="185" t="str">
        <f>IFERROR(__xludf.DUMMYFUNCTION("""COMPUTED_VALUE"""),"Category Page")</f>
        <v>Category Page</v>
      </c>
      <c r="G437" s="185" t="str">
        <f>IFERROR(__xludf.DUMMYFUNCTION("""COMPUTED_VALUE"""),"CORPORATE")</f>
        <v>CORPORATE</v>
      </c>
      <c r="H437" s="185" t="str">
        <f>IFERROR(__xludf.DUMMYFUNCTION("""COMPUTED_VALUE"""),"No")</f>
        <v>No</v>
      </c>
      <c r="I437" s="185" t="str">
        <f>IFERROR(__xludf.DUMMYFUNCTION("""COMPUTED_VALUE"""),"Medium")</f>
        <v>Medium</v>
      </c>
      <c r="J437" s="185" t="str">
        <f>IFERROR(__xludf.DUMMYFUNCTION("""COMPUTED_VALUE"""),"Yes")</f>
        <v>Yes</v>
      </c>
      <c r="K437" s="185" t="str">
        <f>IFERROR(__xludf.DUMMYFUNCTION("""COMPUTED_VALUE"""),"Impressive, Huge, weDiscover")</f>
        <v>Impressive, Huge, weDiscover</v>
      </c>
      <c r="L437" s="187">
        <f>IFERROR(__xludf.DUMMYFUNCTION("""COMPUTED_VALUE"""),2.0)</f>
        <v>2</v>
      </c>
      <c r="M437" s="188">
        <f>IFERROR(__xludf.DUMMYFUNCTION("""COMPUTED_VALUE"""),0.0)</f>
        <v>0</v>
      </c>
      <c r="N437" s="188">
        <f>IFERROR(__xludf.DUMMYFUNCTION("""COMPUTED_VALUE"""),0.0)</f>
        <v>0</v>
      </c>
      <c r="O437" s="208"/>
      <c r="P437" s="208"/>
      <c r="Q437" s="208"/>
      <c r="R437" s="208"/>
    </row>
    <row r="438">
      <c r="A438" s="185" t="str">
        <f>IFERROR(__xludf.DUMMYFUNCTION("""COMPUTED_VALUE"""),"Agency directory / review marketplace")</f>
        <v>Agency directory / review marketplace</v>
      </c>
      <c r="B438" s="186" t="str">
        <f>IFERROR(__xludf.DUMMYFUNCTION("""COMPUTED_VALUE"""),"https://clutch.co/au/agencies/social-media-marketing/facebook?page=9")</f>
        <v>https://clutch.co/au/agencies/social-media-marketing/facebook?page=9</v>
      </c>
      <c r="C438" s="185" t="str">
        <f>IFERROR(__xludf.DUMMYFUNCTION("""COMPUTED_VALUE"""),"Page 9 - Top Facebook Advertising Agencies in Australia - Jul 2026 Rankings | Clutch.co")</f>
        <v>Page 9 - Top Facebook Advertising Agencies in Australia - Jul 2026 Rankings | Clutch.co</v>
      </c>
      <c r="D438" s="185" t="str">
        <f>IFERROR(__xludf.DUMMYFUNCTION("""COMPUTED_VALUE"""),"AU")</f>
        <v>AU</v>
      </c>
      <c r="E438" s="185" t="str">
        <f>IFERROR(__xludf.DUMMYFUNCTION("""COMPUTED_VALUE"""),"clutch.co")</f>
        <v>clutch.co</v>
      </c>
      <c r="F438" s="185" t="str">
        <f>IFERROR(__xludf.DUMMYFUNCTION("""COMPUTED_VALUE"""),"Category Page")</f>
        <v>Category Page</v>
      </c>
      <c r="G438" s="185" t="str">
        <f>IFERROR(__xludf.DUMMYFUNCTION("""COMPUTED_VALUE"""),"CORPORATE")</f>
        <v>CORPORATE</v>
      </c>
      <c r="H438" s="185" t="str">
        <f>IFERROR(__xludf.DUMMYFUNCTION("""COMPUTED_VALUE"""),"No")</f>
        <v>No</v>
      </c>
      <c r="I438" s="185" t="str">
        <f>IFERROR(__xludf.DUMMYFUNCTION("""COMPUTED_VALUE"""),"Medium")</f>
        <v>Medium</v>
      </c>
      <c r="J438" s="185" t="str">
        <f>IFERROR(__xludf.DUMMYFUNCTION("""COMPUTED_VALUE"""),"Yes")</f>
        <v>Yes</v>
      </c>
      <c r="K438" s="185" t="str">
        <f>IFERROR(__xludf.DUMMYFUNCTION("""COMPUTED_VALUE"""),"Impressive, Digital Nomads HQ, SIXGUN, Megaphone, Intesols, Farsiight, Soup Agency, Online Marketing Gurus, Paradox Marketing, Emote Digital, Rocket Agency, Human Digital, Bench Media, Insil, Clearwater Agency, Salt &amp; Fuessel")</f>
        <v>Impressive, Digital Nomads HQ, SIXGUN, Megaphone, Intesols, Farsiight, Soup Agency, Online Marketing Gurus, Paradox Marketing, Emote Digital, Rocket Agency, Human Digital, Bench Media, Insil, Clearwater Agency, Salt &amp; Fuessel</v>
      </c>
      <c r="L438" s="187">
        <f>IFERROR(__xludf.DUMMYFUNCTION("""COMPUTED_VALUE"""),2.0)</f>
        <v>2</v>
      </c>
      <c r="M438" s="188">
        <f>IFERROR(__xludf.DUMMYFUNCTION("""COMPUTED_VALUE"""),0.0)</f>
        <v>0</v>
      </c>
      <c r="N438" s="188">
        <f>IFERROR(__xludf.DUMMYFUNCTION("""COMPUTED_VALUE"""),0.0)</f>
        <v>0</v>
      </c>
      <c r="O438" s="208"/>
      <c r="P438" s="208"/>
      <c r="Q438" s="208"/>
      <c r="R438" s="208"/>
    </row>
    <row r="439">
      <c r="A439" s="185" t="str">
        <f>IFERROR(__xludf.DUMMYFUNCTION("""COMPUTED_VALUE"""),"Agency directory / review marketplace")</f>
        <v>Agency directory / review marketplace</v>
      </c>
      <c r="B439" s="186" t="str">
        <f>IFERROR(__xludf.DUMMYFUNCTION("""COMPUTED_VALUE"""),"https://clutch.co/au/seo-firms")</f>
        <v>https://clutch.co/au/seo-firms</v>
      </c>
      <c r="C439" s="185" t="str">
        <f>IFERROR(__xludf.DUMMYFUNCTION("""COMPUTED_VALUE"""),"Top SEO Companies in Australia - Jul 2026 Rankings | Clutch.co")</f>
        <v>Top SEO Companies in Australia - Jul 2026 Rankings | Clutch.co</v>
      </c>
      <c r="D439" s="185" t="str">
        <f>IFERROR(__xludf.DUMMYFUNCTION("""COMPUTED_VALUE"""),"AU")</f>
        <v>AU</v>
      </c>
      <c r="E439" s="185" t="str">
        <f>IFERROR(__xludf.DUMMYFUNCTION("""COMPUTED_VALUE"""),"clutch.co")</f>
        <v>clutch.co</v>
      </c>
      <c r="F439" s="185" t="str">
        <f>IFERROR(__xludf.DUMMYFUNCTION("""COMPUTED_VALUE"""),"Category Page")</f>
        <v>Category Page</v>
      </c>
      <c r="G439" s="185" t="str">
        <f>IFERROR(__xludf.DUMMYFUNCTION("""COMPUTED_VALUE"""),"CORPORATE")</f>
        <v>CORPORATE</v>
      </c>
      <c r="H439" s="185" t="str">
        <f>IFERROR(__xludf.DUMMYFUNCTION("""COMPUTED_VALUE"""),"No")</f>
        <v>No</v>
      </c>
      <c r="I439" s="185" t="str">
        <f>IFERROR(__xludf.DUMMYFUNCTION("""COMPUTED_VALUE"""),"Medium")</f>
        <v>Medium</v>
      </c>
      <c r="J439" s="185" t="str">
        <f>IFERROR(__xludf.DUMMYFUNCTION("""COMPUTED_VALUE"""),"Yes")</f>
        <v>Yes</v>
      </c>
      <c r="K439" s="185" t="str">
        <f>IFERROR(__xludf.DUMMYFUNCTION("""COMPUTED_VALUE"""),"SIXGUN, Clearwater Agency, First Page, Salt &amp; Fuessel, Digital Nomads HQ, Supple Digital, Impressive, StudioHawk, Intesols, Soup Agency, Luminary, Emote Digital, MyWork, 80/20 Digital, Alley Group, EvenDigit, Earned Media, Rocket Agency, DNM Digital, Firs"&amp;"t Page Australia, Edge Marketing, In Marketing We Trust, eMarket Experts")</f>
        <v>SIXGUN, Clearwater Agency, First Page, Salt &amp; Fuessel, Digital Nomads HQ, Supple Digital, Impressive, StudioHawk, Intesols, Soup Agency, Luminary, Emote Digital, MyWork, 80/20 Digital, Alley Group, EvenDigit, Earned Media, Rocket Agency, DNM Digital, First Page Australia, Edge Marketing, In Marketing We Trust, eMarket Experts</v>
      </c>
      <c r="L439" s="187">
        <f>IFERROR(__xludf.DUMMYFUNCTION("""COMPUTED_VALUE"""),2.0)</f>
        <v>2</v>
      </c>
      <c r="M439" s="188">
        <f>IFERROR(__xludf.DUMMYFUNCTION("""COMPUTED_VALUE"""),0.0)</f>
        <v>0</v>
      </c>
      <c r="N439" s="188">
        <f>IFERROR(__xludf.DUMMYFUNCTION("""COMPUTED_VALUE"""),1.0)</f>
        <v>1</v>
      </c>
      <c r="O439" s="208"/>
      <c r="P439" s="208"/>
      <c r="Q439" s="208"/>
      <c r="R439" s="208"/>
    </row>
    <row r="440">
      <c r="A440" s="185" t="str">
        <f>IFERROR(__xludf.DUMMYFUNCTION("""COMPUTED_VALUE"""),"Agency directory / review marketplace")</f>
        <v>Agency directory / review marketplace</v>
      </c>
      <c r="B440" s="186" t="str">
        <f>IFERROR(__xludf.DUMMYFUNCTION("""COMPUTED_VALUE"""),"https://clutch.co/profile/megaphone-marketing")</f>
        <v>https://clutch.co/profile/megaphone-marketing</v>
      </c>
      <c r="C440" s="185" t="str">
        <f>IFERROR(__xludf.DUMMYFUNCTION("""COMPUTED_VALUE"""),"Megaphone Marketing Reviews (107), Pricing, Services &amp; Verified Ratings")</f>
        <v>Megaphone Marketing Reviews (107), Pricing, Services &amp; Verified Ratings</v>
      </c>
      <c r="D440" s="185" t="str">
        <f>IFERROR(__xludf.DUMMYFUNCTION("""COMPUTED_VALUE"""),"AU")</f>
        <v>AU</v>
      </c>
      <c r="E440" s="185" t="str">
        <f>IFERROR(__xludf.DUMMYFUNCTION("""COMPUTED_VALUE"""),"clutch.co")</f>
        <v>clutch.co</v>
      </c>
      <c r="F440" s="185" t="str">
        <f>IFERROR(__xludf.DUMMYFUNCTION("""COMPUTED_VALUE"""),"Profile")</f>
        <v>Profile</v>
      </c>
      <c r="G440" s="185" t="str">
        <f>IFERROR(__xludf.DUMMYFUNCTION("""COMPUTED_VALUE"""),"CORPORATE")</f>
        <v>CORPORATE</v>
      </c>
      <c r="H440" s="185" t="str">
        <f>IFERROR(__xludf.DUMMYFUNCTION("""COMPUTED_VALUE"""),"No")</f>
        <v>No</v>
      </c>
      <c r="I440" s="185" t="str">
        <f>IFERROR(__xludf.DUMMYFUNCTION("""COMPUTED_VALUE"""),"Medium")</f>
        <v>Medium</v>
      </c>
      <c r="J440" s="185" t="str">
        <f>IFERROR(__xludf.DUMMYFUNCTION("""COMPUTED_VALUE"""),"Yes")</f>
        <v>Yes</v>
      </c>
      <c r="K440" s="185" t="str">
        <f>IFERROR(__xludf.DUMMYFUNCTION("""COMPUTED_VALUE"""),"Megaphone, Impressive, Huge")</f>
        <v>Megaphone, Impressive, Huge</v>
      </c>
      <c r="L440" s="187">
        <f>IFERROR(__xludf.DUMMYFUNCTION("""COMPUTED_VALUE"""),2.0)</f>
        <v>2</v>
      </c>
      <c r="M440" s="188">
        <f>IFERROR(__xludf.DUMMYFUNCTION("""COMPUTED_VALUE"""),0.0)</f>
        <v>0</v>
      </c>
      <c r="N440" s="188">
        <f>IFERROR(__xludf.DUMMYFUNCTION("""COMPUTED_VALUE"""),1.5)</f>
        <v>1.5</v>
      </c>
      <c r="O440" s="208"/>
      <c r="P440" s="208"/>
      <c r="Q440" s="208"/>
      <c r="R440" s="208"/>
    </row>
    <row r="441">
      <c r="A441" s="185" t="str">
        <f>IFERROR(__xludf.DUMMYFUNCTION("""COMPUTED_VALUE"""),"Agency directory / review marketplace")</f>
        <v>Agency directory / review marketplace</v>
      </c>
      <c r="B441" s="186" t="str">
        <f>IFERROR(__xludf.DUMMYFUNCTION("""COMPUTED_VALUE"""),"https://www.designrush.com/agency/ad-agencies/au/melbourne")</f>
        <v>https://www.designrush.com/agency/ad-agencies/au/melbourne</v>
      </c>
      <c r="C441" s="185" t="str">
        <f>IFERROR(__xludf.DUMMYFUNCTION("""COMPUTED_VALUE"""),"Top Advertising Agencies in Melbourne | 2026")</f>
        <v>Top Advertising Agencies in Melbourne | 2026</v>
      </c>
      <c r="D441" s="185" t="str">
        <f>IFERROR(__xludf.DUMMYFUNCTION("""COMPUTED_VALUE"""),"AU")</f>
        <v>AU</v>
      </c>
      <c r="E441" s="185" t="str">
        <f>IFERROR(__xludf.DUMMYFUNCTION("""COMPUTED_VALUE"""),"designrush.com")</f>
        <v>designrush.com</v>
      </c>
      <c r="F441" s="185" t="str">
        <f>IFERROR(__xludf.DUMMYFUNCTION("""COMPUTED_VALUE"""),"Category Page")</f>
        <v>Category Page</v>
      </c>
      <c r="G441" s="185" t="str">
        <f>IFERROR(__xludf.DUMMYFUNCTION("""COMPUTED_VALUE"""),"CORPORATE")</f>
        <v>CORPORATE</v>
      </c>
      <c r="H441" s="185" t="str">
        <f>IFERROR(__xludf.DUMMYFUNCTION("""COMPUTED_VALUE"""),"No")</f>
        <v>No</v>
      </c>
      <c r="I441" s="185" t="str">
        <f>IFERROR(__xludf.DUMMYFUNCTION("""COMPUTED_VALUE"""),"Medium")</f>
        <v>Medium</v>
      </c>
      <c r="J441" s="185" t="str">
        <f>IFERROR(__xludf.DUMMYFUNCTION("""COMPUTED_VALUE"""),"Yes")</f>
        <v>Yes</v>
      </c>
      <c r="K441" s="185" t="str">
        <f>IFERROR(__xludf.DUMMYFUNCTION("""COMPUTED_VALUE"""),"Elephant In The Boardroom, Omnicom Media Group, First Page, First Page Australia, The Monkeys")</f>
        <v>Elephant In The Boardroom, Omnicom Media Group, First Page, First Page Australia, The Monkeys</v>
      </c>
      <c r="L441" s="187">
        <f>IFERROR(__xludf.DUMMYFUNCTION("""COMPUTED_VALUE"""),2.0)</f>
        <v>2</v>
      </c>
      <c r="M441" s="188">
        <f>IFERROR(__xludf.DUMMYFUNCTION("""COMPUTED_VALUE"""),0.0)</f>
        <v>0</v>
      </c>
      <c r="N441" s="188">
        <f>IFERROR(__xludf.DUMMYFUNCTION("""COMPUTED_VALUE"""),0.0)</f>
        <v>0</v>
      </c>
      <c r="O441" s="208"/>
      <c r="P441" s="208"/>
      <c r="Q441" s="208"/>
      <c r="R441" s="208"/>
    </row>
    <row r="442">
      <c r="A442" s="185" t="str">
        <f>IFERROR(__xludf.DUMMYFUNCTION("""COMPUTED_VALUE"""),"Agency directory / review marketplace")</f>
        <v>Agency directory / review marketplace</v>
      </c>
      <c r="B442" s="186" t="str">
        <f>IFERROR(__xludf.DUMMYFUNCTION("""COMPUTED_VALUE"""),"https://www.designrush.com/agency/digital-marketing/analytics")</f>
        <v>https://www.designrush.com/agency/digital-marketing/analytics</v>
      </c>
      <c r="C442" s="185" t="str">
        <f>IFERROR(__xludf.DUMMYFUNCTION("""COMPUTED_VALUE"""),"Top Marketing Analytics Agencies in 2026")</f>
        <v>Top Marketing Analytics Agencies in 2026</v>
      </c>
      <c r="D442" s="185" t="str">
        <f>IFERROR(__xludf.DUMMYFUNCTION("""COMPUTED_VALUE"""),"AU")</f>
        <v>AU</v>
      </c>
      <c r="E442" s="185" t="str">
        <f>IFERROR(__xludf.DUMMYFUNCTION("""COMPUTED_VALUE"""),"designrush.com")</f>
        <v>designrush.com</v>
      </c>
      <c r="F442" s="185" t="str">
        <f>IFERROR(__xludf.DUMMYFUNCTION("""COMPUTED_VALUE"""),"Category Page")</f>
        <v>Category Page</v>
      </c>
      <c r="G442" s="185" t="str">
        <f>IFERROR(__xludf.DUMMYFUNCTION("""COMPUTED_VALUE"""),"CORPORATE")</f>
        <v>CORPORATE</v>
      </c>
      <c r="H442" s="185" t="str">
        <f>IFERROR(__xludf.DUMMYFUNCTION("""COMPUTED_VALUE"""),"No")</f>
        <v>No</v>
      </c>
      <c r="I442" s="185" t="str">
        <f>IFERROR(__xludf.DUMMYFUNCTION("""COMPUTED_VALUE"""),"Medium")</f>
        <v>Medium</v>
      </c>
      <c r="J442" s="185" t="str">
        <f>IFERROR(__xludf.DUMMYFUNCTION("""COMPUTED_VALUE"""),"Yes")</f>
        <v>Yes</v>
      </c>
      <c r="K442" s="185" t="str">
        <f>IFERROR(__xludf.DUMMYFUNCTION("""COMPUTED_VALUE"""),"Huge, Supple Digital, Deloitte, Intero Digital")</f>
        <v>Huge, Supple Digital, Deloitte, Intero Digital</v>
      </c>
      <c r="L442" s="187">
        <f>IFERROR(__xludf.DUMMYFUNCTION("""COMPUTED_VALUE"""),2.0)</f>
        <v>2</v>
      </c>
      <c r="M442" s="188">
        <f>IFERROR(__xludf.DUMMYFUNCTION("""COMPUTED_VALUE"""),0.0)</f>
        <v>0</v>
      </c>
      <c r="N442" s="188">
        <f>IFERROR(__xludf.DUMMYFUNCTION("""COMPUTED_VALUE"""),0.0)</f>
        <v>0</v>
      </c>
      <c r="O442" s="208"/>
      <c r="P442" s="208"/>
      <c r="Q442" s="208"/>
      <c r="R442" s="208"/>
    </row>
    <row r="443">
      <c r="A443" s="185" t="str">
        <f>IFERROR(__xludf.DUMMYFUNCTION("""COMPUTED_VALUE"""),"Agency directory / review marketplace")</f>
        <v>Agency directory / review marketplace</v>
      </c>
      <c r="B443" s="186" t="str">
        <f>IFERROR(__xludf.DUMMYFUNCTION("""COMPUTED_VALUE"""),"https://www.designrush.com/agency/paid-media-pay-per-click/au/sydney")</f>
        <v>https://www.designrush.com/agency/paid-media-pay-per-click/au/sydney</v>
      </c>
      <c r="C443" s="185" t="str">
        <f>IFERROR(__xludf.DUMMYFUNCTION("""COMPUTED_VALUE"""),"Top PPC Agencies in Sydney | 2026")</f>
        <v>Top PPC Agencies in Sydney | 2026</v>
      </c>
      <c r="D443" s="185" t="str">
        <f>IFERROR(__xludf.DUMMYFUNCTION("""COMPUTED_VALUE"""),"AU")</f>
        <v>AU</v>
      </c>
      <c r="E443" s="185" t="str">
        <f>IFERROR(__xludf.DUMMYFUNCTION("""COMPUTED_VALUE"""),"designrush.com")</f>
        <v>designrush.com</v>
      </c>
      <c r="F443" s="185" t="str">
        <f>IFERROR(__xludf.DUMMYFUNCTION("""COMPUTED_VALUE"""),"Category Page")</f>
        <v>Category Page</v>
      </c>
      <c r="G443" s="185" t="str">
        <f>IFERROR(__xludf.DUMMYFUNCTION("""COMPUTED_VALUE"""),"CORPORATE")</f>
        <v>CORPORATE</v>
      </c>
      <c r="H443" s="185" t="str">
        <f>IFERROR(__xludf.DUMMYFUNCTION("""COMPUTED_VALUE"""),"No")</f>
        <v>No</v>
      </c>
      <c r="I443" s="185" t="str">
        <f>IFERROR(__xludf.DUMMYFUNCTION("""COMPUTED_VALUE"""),"Medium")</f>
        <v>Medium</v>
      </c>
      <c r="J443" s="185" t="str">
        <f>IFERROR(__xludf.DUMMYFUNCTION("""COMPUTED_VALUE"""),"Yes")</f>
        <v>Yes</v>
      </c>
      <c r="K443" s="185" t="str">
        <f>IFERROR(__xludf.DUMMYFUNCTION("""COMPUTED_VALUE"""),"Impressive, Supple Digital, Online Marketing Gurus, Soup Agency, Clearwater Agency, Human Digital")</f>
        <v>Impressive, Supple Digital, Online Marketing Gurus, Soup Agency, Clearwater Agency, Human Digital</v>
      </c>
      <c r="L443" s="187">
        <f>IFERROR(__xludf.DUMMYFUNCTION("""COMPUTED_VALUE"""),2.0)</f>
        <v>2</v>
      </c>
      <c r="M443" s="188">
        <f>IFERROR(__xludf.DUMMYFUNCTION("""COMPUTED_VALUE"""),0.0)</f>
        <v>0</v>
      </c>
      <c r="N443" s="188">
        <f>IFERROR(__xludf.DUMMYFUNCTION("""COMPUTED_VALUE"""),0.0)</f>
        <v>0</v>
      </c>
      <c r="O443" s="208"/>
      <c r="P443" s="208"/>
      <c r="Q443" s="208"/>
      <c r="R443" s="208"/>
    </row>
    <row r="444">
      <c r="A444" s="185" t="str">
        <f>IFERROR(__xludf.DUMMYFUNCTION("""COMPUTED_VALUE"""),"Agency directory / review marketplace")</f>
        <v>Agency directory / review marketplace</v>
      </c>
      <c r="B444" s="186" t="str">
        <f>IFERROR(__xludf.DUMMYFUNCTION("""COMPUTED_VALUE"""),"https://digitalagencynetwork.com/agencies/melbourne/geo/")</f>
        <v>https://digitalagencynetwork.com/agencies/melbourne/geo/</v>
      </c>
      <c r="C444" s="185" t="str">
        <f>IFERROR(__xludf.DUMMYFUNCTION("""COMPUTED_VALUE"""),"Top GEO Agencies in Melbourne for Generative Engine Optimization (2026)")</f>
        <v>Top GEO Agencies in Melbourne for Generative Engine Optimization (2026)</v>
      </c>
      <c r="D444" s="185" t="str">
        <f>IFERROR(__xludf.DUMMYFUNCTION("""COMPUTED_VALUE"""),"AU")</f>
        <v>AU</v>
      </c>
      <c r="E444" s="185" t="str">
        <f>IFERROR(__xludf.DUMMYFUNCTION("""COMPUTED_VALUE"""),"digitalagencynetwork.com")</f>
        <v>digitalagencynetwork.com</v>
      </c>
      <c r="F444" s="185" t="str">
        <f>IFERROR(__xludf.DUMMYFUNCTION("""COMPUTED_VALUE"""),"Profile")</f>
        <v>Profile</v>
      </c>
      <c r="G444" s="185" t="str">
        <f>IFERROR(__xludf.DUMMYFUNCTION("""COMPUTED_VALUE"""),"REFERENCE")</f>
        <v>REFERENCE</v>
      </c>
      <c r="H444" s="185" t="str">
        <f>IFERROR(__xludf.DUMMYFUNCTION("""COMPUTED_VALUE"""),"No")</f>
        <v>No</v>
      </c>
      <c r="I444" s="185" t="str">
        <f>IFERROR(__xludf.DUMMYFUNCTION("""COMPUTED_VALUE"""),"Medium")</f>
        <v>Medium</v>
      </c>
      <c r="J444" s="185" t="str">
        <f>IFERROR(__xludf.DUMMYFUNCTION("""COMPUTED_VALUE"""),"Yes")</f>
        <v>Yes</v>
      </c>
      <c r="K444" s="185" t="str">
        <f>IFERROR(__xludf.DUMMYFUNCTION("""COMPUTED_VALUE"""),"Emote Digital, Luminary, Clearwater Agency, Digital Nomads HQ")</f>
        <v>Emote Digital, Luminary, Clearwater Agency, Digital Nomads HQ</v>
      </c>
      <c r="L444" s="187">
        <f>IFERROR(__xludf.DUMMYFUNCTION("""COMPUTED_VALUE"""),2.0)</f>
        <v>2</v>
      </c>
      <c r="M444" s="188">
        <f>IFERROR(__xludf.DUMMYFUNCTION("""COMPUTED_VALUE"""),0.0)</f>
        <v>0</v>
      </c>
      <c r="N444" s="188">
        <f>IFERROR(__xludf.DUMMYFUNCTION("""COMPUTED_VALUE"""),2.0)</f>
        <v>2</v>
      </c>
      <c r="O444" s="208"/>
      <c r="P444" s="208"/>
      <c r="Q444" s="208"/>
      <c r="R444" s="208"/>
    </row>
    <row r="445">
      <c r="A445" s="185" t="str">
        <f>IFERROR(__xludf.DUMMYFUNCTION("""COMPUTED_VALUE"""),"Official partner / certification ecosystem")</f>
        <v>Official partner / certification ecosystem</v>
      </c>
      <c r="B445" s="186" t="str">
        <f>IFERROR(__xludf.DUMMYFUNCTION("""COMPUTED_VALUE"""),"https://enterprisemarketingportal.google/work-with-partners")</f>
        <v>https://enterprisemarketingportal.google/work-with-partners</v>
      </c>
      <c r="C445" s="185" t="str">
        <f>IFERROR(__xludf.DUMMYFUNCTION("""COMPUTED_VALUE"""),"Work with Partners")</f>
        <v>Work with Partners</v>
      </c>
      <c r="D445" s="185" t="str">
        <f>IFERROR(__xludf.DUMMYFUNCTION("""COMPUTED_VALUE"""),"AU")</f>
        <v>AU</v>
      </c>
      <c r="E445" s="185" t="str">
        <f>IFERROR(__xludf.DUMMYFUNCTION("""COMPUTED_VALUE"""),"enterprisemarketingportal.google")</f>
        <v>enterprisemarketingportal.google</v>
      </c>
      <c r="F445" s="185" t="str">
        <f>IFERROR(__xludf.DUMMYFUNCTION("""COMPUTED_VALUE"""),"Category Page")</f>
        <v>Category Page</v>
      </c>
      <c r="G445" s="185" t="str">
        <f>IFERROR(__xludf.DUMMYFUNCTION("""COMPUTED_VALUE"""),"CORPORATE")</f>
        <v>CORPORATE</v>
      </c>
      <c r="H445" s="185" t="str">
        <f>IFERROR(__xludf.DUMMYFUNCTION("""COMPUTED_VALUE"""),"No")</f>
        <v>No</v>
      </c>
      <c r="I445" s="185" t="str">
        <f>IFERROR(__xludf.DUMMYFUNCTION("""COMPUTED_VALUE"""),"High")</f>
        <v>High</v>
      </c>
      <c r="J445" s="185" t="str">
        <f>IFERROR(__xludf.DUMMYFUNCTION("""COMPUTED_VALUE"""),"Yes - priority")</f>
        <v>Yes - priority</v>
      </c>
      <c r="K445" s="185"/>
      <c r="L445" s="187">
        <f>IFERROR(__xludf.DUMMYFUNCTION("""COMPUTED_VALUE"""),2.0)</f>
        <v>2</v>
      </c>
      <c r="M445" s="188">
        <f>IFERROR(__xludf.DUMMYFUNCTION("""COMPUTED_VALUE"""),0.0)</f>
        <v>0</v>
      </c>
      <c r="N445" s="188">
        <f>IFERROR(__xludf.DUMMYFUNCTION("""COMPUTED_VALUE"""),1.5)</f>
        <v>1.5</v>
      </c>
      <c r="O445" s="208"/>
      <c r="P445" s="208"/>
      <c r="Q445" s="208"/>
      <c r="R445" s="208"/>
    </row>
    <row r="446">
      <c r="A446" s="185" t="str">
        <f>IFERROR(__xludf.DUMMYFUNCTION("""COMPUTED_VALUE"""),"Agency directory / review marketplace")</f>
        <v>Agency directory / review marketplace</v>
      </c>
      <c r="B446" s="186" t="str">
        <f>IFERROR(__xludf.DUMMYFUNCTION("""COMPUTED_VALUE"""),"https://www.goodfirms.co/directory/country/top-digital-marketing-companies/advertising-ppc/australia")</f>
        <v>https://www.goodfirms.co/directory/country/top-digital-marketing-companies/advertising-ppc/australia</v>
      </c>
      <c r="C446" s="185" t="str">
        <f>IFERROR(__xludf.DUMMYFUNCTION("""COMPUTED_VALUE"""),"Top PPC Agencies in Australia - 2026 Reviews | Goodfirms")</f>
        <v>Top PPC Agencies in Australia - 2026 Reviews | Goodfirms</v>
      </c>
      <c r="D446" s="185" t="str">
        <f>IFERROR(__xludf.DUMMYFUNCTION("""COMPUTED_VALUE"""),"AU")</f>
        <v>AU</v>
      </c>
      <c r="E446" s="185" t="str">
        <f>IFERROR(__xludf.DUMMYFUNCTION("""COMPUTED_VALUE"""),"goodfirms.co")</f>
        <v>goodfirms.co</v>
      </c>
      <c r="F446" s="185" t="str">
        <f>IFERROR(__xludf.DUMMYFUNCTION("""COMPUTED_VALUE"""),"Category Page")</f>
        <v>Category Page</v>
      </c>
      <c r="G446" s="185" t="str">
        <f>IFERROR(__xludf.DUMMYFUNCTION("""COMPUTED_VALUE"""),"UGC")</f>
        <v>UGC</v>
      </c>
      <c r="H446" s="185" t="str">
        <f>IFERROR(__xludf.DUMMYFUNCTION("""COMPUTED_VALUE"""),"No")</f>
        <v>No</v>
      </c>
      <c r="I446" s="185" t="str">
        <f>IFERROR(__xludf.DUMMYFUNCTION("""COMPUTED_VALUE"""),"Medium")</f>
        <v>Medium</v>
      </c>
      <c r="J446" s="185" t="str">
        <f>IFERROR(__xludf.DUMMYFUNCTION("""COMPUTED_VALUE"""),"Yes")</f>
        <v>Yes</v>
      </c>
      <c r="K446" s="185" t="str">
        <f>IFERROR(__xludf.DUMMYFUNCTION("""COMPUTED_VALUE"""),"Impressive, SIXGUN, eMarket Experts, Elephant In The Boardroom, Digital Nomads HQ, CUT THRU, Emote Digital")</f>
        <v>Impressive, SIXGUN, eMarket Experts, Elephant In The Boardroom, Digital Nomads HQ, CUT THRU, Emote Digital</v>
      </c>
      <c r="L446" s="187">
        <f>IFERROR(__xludf.DUMMYFUNCTION("""COMPUTED_VALUE"""),2.0)</f>
        <v>2</v>
      </c>
      <c r="M446" s="188">
        <f>IFERROR(__xludf.DUMMYFUNCTION("""COMPUTED_VALUE"""),0.0)</f>
        <v>0</v>
      </c>
      <c r="N446" s="188">
        <f>IFERROR(__xludf.DUMMYFUNCTION("""COMPUTED_VALUE"""),0.0)</f>
        <v>0</v>
      </c>
      <c r="O446" s="208"/>
      <c r="P446" s="208"/>
      <c r="Q446" s="208"/>
      <c r="R446" s="208"/>
    </row>
    <row r="447">
      <c r="A447" s="185" t="str">
        <f>IFERROR(__xludf.DUMMYFUNCTION("""COMPUTED_VALUE"""),"Agency directory / review marketplace")</f>
        <v>Agency directory / review marketplace</v>
      </c>
      <c r="B447" s="186" t="str">
        <f>IFERROR(__xludf.DUMMYFUNCTION("""COMPUTED_VALUE"""),"https://www.goodfirms.co/directory/country/top-digital-marketing-companies/au?sort_by=rating")</f>
        <v>https://www.goodfirms.co/directory/country/top-digital-marketing-companies/au?sort_by=rating</v>
      </c>
      <c r="C447" s="185" t="str">
        <f>IFERROR(__xludf.DUMMYFUNCTION("""COMPUTED_VALUE"""),"Top Digital Marketing Agencies in Australia - 2026 Reviews | Goodfirms")</f>
        <v>Top Digital Marketing Agencies in Australia - 2026 Reviews | Goodfirms</v>
      </c>
      <c r="D447" s="185" t="str">
        <f>IFERROR(__xludf.DUMMYFUNCTION("""COMPUTED_VALUE"""),"AU")</f>
        <v>AU</v>
      </c>
      <c r="E447" s="185" t="str">
        <f>IFERROR(__xludf.DUMMYFUNCTION("""COMPUTED_VALUE"""),"goodfirms.co")</f>
        <v>goodfirms.co</v>
      </c>
      <c r="F447" s="185" t="str">
        <f>IFERROR(__xludf.DUMMYFUNCTION("""COMPUTED_VALUE"""),"Other")</f>
        <v>Other</v>
      </c>
      <c r="G447" s="185" t="str">
        <f>IFERROR(__xludf.DUMMYFUNCTION("""COMPUTED_VALUE"""),"UGC")</f>
        <v>UGC</v>
      </c>
      <c r="H447" s="185" t="str">
        <f>IFERROR(__xludf.DUMMYFUNCTION("""COMPUTED_VALUE"""),"No")</f>
        <v>No</v>
      </c>
      <c r="I447" s="185" t="str">
        <f>IFERROR(__xludf.DUMMYFUNCTION("""COMPUTED_VALUE"""),"Medium")</f>
        <v>Medium</v>
      </c>
      <c r="J447" s="185" t="str">
        <f>IFERROR(__xludf.DUMMYFUNCTION("""COMPUTED_VALUE"""),"Yes")</f>
        <v>Yes</v>
      </c>
      <c r="K447" s="185" t="str">
        <f>IFERROR(__xludf.DUMMYFUNCTION("""COMPUTED_VALUE"""),"CUT THRU, Impressive, Elephant In The Boardroom, eMarket Experts, SIXGUN, Supple Digital, AdVisible, Intesols, Emote Digital")</f>
        <v>CUT THRU, Impressive, Elephant In The Boardroom, eMarket Experts, SIXGUN, Supple Digital, AdVisible, Intesols, Emote Digital</v>
      </c>
      <c r="L447" s="187">
        <f>IFERROR(__xludf.DUMMYFUNCTION("""COMPUTED_VALUE"""),2.0)</f>
        <v>2</v>
      </c>
      <c r="M447" s="188">
        <f>IFERROR(__xludf.DUMMYFUNCTION("""COMPUTED_VALUE"""),0.0)</f>
        <v>0</v>
      </c>
      <c r="N447" s="188">
        <f>IFERROR(__xludf.DUMMYFUNCTION("""COMPUTED_VALUE"""),0.0)</f>
        <v>0</v>
      </c>
      <c r="O447" s="208"/>
      <c r="P447" s="208"/>
      <c r="Q447" s="208"/>
      <c r="R447" s="208"/>
    </row>
    <row r="448">
      <c r="A448" s="185" t="str">
        <f>IFERROR(__xludf.DUMMYFUNCTION("""COMPUTED_VALUE"""),"Official partner / certification ecosystem")</f>
        <v>Official partner / certification ecosystem</v>
      </c>
      <c r="B448" s="186" t="str">
        <f>IFERROR(__xludf.DUMMYFUNCTION("""COMPUTED_VALUE"""),"https://www.google.com/partners/agency?id=3839074243")</f>
        <v>https://www.google.com/partners/agency?id=3839074243</v>
      </c>
      <c r="C448" s="185"/>
      <c r="D448" s="185" t="str">
        <f>IFERROR(__xludf.DUMMYFUNCTION("""COMPUTED_VALUE"""),"AU")</f>
        <v>AU</v>
      </c>
      <c r="E448" s="185" t="str">
        <f>IFERROR(__xludf.DUMMYFUNCTION("""COMPUTED_VALUE"""),"google.com")</f>
        <v>google.com</v>
      </c>
      <c r="F448" s="185" t="str">
        <f>IFERROR(__xludf.DUMMYFUNCTION("""COMPUTED_VALUE"""),"Other")</f>
        <v>Other</v>
      </c>
      <c r="G448" s="185" t="str">
        <f>IFERROR(__xludf.DUMMYFUNCTION("""COMPUTED_VALUE"""),"OTHER")</f>
        <v>OTHER</v>
      </c>
      <c r="H448" s="185" t="str">
        <f>IFERROR(__xludf.DUMMYFUNCTION("""COMPUTED_VALUE"""),"No")</f>
        <v>No</v>
      </c>
      <c r="I448" s="185" t="str">
        <f>IFERROR(__xludf.DUMMYFUNCTION("""COMPUTED_VALUE"""),"High")</f>
        <v>High</v>
      </c>
      <c r="J448" s="185" t="str">
        <f>IFERROR(__xludf.DUMMYFUNCTION("""COMPUTED_VALUE"""),"Yes - priority")</f>
        <v>Yes - priority</v>
      </c>
      <c r="K448" s="185" t="str">
        <f>IFERROR(__xludf.DUMMYFUNCTION("""COMPUTED_VALUE"""),"Unknown")</f>
        <v>Unknown</v>
      </c>
      <c r="L448" s="187">
        <f>IFERROR(__xludf.DUMMYFUNCTION("""COMPUTED_VALUE"""),2.0)</f>
        <v>2</v>
      </c>
      <c r="M448" s="188">
        <f>IFERROR(__xludf.DUMMYFUNCTION("""COMPUTED_VALUE"""),0.0)</f>
        <v>0</v>
      </c>
      <c r="N448" s="188">
        <f>IFERROR(__xludf.DUMMYFUNCTION("""COMPUTED_VALUE"""),0.0)</f>
        <v>0</v>
      </c>
      <c r="O448" s="208"/>
      <c r="P448" s="208"/>
      <c r="Q448" s="208"/>
      <c r="R448" s="208"/>
    </row>
    <row r="449">
      <c r="A449" s="185" t="str">
        <f>IFERROR(__xludf.DUMMYFUNCTION("""COMPUTED_VALUE"""),"Official partner / certification ecosystem")</f>
        <v>Official partner / certification ecosystem</v>
      </c>
      <c r="B449" s="186" t="str">
        <f>IFERROR(__xludf.DUMMYFUNCTION("""COMPUTED_VALUE"""),"https://www.google.com/searchviewer/10?svid=CAwSHRIbCgNwdnESFENnMHZaeTh4TVdZMGNXTXpYM3BrGAo")</f>
        <v>https://www.google.com/searchviewer/10?svid=CAwSHRIbCgNwdnESFENnMHZaeTh4TVdZMGNXTXpYM3BrGAo</v>
      </c>
      <c r="C449" s="185"/>
      <c r="D449" s="185" t="str">
        <f>IFERROR(__xludf.DUMMYFUNCTION("""COMPUTED_VALUE"""),"AU")</f>
        <v>AU</v>
      </c>
      <c r="E449" s="185" t="str">
        <f>IFERROR(__xludf.DUMMYFUNCTION("""COMPUTED_VALUE"""),"google.com")</f>
        <v>google.com</v>
      </c>
      <c r="F449" s="185" t="str">
        <f>IFERROR(__xludf.DUMMYFUNCTION("""COMPUTED_VALUE"""),"Other")</f>
        <v>Other</v>
      </c>
      <c r="G449" s="185" t="str">
        <f>IFERROR(__xludf.DUMMYFUNCTION("""COMPUTED_VALUE"""),"OTHER")</f>
        <v>OTHER</v>
      </c>
      <c r="H449" s="185" t="str">
        <f>IFERROR(__xludf.DUMMYFUNCTION("""COMPUTED_VALUE"""),"No")</f>
        <v>No</v>
      </c>
      <c r="I449" s="185" t="str">
        <f>IFERROR(__xludf.DUMMYFUNCTION("""COMPUTED_VALUE"""),"High")</f>
        <v>High</v>
      </c>
      <c r="J449" s="185" t="str">
        <f>IFERROR(__xludf.DUMMYFUNCTION("""COMPUTED_VALUE"""),"Yes - priority")</f>
        <v>Yes - priority</v>
      </c>
      <c r="K449" s="185" t="str">
        <f>IFERROR(__xludf.DUMMYFUNCTION("""COMPUTED_VALUE"""),"Unknown")</f>
        <v>Unknown</v>
      </c>
      <c r="L449" s="187">
        <f>IFERROR(__xludf.DUMMYFUNCTION("""COMPUTED_VALUE"""),2.0)</f>
        <v>2</v>
      </c>
      <c r="M449" s="188">
        <f>IFERROR(__xludf.DUMMYFUNCTION("""COMPUTED_VALUE"""),0.0)</f>
        <v>0</v>
      </c>
      <c r="N449" s="188">
        <f>IFERROR(__xludf.DUMMYFUNCTION("""COMPUTED_VALUE"""),1.0)</f>
        <v>1</v>
      </c>
      <c r="O449" s="208"/>
      <c r="P449" s="208"/>
      <c r="Q449" s="208"/>
      <c r="R449" s="208"/>
    </row>
    <row r="450">
      <c r="A450" s="185" t="str">
        <f>IFERROR(__xludf.DUMMYFUNCTION("""COMPUTED_VALUE"""),"Official partner / certification ecosystem")</f>
        <v>Official partner / certification ecosystem</v>
      </c>
      <c r="B450" s="186" t="str">
        <f>IFERROR(__xludf.DUMMYFUNCTION("""COMPUTED_VALUE"""),"https://marketingplatform.google.com/about/partners/?authuser=1")</f>
        <v>https://marketingplatform.google.com/about/partners/?authuser=1</v>
      </c>
      <c r="C450" s="185" t="str">
        <f>IFERROR(__xludf.DUMMYFUNCTION("""COMPUTED_VALUE"""),"Meet Your New Marketing Partner - Google Marketing Platform Partners")</f>
        <v>Meet Your New Marketing Partner - Google Marketing Platform Partners</v>
      </c>
      <c r="D450" s="185" t="str">
        <f>IFERROR(__xludf.DUMMYFUNCTION("""COMPUTED_VALUE"""),"AU")</f>
        <v>AU</v>
      </c>
      <c r="E450" s="185" t="str">
        <f>IFERROR(__xludf.DUMMYFUNCTION("""COMPUTED_VALUE"""),"google.com")</f>
        <v>google.com</v>
      </c>
      <c r="F450" s="185" t="str">
        <f>IFERROR(__xludf.DUMMYFUNCTION("""COMPUTED_VALUE"""),"Category Page")</f>
        <v>Category Page</v>
      </c>
      <c r="G450" s="185" t="str">
        <f>IFERROR(__xludf.DUMMYFUNCTION("""COMPUTED_VALUE"""),"OTHER")</f>
        <v>OTHER</v>
      </c>
      <c r="H450" s="185" t="str">
        <f>IFERROR(__xludf.DUMMYFUNCTION("""COMPUTED_VALUE"""),"No")</f>
        <v>No</v>
      </c>
      <c r="I450" s="185" t="str">
        <f>IFERROR(__xludf.DUMMYFUNCTION("""COMPUTED_VALUE"""),"High")</f>
        <v>High</v>
      </c>
      <c r="J450" s="185" t="str">
        <f>IFERROR(__xludf.DUMMYFUNCTION("""COMPUTED_VALUE"""),"Yes - priority")</f>
        <v>Yes - priority</v>
      </c>
      <c r="K450" s="185"/>
      <c r="L450" s="187">
        <f>IFERROR(__xludf.DUMMYFUNCTION("""COMPUTED_VALUE"""),2.0)</f>
        <v>2</v>
      </c>
      <c r="M450" s="188">
        <f>IFERROR(__xludf.DUMMYFUNCTION("""COMPUTED_VALUE"""),0.0)</f>
        <v>0</v>
      </c>
      <c r="N450" s="188">
        <f>IFERROR(__xludf.DUMMYFUNCTION("""COMPUTED_VALUE"""),0.0)</f>
        <v>0</v>
      </c>
      <c r="O450" s="208"/>
      <c r="P450" s="208"/>
      <c r="Q450" s="208"/>
      <c r="R450" s="208"/>
    </row>
    <row r="451">
      <c r="A451" s="185" t="str">
        <f>IFERROR(__xludf.DUMMYFUNCTION("""COMPUTED_VALUE"""),"Industry data / software authority")</f>
        <v>Industry data / software authority</v>
      </c>
      <c r="B451" s="186" t="str">
        <f>IFERROR(__xludf.DUMMYFUNCTION("""COMPUTED_VALUE"""),"https://www.semrush.com/agencies/list/analytics-data-science/australia/")</f>
        <v>https://www.semrush.com/agencies/list/analytics-data-science/australia/</v>
      </c>
      <c r="C451" s="185" t="str">
        <f>IFERROR(__xludf.DUMMYFUNCTION("""COMPUTED_VALUE"""),"Best Data Analytics Services in Australia 2026 \| Semrush")</f>
        <v>Best Data Analytics Services in Australia 2026 \| Semrush</v>
      </c>
      <c r="D451" s="185" t="str">
        <f>IFERROR(__xludf.DUMMYFUNCTION("""COMPUTED_VALUE"""),"AU")</f>
        <v>AU</v>
      </c>
      <c r="E451" s="185" t="str">
        <f>IFERROR(__xludf.DUMMYFUNCTION("""COMPUTED_VALUE"""),"semrush.com")</f>
        <v>semrush.com</v>
      </c>
      <c r="F451" s="185" t="str">
        <f>IFERROR(__xludf.DUMMYFUNCTION("""COMPUTED_VALUE"""),"Profile")</f>
        <v>Profile</v>
      </c>
      <c r="G451" s="185" t="str">
        <f>IFERROR(__xludf.DUMMYFUNCTION("""COMPUTED_VALUE"""),"CORPORATE")</f>
        <v>CORPORATE</v>
      </c>
      <c r="H451" s="185" t="str">
        <f>IFERROR(__xludf.DUMMYFUNCTION("""COMPUTED_VALUE"""),"No")</f>
        <v>No</v>
      </c>
      <c r="I451" s="185" t="str">
        <f>IFERROR(__xludf.DUMMYFUNCTION("""COMPUTED_VALUE"""),"Medium")</f>
        <v>Medium</v>
      </c>
      <c r="J451" s="185" t="str">
        <f>IFERROR(__xludf.DUMMYFUNCTION("""COMPUTED_VALUE"""),"Yes")</f>
        <v>Yes</v>
      </c>
      <c r="K451" s="185" t="str">
        <f>IFERROR(__xludf.DUMMYFUNCTION("""COMPUTED_VALUE"""),"Soup Agency, First Page, Clearwater Agency, Measured, Earned Media, Impressive, Online Marketing Gurus, Omnicom Media Group, Click Click Media, 80/20 Digital, Bonfire, Huge, Megantic")</f>
        <v>Soup Agency, First Page, Clearwater Agency, Measured, Earned Media, Impressive, Online Marketing Gurus, Omnicom Media Group, Click Click Media, 80/20 Digital, Bonfire, Huge, Megantic</v>
      </c>
      <c r="L451" s="187">
        <f>IFERROR(__xludf.DUMMYFUNCTION("""COMPUTED_VALUE"""),2.0)</f>
        <v>2</v>
      </c>
      <c r="M451" s="188">
        <f>IFERROR(__xludf.DUMMYFUNCTION("""COMPUTED_VALUE"""),0.0)</f>
        <v>0</v>
      </c>
      <c r="N451" s="188">
        <f>IFERROR(__xludf.DUMMYFUNCTION("""COMPUTED_VALUE"""),1.0)</f>
        <v>1</v>
      </c>
      <c r="O451" s="208"/>
      <c r="P451" s="208"/>
      <c r="Q451" s="208"/>
      <c r="R451" s="208"/>
    </row>
    <row r="452">
      <c r="A452" s="185" t="str">
        <f>IFERROR(__xludf.DUMMYFUNCTION("""COMPUTED_VALUE"""),"Agency directory / review marketplace")</f>
        <v>Agency directory / review marketplace</v>
      </c>
      <c r="B452" s="186" t="str">
        <f>IFERROR(__xludf.DUMMYFUNCTION("""COMPUTED_VALUE"""),"https://www.sortlist.com/s/artificial-intelligence/sydney-au")</f>
        <v>https://www.sortlist.com/s/artificial-intelligence/sydney-au</v>
      </c>
      <c r="C452" s="185" t="str">
        <f>IFERROR(__xludf.DUMMYFUNCTION("""COMPUTED_VALUE"""),"The 10 Best Artificial Intelligence Agencies in Sydney - 2026 Reviews")</f>
        <v>The 10 Best Artificial Intelligence Agencies in Sydney - 2026 Reviews</v>
      </c>
      <c r="D452" s="185" t="str">
        <f>IFERROR(__xludf.DUMMYFUNCTION("""COMPUTED_VALUE"""),"AU")</f>
        <v>AU</v>
      </c>
      <c r="E452" s="185" t="str">
        <f>IFERROR(__xludf.DUMMYFUNCTION("""COMPUTED_VALUE"""),"sortlist.com")</f>
        <v>sortlist.com</v>
      </c>
      <c r="F452" s="185" t="str">
        <f>IFERROR(__xludf.DUMMYFUNCTION("""COMPUTED_VALUE"""),"Category Page")</f>
        <v>Category Page</v>
      </c>
      <c r="G452" s="185" t="str">
        <f>IFERROR(__xludf.DUMMYFUNCTION("""COMPUTED_VALUE"""),"CORPORATE")</f>
        <v>CORPORATE</v>
      </c>
      <c r="H452" s="185" t="str">
        <f>IFERROR(__xludf.DUMMYFUNCTION("""COMPUTED_VALUE"""),"No")</f>
        <v>No</v>
      </c>
      <c r="I452" s="185" t="str">
        <f>IFERROR(__xludf.DUMMYFUNCTION("""COMPUTED_VALUE"""),"Medium")</f>
        <v>Medium</v>
      </c>
      <c r="J452" s="185" t="str">
        <f>IFERROR(__xludf.DUMMYFUNCTION("""COMPUTED_VALUE"""),"Yes")</f>
        <v>Yes</v>
      </c>
      <c r="K452" s="185" t="str">
        <f>IFERROR(__xludf.DUMMYFUNCTION("""COMPUTED_VALUE"""),"Team 400")</f>
        <v>Team 400</v>
      </c>
      <c r="L452" s="187">
        <f>IFERROR(__xludf.DUMMYFUNCTION("""COMPUTED_VALUE"""),2.0)</f>
        <v>2</v>
      </c>
      <c r="M452" s="188">
        <f>IFERROR(__xludf.DUMMYFUNCTION("""COMPUTED_VALUE"""),0.0)</f>
        <v>0</v>
      </c>
      <c r="N452" s="188">
        <f>IFERROR(__xludf.DUMMYFUNCTION("""COMPUTED_VALUE"""),0.0)</f>
        <v>0</v>
      </c>
      <c r="O452" s="208"/>
      <c r="P452" s="208"/>
      <c r="Q452" s="208"/>
      <c r="R452" s="208"/>
    </row>
    <row r="453">
      <c r="A453" s="185" t="str">
        <f>IFERROR(__xludf.DUMMYFUNCTION("""COMPUTED_VALUE"""),"Agency directory / review marketplace")</f>
        <v>Agency directory / review marketplace</v>
      </c>
      <c r="B453" s="186" t="str">
        <f>IFERROR(__xludf.DUMMYFUNCTION("""COMPUTED_VALUE"""),"https://www.sortlist.com/s/performance-marketing/queensland-qld-au")</f>
        <v>https://www.sortlist.com/s/performance-marketing/queensland-qld-au</v>
      </c>
      <c r="C453" s="185" t="str">
        <f>IFERROR(__xludf.DUMMYFUNCTION("""COMPUTED_VALUE"""),"The 10 Best Performance Marketing Agencies in Queensland - 2026 Reviews")</f>
        <v>The 10 Best Performance Marketing Agencies in Queensland - 2026 Reviews</v>
      </c>
      <c r="D453" s="185" t="str">
        <f>IFERROR(__xludf.DUMMYFUNCTION("""COMPUTED_VALUE"""),"AU")</f>
        <v>AU</v>
      </c>
      <c r="E453" s="185" t="str">
        <f>IFERROR(__xludf.DUMMYFUNCTION("""COMPUTED_VALUE"""),"sortlist.com")</f>
        <v>sortlist.com</v>
      </c>
      <c r="F453" s="185" t="str">
        <f>IFERROR(__xludf.DUMMYFUNCTION("""COMPUTED_VALUE"""),"Profile")</f>
        <v>Profile</v>
      </c>
      <c r="G453" s="185" t="str">
        <f>IFERROR(__xludf.DUMMYFUNCTION("""COMPUTED_VALUE"""),"CORPORATE")</f>
        <v>CORPORATE</v>
      </c>
      <c r="H453" s="185" t="str">
        <f>IFERROR(__xludf.DUMMYFUNCTION("""COMPUTED_VALUE"""),"No")</f>
        <v>No</v>
      </c>
      <c r="I453" s="185" t="str">
        <f>IFERROR(__xludf.DUMMYFUNCTION("""COMPUTED_VALUE"""),"Medium")</f>
        <v>Medium</v>
      </c>
      <c r="J453" s="185" t="str">
        <f>IFERROR(__xludf.DUMMYFUNCTION("""COMPUTED_VALUE"""),"Yes")</f>
        <v>Yes</v>
      </c>
      <c r="K453" s="185" t="str">
        <f>IFERROR(__xludf.DUMMYFUNCTION("""COMPUTED_VALUE"""),"Digital Nomads HQ, Soup Agency, HERO, Measured, Earned Media, Clearwater Agency, SIXGUN, Impressive, Supple Digital, Momentum, Alpha Digital, 23 Digital")</f>
        <v>Digital Nomads HQ, Soup Agency, HERO, Measured, Earned Media, Clearwater Agency, SIXGUN, Impressive, Supple Digital, Momentum, Alpha Digital, 23 Digital</v>
      </c>
      <c r="L453" s="187">
        <f>IFERROR(__xludf.DUMMYFUNCTION("""COMPUTED_VALUE"""),2.0)</f>
        <v>2</v>
      </c>
      <c r="M453" s="188">
        <f>IFERROR(__xludf.DUMMYFUNCTION("""COMPUTED_VALUE"""),0.0)</f>
        <v>0</v>
      </c>
      <c r="N453" s="188">
        <f>IFERROR(__xludf.DUMMYFUNCTION("""COMPUTED_VALUE"""),0.0)</f>
        <v>0</v>
      </c>
      <c r="O453" s="208"/>
      <c r="P453" s="208"/>
      <c r="Q453" s="208"/>
      <c r="R453" s="208"/>
    </row>
    <row r="454">
      <c r="A454" s="185" t="str">
        <f>IFERROR(__xludf.DUMMYFUNCTION("""COMPUTED_VALUE"""),"Agency directory / review marketplace")</f>
        <v>Agency directory / review marketplace</v>
      </c>
      <c r="B454" s="186" t="str">
        <f>IFERROR(__xludf.DUMMYFUNCTION("""COMPUTED_VALUE"""),"https://www.sortlist.com/s/sm-analytics/australia-au")</f>
        <v>https://www.sortlist.com/s/sm-analytics/australia-au</v>
      </c>
      <c r="C454" s="185" t="str">
        <f>IFERROR(__xludf.DUMMYFUNCTION("""COMPUTED_VALUE"""),"The 10 Best SM Analytics Consultants in Australia - 2026 Reviews")</f>
        <v>The 10 Best SM Analytics Consultants in Australia - 2026 Reviews</v>
      </c>
      <c r="D454" s="185" t="str">
        <f>IFERROR(__xludf.DUMMYFUNCTION("""COMPUTED_VALUE"""),"AU")</f>
        <v>AU</v>
      </c>
      <c r="E454" s="185" t="str">
        <f>IFERROR(__xludf.DUMMYFUNCTION("""COMPUTED_VALUE"""),"sortlist.com")</f>
        <v>sortlist.com</v>
      </c>
      <c r="F454" s="185" t="str">
        <f>IFERROR(__xludf.DUMMYFUNCTION("""COMPUTED_VALUE"""),"Category Page")</f>
        <v>Category Page</v>
      </c>
      <c r="G454" s="185" t="str">
        <f>IFERROR(__xludf.DUMMYFUNCTION("""COMPUTED_VALUE"""),"CORPORATE")</f>
        <v>CORPORATE</v>
      </c>
      <c r="H454" s="185" t="str">
        <f>IFERROR(__xludf.DUMMYFUNCTION("""COMPUTED_VALUE"""),"No")</f>
        <v>No</v>
      </c>
      <c r="I454" s="185" t="str">
        <f>IFERROR(__xludf.DUMMYFUNCTION("""COMPUTED_VALUE"""),"Medium")</f>
        <v>Medium</v>
      </c>
      <c r="J454" s="185" t="str">
        <f>IFERROR(__xludf.DUMMYFUNCTION("""COMPUTED_VALUE"""),"Yes")</f>
        <v>Yes</v>
      </c>
      <c r="K454" s="185" t="str">
        <f>IFERROR(__xludf.DUMMYFUNCTION("""COMPUTED_VALUE"""),"Measured, Earned Media, Clearwater Agency, SIXGUN, Impressive, Digital Nomads HQ")</f>
        <v>Measured, Earned Media, Clearwater Agency, SIXGUN, Impressive, Digital Nomads HQ</v>
      </c>
      <c r="L454" s="187">
        <f>IFERROR(__xludf.DUMMYFUNCTION("""COMPUTED_VALUE"""),2.0)</f>
        <v>2</v>
      </c>
      <c r="M454" s="188">
        <f>IFERROR(__xludf.DUMMYFUNCTION("""COMPUTED_VALUE"""),0.0)</f>
        <v>0</v>
      </c>
      <c r="N454" s="188">
        <f>IFERROR(__xludf.DUMMYFUNCTION("""COMPUTED_VALUE"""),0.0)</f>
        <v>0</v>
      </c>
      <c r="O454" s="208"/>
      <c r="P454" s="208"/>
      <c r="Q454" s="208"/>
      <c r="R454" s="208"/>
    </row>
    <row r="455">
      <c r="A455" s="185" t="str">
        <f>IFERROR(__xludf.DUMMYFUNCTION("""COMPUTED_VALUE"""),"Agency directory / review marketplace")</f>
        <v>Agency directory / review marketplace</v>
      </c>
      <c r="B455" s="186" t="str">
        <f>IFERROR(__xludf.DUMMYFUNCTION("""COMPUTED_VALUE"""),"https://www.sortlist.com/web-analytics/melbourne-au")</f>
        <v>https://www.sortlist.com/web-analytics/melbourne-au</v>
      </c>
      <c r="C455" s="185" t="str">
        <f>IFERROR(__xludf.DUMMYFUNCTION("""COMPUTED_VALUE"""),"The 10 Best Web Analytics Agencies in Melbourne - 2026 Reviews")</f>
        <v>The 10 Best Web Analytics Agencies in Melbourne - 2026 Reviews</v>
      </c>
      <c r="D455" s="185" t="str">
        <f>IFERROR(__xludf.DUMMYFUNCTION("""COMPUTED_VALUE"""),"AU")</f>
        <v>AU</v>
      </c>
      <c r="E455" s="185" t="str">
        <f>IFERROR(__xludf.DUMMYFUNCTION("""COMPUTED_VALUE"""),"sortlist.com")</f>
        <v>sortlist.com</v>
      </c>
      <c r="F455" s="185" t="str">
        <f>IFERROR(__xludf.DUMMYFUNCTION("""COMPUTED_VALUE"""),"Other")</f>
        <v>Other</v>
      </c>
      <c r="G455" s="185" t="str">
        <f>IFERROR(__xludf.DUMMYFUNCTION("""COMPUTED_VALUE"""),"CORPORATE")</f>
        <v>CORPORATE</v>
      </c>
      <c r="H455" s="185" t="str">
        <f>IFERROR(__xludf.DUMMYFUNCTION("""COMPUTED_VALUE"""),"No")</f>
        <v>No</v>
      </c>
      <c r="I455" s="185" t="str">
        <f>IFERROR(__xludf.DUMMYFUNCTION("""COMPUTED_VALUE"""),"Medium")</f>
        <v>Medium</v>
      </c>
      <c r="J455" s="185" t="str">
        <f>IFERROR(__xludf.DUMMYFUNCTION("""COMPUTED_VALUE"""),"Yes")</f>
        <v>Yes</v>
      </c>
      <c r="K455" s="185" t="str">
        <f>IFERROR(__xludf.DUMMYFUNCTION("""COMPUTED_VALUE"""),"Impressive, SIXGUN, 23 Digital")</f>
        <v>Impressive, SIXGUN, 23 Digital</v>
      </c>
      <c r="L455" s="187">
        <f>IFERROR(__xludf.DUMMYFUNCTION("""COMPUTED_VALUE"""),2.0)</f>
        <v>2</v>
      </c>
      <c r="M455" s="188">
        <f>IFERROR(__xludf.DUMMYFUNCTION("""COMPUTED_VALUE"""),0.0)</f>
        <v>0</v>
      </c>
      <c r="N455" s="188">
        <f>IFERROR(__xludf.DUMMYFUNCTION("""COMPUTED_VALUE"""),0.0)</f>
        <v>0</v>
      </c>
      <c r="O455" s="208"/>
      <c r="P455" s="208"/>
      <c r="Q455" s="208"/>
      <c r="R455" s="208"/>
    </row>
    <row r="456">
      <c r="A456" s="185" t="str">
        <f>IFERROR(__xludf.DUMMYFUNCTION("""COMPUTED_VALUE"""),"Official partner / certification ecosystem")</f>
        <v>Official partner / certification ecosystem</v>
      </c>
      <c r="B456" s="186" t="str">
        <f>IFERROR(__xludf.DUMMYFUNCTION("""COMPUTED_VALUE"""),"https://support.google.com/tagmanager/answer/7237700?hl=en-AU")</f>
        <v>https://support.google.com/tagmanager/answer/7237700?hl=en-AU</v>
      </c>
      <c r="C456" s="185" t="str">
        <f>IFERROR(__xludf.DUMMYFUNCTION("""COMPUTED_VALUE"""),"Google Marketing Platform Partners - Tag Manager Help")</f>
        <v>Google Marketing Platform Partners - Tag Manager Help</v>
      </c>
      <c r="D456" s="185" t="str">
        <f>IFERROR(__xludf.DUMMYFUNCTION("""COMPUTED_VALUE"""),"AU")</f>
        <v>AU</v>
      </c>
      <c r="E456" s="185" t="str">
        <f>IFERROR(__xludf.DUMMYFUNCTION("""COMPUTED_VALUE"""),"google.com")</f>
        <v>google.com</v>
      </c>
      <c r="F456" s="185" t="str">
        <f>IFERROR(__xludf.DUMMYFUNCTION("""COMPUTED_VALUE"""),"Other")</f>
        <v>Other</v>
      </c>
      <c r="G456" s="185" t="str">
        <f>IFERROR(__xludf.DUMMYFUNCTION("""COMPUTED_VALUE"""),"OTHER")</f>
        <v>OTHER</v>
      </c>
      <c r="H456" s="185" t="str">
        <f>IFERROR(__xludf.DUMMYFUNCTION("""COMPUTED_VALUE"""),"No")</f>
        <v>No</v>
      </c>
      <c r="I456" s="185" t="str">
        <f>IFERROR(__xludf.DUMMYFUNCTION("""COMPUTED_VALUE"""),"High")</f>
        <v>High</v>
      </c>
      <c r="J456" s="185" t="str">
        <f>IFERROR(__xludf.DUMMYFUNCTION("""COMPUTED_VALUE"""),"Yes - priority")</f>
        <v>Yes - priority</v>
      </c>
      <c r="K456" s="185"/>
      <c r="L456" s="187">
        <f>IFERROR(__xludf.DUMMYFUNCTION("""COMPUTED_VALUE"""),2.0)</f>
        <v>2</v>
      </c>
      <c r="M456" s="188">
        <f>IFERROR(__xludf.DUMMYFUNCTION("""COMPUTED_VALUE"""),0.0)</f>
        <v>0</v>
      </c>
      <c r="N456" s="188">
        <f>IFERROR(__xludf.DUMMYFUNCTION("""COMPUTED_VALUE"""),0.0)</f>
        <v>0</v>
      </c>
      <c r="O456" s="208"/>
      <c r="P456" s="208"/>
      <c r="Q456" s="208"/>
      <c r="R456" s="208"/>
    </row>
    <row r="457">
      <c r="A457" s="185" t="str">
        <f>IFERROR(__xludf.DUMMYFUNCTION("""COMPUTED_VALUE"""),"Trade media / editorial publication")</f>
        <v>Trade media / editorial publication</v>
      </c>
      <c r="B457" s="186" t="str">
        <f>IFERROR(__xludf.DUMMYFUNCTION("""COMPUTED_VALUE"""),"https://www.theaustralian.com.au/business/growth-agenda/a-special-decade-as-independent-creative-agency-celebrates-milestone/news-story/3ff6c415d05d580c07433ced667fdd66")</f>
        <v>https://www.theaustralian.com.au/business/growth-agenda/a-special-decade-as-independent-creative-agency-celebrates-milestone/news-story/3ff6c415d05d580c07433ced667fdd66</v>
      </c>
      <c r="C457" s="185" t="str">
        <f>IFERROR(__xludf.DUMMYFUNCTION("""COMPUTED_VALUE"""),"Subscribe to The Australian \| Newspaper home delivery, website, iPad, iPhone &amp; Android apps")</f>
        <v>Subscribe to The Australian \| Newspaper home delivery, website, iPad, iPhone &amp; Android apps</v>
      </c>
      <c r="D457" s="185" t="str">
        <f>IFERROR(__xludf.DUMMYFUNCTION("""COMPUTED_VALUE"""),"AU")</f>
        <v>AU</v>
      </c>
      <c r="E457" s="185" t="str">
        <f>IFERROR(__xludf.DUMMYFUNCTION("""COMPUTED_VALUE"""),"theaustralian.com.au")</f>
        <v>theaustralian.com.au</v>
      </c>
      <c r="F457" s="185" t="str">
        <f>IFERROR(__xludf.DUMMYFUNCTION("""COMPUTED_VALUE"""),"Product Page")</f>
        <v>Product Page</v>
      </c>
      <c r="G457" s="185" t="str">
        <f>IFERROR(__xludf.DUMMYFUNCTION("""COMPUTED_VALUE"""),"EDITORIAL")</f>
        <v>EDITORIAL</v>
      </c>
      <c r="H457" s="185" t="str">
        <f>IFERROR(__xludf.DUMMYFUNCTION("""COMPUTED_VALUE"""),"No")</f>
        <v>No</v>
      </c>
      <c r="I457" s="185" t="str">
        <f>IFERROR(__xludf.DUMMYFUNCTION("""COMPUTED_VALUE"""),"High")</f>
        <v>High</v>
      </c>
      <c r="J457" s="185" t="str">
        <f>IFERROR(__xludf.DUMMYFUNCTION("""COMPUTED_VALUE"""),"Yes - priority")</f>
        <v>Yes - priority</v>
      </c>
      <c r="K457" s="185"/>
      <c r="L457" s="187">
        <f>IFERROR(__xludf.DUMMYFUNCTION("""COMPUTED_VALUE"""),2.0)</f>
        <v>2</v>
      </c>
      <c r="M457" s="188">
        <f>IFERROR(__xludf.DUMMYFUNCTION("""COMPUTED_VALUE"""),0.0)</f>
        <v>0</v>
      </c>
      <c r="N457" s="188">
        <f>IFERROR(__xludf.DUMMYFUNCTION("""COMPUTED_VALUE"""),2.0)</f>
        <v>2</v>
      </c>
      <c r="O457" s="208"/>
      <c r="P457" s="208"/>
      <c r="Q457" s="208"/>
      <c r="R457" s="208"/>
    </row>
    <row r="458">
      <c r="A458" s="185" t="str">
        <f>IFERROR(__xludf.DUMMYFUNCTION("""COMPUTED_VALUE"""),"Trade media / editorial publication")</f>
        <v>Trade media / editorial publication</v>
      </c>
      <c r="B458" s="186" t="str">
        <f>IFERROR(__xludf.DUMMYFUNCTION("""COMPUTED_VALUE"""),"https://www.theaustralian.com.au/business/growth-agenda/accenture-song-targets-media-agencies-in-move-to-full-service-agency/news-story/375b942d4fa210237d0f10a227265b8f")</f>
        <v>https://www.theaustralian.com.au/business/growth-agenda/accenture-song-targets-media-agencies-in-move-to-full-service-agency/news-story/375b942d4fa210237d0f10a227265b8f</v>
      </c>
      <c r="C458" s="185" t="str">
        <f>IFERROR(__xludf.DUMMYFUNCTION("""COMPUTED_VALUE"""),"Accenture Song targets media agencies in ambitious move to full service \| The Australian")</f>
        <v>Accenture Song targets media agencies in ambitious move to full service \| The Australian</v>
      </c>
      <c r="D458" s="185" t="str">
        <f>IFERROR(__xludf.DUMMYFUNCTION("""COMPUTED_VALUE"""),"AU")</f>
        <v>AU</v>
      </c>
      <c r="E458" s="185" t="str">
        <f>IFERROR(__xludf.DUMMYFUNCTION("""COMPUTED_VALUE"""),"theaustralian.com.au")</f>
        <v>theaustralian.com.au</v>
      </c>
      <c r="F458" s="185" t="str">
        <f>IFERROR(__xludf.DUMMYFUNCTION("""COMPUTED_VALUE"""),"Article")</f>
        <v>Article</v>
      </c>
      <c r="G458" s="185" t="str">
        <f>IFERROR(__xludf.DUMMYFUNCTION("""COMPUTED_VALUE"""),"EDITORIAL")</f>
        <v>EDITORIAL</v>
      </c>
      <c r="H458" s="185" t="str">
        <f>IFERROR(__xludf.DUMMYFUNCTION("""COMPUTED_VALUE"""),"No")</f>
        <v>No</v>
      </c>
      <c r="I458" s="185" t="str">
        <f>IFERROR(__xludf.DUMMYFUNCTION("""COMPUTED_VALUE"""),"High")</f>
        <v>High</v>
      </c>
      <c r="J458" s="185" t="str">
        <f>IFERROR(__xludf.DUMMYFUNCTION("""COMPUTED_VALUE"""),"Yes - priority")</f>
        <v>Yes - priority</v>
      </c>
      <c r="K458" s="185" t="str">
        <f>IFERROR(__xludf.DUMMYFUNCTION("""COMPUTED_VALUE"""),"Accenture Song, Momentum, Publicis Groupe, KPMG, Deloitte, The Monkeys")</f>
        <v>Accenture Song, Momentum, Publicis Groupe, KPMG, Deloitte, The Monkeys</v>
      </c>
      <c r="L458" s="187">
        <f>IFERROR(__xludf.DUMMYFUNCTION("""COMPUTED_VALUE"""),2.0)</f>
        <v>2</v>
      </c>
      <c r="M458" s="188">
        <f>IFERROR(__xludf.DUMMYFUNCTION("""COMPUTED_VALUE"""),0.0)</f>
        <v>0</v>
      </c>
      <c r="N458" s="188">
        <f>IFERROR(__xludf.DUMMYFUNCTION("""COMPUTED_VALUE"""),2.0)</f>
        <v>2</v>
      </c>
      <c r="O458" s="208"/>
      <c r="P458" s="208"/>
      <c r="Q458" s="208"/>
      <c r="R458" s="208"/>
    </row>
    <row r="459">
      <c r="A459" s="185" t="str">
        <f>IFERROR(__xludf.DUMMYFUNCTION("""COMPUTED_VALUE"""),"Trade media / editorial publication")</f>
        <v>Trade media / editorial publication</v>
      </c>
      <c r="B459" s="186" t="str">
        <f>IFERROR(__xludf.DUMMYFUNCTION("""COMPUTED_VALUE"""),"https://www.theaustralian.com.au/business/growth-agenda/us-tech-challenger-tackles-marketings-big-attribution-problem/news-story/fdf53a9daba98edcceb53edf3adc1ea5")</f>
        <v>https://www.theaustralian.com.au/business/growth-agenda/us-tech-challenger-tackles-marketings-big-attribution-problem/news-story/fdf53a9daba98edcceb53edf3adc1ea5</v>
      </c>
      <c r="C459" s="185" t="str">
        <f>IFERROR(__xludf.DUMMYFUNCTION("""COMPUTED_VALUE"""),"Subscribe to The Australian \| Newspaper home delivery, website, iPad, iPhone &amp; Android apps")</f>
        <v>Subscribe to The Australian \| Newspaper home delivery, website, iPad, iPhone &amp; Android apps</v>
      </c>
      <c r="D459" s="185" t="str">
        <f>IFERROR(__xludf.DUMMYFUNCTION("""COMPUTED_VALUE"""),"AU")</f>
        <v>AU</v>
      </c>
      <c r="E459" s="185" t="str">
        <f>IFERROR(__xludf.DUMMYFUNCTION("""COMPUTED_VALUE"""),"theaustralian.com.au")</f>
        <v>theaustralian.com.au</v>
      </c>
      <c r="F459" s="185" t="str">
        <f>IFERROR(__xludf.DUMMYFUNCTION("""COMPUTED_VALUE"""),"Article")</f>
        <v>Article</v>
      </c>
      <c r="G459" s="185" t="str">
        <f>IFERROR(__xludf.DUMMYFUNCTION("""COMPUTED_VALUE"""),"EDITORIAL")</f>
        <v>EDITORIAL</v>
      </c>
      <c r="H459" s="185" t="str">
        <f>IFERROR(__xludf.DUMMYFUNCTION("""COMPUTED_VALUE"""),"No")</f>
        <v>No</v>
      </c>
      <c r="I459" s="185" t="str">
        <f>IFERROR(__xludf.DUMMYFUNCTION("""COMPUTED_VALUE"""),"High")</f>
        <v>High</v>
      </c>
      <c r="J459" s="185" t="str">
        <f>IFERROR(__xludf.DUMMYFUNCTION("""COMPUTED_VALUE"""),"Yes - priority")</f>
        <v>Yes - priority</v>
      </c>
      <c r="K459" s="185"/>
      <c r="L459" s="187">
        <f>IFERROR(__xludf.DUMMYFUNCTION("""COMPUTED_VALUE"""),2.0)</f>
        <v>2</v>
      </c>
      <c r="M459" s="188">
        <f>IFERROR(__xludf.DUMMYFUNCTION("""COMPUTED_VALUE"""),0.0)</f>
        <v>0</v>
      </c>
      <c r="N459" s="188">
        <f>IFERROR(__xludf.DUMMYFUNCTION("""COMPUTED_VALUE"""),2.0)</f>
        <v>2</v>
      </c>
      <c r="O459" s="208"/>
      <c r="P459" s="208"/>
      <c r="Q459" s="208"/>
      <c r="R459" s="208"/>
    </row>
    <row r="460">
      <c r="A460" s="185" t="str">
        <f>IFERROR(__xludf.DUMMYFUNCTION("""COMPUTED_VALUE"""),"Trade media / editorial publication")</f>
        <v>Trade media / editorial publication</v>
      </c>
      <c r="B460" s="186" t="str">
        <f>IFERROR(__xludf.DUMMYFUNCTION("""COMPUTED_VALUE"""),"https://www.theaustralian.com.au/business/leadership/abused-and-misunderstood-why-this-ceo-offers-her-staff-autism-and-adhd-tests/news-story/c3157f767ce6b443baee0e882fc89559")</f>
        <v>https://www.theaustralian.com.au/business/leadership/abused-and-misunderstood-why-this-ceo-offers-her-staff-autism-and-adhd-tests/news-story/c3157f767ce6b443baee0e882fc89559</v>
      </c>
      <c r="C460" s="185" t="str">
        <f>IFERROR(__xludf.DUMMYFUNCTION("""COMPUTED_VALUE"""),"Subscribe to The Australian \| Newspaper home delivery, website, iPad, iPhone &amp; Android apps")</f>
        <v>Subscribe to The Australian \| Newspaper home delivery, website, iPad, iPhone &amp; Android apps</v>
      </c>
      <c r="D460" s="185" t="str">
        <f>IFERROR(__xludf.DUMMYFUNCTION("""COMPUTED_VALUE"""),"AU")</f>
        <v>AU</v>
      </c>
      <c r="E460" s="185" t="str">
        <f>IFERROR(__xludf.DUMMYFUNCTION("""COMPUTED_VALUE"""),"theaustralian.com.au")</f>
        <v>theaustralian.com.au</v>
      </c>
      <c r="F460" s="185" t="str">
        <f>IFERROR(__xludf.DUMMYFUNCTION("""COMPUTED_VALUE"""),"Article")</f>
        <v>Article</v>
      </c>
      <c r="G460" s="185" t="str">
        <f>IFERROR(__xludf.DUMMYFUNCTION("""COMPUTED_VALUE"""),"EDITORIAL")</f>
        <v>EDITORIAL</v>
      </c>
      <c r="H460" s="185" t="str">
        <f>IFERROR(__xludf.DUMMYFUNCTION("""COMPUTED_VALUE"""),"No")</f>
        <v>No</v>
      </c>
      <c r="I460" s="185" t="str">
        <f>IFERROR(__xludf.DUMMYFUNCTION("""COMPUTED_VALUE"""),"High")</f>
        <v>High</v>
      </c>
      <c r="J460" s="185" t="str">
        <f>IFERROR(__xludf.DUMMYFUNCTION("""COMPUTED_VALUE"""),"Yes - priority")</f>
        <v>Yes - priority</v>
      </c>
      <c r="K460" s="185"/>
      <c r="L460" s="187">
        <f>IFERROR(__xludf.DUMMYFUNCTION("""COMPUTED_VALUE"""),2.0)</f>
        <v>2</v>
      </c>
      <c r="M460" s="188">
        <f>IFERROR(__xludf.DUMMYFUNCTION("""COMPUTED_VALUE"""),0.0)</f>
        <v>0</v>
      </c>
      <c r="N460" s="188">
        <f>IFERROR(__xludf.DUMMYFUNCTION("""COMPUTED_VALUE"""),2.0)</f>
        <v>2</v>
      </c>
      <c r="O460" s="208"/>
      <c r="P460" s="208"/>
      <c r="Q460" s="208"/>
      <c r="R460" s="208"/>
    </row>
    <row r="461">
      <c r="A461" s="185" t="str">
        <f>IFERROR(__xludf.DUMMYFUNCTION("""COMPUTED_VALUE"""),"Agency directory / review marketplace")</f>
        <v>Agency directory / review marketplace</v>
      </c>
      <c r="B461" s="186" t="str">
        <f>IFERROR(__xludf.DUMMYFUNCTION("""COMPUTED_VALUE"""),"https://themanifest.com/au/social-media/tiktok/agencies")</f>
        <v>https://themanifest.com/au/social-media/tiktok/agencies</v>
      </c>
      <c r="C461" s="185" t="str">
        <f>IFERROR(__xludf.DUMMYFUNCTION("""COMPUTED_VALUE"""),"The Best TikTok Advertising Companies in Australia - Jul 2026 | The Manifest")</f>
        <v>The Best TikTok Advertising Companies in Australia - Jul 2026 | The Manifest</v>
      </c>
      <c r="D461" s="185" t="str">
        <f>IFERROR(__xludf.DUMMYFUNCTION("""COMPUTED_VALUE"""),"AU")</f>
        <v>AU</v>
      </c>
      <c r="E461" s="185" t="str">
        <f>IFERROR(__xludf.DUMMYFUNCTION("""COMPUTED_VALUE"""),"themanifest.com")</f>
        <v>themanifest.com</v>
      </c>
      <c r="F461" s="185" t="str">
        <f>IFERROR(__xludf.DUMMYFUNCTION("""COMPUTED_VALUE"""),"Listicle")</f>
        <v>Listicle</v>
      </c>
      <c r="G461" s="185" t="str">
        <f>IFERROR(__xludf.DUMMYFUNCTION("""COMPUTED_VALUE"""),"REFERENCE")</f>
        <v>REFERENCE</v>
      </c>
      <c r="H461" s="185" t="str">
        <f>IFERROR(__xludf.DUMMYFUNCTION("""COMPUTED_VALUE"""),"No")</f>
        <v>No</v>
      </c>
      <c r="I461" s="185" t="str">
        <f>IFERROR(__xludf.DUMMYFUNCTION("""COMPUTED_VALUE"""),"Medium")</f>
        <v>Medium</v>
      </c>
      <c r="J461" s="185" t="str">
        <f>IFERROR(__xludf.DUMMYFUNCTION("""COMPUTED_VALUE"""),"Yes")</f>
        <v>Yes</v>
      </c>
      <c r="K461" s="185" t="str">
        <f>IFERROR(__xludf.DUMMYFUNCTION("""COMPUTED_VALUE"""),"Digital Nomads HQ, Megaphone, Soup Agency, Paradox Marketing, Emote Digital, Bench Media, Salt &amp; Fuessel, Reform Digital")</f>
        <v>Digital Nomads HQ, Megaphone, Soup Agency, Paradox Marketing, Emote Digital, Bench Media, Salt &amp; Fuessel, Reform Digital</v>
      </c>
      <c r="L461" s="187">
        <f>IFERROR(__xludf.DUMMYFUNCTION("""COMPUTED_VALUE"""),2.0)</f>
        <v>2</v>
      </c>
      <c r="M461" s="188">
        <f>IFERROR(__xludf.DUMMYFUNCTION("""COMPUTED_VALUE"""),0.0)</f>
        <v>0</v>
      </c>
      <c r="N461" s="188">
        <f>IFERROR(__xludf.DUMMYFUNCTION("""COMPUTED_VALUE"""),0.0)</f>
        <v>0</v>
      </c>
      <c r="O461" s="208"/>
      <c r="P461" s="208"/>
      <c r="Q461" s="208"/>
      <c r="R461" s="208"/>
    </row>
    <row r="462">
      <c r="A462" s="185" t="str">
        <f>IFERROR(__xludf.DUMMYFUNCTION("""COMPUTED_VALUE"""),"Agency directory / review marketplace")</f>
        <v>Agency directory / review marketplace</v>
      </c>
      <c r="B462" s="186" t="str">
        <f>IFERROR(__xludf.DUMMYFUNCTION("""COMPUTED_VALUE"""),"https://www.10seos.com/au/display-advertising-companies-in-australia?page=16")</f>
        <v>https://www.10seos.com/au/display-advertising-companies-in-australia?page=16</v>
      </c>
      <c r="C462" s="185" t="str">
        <f>IFERROR(__xludf.DUMMYFUNCTION("""COMPUTED_VALUE"""),"Top 10 Display Advertising Companies For Best Services-Australia | July 2026")</f>
        <v>Top 10 Display Advertising Companies For Best Services-Australia | July 2026</v>
      </c>
      <c r="D462" s="185" t="str">
        <f>IFERROR(__xludf.DUMMYFUNCTION("""COMPUTED_VALUE"""),"AU")</f>
        <v>AU</v>
      </c>
      <c r="E462" s="185" t="str">
        <f>IFERROR(__xludf.DUMMYFUNCTION("""COMPUTED_VALUE"""),"10seos.com")</f>
        <v>10seos.com</v>
      </c>
      <c r="F462" s="185" t="str">
        <f>IFERROR(__xludf.DUMMYFUNCTION("""COMPUTED_VALUE"""),"Other")</f>
        <v>Other</v>
      </c>
      <c r="G462" s="185" t="str">
        <f>IFERROR(__xludf.DUMMYFUNCTION("""COMPUTED_VALUE"""),"REFERENCE")</f>
        <v>REFERENCE</v>
      </c>
      <c r="H462" s="185" t="str">
        <f>IFERROR(__xludf.DUMMYFUNCTION("""COMPUTED_VALUE"""),"No")</f>
        <v>No</v>
      </c>
      <c r="I462" s="185" t="str">
        <f>IFERROR(__xludf.DUMMYFUNCTION("""COMPUTED_VALUE"""),"Medium")</f>
        <v>Medium</v>
      </c>
      <c r="J462" s="185" t="str">
        <f>IFERROR(__xludf.DUMMYFUNCTION("""COMPUTED_VALUE"""),"Yes")</f>
        <v>Yes</v>
      </c>
      <c r="K462" s="185"/>
      <c r="L462" s="187">
        <f>IFERROR(__xludf.DUMMYFUNCTION("""COMPUTED_VALUE"""),1.0)</f>
        <v>1</v>
      </c>
      <c r="M462" s="188">
        <f>IFERROR(__xludf.DUMMYFUNCTION("""COMPUTED_VALUE"""),0.0)</f>
        <v>0</v>
      </c>
      <c r="N462" s="188">
        <f>IFERROR(__xludf.DUMMYFUNCTION("""COMPUTED_VALUE"""),0.0)</f>
        <v>0</v>
      </c>
      <c r="O462" s="208"/>
      <c r="P462" s="208"/>
      <c r="Q462" s="208"/>
      <c r="R462" s="208"/>
    </row>
    <row r="463">
      <c r="A463" s="185" t="str">
        <f>IFERROR(__xludf.DUMMYFUNCTION("""COMPUTED_VALUE"""),"Agency directory / review marketplace")</f>
        <v>Agency directory / review marketplace</v>
      </c>
      <c r="B463" s="186" t="str">
        <f>IFERROR(__xludf.DUMMYFUNCTION("""COMPUTED_VALUE"""),"https://www.10seos.com/au/display-advertising-companies-in-melbourne-australia")</f>
        <v>https://www.10seos.com/au/display-advertising-companies-in-melbourne-australia</v>
      </c>
      <c r="C463" s="185" t="str">
        <f>IFERROR(__xludf.DUMMYFUNCTION("""COMPUTED_VALUE"""),"Top 10 Display Advertising Companies For Best Services-Melbourne-Australia | July 2026")</f>
        <v>Top 10 Display Advertising Companies For Best Services-Melbourne-Australia | July 2026</v>
      </c>
      <c r="D463" s="185" t="str">
        <f>IFERROR(__xludf.DUMMYFUNCTION("""COMPUTED_VALUE"""),"AU")</f>
        <v>AU</v>
      </c>
      <c r="E463" s="185" t="str">
        <f>IFERROR(__xludf.DUMMYFUNCTION("""COMPUTED_VALUE"""),"10seos.com")</f>
        <v>10seos.com</v>
      </c>
      <c r="F463" s="185" t="str">
        <f>IFERROR(__xludf.DUMMYFUNCTION("""COMPUTED_VALUE"""),"Other")</f>
        <v>Other</v>
      </c>
      <c r="G463" s="185" t="str">
        <f>IFERROR(__xludf.DUMMYFUNCTION("""COMPUTED_VALUE"""),"REFERENCE")</f>
        <v>REFERENCE</v>
      </c>
      <c r="H463" s="185" t="str">
        <f>IFERROR(__xludf.DUMMYFUNCTION("""COMPUTED_VALUE"""),"No")</f>
        <v>No</v>
      </c>
      <c r="I463" s="185" t="str">
        <f>IFERROR(__xludf.DUMMYFUNCTION("""COMPUTED_VALUE"""),"Medium")</f>
        <v>Medium</v>
      </c>
      <c r="J463" s="185" t="str">
        <f>IFERROR(__xludf.DUMMYFUNCTION("""COMPUTED_VALUE"""),"Yes")</f>
        <v>Yes</v>
      </c>
      <c r="K463" s="185" t="str">
        <f>IFERROR(__xludf.DUMMYFUNCTION("""COMPUTED_VALUE"""),"eMarket Experts, Intesols")</f>
        <v>eMarket Experts, Intesols</v>
      </c>
      <c r="L463" s="187">
        <f>IFERROR(__xludf.DUMMYFUNCTION("""COMPUTED_VALUE"""),1.0)</f>
        <v>1</v>
      </c>
      <c r="M463" s="188">
        <f>IFERROR(__xludf.DUMMYFUNCTION("""COMPUTED_VALUE"""),0.0)</f>
        <v>0</v>
      </c>
      <c r="N463" s="188">
        <f>IFERROR(__xludf.DUMMYFUNCTION("""COMPUTED_VALUE"""),0.0)</f>
        <v>0</v>
      </c>
      <c r="O463" s="208"/>
      <c r="P463" s="208"/>
      <c r="Q463" s="208"/>
      <c r="R463" s="208"/>
    </row>
    <row r="464">
      <c r="A464" s="185" t="str">
        <f>IFERROR(__xludf.DUMMYFUNCTION("""COMPUTED_VALUE"""),"Industry data / software authority")</f>
        <v>Industry data / software authority</v>
      </c>
      <c r="B464" s="186" t="str">
        <f>IFERROR(__xludf.DUMMYFUNCTION("""COMPUTED_VALUE"""),"https://agencies.semrush.com/list/advertising/australia/mid-business/")</f>
        <v>https://agencies.semrush.com/list/advertising/australia/mid-business/</v>
      </c>
      <c r="C464" s="185" t="str">
        <f>IFERROR(__xludf.DUMMYFUNCTION("""COMPUTED_VALUE"""),"Best Advertising Agencies for Mid Business in Australia 2026 | Semrush")</f>
        <v>Best Advertising Agencies for Mid Business in Australia 2026 | Semrush</v>
      </c>
      <c r="D464" s="185" t="str">
        <f>IFERROR(__xludf.DUMMYFUNCTION("""COMPUTED_VALUE"""),"AU")</f>
        <v>AU</v>
      </c>
      <c r="E464" s="185" t="str">
        <f>IFERROR(__xludf.DUMMYFUNCTION("""COMPUTED_VALUE"""),"semrush.com")</f>
        <v>semrush.com</v>
      </c>
      <c r="F464" s="185" t="str">
        <f>IFERROR(__xludf.DUMMYFUNCTION("""COMPUTED_VALUE"""),"Category Page")</f>
        <v>Category Page</v>
      </c>
      <c r="G464" s="185" t="str">
        <f>IFERROR(__xludf.DUMMYFUNCTION("""COMPUTED_VALUE"""),"CORPORATE")</f>
        <v>CORPORATE</v>
      </c>
      <c r="H464" s="185" t="str">
        <f>IFERROR(__xludf.DUMMYFUNCTION("""COMPUTED_VALUE"""),"No")</f>
        <v>No</v>
      </c>
      <c r="I464" s="185" t="str">
        <f>IFERROR(__xludf.DUMMYFUNCTION("""COMPUTED_VALUE"""),"Medium")</f>
        <v>Medium</v>
      </c>
      <c r="J464" s="185" t="str">
        <f>IFERROR(__xludf.DUMMYFUNCTION("""COMPUTED_VALUE"""),"Yes")</f>
        <v>Yes</v>
      </c>
      <c r="K464" s="185" t="str">
        <f>IFERROR(__xludf.DUMMYFUNCTION("""COMPUTED_VALUE"""),"Edge Marketing, DNM Digital, Supple Digital, Soup Agency, Momentum, First Page, Clearwater Agency, Measured, Earned Media, Impressive, Online Marketing Gurus, Omnicom Media Group, Click Click Media, First Page Australia")</f>
        <v>Edge Marketing, DNM Digital, Supple Digital, Soup Agency, Momentum, First Page, Clearwater Agency, Measured, Earned Media, Impressive, Online Marketing Gurus, Omnicom Media Group, Click Click Media, First Page Australia</v>
      </c>
      <c r="L464" s="187">
        <f>IFERROR(__xludf.DUMMYFUNCTION("""COMPUTED_VALUE"""),1.0)</f>
        <v>1</v>
      </c>
      <c r="M464" s="188">
        <f>IFERROR(__xludf.DUMMYFUNCTION("""COMPUTED_VALUE"""),0.0)</f>
        <v>0</v>
      </c>
      <c r="N464" s="188">
        <f>IFERROR(__xludf.DUMMYFUNCTION("""COMPUTED_VALUE"""),1.0)</f>
        <v>1</v>
      </c>
      <c r="O464" s="208"/>
      <c r="P464" s="208"/>
      <c r="Q464" s="208"/>
      <c r="R464" s="208"/>
    </row>
    <row r="465">
      <c r="A465" s="185" t="str">
        <f>IFERROR(__xludf.DUMMYFUNCTION("""COMPUTED_VALUE"""),"Industry data / software authority")</f>
        <v>Industry data / software authority</v>
      </c>
      <c r="B465" s="186" t="str">
        <f>IFERROR(__xludf.DUMMYFUNCTION("""COMPUTED_VALUE"""),"https://agencies.semrush.com/list/ai-optimization/australia/enterprise-business/")</f>
        <v>https://agencies.semrush.com/list/ai-optimization/australia/enterprise-business/</v>
      </c>
      <c r="C465" s="185" t="str">
        <f>IFERROR(__xludf.DUMMYFUNCTION("""COMPUTED_VALUE"""),"Best AI Search Optimization Agencies for Enterprise Business in Australia 2026 | Semrush")</f>
        <v>Best AI Search Optimization Agencies for Enterprise Business in Australia 2026 | Semrush</v>
      </c>
      <c r="D465" s="185" t="str">
        <f>IFERROR(__xludf.DUMMYFUNCTION("""COMPUTED_VALUE"""),"AU")</f>
        <v>AU</v>
      </c>
      <c r="E465" s="185" t="str">
        <f>IFERROR(__xludf.DUMMYFUNCTION("""COMPUTED_VALUE"""),"semrush.com")</f>
        <v>semrush.com</v>
      </c>
      <c r="F465" s="185" t="str">
        <f>IFERROR(__xludf.DUMMYFUNCTION("""COMPUTED_VALUE"""),"Category Page")</f>
        <v>Category Page</v>
      </c>
      <c r="G465" s="185" t="str">
        <f>IFERROR(__xludf.DUMMYFUNCTION("""COMPUTED_VALUE"""),"CORPORATE")</f>
        <v>CORPORATE</v>
      </c>
      <c r="H465" s="185" t="str">
        <f>IFERROR(__xludf.DUMMYFUNCTION("""COMPUTED_VALUE"""),"No")</f>
        <v>No</v>
      </c>
      <c r="I465" s="185" t="str">
        <f>IFERROR(__xludf.DUMMYFUNCTION("""COMPUTED_VALUE"""),"Medium")</f>
        <v>Medium</v>
      </c>
      <c r="J465" s="185" t="str">
        <f>IFERROR(__xludf.DUMMYFUNCTION("""COMPUTED_VALUE"""),"Yes")</f>
        <v>Yes</v>
      </c>
      <c r="K465" s="185" t="str">
        <f>IFERROR(__xludf.DUMMYFUNCTION("""COMPUTED_VALUE"""),"DNM Digital, First Page, Clearwater Agency, Measured, Earned Media, Online Marketing Gurus, Omnicom Media Group, Huge")</f>
        <v>DNM Digital, First Page, Clearwater Agency, Measured, Earned Media, Online Marketing Gurus, Omnicom Media Group, Huge</v>
      </c>
      <c r="L465" s="187">
        <f>IFERROR(__xludf.DUMMYFUNCTION("""COMPUTED_VALUE"""),1.0)</f>
        <v>1</v>
      </c>
      <c r="M465" s="188">
        <f>IFERROR(__xludf.DUMMYFUNCTION("""COMPUTED_VALUE"""),0.0)</f>
        <v>0</v>
      </c>
      <c r="N465" s="188">
        <f>IFERROR(__xludf.DUMMYFUNCTION("""COMPUTED_VALUE"""),0.0)</f>
        <v>0</v>
      </c>
      <c r="O465" s="208"/>
      <c r="P465" s="208"/>
      <c r="Q465" s="208"/>
      <c r="R465" s="208"/>
    </row>
    <row r="466">
      <c r="A466" s="185" t="str">
        <f>IFERROR(__xludf.DUMMYFUNCTION("""COMPUTED_VALUE"""),"Industry data / software authority")</f>
        <v>Industry data / software authority</v>
      </c>
      <c r="B466" s="186" t="str">
        <f>IFERROR(__xludf.DUMMYFUNCTION("""COMPUTED_VALUE"""),"https://agencies.semrush.com/list/ai-optimization/melbourne/")</f>
        <v>https://agencies.semrush.com/list/ai-optimization/melbourne/</v>
      </c>
      <c r="C466" s="185" t="str">
        <f>IFERROR(__xludf.DUMMYFUNCTION("""COMPUTED_VALUE"""),"Best AI Search Optimization Agencies in Melbourne 2026 | Semrush")</f>
        <v>Best AI Search Optimization Agencies in Melbourne 2026 | Semrush</v>
      </c>
      <c r="D466" s="185" t="str">
        <f>IFERROR(__xludf.DUMMYFUNCTION("""COMPUTED_VALUE"""),"AU")</f>
        <v>AU</v>
      </c>
      <c r="E466" s="185" t="str">
        <f>IFERROR(__xludf.DUMMYFUNCTION("""COMPUTED_VALUE"""),"semrush.com")</f>
        <v>semrush.com</v>
      </c>
      <c r="F466" s="185" t="str">
        <f>IFERROR(__xludf.DUMMYFUNCTION("""COMPUTED_VALUE"""),"Category Page")</f>
        <v>Category Page</v>
      </c>
      <c r="G466" s="185" t="str">
        <f>IFERROR(__xludf.DUMMYFUNCTION("""COMPUTED_VALUE"""),"CORPORATE")</f>
        <v>CORPORATE</v>
      </c>
      <c r="H466" s="185" t="str">
        <f>IFERROR(__xludf.DUMMYFUNCTION("""COMPUTED_VALUE"""),"No")</f>
        <v>No</v>
      </c>
      <c r="I466" s="185" t="str">
        <f>IFERROR(__xludf.DUMMYFUNCTION("""COMPUTED_VALUE"""),"Medium")</f>
        <v>Medium</v>
      </c>
      <c r="J466" s="185" t="str">
        <f>IFERROR(__xludf.DUMMYFUNCTION("""COMPUTED_VALUE"""),"Yes")</f>
        <v>Yes</v>
      </c>
      <c r="K466" s="185" t="str">
        <f>IFERROR(__xludf.DUMMYFUNCTION("""COMPUTED_VALUE"""),"First Page, Clearwater Agency, Measured, Earned Media, Online Marketing Gurus, Omnicom Media Group, Edge Marketing, DNM Digital")</f>
        <v>First Page, Clearwater Agency, Measured, Earned Media, Online Marketing Gurus, Omnicom Media Group, Edge Marketing, DNM Digital</v>
      </c>
      <c r="L466" s="187">
        <f>IFERROR(__xludf.DUMMYFUNCTION("""COMPUTED_VALUE"""),1.0)</f>
        <v>1</v>
      </c>
      <c r="M466" s="188">
        <f>IFERROR(__xludf.DUMMYFUNCTION("""COMPUTED_VALUE"""),0.0)</f>
        <v>0</v>
      </c>
      <c r="N466" s="188">
        <f>IFERROR(__xludf.DUMMYFUNCTION("""COMPUTED_VALUE"""),0.0)</f>
        <v>0</v>
      </c>
      <c r="O466" s="208"/>
      <c r="P466" s="208"/>
      <c r="Q466" s="208"/>
      <c r="R466" s="208"/>
    </row>
    <row r="467">
      <c r="A467" s="185" t="str">
        <f>IFERROR(__xludf.DUMMYFUNCTION("""COMPUTED_VALUE"""),"Industry data / software authority")</f>
        <v>Industry data / software authority</v>
      </c>
      <c r="B467" s="186" t="str">
        <f>IFERROR(__xludf.DUMMYFUNCTION("""COMPUTED_VALUE"""),"https://agencies.semrush.com/list/analytics-data-science/arts-entertainment/australia/")</f>
        <v>https://agencies.semrush.com/list/analytics-data-science/arts-entertainment/australia/</v>
      </c>
      <c r="C467" s="185" t="str">
        <f>IFERROR(__xludf.DUMMYFUNCTION("""COMPUTED_VALUE"""),"Best Media &amp;amp; Entertainment Data Analytics Services in Australia 2026 | Semrush")</f>
        <v>Best Media &amp;amp; Entertainment Data Analytics Services in Australia 2026 | Semrush</v>
      </c>
      <c r="D467" s="185" t="str">
        <f>IFERROR(__xludf.DUMMYFUNCTION("""COMPUTED_VALUE"""),"AU")</f>
        <v>AU</v>
      </c>
      <c r="E467" s="185" t="str">
        <f>IFERROR(__xludf.DUMMYFUNCTION("""COMPUTED_VALUE"""),"semrush.com")</f>
        <v>semrush.com</v>
      </c>
      <c r="F467" s="185" t="str">
        <f>IFERROR(__xludf.DUMMYFUNCTION("""COMPUTED_VALUE"""),"Other")</f>
        <v>Other</v>
      </c>
      <c r="G467" s="185" t="str">
        <f>IFERROR(__xludf.DUMMYFUNCTION("""COMPUTED_VALUE"""),"CORPORATE")</f>
        <v>CORPORATE</v>
      </c>
      <c r="H467" s="185" t="str">
        <f>IFERROR(__xludf.DUMMYFUNCTION("""COMPUTED_VALUE"""),"No")</f>
        <v>No</v>
      </c>
      <c r="I467" s="185" t="str">
        <f>IFERROR(__xludf.DUMMYFUNCTION("""COMPUTED_VALUE"""),"Medium")</f>
        <v>Medium</v>
      </c>
      <c r="J467" s="185" t="str">
        <f>IFERROR(__xludf.DUMMYFUNCTION("""COMPUTED_VALUE"""),"Yes")</f>
        <v>Yes</v>
      </c>
      <c r="K467" s="185" t="str">
        <f>IFERROR(__xludf.DUMMYFUNCTION("""COMPUTED_VALUE"""),"Soup Agency, First Page, Online Marketing Gurus, Omnicom Media Group, 80/20 Digital, Earned Media")</f>
        <v>Soup Agency, First Page, Online Marketing Gurus, Omnicom Media Group, 80/20 Digital, Earned Media</v>
      </c>
      <c r="L467" s="187">
        <f>IFERROR(__xludf.DUMMYFUNCTION("""COMPUTED_VALUE"""),1.0)</f>
        <v>1</v>
      </c>
      <c r="M467" s="188">
        <f>IFERROR(__xludf.DUMMYFUNCTION("""COMPUTED_VALUE"""),0.0)</f>
        <v>0</v>
      </c>
      <c r="N467" s="188">
        <f>IFERROR(__xludf.DUMMYFUNCTION("""COMPUTED_VALUE"""),0.0)</f>
        <v>0</v>
      </c>
      <c r="O467" s="208"/>
      <c r="P467" s="208"/>
      <c r="Q467" s="208"/>
      <c r="R467" s="208"/>
    </row>
    <row r="468">
      <c r="A468" s="185" t="str">
        <f>IFERROR(__xludf.DUMMYFUNCTION("""COMPUTED_VALUE"""),"Industry data / software authority")</f>
        <v>Industry data / software authority</v>
      </c>
      <c r="B468" s="186" t="str">
        <f>IFERROR(__xludf.DUMMYFUNCTION("""COMPUTED_VALUE"""),"https://agencies.semrush.com/list/analytics-data-science/sydney/")</f>
        <v>https://agencies.semrush.com/list/analytics-data-science/sydney/</v>
      </c>
      <c r="C468" s="185" t="str">
        <f>IFERROR(__xludf.DUMMYFUNCTION("""COMPUTED_VALUE"""),"Best Data Analytics Services in Sydney 2026 | Semrush")</f>
        <v>Best Data Analytics Services in Sydney 2026 | Semrush</v>
      </c>
      <c r="D468" s="185" t="str">
        <f>IFERROR(__xludf.DUMMYFUNCTION("""COMPUTED_VALUE"""),"AU")</f>
        <v>AU</v>
      </c>
      <c r="E468" s="185" t="str">
        <f>IFERROR(__xludf.DUMMYFUNCTION("""COMPUTED_VALUE"""),"semrush.com")</f>
        <v>semrush.com</v>
      </c>
      <c r="F468" s="185" t="str">
        <f>IFERROR(__xludf.DUMMYFUNCTION("""COMPUTED_VALUE"""),"Category Page")</f>
        <v>Category Page</v>
      </c>
      <c r="G468" s="185" t="str">
        <f>IFERROR(__xludf.DUMMYFUNCTION("""COMPUTED_VALUE"""),"CORPORATE")</f>
        <v>CORPORATE</v>
      </c>
      <c r="H468" s="185" t="str">
        <f>IFERROR(__xludf.DUMMYFUNCTION("""COMPUTED_VALUE"""),"No")</f>
        <v>No</v>
      </c>
      <c r="I468" s="185" t="str">
        <f>IFERROR(__xludf.DUMMYFUNCTION("""COMPUTED_VALUE"""),"Medium")</f>
        <v>Medium</v>
      </c>
      <c r="J468" s="185" t="str">
        <f>IFERROR(__xludf.DUMMYFUNCTION("""COMPUTED_VALUE"""),"Yes")</f>
        <v>Yes</v>
      </c>
      <c r="K468" s="185" t="str">
        <f>IFERROR(__xludf.DUMMYFUNCTION("""COMPUTED_VALUE"""),"Soup Agency, Online Marketing Gurus, Omnicom Media Group, Click Click Media, Earned Media, Clearwater Agency, Huge, First Page, Measured, Impressive, 80/20 Digital")</f>
        <v>Soup Agency, Online Marketing Gurus, Omnicom Media Group, Click Click Media, Earned Media, Clearwater Agency, Huge, First Page, Measured, Impressive, 80/20 Digital</v>
      </c>
      <c r="L468" s="187">
        <f>IFERROR(__xludf.DUMMYFUNCTION("""COMPUTED_VALUE"""),1.0)</f>
        <v>1</v>
      </c>
      <c r="M468" s="188">
        <f>IFERROR(__xludf.DUMMYFUNCTION("""COMPUTED_VALUE"""),0.0)</f>
        <v>0</v>
      </c>
      <c r="N468" s="188">
        <f>IFERROR(__xludf.DUMMYFUNCTION("""COMPUTED_VALUE"""),0.0)</f>
        <v>0</v>
      </c>
      <c r="O468" s="208"/>
      <c r="P468" s="208"/>
      <c r="Q468" s="208"/>
      <c r="R468" s="208"/>
    </row>
    <row r="469">
      <c r="A469" s="185" t="str">
        <f>IFERROR(__xludf.DUMMYFUNCTION("""COMPUTED_VALUE"""),"Industry data / software authority")</f>
        <v>Industry data / software authority</v>
      </c>
      <c r="B469" s="186" t="str">
        <f>IFERROR(__xludf.DUMMYFUNCTION("""COMPUTED_VALUE"""),"https://agencies.semrush.com/list/display-advertising/business-professional-services/australia/")</f>
        <v>https://agencies.semrush.com/list/display-advertising/business-professional-services/australia/</v>
      </c>
      <c r="C469" s="185" t="str">
        <f>IFERROR(__xludf.DUMMYFUNCTION("""COMPUTED_VALUE"""),"Best B2B Services Display Ads Agencies in Australia 2026 | Semrush")</f>
        <v>Best B2B Services Display Ads Agencies in Australia 2026 | Semrush</v>
      </c>
      <c r="D469" s="185" t="str">
        <f>IFERROR(__xludf.DUMMYFUNCTION("""COMPUTED_VALUE"""),"AU")</f>
        <v>AU</v>
      </c>
      <c r="E469" s="185" t="str">
        <f>IFERROR(__xludf.DUMMYFUNCTION("""COMPUTED_VALUE"""),"semrush.com")</f>
        <v>semrush.com</v>
      </c>
      <c r="F469" s="185" t="str">
        <f>IFERROR(__xludf.DUMMYFUNCTION("""COMPUTED_VALUE"""),"Category Page")</f>
        <v>Category Page</v>
      </c>
      <c r="G469" s="185" t="str">
        <f>IFERROR(__xludf.DUMMYFUNCTION("""COMPUTED_VALUE"""),"CORPORATE")</f>
        <v>CORPORATE</v>
      </c>
      <c r="H469" s="185" t="str">
        <f>IFERROR(__xludf.DUMMYFUNCTION("""COMPUTED_VALUE"""),"No")</f>
        <v>No</v>
      </c>
      <c r="I469" s="185" t="str">
        <f>IFERROR(__xludf.DUMMYFUNCTION("""COMPUTED_VALUE"""),"Medium")</f>
        <v>Medium</v>
      </c>
      <c r="J469" s="185" t="str">
        <f>IFERROR(__xludf.DUMMYFUNCTION("""COMPUTED_VALUE"""),"Yes")</f>
        <v>Yes</v>
      </c>
      <c r="K469" s="185" t="str">
        <f>IFERROR(__xludf.DUMMYFUNCTION("""COMPUTED_VALUE"""),"Soup Agency, First Page, Clearwater Agency, Measured, Earned Media, Impressive, Online Marketing Gurus, Omnicom Media Group, First Page Australia, 80/20 Digital, Megaphone, Bonfire")</f>
        <v>Soup Agency, First Page, Clearwater Agency, Measured, Earned Media, Impressive, Online Marketing Gurus, Omnicom Media Group, First Page Australia, 80/20 Digital, Megaphone, Bonfire</v>
      </c>
      <c r="L469" s="187">
        <f>IFERROR(__xludf.DUMMYFUNCTION("""COMPUTED_VALUE"""),1.0)</f>
        <v>1</v>
      </c>
      <c r="M469" s="188">
        <f>IFERROR(__xludf.DUMMYFUNCTION("""COMPUTED_VALUE"""),0.0)</f>
        <v>0</v>
      </c>
      <c r="N469" s="188">
        <f>IFERROR(__xludf.DUMMYFUNCTION("""COMPUTED_VALUE"""),0.0)</f>
        <v>0</v>
      </c>
      <c r="O469" s="208"/>
      <c r="P469" s="208"/>
      <c r="Q469" s="208"/>
      <c r="R469" s="208"/>
    </row>
    <row r="470">
      <c r="A470" s="185" t="str">
        <f>IFERROR(__xludf.DUMMYFUNCTION("""COMPUTED_VALUE"""),"Industry data / software authority")</f>
        <v>Industry data / software authority</v>
      </c>
      <c r="B470" s="186" t="str">
        <f>IFERROR(__xludf.DUMMYFUNCTION("""COMPUTED_VALUE"""),"https://agencies.semrush.com/list/display-advertising/canberra/")</f>
        <v>https://agencies.semrush.com/list/display-advertising/canberra/</v>
      </c>
      <c r="C470" s="185" t="str">
        <f>IFERROR(__xludf.DUMMYFUNCTION("""COMPUTED_VALUE"""),"Best Display Ads Agencies in Canberra 2026 | Semrush")</f>
        <v>Best Display Ads Agencies in Canberra 2026 | Semrush</v>
      </c>
      <c r="D470" s="185" t="str">
        <f>IFERROR(__xludf.DUMMYFUNCTION("""COMPUTED_VALUE"""),"AU")</f>
        <v>AU</v>
      </c>
      <c r="E470" s="185" t="str">
        <f>IFERROR(__xludf.DUMMYFUNCTION("""COMPUTED_VALUE"""),"semrush.com")</f>
        <v>semrush.com</v>
      </c>
      <c r="F470" s="185" t="str">
        <f>IFERROR(__xludf.DUMMYFUNCTION("""COMPUTED_VALUE"""),"Other")</f>
        <v>Other</v>
      </c>
      <c r="G470" s="185" t="str">
        <f>IFERROR(__xludf.DUMMYFUNCTION("""COMPUTED_VALUE"""),"CORPORATE")</f>
        <v>CORPORATE</v>
      </c>
      <c r="H470" s="185" t="str">
        <f>IFERROR(__xludf.DUMMYFUNCTION("""COMPUTED_VALUE"""),"No")</f>
        <v>No</v>
      </c>
      <c r="I470" s="185" t="str">
        <f>IFERROR(__xludf.DUMMYFUNCTION("""COMPUTED_VALUE"""),"Medium")</f>
        <v>Medium</v>
      </c>
      <c r="J470" s="185" t="str">
        <f>IFERROR(__xludf.DUMMYFUNCTION("""COMPUTED_VALUE"""),"Yes")</f>
        <v>Yes</v>
      </c>
      <c r="K470" s="185" t="str">
        <f>IFERROR(__xludf.DUMMYFUNCTION("""COMPUTED_VALUE"""),"Soup Agency, First Page, Clearwater Agency, Measured, Earned Media, Impressive, Online Marketing Gurus, Omnicom Media Group, Click Click Media, First Page Australia")</f>
        <v>Soup Agency, First Page, Clearwater Agency, Measured, Earned Media, Impressive, Online Marketing Gurus, Omnicom Media Group, Click Click Media, First Page Australia</v>
      </c>
      <c r="L470" s="187">
        <f>IFERROR(__xludf.DUMMYFUNCTION("""COMPUTED_VALUE"""),1.0)</f>
        <v>1</v>
      </c>
      <c r="M470" s="188">
        <f>IFERROR(__xludf.DUMMYFUNCTION("""COMPUTED_VALUE"""),0.0)</f>
        <v>0</v>
      </c>
      <c r="N470" s="188">
        <f>IFERROR(__xludf.DUMMYFUNCTION("""COMPUTED_VALUE"""),0.0)</f>
        <v>0</v>
      </c>
      <c r="O470" s="208"/>
      <c r="P470" s="208"/>
      <c r="Q470" s="208"/>
      <c r="R470" s="208"/>
    </row>
    <row r="471">
      <c r="A471" s="185" t="str">
        <f>IFERROR(__xludf.DUMMYFUNCTION("""COMPUTED_VALUE"""),"Industry data / software authority")</f>
        <v>Industry data / software authority</v>
      </c>
      <c r="B471" s="186" t="str">
        <f>IFERROR(__xludf.DUMMYFUNCTION("""COMPUTED_VALUE"""),"https://agencies.semrush.com/list/enterprise-business/australia/")</f>
        <v>https://agencies.semrush.com/list/enterprise-business/australia/</v>
      </c>
      <c r="C471" s="185" t="str">
        <f>IFERROR(__xludf.DUMMYFUNCTION("""COMPUTED_VALUE"""),"Best Digital Marketing Agencies for Enterprise Business in Australia 2026 | Semrush")</f>
        <v>Best Digital Marketing Agencies for Enterprise Business in Australia 2026 | Semrush</v>
      </c>
      <c r="D471" s="185" t="str">
        <f>IFERROR(__xludf.DUMMYFUNCTION("""COMPUTED_VALUE"""),"AU")</f>
        <v>AU</v>
      </c>
      <c r="E471" s="185" t="str">
        <f>IFERROR(__xludf.DUMMYFUNCTION("""COMPUTED_VALUE"""),"semrush.com")</f>
        <v>semrush.com</v>
      </c>
      <c r="F471" s="185" t="str">
        <f>IFERROR(__xludf.DUMMYFUNCTION("""COMPUTED_VALUE"""),"Category Page")</f>
        <v>Category Page</v>
      </c>
      <c r="G471" s="185" t="str">
        <f>IFERROR(__xludf.DUMMYFUNCTION("""COMPUTED_VALUE"""),"CORPORATE")</f>
        <v>CORPORATE</v>
      </c>
      <c r="H471" s="185" t="str">
        <f>IFERROR(__xludf.DUMMYFUNCTION("""COMPUTED_VALUE"""),"No")</f>
        <v>No</v>
      </c>
      <c r="I471" s="185" t="str">
        <f>IFERROR(__xludf.DUMMYFUNCTION("""COMPUTED_VALUE"""),"Medium")</f>
        <v>Medium</v>
      </c>
      <c r="J471" s="185" t="str">
        <f>IFERROR(__xludf.DUMMYFUNCTION("""COMPUTED_VALUE"""),"Yes")</f>
        <v>Yes</v>
      </c>
      <c r="K471" s="185" t="str">
        <f>IFERROR(__xludf.DUMMYFUNCTION("""COMPUTED_VALUE"""),"Supple Digital, DNM Digital, Soup Agency, First Page, Clearwater Agency, Measured, Earned Media, Impressive, Online Marketing Gurus, Omnicom Media Group, Human Digital, Click Click Media, StudioHawk, First Page Australia")</f>
        <v>Supple Digital, DNM Digital, Soup Agency, First Page, Clearwater Agency, Measured, Earned Media, Impressive, Online Marketing Gurus, Omnicom Media Group, Human Digital, Click Click Media, StudioHawk, First Page Australia</v>
      </c>
      <c r="L471" s="187">
        <f>IFERROR(__xludf.DUMMYFUNCTION("""COMPUTED_VALUE"""),1.0)</f>
        <v>1</v>
      </c>
      <c r="M471" s="188">
        <f>IFERROR(__xludf.DUMMYFUNCTION("""COMPUTED_VALUE"""),0.0)</f>
        <v>0</v>
      </c>
      <c r="N471" s="188">
        <f>IFERROR(__xludf.DUMMYFUNCTION("""COMPUTED_VALUE"""),0.0)</f>
        <v>0</v>
      </c>
      <c r="O471" s="208"/>
      <c r="P471" s="208"/>
      <c r="Q471" s="208"/>
      <c r="R471" s="208"/>
    </row>
    <row r="472">
      <c r="A472" s="185" t="str">
        <f>IFERROR(__xludf.DUMMYFUNCTION("""COMPUTED_VALUE"""),"Industry data / software authority")</f>
        <v>Industry data / software authority</v>
      </c>
      <c r="B472" s="186" t="str">
        <f>IFERROR(__xludf.DUMMYFUNCTION("""COMPUTED_VALUE"""),"https://agencies.semrush.com/list/market-analysis/australia/")</f>
        <v>https://agencies.semrush.com/list/market-analysis/australia/</v>
      </c>
      <c r="C472" s="185" t="str">
        <f>IFERROR(__xludf.DUMMYFUNCTION("""COMPUTED_VALUE"""),"Best Market Research Companies in Australia 2026 | Semrush")</f>
        <v>Best Market Research Companies in Australia 2026 | Semrush</v>
      </c>
      <c r="D472" s="185" t="str">
        <f>IFERROR(__xludf.DUMMYFUNCTION("""COMPUTED_VALUE"""),"AU")</f>
        <v>AU</v>
      </c>
      <c r="E472" s="185" t="str">
        <f>IFERROR(__xludf.DUMMYFUNCTION("""COMPUTED_VALUE"""),"semrush.com")</f>
        <v>semrush.com</v>
      </c>
      <c r="F472" s="185" t="str">
        <f>IFERROR(__xludf.DUMMYFUNCTION("""COMPUTED_VALUE"""),"Category Page")</f>
        <v>Category Page</v>
      </c>
      <c r="G472" s="185" t="str">
        <f>IFERROR(__xludf.DUMMYFUNCTION("""COMPUTED_VALUE"""),"CORPORATE")</f>
        <v>CORPORATE</v>
      </c>
      <c r="H472" s="185" t="str">
        <f>IFERROR(__xludf.DUMMYFUNCTION("""COMPUTED_VALUE"""),"No")</f>
        <v>No</v>
      </c>
      <c r="I472" s="185" t="str">
        <f>IFERROR(__xludf.DUMMYFUNCTION("""COMPUTED_VALUE"""),"Medium")</f>
        <v>Medium</v>
      </c>
      <c r="J472" s="185" t="str">
        <f>IFERROR(__xludf.DUMMYFUNCTION("""COMPUTED_VALUE"""),"Yes")</f>
        <v>Yes</v>
      </c>
      <c r="K472" s="185" t="str">
        <f>IFERROR(__xludf.DUMMYFUNCTION("""COMPUTED_VALUE"""),"Soup Agency, First Page, Clearwater Agency, Measured, Earned Media, Impressive, Online Marketing Gurus, Omnicom Media Group, Human Digital, Click Click Media, 80/20 Digital, Salt &amp; Fuessel, Megaphone")</f>
        <v>Soup Agency, First Page, Clearwater Agency, Measured, Earned Media, Impressive, Online Marketing Gurus, Omnicom Media Group, Human Digital, Click Click Media, 80/20 Digital, Salt &amp; Fuessel, Megaphone</v>
      </c>
      <c r="L472" s="187">
        <f>IFERROR(__xludf.DUMMYFUNCTION("""COMPUTED_VALUE"""),1.0)</f>
        <v>1</v>
      </c>
      <c r="M472" s="188">
        <f>IFERROR(__xludf.DUMMYFUNCTION("""COMPUTED_VALUE"""),0.0)</f>
        <v>0</v>
      </c>
      <c r="N472" s="188">
        <f>IFERROR(__xludf.DUMMYFUNCTION("""COMPUTED_VALUE"""),1.0)</f>
        <v>1</v>
      </c>
      <c r="O472" s="208"/>
      <c r="P472" s="208"/>
      <c r="Q472" s="208"/>
      <c r="R472" s="208"/>
    </row>
    <row r="473">
      <c r="A473" s="185" t="str">
        <f>IFERROR(__xludf.DUMMYFUNCTION("""COMPUTED_VALUE"""),"Industry data / software authority")</f>
        <v>Industry data / software authority</v>
      </c>
      <c r="B473" s="186" t="str">
        <f>IFERROR(__xludf.DUMMYFUNCTION("""COMPUTED_VALUE"""),"https://agencies.semrush.com/list/ppc/brisbane/")</f>
        <v>https://agencies.semrush.com/list/ppc/brisbane/</v>
      </c>
      <c r="C473" s="185" t="str">
        <f>IFERROR(__xludf.DUMMYFUNCTION("""COMPUTED_VALUE"""),"Best PPC Agencies in Brisbane 2026 | Semrush")</f>
        <v>Best PPC Agencies in Brisbane 2026 | Semrush</v>
      </c>
      <c r="D473" s="185" t="str">
        <f>IFERROR(__xludf.DUMMYFUNCTION("""COMPUTED_VALUE"""),"AU")</f>
        <v>AU</v>
      </c>
      <c r="E473" s="185" t="str">
        <f>IFERROR(__xludf.DUMMYFUNCTION("""COMPUTED_VALUE"""),"semrush.com")</f>
        <v>semrush.com</v>
      </c>
      <c r="F473" s="185" t="str">
        <f>IFERROR(__xludf.DUMMYFUNCTION("""COMPUTED_VALUE"""),"Category Page")</f>
        <v>Category Page</v>
      </c>
      <c r="G473" s="185" t="str">
        <f>IFERROR(__xludf.DUMMYFUNCTION("""COMPUTED_VALUE"""),"CORPORATE")</f>
        <v>CORPORATE</v>
      </c>
      <c r="H473" s="185" t="str">
        <f>IFERROR(__xludf.DUMMYFUNCTION("""COMPUTED_VALUE"""),"No")</f>
        <v>No</v>
      </c>
      <c r="I473" s="185" t="str">
        <f>IFERROR(__xludf.DUMMYFUNCTION("""COMPUTED_VALUE"""),"Medium")</f>
        <v>Medium</v>
      </c>
      <c r="J473" s="185" t="str">
        <f>IFERROR(__xludf.DUMMYFUNCTION("""COMPUTED_VALUE"""),"Yes")</f>
        <v>Yes</v>
      </c>
      <c r="K473" s="185" t="str">
        <f>IFERROR(__xludf.DUMMYFUNCTION("""COMPUTED_VALUE"""),"Edge Marketing, Supple Digital, Soup Agency, Momentum, DNM Digital, First Page, Clearwater Agency, Measured, Earned Media, Impressive")</f>
        <v>Edge Marketing, Supple Digital, Soup Agency, Momentum, DNM Digital, First Page, Clearwater Agency, Measured, Earned Media, Impressive</v>
      </c>
      <c r="L473" s="187">
        <f>IFERROR(__xludf.DUMMYFUNCTION("""COMPUTED_VALUE"""),1.0)</f>
        <v>1</v>
      </c>
      <c r="M473" s="188">
        <f>IFERROR(__xludf.DUMMYFUNCTION("""COMPUTED_VALUE"""),0.0)</f>
        <v>0</v>
      </c>
      <c r="N473" s="188">
        <f>IFERROR(__xludf.DUMMYFUNCTION("""COMPUTED_VALUE"""),0.0)</f>
        <v>0</v>
      </c>
      <c r="O473" s="208"/>
      <c r="P473" s="208"/>
      <c r="Q473" s="208"/>
      <c r="R473" s="208"/>
    </row>
    <row r="474">
      <c r="A474" s="185" t="str">
        <f>IFERROR(__xludf.DUMMYFUNCTION("""COMPUTED_VALUE"""),"Industry data / software authority")</f>
        <v>Industry data / software authority</v>
      </c>
      <c r="B474" s="186" t="str">
        <f>IFERROR(__xludf.DUMMYFUNCTION("""COMPUTED_VALUE"""),"https://agencies.semrush.com/list/ppc/melbourne/")</f>
        <v>https://agencies.semrush.com/list/ppc/melbourne/</v>
      </c>
      <c r="C474" s="185" t="str">
        <f>IFERROR(__xludf.DUMMYFUNCTION("""COMPUTED_VALUE"""),"Best PPC Agencies in Melbourne 2026 | Semrush")</f>
        <v>Best PPC Agencies in Melbourne 2026 | Semrush</v>
      </c>
      <c r="D474" s="185" t="str">
        <f>IFERROR(__xludf.DUMMYFUNCTION("""COMPUTED_VALUE"""),"AU")</f>
        <v>AU</v>
      </c>
      <c r="E474" s="185" t="str">
        <f>IFERROR(__xludf.DUMMYFUNCTION("""COMPUTED_VALUE"""),"semrush.com")</f>
        <v>semrush.com</v>
      </c>
      <c r="F474" s="185" t="str">
        <f>IFERROR(__xludf.DUMMYFUNCTION("""COMPUTED_VALUE"""),"Category Page")</f>
        <v>Category Page</v>
      </c>
      <c r="G474" s="185" t="str">
        <f>IFERROR(__xludf.DUMMYFUNCTION("""COMPUTED_VALUE"""),"CORPORATE")</f>
        <v>CORPORATE</v>
      </c>
      <c r="H474" s="185" t="str">
        <f>IFERROR(__xludf.DUMMYFUNCTION("""COMPUTED_VALUE"""),"No")</f>
        <v>No</v>
      </c>
      <c r="I474" s="185" t="str">
        <f>IFERROR(__xludf.DUMMYFUNCTION("""COMPUTED_VALUE"""),"Medium")</f>
        <v>Medium</v>
      </c>
      <c r="J474" s="185" t="str">
        <f>IFERROR(__xludf.DUMMYFUNCTION("""COMPUTED_VALUE"""),"Yes")</f>
        <v>Yes</v>
      </c>
      <c r="K474" s="185" t="str">
        <f>IFERROR(__xludf.DUMMYFUNCTION("""COMPUTED_VALUE"""),"Supple Digital, Soup Agency, First Page, Clearwater Agency, Measured, Earned Media, Impressive, Online Marketing Gurus, Omnicom Media Group, First Page Australia, 80/20 Digital, Salt &amp; Fuessel, Megaphone, Bonfire")</f>
        <v>Supple Digital, Soup Agency, First Page, Clearwater Agency, Measured, Earned Media, Impressive, Online Marketing Gurus, Omnicom Media Group, First Page Australia, 80/20 Digital, Salt &amp; Fuessel, Megaphone, Bonfire</v>
      </c>
      <c r="L474" s="187">
        <f>IFERROR(__xludf.DUMMYFUNCTION("""COMPUTED_VALUE"""),1.0)</f>
        <v>1</v>
      </c>
      <c r="M474" s="188">
        <f>IFERROR(__xludf.DUMMYFUNCTION("""COMPUTED_VALUE"""),0.0)</f>
        <v>0</v>
      </c>
      <c r="N474" s="188">
        <f>IFERROR(__xludf.DUMMYFUNCTION("""COMPUTED_VALUE"""),0.0)</f>
        <v>0</v>
      </c>
      <c r="O474" s="208"/>
      <c r="P474" s="208"/>
      <c r="Q474" s="208"/>
      <c r="R474" s="208"/>
    </row>
    <row r="475">
      <c r="A475" s="185" t="str">
        <f>IFERROR(__xludf.DUMMYFUNCTION("""COMPUTED_VALUE"""),"Industry data / software authority")</f>
        <v>Industry data / software authority</v>
      </c>
      <c r="B475" s="186" t="str">
        <f>IFERROR(__xludf.DUMMYFUNCTION("""COMPUTED_VALUE"""),"https://agencies.semrush.com/list/programmatic-advertising/australia/mid-business/")</f>
        <v>https://agencies.semrush.com/list/programmatic-advertising/australia/mid-business/</v>
      </c>
      <c r="C475" s="185" t="str">
        <f>IFERROR(__xludf.DUMMYFUNCTION("""COMPUTED_VALUE"""),"Best Programmatic Advertising Agencies for Mid Business in Australia 2026 | Semrush")</f>
        <v>Best Programmatic Advertising Agencies for Mid Business in Australia 2026 | Semrush</v>
      </c>
      <c r="D475" s="185" t="str">
        <f>IFERROR(__xludf.DUMMYFUNCTION("""COMPUTED_VALUE"""),"AU")</f>
        <v>AU</v>
      </c>
      <c r="E475" s="185" t="str">
        <f>IFERROR(__xludf.DUMMYFUNCTION("""COMPUTED_VALUE"""),"semrush.com")</f>
        <v>semrush.com</v>
      </c>
      <c r="F475" s="185" t="str">
        <f>IFERROR(__xludf.DUMMYFUNCTION("""COMPUTED_VALUE"""),"Category Page")</f>
        <v>Category Page</v>
      </c>
      <c r="G475" s="185" t="str">
        <f>IFERROR(__xludf.DUMMYFUNCTION("""COMPUTED_VALUE"""),"CORPORATE")</f>
        <v>CORPORATE</v>
      </c>
      <c r="H475" s="185" t="str">
        <f>IFERROR(__xludf.DUMMYFUNCTION("""COMPUTED_VALUE"""),"No")</f>
        <v>No</v>
      </c>
      <c r="I475" s="185" t="str">
        <f>IFERROR(__xludf.DUMMYFUNCTION("""COMPUTED_VALUE"""),"Medium")</f>
        <v>Medium</v>
      </c>
      <c r="J475" s="185" t="str">
        <f>IFERROR(__xludf.DUMMYFUNCTION("""COMPUTED_VALUE"""),"Yes")</f>
        <v>Yes</v>
      </c>
      <c r="K475" s="185" t="str">
        <f>IFERROR(__xludf.DUMMYFUNCTION("""COMPUTED_VALUE"""),"DNM Digital, Soup Agency, First Page, Impressive, Online Marketing Gurus, Omnicom Media Group, Click Click Media, Bench Media, 80/20 Digital, Salt &amp; Fuessel, Bonfire, Rocket Agency")</f>
        <v>DNM Digital, Soup Agency, First Page, Impressive, Online Marketing Gurus, Omnicom Media Group, Click Click Media, Bench Media, 80/20 Digital, Salt &amp; Fuessel, Bonfire, Rocket Agency</v>
      </c>
      <c r="L475" s="187">
        <f>IFERROR(__xludf.DUMMYFUNCTION("""COMPUTED_VALUE"""),1.0)</f>
        <v>1</v>
      </c>
      <c r="M475" s="188">
        <f>IFERROR(__xludf.DUMMYFUNCTION("""COMPUTED_VALUE"""),0.0)</f>
        <v>0</v>
      </c>
      <c r="N475" s="188">
        <f>IFERROR(__xludf.DUMMYFUNCTION("""COMPUTED_VALUE"""),1.0)</f>
        <v>1</v>
      </c>
      <c r="O475" s="208"/>
      <c r="P475" s="208"/>
      <c r="Q475" s="208"/>
      <c r="R475" s="208"/>
    </row>
    <row r="476">
      <c r="A476" s="185" t="str">
        <f>IFERROR(__xludf.DUMMYFUNCTION("""COMPUTED_VALUE"""),"Industry data / software authority")</f>
        <v>Industry data / software authority</v>
      </c>
      <c r="B476" s="186" t="str">
        <f>IFERROR(__xludf.DUMMYFUNCTION("""COMPUTED_VALUE"""),"https://agencies.semrush.com/list/programmatic-advertising/australia/small-business/")</f>
        <v>https://agencies.semrush.com/list/programmatic-advertising/australia/small-business/</v>
      </c>
      <c r="C476" s="185" t="str">
        <f>IFERROR(__xludf.DUMMYFUNCTION("""COMPUTED_VALUE"""),"Best Programmatic Advertising Agencies for Small Business in Australia 2026 | Semrush")</f>
        <v>Best Programmatic Advertising Agencies for Small Business in Australia 2026 | Semrush</v>
      </c>
      <c r="D476" s="185" t="str">
        <f>IFERROR(__xludf.DUMMYFUNCTION("""COMPUTED_VALUE"""),"AU")</f>
        <v>AU</v>
      </c>
      <c r="E476" s="185" t="str">
        <f>IFERROR(__xludf.DUMMYFUNCTION("""COMPUTED_VALUE"""),"semrush.com")</f>
        <v>semrush.com</v>
      </c>
      <c r="F476" s="185" t="str">
        <f>IFERROR(__xludf.DUMMYFUNCTION("""COMPUTED_VALUE"""),"Category Page")</f>
        <v>Category Page</v>
      </c>
      <c r="G476" s="185" t="str">
        <f>IFERROR(__xludf.DUMMYFUNCTION("""COMPUTED_VALUE"""),"CORPORATE")</f>
        <v>CORPORATE</v>
      </c>
      <c r="H476" s="185" t="str">
        <f>IFERROR(__xludf.DUMMYFUNCTION("""COMPUTED_VALUE"""),"No")</f>
        <v>No</v>
      </c>
      <c r="I476" s="185" t="str">
        <f>IFERROR(__xludf.DUMMYFUNCTION("""COMPUTED_VALUE"""),"Medium")</f>
        <v>Medium</v>
      </c>
      <c r="J476" s="185" t="str">
        <f>IFERROR(__xludf.DUMMYFUNCTION("""COMPUTED_VALUE"""),"Yes")</f>
        <v>Yes</v>
      </c>
      <c r="K476" s="185" t="str">
        <f>IFERROR(__xludf.DUMMYFUNCTION("""COMPUTED_VALUE"""),"DNM Digital, Soup Agency, First Page, Impressive, Online Marketing Gurus, Omnicom Media Group, Click Click Media, 80/20 Digital, Salt &amp; Fuessel, Rocket Agency")</f>
        <v>DNM Digital, Soup Agency, First Page, Impressive, Online Marketing Gurus, Omnicom Media Group, Click Click Media, 80/20 Digital, Salt &amp; Fuessel, Rocket Agency</v>
      </c>
      <c r="L476" s="187">
        <f>IFERROR(__xludf.DUMMYFUNCTION("""COMPUTED_VALUE"""),1.0)</f>
        <v>1</v>
      </c>
      <c r="M476" s="188">
        <f>IFERROR(__xludf.DUMMYFUNCTION("""COMPUTED_VALUE"""),0.0)</f>
        <v>0</v>
      </c>
      <c r="N476" s="188">
        <f>IFERROR(__xludf.DUMMYFUNCTION("""COMPUTED_VALUE"""),0.0)</f>
        <v>0</v>
      </c>
      <c r="O476" s="208"/>
      <c r="P476" s="208"/>
      <c r="Q476" s="208"/>
      <c r="R476" s="208"/>
    </row>
    <row r="477">
      <c r="A477" s="185" t="str">
        <f>IFERROR(__xludf.DUMMYFUNCTION("""COMPUTED_VALUE"""),"Industry data / software authority")</f>
        <v>Industry data / software authority</v>
      </c>
      <c r="B477" s="186" t="str">
        <f>IFERROR(__xludf.DUMMYFUNCTION("""COMPUTED_VALUE"""),"https://agencies.semrush.com/list/programmatic-advertising/ecommerce/australia/")</f>
        <v>https://agencies.semrush.com/list/programmatic-advertising/ecommerce/australia/</v>
      </c>
      <c r="C477" s="185" t="str">
        <f>IFERROR(__xludf.DUMMYFUNCTION("""COMPUTED_VALUE"""),"Best Ecommerce Programmatic Advertising Agencies in Australia 2026 | Semrush")</f>
        <v>Best Ecommerce Programmatic Advertising Agencies in Australia 2026 | Semrush</v>
      </c>
      <c r="D477" s="185" t="str">
        <f>IFERROR(__xludf.DUMMYFUNCTION("""COMPUTED_VALUE"""),"AU")</f>
        <v>AU</v>
      </c>
      <c r="E477" s="185" t="str">
        <f>IFERROR(__xludf.DUMMYFUNCTION("""COMPUTED_VALUE"""),"semrush.com")</f>
        <v>semrush.com</v>
      </c>
      <c r="F477" s="185" t="str">
        <f>IFERROR(__xludf.DUMMYFUNCTION("""COMPUTED_VALUE"""),"Category Page")</f>
        <v>Category Page</v>
      </c>
      <c r="G477" s="185" t="str">
        <f>IFERROR(__xludf.DUMMYFUNCTION("""COMPUTED_VALUE"""),"CORPORATE")</f>
        <v>CORPORATE</v>
      </c>
      <c r="H477" s="185" t="str">
        <f>IFERROR(__xludf.DUMMYFUNCTION("""COMPUTED_VALUE"""),"No")</f>
        <v>No</v>
      </c>
      <c r="I477" s="185" t="str">
        <f>IFERROR(__xludf.DUMMYFUNCTION("""COMPUTED_VALUE"""),"Medium")</f>
        <v>Medium</v>
      </c>
      <c r="J477" s="185" t="str">
        <f>IFERROR(__xludf.DUMMYFUNCTION("""COMPUTED_VALUE"""),"Yes")</f>
        <v>Yes</v>
      </c>
      <c r="K477" s="185" t="str">
        <f>IFERROR(__xludf.DUMMYFUNCTION("""COMPUTED_VALUE"""),"DNM Digital, Soup Agency, First Page, Impressive, Online Marketing Gurus, Omnicom Media Group, 80/20 Digital, Salt &amp; Fuessel, Bonfire, Rocket Agency, Measured")</f>
        <v>DNM Digital, Soup Agency, First Page, Impressive, Online Marketing Gurus, Omnicom Media Group, 80/20 Digital, Salt &amp; Fuessel, Bonfire, Rocket Agency, Measured</v>
      </c>
      <c r="L477" s="187">
        <f>IFERROR(__xludf.DUMMYFUNCTION("""COMPUTED_VALUE"""),1.0)</f>
        <v>1</v>
      </c>
      <c r="M477" s="188">
        <f>IFERROR(__xludf.DUMMYFUNCTION("""COMPUTED_VALUE"""),0.0)</f>
        <v>0</v>
      </c>
      <c r="N477" s="188">
        <f>IFERROR(__xludf.DUMMYFUNCTION("""COMPUTED_VALUE"""),0.0)</f>
        <v>0</v>
      </c>
      <c r="O477" s="208"/>
      <c r="P477" s="208"/>
      <c r="Q477" s="208"/>
      <c r="R477" s="208"/>
    </row>
    <row r="478">
      <c r="A478" s="185" t="str">
        <f>IFERROR(__xludf.DUMMYFUNCTION("""COMPUTED_VALUE"""),"Industry data / software authority")</f>
        <v>Industry data / software authority</v>
      </c>
      <c r="B478" s="186" t="str">
        <f>IFERROR(__xludf.DUMMYFUNCTION("""COMPUTED_VALUE"""),"https://agencies.semrush.com/list/programmatic-advertising/sydney/")</f>
        <v>https://agencies.semrush.com/list/programmatic-advertising/sydney/</v>
      </c>
      <c r="C478" s="185" t="str">
        <f>IFERROR(__xludf.DUMMYFUNCTION("""COMPUTED_VALUE"""),"Best Programmatic Advertising Agencies in Sydney 2026 | Semrush")</f>
        <v>Best Programmatic Advertising Agencies in Sydney 2026 | Semrush</v>
      </c>
      <c r="D478" s="185" t="str">
        <f>IFERROR(__xludf.DUMMYFUNCTION("""COMPUTED_VALUE"""),"AU")</f>
        <v>AU</v>
      </c>
      <c r="E478" s="185" t="str">
        <f>IFERROR(__xludf.DUMMYFUNCTION("""COMPUTED_VALUE"""),"semrush.com")</f>
        <v>semrush.com</v>
      </c>
      <c r="F478" s="185" t="str">
        <f>IFERROR(__xludf.DUMMYFUNCTION("""COMPUTED_VALUE"""),"Other")</f>
        <v>Other</v>
      </c>
      <c r="G478" s="185" t="str">
        <f>IFERROR(__xludf.DUMMYFUNCTION("""COMPUTED_VALUE"""),"CORPORATE")</f>
        <v>CORPORATE</v>
      </c>
      <c r="H478" s="185" t="str">
        <f>IFERROR(__xludf.DUMMYFUNCTION("""COMPUTED_VALUE"""),"No")</f>
        <v>No</v>
      </c>
      <c r="I478" s="185" t="str">
        <f>IFERROR(__xludf.DUMMYFUNCTION("""COMPUTED_VALUE"""),"Medium")</f>
        <v>Medium</v>
      </c>
      <c r="J478" s="185" t="str">
        <f>IFERROR(__xludf.DUMMYFUNCTION("""COMPUTED_VALUE"""),"Yes")</f>
        <v>Yes</v>
      </c>
      <c r="K478" s="185" t="str">
        <f>IFERROR(__xludf.DUMMYFUNCTION("""COMPUTED_VALUE"""),"DNM Digital, Soup Agency, Online Marketing Gurus, Omnicom Media Group, Click Click Media, Bench Media, Rocket Agency, First Page, Impressive, Measured")</f>
        <v>DNM Digital, Soup Agency, Online Marketing Gurus, Omnicom Media Group, Click Click Media, Bench Media, Rocket Agency, First Page, Impressive, Measured</v>
      </c>
      <c r="L478" s="187">
        <f>IFERROR(__xludf.DUMMYFUNCTION("""COMPUTED_VALUE"""),1.0)</f>
        <v>1</v>
      </c>
      <c r="M478" s="188">
        <f>IFERROR(__xludf.DUMMYFUNCTION("""COMPUTED_VALUE"""),0.0)</f>
        <v>0</v>
      </c>
      <c r="N478" s="188">
        <f>IFERROR(__xludf.DUMMYFUNCTION("""COMPUTED_VALUE"""),0.0)</f>
        <v>0</v>
      </c>
      <c r="O478" s="208"/>
      <c r="P478" s="208"/>
      <c r="Q478" s="208"/>
      <c r="R478" s="208"/>
    </row>
    <row r="479">
      <c r="A479" s="185" t="str">
        <f>IFERROR(__xludf.DUMMYFUNCTION("""COMPUTED_VALUE"""),"Industry data / software authority")</f>
        <v>Industry data / software authority</v>
      </c>
      <c r="B479" s="186" t="str">
        <f>IFERROR(__xludf.DUMMYFUNCTION("""COMPUTED_VALUE"""),"https://agencies.semrush.com/list/search-engine-marketing/australia/")</f>
        <v>https://agencies.semrush.com/list/search-engine-marketing/australia/</v>
      </c>
      <c r="C479" s="185" t="str">
        <f>IFERROR(__xludf.DUMMYFUNCTION("""COMPUTED_VALUE"""),"Best Search Engine Marketing Companies in Australia 2026 | Semrush")</f>
        <v>Best Search Engine Marketing Companies in Australia 2026 | Semrush</v>
      </c>
      <c r="D479" s="185" t="str">
        <f>IFERROR(__xludf.DUMMYFUNCTION("""COMPUTED_VALUE"""),"AU")</f>
        <v>AU</v>
      </c>
      <c r="E479" s="185" t="str">
        <f>IFERROR(__xludf.DUMMYFUNCTION("""COMPUTED_VALUE"""),"semrush.com")</f>
        <v>semrush.com</v>
      </c>
      <c r="F479" s="185" t="str">
        <f>IFERROR(__xludf.DUMMYFUNCTION("""COMPUTED_VALUE"""),"Category Page")</f>
        <v>Category Page</v>
      </c>
      <c r="G479" s="185" t="str">
        <f>IFERROR(__xludf.DUMMYFUNCTION("""COMPUTED_VALUE"""),"CORPORATE")</f>
        <v>CORPORATE</v>
      </c>
      <c r="H479" s="185" t="str">
        <f>IFERROR(__xludf.DUMMYFUNCTION("""COMPUTED_VALUE"""),"No")</f>
        <v>No</v>
      </c>
      <c r="I479" s="185" t="str">
        <f>IFERROR(__xludf.DUMMYFUNCTION("""COMPUTED_VALUE"""),"Medium")</f>
        <v>Medium</v>
      </c>
      <c r="J479" s="185" t="str">
        <f>IFERROR(__xludf.DUMMYFUNCTION("""COMPUTED_VALUE"""),"Yes")</f>
        <v>Yes</v>
      </c>
      <c r="K479" s="185" t="str">
        <f>IFERROR(__xludf.DUMMYFUNCTION("""COMPUTED_VALUE"""),"Edge Marketing, Momentum, Supple Digital, DNM Digital, Soup Agency, First Page, Clearwater Agency, Measured, Earned Media, Impressive, Online Marketing Gurus, Omnicom Media Group, Click Click Media, StudioHawk, Bench Media")</f>
        <v>Edge Marketing, Momentum, Supple Digital, DNM Digital, Soup Agency, First Page, Clearwater Agency, Measured, Earned Media, Impressive, Online Marketing Gurus, Omnicom Media Group, Click Click Media, StudioHawk, Bench Media</v>
      </c>
      <c r="L479" s="187">
        <f>IFERROR(__xludf.DUMMYFUNCTION("""COMPUTED_VALUE"""),1.0)</f>
        <v>1</v>
      </c>
      <c r="M479" s="188">
        <f>IFERROR(__xludf.DUMMYFUNCTION("""COMPUTED_VALUE"""),0.0)</f>
        <v>0</v>
      </c>
      <c r="N479" s="188">
        <f>IFERROR(__xludf.DUMMYFUNCTION("""COMPUTED_VALUE"""),0.0)</f>
        <v>0</v>
      </c>
      <c r="O479" s="208"/>
      <c r="P479" s="208"/>
      <c r="Q479" s="208"/>
      <c r="R479" s="208"/>
    </row>
    <row r="480">
      <c r="A480" s="185" t="str">
        <f>IFERROR(__xludf.DUMMYFUNCTION("""COMPUTED_VALUE"""),"Industry data / software authority")</f>
        <v>Industry data / software authority</v>
      </c>
      <c r="B480" s="186" t="str">
        <f>IFERROR(__xludf.DUMMYFUNCTION("""COMPUTED_VALUE"""),"https://agencies.semrush.com/list/smm/australia/small-business/")</f>
        <v>https://agencies.semrush.com/list/smm/australia/small-business/</v>
      </c>
      <c r="C480" s="185" t="str">
        <f>IFERROR(__xludf.DUMMYFUNCTION("""COMPUTED_VALUE"""),"Best Social Media Marketing Agencies for Small Business in Australia 2026 | Semrush")</f>
        <v>Best Social Media Marketing Agencies for Small Business in Australia 2026 | Semrush</v>
      </c>
      <c r="D480" s="185" t="str">
        <f>IFERROR(__xludf.DUMMYFUNCTION("""COMPUTED_VALUE"""),"AU")</f>
        <v>AU</v>
      </c>
      <c r="E480" s="185" t="str">
        <f>IFERROR(__xludf.DUMMYFUNCTION("""COMPUTED_VALUE"""),"semrush.com")</f>
        <v>semrush.com</v>
      </c>
      <c r="F480" s="185" t="str">
        <f>IFERROR(__xludf.DUMMYFUNCTION("""COMPUTED_VALUE"""),"Category Page")</f>
        <v>Category Page</v>
      </c>
      <c r="G480" s="185" t="str">
        <f>IFERROR(__xludf.DUMMYFUNCTION("""COMPUTED_VALUE"""),"CORPORATE")</f>
        <v>CORPORATE</v>
      </c>
      <c r="H480" s="185" t="str">
        <f>IFERROR(__xludf.DUMMYFUNCTION("""COMPUTED_VALUE"""),"No")</f>
        <v>No</v>
      </c>
      <c r="I480" s="185" t="str">
        <f>IFERROR(__xludf.DUMMYFUNCTION("""COMPUTED_VALUE"""),"Medium")</f>
        <v>Medium</v>
      </c>
      <c r="J480" s="185" t="str">
        <f>IFERROR(__xludf.DUMMYFUNCTION("""COMPUTED_VALUE"""),"Yes")</f>
        <v>Yes</v>
      </c>
      <c r="K480" s="185" t="str">
        <f>IFERROR(__xludf.DUMMYFUNCTION("""COMPUTED_VALUE"""),"Digital Nomads HQ, DNM Digital, Soup Agency, First Page, Clearwater Agency, Measured, Earned Media, Impressive, Online Marketing Gurus, Omnicom Media Group, Click Click Media, 80/20 Digital")</f>
        <v>Digital Nomads HQ, DNM Digital, Soup Agency, First Page, Clearwater Agency, Measured, Earned Media, Impressive, Online Marketing Gurus, Omnicom Media Group, Click Click Media, 80/20 Digital</v>
      </c>
      <c r="L480" s="187">
        <f>IFERROR(__xludf.DUMMYFUNCTION("""COMPUTED_VALUE"""),1.0)</f>
        <v>1</v>
      </c>
      <c r="M480" s="188">
        <f>IFERROR(__xludf.DUMMYFUNCTION("""COMPUTED_VALUE"""),0.0)</f>
        <v>0</v>
      </c>
      <c r="N480" s="188">
        <f>IFERROR(__xludf.DUMMYFUNCTION("""COMPUTED_VALUE"""),0.0)</f>
        <v>0</v>
      </c>
      <c r="O480" s="208"/>
      <c r="P480" s="208"/>
      <c r="Q480" s="208"/>
      <c r="R480" s="208"/>
    </row>
    <row r="481">
      <c r="A481" s="185" t="str">
        <f>IFERROR(__xludf.DUMMYFUNCTION("""COMPUTED_VALUE"""),"Trade media / editorial publication")</f>
        <v>Trade media / editorial publication</v>
      </c>
      <c r="B481" s="186" t="str">
        <f>IFERROR(__xludf.DUMMYFUNCTION("""COMPUTED_VALUE"""),"https://www.bandt.com.au/agency-scorecard-in-marketing-we-trust/")</f>
        <v>https://www.bandt.com.au/agency-scorecard-in-marketing-we-trust/</v>
      </c>
      <c r="C481" s="185" t="str">
        <f>IFERROR(__xludf.DUMMYFUNCTION("""COMPUTED_VALUE"""),"Agency Scorecard: In Marketing We Trust - B&amp;amp;T")</f>
        <v>Agency Scorecard: In Marketing We Trust - B&amp;amp;T</v>
      </c>
      <c r="D481" s="185" t="str">
        <f>IFERROR(__xludf.DUMMYFUNCTION("""COMPUTED_VALUE"""),"AU")</f>
        <v>AU</v>
      </c>
      <c r="E481" s="185" t="str">
        <f>IFERROR(__xludf.DUMMYFUNCTION("""COMPUTED_VALUE"""),"bandt.com.au")</f>
        <v>bandt.com.au</v>
      </c>
      <c r="F481" s="185" t="str">
        <f>IFERROR(__xludf.DUMMYFUNCTION("""COMPUTED_VALUE"""),"Article")</f>
        <v>Article</v>
      </c>
      <c r="G481" s="185" t="str">
        <f>IFERROR(__xludf.DUMMYFUNCTION("""COMPUTED_VALUE"""),"EDITORIAL")</f>
        <v>EDITORIAL</v>
      </c>
      <c r="H481" s="185" t="str">
        <f>IFERROR(__xludf.DUMMYFUNCTION("""COMPUTED_VALUE"""),"No")</f>
        <v>No</v>
      </c>
      <c r="I481" s="185" t="str">
        <f>IFERROR(__xludf.DUMMYFUNCTION("""COMPUTED_VALUE"""),"Medium")</f>
        <v>Medium</v>
      </c>
      <c r="J481" s="185" t="str">
        <f>IFERROR(__xludf.DUMMYFUNCTION("""COMPUTED_VALUE"""),"Yes")</f>
        <v>Yes</v>
      </c>
      <c r="K481" s="185" t="str">
        <f>IFERROR(__xludf.DUMMYFUNCTION("""COMPUTED_VALUE"""),"WPP, In Marketing We Trust, Momentum")</f>
        <v>WPP, In Marketing We Trust, Momentum</v>
      </c>
      <c r="L481" s="187">
        <f>IFERROR(__xludf.DUMMYFUNCTION("""COMPUTED_VALUE"""),1.0)</f>
        <v>1</v>
      </c>
      <c r="M481" s="188">
        <f>IFERROR(__xludf.DUMMYFUNCTION("""COMPUTED_VALUE"""),0.0)</f>
        <v>0</v>
      </c>
      <c r="N481" s="188">
        <f>IFERROR(__xludf.DUMMYFUNCTION("""COMPUTED_VALUE"""),1.0)</f>
        <v>1</v>
      </c>
      <c r="O481" s="208"/>
      <c r="P481" s="208"/>
      <c r="Q481" s="208"/>
      <c r="R481" s="208"/>
    </row>
    <row r="482">
      <c r="A482" s="185" t="str">
        <f>IFERROR(__xludf.DUMMYFUNCTION("""COMPUTED_VALUE"""),"Trade media / editorial publication")</f>
        <v>Trade media / editorial publication</v>
      </c>
      <c r="B482" s="186" t="str">
        <f>IFERROR(__xludf.DUMMYFUNCTION("""COMPUTED_VALUE"""),"https://www.bandt.com.au/bt-awards-agency-of-the-year-winners-2024/")</f>
        <v>https://www.bandt.com.au/bt-awards-agency-of-the-year-winners-2024/</v>
      </c>
      <c r="C482" s="185" t="str">
        <f>IFERROR(__xludf.DUMMYFUNCTION("""COMPUTED_VALUE"""),"B&amp;amp;T Awards: Agency Of The Year Winners 2024 - B&amp;amp;T")</f>
        <v>B&amp;amp;T Awards: Agency Of The Year Winners 2024 - B&amp;amp;T</v>
      </c>
      <c r="D482" s="185" t="str">
        <f>IFERROR(__xludf.DUMMYFUNCTION("""COMPUTED_VALUE"""),"AU")</f>
        <v>AU</v>
      </c>
      <c r="E482" s="185" t="str">
        <f>IFERROR(__xludf.DUMMYFUNCTION("""COMPUTED_VALUE"""),"bandt.com.au")</f>
        <v>bandt.com.au</v>
      </c>
      <c r="F482" s="185" t="str">
        <f>IFERROR(__xludf.DUMMYFUNCTION("""COMPUTED_VALUE"""),"Article")</f>
        <v>Article</v>
      </c>
      <c r="G482" s="185" t="str">
        <f>IFERROR(__xludf.DUMMYFUNCTION("""COMPUTED_VALUE"""),"EDITORIAL")</f>
        <v>EDITORIAL</v>
      </c>
      <c r="H482" s="185" t="str">
        <f>IFERROR(__xludf.DUMMYFUNCTION("""COMPUTED_VALUE"""),"No")</f>
        <v>No</v>
      </c>
      <c r="I482" s="185" t="str">
        <f>IFERROR(__xludf.DUMMYFUNCTION("""COMPUTED_VALUE"""),"Medium")</f>
        <v>Medium</v>
      </c>
      <c r="J482" s="185" t="str">
        <f>IFERROR(__xludf.DUMMYFUNCTION("""COMPUTED_VALUE"""),"Yes")</f>
        <v>Yes</v>
      </c>
      <c r="K482" s="185" t="str">
        <f>IFERROR(__xludf.DUMMYFUNCTION("""COMPUTED_VALUE"""),"Howatson+Company, BMF, Sparro, Brainlabs, Impressive, Huge, EssenceMediacom")</f>
        <v>Howatson+Company, BMF, Sparro, Brainlabs, Impressive, Huge, EssenceMediacom</v>
      </c>
      <c r="L482" s="187">
        <f>IFERROR(__xludf.DUMMYFUNCTION("""COMPUTED_VALUE"""),1.0)</f>
        <v>1</v>
      </c>
      <c r="M482" s="188">
        <f>IFERROR(__xludf.DUMMYFUNCTION("""COMPUTED_VALUE"""),0.0)</f>
        <v>0</v>
      </c>
      <c r="N482" s="188">
        <f>IFERROR(__xludf.DUMMYFUNCTION("""COMPUTED_VALUE"""),3.0)</f>
        <v>3</v>
      </c>
      <c r="O482" s="208"/>
      <c r="P482" s="208"/>
      <c r="Q482" s="208"/>
      <c r="R482" s="208"/>
    </row>
    <row r="483">
      <c r="A483" s="185" t="str">
        <f>IFERROR(__xludf.DUMMYFUNCTION("""COMPUTED_VALUE"""),"Trade media / editorial publication")</f>
        <v>Trade media / editorial publication</v>
      </c>
      <c r="B483" s="186" t="str">
        <f>IFERROR(__xludf.DUMMYFUNCTION("""COMPUTED_VALUE"""),"https://www.bandt.com.au/bts-ones-to-watch-creative-agencies/")</f>
        <v>https://www.bandt.com.au/bts-ones-to-watch-creative-agencies/</v>
      </c>
      <c r="C483" s="185" t="str">
        <f>IFERROR(__xludf.DUMMYFUNCTION("""COMPUTED_VALUE"""),"B&amp;amp;T's Ones To Watch: Creative Agencies - B&amp;amp;T")</f>
        <v>B&amp;amp;T's Ones To Watch: Creative Agencies - B&amp;amp;T</v>
      </c>
      <c r="D483" s="185" t="str">
        <f>IFERROR(__xludf.DUMMYFUNCTION("""COMPUTED_VALUE"""),"AU")</f>
        <v>AU</v>
      </c>
      <c r="E483" s="185" t="str">
        <f>IFERROR(__xludf.DUMMYFUNCTION("""COMPUTED_VALUE"""),"bandt.com.au")</f>
        <v>bandt.com.au</v>
      </c>
      <c r="F483" s="185" t="str">
        <f>IFERROR(__xludf.DUMMYFUNCTION("""COMPUTED_VALUE"""),"Listicle")</f>
        <v>Listicle</v>
      </c>
      <c r="G483" s="185" t="str">
        <f>IFERROR(__xludf.DUMMYFUNCTION("""COMPUTED_VALUE"""),"EDITORIAL")</f>
        <v>EDITORIAL</v>
      </c>
      <c r="H483" s="185" t="str">
        <f>IFERROR(__xludf.DUMMYFUNCTION("""COMPUTED_VALUE"""),"No")</f>
        <v>No</v>
      </c>
      <c r="I483" s="185" t="str">
        <f>IFERROR(__xludf.DUMMYFUNCTION("""COMPUTED_VALUE"""),"Medium")</f>
        <v>Medium</v>
      </c>
      <c r="J483" s="185" t="str">
        <f>IFERROR(__xludf.DUMMYFUNCTION("""COMPUTED_VALUE"""),"Yes")</f>
        <v>Yes</v>
      </c>
      <c r="K483" s="185" t="str">
        <f>IFERROR(__xludf.DUMMYFUNCTION("""COMPUTED_VALUE"""),"WPP, Saatchi &amp; Saatchi, Impressive, BMF, The Monkeys, Accenture Song, Howatson+Company, DDB Australia, Bear Meets Eagle On Fire, OMD")</f>
        <v>WPP, Saatchi &amp; Saatchi, Impressive, BMF, The Monkeys, Accenture Song, Howatson+Company, DDB Australia, Bear Meets Eagle On Fire, OMD</v>
      </c>
      <c r="L483" s="187">
        <f>IFERROR(__xludf.DUMMYFUNCTION("""COMPUTED_VALUE"""),1.0)</f>
        <v>1</v>
      </c>
      <c r="M483" s="188">
        <f>IFERROR(__xludf.DUMMYFUNCTION("""COMPUTED_VALUE"""),0.0)</f>
        <v>0</v>
      </c>
      <c r="N483" s="188">
        <f>IFERROR(__xludf.DUMMYFUNCTION("""COMPUTED_VALUE"""),3.0)</f>
        <v>3</v>
      </c>
      <c r="O483" s="208"/>
      <c r="P483" s="208"/>
      <c r="Q483" s="208"/>
      <c r="R483" s="208"/>
    </row>
    <row r="484">
      <c r="A484" s="185" t="str">
        <f>IFERROR(__xludf.DUMMYFUNCTION("""COMPUTED_VALUE"""),"Trade media / editorial publication")</f>
        <v>Trade media / editorial publication</v>
      </c>
      <c r="B484" s="186" t="str">
        <f>IFERROR(__xludf.DUMMYFUNCTION("""COMPUTED_VALUE"""),"https://www.bandt.com.au/droga5-bts-agency-scorecard-2026/")</f>
        <v>https://www.bandt.com.au/droga5-bts-agency-scorecard-2026/</v>
      </c>
      <c r="C484" s="185" t="str">
        <f>IFERROR(__xludf.DUMMYFUNCTION("""COMPUTED_VALUE"""),"Droga5: B&amp;amp;T's Agency Scorecard 2026 - B&amp;amp;T")</f>
        <v>Droga5: B&amp;amp;T's Agency Scorecard 2026 - B&amp;amp;T</v>
      </c>
      <c r="D484" s="185" t="str">
        <f>IFERROR(__xludf.DUMMYFUNCTION("""COMPUTED_VALUE"""),"AU")</f>
        <v>AU</v>
      </c>
      <c r="E484" s="185" t="str">
        <f>IFERROR(__xludf.DUMMYFUNCTION("""COMPUTED_VALUE"""),"bandt.com.au")</f>
        <v>bandt.com.au</v>
      </c>
      <c r="F484" s="185" t="str">
        <f>IFERROR(__xludf.DUMMYFUNCTION("""COMPUTED_VALUE"""),"Profile")</f>
        <v>Profile</v>
      </c>
      <c r="G484" s="185" t="str">
        <f>IFERROR(__xludf.DUMMYFUNCTION("""COMPUTED_VALUE"""),"EDITORIAL")</f>
        <v>EDITORIAL</v>
      </c>
      <c r="H484" s="185" t="str">
        <f>IFERROR(__xludf.DUMMYFUNCTION("""COMPUTED_VALUE"""),"No")</f>
        <v>No</v>
      </c>
      <c r="I484" s="185" t="str">
        <f>IFERROR(__xludf.DUMMYFUNCTION("""COMPUTED_VALUE"""),"Medium")</f>
        <v>Medium</v>
      </c>
      <c r="J484" s="185" t="str">
        <f>IFERROR(__xludf.DUMMYFUNCTION("""COMPUTED_VALUE"""),"Yes")</f>
        <v>Yes</v>
      </c>
      <c r="K484" s="185" t="str">
        <f>IFERROR(__xludf.DUMMYFUNCTION("""COMPUTED_VALUE"""),"WPP, Accenture Song, Impressive, Momentum")</f>
        <v>WPP, Accenture Song, Impressive, Momentum</v>
      </c>
      <c r="L484" s="187">
        <f>IFERROR(__xludf.DUMMYFUNCTION("""COMPUTED_VALUE"""),1.0)</f>
        <v>1</v>
      </c>
      <c r="M484" s="188">
        <f>IFERROR(__xludf.DUMMYFUNCTION("""COMPUTED_VALUE"""),0.0)</f>
        <v>0</v>
      </c>
      <c r="N484" s="188">
        <f>IFERROR(__xludf.DUMMYFUNCTION("""COMPUTED_VALUE"""),2.0)</f>
        <v>2</v>
      </c>
      <c r="O484" s="208"/>
      <c r="P484" s="208"/>
      <c r="Q484" s="208"/>
      <c r="R484" s="208"/>
    </row>
    <row r="485">
      <c r="A485" s="185" t="str">
        <f>IFERROR(__xludf.DUMMYFUNCTION("""COMPUTED_VALUE"""),"Trade media / editorial publication")</f>
        <v>Trade media / editorial publication</v>
      </c>
      <c r="B485" s="186" t="str">
        <f>IFERROR(__xludf.DUMMYFUNCTION("""COMPUTED_VALUE"""),"https://www.bandt.com.au/iab-australia-releases-landscape-report-to-guide-marketers-through-mmm-implementation/")</f>
        <v>https://www.bandt.com.au/iab-australia-releases-landscape-report-to-guide-marketers-through-mmm-implementation/</v>
      </c>
      <c r="C485" s="185" t="str">
        <f>IFERROR(__xludf.DUMMYFUNCTION("""COMPUTED_VALUE"""),"IAB Australia Releases Landscape Report To Guide Marketers Through MMM Implementation - B&amp;amp;T")</f>
        <v>IAB Australia Releases Landscape Report To Guide Marketers Through MMM Implementation - B&amp;amp;T</v>
      </c>
      <c r="D485" s="185" t="str">
        <f>IFERROR(__xludf.DUMMYFUNCTION("""COMPUTED_VALUE"""),"AU")</f>
        <v>AU</v>
      </c>
      <c r="E485" s="185" t="str">
        <f>IFERROR(__xludf.DUMMYFUNCTION("""COMPUTED_VALUE"""),"bandt.com.au")</f>
        <v>bandt.com.au</v>
      </c>
      <c r="F485" s="185" t="str">
        <f>IFERROR(__xludf.DUMMYFUNCTION("""COMPUTED_VALUE"""),"Article")</f>
        <v>Article</v>
      </c>
      <c r="G485" s="185" t="str">
        <f>IFERROR(__xludf.DUMMYFUNCTION("""COMPUTED_VALUE"""),"EDITORIAL")</f>
        <v>EDITORIAL</v>
      </c>
      <c r="H485" s="185" t="str">
        <f>IFERROR(__xludf.DUMMYFUNCTION("""COMPUTED_VALUE"""),"No")</f>
        <v>No</v>
      </c>
      <c r="I485" s="185" t="str">
        <f>IFERROR(__xludf.DUMMYFUNCTION("""COMPUTED_VALUE"""),"Medium")</f>
        <v>Medium</v>
      </c>
      <c r="J485" s="185" t="str">
        <f>IFERROR(__xludf.DUMMYFUNCTION("""COMPUTED_VALUE"""),"Yes")</f>
        <v>Yes</v>
      </c>
      <c r="K485" s="185" t="str">
        <f>IFERROR(__xludf.DUMMYFUNCTION("""COMPUTED_VALUE"""),"WPP, Dentsu, Lifesight, Mutinex")</f>
        <v>WPP, Dentsu, Lifesight, Mutinex</v>
      </c>
      <c r="L485" s="187">
        <f>IFERROR(__xludf.DUMMYFUNCTION("""COMPUTED_VALUE"""),1.0)</f>
        <v>1</v>
      </c>
      <c r="M485" s="188">
        <f>IFERROR(__xludf.DUMMYFUNCTION("""COMPUTED_VALUE"""),0.0)</f>
        <v>0</v>
      </c>
      <c r="N485" s="188">
        <f>IFERROR(__xludf.DUMMYFUNCTION("""COMPUTED_VALUE"""),0.0)</f>
        <v>0</v>
      </c>
      <c r="O485" s="208"/>
      <c r="P485" s="208"/>
      <c r="Q485" s="208"/>
      <c r="R485" s="208"/>
    </row>
    <row r="486">
      <c r="A486" s="185" t="str">
        <f>IFERROR(__xludf.DUMMYFUNCTION("""COMPUTED_VALUE"""),"Trade media / editorial publication")</f>
        <v>Trade media / editorial publication</v>
      </c>
      <c r="B486" s="186" t="str">
        <f>IFERROR(__xludf.DUMMYFUNCTION("""COMPUTED_VALUE"""),"https://www.bandt.com.au/impressive-elevates-sam-makwana-to-gm-amid-slew-of-promotions/")</f>
        <v>https://www.bandt.com.au/impressive-elevates-sam-makwana-to-gm-amid-slew-of-promotions/</v>
      </c>
      <c r="C486" s="185" t="str">
        <f>IFERROR(__xludf.DUMMYFUNCTION("""COMPUTED_VALUE"""),"Impressive Elevates Sam Makwana To GM Amid Slew Of Promotions&amp;nbsp; - B&amp;amp;T")</f>
        <v>Impressive Elevates Sam Makwana To GM Amid Slew Of Promotions&amp;nbsp; - B&amp;amp;T</v>
      </c>
      <c r="D486" s="185" t="str">
        <f>IFERROR(__xludf.DUMMYFUNCTION("""COMPUTED_VALUE"""),"AU")</f>
        <v>AU</v>
      </c>
      <c r="E486" s="185" t="str">
        <f>IFERROR(__xludf.DUMMYFUNCTION("""COMPUTED_VALUE"""),"bandt.com.au")</f>
        <v>bandt.com.au</v>
      </c>
      <c r="F486" s="185" t="str">
        <f>IFERROR(__xludf.DUMMYFUNCTION("""COMPUTED_VALUE"""),"Article")</f>
        <v>Article</v>
      </c>
      <c r="G486" s="185" t="str">
        <f>IFERROR(__xludf.DUMMYFUNCTION("""COMPUTED_VALUE"""),"EDITORIAL")</f>
        <v>EDITORIAL</v>
      </c>
      <c r="H486" s="185" t="str">
        <f>IFERROR(__xludf.DUMMYFUNCTION("""COMPUTED_VALUE"""),"No")</f>
        <v>No</v>
      </c>
      <c r="I486" s="185" t="str">
        <f>IFERROR(__xludf.DUMMYFUNCTION("""COMPUTED_VALUE"""),"Medium")</f>
        <v>Medium</v>
      </c>
      <c r="J486" s="185" t="str">
        <f>IFERROR(__xludf.DUMMYFUNCTION("""COMPUTED_VALUE"""),"Yes")</f>
        <v>Yes</v>
      </c>
      <c r="K486" s="185" t="str">
        <f>IFERROR(__xludf.DUMMYFUNCTION("""COMPUTED_VALUE"""),"WPP, Impressive, Huge, PHD")</f>
        <v>WPP, Impressive, Huge, PHD</v>
      </c>
      <c r="L486" s="187">
        <f>IFERROR(__xludf.DUMMYFUNCTION("""COMPUTED_VALUE"""),1.0)</f>
        <v>1</v>
      </c>
      <c r="M486" s="188">
        <f>IFERROR(__xludf.DUMMYFUNCTION("""COMPUTED_VALUE"""),0.0)</f>
        <v>0</v>
      </c>
      <c r="N486" s="188">
        <f>IFERROR(__xludf.DUMMYFUNCTION("""COMPUTED_VALUE"""),1.0)</f>
        <v>1</v>
      </c>
      <c r="O486" s="208"/>
      <c r="P486" s="208"/>
      <c r="Q486" s="208"/>
      <c r="R486" s="208"/>
    </row>
    <row r="487">
      <c r="A487" s="185" t="str">
        <f>IFERROR(__xludf.DUMMYFUNCTION("""COMPUTED_VALUE"""),"Trade media / editorial publication")</f>
        <v>Trade media / editorial publication</v>
      </c>
      <c r="B487" s="186" t="str">
        <f>IFERROR(__xludf.DUMMYFUNCTION("""COMPUTED_VALUE"""),"https://www.bandt.com.au/match-wood-bts-agency-scorecard-2026/")</f>
        <v>https://www.bandt.com.au/match-wood-bts-agency-scorecard-2026/</v>
      </c>
      <c r="C487" s="185" t="str">
        <f>IFERROR(__xludf.DUMMYFUNCTION("""COMPUTED_VALUE"""),"Match &amp;amp; Wood: B&amp;amp;T's Agency Scorecard 2026 - B&amp;amp;T")</f>
        <v>Match &amp;amp; Wood: B&amp;amp;T's Agency Scorecard 2026 - B&amp;amp;T</v>
      </c>
      <c r="D487" s="185" t="str">
        <f>IFERROR(__xludf.DUMMYFUNCTION("""COMPUTED_VALUE"""),"AU")</f>
        <v>AU</v>
      </c>
      <c r="E487" s="185" t="str">
        <f>IFERROR(__xludf.DUMMYFUNCTION("""COMPUTED_VALUE"""),"bandt.com.au")</f>
        <v>bandt.com.au</v>
      </c>
      <c r="F487" s="185" t="str">
        <f>IFERROR(__xludf.DUMMYFUNCTION("""COMPUTED_VALUE"""),"Other")</f>
        <v>Other</v>
      </c>
      <c r="G487" s="185" t="str">
        <f>IFERROR(__xludf.DUMMYFUNCTION("""COMPUTED_VALUE"""),"EDITORIAL")</f>
        <v>EDITORIAL</v>
      </c>
      <c r="H487" s="185" t="str">
        <f>IFERROR(__xludf.DUMMYFUNCTION("""COMPUTED_VALUE"""),"No")</f>
        <v>No</v>
      </c>
      <c r="I487" s="185" t="str">
        <f>IFERROR(__xludf.DUMMYFUNCTION("""COMPUTED_VALUE"""),"Medium")</f>
        <v>Medium</v>
      </c>
      <c r="J487" s="185" t="str">
        <f>IFERROR(__xludf.DUMMYFUNCTION("""COMPUTED_VALUE"""),"Yes")</f>
        <v>Yes</v>
      </c>
      <c r="K487" s="185" t="str">
        <f>IFERROR(__xludf.DUMMYFUNCTION("""COMPUTED_VALUE"""),"WPP, OMD")</f>
        <v>WPP, OMD</v>
      </c>
      <c r="L487" s="187">
        <f>IFERROR(__xludf.DUMMYFUNCTION("""COMPUTED_VALUE"""),1.0)</f>
        <v>1</v>
      </c>
      <c r="M487" s="188">
        <f>IFERROR(__xludf.DUMMYFUNCTION("""COMPUTED_VALUE"""),0.0)</f>
        <v>0</v>
      </c>
      <c r="N487" s="188">
        <f>IFERROR(__xludf.DUMMYFUNCTION("""COMPUTED_VALUE"""),1.0)</f>
        <v>1</v>
      </c>
      <c r="O487" s="208"/>
      <c r="P487" s="208"/>
      <c r="Q487" s="208"/>
      <c r="R487" s="208"/>
    </row>
    <row r="488">
      <c r="A488" s="185" t="str">
        <f>IFERROR(__xludf.DUMMYFUNCTION("""COMPUTED_VALUE"""),"Trade media / editorial publication")</f>
        <v>Trade media / editorial publication</v>
      </c>
      <c r="B488" s="186" t="str">
        <f>IFERROR(__xludf.DUMMYFUNCTION("""COMPUTED_VALUE"""),"https://www.bandt.com.au/meet-gain-theory-wpps-marketing-effectiveness-arm-targeting-australia-for-growth/")</f>
        <v>https://www.bandt.com.au/meet-gain-theory-wpps-marketing-effectiveness-arm-targeting-australia-for-growth/</v>
      </c>
      <c r="C488" s="185" t="str">
        <f>IFERROR(__xludf.DUMMYFUNCTION("""COMPUTED_VALUE"""),"Meet Gain Theory, WPP’s Marketing Effectiveness Arm Targeting Australia For Growth - B&amp;amp;T")</f>
        <v>Meet Gain Theory, WPP’s Marketing Effectiveness Arm Targeting Australia For Growth - B&amp;amp;T</v>
      </c>
      <c r="D488" s="185" t="str">
        <f>IFERROR(__xludf.DUMMYFUNCTION("""COMPUTED_VALUE"""),"AU")</f>
        <v>AU</v>
      </c>
      <c r="E488" s="185" t="str">
        <f>IFERROR(__xludf.DUMMYFUNCTION("""COMPUTED_VALUE"""),"bandt.com.au")</f>
        <v>bandt.com.au</v>
      </c>
      <c r="F488" s="185" t="str">
        <f>IFERROR(__xludf.DUMMYFUNCTION("""COMPUTED_VALUE"""),"Article")</f>
        <v>Article</v>
      </c>
      <c r="G488" s="185" t="str">
        <f>IFERROR(__xludf.DUMMYFUNCTION("""COMPUTED_VALUE"""),"EDITORIAL")</f>
        <v>EDITORIAL</v>
      </c>
      <c r="H488" s="185" t="str">
        <f>IFERROR(__xludf.DUMMYFUNCTION("""COMPUTED_VALUE"""),"No")</f>
        <v>No</v>
      </c>
      <c r="I488" s="185" t="str">
        <f>IFERROR(__xludf.DUMMYFUNCTION("""COMPUTED_VALUE"""),"Medium")</f>
        <v>Medium</v>
      </c>
      <c r="J488" s="185" t="str">
        <f>IFERROR(__xludf.DUMMYFUNCTION("""COMPUTED_VALUE"""),"Yes")</f>
        <v>Yes</v>
      </c>
      <c r="K488" s="185" t="str">
        <f>IFERROR(__xludf.DUMMYFUNCTION("""COMPUTED_VALUE"""),"WPP, Huge, Mutinex")</f>
        <v>WPP, Huge, Mutinex</v>
      </c>
      <c r="L488" s="187">
        <f>IFERROR(__xludf.DUMMYFUNCTION("""COMPUTED_VALUE"""),1.0)</f>
        <v>1</v>
      </c>
      <c r="M488" s="188">
        <f>IFERROR(__xludf.DUMMYFUNCTION("""COMPUTED_VALUE"""),0.0)</f>
        <v>0</v>
      </c>
      <c r="N488" s="188">
        <f>IFERROR(__xludf.DUMMYFUNCTION("""COMPUTED_VALUE"""),2.0)</f>
        <v>2</v>
      </c>
      <c r="O488" s="208"/>
      <c r="P488" s="208"/>
      <c r="Q488" s="208"/>
      <c r="R488" s="208"/>
    </row>
    <row r="489">
      <c r="A489" s="185" t="str">
        <f>IFERROR(__xludf.DUMMYFUNCTION("""COMPUTED_VALUE"""),"Trade media / editorial publication")</f>
        <v>Trade media / editorial publication</v>
      </c>
      <c r="B489" s="186" t="str">
        <f>IFERROR(__xludf.DUMMYFUNCTION("""COMPUTED_VALUE"""),"https://www.bandt.com.au/omnicom-resolution-digital-launch-resolution-kinetic-in-australia/")</f>
        <v>https://www.bandt.com.au/omnicom-resolution-digital-launch-resolution-kinetic-in-australia/</v>
      </c>
      <c r="C489" s="185" t="str">
        <f>IFERROR(__xludf.DUMMYFUNCTION("""COMPUTED_VALUE"""),"Omnicom &amp;amp; Resolution Digital Launch Resolution Kinetic In Australia - B&amp;amp;T")</f>
        <v>Omnicom &amp;amp; Resolution Digital Launch Resolution Kinetic In Australia - B&amp;amp;T</v>
      </c>
      <c r="D489" s="185" t="str">
        <f>IFERROR(__xludf.DUMMYFUNCTION("""COMPUTED_VALUE"""),"AU")</f>
        <v>AU</v>
      </c>
      <c r="E489" s="185" t="str">
        <f>IFERROR(__xludf.DUMMYFUNCTION("""COMPUTED_VALUE"""),"bandt.com.au")</f>
        <v>bandt.com.au</v>
      </c>
      <c r="F489" s="185" t="str">
        <f>IFERROR(__xludf.DUMMYFUNCTION("""COMPUTED_VALUE"""),"Article")</f>
        <v>Article</v>
      </c>
      <c r="G489" s="185" t="str">
        <f>IFERROR(__xludf.DUMMYFUNCTION("""COMPUTED_VALUE"""),"EDITORIAL")</f>
        <v>EDITORIAL</v>
      </c>
      <c r="H489" s="185" t="str">
        <f>IFERROR(__xludf.DUMMYFUNCTION("""COMPUTED_VALUE"""),"No")</f>
        <v>No</v>
      </c>
      <c r="I489" s="185" t="str">
        <f>IFERROR(__xludf.DUMMYFUNCTION("""COMPUTED_VALUE"""),"Medium")</f>
        <v>Medium</v>
      </c>
      <c r="J489" s="185" t="str">
        <f>IFERROR(__xludf.DUMMYFUNCTION("""COMPUTED_VALUE"""),"Yes")</f>
        <v>Yes</v>
      </c>
      <c r="K489" s="185" t="str">
        <f>IFERROR(__xludf.DUMMYFUNCTION("""COMPUTED_VALUE"""),"WPP, Resolution Digital, Omnicom Media Group")</f>
        <v>WPP, Resolution Digital, Omnicom Media Group</v>
      </c>
      <c r="L489" s="187">
        <f>IFERROR(__xludf.DUMMYFUNCTION("""COMPUTED_VALUE"""),1.0)</f>
        <v>1</v>
      </c>
      <c r="M489" s="188">
        <f>IFERROR(__xludf.DUMMYFUNCTION("""COMPUTED_VALUE"""),0.0)</f>
        <v>0</v>
      </c>
      <c r="N489" s="188">
        <f>IFERROR(__xludf.DUMMYFUNCTION("""COMPUTED_VALUE"""),0.0)</f>
        <v>0</v>
      </c>
      <c r="O489" s="208"/>
      <c r="P489" s="208"/>
      <c r="Q489" s="208"/>
      <c r="R489" s="208"/>
    </row>
    <row r="490">
      <c r="A490" s="185" t="str">
        <f>IFERROR(__xludf.DUMMYFUNCTION("""COMPUTED_VALUE"""),"Trade media / editorial publication")</f>
        <v>Trade media / editorial publication</v>
      </c>
      <c r="B490" s="186" t="str">
        <f>IFERROR(__xludf.DUMMYFUNCTION("""COMPUTED_VALUE"""),"https://www.bandt.com.au/publicis-wpp-media-dominate-new-business-indies-quietly-climb-rankings/")</f>
        <v>https://www.bandt.com.au/publicis-wpp-media-dominate-new-business-indies-quietly-climb-rankings/</v>
      </c>
      <c r="C490" s="185" t="str">
        <f>IFERROR(__xludf.DUMMYFUNCTION("""COMPUTED_VALUE"""),"Publicis &amp;amp; WPP Media Dominate New Business, Indies Quietly Climb Rankings - B&amp;amp;T")</f>
        <v>Publicis &amp;amp; WPP Media Dominate New Business, Indies Quietly Climb Rankings - B&amp;amp;T</v>
      </c>
      <c r="D490" s="185" t="str">
        <f>IFERROR(__xludf.DUMMYFUNCTION("""COMPUTED_VALUE"""),"AU")</f>
        <v>AU</v>
      </c>
      <c r="E490" s="185" t="str">
        <f>IFERROR(__xludf.DUMMYFUNCTION("""COMPUTED_VALUE"""),"bandt.com.au")</f>
        <v>bandt.com.au</v>
      </c>
      <c r="F490" s="185" t="str">
        <f>IFERROR(__xludf.DUMMYFUNCTION("""COMPUTED_VALUE"""),"Article")</f>
        <v>Article</v>
      </c>
      <c r="G490" s="185" t="str">
        <f>IFERROR(__xludf.DUMMYFUNCTION("""COMPUTED_VALUE"""),"EDITORIAL")</f>
        <v>EDITORIAL</v>
      </c>
      <c r="H490" s="185" t="str">
        <f>IFERROR(__xludf.DUMMYFUNCTION("""COMPUTED_VALUE"""),"No")</f>
        <v>No</v>
      </c>
      <c r="I490" s="185" t="str">
        <f>IFERROR(__xludf.DUMMYFUNCTION("""COMPUTED_VALUE"""),"Medium")</f>
        <v>Medium</v>
      </c>
      <c r="J490" s="185" t="str">
        <f>IFERROR(__xludf.DUMMYFUNCTION("""COMPUTED_VALUE"""),"Yes")</f>
        <v>Yes</v>
      </c>
      <c r="K490" s="185" t="str">
        <f>IFERROR(__xludf.DUMMYFUNCTION("""COMPUTED_VALUE"""),"WPP, Publicis Groupe, Momentum, OMD, Mindshare, Dentsu, EssenceMediacom, Sparro, Brainlabs, PHD, PMG, Accenture Song, Publicis Media")</f>
        <v>WPP, Publicis Groupe, Momentum, OMD, Mindshare, Dentsu, EssenceMediacom, Sparro, Brainlabs, PHD, PMG, Accenture Song, Publicis Media</v>
      </c>
      <c r="L490" s="187">
        <f>IFERROR(__xludf.DUMMYFUNCTION("""COMPUTED_VALUE"""),1.0)</f>
        <v>1</v>
      </c>
      <c r="M490" s="188">
        <f>IFERROR(__xludf.DUMMYFUNCTION("""COMPUTED_VALUE"""),0.0)</f>
        <v>0</v>
      </c>
      <c r="N490" s="188">
        <f>IFERROR(__xludf.DUMMYFUNCTION("""COMPUTED_VALUE"""),2.0)</f>
        <v>2</v>
      </c>
      <c r="O490" s="208"/>
      <c r="P490" s="208"/>
      <c r="Q490" s="208"/>
      <c r="R490" s="208"/>
    </row>
    <row r="491">
      <c r="A491" s="185" t="str">
        <f>IFERROR(__xludf.DUMMYFUNCTION("""COMPUTED_VALUE"""),"Trade media / editorial publication")</f>
        <v>Trade media / editorial publication</v>
      </c>
      <c r="B491" s="186" t="str">
        <f>IFERROR(__xludf.DUMMYFUNCTION("""COMPUTED_VALUE"""),"https://www.bandt.com.au/special-bts-agency-scorecard-2026/")</f>
        <v>https://www.bandt.com.au/special-bts-agency-scorecard-2026/</v>
      </c>
      <c r="C491" s="185" t="str">
        <f>IFERROR(__xludf.DUMMYFUNCTION("""COMPUTED_VALUE"""),"Special: B&amp;amp;T's Agency Scorecard 2026 - B&amp;amp;T")</f>
        <v>Special: B&amp;amp;T's Agency Scorecard 2026 - B&amp;amp;T</v>
      </c>
      <c r="D491" s="185" t="str">
        <f>IFERROR(__xludf.DUMMYFUNCTION("""COMPUTED_VALUE"""),"AU")</f>
        <v>AU</v>
      </c>
      <c r="E491" s="185" t="str">
        <f>IFERROR(__xludf.DUMMYFUNCTION("""COMPUTED_VALUE"""),"bandt.com.au")</f>
        <v>bandt.com.au</v>
      </c>
      <c r="F491" s="185" t="str">
        <f>IFERROR(__xludf.DUMMYFUNCTION("""COMPUTED_VALUE"""),"Listicle")</f>
        <v>Listicle</v>
      </c>
      <c r="G491" s="185" t="str">
        <f>IFERROR(__xludf.DUMMYFUNCTION("""COMPUTED_VALUE"""),"EDITORIAL")</f>
        <v>EDITORIAL</v>
      </c>
      <c r="H491" s="185" t="str">
        <f>IFERROR(__xludf.DUMMYFUNCTION("""COMPUTED_VALUE"""),"No")</f>
        <v>No</v>
      </c>
      <c r="I491" s="185" t="str">
        <f>IFERROR(__xludf.DUMMYFUNCTION("""COMPUTED_VALUE"""),"Medium")</f>
        <v>Medium</v>
      </c>
      <c r="J491" s="185" t="str">
        <f>IFERROR(__xludf.DUMMYFUNCTION("""COMPUTED_VALUE"""),"Yes")</f>
        <v>Yes</v>
      </c>
      <c r="K491" s="185" t="str">
        <f>IFERROR(__xludf.DUMMYFUNCTION("""COMPUTED_VALUE"""),"WPP, Earned Media")</f>
        <v>WPP, Earned Media</v>
      </c>
      <c r="L491" s="187">
        <f>IFERROR(__xludf.DUMMYFUNCTION("""COMPUTED_VALUE"""),1.0)</f>
        <v>1</v>
      </c>
      <c r="M491" s="188">
        <f>IFERROR(__xludf.DUMMYFUNCTION("""COMPUTED_VALUE"""),0.0)</f>
        <v>0</v>
      </c>
      <c r="N491" s="188">
        <f>IFERROR(__xludf.DUMMYFUNCTION("""COMPUTED_VALUE"""),2.0)</f>
        <v>2</v>
      </c>
      <c r="O491" s="208"/>
      <c r="P491" s="208"/>
      <c r="Q491" s="208"/>
      <c r="R491" s="208"/>
    </row>
    <row r="492">
      <c r="A492" s="185" t="str">
        <f>IFERROR(__xludf.DUMMYFUNCTION("""COMPUTED_VALUE"""),"Trade media / editorial publication")</f>
        <v>Trade media / editorial publication</v>
      </c>
      <c r="B492" s="186" t="str">
        <f>IFERROR(__xludf.DUMMYFUNCTION("""COMPUTED_VALUE"""),"https://www.bandt.com.au/the-monkeys-is-dead-long-live-droga5-anz/")</f>
        <v>https://www.bandt.com.au/the-monkeys-is-dead-long-live-droga5-anz/</v>
      </c>
      <c r="C492" s="185" t="str">
        <f>IFERROR(__xludf.DUMMYFUNCTION("""COMPUTED_VALUE"""),"The Monkeys Is Dead, Long Live Droga5 ANZ - B&amp;amp;T")</f>
        <v>The Monkeys Is Dead, Long Live Droga5 ANZ - B&amp;amp;T</v>
      </c>
      <c r="D492" s="185" t="str">
        <f>IFERROR(__xludf.DUMMYFUNCTION("""COMPUTED_VALUE"""),"AU")</f>
        <v>AU</v>
      </c>
      <c r="E492" s="185" t="str">
        <f>IFERROR(__xludf.DUMMYFUNCTION("""COMPUTED_VALUE"""),"bandt.com.au")</f>
        <v>bandt.com.au</v>
      </c>
      <c r="F492" s="185" t="str">
        <f>IFERROR(__xludf.DUMMYFUNCTION("""COMPUTED_VALUE"""),"Article")</f>
        <v>Article</v>
      </c>
      <c r="G492" s="185" t="str">
        <f>IFERROR(__xludf.DUMMYFUNCTION("""COMPUTED_VALUE"""),"EDITORIAL")</f>
        <v>EDITORIAL</v>
      </c>
      <c r="H492" s="185" t="str">
        <f>IFERROR(__xludf.DUMMYFUNCTION("""COMPUTED_VALUE"""),"No")</f>
        <v>No</v>
      </c>
      <c r="I492" s="185" t="str">
        <f>IFERROR(__xludf.DUMMYFUNCTION("""COMPUTED_VALUE"""),"Medium")</f>
        <v>Medium</v>
      </c>
      <c r="J492" s="185" t="str">
        <f>IFERROR(__xludf.DUMMYFUNCTION("""COMPUTED_VALUE"""),"Yes")</f>
        <v>Yes</v>
      </c>
      <c r="K492" s="185" t="str">
        <f>IFERROR(__xludf.DUMMYFUNCTION("""COMPUTED_VALUE"""),"WPP, Dentsu, The Monkeys, Accenture Song")</f>
        <v>WPP, Dentsu, The Monkeys, Accenture Song</v>
      </c>
      <c r="L492" s="187">
        <f>IFERROR(__xludf.DUMMYFUNCTION("""COMPUTED_VALUE"""),1.0)</f>
        <v>1</v>
      </c>
      <c r="M492" s="188">
        <f>IFERROR(__xludf.DUMMYFUNCTION("""COMPUTED_VALUE"""),0.0)</f>
        <v>0</v>
      </c>
      <c r="N492" s="188">
        <f>IFERROR(__xludf.DUMMYFUNCTION("""COMPUTED_VALUE"""),1.0)</f>
        <v>1</v>
      </c>
      <c r="O492" s="208"/>
      <c r="P492" s="208"/>
      <c r="Q492" s="208"/>
      <c r="R492" s="208"/>
    </row>
    <row r="493">
      <c r="A493" s="185" t="str">
        <f>IFERROR(__xludf.DUMMYFUNCTION("""COMPUTED_VALUE"""),"Trade media / editorial publication")</f>
        <v>Trade media / editorial publication</v>
      </c>
      <c r="B493" s="186" t="str">
        <f>IFERROR(__xludf.DUMMYFUNCTION("""COMPUTED_VALUE"""),"https://www.bandt.com.au/the-next-evolution-for-ground-control-data-marketing-evolution/")</f>
        <v>https://www.bandt.com.au/the-next-evolution-for-ground-control-data-marketing-evolution/</v>
      </c>
      <c r="C493" s="185" t="str">
        <f>IFERROR(__xludf.DUMMYFUNCTION("""COMPUTED_VALUE"""),"The Next Evolution For Ground Control Data &amp;amp; Marketing Evolution - B&amp;amp;T")</f>
        <v>The Next Evolution For Ground Control Data &amp;amp; Marketing Evolution - B&amp;amp;T</v>
      </c>
      <c r="D493" s="185" t="str">
        <f>IFERROR(__xludf.DUMMYFUNCTION("""COMPUTED_VALUE"""),"AU")</f>
        <v>AU</v>
      </c>
      <c r="E493" s="185" t="str">
        <f>IFERROR(__xludf.DUMMYFUNCTION("""COMPUTED_VALUE"""),"bandt.com.au")</f>
        <v>bandt.com.au</v>
      </c>
      <c r="F493" s="185" t="str">
        <f>IFERROR(__xludf.DUMMYFUNCTION("""COMPUTED_VALUE"""),"Article")</f>
        <v>Article</v>
      </c>
      <c r="G493" s="185" t="str">
        <f>IFERROR(__xludf.DUMMYFUNCTION("""COMPUTED_VALUE"""),"EDITORIAL")</f>
        <v>EDITORIAL</v>
      </c>
      <c r="H493" s="185" t="str">
        <f>IFERROR(__xludf.DUMMYFUNCTION("""COMPUTED_VALUE"""),"No")</f>
        <v>No</v>
      </c>
      <c r="I493" s="185" t="str">
        <f>IFERROR(__xludf.DUMMYFUNCTION("""COMPUTED_VALUE"""),"Medium")</f>
        <v>Medium</v>
      </c>
      <c r="J493" s="185" t="str">
        <f>IFERROR(__xludf.DUMMYFUNCTION("""COMPUTED_VALUE"""),"Yes")</f>
        <v>Yes</v>
      </c>
      <c r="K493" s="185" t="str">
        <f>IFERROR(__xludf.DUMMYFUNCTION("""COMPUTED_VALUE"""),"WPP, PHD")</f>
        <v>WPP, PHD</v>
      </c>
      <c r="L493" s="187">
        <f>IFERROR(__xludf.DUMMYFUNCTION("""COMPUTED_VALUE"""),1.0)</f>
        <v>1</v>
      </c>
      <c r="M493" s="188">
        <f>IFERROR(__xludf.DUMMYFUNCTION("""COMPUTED_VALUE"""),0.0)</f>
        <v>0</v>
      </c>
      <c r="N493" s="188">
        <f>IFERROR(__xludf.DUMMYFUNCTION("""COMPUTED_VALUE"""),1.0)</f>
        <v>1</v>
      </c>
      <c r="O493" s="208"/>
      <c r="P493" s="208"/>
      <c r="Q493" s="208"/>
      <c r="R493" s="208"/>
    </row>
    <row r="494">
      <c r="A494" s="185" t="str">
        <f>IFERROR(__xludf.DUMMYFUNCTION("""COMPUTED_VALUE"""),"Trade media / editorial publication")</f>
        <v>Trade media / editorial publication</v>
      </c>
      <c r="B494" s="186" t="str">
        <f>IFERROR(__xludf.DUMMYFUNCTION("""COMPUTED_VALUE"""),"https://www.bandt.com.au/wpp-media-pulls-away-from-omnicom-essencemediacom-gains-on-leader-omd/")</f>
        <v>https://www.bandt.com.au/wpp-media-pulls-away-from-omnicom-essencemediacom-gains-on-leader-omd/</v>
      </c>
      <c r="C494" s="185" t="str">
        <f>IFERROR(__xludf.DUMMYFUNCTION("""COMPUTED_VALUE"""),"WPP Media Pulls Away From Omnicom, EssenceMediacom Gains On Leader OMD - B&amp;amp;T")</f>
        <v>WPP Media Pulls Away From Omnicom, EssenceMediacom Gains On Leader OMD - B&amp;amp;T</v>
      </c>
      <c r="D494" s="185" t="str">
        <f>IFERROR(__xludf.DUMMYFUNCTION("""COMPUTED_VALUE"""),"AU")</f>
        <v>AU</v>
      </c>
      <c r="E494" s="185" t="str">
        <f>IFERROR(__xludf.DUMMYFUNCTION("""COMPUTED_VALUE"""),"bandt.com.au")</f>
        <v>bandt.com.au</v>
      </c>
      <c r="F494" s="185" t="str">
        <f>IFERROR(__xludf.DUMMYFUNCTION("""COMPUTED_VALUE"""),"Article")</f>
        <v>Article</v>
      </c>
      <c r="G494" s="185" t="str">
        <f>IFERROR(__xludf.DUMMYFUNCTION("""COMPUTED_VALUE"""),"EDITORIAL")</f>
        <v>EDITORIAL</v>
      </c>
      <c r="H494" s="185" t="str">
        <f>IFERROR(__xludf.DUMMYFUNCTION("""COMPUTED_VALUE"""),"No")</f>
        <v>No</v>
      </c>
      <c r="I494" s="185" t="str">
        <f>IFERROR(__xludf.DUMMYFUNCTION("""COMPUTED_VALUE"""),"Medium")</f>
        <v>Medium</v>
      </c>
      <c r="J494" s="185" t="str">
        <f>IFERROR(__xludf.DUMMYFUNCTION("""COMPUTED_VALUE"""),"Yes")</f>
        <v>Yes</v>
      </c>
      <c r="K494" s="185" t="str">
        <f>IFERROR(__xludf.DUMMYFUNCTION("""COMPUTED_VALUE"""),"WPP, Dentsu, EssenceMediacom, OMD, Publicis Groupe, Publicis Media, PHD, Mindshare, Accenture Song, Wavemaker, Omnicom Media Group")</f>
        <v>WPP, Dentsu, EssenceMediacom, OMD, Publicis Groupe, Publicis Media, PHD, Mindshare, Accenture Song, Wavemaker, Omnicom Media Group</v>
      </c>
      <c r="L494" s="187">
        <f>IFERROR(__xludf.DUMMYFUNCTION("""COMPUTED_VALUE"""),1.0)</f>
        <v>1</v>
      </c>
      <c r="M494" s="188">
        <f>IFERROR(__xludf.DUMMYFUNCTION("""COMPUTED_VALUE"""),0.0)</f>
        <v>0</v>
      </c>
      <c r="N494" s="188">
        <f>IFERROR(__xludf.DUMMYFUNCTION("""COMPUTED_VALUE"""),0.0)</f>
        <v>0</v>
      </c>
      <c r="O494" s="208"/>
      <c r="P494" s="208"/>
      <c r="Q494" s="208"/>
      <c r="R494" s="208"/>
    </row>
    <row r="495">
      <c r="A495" s="185" t="str">
        <f>IFERROR(__xludf.DUMMYFUNCTION("""COMPUTED_VALUE"""),"Official partner / certification ecosystem")</f>
        <v>Official partner / certification ecosystem</v>
      </c>
      <c r="B495" s="186" t="str">
        <f>IFERROR(__xludf.DUMMYFUNCTION("""COMPUTED_VALUE"""),"https://cloud.google.com/find-a-partner/partner/trakken-web-services")</f>
        <v>https://cloud.google.com/find-a-partner/partner/trakken-web-services</v>
      </c>
      <c r="C495" s="185"/>
      <c r="D495" s="185" t="str">
        <f>IFERROR(__xludf.DUMMYFUNCTION("""COMPUTED_VALUE"""),"AU")</f>
        <v>AU</v>
      </c>
      <c r="E495" s="185" t="str">
        <f>IFERROR(__xludf.DUMMYFUNCTION("""COMPUTED_VALUE"""),"google.com")</f>
        <v>google.com</v>
      </c>
      <c r="F495" s="185" t="str">
        <f>IFERROR(__xludf.DUMMYFUNCTION("""COMPUTED_VALUE"""),"Other")</f>
        <v>Other</v>
      </c>
      <c r="G495" s="185" t="str">
        <f>IFERROR(__xludf.DUMMYFUNCTION("""COMPUTED_VALUE"""),"OTHER")</f>
        <v>OTHER</v>
      </c>
      <c r="H495" s="185" t="str">
        <f>IFERROR(__xludf.DUMMYFUNCTION("""COMPUTED_VALUE"""),"No")</f>
        <v>No</v>
      </c>
      <c r="I495" s="185" t="str">
        <f>IFERROR(__xludf.DUMMYFUNCTION("""COMPUTED_VALUE"""),"High")</f>
        <v>High</v>
      </c>
      <c r="J495" s="185" t="str">
        <f>IFERROR(__xludf.DUMMYFUNCTION("""COMPUTED_VALUE"""),"Yes - priority")</f>
        <v>Yes - priority</v>
      </c>
      <c r="K495" s="185" t="str">
        <f>IFERROR(__xludf.DUMMYFUNCTION("""COMPUTED_VALUE"""),"Unknown")</f>
        <v>Unknown</v>
      </c>
      <c r="L495" s="187">
        <f>IFERROR(__xludf.DUMMYFUNCTION("""COMPUTED_VALUE"""),1.0)</f>
        <v>1</v>
      </c>
      <c r="M495" s="188">
        <f>IFERROR(__xludf.DUMMYFUNCTION("""COMPUTED_VALUE"""),0.0)</f>
        <v>0</v>
      </c>
      <c r="N495" s="188">
        <f>IFERROR(__xludf.DUMMYFUNCTION("""COMPUTED_VALUE"""),1.0)</f>
        <v>1</v>
      </c>
      <c r="O495" s="208"/>
      <c r="P495" s="208"/>
      <c r="Q495" s="208"/>
      <c r="R495" s="208"/>
    </row>
    <row r="496">
      <c r="A496" s="185" t="str">
        <f>IFERROR(__xludf.DUMMYFUNCTION("""COMPUTED_VALUE"""),"Agency directory / review marketplace")</f>
        <v>Agency directory / review marketplace</v>
      </c>
      <c r="B496" s="186" t="str">
        <f>IFERROR(__xludf.DUMMYFUNCTION("""COMPUTED_VALUE"""),"https://clutch.co/agencies/ppc/display")</f>
        <v>https://clutch.co/agencies/ppc/display</v>
      </c>
      <c r="C496" s="185" t="str">
        <f>IFERROR(__xludf.DUMMYFUNCTION("""COMPUTED_VALUE"""),"Top Display Advertising Agencies - Jul 2026 Rankings | Clutch.co")</f>
        <v>Top Display Advertising Agencies - Jul 2026 Rankings | Clutch.co</v>
      </c>
      <c r="D496" s="185" t="str">
        <f>IFERROR(__xludf.DUMMYFUNCTION("""COMPUTED_VALUE"""),"AU")</f>
        <v>AU</v>
      </c>
      <c r="E496" s="185" t="str">
        <f>IFERROR(__xludf.DUMMYFUNCTION("""COMPUTED_VALUE"""),"clutch.co")</f>
        <v>clutch.co</v>
      </c>
      <c r="F496" s="185" t="str">
        <f>IFERROR(__xludf.DUMMYFUNCTION("""COMPUTED_VALUE"""),"Category Page")</f>
        <v>Category Page</v>
      </c>
      <c r="G496" s="185" t="str">
        <f>IFERROR(__xludf.DUMMYFUNCTION("""COMPUTED_VALUE"""),"CORPORATE")</f>
        <v>CORPORATE</v>
      </c>
      <c r="H496" s="185" t="str">
        <f>IFERROR(__xludf.DUMMYFUNCTION("""COMPUTED_VALUE"""),"No")</f>
        <v>No</v>
      </c>
      <c r="I496" s="185" t="str">
        <f>IFERROR(__xludf.DUMMYFUNCTION("""COMPUTED_VALUE"""),"Medium")</f>
        <v>Medium</v>
      </c>
      <c r="J496" s="185" t="str">
        <f>IFERROR(__xludf.DUMMYFUNCTION("""COMPUTED_VALUE"""),"Yes")</f>
        <v>Yes</v>
      </c>
      <c r="K496" s="185" t="str">
        <f>IFERROR(__xludf.DUMMYFUNCTION("""COMPUTED_VALUE"""),"EvenDigit, Ninja Promo, Impressive, Intesols, Soup Agency, Salt &amp; Fuessel")</f>
        <v>EvenDigit, Ninja Promo, Impressive, Intesols, Soup Agency, Salt &amp; Fuessel</v>
      </c>
      <c r="L496" s="187">
        <f>IFERROR(__xludf.DUMMYFUNCTION("""COMPUTED_VALUE"""),1.0)</f>
        <v>1</v>
      </c>
      <c r="M496" s="188">
        <f>IFERROR(__xludf.DUMMYFUNCTION("""COMPUTED_VALUE"""),0.0)</f>
        <v>0</v>
      </c>
      <c r="N496" s="188">
        <f>IFERROR(__xludf.DUMMYFUNCTION("""COMPUTED_VALUE"""),0.0)</f>
        <v>0</v>
      </c>
      <c r="O496" s="208"/>
      <c r="P496" s="208"/>
      <c r="Q496" s="208"/>
      <c r="R496" s="208"/>
    </row>
    <row r="497">
      <c r="A497" s="185" t="str">
        <f>IFERROR(__xludf.DUMMYFUNCTION("""COMPUTED_VALUE"""),"Agency directory / review marketplace")</f>
        <v>Agency directory / review marketplace</v>
      </c>
      <c r="B497" s="186" t="str">
        <f>IFERROR(__xludf.DUMMYFUNCTION("""COMPUTED_VALUE"""),"https://clutch.co/au/agencies/branding")</f>
        <v>https://clutch.co/au/agencies/branding</v>
      </c>
      <c r="C497" s="185" t="str">
        <f>IFERROR(__xludf.DUMMYFUNCTION("""COMPUTED_VALUE"""),"Top Branding Agencies in Australia - Jul 2026 Rankings \| Clutch.co")</f>
        <v>Top Branding Agencies in Australia - Jul 2026 Rankings \| Clutch.co</v>
      </c>
      <c r="D497" s="185" t="str">
        <f>IFERROR(__xludf.DUMMYFUNCTION("""COMPUTED_VALUE"""),"AU")</f>
        <v>AU</v>
      </c>
      <c r="E497" s="185" t="str">
        <f>IFERROR(__xludf.DUMMYFUNCTION("""COMPUTED_VALUE"""),"clutch.co")</f>
        <v>clutch.co</v>
      </c>
      <c r="F497" s="185" t="str">
        <f>IFERROR(__xludf.DUMMYFUNCTION("""COMPUTED_VALUE"""),"Category Page")</f>
        <v>Category Page</v>
      </c>
      <c r="G497" s="185" t="str">
        <f>IFERROR(__xludf.DUMMYFUNCTION("""COMPUTED_VALUE"""),"CORPORATE")</f>
        <v>CORPORATE</v>
      </c>
      <c r="H497" s="185" t="str">
        <f>IFERROR(__xludf.DUMMYFUNCTION("""COMPUTED_VALUE"""),"No")</f>
        <v>No</v>
      </c>
      <c r="I497" s="185" t="str">
        <f>IFERROR(__xludf.DUMMYFUNCTION("""COMPUTED_VALUE"""),"Medium")</f>
        <v>Medium</v>
      </c>
      <c r="J497" s="185" t="str">
        <f>IFERROR(__xludf.DUMMYFUNCTION("""COMPUTED_VALUE"""),"Yes")</f>
        <v>Yes</v>
      </c>
      <c r="K497" s="185" t="str">
        <f>IFERROR(__xludf.DUMMYFUNCTION("""COMPUTED_VALUE"""),"Chello, CUT THRU, 80/20 Digital, Alley Group, Impressive, Rocket Agency")</f>
        <v>Chello, CUT THRU, 80/20 Digital, Alley Group, Impressive, Rocket Agency</v>
      </c>
      <c r="L497" s="187">
        <f>IFERROR(__xludf.DUMMYFUNCTION("""COMPUTED_VALUE"""),1.0)</f>
        <v>1</v>
      </c>
      <c r="M497" s="188">
        <f>IFERROR(__xludf.DUMMYFUNCTION("""COMPUTED_VALUE"""),0.0)</f>
        <v>0</v>
      </c>
      <c r="N497" s="188">
        <f>IFERROR(__xludf.DUMMYFUNCTION("""COMPUTED_VALUE"""),0.0)</f>
        <v>0</v>
      </c>
      <c r="O497" s="208"/>
      <c r="P497" s="208"/>
      <c r="Q497" s="208"/>
      <c r="R497" s="208"/>
    </row>
    <row r="498">
      <c r="A498" s="185" t="str">
        <f>IFERROR(__xludf.DUMMYFUNCTION("""COMPUTED_VALUE"""),"Agency directory / review marketplace")</f>
        <v>Agency directory / review marketplace</v>
      </c>
      <c r="B498" s="186" t="str">
        <f>IFERROR(__xludf.DUMMYFUNCTION("""COMPUTED_VALUE"""),"https://clutch.co/au/agencies/media-buying/sydney")</f>
        <v>https://clutch.co/au/agencies/media-buying/sydney</v>
      </c>
      <c r="C498" s="185" t="str">
        <f>IFERROR(__xludf.DUMMYFUNCTION("""COMPUTED_VALUE"""),"Top Media Buying Agencies in Sydney - Jul 2026 Rankings | Clutch.co")</f>
        <v>Top Media Buying Agencies in Sydney - Jul 2026 Rankings | Clutch.co</v>
      </c>
      <c r="D498" s="185" t="str">
        <f>IFERROR(__xludf.DUMMYFUNCTION("""COMPUTED_VALUE"""),"AU")</f>
        <v>AU</v>
      </c>
      <c r="E498" s="185" t="str">
        <f>IFERROR(__xludf.DUMMYFUNCTION("""COMPUTED_VALUE"""),"clutch.co")</f>
        <v>clutch.co</v>
      </c>
      <c r="F498" s="185" t="str">
        <f>IFERROR(__xludf.DUMMYFUNCTION("""COMPUTED_VALUE"""),"Category Page")</f>
        <v>Category Page</v>
      </c>
      <c r="G498" s="185" t="str">
        <f>IFERROR(__xludf.DUMMYFUNCTION("""COMPUTED_VALUE"""),"CORPORATE")</f>
        <v>CORPORATE</v>
      </c>
      <c r="H498" s="185" t="str">
        <f>IFERROR(__xludf.DUMMYFUNCTION("""COMPUTED_VALUE"""),"No")</f>
        <v>No</v>
      </c>
      <c r="I498" s="185" t="str">
        <f>IFERROR(__xludf.DUMMYFUNCTION("""COMPUTED_VALUE"""),"Medium")</f>
        <v>Medium</v>
      </c>
      <c r="J498" s="185" t="str">
        <f>IFERROR(__xludf.DUMMYFUNCTION("""COMPUTED_VALUE"""),"Yes")</f>
        <v>Yes</v>
      </c>
      <c r="K498" s="185" t="str">
        <f>IFERROR(__xludf.DUMMYFUNCTION("""COMPUTED_VALUE"""),"Impressive, Momentum, Soup Agency, DNM Digital, Bench Media")</f>
        <v>Impressive, Momentum, Soup Agency, DNM Digital, Bench Media</v>
      </c>
      <c r="L498" s="187">
        <f>IFERROR(__xludf.DUMMYFUNCTION("""COMPUTED_VALUE"""),1.0)</f>
        <v>1</v>
      </c>
      <c r="M498" s="188">
        <f>IFERROR(__xludf.DUMMYFUNCTION("""COMPUTED_VALUE"""),0.0)</f>
        <v>0</v>
      </c>
      <c r="N498" s="188">
        <f>IFERROR(__xludf.DUMMYFUNCTION("""COMPUTED_VALUE"""),1.0)</f>
        <v>1</v>
      </c>
      <c r="O498" s="208"/>
      <c r="P498" s="208"/>
      <c r="Q498" s="208"/>
      <c r="R498" s="208"/>
    </row>
    <row r="499">
      <c r="A499" s="185" t="str">
        <f>IFERROR(__xludf.DUMMYFUNCTION("""COMPUTED_VALUE"""),"Agency directory / review marketplace")</f>
        <v>Agency directory / review marketplace</v>
      </c>
      <c r="B499" s="186" t="str">
        <f>IFERROR(__xludf.DUMMYFUNCTION("""COMPUTED_VALUE"""),"https://clutch.co/au/agencies/media-buying?page=2")</f>
        <v>https://clutch.co/au/agencies/media-buying?page=2</v>
      </c>
      <c r="C499" s="185" t="str">
        <f>IFERROR(__xludf.DUMMYFUNCTION("""COMPUTED_VALUE"""),"Page 2 - Top Media Buying Agencies in Australia - Jul 2026 Rankings \| Clutch.co")</f>
        <v>Page 2 - Top Media Buying Agencies in Australia - Jul 2026 Rankings \| Clutch.co</v>
      </c>
      <c r="D499" s="185" t="str">
        <f>IFERROR(__xludf.DUMMYFUNCTION("""COMPUTED_VALUE"""),"AU")</f>
        <v>AU</v>
      </c>
      <c r="E499" s="185" t="str">
        <f>IFERROR(__xludf.DUMMYFUNCTION("""COMPUTED_VALUE"""),"clutch.co")</f>
        <v>clutch.co</v>
      </c>
      <c r="F499" s="185" t="str">
        <f>IFERROR(__xludf.DUMMYFUNCTION("""COMPUTED_VALUE"""),"Profile")</f>
        <v>Profile</v>
      </c>
      <c r="G499" s="185" t="str">
        <f>IFERROR(__xludf.DUMMYFUNCTION("""COMPUTED_VALUE"""),"CORPORATE")</f>
        <v>CORPORATE</v>
      </c>
      <c r="H499" s="185" t="str">
        <f>IFERROR(__xludf.DUMMYFUNCTION("""COMPUTED_VALUE"""),"No")</f>
        <v>No</v>
      </c>
      <c r="I499" s="185" t="str">
        <f>IFERROR(__xludf.DUMMYFUNCTION("""COMPUTED_VALUE"""),"Medium")</f>
        <v>Medium</v>
      </c>
      <c r="J499" s="185" t="str">
        <f>IFERROR(__xludf.DUMMYFUNCTION("""COMPUTED_VALUE"""),"Yes")</f>
        <v>Yes</v>
      </c>
      <c r="K499" s="185" t="str">
        <f>IFERROR(__xludf.DUMMYFUNCTION("""COMPUTED_VALUE"""),"Soup Agency, DNM Digital, Bench Media, Impressive, MK Media")</f>
        <v>Soup Agency, DNM Digital, Bench Media, Impressive, MK Media</v>
      </c>
      <c r="L499" s="187">
        <f>IFERROR(__xludf.DUMMYFUNCTION("""COMPUTED_VALUE"""),1.0)</f>
        <v>1</v>
      </c>
      <c r="M499" s="188">
        <f>IFERROR(__xludf.DUMMYFUNCTION("""COMPUTED_VALUE"""),0.0)</f>
        <v>0</v>
      </c>
      <c r="N499" s="188">
        <f>IFERROR(__xludf.DUMMYFUNCTION("""COMPUTED_VALUE"""),0.0)</f>
        <v>0</v>
      </c>
      <c r="O499" s="208"/>
      <c r="P499" s="208"/>
      <c r="Q499" s="208"/>
      <c r="R499" s="208"/>
    </row>
    <row r="500">
      <c r="A500" s="185" t="str">
        <f>IFERROR(__xludf.DUMMYFUNCTION("""COMPUTED_VALUE"""),"Agency directory / review marketplace")</f>
        <v>Agency directory / review marketplace</v>
      </c>
      <c r="B500" s="186" t="str">
        <f>IFERROR(__xludf.DUMMYFUNCTION("""COMPUTED_VALUE"""),"https://clutch.co/au/agencies/ppc/brisbane")</f>
        <v>https://clutch.co/au/agencies/ppc/brisbane</v>
      </c>
      <c r="C500" s="185" t="str">
        <f>IFERROR(__xludf.DUMMYFUNCTION("""COMPUTED_VALUE"""),"Top PPC Agencies in Brisbane - Jul 2026 Rankings | Clutch.co")</f>
        <v>Top PPC Agencies in Brisbane - Jul 2026 Rankings | Clutch.co</v>
      </c>
      <c r="D500" s="185" t="str">
        <f>IFERROR(__xludf.DUMMYFUNCTION("""COMPUTED_VALUE"""),"AU")</f>
        <v>AU</v>
      </c>
      <c r="E500" s="185" t="str">
        <f>IFERROR(__xludf.DUMMYFUNCTION("""COMPUTED_VALUE"""),"clutch.co")</f>
        <v>clutch.co</v>
      </c>
      <c r="F500" s="185" t="str">
        <f>IFERROR(__xludf.DUMMYFUNCTION("""COMPUTED_VALUE"""),"Category Page")</f>
        <v>Category Page</v>
      </c>
      <c r="G500" s="185" t="str">
        <f>IFERROR(__xludf.DUMMYFUNCTION("""COMPUTED_VALUE"""),"CORPORATE")</f>
        <v>CORPORATE</v>
      </c>
      <c r="H500" s="185" t="str">
        <f>IFERROR(__xludf.DUMMYFUNCTION("""COMPUTED_VALUE"""),"No")</f>
        <v>No</v>
      </c>
      <c r="I500" s="185" t="str">
        <f>IFERROR(__xludf.DUMMYFUNCTION("""COMPUTED_VALUE"""),"Medium")</f>
        <v>Medium</v>
      </c>
      <c r="J500" s="185" t="str">
        <f>IFERROR(__xludf.DUMMYFUNCTION("""COMPUTED_VALUE"""),"Yes")</f>
        <v>Yes</v>
      </c>
      <c r="K500" s="185" t="str">
        <f>IFERROR(__xludf.DUMMYFUNCTION("""COMPUTED_VALUE"""),"Soup Agency, Farsiight, Impressive, MyWork, Supple Digital, Digital Nomads HQ, Edge Marketing, Megaphone, Alpha Digital, Growth Digital")</f>
        <v>Soup Agency, Farsiight, Impressive, MyWork, Supple Digital, Digital Nomads HQ, Edge Marketing, Megaphone, Alpha Digital, Growth Digital</v>
      </c>
      <c r="L500" s="187">
        <f>IFERROR(__xludf.DUMMYFUNCTION("""COMPUTED_VALUE"""),1.0)</f>
        <v>1</v>
      </c>
      <c r="M500" s="188">
        <f>IFERROR(__xludf.DUMMYFUNCTION("""COMPUTED_VALUE"""),0.0)</f>
        <v>0</v>
      </c>
      <c r="N500" s="188">
        <f>IFERROR(__xludf.DUMMYFUNCTION("""COMPUTED_VALUE"""),1.0)</f>
        <v>1</v>
      </c>
      <c r="O500" s="208"/>
      <c r="P500" s="208"/>
      <c r="Q500" s="208"/>
      <c r="R500" s="208"/>
    </row>
    <row r="501">
      <c r="A501" s="185" t="str">
        <f>IFERROR(__xludf.DUMMYFUNCTION("""COMPUTED_VALUE"""),"Agency directory / review marketplace")</f>
        <v>Agency directory / review marketplace</v>
      </c>
      <c r="B501" s="186" t="str">
        <f>IFERROR(__xludf.DUMMYFUNCTION("""COMPUTED_VALUE"""),"https://clutch.co/au/agencies/ppc/google-adwords/sydney")</f>
        <v>https://clutch.co/au/agencies/ppc/google-adwords/sydney</v>
      </c>
      <c r="C501" s="185" t="str">
        <f>IFERROR(__xludf.DUMMYFUNCTION("""COMPUTED_VALUE"""),"Top Adwords PPC Agencies in Sydney - Jul 2026 Rankings \| Clutch.co")</f>
        <v>Top Adwords PPC Agencies in Sydney - Jul 2026 Rankings \| Clutch.co</v>
      </c>
      <c r="D501" s="185" t="str">
        <f>IFERROR(__xludf.DUMMYFUNCTION("""COMPUTED_VALUE"""),"AU")</f>
        <v>AU</v>
      </c>
      <c r="E501" s="185" t="str">
        <f>IFERROR(__xludf.DUMMYFUNCTION("""COMPUTED_VALUE"""),"clutch.co")</f>
        <v>clutch.co</v>
      </c>
      <c r="F501" s="185" t="str">
        <f>IFERROR(__xludf.DUMMYFUNCTION("""COMPUTED_VALUE"""),"Category Page")</f>
        <v>Category Page</v>
      </c>
      <c r="G501" s="185" t="str">
        <f>IFERROR(__xludf.DUMMYFUNCTION("""COMPUTED_VALUE"""),"CORPORATE")</f>
        <v>CORPORATE</v>
      </c>
      <c r="H501" s="185" t="str">
        <f>IFERROR(__xludf.DUMMYFUNCTION("""COMPUTED_VALUE"""),"No")</f>
        <v>No</v>
      </c>
      <c r="I501" s="185" t="str">
        <f>IFERROR(__xludf.DUMMYFUNCTION("""COMPUTED_VALUE"""),"Medium")</f>
        <v>Medium</v>
      </c>
      <c r="J501" s="185" t="str">
        <f>IFERROR(__xludf.DUMMYFUNCTION("""COMPUTED_VALUE"""),"Yes")</f>
        <v>Yes</v>
      </c>
      <c r="K501" s="185" t="str">
        <f>IFERROR(__xludf.DUMMYFUNCTION("""COMPUTED_VALUE"""),"Human Digital, Soup Agency, Supple Digital, Digital Nomads HQ, Rocket Agency, DNM Digital, Impressive, Megaphone, Online Marketing Gurus, Marketix Digital, Insil, Sparro, AdVisible, Click Click Media")</f>
        <v>Human Digital, Soup Agency, Supple Digital, Digital Nomads HQ, Rocket Agency, DNM Digital, Impressive, Megaphone, Online Marketing Gurus, Marketix Digital, Insil, Sparro, AdVisible, Click Click Media</v>
      </c>
      <c r="L501" s="187">
        <f>IFERROR(__xludf.DUMMYFUNCTION("""COMPUTED_VALUE"""),1.0)</f>
        <v>1</v>
      </c>
      <c r="M501" s="188">
        <f>IFERROR(__xludf.DUMMYFUNCTION("""COMPUTED_VALUE"""),0.0)</f>
        <v>0</v>
      </c>
      <c r="N501" s="188">
        <f>IFERROR(__xludf.DUMMYFUNCTION("""COMPUTED_VALUE"""),0.0)</f>
        <v>0</v>
      </c>
      <c r="O501" s="208"/>
      <c r="P501" s="208"/>
      <c r="Q501" s="208"/>
      <c r="R501" s="208"/>
    </row>
    <row r="502">
      <c r="A502" s="185" t="str">
        <f>IFERROR(__xludf.DUMMYFUNCTION("""COMPUTED_VALUE"""),"Agency directory / review marketplace")</f>
        <v>Agency directory / review marketplace</v>
      </c>
      <c r="B502" s="186" t="str">
        <f>IFERROR(__xludf.DUMMYFUNCTION("""COMPUTED_VALUE"""),"https://clutch.co/au/agencies/ppc/melbourne")</f>
        <v>https://clutch.co/au/agencies/ppc/melbourne</v>
      </c>
      <c r="C502" s="185" t="str">
        <f>IFERROR(__xludf.DUMMYFUNCTION("""COMPUTED_VALUE"""),"Top PPC Agencies in Melbourne - Jul 2026 Rankings \| Clutch.co")</f>
        <v>Top PPC Agencies in Melbourne - Jul 2026 Rankings \| Clutch.co</v>
      </c>
      <c r="D502" s="185" t="str">
        <f>IFERROR(__xludf.DUMMYFUNCTION("""COMPUTED_VALUE"""),"AU")</f>
        <v>AU</v>
      </c>
      <c r="E502" s="185" t="str">
        <f>IFERROR(__xludf.DUMMYFUNCTION("""COMPUTED_VALUE"""),"clutch.co")</f>
        <v>clutch.co</v>
      </c>
      <c r="F502" s="185" t="str">
        <f>IFERROR(__xludf.DUMMYFUNCTION("""COMPUTED_VALUE"""),"Category Page")</f>
        <v>Category Page</v>
      </c>
      <c r="G502" s="185" t="str">
        <f>IFERROR(__xludf.DUMMYFUNCTION("""COMPUTED_VALUE"""),"CORPORATE")</f>
        <v>CORPORATE</v>
      </c>
      <c r="H502" s="185" t="str">
        <f>IFERROR(__xludf.DUMMYFUNCTION("""COMPUTED_VALUE"""),"No")</f>
        <v>No</v>
      </c>
      <c r="I502" s="185" t="str">
        <f>IFERROR(__xludf.DUMMYFUNCTION("""COMPUTED_VALUE"""),"Medium")</f>
        <v>Medium</v>
      </c>
      <c r="J502" s="185" t="str">
        <f>IFERROR(__xludf.DUMMYFUNCTION("""COMPUTED_VALUE"""),"Yes")</f>
        <v>Yes</v>
      </c>
      <c r="K502" s="185" t="str">
        <f>IFERROR(__xludf.DUMMYFUNCTION("""COMPUTED_VALUE"""),"EvenDigit, SIXGUN, Intesols, Impressive, Emote Digital, 80/20 Digital, Supple Digital, Alley Group, Soup Agency, Salt &amp; Fuessel, Digital Nomads HQ, Clearwater Agency, Megaphone, Reform Digital")</f>
        <v>EvenDigit, SIXGUN, Intesols, Impressive, Emote Digital, 80/20 Digital, Supple Digital, Alley Group, Soup Agency, Salt &amp; Fuessel, Digital Nomads HQ, Clearwater Agency, Megaphone, Reform Digital</v>
      </c>
      <c r="L502" s="187">
        <f>IFERROR(__xludf.DUMMYFUNCTION("""COMPUTED_VALUE"""),1.0)</f>
        <v>1</v>
      </c>
      <c r="M502" s="188">
        <f>IFERROR(__xludf.DUMMYFUNCTION("""COMPUTED_VALUE"""),0.0)</f>
        <v>0</v>
      </c>
      <c r="N502" s="188">
        <f>IFERROR(__xludf.DUMMYFUNCTION("""COMPUTED_VALUE"""),0.0)</f>
        <v>0</v>
      </c>
      <c r="O502" s="208"/>
      <c r="P502" s="208"/>
      <c r="Q502" s="208"/>
      <c r="R502" s="208"/>
    </row>
    <row r="503">
      <c r="A503" s="185" t="str">
        <f>IFERROR(__xludf.DUMMYFUNCTION("""COMPUTED_VALUE"""),"Agency directory / review marketplace")</f>
        <v>Agency directory / review marketplace</v>
      </c>
      <c r="B503" s="186" t="str">
        <f>IFERROR(__xludf.DUMMYFUNCTION("""COMPUTED_VALUE"""),"https://clutch.co/au/agencies/ppc?page=2")</f>
        <v>https://clutch.co/au/agencies/ppc?page=2</v>
      </c>
      <c r="C503" s="185" t="str">
        <f>IFERROR(__xludf.DUMMYFUNCTION("""COMPUTED_VALUE"""),"Page 2 - Top PPC Agencies in Australia - Jul 2026 Rankings | Clutch.co")</f>
        <v>Page 2 - Top PPC Agencies in Australia - Jul 2026 Rankings | Clutch.co</v>
      </c>
      <c r="D503" s="185" t="str">
        <f>IFERROR(__xludf.DUMMYFUNCTION("""COMPUTED_VALUE"""),"AU")</f>
        <v>AU</v>
      </c>
      <c r="E503" s="185" t="str">
        <f>IFERROR(__xludf.DUMMYFUNCTION("""COMPUTED_VALUE"""),"clutch.co")</f>
        <v>clutch.co</v>
      </c>
      <c r="F503" s="185" t="str">
        <f>IFERROR(__xludf.DUMMYFUNCTION("""COMPUTED_VALUE"""),"Category Page")</f>
        <v>Category Page</v>
      </c>
      <c r="G503" s="185" t="str">
        <f>IFERROR(__xludf.DUMMYFUNCTION("""COMPUTED_VALUE"""),"CORPORATE")</f>
        <v>CORPORATE</v>
      </c>
      <c r="H503" s="185" t="str">
        <f>IFERROR(__xludf.DUMMYFUNCTION("""COMPUTED_VALUE"""),"No")</f>
        <v>No</v>
      </c>
      <c r="I503" s="185" t="str">
        <f>IFERROR(__xludf.DUMMYFUNCTION("""COMPUTED_VALUE"""),"Medium")</f>
        <v>Medium</v>
      </c>
      <c r="J503" s="185" t="str">
        <f>IFERROR(__xludf.DUMMYFUNCTION("""COMPUTED_VALUE"""),"Yes")</f>
        <v>Yes</v>
      </c>
      <c r="K503" s="185" t="str">
        <f>IFERROR(__xludf.DUMMYFUNCTION("""COMPUTED_VALUE"""),"Soup Agency, Impressive, Insil, Reform Digital, AdVisible, Megaphone, Digital Nomads HQ, Farsiight, SIXGUN, Human Digital, Paradox Marketing, Rocket Agency, Online Marketing Gurus, Intesols, MyWork, Emote Digital, Clearwater Agency, Salt &amp; Fuessel, 80/20 "&amp;"Digital, Marketix Digital")</f>
        <v>Soup Agency, Impressive, Insil, Reform Digital, AdVisible, Megaphone, Digital Nomads HQ, Farsiight, SIXGUN, Human Digital, Paradox Marketing, Rocket Agency, Online Marketing Gurus, Intesols, MyWork, Emote Digital, Clearwater Agency, Salt &amp; Fuessel, 80/20 Digital, Marketix Digital</v>
      </c>
      <c r="L503" s="187">
        <f>IFERROR(__xludf.DUMMYFUNCTION("""COMPUTED_VALUE"""),1.0)</f>
        <v>1</v>
      </c>
      <c r="M503" s="188">
        <f>IFERROR(__xludf.DUMMYFUNCTION("""COMPUTED_VALUE"""),0.0)</f>
        <v>0</v>
      </c>
      <c r="N503" s="188">
        <f>IFERROR(__xludf.DUMMYFUNCTION("""COMPUTED_VALUE"""),0.0)</f>
        <v>0</v>
      </c>
      <c r="O503" s="208"/>
      <c r="P503" s="208"/>
      <c r="Q503" s="208"/>
      <c r="R503" s="208"/>
    </row>
    <row r="504">
      <c r="A504" s="185" t="str">
        <f>IFERROR(__xludf.DUMMYFUNCTION("""COMPUTED_VALUE"""),"Agency directory / review marketplace")</f>
        <v>Agency directory / review marketplace</v>
      </c>
      <c r="B504" s="186" t="str">
        <f>IFERROR(__xludf.DUMMYFUNCTION("""COMPUTED_VALUE"""),"https://clutch.co/au/agencies/programmatic/sydney")</f>
        <v>https://clutch.co/au/agencies/programmatic/sydney</v>
      </c>
      <c r="C504" s="185" t="str">
        <f>IFERROR(__xludf.DUMMYFUNCTION("""COMPUTED_VALUE"""),"Top Programmatic Advertising Agencies in Sydney - Jul 2026 Rankings | Clutch.co")</f>
        <v>Top Programmatic Advertising Agencies in Sydney - Jul 2026 Rankings | Clutch.co</v>
      </c>
      <c r="D504" s="185" t="str">
        <f>IFERROR(__xludf.DUMMYFUNCTION("""COMPUTED_VALUE"""),"AU")</f>
        <v>AU</v>
      </c>
      <c r="E504" s="185" t="str">
        <f>IFERROR(__xludf.DUMMYFUNCTION("""COMPUTED_VALUE"""),"clutch.co")</f>
        <v>clutch.co</v>
      </c>
      <c r="F504" s="185" t="str">
        <f>IFERROR(__xludf.DUMMYFUNCTION("""COMPUTED_VALUE"""),"Category Page")</f>
        <v>Category Page</v>
      </c>
      <c r="G504" s="185" t="str">
        <f>IFERROR(__xludf.DUMMYFUNCTION("""COMPUTED_VALUE"""),"CORPORATE")</f>
        <v>CORPORATE</v>
      </c>
      <c r="H504" s="185" t="str">
        <f>IFERROR(__xludf.DUMMYFUNCTION("""COMPUTED_VALUE"""),"No")</f>
        <v>No</v>
      </c>
      <c r="I504" s="185" t="str">
        <f>IFERROR(__xludf.DUMMYFUNCTION("""COMPUTED_VALUE"""),"Medium")</f>
        <v>Medium</v>
      </c>
      <c r="J504" s="185" t="str">
        <f>IFERROR(__xludf.DUMMYFUNCTION("""COMPUTED_VALUE"""),"Yes")</f>
        <v>Yes</v>
      </c>
      <c r="K504" s="185" t="str">
        <f>IFERROR(__xludf.DUMMYFUNCTION("""COMPUTED_VALUE"""),"Soup Agency, DNM Digital, In Marketing We Trust, Bench Media, Impressive")</f>
        <v>Soup Agency, DNM Digital, In Marketing We Trust, Bench Media, Impressive</v>
      </c>
      <c r="L504" s="187">
        <f>IFERROR(__xludf.DUMMYFUNCTION("""COMPUTED_VALUE"""),1.0)</f>
        <v>1</v>
      </c>
      <c r="M504" s="188">
        <f>IFERROR(__xludf.DUMMYFUNCTION("""COMPUTED_VALUE"""),0.0)</f>
        <v>0</v>
      </c>
      <c r="N504" s="188">
        <f>IFERROR(__xludf.DUMMYFUNCTION("""COMPUTED_VALUE"""),0.0)</f>
        <v>0</v>
      </c>
      <c r="O504" s="208"/>
      <c r="P504" s="208"/>
      <c r="Q504" s="208"/>
      <c r="R504" s="208"/>
    </row>
    <row r="505">
      <c r="A505" s="185" t="str">
        <f>IFERROR(__xludf.DUMMYFUNCTION("""COMPUTED_VALUE"""),"Agency directory / review marketplace")</f>
        <v>Agency directory / review marketplace</v>
      </c>
      <c r="B505" s="186" t="str">
        <f>IFERROR(__xludf.DUMMYFUNCTION("""COMPUTED_VALUE"""),"https://clutch.co/au/agencies/seo/technical")</f>
        <v>https://clutch.co/au/agencies/seo/technical</v>
      </c>
      <c r="C505" s="185" t="str">
        <f>IFERROR(__xludf.DUMMYFUNCTION("""COMPUTED_VALUE"""),"Top Technical SEO Agencies in Australia - Jul 2026 Rankings | Clutch.co")</f>
        <v>Top Technical SEO Agencies in Australia - Jul 2026 Rankings | Clutch.co</v>
      </c>
      <c r="D505" s="185" t="str">
        <f>IFERROR(__xludf.DUMMYFUNCTION("""COMPUTED_VALUE"""),"AU")</f>
        <v>AU</v>
      </c>
      <c r="E505" s="185" t="str">
        <f>IFERROR(__xludf.DUMMYFUNCTION("""COMPUTED_VALUE"""),"clutch.co")</f>
        <v>clutch.co</v>
      </c>
      <c r="F505" s="185" t="str">
        <f>IFERROR(__xludf.DUMMYFUNCTION("""COMPUTED_VALUE"""),"Category Page")</f>
        <v>Category Page</v>
      </c>
      <c r="G505" s="185" t="str">
        <f>IFERROR(__xludf.DUMMYFUNCTION("""COMPUTED_VALUE"""),"CORPORATE")</f>
        <v>CORPORATE</v>
      </c>
      <c r="H505" s="185" t="str">
        <f>IFERROR(__xludf.DUMMYFUNCTION("""COMPUTED_VALUE"""),"No")</f>
        <v>No</v>
      </c>
      <c r="I505" s="185" t="str">
        <f>IFERROR(__xludf.DUMMYFUNCTION("""COMPUTED_VALUE"""),"Medium")</f>
        <v>Medium</v>
      </c>
      <c r="J505" s="185" t="str">
        <f>IFERROR(__xludf.DUMMYFUNCTION("""COMPUTED_VALUE"""),"Yes")</f>
        <v>Yes</v>
      </c>
      <c r="K505" s="185" t="str">
        <f>IFERROR(__xludf.DUMMYFUNCTION("""COMPUTED_VALUE"""),"Intesols, Impressive, StudioHawk, Soup Agency, Luminary, Emote Digital, Salt &amp; Fuessel, EvenDigit, First Page, DNM Digital, Edge Marketing, In Marketing We Trust, eMarket Experts, Marketix Digital, Megaphone, Paradox Marketing, Prosperity Media")</f>
        <v>Intesols, Impressive, StudioHawk, Soup Agency, Luminary, Emote Digital, Salt &amp; Fuessel, EvenDigit, First Page, DNM Digital, Edge Marketing, In Marketing We Trust, eMarket Experts, Marketix Digital, Megaphone, Paradox Marketing, Prosperity Media</v>
      </c>
      <c r="L505" s="187">
        <f>IFERROR(__xludf.DUMMYFUNCTION("""COMPUTED_VALUE"""),1.0)</f>
        <v>1</v>
      </c>
      <c r="M505" s="188">
        <f>IFERROR(__xludf.DUMMYFUNCTION("""COMPUTED_VALUE"""),0.0)</f>
        <v>0</v>
      </c>
      <c r="N505" s="188">
        <f>IFERROR(__xludf.DUMMYFUNCTION("""COMPUTED_VALUE"""),0.0)</f>
        <v>0</v>
      </c>
      <c r="O505" s="208"/>
      <c r="P505" s="208"/>
      <c r="Q505" s="208"/>
      <c r="R505" s="208"/>
    </row>
    <row r="506">
      <c r="A506" s="185" t="str">
        <f>IFERROR(__xludf.DUMMYFUNCTION("""COMPUTED_VALUE"""),"Agency directory / review marketplace")</f>
        <v>Agency directory / review marketplace</v>
      </c>
      <c r="B506" s="186" t="str">
        <f>IFERROR(__xludf.DUMMYFUNCTION("""COMPUTED_VALUE"""),"https://clutch.co/au/agencies/social-media-marketing/facebook/sydney")</f>
        <v>https://clutch.co/au/agencies/social-media-marketing/facebook/sydney</v>
      </c>
      <c r="C506" s="185" t="str">
        <f>IFERROR(__xludf.DUMMYFUNCTION("""COMPUTED_VALUE"""),"Top Facebook Advertising Agencies in Sydney - Jul 2026 Rankings \| Clutch.co")</f>
        <v>Top Facebook Advertising Agencies in Sydney - Jul 2026 Rankings \| Clutch.co</v>
      </c>
      <c r="D506" s="185" t="str">
        <f>IFERROR(__xludf.DUMMYFUNCTION("""COMPUTED_VALUE"""),"AU")</f>
        <v>AU</v>
      </c>
      <c r="E506" s="185" t="str">
        <f>IFERROR(__xludf.DUMMYFUNCTION("""COMPUTED_VALUE"""),"clutch.co")</f>
        <v>clutch.co</v>
      </c>
      <c r="F506" s="185" t="str">
        <f>IFERROR(__xludf.DUMMYFUNCTION("""COMPUTED_VALUE"""),"Category Page")</f>
        <v>Category Page</v>
      </c>
      <c r="G506" s="185" t="str">
        <f>IFERROR(__xludf.DUMMYFUNCTION("""COMPUTED_VALUE"""),"CORPORATE")</f>
        <v>CORPORATE</v>
      </c>
      <c r="H506" s="185" t="str">
        <f>IFERROR(__xludf.DUMMYFUNCTION("""COMPUTED_VALUE"""),"No")</f>
        <v>No</v>
      </c>
      <c r="I506" s="185" t="str">
        <f>IFERROR(__xludf.DUMMYFUNCTION("""COMPUTED_VALUE"""),"Medium")</f>
        <v>Medium</v>
      </c>
      <c r="J506" s="185" t="str">
        <f>IFERROR(__xludf.DUMMYFUNCTION("""COMPUTED_VALUE"""),"Yes")</f>
        <v>Yes</v>
      </c>
      <c r="K506" s="185" t="str">
        <f>IFERROR(__xludf.DUMMYFUNCTION("""COMPUTED_VALUE"""),"Soup Agency, Human Digital, Digital Nomads HQ, Rocket Agency, DNM Digital, Impressive, Megaphone, Online Marketing Gurus, Omnicom Media Group, Bench Media, Insil, Huge, AdVisible")</f>
        <v>Soup Agency, Human Digital, Digital Nomads HQ, Rocket Agency, DNM Digital, Impressive, Megaphone, Online Marketing Gurus, Omnicom Media Group, Bench Media, Insil, Huge, AdVisible</v>
      </c>
      <c r="L506" s="187">
        <f>IFERROR(__xludf.DUMMYFUNCTION("""COMPUTED_VALUE"""),1.0)</f>
        <v>1</v>
      </c>
      <c r="M506" s="188">
        <f>IFERROR(__xludf.DUMMYFUNCTION("""COMPUTED_VALUE"""),0.0)</f>
        <v>0</v>
      </c>
      <c r="N506" s="188">
        <f>IFERROR(__xludf.DUMMYFUNCTION("""COMPUTED_VALUE"""),0.0)</f>
        <v>0</v>
      </c>
      <c r="O506" s="208"/>
      <c r="P506" s="208"/>
      <c r="Q506" s="208"/>
      <c r="R506" s="208"/>
    </row>
    <row r="507">
      <c r="A507" s="185" t="str">
        <f>IFERROR(__xludf.DUMMYFUNCTION("""COMPUTED_VALUE"""),"Agency directory / review marketplace")</f>
        <v>Agency directory / review marketplace</v>
      </c>
      <c r="B507" s="186" t="str">
        <f>IFERROR(__xludf.DUMMYFUNCTION("""COMPUTED_VALUE"""),"https://clutch.co/au/agencies/social-media-marketing/facebook?page=6")</f>
        <v>https://clutch.co/au/agencies/social-media-marketing/facebook?page=6</v>
      </c>
      <c r="C507" s="185" t="str">
        <f>IFERROR(__xludf.DUMMYFUNCTION("""COMPUTED_VALUE"""),"Page 6 - Top Facebook Advertising Agencies in Australia - Jul 2026 Rankings \| Clutch.co")</f>
        <v>Page 6 - Top Facebook Advertising Agencies in Australia - Jul 2026 Rankings \| Clutch.co</v>
      </c>
      <c r="D507" s="185" t="str">
        <f>IFERROR(__xludf.DUMMYFUNCTION("""COMPUTED_VALUE"""),"AU")</f>
        <v>AU</v>
      </c>
      <c r="E507" s="185" t="str">
        <f>IFERROR(__xludf.DUMMYFUNCTION("""COMPUTED_VALUE"""),"clutch.co")</f>
        <v>clutch.co</v>
      </c>
      <c r="F507" s="185" t="str">
        <f>IFERROR(__xludf.DUMMYFUNCTION("""COMPUTED_VALUE"""),"Category Page")</f>
        <v>Category Page</v>
      </c>
      <c r="G507" s="185" t="str">
        <f>IFERROR(__xludf.DUMMYFUNCTION("""COMPUTED_VALUE"""),"CORPORATE")</f>
        <v>CORPORATE</v>
      </c>
      <c r="H507" s="185" t="str">
        <f>IFERROR(__xludf.DUMMYFUNCTION("""COMPUTED_VALUE"""),"No")</f>
        <v>No</v>
      </c>
      <c r="I507" s="185" t="str">
        <f>IFERROR(__xludf.DUMMYFUNCTION("""COMPUTED_VALUE"""),"Medium")</f>
        <v>Medium</v>
      </c>
      <c r="J507" s="185" t="str">
        <f>IFERROR(__xludf.DUMMYFUNCTION("""COMPUTED_VALUE"""),"Yes")</f>
        <v>Yes</v>
      </c>
      <c r="K507" s="185" t="str">
        <f>IFERROR(__xludf.DUMMYFUNCTION("""COMPUTED_VALUE"""),"Digital Nomads HQ, SIXGUN, Intesols, Farsiight, Soup Agency, Emote Digital, Impressive, Human Digital, Megaphone, Online Marketing Gurus, Paradox Marketing, Rocket Agency, Bench Media, Insil, Clearwater Agency, Salt &amp; Fuessel")</f>
        <v>Digital Nomads HQ, SIXGUN, Intesols, Farsiight, Soup Agency, Emote Digital, Impressive, Human Digital, Megaphone, Online Marketing Gurus, Paradox Marketing, Rocket Agency, Bench Media, Insil, Clearwater Agency, Salt &amp; Fuessel</v>
      </c>
      <c r="L507" s="187">
        <f>IFERROR(__xludf.DUMMYFUNCTION("""COMPUTED_VALUE"""),1.0)</f>
        <v>1</v>
      </c>
      <c r="M507" s="188">
        <f>IFERROR(__xludf.DUMMYFUNCTION("""COMPUTED_VALUE"""),0.0)</f>
        <v>0</v>
      </c>
      <c r="N507" s="188">
        <f>IFERROR(__xludf.DUMMYFUNCTION("""COMPUTED_VALUE"""),0.0)</f>
        <v>0</v>
      </c>
      <c r="O507" s="208"/>
      <c r="P507" s="208"/>
      <c r="Q507" s="208"/>
      <c r="R507" s="208"/>
    </row>
    <row r="508">
      <c r="A508" s="185" t="str">
        <f>IFERROR(__xludf.DUMMYFUNCTION("""COMPUTED_VALUE"""),"Agency directory / review marketplace")</f>
        <v>Agency directory / review marketplace</v>
      </c>
      <c r="B508" s="186" t="str">
        <f>IFERROR(__xludf.DUMMYFUNCTION("""COMPUTED_VALUE"""),"https://clutch.co/au/agencies/social-media-marketing/tik-tok/melbourne")</f>
        <v>https://clutch.co/au/agencies/social-media-marketing/tik-tok/melbourne</v>
      </c>
      <c r="C508" s="185" t="str">
        <f>IFERROR(__xludf.DUMMYFUNCTION("""COMPUTED_VALUE"""),"Top TikTok Advertising Agencies in Melbourne - Jul 2026 Rankings | Clutch.co")</f>
        <v>Top TikTok Advertising Agencies in Melbourne - Jul 2026 Rankings | Clutch.co</v>
      </c>
      <c r="D508" s="185" t="str">
        <f>IFERROR(__xludf.DUMMYFUNCTION("""COMPUTED_VALUE"""),"AU")</f>
        <v>AU</v>
      </c>
      <c r="E508" s="185" t="str">
        <f>IFERROR(__xludf.DUMMYFUNCTION("""COMPUTED_VALUE"""),"clutch.co")</f>
        <v>clutch.co</v>
      </c>
      <c r="F508" s="185" t="str">
        <f>IFERROR(__xludf.DUMMYFUNCTION("""COMPUTED_VALUE"""),"Other")</f>
        <v>Other</v>
      </c>
      <c r="G508" s="185" t="str">
        <f>IFERROR(__xludf.DUMMYFUNCTION("""COMPUTED_VALUE"""),"CORPORATE")</f>
        <v>CORPORATE</v>
      </c>
      <c r="H508" s="185" t="str">
        <f>IFERROR(__xludf.DUMMYFUNCTION("""COMPUTED_VALUE"""),"No")</f>
        <v>No</v>
      </c>
      <c r="I508" s="185" t="str">
        <f>IFERROR(__xludf.DUMMYFUNCTION("""COMPUTED_VALUE"""),"Medium")</f>
        <v>Medium</v>
      </c>
      <c r="J508" s="185" t="str">
        <f>IFERROR(__xludf.DUMMYFUNCTION("""COMPUTED_VALUE"""),"Yes")</f>
        <v>Yes</v>
      </c>
      <c r="K508" s="185" t="str">
        <f>IFERROR(__xludf.DUMMYFUNCTION("""COMPUTED_VALUE"""),"Impressive, Emote Digital, Salt &amp; Fuessel, Digital Nomads HQ, Megaphone, Reform Digital, Eight Clients")</f>
        <v>Impressive, Emote Digital, Salt &amp; Fuessel, Digital Nomads HQ, Megaphone, Reform Digital, Eight Clients</v>
      </c>
      <c r="L508" s="187">
        <f>IFERROR(__xludf.DUMMYFUNCTION("""COMPUTED_VALUE"""),1.0)</f>
        <v>1</v>
      </c>
      <c r="M508" s="188">
        <f>IFERROR(__xludf.DUMMYFUNCTION("""COMPUTED_VALUE"""),0.0)</f>
        <v>0</v>
      </c>
      <c r="N508" s="188">
        <f>IFERROR(__xludf.DUMMYFUNCTION("""COMPUTED_VALUE"""),0.0)</f>
        <v>0</v>
      </c>
      <c r="O508" s="208"/>
      <c r="P508" s="208"/>
      <c r="Q508" s="208"/>
      <c r="R508" s="208"/>
    </row>
    <row r="509">
      <c r="A509" s="185" t="str">
        <f>IFERROR(__xludf.DUMMYFUNCTION("""COMPUTED_VALUE"""),"Agency directory / review marketplace")</f>
        <v>Agency directory / review marketplace</v>
      </c>
      <c r="B509" s="186" t="str">
        <f>IFERROR(__xludf.DUMMYFUNCTION("""COMPUTED_VALUE"""),"https://clutch.co/au/agencies/social-media-marketing/tik-tok/sydney")</f>
        <v>https://clutch.co/au/agencies/social-media-marketing/tik-tok/sydney</v>
      </c>
      <c r="C509" s="185" t="str">
        <f>IFERROR(__xludf.DUMMYFUNCTION("""COMPUTED_VALUE"""),"Top TikTok Advertising Agencies in Sydney - Jul 2026 Rankings | Clutch.co")</f>
        <v>Top TikTok Advertising Agencies in Sydney - Jul 2026 Rankings | Clutch.co</v>
      </c>
      <c r="D509" s="185" t="str">
        <f>IFERROR(__xludf.DUMMYFUNCTION("""COMPUTED_VALUE"""),"AU")</f>
        <v>AU</v>
      </c>
      <c r="E509" s="185" t="str">
        <f>IFERROR(__xludf.DUMMYFUNCTION("""COMPUTED_VALUE"""),"clutch.co")</f>
        <v>clutch.co</v>
      </c>
      <c r="F509" s="185" t="str">
        <f>IFERROR(__xludf.DUMMYFUNCTION("""COMPUTED_VALUE"""),"Category Page")</f>
        <v>Category Page</v>
      </c>
      <c r="G509" s="185" t="str">
        <f>IFERROR(__xludf.DUMMYFUNCTION("""COMPUTED_VALUE"""),"CORPORATE")</f>
        <v>CORPORATE</v>
      </c>
      <c r="H509" s="185" t="str">
        <f>IFERROR(__xludf.DUMMYFUNCTION("""COMPUTED_VALUE"""),"No")</f>
        <v>No</v>
      </c>
      <c r="I509" s="185" t="str">
        <f>IFERROR(__xludf.DUMMYFUNCTION("""COMPUTED_VALUE"""),"Medium")</f>
        <v>Medium</v>
      </c>
      <c r="J509" s="185" t="str">
        <f>IFERROR(__xludf.DUMMYFUNCTION("""COMPUTED_VALUE"""),"Yes")</f>
        <v>Yes</v>
      </c>
      <c r="K509" s="185" t="str">
        <f>IFERROR(__xludf.DUMMYFUNCTION("""COMPUTED_VALUE"""),"Soup Agency, Impressive, Digital Nomads HQ, Megaphone, Bench Media, Eight Clients")</f>
        <v>Soup Agency, Impressive, Digital Nomads HQ, Megaphone, Bench Media, Eight Clients</v>
      </c>
      <c r="L509" s="187">
        <f>IFERROR(__xludf.DUMMYFUNCTION("""COMPUTED_VALUE"""),1.0)</f>
        <v>1</v>
      </c>
      <c r="M509" s="188">
        <f>IFERROR(__xludf.DUMMYFUNCTION("""COMPUTED_VALUE"""),0.0)</f>
        <v>0</v>
      </c>
      <c r="N509" s="188">
        <f>IFERROR(__xludf.DUMMYFUNCTION("""COMPUTED_VALUE"""),3.0)</f>
        <v>3</v>
      </c>
      <c r="O509" s="208"/>
      <c r="P509" s="208"/>
      <c r="Q509" s="208"/>
      <c r="R509" s="208"/>
    </row>
    <row r="510">
      <c r="A510" s="185" t="str">
        <f>IFERROR(__xludf.DUMMYFUNCTION("""COMPUTED_VALUE"""),"Agency directory / review marketplace")</f>
        <v>Agency directory / review marketplace</v>
      </c>
      <c r="B510" s="186" t="str">
        <f>IFERROR(__xludf.DUMMYFUNCTION("""COMPUTED_VALUE"""),"https://clutch.co/au/agencies/social-media-marketing/tik-tok?page=2")</f>
        <v>https://clutch.co/au/agencies/social-media-marketing/tik-tok?page=2</v>
      </c>
      <c r="C510" s="185" t="str">
        <f>IFERROR(__xludf.DUMMYFUNCTION("""COMPUTED_VALUE"""),"Page 2 - Top TikTok Advertising Agencies in Australia - Jul 2026 Rankings | Clutch.co")</f>
        <v>Page 2 - Top TikTok Advertising Agencies in Australia - Jul 2026 Rankings | Clutch.co</v>
      </c>
      <c r="D510" s="185" t="str">
        <f>IFERROR(__xludf.DUMMYFUNCTION("""COMPUTED_VALUE"""),"AU")</f>
        <v>AU</v>
      </c>
      <c r="E510" s="185" t="str">
        <f>IFERROR(__xludf.DUMMYFUNCTION("""COMPUTED_VALUE"""),"clutch.co")</f>
        <v>clutch.co</v>
      </c>
      <c r="F510" s="185" t="str">
        <f>IFERROR(__xludf.DUMMYFUNCTION("""COMPUTED_VALUE"""),"Category Page")</f>
        <v>Category Page</v>
      </c>
      <c r="G510" s="185" t="str">
        <f>IFERROR(__xludf.DUMMYFUNCTION("""COMPUTED_VALUE"""),"CORPORATE")</f>
        <v>CORPORATE</v>
      </c>
      <c r="H510" s="185" t="str">
        <f>IFERROR(__xludf.DUMMYFUNCTION("""COMPUTED_VALUE"""),"No")</f>
        <v>No</v>
      </c>
      <c r="I510" s="185" t="str">
        <f>IFERROR(__xludf.DUMMYFUNCTION("""COMPUTED_VALUE"""),"Medium")</f>
        <v>Medium</v>
      </c>
      <c r="J510" s="185" t="str">
        <f>IFERROR(__xludf.DUMMYFUNCTION("""COMPUTED_VALUE"""),"Yes")</f>
        <v>Yes</v>
      </c>
      <c r="K510" s="185" t="str">
        <f>IFERROR(__xludf.DUMMYFUNCTION("""COMPUTED_VALUE"""),"Impressive, Digital Nomads HQ, Megaphone, Soup Agency, Paradox Marketing, Emote Digital, Bench Media, Salt &amp; Fuessel, Reform Digital")</f>
        <v>Impressive, Digital Nomads HQ, Megaphone, Soup Agency, Paradox Marketing, Emote Digital, Bench Media, Salt &amp; Fuessel, Reform Digital</v>
      </c>
      <c r="L510" s="187">
        <f>IFERROR(__xludf.DUMMYFUNCTION("""COMPUTED_VALUE"""),1.0)</f>
        <v>1</v>
      </c>
      <c r="M510" s="188">
        <f>IFERROR(__xludf.DUMMYFUNCTION("""COMPUTED_VALUE"""),0.0)</f>
        <v>0</v>
      </c>
      <c r="N510" s="188">
        <f>IFERROR(__xludf.DUMMYFUNCTION("""COMPUTED_VALUE"""),0.0)</f>
        <v>0</v>
      </c>
      <c r="O510" s="208"/>
      <c r="P510" s="208"/>
      <c r="Q510" s="208"/>
      <c r="R510" s="208"/>
    </row>
    <row r="511">
      <c r="A511" s="185" t="str">
        <f>IFERROR(__xludf.DUMMYFUNCTION("""COMPUTED_VALUE"""),"Agency directory / review marketplace")</f>
        <v>Agency directory / review marketplace</v>
      </c>
      <c r="B511" s="186" t="str">
        <f>IFERROR(__xludf.DUMMYFUNCTION("""COMPUTED_VALUE"""),"https://clutch.co/au/agencies?page=7")</f>
        <v>https://clutch.co/au/agencies?page=7</v>
      </c>
      <c r="C511" s="185" t="str">
        <f>IFERROR(__xludf.DUMMYFUNCTION("""COMPUTED_VALUE"""),"Page 7 - Top Advertising Agencies in Australia - Jul 2026 Rankings | Clutch.co")</f>
        <v>Page 7 - Top Advertising Agencies in Australia - Jul 2026 Rankings | Clutch.co</v>
      </c>
      <c r="D511" s="185" t="str">
        <f>IFERROR(__xludf.DUMMYFUNCTION("""COMPUTED_VALUE"""),"AU")</f>
        <v>AU</v>
      </c>
      <c r="E511" s="185" t="str">
        <f>IFERROR(__xludf.DUMMYFUNCTION("""COMPUTED_VALUE"""),"clutch.co")</f>
        <v>clutch.co</v>
      </c>
      <c r="F511" s="185" t="str">
        <f>IFERROR(__xludf.DUMMYFUNCTION("""COMPUTED_VALUE"""),"Category Page")</f>
        <v>Category Page</v>
      </c>
      <c r="G511" s="185" t="str">
        <f>IFERROR(__xludf.DUMMYFUNCTION("""COMPUTED_VALUE"""),"CORPORATE")</f>
        <v>CORPORATE</v>
      </c>
      <c r="H511" s="185" t="str">
        <f>IFERROR(__xludf.DUMMYFUNCTION("""COMPUTED_VALUE"""),"No")</f>
        <v>No</v>
      </c>
      <c r="I511" s="185" t="str">
        <f>IFERROR(__xludf.DUMMYFUNCTION("""COMPUTED_VALUE"""),"Medium")</f>
        <v>Medium</v>
      </c>
      <c r="J511" s="185" t="str">
        <f>IFERROR(__xludf.DUMMYFUNCTION("""COMPUTED_VALUE"""),"Yes")</f>
        <v>Yes</v>
      </c>
      <c r="K511" s="185" t="str">
        <f>IFERROR(__xludf.DUMMYFUNCTION("""COMPUTED_VALUE"""),"Version2, Impressive, weDiscover, Ninja Promo, Loud Days, Chello, Human Digital, Soup Agency, Bench Media, Farsiight, Insil, DNM Digital")</f>
        <v>Version2, Impressive, weDiscover, Ninja Promo, Loud Days, Chello, Human Digital, Soup Agency, Bench Media, Farsiight, Insil, DNM Digital</v>
      </c>
      <c r="L511" s="187">
        <f>IFERROR(__xludf.DUMMYFUNCTION("""COMPUTED_VALUE"""),1.0)</f>
        <v>1</v>
      </c>
      <c r="M511" s="188">
        <f>IFERROR(__xludf.DUMMYFUNCTION("""COMPUTED_VALUE"""),0.0)</f>
        <v>0</v>
      </c>
      <c r="N511" s="188">
        <f>IFERROR(__xludf.DUMMYFUNCTION("""COMPUTED_VALUE"""),0.0)</f>
        <v>0</v>
      </c>
      <c r="O511" s="208"/>
      <c r="P511" s="208"/>
      <c r="Q511" s="208"/>
      <c r="R511" s="208"/>
    </row>
    <row r="512">
      <c r="A512" s="185" t="str">
        <f>IFERROR(__xludf.DUMMYFUNCTION("""COMPUTED_VALUE"""),"Agency directory / review marketplace")</f>
        <v>Agency directory / review marketplace</v>
      </c>
      <c r="B512" s="186" t="str">
        <f>IFERROR(__xludf.DUMMYFUNCTION("""COMPUTED_VALUE"""),"https://clutch.co/profile/xpon-technologies")</f>
        <v>https://clutch.co/profile/xpon-technologies</v>
      </c>
      <c r="C512" s="185" t="str">
        <f>IFERROR(__xludf.DUMMYFUNCTION("""COMPUTED_VALUE"""),"XPON Technologies Reviews (1), Pricing, Services &amp;amp; Verified Ratings")</f>
        <v>XPON Technologies Reviews (1), Pricing, Services &amp;amp; Verified Ratings</v>
      </c>
      <c r="D512" s="185" t="str">
        <f>IFERROR(__xludf.DUMMYFUNCTION("""COMPUTED_VALUE"""),"AU")</f>
        <v>AU</v>
      </c>
      <c r="E512" s="185" t="str">
        <f>IFERROR(__xludf.DUMMYFUNCTION("""COMPUTED_VALUE"""),"clutch.co")</f>
        <v>clutch.co</v>
      </c>
      <c r="F512" s="185" t="str">
        <f>IFERROR(__xludf.DUMMYFUNCTION("""COMPUTED_VALUE"""),"Profile")</f>
        <v>Profile</v>
      </c>
      <c r="G512" s="185" t="str">
        <f>IFERROR(__xludf.DUMMYFUNCTION("""COMPUTED_VALUE"""),"CORPORATE")</f>
        <v>CORPORATE</v>
      </c>
      <c r="H512" s="185" t="str">
        <f>IFERROR(__xludf.DUMMYFUNCTION("""COMPUTED_VALUE"""),"No")</f>
        <v>No</v>
      </c>
      <c r="I512" s="185" t="str">
        <f>IFERROR(__xludf.DUMMYFUNCTION("""COMPUTED_VALUE"""),"Medium")</f>
        <v>Medium</v>
      </c>
      <c r="J512" s="185" t="str">
        <f>IFERROR(__xludf.DUMMYFUNCTION("""COMPUTED_VALUE"""),"Yes")</f>
        <v>Yes</v>
      </c>
      <c r="K512" s="185" t="str">
        <f>IFERROR(__xludf.DUMMYFUNCTION("""COMPUTED_VALUE"""),"XPON, Impressive")</f>
        <v>XPON, Impressive</v>
      </c>
      <c r="L512" s="187">
        <f>IFERROR(__xludf.DUMMYFUNCTION("""COMPUTED_VALUE"""),1.0)</f>
        <v>1</v>
      </c>
      <c r="M512" s="188">
        <f>IFERROR(__xludf.DUMMYFUNCTION("""COMPUTED_VALUE"""),0.0)</f>
        <v>0</v>
      </c>
      <c r="N512" s="188">
        <f>IFERROR(__xludf.DUMMYFUNCTION("""COMPUTED_VALUE"""),1.0)</f>
        <v>1</v>
      </c>
      <c r="O512" s="208"/>
      <c r="P512" s="208"/>
      <c r="Q512" s="208"/>
      <c r="R512" s="208"/>
    </row>
    <row r="513">
      <c r="A513" s="185" t="str">
        <f>IFERROR(__xludf.DUMMYFUNCTION("""COMPUTED_VALUE"""),"Lower-priority competitor/vendor roundup")</f>
        <v>Lower-priority competitor/vendor roundup</v>
      </c>
      <c r="B513" s="186" t="str">
        <f>IFERROR(__xludf.DUMMYFUNCTION("""COMPUTED_VALUE"""),"https://www.cometly.com/post/multi-touch-attribution-platform")</f>
        <v>https://www.cometly.com/post/multi-touch-attribution-platform</v>
      </c>
      <c r="C513" s="185" t="str">
        <f>IFERROR(__xludf.DUMMYFUNCTION("""COMPUTED_VALUE"""),"9 Best Multi Touch Attribution Platforms 2026 Guide")</f>
        <v>9 Best Multi Touch Attribution Platforms 2026 Guide</v>
      </c>
      <c r="D513" s="185" t="str">
        <f>IFERROR(__xludf.DUMMYFUNCTION("""COMPUTED_VALUE"""),"AU")</f>
        <v>AU</v>
      </c>
      <c r="E513" s="185" t="str">
        <f>IFERROR(__xludf.DUMMYFUNCTION("""COMPUTED_VALUE"""),"cometly.com")</f>
        <v>cometly.com</v>
      </c>
      <c r="F513" s="185" t="str">
        <f>IFERROR(__xludf.DUMMYFUNCTION("""COMPUTED_VALUE"""),"Listicle")</f>
        <v>Listicle</v>
      </c>
      <c r="G513" s="185" t="str">
        <f>IFERROR(__xludf.DUMMYFUNCTION("""COMPUTED_VALUE"""),"CORPORATE")</f>
        <v>CORPORATE</v>
      </c>
      <c r="H513" s="185" t="str">
        <f>IFERROR(__xludf.DUMMYFUNCTION("""COMPUTED_VALUE"""),"No")</f>
        <v>No</v>
      </c>
      <c r="I513" s="185" t="str">
        <f>IFERROR(__xludf.DUMMYFUNCTION("""COMPUTED_VALUE"""),"Low")</f>
        <v>Low</v>
      </c>
      <c r="J513" s="185" t="str">
        <f>IFERROR(__xludf.DUMMYFUNCTION("""COMPUTED_VALUE"""),"Secondary")</f>
        <v>Secondary</v>
      </c>
      <c r="K513" s="185" t="str">
        <f>IFERROR(__xludf.DUMMYFUNCTION("""COMPUTED_VALUE"""),"Measured")</f>
        <v>Measured</v>
      </c>
      <c r="L513" s="187">
        <f>IFERROR(__xludf.DUMMYFUNCTION("""COMPUTED_VALUE"""),1.0)</f>
        <v>1</v>
      </c>
      <c r="M513" s="188">
        <f>IFERROR(__xludf.DUMMYFUNCTION("""COMPUTED_VALUE"""),0.0)</f>
        <v>0</v>
      </c>
      <c r="N513" s="188">
        <f>IFERROR(__xludf.DUMMYFUNCTION("""COMPUTED_VALUE"""),1.0)</f>
        <v>1</v>
      </c>
      <c r="O513" s="208"/>
      <c r="P513" s="208"/>
      <c r="Q513" s="208"/>
      <c r="R513" s="208"/>
    </row>
    <row r="514">
      <c r="A514" s="185" t="str">
        <f>IFERROR(__xludf.DUMMYFUNCTION("""COMPUTED_VALUE"""),"Agency directory / review marketplace")</f>
        <v>Agency directory / review marketplace</v>
      </c>
      <c r="B514" s="186" t="str">
        <f>IFERROR(__xludf.DUMMYFUNCTION("""COMPUTED_VALUE"""),"https://www.designrush.com/agency/conversion-optimization/au")</f>
        <v>https://www.designrush.com/agency/conversion-optimization/au</v>
      </c>
      <c r="C514" s="185" t="str">
        <f>IFERROR(__xludf.DUMMYFUNCTION("""COMPUTED_VALUE"""),"Top Conversion Rate Optimization Services in Australia | 2026")</f>
        <v>Top Conversion Rate Optimization Services in Australia | 2026</v>
      </c>
      <c r="D514" s="185" t="str">
        <f>IFERROR(__xludf.DUMMYFUNCTION("""COMPUTED_VALUE"""),"AU")</f>
        <v>AU</v>
      </c>
      <c r="E514" s="185" t="str">
        <f>IFERROR(__xludf.DUMMYFUNCTION("""COMPUTED_VALUE"""),"designrush.com")</f>
        <v>designrush.com</v>
      </c>
      <c r="F514" s="185" t="str">
        <f>IFERROR(__xludf.DUMMYFUNCTION("""COMPUTED_VALUE"""),"Listicle")</f>
        <v>Listicle</v>
      </c>
      <c r="G514" s="185" t="str">
        <f>IFERROR(__xludf.DUMMYFUNCTION("""COMPUTED_VALUE"""),"CORPORATE")</f>
        <v>CORPORATE</v>
      </c>
      <c r="H514" s="185" t="str">
        <f>IFERROR(__xludf.DUMMYFUNCTION("""COMPUTED_VALUE"""),"No")</f>
        <v>No</v>
      </c>
      <c r="I514" s="185" t="str">
        <f>IFERROR(__xludf.DUMMYFUNCTION("""COMPUTED_VALUE"""),"Medium")</f>
        <v>Medium</v>
      </c>
      <c r="J514" s="185" t="str">
        <f>IFERROR(__xludf.DUMMYFUNCTION("""COMPUTED_VALUE"""),"Yes")</f>
        <v>Yes</v>
      </c>
      <c r="K514" s="185" t="str">
        <f>IFERROR(__xludf.DUMMYFUNCTION("""COMPUTED_VALUE"""),"Impressive, Deloitte, eMarket Experts, SIXGUN, In Marketing We Trust, Luminary, Soup Agency, Growth Digital, Digitxl")</f>
        <v>Impressive, Deloitte, eMarket Experts, SIXGUN, In Marketing We Trust, Luminary, Soup Agency, Growth Digital, Digitxl</v>
      </c>
      <c r="L514" s="187">
        <f>IFERROR(__xludf.DUMMYFUNCTION("""COMPUTED_VALUE"""),1.0)</f>
        <v>1</v>
      </c>
      <c r="M514" s="188">
        <f>IFERROR(__xludf.DUMMYFUNCTION("""COMPUTED_VALUE"""),0.0)</f>
        <v>0</v>
      </c>
      <c r="N514" s="188">
        <f>IFERROR(__xludf.DUMMYFUNCTION("""COMPUTED_VALUE"""),1.0)</f>
        <v>1</v>
      </c>
      <c r="O514" s="208"/>
      <c r="P514" s="208"/>
      <c r="Q514" s="208"/>
      <c r="R514" s="208"/>
    </row>
    <row r="515">
      <c r="A515" s="185" t="str">
        <f>IFERROR(__xludf.DUMMYFUNCTION("""COMPUTED_VALUE"""),"Agency directory / review marketplace")</f>
        <v>Agency directory / review marketplace</v>
      </c>
      <c r="B515" s="186" t="str">
        <f>IFERROR(__xludf.DUMMYFUNCTION("""COMPUTED_VALUE"""),"https://www.designrush.com/agency/digital-marketing/trends/incrementality-testing")</f>
        <v>https://www.designrush.com/agency/digital-marketing/trends/incrementality-testing</v>
      </c>
      <c r="C515" s="185" t="str">
        <f>IFERROR(__xludf.DUMMYFUNCTION("""COMPUTED_VALUE"""),"Incrementality Testing: Measure True Marketing Impact")</f>
        <v>Incrementality Testing: Measure True Marketing Impact</v>
      </c>
      <c r="D515" s="185" t="str">
        <f>IFERROR(__xludf.DUMMYFUNCTION("""COMPUTED_VALUE"""),"AU")</f>
        <v>AU</v>
      </c>
      <c r="E515" s="185" t="str">
        <f>IFERROR(__xludf.DUMMYFUNCTION("""COMPUTED_VALUE"""),"designrush.com")</f>
        <v>designrush.com</v>
      </c>
      <c r="F515" s="185" t="str">
        <f>IFERROR(__xludf.DUMMYFUNCTION("""COMPUTED_VALUE"""),"Article")</f>
        <v>Article</v>
      </c>
      <c r="G515" s="185" t="str">
        <f>IFERROR(__xludf.DUMMYFUNCTION("""COMPUTED_VALUE"""),"CORPORATE")</f>
        <v>CORPORATE</v>
      </c>
      <c r="H515" s="185" t="str">
        <f>IFERROR(__xludf.DUMMYFUNCTION("""COMPUTED_VALUE"""),"No")</f>
        <v>No</v>
      </c>
      <c r="I515" s="185" t="str">
        <f>IFERROR(__xludf.DUMMYFUNCTION("""COMPUTED_VALUE"""),"Medium")</f>
        <v>Medium</v>
      </c>
      <c r="J515" s="185" t="str">
        <f>IFERROR(__xludf.DUMMYFUNCTION("""COMPUTED_VALUE"""),"Yes")</f>
        <v>Yes</v>
      </c>
      <c r="K515" s="185" t="str">
        <f>IFERROR(__xludf.DUMMYFUNCTION("""COMPUTED_VALUE"""),"Measured, Power Digital")</f>
        <v>Measured, Power Digital</v>
      </c>
      <c r="L515" s="187">
        <f>IFERROR(__xludf.DUMMYFUNCTION("""COMPUTED_VALUE"""),1.0)</f>
        <v>1</v>
      </c>
      <c r="M515" s="188">
        <f>IFERROR(__xludf.DUMMYFUNCTION("""COMPUTED_VALUE"""),0.0)</f>
        <v>0</v>
      </c>
      <c r="N515" s="188">
        <f>IFERROR(__xludf.DUMMYFUNCTION("""COMPUTED_VALUE"""),1.0)</f>
        <v>1</v>
      </c>
      <c r="O515" s="208"/>
      <c r="P515" s="208"/>
      <c r="Q515" s="208"/>
      <c r="R515" s="208"/>
    </row>
    <row r="516">
      <c r="A516" s="185" t="str">
        <f>IFERROR(__xludf.DUMMYFUNCTION("""COMPUTED_VALUE"""),"Agency directory / review marketplace")</f>
        <v>Agency directory / review marketplace</v>
      </c>
      <c r="B516" s="186" t="str">
        <f>IFERROR(__xludf.DUMMYFUNCTION("""COMPUTED_VALUE"""),"https://www.designrush.com/agency/paid-media-pay-per-click/au")</f>
        <v>https://www.designrush.com/agency/paid-media-pay-per-click/au</v>
      </c>
      <c r="C516" s="185" t="str">
        <f>IFERROR(__xludf.DUMMYFUNCTION("""COMPUTED_VALUE"""),"Top PPC Services in Australia | 2026")</f>
        <v>Top PPC Services in Australia | 2026</v>
      </c>
      <c r="D516" s="185" t="str">
        <f>IFERROR(__xludf.DUMMYFUNCTION("""COMPUTED_VALUE"""),"AU")</f>
        <v>AU</v>
      </c>
      <c r="E516" s="185" t="str">
        <f>IFERROR(__xludf.DUMMYFUNCTION("""COMPUTED_VALUE"""),"designrush.com")</f>
        <v>designrush.com</v>
      </c>
      <c r="F516" s="185" t="str">
        <f>IFERROR(__xludf.DUMMYFUNCTION("""COMPUTED_VALUE"""),"How-To Guide")</f>
        <v>How-To Guide</v>
      </c>
      <c r="G516" s="185" t="str">
        <f>IFERROR(__xludf.DUMMYFUNCTION("""COMPUTED_VALUE"""),"CORPORATE")</f>
        <v>CORPORATE</v>
      </c>
      <c r="H516" s="185" t="str">
        <f>IFERROR(__xludf.DUMMYFUNCTION("""COMPUTED_VALUE"""),"No")</f>
        <v>No</v>
      </c>
      <c r="I516" s="185" t="str">
        <f>IFERROR(__xludf.DUMMYFUNCTION("""COMPUTED_VALUE"""),"Medium")</f>
        <v>Medium</v>
      </c>
      <c r="J516" s="185" t="str">
        <f>IFERROR(__xludf.DUMMYFUNCTION("""COMPUTED_VALUE"""),"Yes")</f>
        <v>Yes</v>
      </c>
      <c r="K516" s="185" t="str">
        <f>IFERROR(__xludf.DUMMYFUNCTION("""COMPUTED_VALUE"""),"Impressive, Supple Digital, eMarket Experts, Online Marketing Gurus, SIXGUN, Digital Nomads HQ, Soup Agency, 80/20 Digital")</f>
        <v>Impressive, Supple Digital, eMarket Experts, Online Marketing Gurus, SIXGUN, Digital Nomads HQ, Soup Agency, 80/20 Digital</v>
      </c>
      <c r="L516" s="187">
        <f>IFERROR(__xludf.DUMMYFUNCTION("""COMPUTED_VALUE"""),1.0)</f>
        <v>1</v>
      </c>
      <c r="M516" s="188">
        <f>IFERROR(__xludf.DUMMYFUNCTION("""COMPUTED_VALUE"""),0.0)</f>
        <v>0</v>
      </c>
      <c r="N516" s="188">
        <f>IFERROR(__xludf.DUMMYFUNCTION("""COMPUTED_VALUE"""),0.0)</f>
        <v>0</v>
      </c>
      <c r="O516" s="208"/>
      <c r="P516" s="208"/>
      <c r="Q516" s="208"/>
      <c r="R516" s="208"/>
    </row>
    <row r="517">
      <c r="A517" s="185" t="str">
        <f>IFERROR(__xludf.DUMMYFUNCTION("""COMPUTED_VALUE"""),"Agency directory / review marketplace")</f>
        <v>Agency directory / review marketplace</v>
      </c>
      <c r="B517" s="186" t="str">
        <f>IFERROR(__xludf.DUMMYFUNCTION("""COMPUTED_VALUE"""),"https://www.designrush.com/agency/paid-media-pay-per-click/google-adwords/au")</f>
        <v>https://www.designrush.com/agency/paid-media-pay-per-click/google-adwords/au</v>
      </c>
      <c r="C517" s="185" t="str">
        <f>IFERROR(__xludf.DUMMYFUNCTION("""COMPUTED_VALUE"""),"Top Google Ads Agencies in Australia | 2026")</f>
        <v>Top Google Ads Agencies in Australia | 2026</v>
      </c>
      <c r="D517" s="185" t="str">
        <f>IFERROR(__xludf.DUMMYFUNCTION("""COMPUTED_VALUE"""),"AU")</f>
        <v>AU</v>
      </c>
      <c r="E517" s="185" t="str">
        <f>IFERROR(__xludf.DUMMYFUNCTION("""COMPUTED_VALUE"""),"designrush.com")</f>
        <v>designrush.com</v>
      </c>
      <c r="F517" s="185" t="str">
        <f>IFERROR(__xludf.DUMMYFUNCTION("""COMPUTED_VALUE"""),"Category Page")</f>
        <v>Category Page</v>
      </c>
      <c r="G517" s="185" t="str">
        <f>IFERROR(__xludf.DUMMYFUNCTION("""COMPUTED_VALUE"""),"CORPORATE")</f>
        <v>CORPORATE</v>
      </c>
      <c r="H517" s="185" t="str">
        <f>IFERROR(__xludf.DUMMYFUNCTION("""COMPUTED_VALUE"""),"No")</f>
        <v>No</v>
      </c>
      <c r="I517" s="185" t="str">
        <f>IFERROR(__xludf.DUMMYFUNCTION("""COMPUTED_VALUE"""),"Medium")</f>
        <v>Medium</v>
      </c>
      <c r="J517" s="185" t="str">
        <f>IFERROR(__xludf.DUMMYFUNCTION("""COMPUTED_VALUE"""),"Yes")</f>
        <v>Yes</v>
      </c>
      <c r="K517" s="185" t="str">
        <f>IFERROR(__xludf.DUMMYFUNCTION("""COMPUTED_VALUE"""),"Impressive, Supple Digital, eMarket Experts, Online Marketing Gurus, SIXGUN, Digital Nomads HQ")</f>
        <v>Impressive, Supple Digital, eMarket Experts, Online Marketing Gurus, SIXGUN, Digital Nomads HQ</v>
      </c>
      <c r="L517" s="187">
        <f>IFERROR(__xludf.DUMMYFUNCTION("""COMPUTED_VALUE"""),1.0)</f>
        <v>1</v>
      </c>
      <c r="M517" s="188">
        <f>IFERROR(__xludf.DUMMYFUNCTION("""COMPUTED_VALUE"""),0.0)</f>
        <v>0</v>
      </c>
      <c r="N517" s="188">
        <f>IFERROR(__xludf.DUMMYFUNCTION("""COMPUTED_VALUE"""),1.0)</f>
        <v>1</v>
      </c>
      <c r="O517" s="208"/>
      <c r="P517" s="208"/>
      <c r="Q517" s="208"/>
      <c r="R517" s="208"/>
    </row>
    <row r="518">
      <c r="A518" s="185" t="str">
        <f>IFERROR(__xludf.DUMMYFUNCTION("""COMPUTED_VALUE"""),"Agency directory / review marketplace")</f>
        <v>Agency directory / review marketplace</v>
      </c>
      <c r="B518" s="186" t="str">
        <f>IFERROR(__xludf.DUMMYFUNCTION("""COMPUTED_VALUE"""),"https://www.designrush.com/agency/search-engine-optimization/au")</f>
        <v>https://www.designrush.com/agency/search-engine-optimization/au</v>
      </c>
      <c r="C518" s="185" t="str">
        <f>IFERROR(__xludf.DUMMYFUNCTION("""COMPUTED_VALUE"""),"Top SEO Agencies in Australia | 2026")</f>
        <v>Top SEO Agencies in Australia | 2026</v>
      </c>
      <c r="D518" s="185" t="str">
        <f>IFERROR(__xludf.DUMMYFUNCTION("""COMPUTED_VALUE"""),"AU")</f>
        <v>AU</v>
      </c>
      <c r="E518" s="185" t="str">
        <f>IFERROR(__xludf.DUMMYFUNCTION("""COMPUTED_VALUE"""),"designrush.com")</f>
        <v>designrush.com</v>
      </c>
      <c r="F518" s="185" t="str">
        <f>IFERROR(__xludf.DUMMYFUNCTION("""COMPUTED_VALUE"""),"Category Page")</f>
        <v>Category Page</v>
      </c>
      <c r="G518" s="185" t="str">
        <f>IFERROR(__xludf.DUMMYFUNCTION("""COMPUTED_VALUE"""),"CORPORATE")</f>
        <v>CORPORATE</v>
      </c>
      <c r="H518" s="185" t="str">
        <f>IFERROR(__xludf.DUMMYFUNCTION("""COMPUTED_VALUE"""),"No")</f>
        <v>No</v>
      </c>
      <c r="I518" s="185" t="str">
        <f>IFERROR(__xludf.DUMMYFUNCTION("""COMPUTED_VALUE"""),"Medium")</f>
        <v>Medium</v>
      </c>
      <c r="J518" s="185" t="str">
        <f>IFERROR(__xludf.DUMMYFUNCTION("""COMPUTED_VALUE"""),"Yes")</f>
        <v>Yes</v>
      </c>
      <c r="K518" s="185" t="str">
        <f>IFERROR(__xludf.DUMMYFUNCTION("""COMPUTED_VALUE"""),"Impressive, First Page, First Page Australia, Supple Digital, eMarket Experts, Online Marketing Gurus, SIXGUN, UR Digital, Digital Nomads HQ, Saatchi &amp; Saatchi")</f>
        <v>Impressive, First Page, First Page Australia, Supple Digital, eMarket Experts, Online Marketing Gurus, SIXGUN, UR Digital, Digital Nomads HQ, Saatchi &amp; Saatchi</v>
      </c>
      <c r="L518" s="187">
        <f>IFERROR(__xludf.DUMMYFUNCTION("""COMPUTED_VALUE"""),1.0)</f>
        <v>1</v>
      </c>
      <c r="M518" s="188">
        <f>IFERROR(__xludf.DUMMYFUNCTION("""COMPUTED_VALUE"""),0.0)</f>
        <v>0</v>
      </c>
      <c r="N518" s="188">
        <f>IFERROR(__xludf.DUMMYFUNCTION("""COMPUTED_VALUE"""),0.0)</f>
        <v>0</v>
      </c>
      <c r="O518" s="208"/>
      <c r="P518" s="208"/>
      <c r="Q518" s="208"/>
      <c r="R518" s="208"/>
    </row>
    <row r="519">
      <c r="A519" s="185" t="str">
        <f>IFERROR(__xludf.DUMMYFUNCTION("""COMPUTED_VALUE"""),"Agency directory / review marketplace")</f>
        <v>Agency directory / review marketplace</v>
      </c>
      <c r="B519" s="186" t="str">
        <f>IFERROR(__xludf.DUMMYFUNCTION("""COMPUTED_VALUE"""),"https://digitalagencynetwork.com/agencies/australia/creative/page/4/")</f>
        <v>https://digitalagencynetwork.com/agencies/australia/creative/page/4/</v>
      </c>
      <c r="C519" s="185" t="str">
        <f>IFERROR(__xludf.DUMMYFUNCTION("""COMPUTED_VALUE"""),"Best Creative Agencies in Australia")</f>
        <v>Best Creative Agencies in Australia</v>
      </c>
      <c r="D519" s="185" t="str">
        <f>IFERROR(__xludf.DUMMYFUNCTION("""COMPUTED_VALUE"""),"AU")</f>
        <v>AU</v>
      </c>
      <c r="E519" s="185" t="str">
        <f>IFERROR(__xludf.DUMMYFUNCTION("""COMPUTED_VALUE"""),"digitalagencynetwork.com")</f>
        <v>digitalagencynetwork.com</v>
      </c>
      <c r="F519" s="185" t="str">
        <f>IFERROR(__xludf.DUMMYFUNCTION("""COMPUTED_VALUE"""),"Category Page")</f>
        <v>Category Page</v>
      </c>
      <c r="G519" s="185" t="str">
        <f>IFERROR(__xludf.DUMMYFUNCTION("""COMPUTED_VALUE"""),"REFERENCE")</f>
        <v>REFERENCE</v>
      </c>
      <c r="H519" s="185" t="str">
        <f>IFERROR(__xludf.DUMMYFUNCTION("""COMPUTED_VALUE"""),"No")</f>
        <v>No</v>
      </c>
      <c r="I519" s="185" t="str">
        <f>IFERROR(__xludf.DUMMYFUNCTION("""COMPUTED_VALUE"""),"Medium")</f>
        <v>Medium</v>
      </c>
      <c r="J519" s="185" t="str">
        <f>IFERROR(__xludf.DUMMYFUNCTION("""COMPUTED_VALUE"""),"Yes")</f>
        <v>Yes</v>
      </c>
      <c r="K519" s="185" t="str">
        <f>IFERROR(__xludf.DUMMYFUNCTION("""COMPUTED_VALUE"""),"weDiscover")</f>
        <v>weDiscover</v>
      </c>
      <c r="L519" s="187">
        <f>IFERROR(__xludf.DUMMYFUNCTION("""COMPUTED_VALUE"""),1.0)</f>
        <v>1</v>
      </c>
      <c r="M519" s="188">
        <f>IFERROR(__xludf.DUMMYFUNCTION("""COMPUTED_VALUE"""),0.0)</f>
        <v>0</v>
      </c>
      <c r="N519" s="188">
        <f>IFERROR(__xludf.DUMMYFUNCTION("""COMPUTED_VALUE"""),0.0)</f>
        <v>0</v>
      </c>
      <c r="O519" s="208"/>
      <c r="P519" s="208"/>
      <c r="Q519" s="208"/>
      <c r="R519" s="208"/>
    </row>
    <row r="520">
      <c r="A520" s="185" t="str">
        <f>IFERROR(__xludf.DUMMYFUNCTION("""COMPUTED_VALUE"""),"Agency directory / review marketplace")</f>
        <v>Agency directory / review marketplace</v>
      </c>
      <c r="B520" s="186" t="str">
        <f>IFERROR(__xludf.DUMMYFUNCTION("""COMPUTED_VALUE"""),"https://digitalagencynetwork.com/agencies/sydney/")</f>
        <v>https://digitalagencynetwork.com/agencies/sydney/</v>
      </c>
      <c r="C520" s="185" t="str">
        <f>IFERROR(__xludf.DUMMYFUNCTION("""COMPUTED_VALUE"""),"Best Digital Marketing Agencies in Sydney (2026)")</f>
        <v>Best Digital Marketing Agencies in Sydney (2026)</v>
      </c>
      <c r="D520" s="185" t="str">
        <f>IFERROR(__xludf.DUMMYFUNCTION("""COMPUTED_VALUE"""),"AU")</f>
        <v>AU</v>
      </c>
      <c r="E520" s="185" t="str">
        <f>IFERROR(__xludf.DUMMYFUNCTION("""COMPUTED_VALUE"""),"digitalagencynetwork.com")</f>
        <v>digitalagencynetwork.com</v>
      </c>
      <c r="F520" s="185" t="str">
        <f>IFERROR(__xludf.DUMMYFUNCTION("""COMPUTED_VALUE"""),"Category Page")</f>
        <v>Category Page</v>
      </c>
      <c r="G520" s="185" t="str">
        <f>IFERROR(__xludf.DUMMYFUNCTION("""COMPUTED_VALUE"""),"REFERENCE")</f>
        <v>REFERENCE</v>
      </c>
      <c r="H520" s="185" t="str">
        <f>IFERROR(__xludf.DUMMYFUNCTION("""COMPUTED_VALUE"""),"No")</f>
        <v>No</v>
      </c>
      <c r="I520" s="185" t="str">
        <f>IFERROR(__xludf.DUMMYFUNCTION("""COMPUTED_VALUE"""),"Medium")</f>
        <v>Medium</v>
      </c>
      <c r="J520" s="185" t="str">
        <f>IFERROR(__xludf.DUMMYFUNCTION("""COMPUTED_VALUE"""),"Yes")</f>
        <v>Yes</v>
      </c>
      <c r="K520" s="185" t="str">
        <f>IFERROR(__xludf.DUMMYFUNCTION("""COMPUTED_VALUE"""),"Luminary, Supple Digital, Jaywing, In Marketing We Trust, Digital Nomads HQ, Soup Agency, Emote Digital, Human Digital, Online Marketing Gurus, Insil, Zib Digital, Bench Media, AdVisible")</f>
        <v>Luminary, Supple Digital, Jaywing, In Marketing We Trust, Digital Nomads HQ, Soup Agency, Emote Digital, Human Digital, Online Marketing Gurus, Insil, Zib Digital, Bench Media, AdVisible</v>
      </c>
      <c r="L520" s="187">
        <f>IFERROR(__xludf.DUMMYFUNCTION("""COMPUTED_VALUE"""),1.0)</f>
        <v>1</v>
      </c>
      <c r="M520" s="188">
        <f>IFERROR(__xludf.DUMMYFUNCTION("""COMPUTED_VALUE"""),0.0)</f>
        <v>0</v>
      </c>
      <c r="N520" s="188">
        <f>IFERROR(__xludf.DUMMYFUNCTION("""COMPUTED_VALUE"""),1.0)</f>
        <v>1</v>
      </c>
      <c r="O520" s="208"/>
      <c r="P520" s="208"/>
      <c r="Q520" s="208"/>
      <c r="R520" s="208"/>
    </row>
    <row r="521">
      <c r="A521" s="185" t="str">
        <f>IFERROR(__xludf.DUMMYFUNCTION("""COMPUTED_VALUE"""),"Agency directory / review marketplace")</f>
        <v>Agency directory / review marketplace</v>
      </c>
      <c r="B521" s="186" t="str">
        <f>IFERROR(__xludf.DUMMYFUNCTION("""COMPUTED_VALUE"""),"https://digitalagencynetwork.com/agency/alpha-digital/")</f>
        <v>https://digitalagencynetwork.com/agency/alpha-digital/</v>
      </c>
      <c r="C521" s="185" t="str">
        <f>IFERROR(__xludf.DUMMYFUNCTION("""COMPUTED_VALUE"""),"Alpha Digital Agency | Digital Agency Network")</f>
        <v>Alpha Digital Agency | Digital Agency Network</v>
      </c>
      <c r="D521" s="185" t="str">
        <f>IFERROR(__xludf.DUMMYFUNCTION("""COMPUTED_VALUE"""),"AU")</f>
        <v>AU</v>
      </c>
      <c r="E521" s="185" t="str">
        <f>IFERROR(__xludf.DUMMYFUNCTION("""COMPUTED_VALUE"""),"digitalagencynetwork.com")</f>
        <v>digitalagencynetwork.com</v>
      </c>
      <c r="F521" s="185" t="str">
        <f>IFERROR(__xludf.DUMMYFUNCTION("""COMPUTED_VALUE"""),"Profile")</f>
        <v>Profile</v>
      </c>
      <c r="G521" s="185" t="str">
        <f>IFERROR(__xludf.DUMMYFUNCTION("""COMPUTED_VALUE"""),"REFERENCE")</f>
        <v>REFERENCE</v>
      </c>
      <c r="H521" s="185" t="str">
        <f>IFERROR(__xludf.DUMMYFUNCTION("""COMPUTED_VALUE"""),"No")</f>
        <v>No</v>
      </c>
      <c r="I521" s="185" t="str">
        <f>IFERROR(__xludf.DUMMYFUNCTION("""COMPUTED_VALUE"""),"Medium")</f>
        <v>Medium</v>
      </c>
      <c r="J521" s="185" t="str">
        <f>IFERROR(__xludf.DUMMYFUNCTION("""COMPUTED_VALUE"""),"Yes")</f>
        <v>Yes</v>
      </c>
      <c r="K521" s="185" t="str">
        <f>IFERROR(__xludf.DUMMYFUNCTION("""COMPUTED_VALUE"""),"Alpha Digital")</f>
        <v>Alpha Digital</v>
      </c>
      <c r="L521" s="187">
        <f>IFERROR(__xludf.DUMMYFUNCTION("""COMPUTED_VALUE"""),1.0)</f>
        <v>1</v>
      </c>
      <c r="M521" s="188">
        <f>IFERROR(__xludf.DUMMYFUNCTION("""COMPUTED_VALUE"""),0.0)</f>
        <v>0</v>
      </c>
      <c r="N521" s="188">
        <f>IFERROR(__xludf.DUMMYFUNCTION("""COMPUTED_VALUE"""),1.0)</f>
        <v>1</v>
      </c>
      <c r="O521" s="208"/>
      <c r="P521" s="208"/>
      <c r="Q521" s="208"/>
      <c r="R521" s="208"/>
    </row>
    <row r="522">
      <c r="A522" s="185" t="str">
        <f>IFERROR(__xludf.DUMMYFUNCTION("""COMPUTED_VALUE"""),"Trade media / editorial publication")</f>
        <v>Trade media / editorial publication</v>
      </c>
      <c r="B522" s="186" t="str">
        <f>IFERROR(__xludf.DUMMYFUNCTION("""COMPUTED_VALUE"""),"https://digitaldigest.au/social-media-marketing-companies/")</f>
        <v>https://digitaldigest.au/social-media-marketing-companies/</v>
      </c>
      <c r="C522" s="185" t="str">
        <f>IFERROR(__xludf.DUMMYFUNCTION("""COMPUTED_VALUE"""),"15 Best Social Media Marketing Companies in Australia 2025")</f>
        <v>15 Best Social Media Marketing Companies in Australia 2025</v>
      </c>
      <c r="D522" s="185" t="str">
        <f>IFERROR(__xludf.DUMMYFUNCTION("""COMPUTED_VALUE"""),"AU")</f>
        <v>AU</v>
      </c>
      <c r="E522" s="185" t="str">
        <f>IFERROR(__xludf.DUMMYFUNCTION("""COMPUTED_VALUE"""),"digitaldigest.au")</f>
        <v>digitaldigest.au</v>
      </c>
      <c r="F522" s="185" t="str">
        <f>IFERROR(__xludf.DUMMYFUNCTION("""COMPUTED_VALUE"""),"Listicle")</f>
        <v>Listicle</v>
      </c>
      <c r="G522" s="185" t="str">
        <f>IFERROR(__xludf.DUMMYFUNCTION("""COMPUTED_VALUE"""),"EDITORIAL")</f>
        <v>EDITORIAL</v>
      </c>
      <c r="H522" s="185" t="str">
        <f>IFERROR(__xludf.DUMMYFUNCTION("""COMPUTED_VALUE"""),"No")</f>
        <v>No</v>
      </c>
      <c r="I522" s="185" t="str">
        <f>IFERROR(__xludf.DUMMYFUNCTION("""COMPUTED_VALUE"""),"Medium")</f>
        <v>Medium</v>
      </c>
      <c r="J522" s="185" t="str">
        <f>IFERROR(__xludf.DUMMYFUNCTION("""COMPUTED_VALUE"""),"Yes")</f>
        <v>Yes</v>
      </c>
      <c r="K522" s="185" t="str">
        <f>IFERROR(__xludf.DUMMYFUNCTION("""COMPUTED_VALUE"""),"Digital Nomads HQ, Online Marketing Gurus, Omnicom Media Group, Impressive, Soup Agency, Megaphone, Farsiight, Paradox Marketing, Emote Digital, Rocket Agency, Clearwater Agency")</f>
        <v>Digital Nomads HQ, Online Marketing Gurus, Omnicom Media Group, Impressive, Soup Agency, Megaphone, Farsiight, Paradox Marketing, Emote Digital, Rocket Agency, Clearwater Agency</v>
      </c>
      <c r="L522" s="187">
        <f>IFERROR(__xludf.DUMMYFUNCTION("""COMPUTED_VALUE"""),1.0)</f>
        <v>1</v>
      </c>
      <c r="M522" s="188">
        <f>IFERROR(__xludf.DUMMYFUNCTION("""COMPUTED_VALUE"""),0.0)</f>
        <v>0</v>
      </c>
      <c r="N522" s="188">
        <f>IFERROR(__xludf.DUMMYFUNCTION("""COMPUTED_VALUE"""),0.0)</f>
        <v>0</v>
      </c>
      <c r="O522" s="208"/>
      <c r="P522" s="208"/>
      <c r="Q522" s="208"/>
      <c r="R522" s="208"/>
    </row>
    <row r="523">
      <c r="A523" s="185" t="str">
        <f>IFERROR(__xludf.DUMMYFUNCTION("""COMPUTED_VALUE"""),"Trade media / editorial publication")</f>
        <v>Trade media / editorial publication</v>
      </c>
      <c r="B523" s="186" t="str">
        <f>IFERROR(__xludf.DUMMYFUNCTION("""COMPUTED_VALUE"""),"https://www.formulate.com.au/articles/top-seven-seo-agencies-in-melbourne/")</f>
        <v>https://www.formulate.com.au/articles/top-seven-seo-agencies-in-melbourne/</v>
      </c>
      <c r="C523" s="185" t="str">
        <f>IFERROR(__xludf.DUMMYFUNCTION("""COMPUTED_VALUE"""),"Top Seven SEO Agencies in Melbourne &amp;#8211; Formulate Design Blog")</f>
        <v>Top Seven SEO Agencies in Melbourne &amp;#8211; Formulate Design Blog</v>
      </c>
      <c r="D523" s="185" t="str">
        <f>IFERROR(__xludf.DUMMYFUNCTION("""COMPUTED_VALUE"""),"AU")</f>
        <v>AU</v>
      </c>
      <c r="E523" s="185" t="str">
        <f>IFERROR(__xludf.DUMMYFUNCTION("""COMPUTED_VALUE"""),"formulate.com.au")</f>
        <v>formulate.com.au</v>
      </c>
      <c r="F523" s="185" t="str">
        <f>IFERROR(__xludf.DUMMYFUNCTION("""COMPUTED_VALUE"""),"Listicle")</f>
        <v>Listicle</v>
      </c>
      <c r="G523" s="185" t="str">
        <f>IFERROR(__xludf.DUMMYFUNCTION("""COMPUTED_VALUE"""),"EDITORIAL")</f>
        <v>EDITORIAL</v>
      </c>
      <c r="H523" s="185" t="str">
        <f>IFERROR(__xludf.DUMMYFUNCTION("""COMPUTED_VALUE"""),"No")</f>
        <v>No</v>
      </c>
      <c r="I523" s="185" t="str">
        <f>IFERROR(__xludf.DUMMYFUNCTION("""COMPUTED_VALUE"""),"Medium")</f>
        <v>Medium</v>
      </c>
      <c r="J523" s="185" t="str">
        <f>IFERROR(__xludf.DUMMYFUNCTION("""COMPUTED_VALUE"""),"Yes")</f>
        <v>Yes</v>
      </c>
      <c r="K523" s="185" t="str">
        <f>IFERROR(__xludf.DUMMYFUNCTION("""COMPUTED_VALUE"""),"Alley Group, Prosperity Media, Luminary, First Page")</f>
        <v>Alley Group, Prosperity Media, Luminary, First Page</v>
      </c>
      <c r="L523" s="187">
        <f>IFERROR(__xludf.DUMMYFUNCTION("""COMPUTED_VALUE"""),1.0)</f>
        <v>1</v>
      </c>
      <c r="M523" s="188">
        <f>IFERROR(__xludf.DUMMYFUNCTION("""COMPUTED_VALUE"""),0.0)</f>
        <v>0</v>
      </c>
      <c r="N523" s="188">
        <f>IFERROR(__xludf.DUMMYFUNCTION("""COMPUTED_VALUE"""),1.0)</f>
        <v>1</v>
      </c>
      <c r="O523" s="208"/>
      <c r="P523" s="208"/>
      <c r="Q523" s="208"/>
      <c r="R523" s="208"/>
    </row>
    <row r="524">
      <c r="A524" s="185" t="str">
        <f>IFERROR(__xludf.DUMMYFUNCTION("""COMPUTED_VALUE"""),"Agency directory / review marketplace")</f>
        <v>Agency directory / review marketplace</v>
      </c>
      <c r="B524" s="186" t="str">
        <f>IFERROR(__xludf.DUMMYFUNCTION("""COMPUTED_VALUE"""),"https://www.goodfirms.co/advertising-companies/creative/melbourne")</f>
        <v>https://www.goodfirms.co/advertising-companies/creative/melbourne</v>
      </c>
      <c r="C524" s="185" t="str">
        <f>IFERROR(__xludf.DUMMYFUNCTION("""COMPUTED_VALUE"""),"Top Creative Agencies in Melbourne - 2026 Reviews | Goodfirms")</f>
        <v>Top Creative Agencies in Melbourne - 2026 Reviews | Goodfirms</v>
      </c>
      <c r="D524" s="185" t="str">
        <f>IFERROR(__xludf.DUMMYFUNCTION("""COMPUTED_VALUE"""),"AU")</f>
        <v>AU</v>
      </c>
      <c r="E524" s="185" t="str">
        <f>IFERROR(__xludf.DUMMYFUNCTION("""COMPUTED_VALUE"""),"goodfirms.co")</f>
        <v>goodfirms.co</v>
      </c>
      <c r="F524" s="185" t="str">
        <f>IFERROR(__xludf.DUMMYFUNCTION("""COMPUTED_VALUE"""),"Category Page")</f>
        <v>Category Page</v>
      </c>
      <c r="G524" s="185" t="str">
        <f>IFERROR(__xludf.DUMMYFUNCTION("""COMPUTED_VALUE"""),"UGC")</f>
        <v>UGC</v>
      </c>
      <c r="H524" s="185" t="str">
        <f>IFERROR(__xludf.DUMMYFUNCTION("""COMPUTED_VALUE"""),"No")</f>
        <v>No</v>
      </c>
      <c r="I524" s="185" t="str">
        <f>IFERROR(__xludf.DUMMYFUNCTION("""COMPUTED_VALUE"""),"Medium")</f>
        <v>Medium</v>
      </c>
      <c r="J524" s="185" t="str">
        <f>IFERROR(__xludf.DUMMYFUNCTION("""COMPUTED_VALUE"""),"Yes")</f>
        <v>Yes</v>
      </c>
      <c r="K524" s="185" t="str">
        <f>IFERROR(__xludf.DUMMYFUNCTION("""COMPUTED_VALUE"""),"Uprise Digital, Omnicom Media Group, Digital Movement")</f>
        <v>Uprise Digital, Omnicom Media Group, Digital Movement</v>
      </c>
      <c r="L524" s="187">
        <f>IFERROR(__xludf.DUMMYFUNCTION("""COMPUTED_VALUE"""),1.0)</f>
        <v>1</v>
      </c>
      <c r="M524" s="188">
        <f>IFERROR(__xludf.DUMMYFUNCTION("""COMPUTED_VALUE"""),0.0)</f>
        <v>0</v>
      </c>
      <c r="N524" s="188">
        <f>IFERROR(__xludf.DUMMYFUNCTION("""COMPUTED_VALUE"""),0.0)</f>
        <v>0</v>
      </c>
      <c r="O524" s="208"/>
      <c r="P524" s="208"/>
      <c r="Q524" s="208"/>
      <c r="R524" s="208"/>
    </row>
    <row r="525">
      <c r="A525" s="185" t="str">
        <f>IFERROR(__xludf.DUMMYFUNCTION("""COMPUTED_VALUE"""),"Agency directory / review marketplace")</f>
        <v>Agency directory / review marketplace</v>
      </c>
      <c r="B525" s="186" t="str">
        <f>IFERROR(__xludf.DUMMYFUNCTION("""COMPUTED_VALUE"""),"https://www.goodfirms.co/artificial-intelligence/ai-consulting")</f>
        <v>https://www.goodfirms.co/artificial-intelligence/ai-consulting</v>
      </c>
      <c r="C525" s="185" t="str">
        <f>IFERROR(__xludf.DUMMYFUNCTION("""COMPUTED_VALUE"""),"Top 10+ AI Consulting Companies - 2026 Reviews | Goodfirms")</f>
        <v>Top 10+ AI Consulting Companies - 2026 Reviews | Goodfirms</v>
      </c>
      <c r="D525" s="185" t="str">
        <f>IFERROR(__xludf.DUMMYFUNCTION("""COMPUTED_VALUE"""),"AU")</f>
        <v>AU</v>
      </c>
      <c r="E525" s="185" t="str">
        <f>IFERROR(__xludf.DUMMYFUNCTION("""COMPUTED_VALUE"""),"goodfirms.co")</f>
        <v>goodfirms.co</v>
      </c>
      <c r="F525" s="185" t="str">
        <f>IFERROR(__xludf.DUMMYFUNCTION("""COMPUTED_VALUE"""),"Profile")</f>
        <v>Profile</v>
      </c>
      <c r="G525" s="185" t="str">
        <f>IFERROR(__xludf.DUMMYFUNCTION("""COMPUTED_VALUE"""),"UGC")</f>
        <v>UGC</v>
      </c>
      <c r="H525" s="185" t="str">
        <f>IFERROR(__xludf.DUMMYFUNCTION("""COMPUTED_VALUE"""),"No")</f>
        <v>No</v>
      </c>
      <c r="I525" s="185" t="str">
        <f>IFERROR(__xludf.DUMMYFUNCTION("""COMPUTED_VALUE"""),"Medium")</f>
        <v>Medium</v>
      </c>
      <c r="J525" s="185" t="str">
        <f>IFERROR(__xludf.DUMMYFUNCTION("""COMPUTED_VALUE"""),"Yes")</f>
        <v>Yes</v>
      </c>
      <c r="K525" s="185" t="str">
        <f>IFERROR(__xludf.DUMMYFUNCTION("""COMPUTED_VALUE"""),"Impressive, Team 400")</f>
        <v>Impressive, Team 400</v>
      </c>
      <c r="L525" s="187">
        <f>IFERROR(__xludf.DUMMYFUNCTION("""COMPUTED_VALUE"""),1.0)</f>
        <v>1</v>
      </c>
      <c r="M525" s="188">
        <f>IFERROR(__xludf.DUMMYFUNCTION("""COMPUTED_VALUE"""),0.0)</f>
        <v>0</v>
      </c>
      <c r="N525" s="188">
        <f>IFERROR(__xludf.DUMMYFUNCTION("""COMPUTED_VALUE"""),0.0)</f>
        <v>0</v>
      </c>
      <c r="O525" s="208"/>
      <c r="P525" s="208"/>
      <c r="Q525" s="208"/>
      <c r="R525" s="208"/>
    </row>
    <row r="526">
      <c r="A526" s="185" t="str">
        <f>IFERROR(__xludf.DUMMYFUNCTION("""COMPUTED_VALUE"""),"Agency directory / review marketplace")</f>
        <v>Agency directory / review marketplace</v>
      </c>
      <c r="B526" s="186" t="str">
        <f>IFERROR(__xludf.DUMMYFUNCTION("""COMPUTED_VALUE"""),"https://www.goodfirms.co/artificial-intelligence/sydney")</f>
        <v>https://www.goodfirms.co/artificial-intelligence/sydney</v>
      </c>
      <c r="C526" s="185" t="str">
        <f>IFERROR(__xludf.DUMMYFUNCTION("""COMPUTED_VALUE"""),"Top Artificial Intelligence Companies in Sydney - 2026 Reviews | Goodfirms")</f>
        <v>Top Artificial Intelligence Companies in Sydney - 2026 Reviews | Goodfirms</v>
      </c>
      <c r="D526" s="185" t="str">
        <f>IFERROR(__xludf.DUMMYFUNCTION("""COMPUTED_VALUE"""),"AU")</f>
        <v>AU</v>
      </c>
      <c r="E526" s="185" t="str">
        <f>IFERROR(__xludf.DUMMYFUNCTION("""COMPUTED_VALUE"""),"goodfirms.co")</f>
        <v>goodfirms.co</v>
      </c>
      <c r="F526" s="185" t="str">
        <f>IFERROR(__xludf.DUMMYFUNCTION("""COMPUTED_VALUE"""),"Category Page")</f>
        <v>Category Page</v>
      </c>
      <c r="G526" s="185" t="str">
        <f>IFERROR(__xludf.DUMMYFUNCTION("""COMPUTED_VALUE"""),"UGC")</f>
        <v>UGC</v>
      </c>
      <c r="H526" s="185" t="str">
        <f>IFERROR(__xludf.DUMMYFUNCTION("""COMPUTED_VALUE"""),"No")</f>
        <v>No</v>
      </c>
      <c r="I526" s="185" t="str">
        <f>IFERROR(__xludf.DUMMYFUNCTION("""COMPUTED_VALUE"""),"Medium")</f>
        <v>Medium</v>
      </c>
      <c r="J526" s="185" t="str">
        <f>IFERROR(__xludf.DUMMYFUNCTION("""COMPUTED_VALUE"""),"Yes")</f>
        <v>Yes</v>
      </c>
      <c r="K526" s="185" t="str">
        <f>IFERROR(__xludf.DUMMYFUNCTION("""COMPUTED_VALUE"""),"Team 400, Impressive, Get AI Ready")</f>
        <v>Team 400, Impressive, Get AI Ready</v>
      </c>
      <c r="L526" s="187">
        <f>IFERROR(__xludf.DUMMYFUNCTION("""COMPUTED_VALUE"""),1.0)</f>
        <v>1</v>
      </c>
      <c r="M526" s="188">
        <f>IFERROR(__xludf.DUMMYFUNCTION("""COMPUTED_VALUE"""),0.0)</f>
        <v>0</v>
      </c>
      <c r="N526" s="188">
        <f>IFERROR(__xludf.DUMMYFUNCTION("""COMPUTED_VALUE"""),0.0)</f>
        <v>0</v>
      </c>
      <c r="O526" s="208"/>
      <c r="P526" s="208"/>
      <c r="Q526" s="208"/>
      <c r="R526" s="208"/>
    </row>
    <row r="527">
      <c r="A527" s="185" t="str">
        <f>IFERROR(__xludf.DUMMYFUNCTION("""COMPUTED_VALUE"""),"Agency directory / review marketplace")</f>
        <v>Agency directory / review marketplace</v>
      </c>
      <c r="B527" s="186" t="str">
        <f>IFERROR(__xludf.DUMMYFUNCTION("""COMPUTED_VALUE"""),"https://www.goodfirms.co/directory/city/top-digital-marketing-companies/advertising-ppc/brisbane")</f>
        <v>https://www.goodfirms.co/directory/city/top-digital-marketing-companies/advertising-ppc/brisbane</v>
      </c>
      <c r="C527" s="185" t="str">
        <f>IFERROR(__xludf.DUMMYFUNCTION("""COMPUTED_VALUE"""),"Top PPC Agencies in Brisbane - 2026 Reviews | Goodfirms")</f>
        <v>Top PPC Agencies in Brisbane - 2026 Reviews | Goodfirms</v>
      </c>
      <c r="D527" s="185" t="str">
        <f>IFERROR(__xludf.DUMMYFUNCTION("""COMPUTED_VALUE"""),"AU")</f>
        <v>AU</v>
      </c>
      <c r="E527" s="185" t="str">
        <f>IFERROR(__xludf.DUMMYFUNCTION("""COMPUTED_VALUE"""),"goodfirms.co")</f>
        <v>goodfirms.co</v>
      </c>
      <c r="F527" s="185" t="str">
        <f>IFERROR(__xludf.DUMMYFUNCTION("""COMPUTED_VALUE"""),"Category Page")</f>
        <v>Category Page</v>
      </c>
      <c r="G527" s="185" t="str">
        <f>IFERROR(__xludf.DUMMYFUNCTION("""COMPUTED_VALUE"""),"UGC")</f>
        <v>UGC</v>
      </c>
      <c r="H527" s="185" t="str">
        <f>IFERROR(__xludf.DUMMYFUNCTION("""COMPUTED_VALUE"""),"No")</f>
        <v>No</v>
      </c>
      <c r="I527" s="185" t="str">
        <f>IFERROR(__xludf.DUMMYFUNCTION("""COMPUTED_VALUE"""),"Medium")</f>
        <v>Medium</v>
      </c>
      <c r="J527" s="185" t="str">
        <f>IFERROR(__xludf.DUMMYFUNCTION("""COMPUTED_VALUE"""),"Yes")</f>
        <v>Yes</v>
      </c>
      <c r="K527" s="185" t="str">
        <f>IFERROR(__xludf.DUMMYFUNCTION("""COMPUTED_VALUE"""),"Farsiight, First Page")</f>
        <v>Farsiight, First Page</v>
      </c>
      <c r="L527" s="187">
        <f>IFERROR(__xludf.DUMMYFUNCTION("""COMPUTED_VALUE"""),1.0)</f>
        <v>1</v>
      </c>
      <c r="M527" s="188">
        <f>IFERROR(__xludf.DUMMYFUNCTION("""COMPUTED_VALUE"""),0.0)</f>
        <v>0</v>
      </c>
      <c r="N527" s="188">
        <f>IFERROR(__xludf.DUMMYFUNCTION("""COMPUTED_VALUE"""),0.0)</f>
        <v>0</v>
      </c>
      <c r="O527" s="208"/>
      <c r="P527" s="208"/>
      <c r="Q527" s="208"/>
      <c r="R527" s="208"/>
    </row>
    <row r="528">
      <c r="A528" s="185" t="str">
        <f>IFERROR(__xludf.DUMMYFUNCTION("""COMPUTED_VALUE"""),"Agency directory / review marketplace")</f>
        <v>Agency directory / review marketplace</v>
      </c>
      <c r="B528" s="186" t="str">
        <f>IFERROR(__xludf.DUMMYFUNCTION("""COMPUTED_VALUE"""),"https://www.goodfirms.co/directory/city/top-digital-marketing-companies/media-planning-buying/sydney")</f>
        <v>https://www.goodfirms.co/directory/city/top-digital-marketing-companies/media-planning-buying/sydney</v>
      </c>
      <c r="C528" s="185" t="str">
        <f>IFERROR(__xludf.DUMMYFUNCTION("""COMPUTED_VALUE"""),"Top Media Buying Agencies in Sydney - 2026 Reviews | Goodfirms")</f>
        <v>Top Media Buying Agencies in Sydney - 2026 Reviews | Goodfirms</v>
      </c>
      <c r="D528" s="185" t="str">
        <f>IFERROR(__xludf.DUMMYFUNCTION("""COMPUTED_VALUE"""),"AU")</f>
        <v>AU</v>
      </c>
      <c r="E528" s="185" t="str">
        <f>IFERROR(__xludf.DUMMYFUNCTION("""COMPUTED_VALUE"""),"goodfirms.co")</f>
        <v>goodfirms.co</v>
      </c>
      <c r="F528" s="185" t="str">
        <f>IFERROR(__xludf.DUMMYFUNCTION("""COMPUTED_VALUE"""),"Category Page")</f>
        <v>Category Page</v>
      </c>
      <c r="G528" s="185" t="str">
        <f>IFERROR(__xludf.DUMMYFUNCTION("""COMPUTED_VALUE"""),"UGC")</f>
        <v>UGC</v>
      </c>
      <c r="H528" s="185" t="str">
        <f>IFERROR(__xludf.DUMMYFUNCTION("""COMPUTED_VALUE"""),"No")</f>
        <v>No</v>
      </c>
      <c r="I528" s="185" t="str">
        <f>IFERROR(__xludf.DUMMYFUNCTION("""COMPUTED_VALUE"""),"Medium")</f>
        <v>Medium</v>
      </c>
      <c r="J528" s="185" t="str">
        <f>IFERROR(__xludf.DUMMYFUNCTION("""COMPUTED_VALUE"""),"Yes")</f>
        <v>Yes</v>
      </c>
      <c r="K528" s="185" t="str">
        <f>IFERROR(__xludf.DUMMYFUNCTION("""COMPUTED_VALUE"""),"Bench Media, Soup Agency, AdVisible, Impressive, CUT THRU")</f>
        <v>Bench Media, Soup Agency, AdVisible, Impressive, CUT THRU</v>
      </c>
      <c r="L528" s="187">
        <f>IFERROR(__xludf.DUMMYFUNCTION("""COMPUTED_VALUE"""),1.0)</f>
        <v>1</v>
      </c>
      <c r="M528" s="188">
        <f>IFERROR(__xludf.DUMMYFUNCTION("""COMPUTED_VALUE"""),0.0)</f>
        <v>0</v>
      </c>
      <c r="N528" s="188">
        <f>IFERROR(__xludf.DUMMYFUNCTION("""COMPUTED_VALUE"""),0.0)</f>
        <v>0</v>
      </c>
      <c r="O528" s="208"/>
      <c r="P528" s="208"/>
      <c r="Q528" s="208"/>
      <c r="R528" s="208"/>
    </row>
    <row r="529">
      <c r="A529" s="185" t="str">
        <f>IFERROR(__xludf.DUMMYFUNCTION("""COMPUTED_VALUE"""),"Official partner / certification ecosystem")</f>
        <v>Official partner / certification ecosystem</v>
      </c>
      <c r="B529" s="186" t="str">
        <f>IFERROR(__xludf.DUMMYFUNCTION("""COMPUTED_VALUE"""),"https://www.google.com/searchviewer/10?svid=CAwSGxIZCgNwdnESEkNnc3ZaeTh4ZEdZeWNEQTVNQRgK")</f>
        <v>https://www.google.com/searchviewer/10?svid=CAwSGxIZCgNwdnESEkNnc3ZaeTh4ZEdZeWNEQTVNQRgK</v>
      </c>
      <c r="C529" s="185"/>
      <c r="D529" s="185" t="str">
        <f>IFERROR(__xludf.DUMMYFUNCTION("""COMPUTED_VALUE"""),"AU")</f>
        <v>AU</v>
      </c>
      <c r="E529" s="185" t="str">
        <f>IFERROR(__xludf.DUMMYFUNCTION("""COMPUTED_VALUE"""),"google.com")</f>
        <v>google.com</v>
      </c>
      <c r="F529" s="185" t="str">
        <f>IFERROR(__xludf.DUMMYFUNCTION("""COMPUTED_VALUE"""),"Other")</f>
        <v>Other</v>
      </c>
      <c r="G529" s="185" t="str">
        <f>IFERROR(__xludf.DUMMYFUNCTION("""COMPUTED_VALUE"""),"OTHER")</f>
        <v>OTHER</v>
      </c>
      <c r="H529" s="185" t="str">
        <f>IFERROR(__xludf.DUMMYFUNCTION("""COMPUTED_VALUE"""),"No")</f>
        <v>No</v>
      </c>
      <c r="I529" s="185" t="str">
        <f>IFERROR(__xludf.DUMMYFUNCTION("""COMPUTED_VALUE"""),"High")</f>
        <v>High</v>
      </c>
      <c r="J529" s="185" t="str">
        <f>IFERROR(__xludf.DUMMYFUNCTION("""COMPUTED_VALUE"""),"Yes - priority")</f>
        <v>Yes - priority</v>
      </c>
      <c r="K529" s="185" t="str">
        <f>IFERROR(__xludf.DUMMYFUNCTION("""COMPUTED_VALUE"""),"Unknown")</f>
        <v>Unknown</v>
      </c>
      <c r="L529" s="187">
        <f>IFERROR(__xludf.DUMMYFUNCTION("""COMPUTED_VALUE"""),1.0)</f>
        <v>1</v>
      </c>
      <c r="M529" s="188">
        <f>IFERROR(__xludf.DUMMYFUNCTION("""COMPUTED_VALUE"""),0.0)</f>
        <v>0</v>
      </c>
      <c r="N529" s="188">
        <f>IFERROR(__xludf.DUMMYFUNCTION("""COMPUTED_VALUE"""),0.0)</f>
        <v>0</v>
      </c>
      <c r="O529" s="208"/>
      <c r="P529" s="208"/>
      <c r="Q529" s="208"/>
      <c r="R529" s="208"/>
    </row>
    <row r="530">
      <c r="A530" s="185" t="str">
        <f>IFERROR(__xludf.DUMMYFUNCTION("""COMPUTED_VALUE"""),"Official partner / certification ecosystem")</f>
        <v>Official partner / certification ecosystem</v>
      </c>
      <c r="B530" s="186" t="str">
        <f>IFERROR(__xludf.DUMMYFUNCTION("""COMPUTED_VALUE"""),"https://www.google.com/searchviewer/10?svid=CAwSGxIZCgNwdnESEkNnc3ZaeTh4ZEdvek5XUm1iQRgK")</f>
        <v>https://www.google.com/searchviewer/10?svid=CAwSGxIZCgNwdnESEkNnc3ZaeTh4ZEdvek5XUm1iQRgK</v>
      </c>
      <c r="C530" s="185"/>
      <c r="D530" s="185" t="str">
        <f>IFERROR(__xludf.DUMMYFUNCTION("""COMPUTED_VALUE"""),"AU")</f>
        <v>AU</v>
      </c>
      <c r="E530" s="185" t="str">
        <f>IFERROR(__xludf.DUMMYFUNCTION("""COMPUTED_VALUE"""),"google.com")</f>
        <v>google.com</v>
      </c>
      <c r="F530" s="185" t="str">
        <f>IFERROR(__xludf.DUMMYFUNCTION("""COMPUTED_VALUE"""),"Other")</f>
        <v>Other</v>
      </c>
      <c r="G530" s="185" t="str">
        <f>IFERROR(__xludf.DUMMYFUNCTION("""COMPUTED_VALUE"""),"OTHER")</f>
        <v>OTHER</v>
      </c>
      <c r="H530" s="185" t="str">
        <f>IFERROR(__xludf.DUMMYFUNCTION("""COMPUTED_VALUE"""),"No")</f>
        <v>No</v>
      </c>
      <c r="I530" s="185" t="str">
        <f>IFERROR(__xludf.DUMMYFUNCTION("""COMPUTED_VALUE"""),"High")</f>
        <v>High</v>
      </c>
      <c r="J530" s="185" t="str">
        <f>IFERROR(__xludf.DUMMYFUNCTION("""COMPUTED_VALUE"""),"Yes - priority")</f>
        <v>Yes - priority</v>
      </c>
      <c r="K530" s="185" t="str">
        <f>IFERROR(__xludf.DUMMYFUNCTION("""COMPUTED_VALUE"""),"Unknown")</f>
        <v>Unknown</v>
      </c>
      <c r="L530" s="187">
        <f>IFERROR(__xludf.DUMMYFUNCTION("""COMPUTED_VALUE"""),1.0)</f>
        <v>1</v>
      </c>
      <c r="M530" s="188">
        <f>IFERROR(__xludf.DUMMYFUNCTION("""COMPUTED_VALUE"""),0.0)</f>
        <v>0</v>
      </c>
      <c r="N530" s="188">
        <f>IFERROR(__xludf.DUMMYFUNCTION("""COMPUTED_VALUE"""),0.0)</f>
        <v>0</v>
      </c>
      <c r="O530" s="208"/>
      <c r="P530" s="208"/>
      <c r="Q530" s="208"/>
      <c r="R530" s="208"/>
    </row>
    <row r="531">
      <c r="A531" s="185" t="str">
        <f>IFERROR(__xludf.DUMMYFUNCTION("""COMPUTED_VALUE"""),"Official partner / certification ecosystem")</f>
        <v>Official partner / certification ecosystem</v>
      </c>
      <c r="B531" s="186" t="str">
        <f>IFERROR(__xludf.DUMMYFUNCTION("""COMPUTED_VALUE"""),"https://www.google.com/searchviewer/10?svid=CAwSGxIZCgNwdnESEkNnc3ZaeTh4ZG10eU1IZzRhZxgK")</f>
        <v>https://www.google.com/searchviewer/10?svid=CAwSGxIZCgNwdnESEkNnc3ZaeTh4ZG10eU1IZzRhZxgK</v>
      </c>
      <c r="C531" s="185"/>
      <c r="D531" s="185" t="str">
        <f>IFERROR(__xludf.DUMMYFUNCTION("""COMPUTED_VALUE"""),"AU")</f>
        <v>AU</v>
      </c>
      <c r="E531" s="185" t="str">
        <f>IFERROR(__xludf.DUMMYFUNCTION("""COMPUTED_VALUE"""),"google.com")</f>
        <v>google.com</v>
      </c>
      <c r="F531" s="185" t="str">
        <f>IFERROR(__xludf.DUMMYFUNCTION("""COMPUTED_VALUE"""),"Other")</f>
        <v>Other</v>
      </c>
      <c r="G531" s="185" t="str">
        <f>IFERROR(__xludf.DUMMYFUNCTION("""COMPUTED_VALUE"""),"OTHER")</f>
        <v>OTHER</v>
      </c>
      <c r="H531" s="185" t="str">
        <f>IFERROR(__xludf.DUMMYFUNCTION("""COMPUTED_VALUE"""),"No")</f>
        <v>No</v>
      </c>
      <c r="I531" s="185" t="str">
        <f>IFERROR(__xludf.DUMMYFUNCTION("""COMPUTED_VALUE"""),"High")</f>
        <v>High</v>
      </c>
      <c r="J531" s="185" t="str">
        <f>IFERROR(__xludf.DUMMYFUNCTION("""COMPUTED_VALUE"""),"Yes - priority")</f>
        <v>Yes - priority</v>
      </c>
      <c r="K531" s="185" t="str">
        <f>IFERROR(__xludf.DUMMYFUNCTION("""COMPUTED_VALUE"""),"Unknown")</f>
        <v>Unknown</v>
      </c>
      <c r="L531" s="187">
        <f>IFERROR(__xludf.DUMMYFUNCTION("""COMPUTED_VALUE"""),1.0)</f>
        <v>1</v>
      </c>
      <c r="M531" s="188">
        <f>IFERROR(__xludf.DUMMYFUNCTION("""COMPUTED_VALUE"""),0.0)</f>
        <v>0</v>
      </c>
      <c r="N531" s="188">
        <f>IFERROR(__xludf.DUMMYFUNCTION("""COMPUTED_VALUE"""),0.0)</f>
        <v>0</v>
      </c>
      <c r="O531" s="208"/>
      <c r="P531" s="208"/>
      <c r="Q531" s="208"/>
      <c r="R531" s="208"/>
    </row>
    <row r="532">
      <c r="A532" s="185" t="str">
        <f>IFERROR(__xludf.DUMMYFUNCTION("""COMPUTED_VALUE"""),"Official partner / certification ecosystem")</f>
        <v>Official partner / certification ecosystem</v>
      </c>
      <c r="B532" s="186" t="str">
        <f>IFERROR(__xludf.DUMMYFUNCTION("""COMPUTED_VALUE"""),"https://www.google.com/searchviewer/10?svid=CAwSGxIZCgNwdnESEkNnc3ZaeTh4ZGw5NU9XSXpOZxgK")</f>
        <v>https://www.google.com/searchviewer/10?svid=CAwSGxIZCgNwdnESEkNnc3ZaeTh4ZGw5NU9XSXpOZxgK</v>
      </c>
      <c r="C532" s="185"/>
      <c r="D532" s="185" t="str">
        <f>IFERROR(__xludf.DUMMYFUNCTION("""COMPUTED_VALUE"""),"AU")</f>
        <v>AU</v>
      </c>
      <c r="E532" s="185" t="str">
        <f>IFERROR(__xludf.DUMMYFUNCTION("""COMPUTED_VALUE"""),"google.com")</f>
        <v>google.com</v>
      </c>
      <c r="F532" s="185" t="str">
        <f>IFERROR(__xludf.DUMMYFUNCTION("""COMPUTED_VALUE"""),"Other")</f>
        <v>Other</v>
      </c>
      <c r="G532" s="185" t="str">
        <f>IFERROR(__xludf.DUMMYFUNCTION("""COMPUTED_VALUE"""),"OTHER")</f>
        <v>OTHER</v>
      </c>
      <c r="H532" s="185" t="str">
        <f>IFERROR(__xludf.DUMMYFUNCTION("""COMPUTED_VALUE"""),"No")</f>
        <v>No</v>
      </c>
      <c r="I532" s="185" t="str">
        <f>IFERROR(__xludf.DUMMYFUNCTION("""COMPUTED_VALUE"""),"High")</f>
        <v>High</v>
      </c>
      <c r="J532" s="185" t="str">
        <f>IFERROR(__xludf.DUMMYFUNCTION("""COMPUTED_VALUE"""),"Yes - priority")</f>
        <v>Yes - priority</v>
      </c>
      <c r="K532" s="185" t="str">
        <f>IFERROR(__xludf.DUMMYFUNCTION("""COMPUTED_VALUE"""),"Unknown")</f>
        <v>Unknown</v>
      </c>
      <c r="L532" s="187">
        <f>IFERROR(__xludf.DUMMYFUNCTION("""COMPUTED_VALUE"""),1.0)</f>
        <v>1</v>
      </c>
      <c r="M532" s="188">
        <f>IFERROR(__xludf.DUMMYFUNCTION("""COMPUTED_VALUE"""),0.0)</f>
        <v>0</v>
      </c>
      <c r="N532" s="188">
        <f>IFERROR(__xludf.DUMMYFUNCTION("""COMPUTED_VALUE"""),0.0)</f>
        <v>0</v>
      </c>
      <c r="O532" s="208"/>
      <c r="P532" s="208"/>
      <c r="Q532" s="208"/>
      <c r="R532" s="208"/>
    </row>
    <row r="533">
      <c r="A533" s="185" t="str">
        <f>IFERROR(__xludf.DUMMYFUNCTION("""COMPUTED_VALUE"""),"Official partner / certification ecosystem")</f>
        <v>Official partner / certification ecosystem</v>
      </c>
      <c r="B533" s="186" t="str">
        <f>IFERROR(__xludf.DUMMYFUNCTION("""COMPUTED_VALUE"""),"https://www.google.com/searchviewer/10?svid=CAwSHBIaCgNwdnESE0Nnd3ZaeTh4YUdZd2Rub3hPRGMYCg")</f>
        <v>https://www.google.com/searchviewer/10?svid=CAwSHBIaCgNwdnESE0Nnd3ZaeTh4YUdZd2Rub3hPRGMYCg</v>
      </c>
      <c r="C533" s="185"/>
      <c r="D533" s="185" t="str">
        <f>IFERROR(__xludf.DUMMYFUNCTION("""COMPUTED_VALUE"""),"AU")</f>
        <v>AU</v>
      </c>
      <c r="E533" s="185" t="str">
        <f>IFERROR(__xludf.DUMMYFUNCTION("""COMPUTED_VALUE"""),"google.com")</f>
        <v>google.com</v>
      </c>
      <c r="F533" s="185" t="str">
        <f>IFERROR(__xludf.DUMMYFUNCTION("""COMPUTED_VALUE"""),"Other")</f>
        <v>Other</v>
      </c>
      <c r="G533" s="185" t="str">
        <f>IFERROR(__xludf.DUMMYFUNCTION("""COMPUTED_VALUE"""),"OTHER")</f>
        <v>OTHER</v>
      </c>
      <c r="H533" s="185" t="str">
        <f>IFERROR(__xludf.DUMMYFUNCTION("""COMPUTED_VALUE"""),"No")</f>
        <v>No</v>
      </c>
      <c r="I533" s="185" t="str">
        <f>IFERROR(__xludf.DUMMYFUNCTION("""COMPUTED_VALUE"""),"High")</f>
        <v>High</v>
      </c>
      <c r="J533" s="185" t="str">
        <f>IFERROR(__xludf.DUMMYFUNCTION("""COMPUTED_VALUE"""),"Yes - priority")</f>
        <v>Yes - priority</v>
      </c>
      <c r="K533" s="185" t="str">
        <f>IFERROR(__xludf.DUMMYFUNCTION("""COMPUTED_VALUE"""),"Unknown")</f>
        <v>Unknown</v>
      </c>
      <c r="L533" s="187">
        <f>IFERROR(__xludf.DUMMYFUNCTION("""COMPUTED_VALUE"""),1.0)</f>
        <v>1</v>
      </c>
      <c r="M533" s="188">
        <f>IFERROR(__xludf.DUMMYFUNCTION("""COMPUTED_VALUE"""),0.0)</f>
        <v>0</v>
      </c>
      <c r="N533" s="188">
        <f>IFERROR(__xludf.DUMMYFUNCTION("""COMPUTED_VALUE"""),1.0)</f>
        <v>1</v>
      </c>
      <c r="O533" s="208"/>
      <c r="P533" s="208"/>
      <c r="Q533" s="208"/>
      <c r="R533" s="208"/>
    </row>
    <row r="534">
      <c r="A534" s="185" t="str">
        <f>IFERROR(__xludf.DUMMYFUNCTION("""COMPUTED_VALUE"""),"Official partner / certification ecosystem")</f>
        <v>Official partner / certification ecosystem</v>
      </c>
      <c r="B534" s="186" t="str">
        <f>IFERROR(__xludf.DUMMYFUNCTION("""COMPUTED_VALUE"""),"https://www.google.com/searchviewer/10?svid=CAwSHRIbCgNwdnESFENnMHZaeTh4TVc0eE16UTRYM055GAo")</f>
        <v>https://www.google.com/searchviewer/10?svid=CAwSHRIbCgNwdnESFENnMHZaeTh4TVc0eE16UTRYM055GAo</v>
      </c>
      <c r="C534" s="185"/>
      <c r="D534" s="185" t="str">
        <f>IFERROR(__xludf.DUMMYFUNCTION("""COMPUTED_VALUE"""),"AU")</f>
        <v>AU</v>
      </c>
      <c r="E534" s="185" t="str">
        <f>IFERROR(__xludf.DUMMYFUNCTION("""COMPUTED_VALUE"""),"google.com")</f>
        <v>google.com</v>
      </c>
      <c r="F534" s="185" t="str">
        <f>IFERROR(__xludf.DUMMYFUNCTION("""COMPUTED_VALUE"""),"Other")</f>
        <v>Other</v>
      </c>
      <c r="G534" s="185" t="str">
        <f>IFERROR(__xludf.DUMMYFUNCTION("""COMPUTED_VALUE"""),"OTHER")</f>
        <v>OTHER</v>
      </c>
      <c r="H534" s="185" t="str">
        <f>IFERROR(__xludf.DUMMYFUNCTION("""COMPUTED_VALUE"""),"No")</f>
        <v>No</v>
      </c>
      <c r="I534" s="185" t="str">
        <f>IFERROR(__xludf.DUMMYFUNCTION("""COMPUTED_VALUE"""),"High")</f>
        <v>High</v>
      </c>
      <c r="J534" s="185" t="str">
        <f>IFERROR(__xludf.DUMMYFUNCTION("""COMPUTED_VALUE"""),"Yes - priority")</f>
        <v>Yes - priority</v>
      </c>
      <c r="K534" s="185" t="str">
        <f>IFERROR(__xludf.DUMMYFUNCTION("""COMPUTED_VALUE"""),"Unknown")</f>
        <v>Unknown</v>
      </c>
      <c r="L534" s="187">
        <f>IFERROR(__xludf.DUMMYFUNCTION("""COMPUTED_VALUE"""),1.0)</f>
        <v>1</v>
      </c>
      <c r="M534" s="188">
        <f>IFERROR(__xludf.DUMMYFUNCTION("""COMPUTED_VALUE"""),0.0)</f>
        <v>0</v>
      </c>
      <c r="N534" s="188">
        <f>IFERROR(__xludf.DUMMYFUNCTION("""COMPUTED_VALUE"""),0.0)</f>
        <v>0</v>
      </c>
      <c r="O534" s="208"/>
      <c r="P534" s="208"/>
      <c r="Q534" s="208"/>
      <c r="R534" s="208"/>
    </row>
    <row r="535">
      <c r="A535" s="185" t="str">
        <f>IFERROR(__xludf.DUMMYFUNCTION("""COMPUTED_VALUE"""),"Official partner / certification ecosystem")</f>
        <v>Official partner / certification ecosystem</v>
      </c>
      <c r="B535" s="186" t="str">
        <f>IFERROR(__xludf.DUMMYFUNCTION("""COMPUTED_VALUE"""),"https://www.google.com/searchviewer/10?svid=CAwSHRIbCgNwdnESFENnMHZaeTh4TVdNMmJEbHRaR2R6GAo")</f>
        <v>https://www.google.com/searchviewer/10?svid=CAwSHRIbCgNwdnESFENnMHZaeTh4TVdNMmJEbHRaR2R6GAo</v>
      </c>
      <c r="C535" s="185"/>
      <c r="D535" s="185" t="str">
        <f>IFERROR(__xludf.DUMMYFUNCTION("""COMPUTED_VALUE"""),"AU")</f>
        <v>AU</v>
      </c>
      <c r="E535" s="185" t="str">
        <f>IFERROR(__xludf.DUMMYFUNCTION("""COMPUTED_VALUE"""),"google.com")</f>
        <v>google.com</v>
      </c>
      <c r="F535" s="185" t="str">
        <f>IFERROR(__xludf.DUMMYFUNCTION("""COMPUTED_VALUE"""),"Other")</f>
        <v>Other</v>
      </c>
      <c r="G535" s="185" t="str">
        <f>IFERROR(__xludf.DUMMYFUNCTION("""COMPUTED_VALUE"""),"OTHER")</f>
        <v>OTHER</v>
      </c>
      <c r="H535" s="185" t="str">
        <f>IFERROR(__xludf.DUMMYFUNCTION("""COMPUTED_VALUE"""),"No")</f>
        <v>No</v>
      </c>
      <c r="I535" s="185" t="str">
        <f>IFERROR(__xludf.DUMMYFUNCTION("""COMPUTED_VALUE"""),"High")</f>
        <v>High</v>
      </c>
      <c r="J535" s="185" t="str">
        <f>IFERROR(__xludf.DUMMYFUNCTION("""COMPUTED_VALUE"""),"Yes - priority")</f>
        <v>Yes - priority</v>
      </c>
      <c r="K535" s="185" t="str">
        <f>IFERROR(__xludf.DUMMYFUNCTION("""COMPUTED_VALUE"""),"Unknown")</f>
        <v>Unknown</v>
      </c>
      <c r="L535" s="187">
        <f>IFERROR(__xludf.DUMMYFUNCTION("""COMPUTED_VALUE"""),1.0)</f>
        <v>1</v>
      </c>
      <c r="M535" s="188">
        <f>IFERROR(__xludf.DUMMYFUNCTION("""COMPUTED_VALUE"""),0.0)</f>
        <v>0</v>
      </c>
      <c r="N535" s="188">
        <f>IFERROR(__xludf.DUMMYFUNCTION("""COMPUTED_VALUE"""),0.0)</f>
        <v>0</v>
      </c>
      <c r="O535" s="208"/>
      <c r="P535" s="208"/>
      <c r="Q535" s="208"/>
      <c r="R535" s="208"/>
    </row>
    <row r="536">
      <c r="A536" s="185" t="str">
        <f>IFERROR(__xludf.DUMMYFUNCTION("""COMPUTED_VALUE"""),"Official partner / certification ecosystem")</f>
        <v>Official partner / certification ecosystem</v>
      </c>
      <c r="B536" s="186" t="str">
        <f>IFERROR(__xludf.DUMMYFUNCTION("""COMPUTED_VALUE"""),"https://www.google.com/searchviewer/10?svid=CAwSHRIbCgNwdnESFENnMHZaeTh4TVdSNk1ISnJkbkJ1GAo")</f>
        <v>https://www.google.com/searchviewer/10?svid=CAwSHRIbCgNwdnESFENnMHZaeTh4TVdSNk1ISnJkbkJ1GAo</v>
      </c>
      <c r="C536" s="185"/>
      <c r="D536" s="185" t="str">
        <f>IFERROR(__xludf.DUMMYFUNCTION("""COMPUTED_VALUE"""),"AU")</f>
        <v>AU</v>
      </c>
      <c r="E536" s="185" t="str">
        <f>IFERROR(__xludf.DUMMYFUNCTION("""COMPUTED_VALUE"""),"google.com")</f>
        <v>google.com</v>
      </c>
      <c r="F536" s="185" t="str">
        <f>IFERROR(__xludf.DUMMYFUNCTION("""COMPUTED_VALUE"""),"Other")</f>
        <v>Other</v>
      </c>
      <c r="G536" s="185" t="str">
        <f>IFERROR(__xludf.DUMMYFUNCTION("""COMPUTED_VALUE"""),"OTHER")</f>
        <v>OTHER</v>
      </c>
      <c r="H536" s="185" t="str">
        <f>IFERROR(__xludf.DUMMYFUNCTION("""COMPUTED_VALUE"""),"No")</f>
        <v>No</v>
      </c>
      <c r="I536" s="185" t="str">
        <f>IFERROR(__xludf.DUMMYFUNCTION("""COMPUTED_VALUE"""),"High")</f>
        <v>High</v>
      </c>
      <c r="J536" s="185" t="str">
        <f>IFERROR(__xludf.DUMMYFUNCTION("""COMPUTED_VALUE"""),"Yes - priority")</f>
        <v>Yes - priority</v>
      </c>
      <c r="K536" s="185" t="str">
        <f>IFERROR(__xludf.DUMMYFUNCTION("""COMPUTED_VALUE"""),"Unknown")</f>
        <v>Unknown</v>
      </c>
      <c r="L536" s="187">
        <f>IFERROR(__xludf.DUMMYFUNCTION("""COMPUTED_VALUE"""),1.0)</f>
        <v>1</v>
      </c>
      <c r="M536" s="188">
        <f>IFERROR(__xludf.DUMMYFUNCTION("""COMPUTED_VALUE"""),0.0)</f>
        <v>0</v>
      </c>
      <c r="N536" s="188">
        <f>IFERROR(__xludf.DUMMYFUNCTION("""COMPUTED_VALUE"""),0.0)</f>
        <v>0</v>
      </c>
      <c r="O536" s="208"/>
      <c r="P536" s="208"/>
      <c r="Q536" s="208"/>
      <c r="R536" s="208"/>
    </row>
    <row r="537">
      <c r="A537" s="185" t="str">
        <f>IFERROR(__xludf.DUMMYFUNCTION("""COMPUTED_VALUE"""),"Official partner / certification ecosystem")</f>
        <v>Official partner / certification ecosystem</v>
      </c>
      <c r="B537" s="186" t="str">
        <f>IFERROR(__xludf.DUMMYFUNCTION("""COMPUTED_VALUE"""),"https://www.google.com/searchviewer/10?svid=CAwSHRIbCgNwdnESFENnMHZaeTh4TVdjMmNHWnphRGgzGAo")</f>
        <v>https://www.google.com/searchviewer/10?svid=CAwSHRIbCgNwdnESFENnMHZaeTh4TVdjMmNHWnphRGgzGAo</v>
      </c>
      <c r="C537" s="185"/>
      <c r="D537" s="185" t="str">
        <f>IFERROR(__xludf.DUMMYFUNCTION("""COMPUTED_VALUE"""),"AU")</f>
        <v>AU</v>
      </c>
      <c r="E537" s="185" t="str">
        <f>IFERROR(__xludf.DUMMYFUNCTION("""COMPUTED_VALUE"""),"google.com")</f>
        <v>google.com</v>
      </c>
      <c r="F537" s="185" t="str">
        <f>IFERROR(__xludf.DUMMYFUNCTION("""COMPUTED_VALUE"""),"Other")</f>
        <v>Other</v>
      </c>
      <c r="G537" s="185" t="str">
        <f>IFERROR(__xludf.DUMMYFUNCTION("""COMPUTED_VALUE"""),"OTHER")</f>
        <v>OTHER</v>
      </c>
      <c r="H537" s="185" t="str">
        <f>IFERROR(__xludf.DUMMYFUNCTION("""COMPUTED_VALUE"""),"No")</f>
        <v>No</v>
      </c>
      <c r="I537" s="185" t="str">
        <f>IFERROR(__xludf.DUMMYFUNCTION("""COMPUTED_VALUE"""),"High")</f>
        <v>High</v>
      </c>
      <c r="J537" s="185" t="str">
        <f>IFERROR(__xludf.DUMMYFUNCTION("""COMPUTED_VALUE"""),"Yes - priority")</f>
        <v>Yes - priority</v>
      </c>
      <c r="K537" s="185" t="str">
        <f>IFERROR(__xludf.DUMMYFUNCTION("""COMPUTED_VALUE"""),"Unknown")</f>
        <v>Unknown</v>
      </c>
      <c r="L537" s="187">
        <f>IFERROR(__xludf.DUMMYFUNCTION("""COMPUTED_VALUE"""),1.0)</f>
        <v>1</v>
      </c>
      <c r="M537" s="188">
        <f>IFERROR(__xludf.DUMMYFUNCTION("""COMPUTED_VALUE"""),0.0)</f>
        <v>0</v>
      </c>
      <c r="N537" s="188">
        <f>IFERROR(__xludf.DUMMYFUNCTION("""COMPUTED_VALUE"""),0.0)</f>
        <v>0</v>
      </c>
      <c r="O537" s="208"/>
      <c r="P537" s="208"/>
      <c r="Q537" s="208"/>
      <c r="R537" s="208"/>
    </row>
    <row r="538">
      <c r="A538" s="185" t="str">
        <f>IFERROR(__xludf.DUMMYFUNCTION("""COMPUTED_VALUE"""),"Official partner / certification ecosystem")</f>
        <v>Official partner / certification ecosystem</v>
      </c>
      <c r="B538" s="186" t="str">
        <f>IFERROR(__xludf.DUMMYFUNCTION("""COMPUTED_VALUE"""),"https://www.google.com/searchviewer/10?svid=CAwSHRIbCgNwdnESFENnMHZaeTh4TVdkbmNtc3lZM05vGAo")</f>
        <v>https://www.google.com/searchviewer/10?svid=CAwSHRIbCgNwdnESFENnMHZaeTh4TVdkbmNtc3lZM05vGAo</v>
      </c>
      <c r="C538" s="185"/>
      <c r="D538" s="185" t="str">
        <f>IFERROR(__xludf.DUMMYFUNCTION("""COMPUTED_VALUE"""),"AU")</f>
        <v>AU</v>
      </c>
      <c r="E538" s="185" t="str">
        <f>IFERROR(__xludf.DUMMYFUNCTION("""COMPUTED_VALUE"""),"google.com")</f>
        <v>google.com</v>
      </c>
      <c r="F538" s="185" t="str">
        <f>IFERROR(__xludf.DUMMYFUNCTION("""COMPUTED_VALUE"""),"Other")</f>
        <v>Other</v>
      </c>
      <c r="G538" s="185" t="str">
        <f>IFERROR(__xludf.DUMMYFUNCTION("""COMPUTED_VALUE"""),"OTHER")</f>
        <v>OTHER</v>
      </c>
      <c r="H538" s="185" t="str">
        <f>IFERROR(__xludf.DUMMYFUNCTION("""COMPUTED_VALUE"""),"No")</f>
        <v>No</v>
      </c>
      <c r="I538" s="185" t="str">
        <f>IFERROR(__xludf.DUMMYFUNCTION("""COMPUTED_VALUE"""),"High")</f>
        <v>High</v>
      </c>
      <c r="J538" s="185" t="str">
        <f>IFERROR(__xludf.DUMMYFUNCTION("""COMPUTED_VALUE"""),"Yes - priority")</f>
        <v>Yes - priority</v>
      </c>
      <c r="K538" s="185" t="str">
        <f>IFERROR(__xludf.DUMMYFUNCTION("""COMPUTED_VALUE"""),"Unknown")</f>
        <v>Unknown</v>
      </c>
      <c r="L538" s="187">
        <f>IFERROR(__xludf.DUMMYFUNCTION("""COMPUTED_VALUE"""),1.0)</f>
        <v>1</v>
      </c>
      <c r="M538" s="188">
        <f>IFERROR(__xludf.DUMMYFUNCTION("""COMPUTED_VALUE"""),0.0)</f>
        <v>0</v>
      </c>
      <c r="N538" s="188">
        <f>IFERROR(__xludf.DUMMYFUNCTION("""COMPUTED_VALUE"""),0.0)</f>
        <v>0</v>
      </c>
      <c r="O538" s="208"/>
      <c r="P538" s="208"/>
      <c r="Q538" s="208"/>
      <c r="R538" s="208"/>
    </row>
    <row r="539">
      <c r="A539" s="185" t="str">
        <f>IFERROR(__xludf.DUMMYFUNCTION("""COMPUTED_VALUE"""),"Official partner / certification ecosystem")</f>
        <v>Official partner / certification ecosystem</v>
      </c>
      <c r="B539" s="186" t="str">
        <f>IFERROR(__xludf.DUMMYFUNCTION("""COMPUTED_VALUE"""),"https://www.google.com/searchviewer/10?svid=CAwSHRIbCgNwdnESFENnMHZaeTh4TVdnME5uTXllalZ4GAo")</f>
        <v>https://www.google.com/searchviewer/10?svid=CAwSHRIbCgNwdnESFENnMHZaeTh4TVdnME5uTXllalZ4GAo</v>
      </c>
      <c r="C539" s="185"/>
      <c r="D539" s="185" t="str">
        <f>IFERROR(__xludf.DUMMYFUNCTION("""COMPUTED_VALUE"""),"AU")</f>
        <v>AU</v>
      </c>
      <c r="E539" s="185" t="str">
        <f>IFERROR(__xludf.DUMMYFUNCTION("""COMPUTED_VALUE"""),"google.com")</f>
        <v>google.com</v>
      </c>
      <c r="F539" s="185" t="str">
        <f>IFERROR(__xludf.DUMMYFUNCTION("""COMPUTED_VALUE"""),"Other")</f>
        <v>Other</v>
      </c>
      <c r="G539" s="185" t="str">
        <f>IFERROR(__xludf.DUMMYFUNCTION("""COMPUTED_VALUE"""),"OTHER")</f>
        <v>OTHER</v>
      </c>
      <c r="H539" s="185" t="str">
        <f>IFERROR(__xludf.DUMMYFUNCTION("""COMPUTED_VALUE"""),"No")</f>
        <v>No</v>
      </c>
      <c r="I539" s="185" t="str">
        <f>IFERROR(__xludf.DUMMYFUNCTION("""COMPUTED_VALUE"""),"High")</f>
        <v>High</v>
      </c>
      <c r="J539" s="185" t="str">
        <f>IFERROR(__xludf.DUMMYFUNCTION("""COMPUTED_VALUE"""),"Yes - priority")</f>
        <v>Yes - priority</v>
      </c>
      <c r="K539" s="185" t="str">
        <f>IFERROR(__xludf.DUMMYFUNCTION("""COMPUTED_VALUE"""),"Unknown")</f>
        <v>Unknown</v>
      </c>
      <c r="L539" s="187">
        <f>IFERROR(__xludf.DUMMYFUNCTION("""COMPUTED_VALUE"""),1.0)</f>
        <v>1</v>
      </c>
      <c r="M539" s="188">
        <f>IFERROR(__xludf.DUMMYFUNCTION("""COMPUTED_VALUE"""),0.0)</f>
        <v>0</v>
      </c>
      <c r="N539" s="188">
        <f>IFERROR(__xludf.DUMMYFUNCTION("""COMPUTED_VALUE"""),0.0)</f>
        <v>0</v>
      </c>
      <c r="O539" s="208"/>
      <c r="P539" s="208"/>
      <c r="Q539" s="208"/>
      <c r="R539" s="208"/>
    </row>
    <row r="540">
      <c r="A540" s="185" t="str">
        <f>IFERROR(__xludf.DUMMYFUNCTION("""COMPUTED_VALUE"""),"Official partner / certification ecosystem")</f>
        <v>Official partner / certification ecosystem</v>
      </c>
      <c r="B540" s="186" t="str">
        <f>IFERROR(__xludf.DUMMYFUNCTION("""COMPUTED_VALUE"""),"https://www.google.com/searchviewer/10?svid=CAwSHRIbCgNwdnESFENnMHZaeTh4TVdnd1lqbGtPVGhrGAo")</f>
        <v>https://www.google.com/searchviewer/10?svid=CAwSHRIbCgNwdnESFENnMHZaeTh4TVdnd1lqbGtPVGhrGAo</v>
      </c>
      <c r="C540" s="185"/>
      <c r="D540" s="185" t="str">
        <f>IFERROR(__xludf.DUMMYFUNCTION("""COMPUTED_VALUE"""),"AU")</f>
        <v>AU</v>
      </c>
      <c r="E540" s="185" t="str">
        <f>IFERROR(__xludf.DUMMYFUNCTION("""COMPUTED_VALUE"""),"google.com")</f>
        <v>google.com</v>
      </c>
      <c r="F540" s="185" t="str">
        <f>IFERROR(__xludf.DUMMYFUNCTION("""COMPUTED_VALUE"""),"Other")</f>
        <v>Other</v>
      </c>
      <c r="G540" s="185" t="str">
        <f>IFERROR(__xludf.DUMMYFUNCTION("""COMPUTED_VALUE"""),"OTHER")</f>
        <v>OTHER</v>
      </c>
      <c r="H540" s="185" t="str">
        <f>IFERROR(__xludf.DUMMYFUNCTION("""COMPUTED_VALUE"""),"No")</f>
        <v>No</v>
      </c>
      <c r="I540" s="185" t="str">
        <f>IFERROR(__xludf.DUMMYFUNCTION("""COMPUTED_VALUE"""),"High")</f>
        <v>High</v>
      </c>
      <c r="J540" s="185" t="str">
        <f>IFERROR(__xludf.DUMMYFUNCTION("""COMPUTED_VALUE"""),"Yes - priority")</f>
        <v>Yes - priority</v>
      </c>
      <c r="K540" s="185" t="str">
        <f>IFERROR(__xludf.DUMMYFUNCTION("""COMPUTED_VALUE"""),"Unknown")</f>
        <v>Unknown</v>
      </c>
      <c r="L540" s="187">
        <f>IFERROR(__xludf.DUMMYFUNCTION("""COMPUTED_VALUE"""),1.0)</f>
        <v>1</v>
      </c>
      <c r="M540" s="188">
        <f>IFERROR(__xludf.DUMMYFUNCTION("""COMPUTED_VALUE"""),0.0)</f>
        <v>0</v>
      </c>
      <c r="N540" s="188">
        <f>IFERROR(__xludf.DUMMYFUNCTION("""COMPUTED_VALUE"""),0.0)</f>
        <v>0</v>
      </c>
      <c r="O540" s="208"/>
      <c r="P540" s="208"/>
      <c r="Q540" s="208"/>
      <c r="R540" s="208"/>
    </row>
    <row r="541">
      <c r="A541" s="185" t="str">
        <f>IFERROR(__xludf.DUMMYFUNCTION("""COMPUTED_VALUE"""),"Official partner / certification ecosystem")</f>
        <v>Official partner / certification ecosystem</v>
      </c>
      <c r="B541" s="186" t="str">
        <f>IFERROR(__xludf.DUMMYFUNCTION("""COMPUTED_VALUE"""),"https://www.google.com/searchviewer/10?svid=CAwSHRIbCgNwdnESFENnMHZaeTh4TVdneWEyMXlaR2RyGAo")</f>
        <v>https://www.google.com/searchviewer/10?svid=CAwSHRIbCgNwdnESFENnMHZaeTh4TVdneWEyMXlaR2RyGAo</v>
      </c>
      <c r="C541" s="185"/>
      <c r="D541" s="185" t="str">
        <f>IFERROR(__xludf.DUMMYFUNCTION("""COMPUTED_VALUE"""),"AU")</f>
        <v>AU</v>
      </c>
      <c r="E541" s="185" t="str">
        <f>IFERROR(__xludf.DUMMYFUNCTION("""COMPUTED_VALUE"""),"google.com")</f>
        <v>google.com</v>
      </c>
      <c r="F541" s="185" t="str">
        <f>IFERROR(__xludf.DUMMYFUNCTION("""COMPUTED_VALUE"""),"Other")</f>
        <v>Other</v>
      </c>
      <c r="G541" s="185" t="str">
        <f>IFERROR(__xludf.DUMMYFUNCTION("""COMPUTED_VALUE"""),"OTHER")</f>
        <v>OTHER</v>
      </c>
      <c r="H541" s="185" t="str">
        <f>IFERROR(__xludf.DUMMYFUNCTION("""COMPUTED_VALUE"""),"No")</f>
        <v>No</v>
      </c>
      <c r="I541" s="185" t="str">
        <f>IFERROR(__xludf.DUMMYFUNCTION("""COMPUTED_VALUE"""),"High")</f>
        <v>High</v>
      </c>
      <c r="J541" s="185" t="str">
        <f>IFERROR(__xludf.DUMMYFUNCTION("""COMPUTED_VALUE"""),"Yes - priority")</f>
        <v>Yes - priority</v>
      </c>
      <c r="K541" s="185" t="str">
        <f>IFERROR(__xludf.DUMMYFUNCTION("""COMPUTED_VALUE"""),"Unknown")</f>
        <v>Unknown</v>
      </c>
      <c r="L541" s="187">
        <f>IFERROR(__xludf.DUMMYFUNCTION("""COMPUTED_VALUE"""),1.0)</f>
        <v>1</v>
      </c>
      <c r="M541" s="188">
        <f>IFERROR(__xludf.DUMMYFUNCTION("""COMPUTED_VALUE"""),0.0)</f>
        <v>0</v>
      </c>
      <c r="N541" s="188">
        <f>IFERROR(__xludf.DUMMYFUNCTION("""COMPUTED_VALUE"""),0.0)</f>
        <v>0</v>
      </c>
      <c r="O541" s="208"/>
      <c r="P541" s="208"/>
      <c r="Q541" s="208"/>
      <c r="R541" s="208"/>
    </row>
    <row r="542">
      <c r="A542" s="185" t="str">
        <f>IFERROR(__xludf.DUMMYFUNCTION("""COMPUTED_VALUE"""),"Official partner / certification ecosystem")</f>
        <v>Official partner / certification ecosystem</v>
      </c>
      <c r="B542" s="186" t="str">
        <f>IFERROR(__xludf.DUMMYFUNCTION("""COMPUTED_VALUE"""),"https://www.google.com/searchviewer/10?svid=CAwSHRIbCgNwdnESFENnMHZaeTh4TVdneWNXMXpOblEyGAo")</f>
        <v>https://www.google.com/searchviewer/10?svid=CAwSHRIbCgNwdnESFENnMHZaeTh4TVdneWNXMXpOblEyGAo</v>
      </c>
      <c r="C542" s="185"/>
      <c r="D542" s="185" t="str">
        <f>IFERROR(__xludf.DUMMYFUNCTION("""COMPUTED_VALUE"""),"AU")</f>
        <v>AU</v>
      </c>
      <c r="E542" s="185" t="str">
        <f>IFERROR(__xludf.DUMMYFUNCTION("""COMPUTED_VALUE"""),"google.com")</f>
        <v>google.com</v>
      </c>
      <c r="F542" s="185" t="str">
        <f>IFERROR(__xludf.DUMMYFUNCTION("""COMPUTED_VALUE"""),"Other")</f>
        <v>Other</v>
      </c>
      <c r="G542" s="185" t="str">
        <f>IFERROR(__xludf.DUMMYFUNCTION("""COMPUTED_VALUE"""),"OTHER")</f>
        <v>OTHER</v>
      </c>
      <c r="H542" s="185" t="str">
        <f>IFERROR(__xludf.DUMMYFUNCTION("""COMPUTED_VALUE"""),"No")</f>
        <v>No</v>
      </c>
      <c r="I542" s="185" t="str">
        <f>IFERROR(__xludf.DUMMYFUNCTION("""COMPUTED_VALUE"""),"High")</f>
        <v>High</v>
      </c>
      <c r="J542" s="185" t="str">
        <f>IFERROR(__xludf.DUMMYFUNCTION("""COMPUTED_VALUE"""),"Yes - priority")</f>
        <v>Yes - priority</v>
      </c>
      <c r="K542" s="185" t="str">
        <f>IFERROR(__xludf.DUMMYFUNCTION("""COMPUTED_VALUE"""),"Unknown")</f>
        <v>Unknown</v>
      </c>
      <c r="L542" s="187">
        <f>IFERROR(__xludf.DUMMYFUNCTION("""COMPUTED_VALUE"""),1.0)</f>
        <v>1</v>
      </c>
      <c r="M542" s="188">
        <f>IFERROR(__xludf.DUMMYFUNCTION("""COMPUTED_VALUE"""),0.0)</f>
        <v>0</v>
      </c>
      <c r="N542" s="188">
        <f>IFERROR(__xludf.DUMMYFUNCTION("""COMPUTED_VALUE"""),1.0)</f>
        <v>1</v>
      </c>
      <c r="O542" s="208"/>
      <c r="P542" s="208"/>
      <c r="Q542" s="208"/>
      <c r="R542" s="208"/>
    </row>
    <row r="543">
      <c r="A543" s="185" t="str">
        <f>IFERROR(__xludf.DUMMYFUNCTION("""COMPUTED_VALUE"""),"Official partner / certification ecosystem")</f>
        <v>Official partner / certification ecosystem</v>
      </c>
      <c r="B543" s="186" t="str">
        <f>IFERROR(__xludf.DUMMYFUNCTION("""COMPUTED_VALUE"""),"https://www.google.com/searchviewer/10?svid=CAwSHRIbCgNwdnESFENnMHZaeTh4TVdoa2N6TnFkbDgwGAo")</f>
        <v>https://www.google.com/searchviewer/10?svid=CAwSHRIbCgNwdnESFENnMHZaeTh4TVdoa2N6TnFkbDgwGAo</v>
      </c>
      <c r="C543" s="185"/>
      <c r="D543" s="185" t="str">
        <f>IFERROR(__xludf.DUMMYFUNCTION("""COMPUTED_VALUE"""),"AU")</f>
        <v>AU</v>
      </c>
      <c r="E543" s="185" t="str">
        <f>IFERROR(__xludf.DUMMYFUNCTION("""COMPUTED_VALUE"""),"google.com")</f>
        <v>google.com</v>
      </c>
      <c r="F543" s="185" t="str">
        <f>IFERROR(__xludf.DUMMYFUNCTION("""COMPUTED_VALUE"""),"Other")</f>
        <v>Other</v>
      </c>
      <c r="G543" s="185" t="str">
        <f>IFERROR(__xludf.DUMMYFUNCTION("""COMPUTED_VALUE"""),"OTHER")</f>
        <v>OTHER</v>
      </c>
      <c r="H543" s="185" t="str">
        <f>IFERROR(__xludf.DUMMYFUNCTION("""COMPUTED_VALUE"""),"No")</f>
        <v>No</v>
      </c>
      <c r="I543" s="185" t="str">
        <f>IFERROR(__xludf.DUMMYFUNCTION("""COMPUTED_VALUE"""),"High")</f>
        <v>High</v>
      </c>
      <c r="J543" s="185" t="str">
        <f>IFERROR(__xludf.DUMMYFUNCTION("""COMPUTED_VALUE"""),"Yes - priority")</f>
        <v>Yes - priority</v>
      </c>
      <c r="K543" s="185" t="str">
        <f>IFERROR(__xludf.DUMMYFUNCTION("""COMPUTED_VALUE"""),"Unknown")</f>
        <v>Unknown</v>
      </c>
      <c r="L543" s="187">
        <f>IFERROR(__xludf.DUMMYFUNCTION("""COMPUTED_VALUE"""),1.0)</f>
        <v>1</v>
      </c>
      <c r="M543" s="188">
        <f>IFERROR(__xludf.DUMMYFUNCTION("""COMPUTED_VALUE"""),0.0)</f>
        <v>0</v>
      </c>
      <c r="N543" s="188">
        <f>IFERROR(__xludf.DUMMYFUNCTION("""COMPUTED_VALUE"""),0.0)</f>
        <v>0</v>
      </c>
      <c r="O543" s="208"/>
      <c r="P543" s="208"/>
      <c r="Q543" s="208"/>
      <c r="R543" s="208"/>
    </row>
    <row r="544">
      <c r="A544" s="185" t="str">
        <f>IFERROR(__xludf.DUMMYFUNCTION("""COMPUTED_VALUE"""),"Official partner / certification ecosystem")</f>
        <v>Official partner / certification ecosystem</v>
      </c>
      <c r="B544" s="186" t="str">
        <f>IFERROR(__xludf.DUMMYFUNCTION("""COMPUTED_VALUE"""),"https://www.google.com/searchviewer/10?svid=CAwSHRIbCgNwdnESFENnMHZaeTh4TVdwek1UUmpaR3A0GAo")</f>
        <v>https://www.google.com/searchviewer/10?svid=CAwSHRIbCgNwdnESFENnMHZaeTh4TVdwek1UUmpaR3A0GAo</v>
      </c>
      <c r="C544" s="185"/>
      <c r="D544" s="185" t="str">
        <f>IFERROR(__xludf.DUMMYFUNCTION("""COMPUTED_VALUE"""),"AU")</f>
        <v>AU</v>
      </c>
      <c r="E544" s="185" t="str">
        <f>IFERROR(__xludf.DUMMYFUNCTION("""COMPUTED_VALUE"""),"google.com")</f>
        <v>google.com</v>
      </c>
      <c r="F544" s="185" t="str">
        <f>IFERROR(__xludf.DUMMYFUNCTION("""COMPUTED_VALUE"""),"Other")</f>
        <v>Other</v>
      </c>
      <c r="G544" s="185" t="str">
        <f>IFERROR(__xludf.DUMMYFUNCTION("""COMPUTED_VALUE"""),"OTHER")</f>
        <v>OTHER</v>
      </c>
      <c r="H544" s="185" t="str">
        <f>IFERROR(__xludf.DUMMYFUNCTION("""COMPUTED_VALUE"""),"No")</f>
        <v>No</v>
      </c>
      <c r="I544" s="185" t="str">
        <f>IFERROR(__xludf.DUMMYFUNCTION("""COMPUTED_VALUE"""),"High")</f>
        <v>High</v>
      </c>
      <c r="J544" s="185" t="str">
        <f>IFERROR(__xludf.DUMMYFUNCTION("""COMPUTED_VALUE"""),"Yes - priority")</f>
        <v>Yes - priority</v>
      </c>
      <c r="K544" s="185" t="str">
        <f>IFERROR(__xludf.DUMMYFUNCTION("""COMPUTED_VALUE"""),"Unknown")</f>
        <v>Unknown</v>
      </c>
      <c r="L544" s="187">
        <f>IFERROR(__xludf.DUMMYFUNCTION("""COMPUTED_VALUE"""),1.0)</f>
        <v>1</v>
      </c>
      <c r="M544" s="188">
        <f>IFERROR(__xludf.DUMMYFUNCTION("""COMPUTED_VALUE"""),0.0)</f>
        <v>0</v>
      </c>
      <c r="N544" s="188">
        <f>IFERROR(__xludf.DUMMYFUNCTION("""COMPUTED_VALUE"""),0.0)</f>
        <v>0</v>
      </c>
      <c r="O544" s="208"/>
      <c r="P544" s="208"/>
      <c r="Q544" s="208"/>
      <c r="R544" s="208"/>
    </row>
    <row r="545">
      <c r="A545" s="185" t="str">
        <f>IFERROR(__xludf.DUMMYFUNCTION("""COMPUTED_VALUE"""),"Official partner / certification ecosystem")</f>
        <v>Official partner / certification ecosystem</v>
      </c>
      <c r="B545" s="186" t="str">
        <f>IFERROR(__xludf.DUMMYFUNCTION("""COMPUTED_VALUE"""),"https://www.google.com/searchviewer/10?svid=CAwSHRIbCgNwdnESFENnMHZaeTh4TVhKbllucG9jVE56GAo")</f>
        <v>https://www.google.com/searchviewer/10?svid=CAwSHRIbCgNwdnESFENnMHZaeTh4TVhKbllucG9jVE56GAo</v>
      </c>
      <c r="C545" s="185"/>
      <c r="D545" s="185" t="str">
        <f>IFERROR(__xludf.DUMMYFUNCTION("""COMPUTED_VALUE"""),"AU")</f>
        <v>AU</v>
      </c>
      <c r="E545" s="185" t="str">
        <f>IFERROR(__xludf.DUMMYFUNCTION("""COMPUTED_VALUE"""),"google.com")</f>
        <v>google.com</v>
      </c>
      <c r="F545" s="185" t="str">
        <f>IFERROR(__xludf.DUMMYFUNCTION("""COMPUTED_VALUE"""),"Other")</f>
        <v>Other</v>
      </c>
      <c r="G545" s="185" t="str">
        <f>IFERROR(__xludf.DUMMYFUNCTION("""COMPUTED_VALUE"""),"OTHER")</f>
        <v>OTHER</v>
      </c>
      <c r="H545" s="185" t="str">
        <f>IFERROR(__xludf.DUMMYFUNCTION("""COMPUTED_VALUE"""),"No")</f>
        <v>No</v>
      </c>
      <c r="I545" s="185" t="str">
        <f>IFERROR(__xludf.DUMMYFUNCTION("""COMPUTED_VALUE"""),"High")</f>
        <v>High</v>
      </c>
      <c r="J545" s="185" t="str">
        <f>IFERROR(__xludf.DUMMYFUNCTION("""COMPUTED_VALUE"""),"Yes - priority")</f>
        <v>Yes - priority</v>
      </c>
      <c r="K545" s="185" t="str">
        <f>IFERROR(__xludf.DUMMYFUNCTION("""COMPUTED_VALUE"""),"Unknown")</f>
        <v>Unknown</v>
      </c>
      <c r="L545" s="187">
        <f>IFERROR(__xludf.DUMMYFUNCTION("""COMPUTED_VALUE"""),1.0)</f>
        <v>1</v>
      </c>
      <c r="M545" s="188">
        <f>IFERROR(__xludf.DUMMYFUNCTION("""COMPUTED_VALUE"""),0.0)</f>
        <v>0</v>
      </c>
      <c r="N545" s="188">
        <f>IFERROR(__xludf.DUMMYFUNCTION("""COMPUTED_VALUE"""),0.0)</f>
        <v>0</v>
      </c>
      <c r="O545" s="208"/>
      <c r="P545" s="208"/>
      <c r="Q545" s="208"/>
      <c r="R545" s="208"/>
    </row>
    <row r="546">
      <c r="A546" s="185" t="str">
        <f>IFERROR(__xludf.DUMMYFUNCTION("""COMPUTED_VALUE"""),"Official partner / certification ecosystem")</f>
        <v>Official partner / certification ecosystem</v>
      </c>
      <c r="B546" s="186" t="str">
        <f>IFERROR(__xludf.DUMMYFUNCTION("""COMPUTED_VALUE"""),"https://www.google.com/searchviewer/10?svid=CAwSHRIbCgNwdnESFENnMHZaeTh4TVhNM2VYZzJNV2hxGAo")</f>
        <v>https://www.google.com/searchviewer/10?svid=CAwSHRIbCgNwdnESFENnMHZaeTh4TVhNM2VYZzJNV2hxGAo</v>
      </c>
      <c r="C546" s="185"/>
      <c r="D546" s="185" t="str">
        <f>IFERROR(__xludf.DUMMYFUNCTION("""COMPUTED_VALUE"""),"AU")</f>
        <v>AU</v>
      </c>
      <c r="E546" s="185" t="str">
        <f>IFERROR(__xludf.DUMMYFUNCTION("""COMPUTED_VALUE"""),"google.com")</f>
        <v>google.com</v>
      </c>
      <c r="F546" s="185" t="str">
        <f>IFERROR(__xludf.DUMMYFUNCTION("""COMPUTED_VALUE"""),"Other")</f>
        <v>Other</v>
      </c>
      <c r="G546" s="185" t="str">
        <f>IFERROR(__xludf.DUMMYFUNCTION("""COMPUTED_VALUE"""),"OTHER")</f>
        <v>OTHER</v>
      </c>
      <c r="H546" s="185" t="str">
        <f>IFERROR(__xludf.DUMMYFUNCTION("""COMPUTED_VALUE"""),"No")</f>
        <v>No</v>
      </c>
      <c r="I546" s="185" t="str">
        <f>IFERROR(__xludf.DUMMYFUNCTION("""COMPUTED_VALUE"""),"High")</f>
        <v>High</v>
      </c>
      <c r="J546" s="185" t="str">
        <f>IFERROR(__xludf.DUMMYFUNCTION("""COMPUTED_VALUE"""),"Yes - priority")</f>
        <v>Yes - priority</v>
      </c>
      <c r="K546" s="185" t="str">
        <f>IFERROR(__xludf.DUMMYFUNCTION("""COMPUTED_VALUE"""),"Unknown")</f>
        <v>Unknown</v>
      </c>
      <c r="L546" s="187">
        <f>IFERROR(__xludf.DUMMYFUNCTION("""COMPUTED_VALUE"""),1.0)</f>
        <v>1</v>
      </c>
      <c r="M546" s="188">
        <f>IFERROR(__xludf.DUMMYFUNCTION("""COMPUTED_VALUE"""),0.0)</f>
        <v>0</v>
      </c>
      <c r="N546" s="188">
        <f>IFERROR(__xludf.DUMMYFUNCTION("""COMPUTED_VALUE"""),0.0)</f>
        <v>0</v>
      </c>
      <c r="O546" s="208"/>
      <c r="P546" s="208"/>
      <c r="Q546" s="208"/>
      <c r="R546" s="208"/>
    </row>
    <row r="547">
      <c r="A547" s="185" t="str">
        <f>IFERROR(__xludf.DUMMYFUNCTION("""COMPUTED_VALUE"""),"Official partner / certification ecosystem")</f>
        <v>Official partner / certification ecosystem</v>
      </c>
      <c r="B547" s="186" t="str">
        <f>IFERROR(__xludf.DUMMYFUNCTION("""COMPUTED_VALUE"""),"https://www.google.com/searchviewer/10?svid=CAwSHRIbCgNwdnESFENnMHZaeTh4TVhRMWJIbDZObUl4GAo")</f>
        <v>https://www.google.com/searchviewer/10?svid=CAwSHRIbCgNwdnESFENnMHZaeTh4TVhRMWJIbDZObUl4GAo</v>
      </c>
      <c r="C547" s="185"/>
      <c r="D547" s="185" t="str">
        <f>IFERROR(__xludf.DUMMYFUNCTION("""COMPUTED_VALUE"""),"AU")</f>
        <v>AU</v>
      </c>
      <c r="E547" s="185" t="str">
        <f>IFERROR(__xludf.DUMMYFUNCTION("""COMPUTED_VALUE"""),"google.com")</f>
        <v>google.com</v>
      </c>
      <c r="F547" s="185" t="str">
        <f>IFERROR(__xludf.DUMMYFUNCTION("""COMPUTED_VALUE"""),"Other")</f>
        <v>Other</v>
      </c>
      <c r="G547" s="185" t="str">
        <f>IFERROR(__xludf.DUMMYFUNCTION("""COMPUTED_VALUE"""),"OTHER")</f>
        <v>OTHER</v>
      </c>
      <c r="H547" s="185" t="str">
        <f>IFERROR(__xludf.DUMMYFUNCTION("""COMPUTED_VALUE"""),"No")</f>
        <v>No</v>
      </c>
      <c r="I547" s="185" t="str">
        <f>IFERROR(__xludf.DUMMYFUNCTION("""COMPUTED_VALUE"""),"High")</f>
        <v>High</v>
      </c>
      <c r="J547" s="185" t="str">
        <f>IFERROR(__xludf.DUMMYFUNCTION("""COMPUTED_VALUE"""),"Yes - priority")</f>
        <v>Yes - priority</v>
      </c>
      <c r="K547" s="185" t="str">
        <f>IFERROR(__xludf.DUMMYFUNCTION("""COMPUTED_VALUE"""),"Unknown")</f>
        <v>Unknown</v>
      </c>
      <c r="L547" s="187">
        <f>IFERROR(__xludf.DUMMYFUNCTION("""COMPUTED_VALUE"""),1.0)</f>
        <v>1</v>
      </c>
      <c r="M547" s="188">
        <f>IFERROR(__xludf.DUMMYFUNCTION("""COMPUTED_VALUE"""),0.0)</f>
        <v>0</v>
      </c>
      <c r="N547" s="188">
        <f>IFERROR(__xludf.DUMMYFUNCTION("""COMPUTED_VALUE"""),1.0)</f>
        <v>1</v>
      </c>
      <c r="O547" s="208"/>
      <c r="P547" s="208"/>
      <c r="Q547" s="208"/>
      <c r="R547" s="208"/>
    </row>
    <row r="548">
      <c r="A548" s="185" t="str">
        <f>IFERROR(__xludf.DUMMYFUNCTION("""COMPUTED_VALUE"""),"Official partner / certification ecosystem")</f>
        <v>Official partner / certification ecosystem</v>
      </c>
      <c r="B548" s="186" t="str">
        <f>IFERROR(__xludf.DUMMYFUNCTION("""COMPUTED_VALUE"""),"https://www.google.com/searchviewer/10?svid=CAwSHRIbCgNwdnESFENnMHZaeTh4TVhReU9UbDBiR28wGAo")</f>
        <v>https://www.google.com/searchviewer/10?svid=CAwSHRIbCgNwdnESFENnMHZaeTh4TVhReU9UbDBiR28wGAo</v>
      </c>
      <c r="C548" s="185"/>
      <c r="D548" s="185" t="str">
        <f>IFERROR(__xludf.DUMMYFUNCTION("""COMPUTED_VALUE"""),"AU")</f>
        <v>AU</v>
      </c>
      <c r="E548" s="185" t="str">
        <f>IFERROR(__xludf.DUMMYFUNCTION("""COMPUTED_VALUE"""),"google.com")</f>
        <v>google.com</v>
      </c>
      <c r="F548" s="185" t="str">
        <f>IFERROR(__xludf.DUMMYFUNCTION("""COMPUTED_VALUE"""),"Other")</f>
        <v>Other</v>
      </c>
      <c r="G548" s="185" t="str">
        <f>IFERROR(__xludf.DUMMYFUNCTION("""COMPUTED_VALUE"""),"OTHER")</f>
        <v>OTHER</v>
      </c>
      <c r="H548" s="185" t="str">
        <f>IFERROR(__xludf.DUMMYFUNCTION("""COMPUTED_VALUE"""),"No")</f>
        <v>No</v>
      </c>
      <c r="I548" s="185" t="str">
        <f>IFERROR(__xludf.DUMMYFUNCTION("""COMPUTED_VALUE"""),"High")</f>
        <v>High</v>
      </c>
      <c r="J548" s="185" t="str">
        <f>IFERROR(__xludf.DUMMYFUNCTION("""COMPUTED_VALUE"""),"Yes - priority")</f>
        <v>Yes - priority</v>
      </c>
      <c r="K548" s="185" t="str">
        <f>IFERROR(__xludf.DUMMYFUNCTION("""COMPUTED_VALUE"""),"Unknown")</f>
        <v>Unknown</v>
      </c>
      <c r="L548" s="187">
        <f>IFERROR(__xludf.DUMMYFUNCTION("""COMPUTED_VALUE"""),1.0)</f>
        <v>1</v>
      </c>
      <c r="M548" s="188">
        <f>IFERROR(__xludf.DUMMYFUNCTION("""COMPUTED_VALUE"""),0.0)</f>
        <v>0</v>
      </c>
      <c r="N548" s="188">
        <f>IFERROR(__xludf.DUMMYFUNCTION("""COMPUTED_VALUE"""),0.0)</f>
        <v>0</v>
      </c>
      <c r="O548" s="208"/>
      <c r="P548" s="208"/>
      <c r="Q548" s="208"/>
      <c r="R548" s="208"/>
    </row>
    <row r="549">
      <c r="A549" s="185" t="str">
        <f>IFERROR(__xludf.DUMMYFUNCTION("""COMPUTED_VALUE"""),"Official partner / certification ecosystem")</f>
        <v>Official partner / certification ecosystem</v>
      </c>
      <c r="B549" s="186" t="str">
        <f>IFERROR(__xludf.DUMMYFUNCTION("""COMPUTED_VALUE"""),"https://www.google.com/searchviewer/10?svid=CAwSHRIbCgNwdnESFENnMHZaeTh4TVhad2VIQnVPVjgzGAo")</f>
        <v>https://www.google.com/searchviewer/10?svid=CAwSHRIbCgNwdnESFENnMHZaeTh4TVhad2VIQnVPVjgzGAo</v>
      </c>
      <c r="C549" s="185"/>
      <c r="D549" s="185" t="str">
        <f>IFERROR(__xludf.DUMMYFUNCTION("""COMPUTED_VALUE"""),"AU")</f>
        <v>AU</v>
      </c>
      <c r="E549" s="185" t="str">
        <f>IFERROR(__xludf.DUMMYFUNCTION("""COMPUTED_VALUE"""),"google.com")</f>
        <v>google.com</v>
      </c>
      <c r="F549" s="185" t="str">
        <f>IFERROR(__xludf.DUMMYFUNCTION("""COMPUTED_VALUE"""),"Other")</f>
        <v>Other</v>
      </c>
      <c r="G549" s="185" t="str">
        <f>IFERROR(__xludf.DUMMYFUNCTION("""COMPUTED_VALUE"""),"OTHER")</f>
        <v>OTHER</v>
      </c>
      <c r="H549" s="185" t="str">
        <f>IFERROR(__xludf.DUMMYFUNCTION("""COMPUTED_VALUE"""),"No")</f>
        <v>No</v>
      </c>
      <c r="I549" s="185" t="str">
        <f>IFERROR(__xludf.DUMMYFUNCTION("""COMPUTED_VALUE"""),"High")</f>
        <v>High</v>
      </c>
      <c r="J549" s="185" t="str">
        <f>IFERROR(__xludf.DUMMYFUNCTION("""COMPUTED_VALUE"""),"Yes - priority")</f>
        <v>Yes - priority</v>
      </c>
      <c r="K549" s="185" t="str">
        <f>IFERROR(__xludf.DUMMYFUNCTION("""COMPUTED_VALUE"""),"Unknown")</f>
        <v>Unknown</v>
      </c>
      <c r="L549" s="187">
        <f>IFERROR(__xludf.DUMMYFUNCTION("""COMPUTED_VALUE"""),1.0)</f>
        <v>1</v>
      </c>
      <c r="M549" s="188">
        <f>IFERROR(__xludf.DUMMYFUNCTION("""COMPUTED_VALUE"""),0.0)</f>
        <v>0</v>
      </c>
      <c r="N549" s="188">
        <f>IFERROR(__xludf.DUMMYFUNCTION("""COMPUTED_VALUE"""),0.0)</f>
        <v>0</v>
      </c>
      <c r="O549" s="208"/>
      <c r="P549" s="208"/>
      <c r="Q549" s="208"/>
      <c r="R549" s="208"/>
    </row>
    <row r="550">
      <c r="A550" s="185" t="str">
        <f>IFERROR(__xludf.DUMMYFUNCTION("""COMPUTED_VALUE"""),"Official partner / certification ecosystem")</f>
        <v>Official partner / certification ecosystem</v>
      </c>
      <c r="B550" s="186" t="str">
        <f>IFERROR(__xludf.DUMMYFUNCTION("""COMPUTED_VALUE"""),"https://www.google.com/searchviewer/10?svid=CAwSHRIbCgNwdnESFENnMHZaeTh4TVhrME5IUjBNbTAxGAo")</f>
        <v>https://www.google.com/searchviewer/10?svid=CAwSHRIbCgNwdnESFENnMHZaeTh4TVhrME5IUjBNbTAxGAo</v>
      </c>
      <c r="C550" s="185"/>
      <c r="D550" s="185" t="str">
        <f>IFERROR(__xludf.DUMMYFUNCTION("""COMPUTED_VALUE"""),"AU")</f>
        <v>AU</v>
      </c>
      <c r="E550" s="185" t="str">
        <f>IFERROR(__xludf.DUMMYFUNCTION("""COMPUTED_VALUE"""),"google.com")</f>
        <v>google.com</v>
      </c>
      <c r="F550" s="185" t="str">
        <f>IFERROR(__xludf.DUMMYFUNCTION("""COMPUTED_VALUE"""),"Other")</f>
        <v>Other</v>
      </c>
      <c r="G550" s="185" t="str">
        <f>IFERROR(__xludf.DUMMYFUNCTION("""COMPUTED_VALUE"""),"OTHER")</f>
        <v>OTHER</v>
      </c>
      <c r="H550" s="185" t="str">
        <f>IFERROR(__xludf.DUMMYFUNCTION("""COMPUTED_VALUE"""),"No")</f>
        <v>No</v>
      </c>
      <c r="I550" s="185" t="str">
        <f>IFERROR(__xludf.DUMMYFUNCTION("""COMPUTED_VALUE"""),"High")</f>
        <v>High</v>
      </c>
      <c r="J550" s="185" t="str">
        <f>IFERROR(__xludf.DUMMYFUNCTION("""COMPUTED_VALUE"""),"Yes - priority")</f>
        <v>Yes - priority</v>
      </c>
      <c r="K550" s="185" t="str">
        <f>IFERROR(__xludf.DUMMYFUNCTION("""COMPUTED_VALUE"""),"Unknown")</f>
        <v>Unknown</v>
      </c>
      <c r="L550" s="187">
        <f>IFERROR(__xludf.DUMMYFUNCTION("""COMPUTED_VALUE"""),1.0)</f>
        <v>1</v>
      </c>
      <c r="M550" s="188">
        <f>IFERROR(__xludf.DUMMYFUNCTION("""COMPUTED_VALUE"""),0.0)</f>
        <v>0</v>
      </c>
      <c r="N550" s="188">
        <f>IFERROR(__xludf.DUMMYFUNCTION("""COMPUTED_VALUE"""),0.0)</f>
        <v>0</v>
      </c>
      <c r="O550" s="208"/>
      <c r="P550" s="208"/>
      <c r="Q550" s="208"/>
      <c r="R550" s="208"/>
    </row>
    <row r="551">
      <c r="A551" s="185" t="str">
        <f>IFERROR(__xludf.DUMMYFUNCTION("""COMPUTED_VALUE"""),"Trade media / editorial publication")</f>
        <v>Trade media / editorial publication</v>
      </c>
      <c r="B551" s="186" t="str">
        <f>IFERROR(__xludf.DUMMYFUNCTION("""COMPUTED_VALUE"""),"https://influencermarketinghub.com/digital-marketing-agency-australia/")</f>
        <v>https://influencermarketinghub.com/digital-marketing-agency-australia/</v>
      </c>
      <c r="C551" s="185" t="str">
        <f>IFERROR(__xludf.DUMMYFUNCTION("""COMPUTED_VALUE"""),"Top 13 Digital Marketing Agencies in Australia")</f>
        <v>Top 13 Digital Marketing Agencies in Australia</v>
      </c>
      <c r="D551" s="185" t="str">
        <f>IFERROR(__xludf.DUMMYFUNCTION("""COMPUTED_VALUE"""),"AU")</f>
        <v>AU</v>
      </c>
      <c r="E551" s="185" t="str">
        <f>IFERROR(__xludf.DUMMYFUNCTION("""COMPUTED_VALUE"""),"influencermarketinghub.com")</f>
        <v>influencermarketinghub.com</v>
      </c>
      <c r="F551" s="185" t="str">
        <f>IFERROR(__xludf.DUMMYFUNCTION("""COMPUTED_VALUE"""),"Listicle")</f>
        <v>Listicle</v>
      </c>
      <c r="G551" s="185" t="str">
        <f>IFERROR(__xludf.DUMMYFUNCTION("""COMPUTED_VALUE"""),"REFERENCE")</f>
        <v>REFERENCE</v>
      </c>
      <c r="H551" s="185" t="str">
        <f>IFERROR(__xludf.DUMMYFUNCTION("""COMPUTED_VALUE"""),"No")</f>
        <v>No</v>
      </c>
      <c r="I551" s="185" t="str">
        <f>IFERROR(__xludf.DUMMYFUNCTION("""COMPUTED_VALUE"""),"Medium")</f>
        <v>Medium</v>
      </c>
      <c r="J551" s="185" t="str">
        <f>IFERROR(__xludf.DUMMYFUNCTION("""COMPUTED_VALUE"""),"Yes")</f>
        <v>Yes</v>
      </c>
      <c r="K551" s="185" t="str">
        <f>IFERROR(__xludf.DUMMYFUNCTION("""COMPUTED_VALUE"""),"Reef Digital Agency, Edge Marketing, AdVisible, Clearwater Agency, Insil")</f>
        <v>Reef Digital Agency, Edge Marketing, AdVisible, Clearwater Agency, Insil</v>
      </c>
      <c r="L551" s="187">
        <f>IFERROR(__xludf.DUMMYFUNCTION("""COMPUTED_VALUE"""),1.0)</f>
        <v>1</v>
      </c>
      <c r="M551" s="188">
        <f>IFERROR(__xludf.DUMMYFUNCTION("""COMPUTED_VALUE"""),0.0)</f>
        <v>0</v>
      </c>
      <c r="N551" s="188">
        <f>IFERROR(__xludf.DUMMYFUNCTION("""COMPUTED_VALUE"""),1.0)</f>
        <v>1</v>
      </c>
      <c r="O551" s="208"/>
      <c r="P551" s="208"/>
      <c r="Q551" s="208"/>
      <c r="R551" s="208"/>
    </row>
    <row r="552">
      <c r="A552" s="185" t="str">
        <f>IFERROR(__xludf.DUMMYFUNCTION("""COMPUTED_VALUE"""),"Official partner / certification ecosystem")</f>
        <v>Official partner / certification ecosystem</v>
      </c>
      <c r="B552" s="186" t="str">
        <f>IFERROR(__xludf.DUMMYFUNCTION("""COMPUTED_VALUE"""),"https://marketingplatform.google.com/about/partners/find-a-partner")</f>
        <v>https://marketingplatform.google.com/about/partners/find-a-partner</v>
      </c>
      <c r="C552" s="185"/>
      <c r="D552" s="185" t="str">
        <f>IFERROR(__xludf.DUMMYFUNCTION("""COMPUTED_VALUE"""),"AU")</f>
        <v>AU</v>
      </c>
      <c r="E552" s="185" t="str">
        <f>IFERROR(__xludf.DUMMYFUNCTION("""COMPUTED_VALUE"""),"google.com")</f>
        <v>google.com</v>
      </c>
      <c r="F552" s="185" t="str">
        <f>IFERROR(__xludf.DUMMYFUNCTION("""COMPUTED_VALUE"""),"Other")</f>
        <v>Other</v>
      </c>
      <c r="G552" s="185" t="str">
        <f>IFERROR(__xludf.DUMMYFUNCTION("""COMPUTED_VALUE"""),"OTHER")</f>
        <v>OTHER</v>
      </c>
      <c r="H552" s="185" t="str">
        <f>IFERROR(__xludf.DUMMYFUNCTION("""COMPUTED_VALUE"""),"No")</f>
        <v>No</v>
      </c>
      <c r="I552" s="185" t="str">
        <f>IFERROR(__xludf.DUMMYFUNCTION("""COMPUTED_VALUE"""),"High")</f>
        <v>High</v>
      </c>
      <c r="J552" s="185" t="str">
        <f>IFERROR(__xludf.DUMMYFUNCTION("""COMPUTED_VALUE"""),"Yes - priority")</f>
        <v>Yes - priority</v>
      </c>
      <c r="K552" s="185" t="str">
        <f>IFERROR(__xludf.DUMMYFUNCTION("""COMPUTED_VALUE"""),"Unknown")</f>
        <v>Unknown</v>
      </c>
      <c r="L552" s="187">
        <f>IFERROR(__xludf.DUMMYFUNCTION("""COMPUTED_VALUE"""),1.0)</f>
        <v>1</v>
      </c>
      <c r="M552" s="188">
        <f>IFERROR(__xludf.DUMMYFUNCTION("""COMPUTED_VALUE"""),0.0)</f>
        <v>0</v>
      </c>
      <c r="N552" s="188">
        <f>IFERROR(__xludf.DUMMYFUNCTION("""COMPUTED_VALUE"""),0.0)</f>
        <v>0</v>
      </c>
      <c r="O552" s="208"/>
      <c r="P552" s="208"/>
      <c r="Q552" s="208"/>
      <c r="R552" s="208"/>
    </row>
    <row r="553">
      <c r="A553" s="185" t="str">
        <f>IFERROR(__xludf.DUMMYFUNCTION("""COMPUTED_VALUE"""),"Industry association / institutional authority")</f>
        <v>Industry association / institutional authority</v>
      </c>
      <c r="B553" s="186" t="str">
        <f>IFERROR(__xludf.DUMMYFUNCTION("""COMPUTED_VALUE"""),"https://www.oneclub.org/awards/rankings/-archive/agency/2025/all/all/all/36")</f>
        <v>https://www.oneclub.org/awards/rankings/-archive/agency/2025/all/all/all/36</v>
      </c>
      <c r="C553" s="185"/>
      <c r="D553" s="185" t="str">
        <f>IFERROR(__xludf.DUMMYFUNCTION("""COMPUTED_VALUE"""),"AU")</f>
        <v>AU</v>
      </c>
      <c r="E553" s="185" t="str">
        <f>IFERROR(__xludf.DUMMYFUNCTION("""COMPUTED_VALUE"""),"oneclub.org")</f>
        <v>oneclub.org</v>
      </c>
      <c r="F553" s="185" t="str">
        <f>IFERROR(__xludf.DUMMYFUNCTION("""COMPUTED_VALUE"""),"Other")</f>
        <v>Other</v>
      </c>
      <c r="G553" s="185" t="str">
        <f>IFERROR(__xludf.DUMMYFUNCTION("""COMPUTED_VALUE"""),"OTHER")</f>
        <v>OTHER</v>
      </c>
      <c r="H553" s="185" t="str">
        <f>IFERROR(__xludf.DUMMYFUNCTION("""COMPUTED_VALUE"""),"No")</f>
        <v>No</v>
      </c>
      <c r="I553" s="185" t="str">
        <f>IFERROR(__xludf.DUMMYFUNCTION("""COMPUTED_VALUE"""),"High")</f>
        <v>High</v>
      </c>
      <c r="J553" s="185" t="str">
        <f>IFERROR(__xludf.DUMMYFUNCTION("""COMPUTED_VALUE"""),"Yes - priority")</f>
        <v>Yes - priority</v>
      </c>
      <c r="K553" s="185" t="str">
        <f>IFERROR(__xludf.DUMMYFUNCTION("""COMPUTED_VALUE"""),"Unknown")</f>
        <v>Unknown</v>
      </c>
      <c r="L553" s="187">
        <f>IFERROR(__xludf.DUMMYFUNCTION("""COMPUTED_VALUE"""),1.0)</f>
        <v>1</v>
      </c>
      <c r="M553" s="188">
        <f>IFERROR(__xludf.DUMMYFUNCTION("""COMPUTED_VALUE"""),0.0)</f>
        <v>0</v>
      </c>
      <c r="N553" s="188">
        <f>IFERROR(__xludf.DUMMYFUNCTION("""COMPUTED_VALUE"""),4.0)</f>
        <v>4</v>
      </c>
      <c r="O553" s="208"/>
      <c r="P553" s="208"/>
      <c r="Q553" s="208"/>
      <c r="R553" s="208"/>
    </row>
    <row r="554">
      <c r="A554" s="185" t="str">
        <f>IFERROR(__xludf.DUMMYFUNCTION("""COMPUTED_VALUE"""),"Industry association / institutional authority")</f>
        <v>Industry association / institutional authority</v>
      </c>
      <c r="B554" s="186" t="str">
        <f>IFERROR(__xludf.DUMMYFUNCTION("""COMPUTED_VALUE"""),"https://www.oneclub.org/awards/theoneshow/-agency/Droga5%2BANZ%2C%2Bpart%2Bof%2BAccenture%2BSong%2B%5Bs%5D%2BSydney/2026/all/4")</f>
        <v>https://www.oneclub.org/awards/theoneshow/-agency/Droga5%2BANZ%2C%2Bpart%2Bof%2BAccenture%2BSong%2B%5Bs%5D%2BSydney/2026/all/4</v>
      </c>
      <c r="C554" s="185"/>
      <c r="D554" s="185" t="str">
        <f>IFERROR(__xludf.DUMMYFUNCTION("""COMPUTED_VALUE"""),"AU")</f>
        <v>AU</v>
      </c>
      <c r="E554" s="185" t="str">
        <f>IFERROR(__xludf.DUMMYFUNCTION("""COMPUTED_VALUE"""),"oneclub.org")</f>
        <v>oneclub.org</v>
      </c>
      <c r="F554" s="185" t="str">
        <f>IFERROR(__xludf.DUMMYFUNCTION("""COMPUTED_VALUE"""),"Other")</f>
        <v>Other</v>
      </c>
      <c r="G554" s="185" t="str">
        <f>IFERROR(__xludf.DUMMYFUNCTION("""COMPUTED_VALUE"""),"OTHER")</f>
        <v>OTHER</v>
      </c>
      <c r="H554" s="185" t="str">
        <f>IFERROR(__xludf.DUMMYFUNCTION("""COMPUTED_VALUE"""),"No")</f>
        <v>No</v>
      </c>
      <c r="I554" s="185" t="str">
        <f>IFERROR(__xludf.DUMMYFUNCTION("""COMPUTED_VALUE"""),"High")</f>
        <v>High</v>
      </c>
      <c r="J554" s="185" t="str">
        <f>IFERROR(__xludf.DUMMYFUNCTION("""COMPUTED_VALUE"""),"Yes - priority")</f>
        <v>Yes - priority</v>
      </c>
      <c r="K554" s="185" t="str">
        <f>IFERROR(__xludf.DUMMYFUNCTION("""COMPUTED_VALUE"""),"Unknown")</f>
        <v>Unknown</v>
      </c>
      <c r="L554" s="187">
        <f>IFERROR(__xludf.DUMMYFUNCTION("""COMPUTED_VALUE"""),1.0)</f>
        <v>1</v>
      </c>
      <c r="M554" s="188">
        <f>IFERROR(__xludf.DUMMYFUNCTION("""COMPUTED_VALUE"""),0.0)</f>
        <v>0</v>
      </c>
      <c r="N554" s="188">
        <f>IFERROR(__xludf.DUMMYFUNCTION("""COMPUTED_VALUE"""),0.0)</f>
        <v>0</v>
      </c>
      <c r="O554" s="208"/>
      <c r="P554" s="208"/>
      <c r="Q554" s="208"/>
      <c r="R554" s="208"/>
    </row>
    <row r="555">
      <c r="A555" s="185" t="str">
        <f>IFERROR(__xludf.DUMMYFUNCTION("""COMPUTED_VALUE"""),"Industry association / institutional authority")</f>
        <v>Industry association / institutional authority</v>
      </c>
      <c r="B555" s="186" t="str">
        <f>IFERROR(__xludf.DUMMYFUNCTION("""COMPUTED_VALUE"""),"https://www.oneclub.org/awards/theoneshow/-agency/Droga5%2BANZ%2C%2Bpart%2Bof%2BAccenture%2BSong%2B%5Bs%5D%2BSydney/2026/all/all")</f>
        <v>https://www.oneclub.org/awards/theoneshow/-agency/Droga5%2BANZ%2C%2Bpart%2Bof%2BAccenture%2BSong%2B%5Bs%5D%2BSydney/2026/all/all</v>
      </c>
      <c r="C555" s="185"/>
      <c r="D555" s="185" t="str">
        <f>IFERROR(__xludf.DUMMYFUNCTION("""COMPUTED_VALUE"""),"AU")</f>
        <v>AU</v>
      </c>
      <c r="E555" s="185" t="str">
        <f>IFERROR(__xludf.DUMMYFUNCTION("""COMPUTED_VALUE"""),"oneclub.org")</f>
        <v>oneclub.org</v>
      </c>
      <c r="F555" s="185" t="str">
        <f>IFERROR(__xludf.DUMMYFUNCTION("""COMPUTED_VALUE"""),"Other")</f>
        <v>Other</v>
      </c>
      <c r="G555" s="185" t="str">
        <f>IFERROR(__xludf.DUMMYFUNCTION("""COMPUTED_VALUE"""),"OTHER")</f>
        <v>OTHER</v>
      </c>
      <c r="H555" s="185" t="str">
        <f>IFERROR(__xludf.DUMMYFUNCTION("""COMPUTED_VALUE"""),"No")</f>
        <v>No</v>
      </c>
      <c r="I555" s="185" t="str">
        <f>IFERROR(__xludf.DUMMYFUNCTION("""COMPUTED_VALUE"""),"High")</f>
        <v>High</v>
      </c>
      <c r="J555" s="185" t="str">
        <f>IFERROR(__xludf.DUMMYFUNCTION("""COMPUTED_VALUE"""),"Yes - priority")</f>
        <v>Yes - priority</v>
      </c>
      <c r="K555" s="185" t="str">
        <f>IFERROR(__xludf.DUMMYFUNCTION("""COMPUTED_VALUE"""),"Unknown")</f>
        <v>Unknown</v>
      </c>
      <c r="L555" s="187">
        <f>IFERROR(__xludf.DUMMYFUNCTION("""COMPUTED_VALUE"""),1.0)</f>
        <v>1</v>
      </c>
      <c r="M555" s="188">
        <f>IFERROR(__xludf.DUMMYFUNCTION("""COMPUTED_VALUE"""),0.0)</f>
        <v>0</v>
      </c>
      <c r="N555" s="188">
        <f>IFERROR(__xludf.DUMMYFUNCTION("""COMPUTED_VALUE"""),0.0)</f>
        <v>0</v>
      </c>
      <c r="O555" s="208"/>
      <c r="P555" s="208"/>
      <c r="Q555" s="208"/>
      <c r="R555" s="208"/>
    </row>
    <row r="556">
      <c r="A556" s="185" t="str">
        <f>IFERROR(__xludf.DUMMYFUNCTION("""COMPUTED_VALUE"""),"Agency directory / review marketplace")</f>
        <v>Agency directory / review marketplace</v>
      </c>
      <c r="B556" s="186" t="str">
        <f>IFERROR(__xludf.DUMMYFUNCTION("""COMPUTED_VALUE"""),"https://www.sortlist.com/digital-marketing/australia-au?custom=advertising%2Caustralia-au")</f>
        <v>https://www.sortlist.com/digital-marketing/australia-au?custom=advertising%2Caustralia-au</v>
      </c>
      <c r="C556" s="185" t="str">
        <f>IFERROR(__xludf.DUMMYFUNCTION("""COMPUTED_VALUE"""),"The 10 Best Digital Marketing Agencies in Australia - 2026 Reviews")</f>
        <v>The 10 Best Digital Marketing Agencies in Australia - 2026 Reviews</v>
      </c>
      <c r="D556" s="185" t="str">
        <f>IFERROR(__xludf.DUMMYFUNCTION("""COMPUTED_VALUE"""),"AU")</f>
        <v>AU</v>
      </c>
      <c r="E556" s="185" t="str">
        <f>IFERROR(__xludf.DUMMYFUNCTION("""COMPUTED_VALUE"""),"sortlist.com")</f>
        <v>sortlist.com</v>
      </c>
      <c r="F556" s="185" t="str">
        <f>IFERROR(__xludf.DUMMYFUNCTION("""COMPUTED_VALUE"""),"Category Page")</f>
        <v>Category Page</v>
      </c>
      <c r="G556" s="185" t="str">
        <f>IFERROR(__xludf.DUMMYFUNCTION("""COMPUTED_VALUE"""),"CORPORATE")</f>
        <v>CORPORATE</v>
      </c>
      <c r="H556" s="185" t="str">
        <f>IFERROR(__xludf.DUMMYFUNCTION("""COMPUTED_VALUE"""),"No")</f>
        <v>No</v>
      </c>
      <c r="I556" s="185" t="str">
        <f>IFERROR(__xludf.DUMMYFUNCTION("""COMPUTED_VALUE"""),"Medium")</f>
        <v>Medium</v>
      </c>
      <c r="J556" s="185" t="str">
        <f>IFERROR(__xludf.DUMMYFUNCTION("""COMPUTED_VALUE"""),"Yes")</f>
        <v>Yes</v>
      </c>
      <c r="K556" s="185" t="str">
        <f>IFERROR(__xludf.DUMMYFUNCTION("""COMPUTED_VALUE"""),"Measured, Earned Media, Clearwater Agency, Impressive, Supple Digital, Digital Nomads HQ, Soup Agency, HERO, Momentum")</f>
        <v>Measured, Earned Media, Clearwater Agency, Impressive, Supple Digital, Digital Nomads HQ, Soup Agency, HERO, Momentum</v>
      </c>
      <c r="L556" s="187">
        <f>IFERROR(__xludf.DUMMYFUNCTION("""COMPUTED_VALUE"""),1.0)</f>
        <v>1</v>
      </c>
      <c r="M556" s="188">
        <f>IFERROR(__xludf.DUMMYFUNCTION("""COMPUTED_VALUE"""),0.0)</f>
        <v>0</v>
      </c>
      <c r="N556" s="188">
        <f>IFERROR(__xludf.DUMMYFUNCTION("""COMPUTED_VALUE"""),0.0)</f>
        <v>0</v>
      </c>
      <c r="O556" s="208"/>
      <c r="P556" s="208"/>
      <c r="Q556" s="208"/>
      <c r="R556" s="208"/>
    </row>
    <row r="557">
      <c r="A557" s="185" t="str">
        <f>IFERROR(__xludf.DUMMYFUNCTION("""COMPUTED_VALUE"""),"Agency directory / review marketplace")</f>
        <v>Agency directory / review marketplace</v>
      </c>
      <c r="B557" s="186" t="str">
        <f>IFERROR(__xludf.DUMMYFUNCTION("""COMPUTED_VALUE"""),"https://www.sortlist.com/marketing-communication")</f>
        <v>https://www.sortlist.com/marketing-communication</v>
      </c>
      <c r="C557" s="185" t="str">
        <f>IFERROR(__xludf.DUMMYFUNCTION("""COMPUTED_VALUE"""),"The 100 Best Marketing Communication Agencies - 2026 Reviews")</f>
        <v>The 100 Best Marketing Communication Agencies - 2026 Reviews</v>
      </c>
      <c r="D557" s="185" t="str">
        <f>IFERROR(__xludf.DUMMYFUNCTION("""COMPUTED_VALUE"""),"AU")</f>
        <v>AU</v>
      </c>
      <c r="E557" s="185" t="str">
        <f>IFERROR(__xludf.DUMMYFUNCTION("""COMPUTED_VALUE"""),"sortlist.com")</f>
        <v>sortlist.com</v>
      </c>
      <c r="F557" s="185" t="str">
        <f>IFERROR(__xludf.DUMMYFUNCTION("""COMPUTED_VALUE"""),"Category Page")</f>
        <v>Category Page</v>
      </c>
      <c r="G557" s="185" t="str">
        <f>IFERROR(__xludf.DUMMYFUNCTION("""COMPUTED_VALUE"""),"CORPORATE")</f>
        <v>CORPORATE</v>
      </c>
      <c r="H557" s="185" t="str">
        <f>IFERROR(__xludf.DUMMYFUNCTION("""COMPUTED_VALUE"""),"No")</f>
        <v>No</v>
      </c>
      <c r="I557" s="185" t="str">
        <f>IFERROR(__xludf.DUMMYFUNCTION("""COMPUTED_VALUE"""),"Medium")</f>
        <v>Medium</v>
      </c>
      <c r="J557" s="185" t="str">
        <f>IFERROR(__xludf.DUMMYFUNCTION("""COMPUTED_VALUE"""),"Yes")</f>
        <v>Yes</v>
      </c>
      <c r="K557" s="185"/>
      <c r="L557" s="187">
        <f>IFERROR(__xludf.DUMMYFUNCTION("""COMPUTED_VALUE"""),1.0)</f>
        <v>1</v>
      </c>
      <c r="M557" s="188">
        <f>IFERROR(__xludf.DUMMYFUNCTION("""COMPUTED_VALUE"""),0.0)</f>
        <v>0</v>
      </c>
      <c r="N557" s="188">
        <f>IFERROR(__xludf.DUMMYFUNCTION("""COMPUTED_VALUE"""),1.0)</f>
        <v>1</v>
      </c>
      <c r="O557" s="208"/>
      <c r="P557" s="208"/>
      <c r="Q557" s="208"/>
      <c r="R557" s="208"/>
    </row>
    <row r="558">
      <c r="A558" s="185" t="str">
        <f>IFERROR(__xludf.DUMMYFUNCTION("""COMPUTED_VALUE"""),"Agency directory / review marketplace")</f>
        <v>Agency directory / review marketplace</v>
      </c>
      <c r="B558" s="186" t="str">
        <f>IFERROR(__xludf.DUMMYFUNCTION("""COMPUTED_VALUE"""),"https://www.sortlist.com/s/display-advertising/new-south-wales-nsw-au")</f>
        <v>https://www.sortlist.com/s/display-advertising/new-south-wales-nsw-au</v>
      </c>
      <c r="C558" s="185" t="str">
        <f>IFERROR(__xludf.DUMMYFUNCTION("""COMPUTED_VALUE"""),"The 10 Best Display Advertising Agencies in New South Wales - 2026 Reviews")</f>
        <v>The 10 Best Display Advertising Agencies in New South Wales - 2026 Reviews</v>
      </c>
      <c r="D558" s="185" t="str">
        <f>IFERROR(__xludf.DUMMYFUNCTION("""COMPUTED_VALUE"""),"AU")</f>
        <v>AU</v>
      </c>
      <c r="E558" s="185" t="str">
        <f>IFERROR(__xludf.DUMMYFUNCTION("""COMPUTED_VALUE"""),"sortlist.com")</f>
        <v>sortlist.com</v>
      </c>
      <c r="F558" s="185" t="str">
        <f>IFERROR(__xludf.DUMMYFUNCTION("""COMPUTED_VALUE"""),"Category Page")</f>
        <v>Category Page</v>
      </c>
      <c r="G558" s="185" t="str">
        <f>IFERROR(__xludf.DUMMYFUNCTION("""COMPUTED_VALUE"""),"CORPORATE")</f>
        <v>CORPORATE</v>
      </c>
      <c r="H558" s="185" t="str">
        <f>IFERROR(__xludf.DUMMYFUNCTION("""COMPUTED_VALUE"""),"No")</f>
        <v>No</v>
      </c>
      <c r="I558" s="185" t="str">
        <f>IFERROR(__xludf.DUMMYFUNCTION("""COMPUTED_VALUE"""),"Medium")</f>
        <v>Medium</v>
      </c>
      <c r="J558" s="185" t="str">
        <f>IFERROR(__xludf.DUMMYFUNCTION("""COMPUTED_VALUE"""),"Yes")</f>
        <v>Yes</v>
      </c>
      <c r="K558" s="185" t="str">
        <f>IFERROR(__xludf.DUMMYFUNCTION("""COMPUTED_VALUE"""),"Impressive, Supple Digital, CUT THRU, Measured, Earned Media, Clearwater Agency, SIXGUN, Ninja Promo, Momentum, Soup Agency, HERO, Digital Nomads HQ")</f>
        <v>Impressive, Supple Digital, CUT THRU, Measured, Earned Media, Clearwater Agency, SIXGUN, Ninja Promo, Momentum, Soup Agency, HERO, Digital Nomads HQ</v>
      </c>
      <c r="L558" s="187">
        <f>IFERROR(__xludf.DUMMYFUNCTION("""COMPUTED_VALUE"""),1.0)</f>
        <v>1</v>
      </c>
      <c r="M558" s="188">
        <f>IFERROR(__xludf.DUMMYFUNCTION("""COMPUTED_VALUE"""),0.0)</f>
        <v>0</v>
      </c>
      <c r="N558" s="188">
        <f>IFERROR(__xludf.DUMMYFUNCTION("""COMPUTED_VALUE"""),0.0)</f>
        <v>0</v>
      </c>
      <c r="O558" s="208"/>
      <c r="P558" s="208"/>
      <c r="Q558" s="208"/>
      <c r="R558" s="208"/>
    </row>
    <row r="559">
      <c r="A559" s="185" t="str">
        <f>IFERROR(__xludf.DUMMYFUNCTION("""COMPUTED_VALUE"""),"Agency directory / review marketplace")</f>
        <v>Agency directory / review marketplace</v>
      </c>
      <c r="B559" s="186" t="str">
        <f>IFERROR(__xludf.DUMMYFUNCTION("""COMPUTED_VALUE"""),"https://www.sortlist.com/s/display-advertising/sydney-au")</f>
        <v>https://www.sortlist.com/s/display-advertising/sydney-au</v>
      </c>
      <c r="C559" s="185" t="str">
        <f>IFERROR(__xludf.DUMMYFUNCTION("""COMPUTED_VALUE"""),"The 10 Best Display Advertising Agencies in Sydney - 2026 Reviews")</f>
        <v>The 10 Best Display Advertising Agencies in Sydney - 2026 Reviews</v>
      </c>
      <c r="D559" s="185" t="str">
        <f>IFERROR(__xludf.DUMMYFUNCTION("""COMPUTED_VALUE"""),"AU")</f>
        <v>AU</v>
      </c>
      <c r="E559" s="185" t="str">
        <f>IFERROR(__xludf.DUMMYFUNCTION("""COMPUTED_VALUE"""),"sortlist.com")</f>
        <v>sortlist.com</v>
      </c>
      <c r="F559" s="185" t="str">
        <f>IFERROR(__xludf.DUMMYFUNCTION("""COMPUTED_VALUE"""),"Category Page")</f>
        <v>Category Page</v>
      </c>
      <c r="G559" s="185" t="str">
        <f>IFERROR(__xludf.DUMMYFUNCTION("""COMPUTED_VALUE"""),"CORPORATE")</f>
        <v>CORPORATE</v>
      </c>
      <c r="H559" s="185" t="str">
        <f>IFERROR(__xludf.DUMMYFUNCTION("""COMPUTED_VALUE"""),"No")</f>
        <v>No</v>
      </c>
      <c r="I559" s="185" t="str">
        <f>IFERROR(__xludf.DUMMYFUNCTION("""COMPUTED_VALUE"""),"Medium")</f>
        <v>Medium</v>
      </c>
      <c r="J559" s="185" t="str">
        <f>IFERROR(__xludf.DUMMYFUNCTION("""COMPUTED_VALUE"""),"Yes")</f>
        <v>Yes</v>
      </c>
      <c r="K559" s="185" t="str">
        <f>IFERROR(__xludf.DUMMYFUNCTION("""COMPUTED_VALUE"""),"Impressive, Supple Digital, Measured, Earned Media, Clearwater Agency, SIXGUN, Ninja Promo, Momentum, Soup Agency, HERO, Digital Nomads HQ, AdVisible, Alpha Digital")</f>
        <v>Impressive, Supple Digital, Measured, Earned Media, Clearwater Agency, SIXGUN, Ninja Promo, Momentum, Soup Agency, HERO, Digital Nomads HQ, AdVisible, Alpha Digital</v>
      </c>
      <c r="L559" s="187">
        <f>IFERROR(__xludf.DUMMYFUNCTION("""COMPUTED_VALUE"""),1.0)</f>
        <v>1</v>
      </c>
      <c r="M559" s="188">
        <f>IFERROR(__xludf.DUMMYFUNCTION("""COMPUTED_VALUE"""),0.0)</f>
        <v>0</v>
      </c>
      <c r="N559" s="188">
        <f>IFERROR(__xludf.DUMMYFUNCTION("""COMPUTED_VALUE"""),0.0)</f>
        <v>0</v>
      </c>
      <c r="O559" s="208"/>
      <c r="P559" s="208"/>
      <c r="Q559" s="208"/>
      <c r="R559" s="208"/>
    </row>
    <row r="560">
      <c r="A560" s="185" t="str">
        <f>IFERROR(__xludf.DUMMYFUNCTION("""COMPUTED_VALUE"""),"Agency directory / review marketplace")</f>
        <v>Agency directory / review marketplace</v>
      </c>
      <c r="B560" s="186" t="str">
        <f>IFERROR(__xludf.DUMMYFUNCTION("""COMPUTED_VALUE"""),"https://www.sortlist.com/s/display-advertising/western-australia-wa-au")</f>
        <v>https://www.sortlist.com/s/display-advertising/western-australia-wa-au</v>
      </c>
      <c r="C560" s="185" t="str">
        <f>IFERROR(__xludf.DUMMYFUNCTION("""COMPUTED_VALUE"""),"The 10 Best Display Advertising Agencies in Australia - 2026 Reviews")</f>
        <v>The 10 Best Display Advertising Agencies in Australia - 2026 Reviews</v>
      </c>
      <c r="D560" s="185" t="str">
        <f>IFERROR(__xludf.DUMMYFUNCTION("""COMPUTED_VALUE"""),"AU")</f>
        <v>AU</v>
      </c>
      <c r="E560" s="185" t="str">
        <f>IFERROR(__xludf.DUMMYFUNCTION("""COMPUTED_VALUE"""),"sortlist.com")</f>
        <v>sortlist.com</v>
      </c>
      <c r="F560" s="185" t="str">
        <f>IFERROR(__xludf.DUMMYFUNCTION("""COMPUTED_VALUE"""),"Category Page")</f>
        <v>Category Page</v>
      </c>
      <c r="G560" s="185" t="str">
        <f>IFERROR(__xludf.DUMMYFUNCTION("""COMPUTED_VALUE"""),"CORPORATE")</f>
        <v>CORPORATE</v>
      </c>
      <c r="H560" s="185" t="str">
        <f>IFERROR(__xludf.DUMMYFUNCTION("""COMPUTED_VALUE"""),"No")</f>
        <v>No</v>
      </c>
      <c r="I560" s="185" t="str">
        <f>IFERROR(__xludf.DUMMYFUNCTION("""COMPUTED_VALUE"""),"Medium")</f>
        <v>Medium</v>
      </c>
      <c r="J560" s="185" t="str">
        <f>IFERROR(__xludf.DUMMYFUNCTION("""COMPUTED_VALUE"""),"Yes")</f>
        <v>Yes</v>
      </c>
      <c r="K560" s="185" t="str">
        <f>IFERROR(__xludf.DUMMYFUNCTION("""COMPUTED_VALUE"""),"Clearwater Agency, Measured, Earned Media, Supple Digital, Impressive, SIXGUN, Soup Agency, HERO, Digital Nomads HQ, Momentum, CUT THRU")</f>
        <v>Clearwater Agency, Measured, Earned Media, Supple Digital, Impressive, SIXGUN, Soup Agency, HERO, Digital Nomads HQ, Momentum, CUT THRU</v>
      </c>
      <c r="L560" s="187">
        <f>IFERROR(__xludf.DUMMYFUNCTION("""COMPUTED_VALUE"""),1.0)</f>
        <v>1</v>
      </c>
      <c r="M560" s="188">
        <f>IFERROR(__xludf.DUMMYFUNCTION("""COMPUTED_VALUE"""),0.0)</f>
        <v>0</v>
      </c>
      <c r="N560" s="188">
        <f>IFERROR(__xludf.DUMMYFUNCTION("""COMPUTED_VALUE"""),0.0)</f>
        <v>0</v>
      </c>
      <c r="O560" s="208"/>
      <c r="P560" s="208"/>
      <c r="Q560" s="208"/>
      <c r="R560" s="208"/>
    </row>
    <row r="561">
      <c r="A561" s="185" t="str">
        <f>IFERROR(__xludf.DUMMYFUNCTION("""COMPUTED_VALUE"""),"Agency directory / review marketplace")</f>
        <v>Agency directory / review marketplace</v>
      </c>
      <c r="B561" s="186" t="str">
        <f>IFERROR(__xludf.DUMMYFUNCTION("""COMPUTED_VALUE"""),"https://www.sortlist.com/s/linkedin-advertising/australia-au")</f>
        <v>https://www.sortlist.com/s/linkedin-advertising/australia-au</v>
      </c>
      <c r="C561" s="185" t="str">
        <f>IFERROR(__xludf.DUMMYFUNCTION("""COMPUTED_VALUE"""),"The 10 Best LinkedIn Ads Agencies in Australia - 2026 Reviews")</f>
        <v>The 10 Best LinkedIn Ads Agencies in Australia - 2026 Reviews</v>
      </c>
      <c r="D561" s="185" t="str">
        <f>IFERROR(__xludf.DUMMYFUNCTION("""COMPUTED_VALUE"""),"AU")</f>
        <v>AU</v>
      </c>
      <c r="E561" s="185" t="str">
        <f>IFERROR(__xludf.DUMMYFUNCTION("""COMPUTED_VALUE"""),"sortlist.com")</f>
        <v>sortlist.com</v>
      </c>
      <c r="F561" s="185" t="str">
        <f>IFERROR(__xludf.DUMMYFUNCTION("""COMPUTED_VALUE"""),"Category Page")</f>
        <v>Category Page</v>
      </c>
      <c r="G561" s="185" t="str">
        <f>IFERROR(__xludf.DUMMYFUNCTION("""COMPUTED_VALUE"""),"CORPORATE")</f>
        <v>CORPORATE</v>
      </c>
      <c r="H561" s="185" t="str">
        <f>IFERROR(__xludf.DUMMYFUNCTION("""COMPUTED_VALUE"""),"No")</f>
        <v>No</v>
      </c>
      <c r="I561" s="185" t="str">
        <f>IFERROR(__xludf.DUMMYFUNCTION("""COMPUTED_VALUE"""),"Medium")</f>
        <v>Medium</v>
      </c>
      <c r="J561" s="185" t="str">
        <f>IFERROR(__xludf.DUMMYFUNCTION("""COMPUTED_VALUE"""),"Yes")</f>
        <v>Yes</v>
      </c>
      <c r="K561" s="185" t="str">
        <f>IFERROR(__xludf.DUMMYFUNCTION("""COMPUTED_VALUE"""),"SIXGUN, Impressive, Ninja Promo, AdVisible, 23 Digital")</f>
        <v>SIXGUN, Impressive, Ninja Promo, AdVisible, 23 Digital</v>
      </c>
      <c r="L561" s="187">
        <f>IFERROR(__xludf.DUMMYFUNCTION("""COMPUTED_VALUE"""),1.0)</f>
        <v>1</v>
      </c>
      <c r="M561" s="188">
        <f>IFERROR(__xludf.DUMMYFUNCTION("""COMPUTED_VALUE"""),0.0)</f>
        <v>0</v>
      </c>
      <c r="N561" s="188">
        <f>IFERROR(__xludf.DUMMYFUNCTION("""COMPUTED_VALUE"""),0.0)</f>
        <v>0</v>
      </c>
      <c r="O561" s="208"/>
      <c r="P561" s="208"/>
      <c r="Q561" s="208"/>
      <c r="R561" s="208"/>
    </row>
    <row r="562">
      <c r="A562" s="185" t="str">
        <f>IFERROR(__xludf.DUMMYFUNCTION("""COMPUTED_VALUE"""),"Agency directory / review marketplace")</f>
        <v>Agency directory / review marketplace</v>
      </c>
      <c r="B562" s="186" t="str">
        <f>IFERROR(__xludf.DUMMYFUNCTION("""COMPUTED_VALUE"""),"https://www.sortlist.com/s/paid-media/victoria-vic-au")</f>
        <v>https://www.sortlist.com/s/paid-media/victoria-vic-au</v>
      </c>
      <c r="C562" s="185" t="str">
        <f>IFERROR(__xludf.DUMMYFUNCTION("""COMPUTED_VALUE"""),"The 10 Best Paid Media Agencies in Victoria - 2026 Reviews")</f>
        <v>The 10 Best Paid Media Agencies in Victoria - 2026 Reviews</v>
      </c>
      <c r="D562" s="185" t="str">
        <f>IFERROR(__xludf.DUMMYFUNCTION("""COMPUTED_VALUE"""),"AU")</f>
        <v>AU</v>
      </c>
      <c r="E562" s="185" t="str">
        <f>IFERROR(__xludf.DUMMYFUNCTION("""COMPUTED_VALUE"""),"sortlist.com")</f>
        <v>sortlist.com</v>
      </c>
      <c r="F562" s="185" t="str">
        <f>IFERROR(__xludf.DUMMYFUNCTION("""COMPUTED_VALUE"""),"Profile")</f>
        <v>Profile</v>
      </c>
      <c r="G562" s="185" t="str">
        <f>IFERROR(__xludf.DUMMYFUNCTION("""COMPUTED_VALUE"""),"CORPORATE")</f>
        <v>CORPORATE</v>
      </c>
      <c r="H562" s="185" t="str">
        <f>IFERROR(__xludf.DUMMYFUNCTION("""COMPUTED_VALUE"""),"No")</f>
        <v>No</v>
      </c>
      <c r="I562" s="185" t="str">
        <f>IFERROR(__xludf.DUMMYFUNCTION("""COMPUTED_VALUE"""),"Medium")</f>
        <v>Medium</v>
      </c>
      <c r="J562" s="185" t="str">
        <f>IFERROR(__xludf.DUMMYFUNCTION("""COMPUTED_VALUE"""),"Yes")</f>
        <v>Yes</v>
      </c>
      <c r="K562" s="185" t="str">
        <f>IFERROR(__xludf.DUMMYFUNCTION("""COMPUTED_VALUE"""),"Measured, Earned Media, Clearwater Agency, Impressive, SIXGUN, Supple Digital, Momentum, 80/20 Digital")</f>
        <v>Measured, Earned Media, Clearwater Agency, Impressive, SIXGUN, Supple Digital, Momentum, 80/20 Digital</v>
      </c>
      <c r="L562" s="187">
        <f>IFERROR(__xludf.DUMMYFUNCTION("""COMPUTED_VALUE"""),1.0)</f>
        <v>1</v>
      </c>
      <c r="M562" s="188">
        <f>IFERROR(__xludf.DUMMYFUNCTION("""COMPUTED_VALUE"""),0.0)</f>
        <v>0</v>
      </c>
      <c r="N562" s="188">
        <f>IFERROR(__xludf.DUMMYFUNCTION("""COMPUTED_VALUE"""),0.0)</f>
        <v>0</v>
      </c>
      <c r="O562" s="208"/>
      <c r="P562" s="208"/>
      <c r="Q562" s="208"/>
      <c r="R562" s="208"/>
    </row>
    <row r="563">
      <c r="A563" s="185" t="str">
        <f>IFERROR(__xludf.DUMMYFUNCTION("""COMPUTED_VALUE"""),"Agency directory / review marketplace")</f>
        <v>Agency directory / review marketplace</v>
      </c>
      <c r="B563" s="186" t="str">
        <f>IFERROR(__xludf.DUMMYFUNCTION("""COMPUTED_VALUE"""),"https://www.sortlist.com/s/performance-marketing/victoria-vic-au")</f>
        <v>https://www.sortlist.com/s/performance-marketing/victoria-vic-au</v>
      </c>
      <c r="C563" s="185" t="str">
        <f>IFERROR(__xludf.DUMMYFUNCTION("""COMPUTED_VALUE"""),"The 10 Best Performance Marketing Agencies in Victoria - 2026 Reviews")</f>
        <v>The 10 Best Performance Marketing Agencies in Victoria - 2026 Reviews</v>
      </c>
      <c r="D563" s="185" t="str">
        <f>IFERROR(__xludf.DUMMYFUNCTION("""COMPUTED_VALUE"""),"AU")</f>
        <v>AU</v>
      </c>
      <c r="E563" s="185" t="str">
        <f>IFERROR(__xludf.DUMMYFUNCTION("""COMPUTED_VALUE"""),"sortlist.com")</f>
        <v>sortlist.com</v>
      </c>
      <c r="F563" s="185" t="str">
        <f>IFERROR(__xludf.DUMMYFUNCTION("""COMPUTED_VALUE"""),"Profile")</f>
        <v>Profile</v>
      </c>
      <c r="G563" s="185" t="str">
        <f>IFERROR(__xludf.DUMMYFUNCTION("""COMPUTED_VALUE"""),"CORPORATE")</f>
        <v>CORPORATE</v>
      </c>
      <c r="H563" s="185" t="str">
        <f>IFERROR(__xludf.DUMMYFUNCTION("""COMPUTED_VALUE"""),"No")</f>
        <v>No</v>
      </c>
      <c r="I563" s="185" t="str">
        <f>IFERROR(__xludf.DUMMYFUNCTION("""COMPUTED_VALUE"""),"Medium")</f>
        <v>Medium</v>
      </c>
      <c r="J563" s="185" t="str">
        <f>IFERROR(__xludf.DUMMYFUNCTION("""COMPUTED_VALUE"""),"Yes")</f>
        <v>Yes</v>
      </c>
      <c r="K563" s="185" t="str">
        <f>IFERROR(__xludf.DUMMYFUNCTION("""COMPUTED_VALUE"""),"Measured, Earned Media, Clearwater Agency, SIXGUN, Impressive, Supple Digital, Momentum, 80/20 Digital, Adcore Elite")</f>
        <v>Measured, Earned Media, Clearwater Agency, SIXGUN, Impressive, Supple Digital, Momentum, 80/20 Digital, Adcore Elite</v>
      </c>
      <c r="L563" s="187">
        <f>IFERROR(__xludf.DUMMYFUNCTION("""COMPUTED_VALUE"""),1.0)</f>
        <v>1</v>
      </c>
      <c r="M563" s="188">
        <f>IFERROR(__xludf.DUMMYFUNCTION("""COMPUTED_VALUE"""),0.0)</f>
        <v>0</v>
      </c>
      <c r="N563" s="188">
        <f>IFERROR(__xludf.DUMMYFUNCTION("""COMPUTED_VALUE"""),0.0)</f>
        <v>0</v>
      </c>
      <c r="O563" s="208"/>
      <c r="P563" s="208"/>
      <c r="Q563" s="208"/>
      <c r="R563" s="208"/>
    </row>
    <row r="564">
      <c r="A564" s="185" t="str">
        <f>IFERROR(__xludf.DUMMYFUNCTION("""COMPUTED_VALUE"""),"Agency directory / review marketplace")</f>
        <v>Agency directory / review marketplace</v>
      </c>
      <c r="B564" s="186" t="str">
        <f>IFERROR(__xludf.DUMMYFUNCTION("""COMPUTED_VALUE"""),"https://www.sortlist.com/s/performance-marketing/western-australia-wa-au")</f>
        <v>https://www.sortlist.com/s/performance-marketing/western-australia-wa-au</v>
      </c>
      <c r="C564" s="185" t="str">
        <f>IFERROR(__xludf.DUMMYFUNCTION("""COMPUTED_VALUE"""),"The 10 Best Performance Marketing Agencies in Western Australia - 2026 Reviews")</f>
        <v>The 10 Best Performance Marketing Agencies in Western Australia - 2026 Reviews</v>
      </c>
      <c r="D564" s="185" t="str">
        <f>IFERROR(__xludf.DUMMYFUNCTION("""COMPUTED_VALUE"""),"AU")</f>
        <v>AU</v>
      </c>
      <c r="E564" s="185" t="str">
        <f>IFERROR(__xludf.DUMMYFUNCTION("""COMPUTED_VALUE"""),"sortlist.com")</f>
        <v>sortlist.com</v>
      </c>
      <c r="F564" s="185" t="str">
        <f>IFERROR(__xludf.DUMMYFUNCTION("""COMPUTED_VALUE"""),"Category Page")</f>
        <v>Category Page</v>
      </c>
      <c r="G564" s="185" t="str">
        <f>IFERROR(__xludf.DUMMYFUNCTION("""COMPUTED_VALUE"""),"CORPORATE")</f>
        <v>CORPORATE</v>
      </c>
      <c r="H564" s="185" t="str">
        <f>IFERROR(__xludf.DUMMYFUNCTION("""COMPUTED_VALUE"""),"No")</f>
        <v>No</v>
      </c>
      <c r="I564" s="185" t="str">
        <f>IFERROR(__xludf.DUMMYFUNCTION("""COMPUTED_VALUE"""),"Medium")</f>
        <v>Medium</v>
      </c>
      <c r="J564" s="185" t="str">
        <f>IFERROR(__xludf.DUMMYFUNCTION("""COMPUTED_VALUE"""),"Yes")</f>
        <v>Yes</v>
      </c>
      <c r="K564" s="185" t="str">
        <f>IFERROR(__xludf.DUMMYFUNCTION("""COMPUTED_VALUE"""),"Measured, Earned Media, Clearwater Agency, SIXGUN, Impressive, Supple Digital, Momentum, Digital Nomads HQ, Soup Agency, HERO, Alpha Digital, 23 Digital")</f>
        <v>Measured, Earned Media, Clearwater Agency, SIXGUN, Impressive, Supple Digital, Momentum, Digital Nomads HQ, Soup Agency, HERO, Alpha Digital, 23 Digital</v>
      </c>
      <c r="L564" s="187">
        <f>IFERROR(__xludf.DUMMYFUNCTION("""COMPUTED_VALUE"""),1.0)</f>
        <v>1</v>
      </c>
      <c r="M564" s="188">
        <f>IFERROR(__xludf.DUMMYFUNCTION("""COMPUTED_VALUE"""),0.0)</f>
        <v>0</v>
      </c>
      <c r="N564" s="188">
        <f>IFERROR(__xludf.DUMMYFUNCTION("""COMPUTED_VALUE"""),0.0)</f>
        <v>0</v>
      </c>
      <c r="O564" s="208"/>
      <c r="P564" s="208"/>
      <c r="Q564" s="208"/>
      <c r="R564" s="208"/>
    </row>
    <row r="565">
      <c r="A565" s="185" t="str">
        <f>IFERROR(__xludf.DUMMYFUNCTION("""COMPUTED_VALUE"""),"Agency directory / review marketplace")</f>
        <v>Agency directory / review marketplace</v>
      </c>
      <c r="B565" s="186" t="str">
        <f>IFERROR(__xludf.DUMMYFUNCTION("""COMPUTED_VALUE"""),"https://www.sortlist.com/s/programmatic-advertising/sydney-au")</f>
        <v>https://www.sortlist.com/s/programmatic-advertising/sydney-au</v>
      </c>
      <c r="C565" s="185" t="str">
        <f>IFERROR(__xludf.DUMMYFUNCTION("""COMPUTED_VALUE"""),"The 10 Best Programmatic Advertising Companies in Sydney - 2026 Reviews")</f>
        <v>The 10 Best Programmatic Advertising Companies in Sydney - 2026 Reviews</v>
      </c>
      <c r="D565" s="185" t="str">
        <f>IFERROR(__xludf.DUMMYFUNCTION("""COMPUTED_VALUE"""),"AU")</f>
        <v>AU</v>
      </c>
      <c r="E565" s="185" t="str">
        <f>IFERROR(__xludf.DUMMYFUNCTION("""COMPUTED_VALUE"""),"sortlist.com")</f>
        <v>sortlist.com</v>
      </c>
      <c r="F565" s="185" t="str">
        <f>IFERROR(__xludf.DUMMYFUNCTION("""COMPUTED_VALUE"""),"Category Page")</f>
        <v>Category Page</v>
      </c>
      <c r="G565" s="185" t="str">
        <f>IFERROR(__xludf.DUMMYFUNCTION("""COMPUTED_VALUE"""),"CORPORATE")</f>
        <v>CORPORATE</v>
      </c>
      <c r="H565" s="185" t="str">
        <f>IFERROR(__xludf.DUMMYFUNCTION("""COMPUTED_VALUE"""),"No")</f>
        <v>No</v>
      </c>
      <c r="I565" s="185" t="str">
        <f>IFERROR(__xludf.DUMMYFUNCTION("""COMPUTED_VALUE"""),"Medium")</f>
        <v>Medium</v>
      </c>
      <c r="J565" s="185" t="str">
        <f>IFERROR(__xludf.DUMMYFUNCTION("""COMPUTED_VALUE"""),"Yes")</f>
        <v>Yes</v>
      </c>
      <c r="K565" s="185" t="str">
        <f>IFERROR(__xludf.DUMMYFUNCTION("""COMPUTED_VALUE"""),"Impressive, Supple Digital, Measured, Earned Media, Clearwater Agency, SIXGUN, Soup Agency, HERO, Digital Nomads HQ")</f>
        <v>Impressive, Supple Digital, Measured, Earned Media, Clearwater Agency, SIXGUN, Soup Agency, HERO, Digital Nomads HQ</v>
      </c>
      <c r="L565" s="187">
        <f>IFERROR(__xludf.DUMMYFUNCTION("""COMPUTED_VALUE"""),1.0)</f>
        <v>1</v>
      </c>
      <c r="M565" s="188">
        <f>IFERROR(__xludf.DUMMYFUNCTION("""COMPUTED_VALUE"""),0.0)</f>
        <v>0</v>
      </c>
      <c r="N565" s="188">
        <f>IFERROR(__xludf.DUMMYFUNCTION("""COMPUTED_VALUE"""),0.0)</f>
        <v>0</v>
      </c>
      <c r="O565" s="208"/>
      <c r="P565" s="208"/>
      <c r="Q565" s="208"/>
      <c r="R565" s="208"/>
    </row>
    <row r="566">
      <c r="A566" s="185" t="str">
        <f>IFERROR(__xludf.DUMMYFUNCTION("""COMPUTED_VALUE"""),"Agency directory / review marketplace")</f>
        <v>Agency directory / review marketplace</v>
      </c>
      <c r="B566" s="186" t="str">
        <f>IFERROR(__xludf.DUMMYFUNCTION("""COMPUTED_VALUE"""),"https://www.sortlist.com/s/tiktok-advertising/australia-au")</f>
        <v>https://www.sortlist.com/s/tiktok-advertising/australia-au</v>
      </c>
      <c r="C566" s="185" t="str">
        <f>IFERROR(__xludf.DUMMYFUNCTION("""COMPUTED_VALUE"""),"The 10 Best TikTok Advertising Agencies in Australia - 2026 Reviews")</f>
        <v>The 10 Best TikTok Advertising Agencies in Australia - 2026 Reviews</v>
      </c>
      <c r="D566" s="185" t="str">
        <f>IFERROR(__xludf.DUMMYFUNCTION("""COMPUTED_VALUE"""),"AU")</f>
        <v>AU</v>
      </c>
      <c r="E566" s="185" t="str">
        <f>IFERROR(__xludf.DUMMYFUNCTION("""COMPUTED_VALUE"""),"sortlist.com")</f>
        <v>sortlist.com</v>
      </c>
      <c r="F566" s="185" t="str">
        <f>IFERROR(__xludf.DUMMYFUNCTION("""COMPUTED_VALUE"""),"Category Page")</f>
        <v>Category Page</v>
      </c>
      <c r="G566" s="185" t="str">
        <f>IFERROR(__xludf.DUMMYFUNCTION("""COMPUTED_VALUE"""),"CORPORATE")</f>
        <v>CORPORATE</v>
      </c>
      <c r="H566" s="185" t="str">
        <f>IFERROR(__xludf.DUMMYFUNCTION("""COMPUTED_VALUE"""),"No")</f>
        <v>No</v>
      </c>
      <c r="I566" s="185" t="str">
        <f>IFERROR(__xludf.DUMMYFUNCTION("""COMPUTED_VALUE"""),"Medium")</f>
        <v>Medium</v>
      </c>
      <c r="J566" s="185" t="str">
        <f>IFERROR(__xludf.DUMMYFUNCTION("""COMPUTED_VALUE"""),"Yes")</f>
        <v>Yes</v>
      </c>
      <c r="K566" s="185" t="str">
        <f>IFERROR(__xludf.DUMMYFUNCTION("""COMPUTED_VALUE"""),"Soup Agency, HERO, Adcore Elite, 23 Digital")</f>
        <v>Soup Agency, HERO, Adcore Elite, 23 Digital</v>
      </c>
      <c r="L566" s="187">
        <f>IFERROR(__xludf.DUMMYFUNCTION("""COMPUTED_VALUE"""),1.0)</f>
        <v>1</v>
      </c>
      <c r="M566" s="188">
        <f>IFERROR(__xludf.DUMMYFUNCTION("""COMPUTED_VALUE"""),0.0)</f>
        <v>0</v>
      </c>
      <c r="N566" s="188">
        <f>IFERROR(__xludf.DUMMYFUNCTION("""COMPUTED_VALUE"""),0.0)</f>
        <v>0</v>
      </c>
      <c r="O566" s="208"/>
      <c r="P566" s="208"/>
      <c r="Q566" s="208"/>
      <c r="R566" s="208"/>
    </row>
    <row r="567">
      <c r="A567" s="185" t="str">
        <f>IFERROR(__xludf.DUMMYFUNCTION("""COMPUTED_VALUE"""),"Agency directory / review marketplace")</f>
        <v>Agency directory / review marketplace</v>
      </c>
      <c r="B567" s="186" t="str">
        <f>IFERROR(__xludf.DUMMYFUNCTION("""COMPUTED_VALUE"""),"https://www.sortlist.com/web-analytics/australia-au")</f>
        <v>https://www.sortlist.com/web-analytics/australia-au</v>
      </c>
      <c r="C567" s="185" t="str">
        <f>IFERROR(__xludf.DUMMYFUNCTION("""COMPUTED_VALUE"""),"The 10 Best Web Analytics Agencies in Australia - 2026 Reviews")</f>
        <v>The 10 Best Web Analytics Agencies in Australia - 2026 Reviews</v>
      </c>
      <c r="D567" s="185" t="str">
        <f>IFERROR(__xludf.DUMMYFUNCTION("""COMPUTED_VALUE"""),"AU")</f>
        <v>AU</v>
      </c>
      <c r="E567" s="185" t="str">
        <f>IFERROR(__xludf.DUMMYFUNCTION("""COMPUTED_VALUE"""),"sortlist.com")</f>
        <v>sortlist.com</v>
      </c>
      <c r="F567" s="185" t="str">
        <f>IFERROR(__xludf.DUMMYFUNCTION("""COMPUTED_VALUE"""),"Profile")</f>
        <v>Profile</v>
      </c>
      <c r="G567" s="185" t="str">
        <f>IFERROR(__xludf.DUMMYFUNCTION("""COMPUTED_VALUE"""),"CORPORATE")</f>
        <v>CORPORATE</v>
      </c>
      <c r="H567" s="185" t="str">
        <f>IFERROR(__xludf.DUMMYFUNCTION("""COMPUTED_VALUE"""),"No")</f>
        <v>No</v>
      </c>
      <c r="I567" s="185" t="str">
        <f>IFERROR(__xludf.DUMMYFUNCTION("""COMPUTED_VALUE"""),"Medium")</f>
        <v>Medium</v>
      </c>
      <c r="J567" s="185" t="str">
        <f>IFERROR(__xludf.DUMMYFUNCTION("""COMPUTED_VALUE"""),"Yes")</f>
        <v>Yes</v>
      </c>
      <c r="K567" s="185" t="str">
        <f>IFERROR(__xludf.DUMMYFUNCTION("""COMPUTED_VALUE"""),"Impressive, SIXGUN")</f>
        <v>Impressive, SIXGUN</v>
      </c>
      <c r="L567" s="187">
        <f>IFERROR(__xludf.DUMMYFUNCTION("""COMPUTED_VALUE"""),1.0)</f>
        <v>1</v>
      </c>
      <c r="M567" s="188">
        <f>IFERROR(__xludf.DUMMYFUNCTION("""COMPUTED_VALUE"""),0.0)</f>
        <v>0</v>
      </c>
      <c r="N567" s="188">
        <f>IFERROR(__xludf.DUMMYFUNCTION("""COMPUTED_VALUE"""),0.0)</f>
        <v>0</v>
      </c>
      <c r="O567" s="208"/>
      <c r="P567" s="208"/>
      <c r="Q567" s="208"/>
      <c r="R567" s="208"/>
    </row>
    <row r="568">
      <c r="A568" s="185" t="str">
        <f>IFERROR(__xludf.DUMMYFUNCTION("""COMPUTED_VALUE"""),"Official partner / certification ecosystem")</f>
        <v>Official partner / certification ecosystem</v>
      </c>
      <c r="B568" s="186" t="str">
        <f>IFERROR(__xludf.DUMMYFUNCTION("""COMPUTED_VALUE"""),"https://support.google.com/google-ads/answer/11410677?hl=en-AU")</f>
        <v>https://support.google.com/google-ads/answer/11410677?hl=en-AU</v>
      </c>
      <c r="C568" s="185" t="str">
        <f>IFERROR(__xludf.DUMMYFUNCTION("""COMPUTED_VALUE"""),"Google Partners directory - Google Ads Help")</f>
        <v>Google Partners directory - Google Ads Help</v>
      </c>
      <c r="D568" s="185" t="str">
        <f>IFERROR(__xludf.DUMMYFUNCTION("""COMPUTED_VALUE"""),"AU")</f>
        <v>AU</v>
      </c>
      <c r="E568" s="185" t="str">
        <f>IFERROR(__xludf.DUMMYFUNCTION("""COMPUTED_VALUE"""),"google.com")</f>
        <v>google.com</v>
      </c>
      <c r="F568" s="185" t="str">
        <f>IFERROR(__xludf.DUMMYFUNCTION("""COMPUTED_VALUE"""),"Article")</f>
        <v>Article</v>
      </c>
      <c r="G568" s="185" t="str">
        <f>IFERROR(__xludf.DUMMYFUNCTION("""COMPUTED_VALUE"""),"OTHER")</f>
        <v>OTHER</v>
      </c>
      <c r="H568" s="185" t="str">
        <f>IFERROR(__xludf.DUMMYFUNCTION("""COMPUTED_VALUE"""),"No")</f>
        <v>No</v>
      </c>
      <c r="I568" s="185" t="str">
        <f>IFERROR(__xludf.DUMMYFUNCTION("""COMPUTED_VALUE"""),"High")</f>
        <v>High</v>
      </c>
      <c r="J568" s="185" t="str">
        <f>IFERROR(__xludf.DUMMYFUNCTION("""COMPUTED_VALUE"""),"Yes - priority")</f>
        <v>Yes - priority</v>
      </c>
      <c r="K568" s="185"/>
      <c r="L568" s="187">
        <f>IFERROR(__xludf.DUMMYFUNCTION("""COMPUTED_VALUE"""),1.0)</f>
        <v>1</v>
      </c>
      <c r="M568" s="188">
        <f>IFERROR(__xludf.DUMMYFUNCTION("""COMPUTED_VALUE"""),0.0)</f>
        <v>0</v>
      </c>
      <c r="N568" s="188">
        <f>IFERROR(__xludf.DUMMYFUNCTION("""COMPUTED_VALUE"""),1.0)</f>
        <v>1</v>
      </c>
      <c r="O568" s="208"/>
      <c r="P568" s="208"/>
      <c r="Q568" s="208"/>
      <c r="R568" s="208"/>
    </row>
    <row r="569">
      <c r="A569" s="185" t="str">
        <f>IFERROR(__xludf.DUMMYFUNCTION("""COMPUTED_VALUE"""),"Trade media / editorial publication")</f>
        <v>Trade media / editorial publication</v>
      </c>
      <c r="B569" s="186" t="str">
        <f>IFERROR(__xludf.DUMMYFUNCTION("""COMPUTED_VALUE"""),"https://www.theaustralian.com.au/business/growth-agenda/wpps-media-ambitions-wont-impact-groupms-local-growth/news-story/7af81a0f6c387b9b8cecf519a403824d")</f>
        <v>https://www.theaustralian.com.au/business/growth-agenda/wpps-media-ambitions-wont-impact-groupms-local-growth/news-story/7af81a0f6c387b9b8cecf519a403824d</v>
      </c>
      <c r="C569" s="185" t="str">
        <f>IFERROR(__xludf.DUMMYFUNCTION("""COMPUTED_VALUE"""),"Subscribe to The Australian \| Newspaper home delivery, website, iPad, iPhone &amp; Android apps")</f>
        <v>Subscribe to The Australian \| Newspaper home delivery, website, iPad, iPhone &amp; Android apps</v>
      </c>
      <c r="D569" s="185" t="str">
        <f>IFERROR(__xludf.DUMMYFUNCTION("""COMPUTED_VALUE"""),"AU")</f>
        <v>AU</v>
      </c>
      <c r="E569" s="185" t="str">
        <f>IFERROR(__xludf.DUMMYFUNCTION("""COMPUTED_VALUE"""),"theaustralian.com.au")</f>
        <v>theaustralian.com.au</v>
      </c>
      <c r="F569" s="185" t="str">
        <f>IFERROR(__xludf.DUMMYFUNCTION("""COMPUTED_VALUE"""),"Article")</f>
        <v>Article</v>
      </c>
      <c r="G569" s="185" t="str">
        <f>IFERROR(__xludf.DUMMYFUNCTION("""COMPUTED_VALUE"""),"EDITORIAL")</f>
        <v>EDITORIAL</v>
      </c>
      <c r="H569" s="185" t="str">
        <f>IFERROR(__xludf.DUMMYFUNCTION("""COMPUTED_VALUE"""),"No")</f>
        <v>No</v>
      </c>
      <c r="I569" s="185" t="str">
        <f>IFERROR(__xludf.DUMMYFUNCTION("""COMPUTED_VALUE"""),"High")</f>
        <v>High</v>
      </c>
      <c r="J569" s="185" t="str">
        <f>IFERROR(__xludf.DUMMYFUNCTION("""COMPUTED_VALUE"""),"Yes - priority")</f>
        <v>Yes - priority</v>
      </c>
      <c r="K569" s="185" t="str">
        <f>IFERROR(__xludf.DUMMYFUNCTION("""COMPUTED_VALUE"""),"WPP, GroupM")</f>
        <v>WPP, GroupM</v>
      </c>
      <c r="L569" s="187">
        <f>IFERROR(__xludf.DUMMYFUNCTION("""COMPUTED_VALUE"""),1.0)</f>
        <v>1</v>
      </c>
      <c r="M569" s="188">
        <f>IFERROR(__xludf.DUMMYFUNCTION("""COMPUTED_VALUE"""),0.0)</f>
        <v>0</v>
      </c>
      <c r="N569" s="188">
        <f>IFERROR(__xludf.DUMMYFUNCTION("""COMPUTED_VALUE"""),2.0)</f>
        <v>2</v>
      </c>
      <c r="O569" s="208"/>
      <c r="P569" s="208"/>
      <c r="Q569" s="208"/>
      <c r="R569" s="208"/>
    </row>
    <row r="570">
      <c r="A570" s="185" t="str">
        <f>IFERROR(__xludf.DUMMYFUNCTION("""COMPUTED_VALUE"""),"Agency directory / review marketplace")</f>
        <v>Agency directory / review marketplace</v>
      </c>
      <c r="B570" s="186" t="str">
        <f>IFERROR(__xludf.DUMMYFUNCTION("""COMPUTED_VALUE"""),"https://themanifest.com/au/programmatic/agencies/sydney")</f>
        <v>https://themanifest.com/au/programmatic/agencies/sydney</v>
      </c>
      <c r="C570" s="185" t="str">
        <f>IFERROR(__xludf.DUMMYFUNCTION("""COMPUTED_VALUE"""),"The Best Programmatic Advertising Companies in Sydney - Jul 2026 | The Manifest")</f>
        <v>The Best Programmatic Advertising Companies in Sydney - Jul 2026 | The Manifest</v>
      </c>
      <c r="D570" s="185" t="str">
        <f>IFERROR(__xludf.DUMMYFUNCTION("""COMPUTED_VALUE"""),"AU")</f>
        <v>AU</v>
      </c>
      <c r="E570" s="185" t="str">
        <f>IFERROR(__xludf.DUMMYFUNCTION("""COMPUTED_VALUE"""),"themanifest.com")</f>
        <v>themanifest.com</v>
      </c>
      <c r="F570" s="185" t="str">
        <f>IFERROR(__xludf.DUMMYFUNCTION("""COMPUTED_VALUE"""),"Listicle")</f>
        <v>Listicle</v>
      </c>
      <c r="G570" s="185" t="str">
        <f>IFERROR(__xludf.DUMMYFUNCTION("""COMPUTED_VALUE"""),"REFERENCE")</f>
        <v>REFERENCE</v>
      </c>
      <c r="H570" s="185" t="str">
        <f>IFERROR(__xludf.DUMMYFUNCTION("""COMPUTED_VALUE"""),"No")</f>
        <v>No</v>
      </c>
      <c r="I570" s="185" t="str">
        <f>IFERROR(__xludf.DUMMYFUNCTION("""COMPUTED_VALUE"""),"Medium")</f>
        <v>Medium</v>
      </c>
      <c r="J570" s="185" t="str">
        <f>IFERROR(__xludf.DUMMYFUNCTION("""COMPUTED_VALUE"""),"Yes")</f>
        <v>Yes</v>
      </c>
      <c r="K570" s="185" t="str">
        <f>IFERROR(__xludf.DUMMYFUNCTION("""COMPUTED_VALUE"""),"Soup Agency, Bench Media, DNM Digital, In Marketing We Trust")</f>
        <v>Soup Agency, Bench Media, DNM Digital, In Marketing We Trust</v>
      </c>
      <c r="L570" s="187">
        <f>IFERROR(__xludf.DUMMYFUNCTION("""COMPUTED_VALUE"""),1.0)</f>
        <v>1</v>
      </c>
      <c r="M570" s="188">
        <f>IFERROR(__xludf.DUMMYFUNCTION("""COMPUTED_VALUE"""),0.0)</f>
        <v>0</v>
      </c>
      <c r="N570" s="188">
        <f>IFERROR(__xludf.DUMMYFUNCTION("""COMPUTED_VALUE"""),0.0)</f>
        <v>0</v>
      </c>
      <c r="O570" s="208"/>
      <c r="P570" s="208"/>
      <c r="Q570" s="208"/>
      <c r="R570" s="208"/>
    </row>
    <row r="571">
      <c r="A571" s="185" t="str">
        <f>IFERROR(__xludf.DUMMYFUNCTION("""COMPUTED_VALUE"""),"Agency directory / review marketplace")</f>
        <v>Agency directory / review marketplace</v>
      </c>
      <c r="B571" s="186" t="str">
        <f>IFERROR(__xludf.DUMMYFUNCTION("""COMPUTED_VALUE"""),"https://themanifest.com/au/social-media/linkedin/agencies")</f>
        <v>https://themanifest.com/au/social-media/linkedin/agencies</v>
      </c>
      <c r="C571" s="185" t="str">
        <f>IFERROR(__xludf.DUMMYFUNCTION("""COMPUTED_VALUE"""),"The Best LinkedIn Advertising Companies in Australia - Jul 2026 | The Manifest")</f>
        <v>The Best LinkedIn Advertising Companies in Australia - Jul 2026 | The Manifest</v>
      </c>
      <c r="D571" s="185" t="str">
        <f>IFERROR(__xludf.DUMMYFUNCTION("""COMPUTED_VALUE"""),"AU")</f>
        <v>AU</v>
      </c>
      <c r="E571" s="185" t="str">
        <f>IFERROR(__xludf.DUMMYFUNCTION("""COMPUTED_VALUE"""),"themanifest.com")</f>
        <v>themanifest.com</v>
      </c>
      <c r="F571" s="185" t="str">
        <f>IFERROR(__xludf.DUMMYFUNCTION("""COMPUTED_VALUE"""),"Listicle")</f>
        <v>Listicle</v>
      </c>
      <c r="G571" s="185" t="str">
        <f>IFERROR(__xludf.DUMMYFUNCTION("""COMPUTED_VALUE"""),"REFERENCE")</f>
        <v>REFERENCE</v>
      </c>
      <c r="H571" s="185" t="str">
        <f>IFERROR(__xludf.DUMMYFUNCTION("""COMPUTED_VALUE"""),"No")</f>
        <v>No</v>
      </c>
      <c r="I571" s="185" t="str">
        <f>IFERROR(__xludf.DUMMYFUNCTION("""COMPUTED_VALUE"""),"Medium")</f>
        <v>Medium</v>
      </c>
      <c r="J571" s="185" t="str">
        <f>IFERROR(__xludf.DUMMYFUNCTION("""COMPUTED_VALUE"""),"Yes")</f>
        <v>Yes</v>
      </c>
      <c r="K571" s="185" t="str">
        <f>IFERROR(__xludf.DUMMYFUNCTION("""COMPUTED_VALUE"""),"Human Digital, Digital Nomads HQ, Farsiight, SIXGUN, Megaphone, Soup Agency, Paradox Marketing, Emote Digital, Rocket Agency, Intesols, Bench Media, Clearwater Agency, Impressive, Insil, Salt &amp; Fuessel, EvenDigit")</f>
        <v>Human Digital, Digital Nomads HQ, Farsiight, SIXGUN, Megaphone, Soup Agency, Paradox Marketing, Emote Digital, Rocket Agency, Intesols, Bench Media, Clearwater Agency, Impressive, Insil, Salt &amp; Fuessel, EvenDigit</v>
      </c>
      <c r="L571" s="187">
        <f>IFERROR(__xludf.DUMMYFUNCTION("""COMPUTED_VALUE"""),1.0)</f>
        <v>1</v>
      </c>
      <c r="M571" s="188">
        <f>IFERROR(__xludf.DUMMYFUNCTION("""COMPUTED_VALUE"""),0.0)</f>
        <v>0</v>
      </c>
      <c r="N571" s="188">
        <f>IFERROR(__xludf.DUMMYFUNCTION("""COMPUTED_VALUE"""),0.0)</f>
        <v>0</v>
      </c>
      <c r="O571" s="208"/>
      <c r="P571" s="208"/>
      <c r="Q571" s="208"/>
      <c r="R571" s="208"/>
    </row>
    <row r="572">
      <c r="A572" s="185" t="str">
        <f>IFERROR(__xludf.DUMMYFUNCTION("""COMPUTED_VALUE"""),"Agency directory / review marketplace")</f>
        <v>Agency directory / review marketplace</v>
      </c>
      <c r="B572" s="186" t="str">
        <f>IFERROR(__xludf.DUMMYFUNCTION("""COMPUTED_VALUE"""),"https://themanifest.com/au/social-media/tiktok/agencies/sydney")</f>
        <v>https://themanifest.com/au/social-media/tiktok/agencies/sydney</v>
      </c>
      <c r="C572" s="185" t="str">
        <f>IFERROR(__xludf.DUMMYFUNCTION("""COMPUTED_VALUE"""),"The Best TikTok Advertising Companies in Sydney - Jul 2026 | The Manifest")</f>
        <v>The Best TikTok Advertising Companies in Sydney - Jul 2026 | The Manifest</v>
      </c>
      <c r="D572" s="185" t="str">
        <f>IFERROR(__xludf.DUMMYFUNCTION("""COMPUTED_VALUE"""),"AU")</f>
        <v>AU</v>
      </c>
      <c r="E572" s="185" t="str">
        <f>IFERROR(__xludf.DUMMYFUNCTION("""COMPUTED_VALUE"""),"themanifest.com")</f>
        <v>themanifest.com</v>
      </c>
      <c r="F572" s="185" t="str">
        <f>IFERROR(__xludf.DUMMYFUNCTION("""COMPUTED_VALUE"""),"Other")</f>
        <v>Other</v>
      </c>
      <c r="G572" s="185" t="str">
        <f>IFERROR(__xludf.DUMMYFUNCTION("""COMPUTED_VALUE"""),"REFERENCE")</f>
        <v>REFERENCE</v>
      </c>
      <c r="H572" s="185" t="str">
        <f>IFERROR(__xludf.DUMMYFUNCTION("""COMPUTED_VALUE"""),"No")</f>
        <v>No</v>
      </c>
      <c r="I572" s="185" t="str">
        <f>IFERROR(__xludf.DUMMYFUNCTION("""COMPUTED_VALUE"""),"Medium")</f>
        <v>Medium</v>
      </c>
      <c r="J572" s="185" t="str">
        <f>IFERROR(__xludf.DUMMYFUNCTION("""COMPUTED_VALUE"""),"Yes")</f>
        <v>Yes</v>
      </c>
      <c r="K572" s="185" t="str">
        <f>IFERROR(__xludf.DUMMYFUNCTION("""COMPUTED_VALUE"""),"Megaphone, Soup Agency, Bench Media, Eight Clients, Digital Nomads HQ")</f>
        <v>Megaphone, Soup Agency, Bench Media, Eight Clients, Digital Nomads HQ</v>
      </c>
      <c r="L572" s="187">
        <f>IFERROR(__xludf.DUMMYFUNCTION("""COMPUTED_VALUE"""),1.0)</f>
        <v>1</v>
      </c>
      <c r="M572" s="188">
        <f>IFERROR(__xludf.DUMMYFUNCTION("""COMPUTED_VALUE"""),0.0)</f>
        <v>0</v>
      </c>
      <c r="N572" s="188">
        <f>IFERROR(__xludf.DUMMYFUNCTION("""COMPUTED_VALUE"""),2.0)</f>
        <v>2</v>
      </c>
      <c r="O572" s="208"/>
      <c r="P572" s="208"/>
      <c r="Q572" s="208"/>
      <c r="R572" s="208"/>
    </row>
    <row r="573">
      <c r="A573" s="185" t="str">
        <f>IFERROR(__xludf.DUMMYFUNCTION("""COMPUTED_VALUE"""),"Lower-priority competitor/vendor roundup")</f>
        <v>Lower-priority competitor/vendor roundup</v>
      </c>
      <c r="B573" s="186" t="str">
        <f>IFERROR(__xludf.DUMMYFUNCTION("""COMPUTED_VALUE"""),"https://www.webtonic.io/blog/best-performance-marketing-agencies-2026")</f>
        <v>https://www.webtonic.io/blog/best-performance-marketing-agencies-2026</v>
      </c>
      <c r="C573" s="185" t="str">
        <f>IFERROR(__xludf.DUMMYFUNCTION("""COMPUTED_VALUE"""),"28 Best Performance Marketing Agencies for 2026")</f>
        <v>28 Best Performance Marketing Agencies for 2026</v>
      </c>
      <c r="D573" s="185" t="str">
        <f>IFERROR(__xludf.DUMMYFUNCTION("""COMPUTED_VALUE"""),"AU")</f>
        <v>AU</v>
      </c>
      <c r="E573" s="185" t="str">
        <f>IFERROR(__xludf.DUMMYFUNCTION("""COMPUTED_VALUE"""),"webtonic.io")</f>
        <v>webtonic.io</v>
      </c>
      <c r="F573" s="185" t="str">
        <f>IFERROR(__xludf.DUMMYFUNCTION("""COMPUTED_VALUE"""),"Listicle")</f>
        <v>Listicle</v>
      </c>
      <c r="G573" s="185" t="str">
        <f>IFERROR(__xludf.DUMMYFUNCTION("""COMPUTED_VALUE"""),"CORPORATE")</f>
        <v>CORPORATE</v>
      </c>
      <c r="H573" s="185" t="str">
        <f>IFERROR(__xludf.DUMMYFUNCTION("""COMPUTED_VALUE"""),"No")</f>
        <v>No</v>
      </c>
      <c r="I573" s="185" t="str">
        <f>IFERROR(__xludf.DUMMYFUNCTION("""COMPUTED_VALUE"""),"Low")</f>
        <v>Low</v>
      </c>
      <c r="J573" s="185" t="str">
        <f>IFERROR(__xludf.DUMMYFUNCTION("""COMPUTED_VALUE"""),"Secondary")</f>
        <v>Secondary</v>
      </c>
      <c r="K573" s="185" t="str">
        <f>IFERROR(__xludf.DUMMYFUNCTION("""COMPUTED_VALUE"""),"Tinuiti, Brainlabs, Croud, Power Digital")</f>
        <v>Tinuiti, Brainlabs, Croud, Power Digital</v>
      </c>
      <c r="L573" s="187">
        <f>IFERROR(__xludf.DUMMYFUNCTION("""COMPUTED_VALUE"""),1.0)</f>
        <v>1</v>
      </c>
      <c r="M573" s="188">
        <f>IFERROR(__xludf.DUMMYFUNCTION("""COMPUTED_VALUE"""),0.0)</f>
        <v>0</v>
      </c>
      <c r="N573" s="188">
        <f>IFERROR(__xludf.DUMMYFUNCTION("""COMPUTED_VALUE"""),0.0)</f>
        <v>0</v>
      </c>
      <c r="O573" s="208"/>
      <c r="P573" s="208"/>
      <c r="Q573" s="208"/>
      <c r="R573" s="208"/>
    </row>
    <row r="574">
      <c r="A574" s="185" t="str">
        <f>IFERROR(__xludf.DUMMYFUNCTION("""COMPUTED_VALUE"""),"Lower-priority competitor/vendor roundup")</f>
        <v>Lower-priority competitor/vendor roundup</v>
      </c>
      <c r="B574" s="186" t="str">
        <f>IFERROR(__xludf.DUMMYFUNCTION("""COMPUTED_VALUE"""),"https://www.webtonic.io/blog/top-paid-media-agencies")</f>
        <v>https://www.webtonic.io/blog/top-paid-media-agencies</v>
      </c>
      <c r="C574" s="185" t="str">
        <f>IFERROR(__xludf.DUMMYFUNCTION("""COMPUTED_VALUE"""),"The 51 Top Paid Media Agencies as of 2026")</f>
        <v>The 51 Top Paid Media Agencies as of 2026</v>
      </c>
      <c r="D574" s="185" t="str">
        <f>IFERROR(__xludf.DUMMYFUNCTION("""COMPUTED_VALUE"""),"AU")</f>
        <v>AU</v>
      </c>
      <c r="E574" s="185" t="str">
        <f>IFERROR(__xludf.DUMMYFUNCTION("""COMPUTED_VALUE"""),"webtonic.io")</f>
        <v>webtonic.io</v>
      </c>
      <c r="F574" s="185" t="str">
        <f>IFERROR(__xludf.DUMMYFUNCTION("""COMPUTED_VALUE"""),"Listicle")</f>
        <v>Listicle</v>
      </c>
      <c r="G574" s="185" t="str">
        <f>IFERROR(__xludf.DUMMYFUNCTION("""COMPUTED_VALUE"""),"CORPORATE")</f>
        <v>CORPORATE</v>
      </c>
      <c r="H574" s="185" t="str">
        <f>IFERROR(__xludf.DUMMYFUNCTION("""COMPUTED_VALUE"""),"Yes")</f>
        <v>Yes</v>
      </c>
      <c r="I574" s="185" t="str">
        <f>IFERROR(__xludf.DUMMYFUNCTION("""COMPUTED_VALUE"""),"Low")</f>
        <v>Low</v>
      </c>
      <c r="J574" s="185" t="str">
        <f>IFERROR(__xludf.DUMMYFUNCTION("""COMPUTED_VALUE"""),"Secondary")</f>
        <v>Secondary</v>
      </c>
      <c r="K574" s="185" t="str">
        <f>IFERROR(__xludf.DUMMYFUNCTION("""COMPUTED_VALUE"""),"Tinuiti, Dentsu, Brainlabs, GroupM, Power Digital, PMG, Incubeta, Reload Media")</f>
        <v>Tinuiti, Dentsu, Brainlabs, GroupM, Power Digital, PMG, Incubeta, Reload Media</v>
      </c>
      <c r="L574" s="187">
        <f>IFERROR(__xludf.DUMMYFUNCTION("""COMPUTED_VALUE"""),1.0)</f>
        <v>1</v>
      </c>
      <c r="M574" s="188">
        <f>IFERROR(__xludf.DUMMYFUNCTION("""COMPUTED_VALUE"""),0.0)</f>
        <v>0</v>
      </c>
      <c r="N574" s="188">
        <f>IFERROR(__xludf.DUMMYFUNCTION("""COMPUTED_VALUE"""),0.0)</f>
        <v>0</v>
      </c>
      <c r="O574" s="208"/>
      <c r="P574" s="208"/>
      <c r="Q574" s="208"/>
      <c r="R574" s="208"/>
    </row>
    <row r="575">
      <c r="A575" s="185" t="str">
        <f>IFERROR(__xludf.DUMMYFUNCTION("""COMPUTED_VALUE"""),"Industry data / software authority")</f>
        <v>Industry data / software authority</v>
      </c>
      <c r="B575" s="186" t="str">
        <f>IFERROR(__xludf.DUMMYFUNCTION("""COMPUTED_VALUE"""),"https://agencies.semrush.com/list/united-kingdom/")</f>
        <v>https://agencies.semrush.com/list/united-kingdom/</v>
      </c>
      <c r="C575" s="185" t="str">
        <f>IFERROR(__xludf.DUMMYFUNCTION("""COMPUTED_VALUE"""),"Best Digital Marketing Agencies in United Kingdom 2026 | Semrush")</f>
        <v>Best Digital Marketing Agencies in United Kingdom 2026 | Semrush</v>
      </c>
      <c r="D575" s="185" t="str">
        <f>IFERROR(__xludf.DUMMYFUNCTION("""COMPUTED_VALUE"""),"UK")</f>
        <v>UK</v>
      </c>
      <c r="E575" s="185" t="str">
        <f>IFERROR(__xludf.DUMMYFUNCTION("""COMPUTED_VALUE"""),"semrush.com")</f>
        <v>semrush.com</v>
      </c>
      <c r="F575" s="185" t="str">
        <f>IFERROR(__xludf.DUMMYFUNCTION("""COMPUTED_VALUE"""),"Category Page")</f>
        <v>Category Page</v>
      </c>
      <c r="G575" s="185" t="str">
        <f>IFERROR(__xludf.DUMMYFUNCTION("""COMPUTED_VALUE"""),"CORPORATE")</f>
        <v>CORPORATE</v>
      </c>
      <c r="H575" s="185" t="str">
        <f>IFERROR(__xludf.DUMMYFUNCTION("""COMPUTED_VALUE"""),"No")</f>
        <v>No</v>
      </c>
      <c r="I575" s="185" t="str">
        <f>IFERROR(__xludf.DUMMYFUNCTION("""COMPUTED_VALUE"""),"Medium")</f>
        <v>Medium</v>
      </c>
      <c r="J575" s="185" t="str">
        <f>IFERROR(__xludf.DUMMYFUNCTION("""COMPUTED_VALUE"""),"Yes")</f>
        <v>Yes</v>
      </c>
      <c r="K575" s="185" t="str">
        <f>IFERROR(__xludf.DUMMYFUNCTION("""COMPUTED_VALUE"""),"Found, Bird Marketing, Measured, Passion Digital")</f>
        <v>Found, Bird Marketing, Measured, Passion Digital</v>
      </c>
      <c r="L575" s="187">
        <f>IFERROR(__xludf.DUMMYFUNCTION("""COMPUTED_VALUE"""),80.0)</f>
        <v>80</v>
      </c>
      <c r="M575" s="188">
        <f>IFERROR(__xludf.DUMMYFUNCTION("""COMPUTED_VALUE"""),0.08)</f>
        <v>0.08</v>
      </c>
      <c r="N575" s="188">
        <f>IFERROR(__xludf.DUMMYFUNCTION("""COMPUTED_VALUE"""),0.18)</f>
        <v>0.18</v>
      </c>
      <c r="O575" s="208"/>
      <c r="P575" s="208"/>
      <c r="Q575" s="208"/>
      <c r="R575" s="208"/>
    </row>
    <row r="576">
      <c r="A576" s="185" t="str">
        <f>IFERROR(__xludf.DUMMYFUNCTION("""COMPUTED_VALUE"""),"Lower-priority competitor/vendor roundup")</f>
        <v>Lower-priority competitor/vendor roundup</v>
      </c>
      <c r="B576" s="186" t="str">
        <f>IFERROR(__xludf.DUMMYFUNCTION("""COMPUTED_VALUE"""),"https://bind.media/insights/top-25-ppc-agencies-in-the-uk-2025")</f>
        <v>https://bind.media/insights/top-25-ppc-agencies-in-the-uk-2025</v>
      </c>
      <c r="C576" s="185" t="str">
        <f>IFERROR(__xludf.DUMMYFUNCTION("""COMPUTED_VALUE"""),"Top 25 PPC agencies in the UK [2026]")</f>
        <v>Top 25 PPC agencies in the UK [2026]</v>
      </c>
      <c r="D576" s="185" t="str">
        <f>IFERROR(__xludf.DUMMYFUNCTION("""COMPUTED_VALUE"""),"UK")</f>
        <v>UK</v>
      </c>
      <c r="E576" s="185" t="str">
        <f>IFERROR(__xludf.DUMMYFUNCTION("""COMPUTED_VALUE"""),"bind.media")</f>
        <v>bind.media</v>
      </c>
      <c r="F576" s="185" t="str">
        <f>IFERROR(__xludf.DUMMYFUNCTION("""COMPUTED_VALUE"""),"Listicle")</f>
        <v>Listicle</v>
      </c>
      <c r="G576" s="185" t="str">
        <f>IFERROR(__xludf.DUMMYFUNCTION("""COMPUTED_VALUE"""),"COMPETITOR")</f>
        <v>COMPETITOR</v>
      </c>
      <c r="H576" s="185" t="str">
        <f>IFERROR(__xludf.DUMMYFUNCTION("""COMPUTED_VALUE"""),"No")</f>
        <v>No</v>
      </c>
      <c r="I576" s="185" t="str">
        <f>IFERROR(__xludf.DUMMYFUNCTION("""COMPUTED_VALUE"""),"Low")</f>
        <v>Low</v>
      </c>
      <c r="J576" s="185" t="str">
        <f>IFERROR(__xludf.DUMMYFUNCTION("""COMPUTED_VALUE"""),"Secondary")</f>
        <v>Secondary</v>
      </c>
      <c r="K576" s="185" t="str">
        <f>IFERROR(__xludf.DUMMYFUNCTION("""COMPUTED_VALUE"""),"Found, Bind Media, Hallam, The Social Shepherd, Impression, Push, Push Group, Brainlabs, weDiscover, Soap Media, Croud, Launch Online, PPC Geeks, Jellyfish, Huge, Measured")</f>
        <v>Found, Bind Media, Hallam, The Social Shepherd, Impression, Push, Push Group, Brainlabs, weDiscover, Soap Media, Croud, Launch Online, PPC Geeks, Jellyfish, Huge, Measured</v>
      </c>
      <c r="L576" s="187">
        <f>IFERROR(__xludf.DUMMYFUNCTION("""COMPUTED_VALUE"""),73.0)</f>
        <v>73</v>
      </c>
      <c r="M576" s="188">
        <f>IFERROR(__xludf.DUMMYFUNCTION("""COMPUTED_VALUE"""),0.07)</f>
        <v>0.07</v>
      </c>
      <c r="N576" s="188">
        <f>IFERROR(__xludf.DUMMYFUNCTION("""COMPUTED_VALUE"""),0.84)</f>
        <v>0.84</v>
      </c>
      <c r="O576" s="208"/>
      <c r="P576" s="208"/>
      <c r="Q576" s="208"/>
      <c r="R576" s="208"/>
    </row>
    <row r="577">
      <c r="A577" s="185" t="str">
        <f>IFERROR(__xludf.DUMMYFUNCTION("""COMPUTED_VALUE"""),"Agency directory / review marketplace")</f>
        <v>Agency directory / review marketplace</v>
      </c>
      <c r="B577" s="186" t="str">
        <f>IFERROR(__xludf.DUMMYFUNCTION("""COMPUTED_VALUE"""),"https://clutch.co/agencies/uk")</f>
        <v>https://clutch.co/agencies/uk</v>
      </c>
      <c r="C577" s="185" t="str">
        <f>IFERROR(__xludf.DUMMYFUNCTION("""COMPUTED_VALUE"""),"Top Advertising Agencies in the United Kingdom - Jul 2026 Rankings | Clutch.co")</f>
        <v>Top Advertising Agencies in the United Kingdom - Jul 2026 Rankings | Clutch.co</v>
      </c>
      <c r="D577" s="185" t="str">
        <f>IFERROR(__xludf.DUMMYFUNCTION("""COMPUTED_VALUE"""),"UK")</f>
        <v>UK</v>
      </c>
      <c r="E577" s="185" t="str">
        <f>IFERROR(__xludf.DUMMYFUNCTION("""COMPUTED_VALUE"""),"clutch.co")</f>
        <v>clutch.co</v>
      </c>
      <c r="F577" s="185" t="str">
        <f>IFERROR(__xludf.DUMMYFUNCTION("""COMPUTED_VALUE"""),"Category Page")</f>
        <v>Category Page</v>
      </c>
      <c r="G577" s="185" t="str">
        <f>IFERROR(__xludf.DUMMYFUNCTION("""COMPUTED_VALUE"""),"CORPORATE")</f>
        <v>CORPORATE</v>
      </c>
      <c r="H577" s="185" t="str">
        <f>IFERROR(__xludf.DUMMYFUNCTION("""COMPUTED_VALUE"""),"No")</f>
        <v>No</v>
      </c>
      <c r="I577" s="185" t="str">
        <f>IFERROR(__xludf.DUMMYFUNCTION("""COMPUTED_VALUE"""),"Medium")</f>
        <v>Medium</v>
      </c>
      <c r="J577" s="185" t="str">
        <f>IFERROR(__xludf.DUMMYFUNCTION("""COMPUTED_VALUE"""),"Yes")</f>
        <v>Yes</v>
      </c>
      <c r="K577" s="185" t="str">
        <f>IFERROR(__xludf.DUMMYFUNCTION("""COMPUTED_VALUE"""),"Favoured, Ninja Promo, Chello, ROAST, M3.agency, The SEO Works, Push")</f>
        <v>Favoured, Ninja Promo, Chello, ROAST, M3.agency, The SEO Works, Push</v>
      </c>
      <c r="L577" s="187">
        <f>IFERROR(__xludf.DUMMYFUNCTION("""COMPUTED_VALUE"""),69.0)</f>
        <v>69</v>
      </c>
      <c r="M577" s="188">
        <f>IFERROR(__xludf.DUMMYFUNCTION("""COMPUTED_VALUE"""),0.07)</f>
        <v>0.07</v>
      </c>
      <c r="N577" s="188">
        <f>IFERROR(__xludf.DUMMYFUNCTION("""COMPUTED_VALUE"""),0.25)</f>
        <v>0.25</v>
      </c>
      <c r="O577" s="208"/>
      <c r="P577" s="208"/>
      <c r="Q577" s="208"/>
      <c r="R577" s="208"/>
    </row>
    <row r="578">
      <c r="A578" s="185" t="str">
        <f>IFERROR(__xludf.DUMMYFUNCTION("""COMPUTED_VALUE"""),"Agency directory / review marketplace")</f>
        <v>Agency directory / review marketplace</v>
      </c>
      <c r="B578" s="186" t="str">
        <f>IFERROR(__xludf.DUMMYFUNCTION("""COMPUTED_VALUE"""),"https://digitalagencynetwork.com/agencies/uk/ai-marketing/")</f>
        <v>https://digitalagencynetwork.com/agencies/uk/ai-marketing/</v>
      </c>
      <c r="C578" s="185" t="str">
        <f>IFERROR(__xludf.DUMMYFUNCTION("""COMPUTED_VALUE"""),"Top AI Marketing Agencies in UK (2026)")</f>
        <v>Top AI Marketing Agencies in UK (2026)</v>
      </c>
      <c r="D578" s="185" t="str">
        <f>IFERROR(__xludf.DUMMYFUNCTION("""COMPUTED_VALUE"""),"UK")</f>
        <v>UK</v>
      </c>
      <c r="E578" s="185" t="str">
        <f>IFERROR(__xludf.DUMMYFUNCTION("""COMPUTED_VALUE"""),"digitalagencynetwork.com")</f>
        <v>digitalagencynetwork.com</v>
      </c>
      <c r="F578" s="185" t="str">
        <f>IFERROR(__xludf.DUMMYFUNCTION("""COMPUTED_VALUE"""),"Category Page")</f>
        <v>Category Page</v>
      </c>
      <c r="G578" s="185" t="str">
        <f>IFERROR(__xludf.DUMMYFUNCTION("""COMPUTED_VALUE"""),"REFERENCE")</f>
        <v>REFERENCE</v>
      </c>
      <c r="H578" s="185" t="str">
        <f>IFERROR(__xludf.DUMMYFUNCTION("""COMPUTED_VALUE"""),"No")</f>
        <v>No</v>
      </c>
      <c r="I578" s="185" t="str">
        <f>IFERROR(__xludf.DUMMYFUNCTION("""COMPUTED_VALUE"""),"Medium")</f>
        <v>Medium</v>
      </c>
      <c r="J578" s="185" t="str">
        <f>IFERROR(__xludf.DUMMYFUNCTION("""COMPUTED_VALUE"""),"Yes")</f>
        <v>Yes</v>
      </c>
      <c r="K578" s="185" t="str">
        <f>IFERROR(__xludf.DUMMYFUNCTION("""COMPUTED_VALUE"""),"Favoured, Propeller, GA Agency, Make Agency, Anicca Digital, Found, FirstMotion, Bird Marketing, Ninja Promo, ROAST, Open Partners, Hallam")</f>
        <v>Favoured, Propeller, GA Agency, Make Agency, Anicca Digital, Found, FirstMotion, Bird Marketing, Ninja Promo, ROAST, Open Partners, Hallam</v>
      </c>
      <c r="L578" s="187">
        <f>IFERROR(__xludf.DUMMYFUNCTION("""COMPUTED_VALUE"""),63.0)</f>
        <v>63</v>
      </c>
      <c r="M578" s="188">
        <f>IFERROR(__xludf.DUMMYFUNCTION("""COMPUTED_VALUE"""),0.06)</f>
        <v>0.06</v>
      </c>
      <c r="N578" s="188">
        <f>IFERROR(__xludf.DUMMYFUNCTION("""COMPUTED_VALUE"""),0.38)</f>
        <v>0.38</v>
      </c>
      <c r="O578" s="208"/>
      <c r="P578" s="208"/>
      <c r="Q578" s="208"/>
      <c r="R578" s="208"/>
    </row>
    <row r="579">
      <c r="A579" s="185" t="str">
        <f>IFERROR(__xludf.DUMMYFUNCTION("""COMPUTED_VALUE"""),"Lower-priority competitor/vendor roundup")</f>
        <v>Lower-priority competitor/vendor roundup</v>
      </c>
      <c r="B579" s="186" t="str">
        <f>IFERROR(__xludf.DUMMYFUNCTION("""COMPUTED_VALUE"""),"https://oski.site/blog/sales-and-marketing-analytics-companies-uk/")</f>
        <v>https://oski.site/blog/sales-and-marketing-analytics-companies-uk/</v>
      </c>
      <c r="C579" s="185" t="str">
        <f>IFERROR(__xludf.DUMMYFUNCTION("""COMPUTED_VALUE"""),"Top 16 Sales and Marketing Analytics Companies in the UK (2026)")</f>
        <v>Top 16 Sales and Marketing Analytics Companies in the UK (2026)</v>
      </c>
      <c r="D579" s="185" t="str">
        <f>IFERROR(__xludf.DUMMYFUNCTION("""COMPUTED_VALUE"""),"UK")</f>
        <v>UK</v>
      </c>
      <c r="E579" s="185" t="str">
        <f>IFERROR(__xludf.DUMMYFUNCTION("""COMPUTED_VALUE"""),"oski.site")</f>
        <v>oski.site</v>
      </c>
      <c r="F579" s="185" t="str">
        <f>IFERROR(__xludf.DUMMYFUNCTION("""COMPUTED_VALUE"""),"Listicle")</f>
        <v>Listicle</v>
      </c>
      <c r="G579" s="185" t="str">
        <f>IFERROR(__xludf.DUMMYFUNCTION("""COMPUTED_VALUE"""),"OTHER")</f>
        <v>OTHER</v>
      </c>
      <c r="H579" s="185" t="str">
        <f>IFERROR(__xludf.DUMMYFUNCTION("""COMPUTED_VALUE"""),"No")</f>
        <v>No</v>
      </c>
      <c r="I579" s="185" t="str">
        <f>IFERROR(__xludf.DUMMYFUNCTION("""COMPUTED_VALUE"""),"Low")</f>
        <v>Low</v>
      </c>
      <c r="J579" s="185" t="str">
        <f>IFERROR(__xludf.DUMMYFUNCTION("""COMPUTED_VALUE"""),"Secondary")</f>
        <v>Secondary</v>
      </c>
      <c r="K579" s="185" t="str">
        <f>IFERROR(__xludf.DUMMYFUNCTION("""COMPUTED_VALUE"""),"Momentum, Oski Solutions, Croud, Hallam, Analytic Partners, Directive Consulting")</f>
        <v>Momentum, Oski Solutions, Croud, Hallam, Analytic Partners, Directive Consulting</v>
      </c>
      <c r="L579" s="187">
        <f>IFERROR(__xludf.DUMMYFUNCTION("""COMPUTED_VALUE"""),62.0)</f>
        <v>62</v>
      </c>
      <c r="M579" s="188">
        <f>IFERROR(__xludf.DUMMYFUNCTION("""COMPUTED_VALUE"""),0.06)</f>
        <v>0.06</v>
      </c>
      <c r="N579" s="188">
        <f>IFERROR(__xludf.DUMMYFUNCTION("""COMPUTED_VALUE"""),1.37)</f>
        <v>1.37</v>
      </c>
      <c r="O579" s="208"/>
      <c r="P579" s="208"/>
      <c r="Q579" s="208"/>
      <c r="R579" s="208"/>
    </row>
    <row r="580">
      <c r="A580" s="185" t="str">
        <f>IFERROR(__xludf.DUMMYFUNCTION("""COMPUTED_VALUE"""),"Agency directory / review marketplace")</f>
        <v>Agency directory / review marketplace</v>
      </c>
      <c r="B580" s="186" t="str">
        <f>IFERROR(__xludf.DUMMYFUNCTION("""COMPUTED_VALUE"""),"https://clutch.co/agencies/digital-marketing/uk")</f>
        <v>https://clutch.co/agencies/digital-marketing/uk</v>
      </c>
      <c r="C580" s="185" t="str">
        <f>IFERROR(__xludf.DUMMYFUNCTION("""COMPUTED_VALUE"""),"Top Digital Marketing Agencies in the UK - Jul 2026 Rankings | Clutch.co")</f>
        <v>Top Digital Marketing Agencies in the UK - Jul 2026 Rankings | Clutch.co</v>
      </c>
      <c r="D580" s="185" t="str">
        <f>IFERROR(__xludf.DUMMYFUNCTION("""COMPUTED_VALUE"""),"UK")</f>
        <v>UK</v>
      </c>
      <c r="E580" s="185" t="str">
        <f>IFERROR(__xludf.DUMMYFUNCTION("""COMPUTED_VALUE"""),"clutch.co")</f>
        <v>clutch.co</v>
      </c>
      <c r="F580" s="185" t="str">
        <f>IFERROR(__xludf.DUMMYFUNCTION("""COMPUTED_VALUE"""),"Category Page")</f>
        <v>Category Page</v>
      </c>
      <c r="G580" s="185" t="str">
        <f>IFERROR(__xludf.DUMMYFUNCTION("""COMPUTED_VALUE"""),"CORPORATE")</f>
        <v>CORPORATE</v>
      </c>
      <c r="H580" s="185" t="str">
        <f>IFERROR(__xludf.DUMMYFUNCTION("""COMPUTED_VALUE"""),"No")</f>
        <v>No</v>
      </c>
      <c r="I580" s="185" t="str">
        <f>IFERROR(__xludf.DUMMYFUNCTION("""COMPUTED_VALUE"""),"Medium")</f>
        <v>Medium</v>
      </c>
      <c r="J580" s="185" t="str">
        <f>IFERROR(__xludf.DUMMYFUNCTION("""COMPUTED_VALUE"""),"Yes")</f>
        <v>Yes</v>
      </c>
      <c r="K580" s="185"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L580" s="187">
        <f>IFERROR(__xludf.DUMMYFUNCTION("""COMPUTED_VALUE"""),57.0)</f>
        <v>57</v>
      </c>
      <c r="M580" s="188">
        <f>IFERROR(__xludf.DUMMYFUNCTION("""COMPUTED_VALUE"""),0.06)</f>
        <v>0.06</v>
      </c>
      <c r="N580" s="188">
        <f>IFERROR(__xludf.DUMMYFUNCTION("""COMPUTED_VALUE"""),1.04)</f>
        <v>1.04</v>
      </c>
      <c r="O580" s="208"/>
      <c r="P580" s="208"/>
      <c r="Q580" s="208"/>
      <c r="R580" s="208"/>
    </row>
    <row r="581">
      <c r="A581" s="185" t="str">
        <f>IFERROR(__xludf.DUMMYFUNCTION("""COMPUTED_VALUE"""),"Agency directory / review marketplace")</f>
        <v>Agency directory / review marketplace</v>
      </c>
      <c r="B581" s="186" t="str">
        <f>IFERROR(__xludf.DUMMYFUNCTION("""COMPUTED_VALUE"""),"https://www.sortlist.co.uk/s/ai-marketing/united-kingdom-gb")</f>
        <v>https://www.sortlist.co.uk/s/ai-marketing/united-kingdom-gb</v>
      </c>
      <c r="C581" s="185" t="str">
        <f>IFERROR(__xludf.DUMMYFUNCTION("""COMPUTED_VALUE"""),"10+ Top AI Marketing Companies in the UK - 2026 Reviews")</f>
        <v>10+ Top AI Marketing Companies in the UK - 2026 Reviews</v>
      </c>
      <c r="D581" s="185" t="str">
        <f>IFERROR(__xludf.DUMMYFUNCTION("""COMPUTED_VALUE"""),"UK")</f>
        <v>UK</v>
      </c>
      <c r="E581" s="185" t="str">
        <f>IFERROR(__xludf.DUMMYFUNCTION("""COMPUTED_VALUE"""),"sortlist.co.uk")</f>
        <v>sortlist.co.uk</v>
      </c>
      <c r="F581" s="185" t="str">
        <f>IFERROR(__xludf.DUMMYFUNCTION("""COMPUTED_VALUE"""),"Category Page")</f>
        <v>Category Page</v>
      </c>
      <c r="G581" s="185" t="str">
        <f>IFERROR(__xludf.DUMMYFUNCTION("""COMPUTED_VALUE"""),"REFERENCE")</f>
        <v>REFERENCE</v>
      </c>
      <c r="H581" s="185" t="str">
        <f>IFERROR(__xludf.DUMMYFUNCTION("""COMPUTED_VALUE"""),"No")</f>
        <v>No</v>
      </c>
      <c r="I581" s="185" t="str">
        <f>IFERROR(__xludf.DUMMYFUNCTION("""COMPUTED_VALUE"""),"Medium")</f>
        <v>Medium</v>
      </c>
      <c r="J581" s="185" t="str">
        <f>IFERROR(__xludf.DUMMYFUNCTION("""COMPUTED_VALUE"""),"Yes")</f>
        <v>Yes</v>
      </c>
      <c r="K581" s="185"/>
      <c r="L581" s="187">
        <f>IFERROR(__xludf.DUMMYFUNCTION("""COMPUTED_VALUE"""),43.0)</f>
        <v>43</v>
      </c>
      <c r="M581" s="188">
        <f>IFERROR(__xludf.DUMMYFUNCTION("""COMPUTED_VALUE"""),0.04)</f>
        <v>0.04</v>
      </c>
      <c r="N581" s="188">
        <f>IFERROR(__xludf.DUMMYFUNCTION("""COMPUTED_VALUE"""),0.51)</f>
        <v>0.51</v>
      </c>
      <c r="O581" s="208"/>
      <c r="P581" s="208"/>
      <c r="Q581" s="208"/>
      <c r="R581" s="208"/>
    </row>
    <row r="582">
      <c r="A582" s="185" t="str">
        <f>IFERROR(__xludf.DUMMYFUNCTION("""COMPUTED_VALUE"""),"Industry data / software authority")</f>
        <v>Industry data / software authority</v>
      </c>
      <c r="B582" s="186" t="str">
        <f>IFERROR(__xludf.DUMMYFUNCTION("""COMPUTED_VALUE"""),"https://agencies.semrush.com/list/display-advertising/united-kingdom/")</f>
        <v>https://agencies.semrush.com/list/display-advertising/united-kingdom/</v>
      </c>
      <c r="C582" s="185" t="str">
        <f>IFERROR(__xludf.DUMMYFUNCTION("""COMPUTED_VALUE"""),"Best Display Ads Agencies in United Kingdom 2026 | Semrush")</f>
        <v>Best Display Ads Agencies in United Kingdom 2026 | Semrush</v>
      </c>
      <c r="D582" s="185" t="str">
        <f>IFERROR(__xludf.DUMMYFUNCTION("""COMPUTED_VALUE"""),"UK")</f>
        <v>UK</v>
      </c>
      <c r="E582" s="185" t="str">
        <f>IFERROR(__xludf.DUMMYFUNCTION("""COMPUTED_VALUE"""),"semrush.com")</f>
        <v>semrush.com</v>
      </c>
      <c r="F582" s="185" t="str">
        <f>IFERROR(__xludf.DUMMYFUNCTION("""COMPUTED_VALUE"""),"Category Page")</f>
        <v>Category Page</v>
      </c>
      <c r="G582" s="185" t="str">
        <f>IFERROR(__xludf.DUMMYFUNCTION("""COMPUTED_VALUE"""),"CORPORATE")</f>
        <v>CORPORATE</v>
      </c>
      <c r="H582" s="185" t="str">
        <f>IFERROR(__xludf.DUMMYFUNCTION("""COMPUTED_VALUE"""),"No")</f>
        <v>No</v>
      </c>
      <c r="I582" s="185" t="str">
        <f>IFERROR(__xludf.DUMMYFUNCTION("""COMPUTED_VALUE"""),"Medium")</f>
        <v>Medium</v>
      </c>
      <c r="J582" s="185" t="str">
        <f>IFERROR(__xludf.DUMMYFUNCTION("""COMPUTED_VALUE"""),"Yes")</f>
        <v>Yes</v>
      </c>
      <c r="K582" s="185" t="str">
        <f>IFERROR(__xludf.DUMMYFUNCTION("""COMPUTED_VALUE"""),"Found, Passion Digital, Soap Media, GA Agency, The SEO Works")</f>
        <v>Found, Passion Digital, Soap Media, GA Agency, The SEO Works</v>
      </c>
      <c r="L582" s="187">
        <f>IFERROR(__xludf.DUMMYFUNCTION("""COMPUTED_VALUE"""),40.0)</f>
        <v>40</v>
      </c>
      <c r="M582" s="188">
        <f>IFERROR(__xludf.DUMMYFUNCTION("""COMPUTED_VALUE"""),0.04)</f>
        <v>0.04</v>
      </c>
      <c r="N582" s="188">
        <f>IFERROR(__xludf.DUMMYFUNCTION("""COMPUTED_VALUE"""),0.53)</f>
        <v>0.53</v>
      </c>
      <c r="O582" s="208"/>
      <c r="P582" s="208"/>
      <c r="Q582" s="208"/>
      <c r="R582" s="208"/>
    </row>
    <row r="583">
      <c r="A583" s="185" t="str">
        <f>IFERROR(__xludf.DUMMYFUNCTION("""COMPUTED_VALUE"""),"Lower-priority competitor/vendor roundup")</f>
        <v>Lower-priority competitor/vendor roundup</v>
      </c>
      <c r="B583" s="186" t="str">
        <f>IFERROR(__xludf.DUMMYFUNCTION("""COMPUTED_VALUE"""),"https://bind.media/insights/top-11-google-analytics-agencies-in-the-uk-2025")</f>
        <v>https://bind.media/insights/top-11-google-analytics-agencies-in-the-uk-2025</v>
      </c>
      <c r="C583" s="185" t="str">
        <f>IFERROR(__xludf.DUMMYFUNCTION("""COMPUTED_VALUE"""),"Top 11 Google Analytics Agencies in the UK [2025]")</f>
        <v>Top 11 Google Analytics Agencies in the UK [2025]</v>
      </c>
      <c r="D583" s="185" t="str">
        <f>IFERROR(__xludf.DUMMYFUNCTION("""COMPUTED_VALUE"""),"UK")</f>
        <v>UK</v>
      </c>
      <c r="E583" s="185" t="str">
        <f>IFERROR(__xludf.DUMMYFUNCTION("""COMPUTED_VALUE"""),"bind.media")</f>
        <v>bind.media</v>
      </c>
      <c r="F583" s="185" t="str">
        <f>IFERROR(__xludf.DUMMYFUNCTION("""COMPUTED_VALUE"""),"Listicle")</f>
        <v>Listicle</v>
      </c>
      <c r="G583" s="185" t="str">
        <f>IFERROR(__xludf.DUMMYFUNCTION("""COMPUTED_VALUE"""),"COMPETITOR")</f>
        <v>COMPETITOR</v>
      </c>
      <c r="H583" s="185" t="str">
        <f>IFERROR(__xludf.DUMMYFUNCTION("""COMPUTED_VALUE"""),"Yes")</f>
        <v>Yes</v>
      </c>
      <c r="I583" s="185" t="str">
        <f>IFERROR(__xludf.DUMMYFUNCTION("""COMPUTED_VALUE"""),"Low")</f>
        <v>Low</v>
      </c>
      <c r="J583" s="185" t="str">
        <f>IFERROR(__xludf.DUMMYFUNCTION("""COMPUTED_VALUE"""),"Secondary")</f>
        <v>Secondary</v>
      </c>
      <c r="K583" s="185" t="str">
        <f>IFERROR(__xludf.DUMMYFUNCTION("""COMPUTED_VALUE"""),"Bind Media, Artefact, Brainlabs, Hallam, Incubeta, PMG")</f>
        <v>Bind Media, Artefact, Brainlabs, Hallam, Incubeta, PMG</v>
      </c>
      <c r="L583" s="187">
        <f>IFERROR(__xludf.DUMMYFUNCTION("""COMPUTED_VALUE"""),40.0)</f>
        <v>40</v>
      </c>
      <c r="M583" s="188">
        <f>IFERROR(__xludf.DUMMYFUNCTION("""COMPUTED_VALUE"""),0.04)</f>
        <v>0.04</v>
      </c>
      <c r="N583" s="188">
        <f>IFERROR(__xludf.DUMMYFUNCTION("""COMPUTED_VALUE"""),1.1)</f>
        <v>1.1</v>
      </c>
      <c r="O583" s="208"/>
      <c r="P583" s="208"/>
      <c r="Q583" s="208"/>
      <c r="R583" s="208"/>
    </row>
    <row r="584">
      <c r="A584" s="185" t="str">
        <f>IFERROR(__xludf.DUMMYFUNCTION("""COMPUTED_VALUE"""),"Agency directory / review marketplace")</f>
        <v>Agency directory / review marketplace</v>
      </c>
      <c r="B584" s="186" t="str">
        <f>IFERROR(__xludf.DUMMYFUNCTION("""COMPUTED_VALUE"""),"https://www.sortlist.co.uk/s/display-advertising/united-kingdom-gb")</f>
        <v>https://www.sortlist.co.uk/s/display-advertising/united-kingdom-gb</v>
      </c>
      <c r="C584" s="185" t="str">
        <f>IFERROR(__xludf.DUMMYFUNCTION("""COMPUTED_VALUE"""),"The 10 Best Display Advertising Agencies in The United Kingdom - 2026 Reviews")</f>
        <v>The 10 Best Display Advertising Agencies in The United Kingdom - 2026 Reviews</v>
      </c>
      <c r="D584" s="185" t="str">
        <f>IFERROR(__xludf.DUMMYFUNCTION("""COMPUTED_VALUE"""),"UK")</f>
        <v>UK</v>
      </c>
      <c r="E584" s="185" t="str">
        <f>IFERROR(__xludf.DUMMYFUNCTION("""COMPUTED_VALUE"""),"sortlist.co.uk")</f>
        <v>sortlist.co.uk</v>
      </c>
      <c r="F584" s="185" t="str">
        <f>IFERROR(__xludf.DUMMYFUNCTION("""COMPUTED_VALUE"""),"Category Page")</f>
        <v>Category Page</v>
      </c>
      <c r="G584" s="185" t="str">
        <f>IFERROR(__xludf.DUMMYFUNCTION("""COMPUTED_VALUE"""),"REFERENCE")</f>
        <v>REFERENCE</v>
      </c>
      <c r="H584" s="185" t="str">
        <f>IFERROR(__xludf.DUMMYFUNCTION("""COMPUTED_VALUE"""),"No")</f>
        <v>No</v>
      </c>
      <c r="I584" s="185" t="str">
        <f>IFERROR(__xludf.DUMMYFUNCTION("""COMPUTED_VALUE"""),"Medium")</f>
        <v>Medium</v>
      </c>
      <c r="J584" s="185" t="str">
        <f>IFERROR(__xludf.DUMMYFUNCTION("""COMPUTED_VALUE"""),"Yes")</f>
        <v>Yes</v>
      </c>
      <c r="K584" s="185" t="str">
        <f>IFERROR(__xludf.DUMMYFUNCTION("""COMPUTED_VALUE"""),"Found, Momentum, M3.agency, Ninja Promo, Impression")</f>
        <v>Found, Momentum, M3.agency, Ninja Promo, Impression</v>
      </c>
      <c r="L584" s="187">
        <f>IFERROR(__xludf.DUMMYFUNCTION("""COMPUTED_VALUE"""),38.0)</f>
        <v>38</v>
      </c>
      <c r="M584" s="188">
        <f>IFERROR(__xludf.DUMMYFUNCTION("""COMPUTED_VALUE"""),0.04)</f>
        <v>0.04</v>
      </c>
      <c r="N584" s="188">
        <f>IFERROR(__xludf.DUMMYFUNCTION("""COMPUTED_VALUE"""),0.66)</f>
        <v>0.66</v>
      </c>
      <c r="O584" s="208"/>
      <c r="P584" s="208"/>
      <c r="Q584" s="208"/>
      <c r="R584" s="208"/>
    </row>
    <row r="585">
      <c r="A585" s="185" t="str">
        <f>IFERROR(__xludf.DUMMYFUNCTION("""COMPUTED_VALUE"""),"Agency directory / review marketplace")</f>
        <v>Agency directory / review marketplace</v>
      </c>
      <c r="B585" s="186" t="str">
        <f>IFERROR(__xludf.DUMMYFUNCTION("""COMPUTED_VALUE"""),"https://www.sortlist.co.uk/s/marketing-analytics/united-kingdom-gb")</f>
        <v>https://www.sortlist.co.uk/s/marketing-analytics/united-kingdom-gb</v>
      </c>
      <c r="C585" s="185" t="str">
        <f>IFERROR(__xludf.DUMMYFUNCTION("""COMPUTED_VALUE"""),"The 10 Best Marketing Analytics Companies in The United Kingdom - 2026 Reviews")</f>
        <v>The 10 Best Marketing Analytics Companies in The United Kingdom - 2026 Reviews</v>
      </c>
      <c r="D585" s="185" t="str">
        <f>IFERROR(__xludf.DUMMYFUNCTION("""COMPUTED_VALUE"""),"UK")</f>
        <v>UK</v>
      </c>
      <c r="E585" s="185" t="str">
        <f>IFERROR(__xludf.DUMMYFUNCTION("""COMPUTED_VALUE"""),"sortlist.co.uk")</f>
        <v>sortlist.co.uk</v>
      </c>
      <c r="F585" s="185" t="str">
        <f>IFERROR(__xludf.DUMMYFUNCTION("""COMPUTED_VALUE"""),"Category Page")</f>
        <v>Category Page</v>
      </c>
      <c r="G585" s="185" t="str">
        <f>IFERROR(__xludf.DUMMYFUNCTION("""COMPUTED_VALUE"""),"REFERENCE")</f>
        <v>REFERENCE</v>
      </c>
      <c r="H585" s="185" t="str">
        <f>IFERROR(__xludf.DUMMYFUNCTION("""COMPUTED_VALUE"""),"No")</f>
        <v>No</v>
      </c>
      <c r="I585" s="185" t="str">
        <f>IFERROR(__xludf.DUMMYFUNCTION("""COMPUTED_VALUE"""),"Medium")</f>
        <v>Medium</v>
      </c>
      <c r="J585" s="185" t="str">
        <f>IFERROR(__xludf.DUMMYFUNCTION("""COMPUTED_VALUE"""),"Yes")</f>
        <v>Yes</v>
      </c>
      <c r="K585" s="185" t="str">
        <f>IFERROR(__xludf.DUMMYFUNCTION("""COMPUTED_VALUE"""),"McKinsey &amp; Company, Momentum, M3.agency, Found, Ninja Promo, Bird Marketing")</f>
        <v>McKinsey &amp; Company, Momentum, M3.agency, Found, Ninja Promo, Bird Marketing</v>
      </c>
      <c r="L585" s="187">
        <f>IFERROR(__xludf.DUMMYFUNCTION("""COMPUTED_VALUE"""),38.0)</f>
        <v>38</v>
      </c>
      <c r="M585" s="188">
        <f>IFERROR(__xludf.DUMMYFUNCTION("""COMPUTED_VALUE"""),0.04)</f>
        <v>0.04</v>
      </c>
      <c r="N585" s="188">
        <f>IFERROR(__xludf.DUMMYFUNCTION("""COMPUTED_VALUE"""),0.61)</f>
        <v>0.61</v>
      </c>
      <c r="O585" s="208"/>
      <c r="P585" s="208"/>
      <c r="Q585" s="208"/>
      <c r="R585" s="208"/>
    </row>
    <row r="586">
      <c r="A586" s="185" t="str">
        <f>IFERROR(__xludf.DUMMYFUNCTION("""COMPUTED_VALUE"""),"Agency directory / review marketplace")</f>
        <v>Agency directory / review marketplace</v>
      </c>
      <c r="B586" s="186" t="str">
        <f>IFERROR(__xludf.DUMMYFUNCTION("""COMPUTED_VALUE"""),"https://digitalagencynetwork.com/agencies/london/ai-marketing/")</f>
        <v>https://digitalagencynetwork.com/agencies/london/ai-marketing/</v>
      </c>
      <c r="C586" s="185" t="str">
        <f>IFERROR(__xludf.DUMMYFUNCTION("""COMPUTED_VALUE"""),"Top AI Marketing Agencies in London (2026)")</f>
        <v>Top AI Marketing Agencies in London (2026)</v>
      </c>
      <c r="D586" s="185" t="str">
        <f>IFERROR(__xludf.DUMMYFUNCTION("""COMPUTED_VALUE"""),"UK")</f>
        <v>UK</v>
      </c>
      <c r="E586" s="185" t="str">
        <f>IFERROR(__xludf.DUMMYFUNCTION("""COMPUTED_VALUE"""),"digitalagencynetwork.com")</f>
        <v>digitalagencynetwork.com</v>
      </c>
      <c r="F586" s="185" t="str">
        <f>IFERROR(__xludf.DUMMYFUNCTION("""COMPUTED_VALUE"""),"Category Page")</f>
        <v>Category Page</v>
      </c>
      <c r="G586" s="185" t="str">
        <f>IFERROR(__xludf.DUMMYFUNCTION("""COMPUTED_VALUE"""),"REFERENCE")</f>
        <v>REFERENCE</v>
      </c>
      <c r="H586" s="185" t="str">
        <f>IFERROR(__xludf.DUMMYFUNCTION("""COMPUTED_VALUE"""),"No")</f>
        <v>No</v>
      </c>
      <c r="I586" s="185" t="str">
        <f>IFERROR(__xludf.DUMMYFUNCTION("""COMPUTED_VALUE"""),"Medium")</f>
        <v>Medium</v>
      </c>
      <c r="J586" s="185" t="str">
        <f>IFERROR(__xludf.DUMMYFUNCTION("""COMPUTED_VALUE"""),"Yes")</f>
        <v>Yes</v>
      </c>
      <c r="K586" s="185" t="str">
        <f>IFERROR(__xludf.DUMMYFUNCTION("""COMPUTED_VALUE"""),"Favoured, Propeller, FirstMotion, Ninja Promo, Bird Marketing, Found, Make Agency, ROAST, GA Agency")</f>
        <v>Favoured, Propeller, FirstMotion, Ninja Promo, Bird Marketing, Found, Make Agency, ROAST, GA Agency</v>
      </c>
      <c r="L586" s="187">
        <f>IFERROR(__xludf.DUMMYFUNCTION("""COMPUTED_VALUE"""),32.0)</f>
        <v>32</v>
      </c>
      <c r="M586" s="188">
        <f>IFERROR(__xludf.DUMMYFUNCTION("""COMPUTED_VALUE"""),0.03)</f>
        <v>0.03</v>
      </c>
      <c r="N586" s="188">
        <f>IFERROR(__xludf.DUMMYFUNCTION("""COMPUTED_VALUE"""),0.31)</f>
        <v>0.31</v>
      </c>
      <c r="O586" s="208"/>
      <c r="P586" s="208"/>
      <c r="Q586" s="208"/>
      <c r="R586" s="208"/>
    </row>
    <row r="587">
      <c r="A587" s="185" t="str">
        <f>IFERROR(__xludf.DUMMYFUNCTION("""COMPUTED_VALUE"""),"Agency directory / review marketplace")</f>
        <v>Agency directory / review marketplace</v>
      </c>
      <c r="B587" s="186" t="str">
        <f>IFERROR(__xludf.DUMMYFUNCTION("""COMPUTED_VALUE"""),"https://www.designrush.com/agency/creative-agencies/uk")</f>
        <v>https://www.designrush.com/agency/creative-agencies/uk</v>
      </c>
      <c r="C587" s="185" t="str">
        <f>IFERROR(__xludf.DUMMYFUNCTION("""COMPUTED_VALUE"""),"Top Creative Agencies in the United Kingdom | 2026")</f>
        <v>Top Creative Agencies in the United Kingdom | 2026</v>
      </c>
      <c r="D587" s="185" t="str">
        <f>IFERROR(__xludf.DUMMYFUNCTION("""COMPUTED_VALUE"""),"UK")</f>
        <v>UK</v>
      </c>
      <c r="E587" s="185" t="str">
        <f>IFERROR(__xludf.DUMMYFUNCTION("""COMPUTED_VALUE"""),"designrush.com")</f>
        <v>designrush.com</v>
      </c>
      <c r="F587" s="185" t="str">
        <f>IFERROR(__xludf.DUMMYFUNCTION("""COMPUTED_VALUE"""),"Category Page")</f>
        <v>Category Page</v>
      </c>
      <c r="G587" s="185" t="str">
        <f>IFERROR(__xludf.DUMMYFUNCTION("""COMPUTED_VALUE"""),"CORPORATE")</f>
        <v>CORPORATE</v>
      </c>
      <c r="H587" s="185" t="str">
        <f>IFERROR(__xludf.DUMMYFUNCTION("""COMPUTED_VALUE"""),"No")</f>
        <v>No</v>
      </c>
      <c r="I587" s="185" t="str">
        <f>IFERROR(__xludf.DUMMYFUNCTION("""COMPUTED_VALUE"""),"Medium")</f>
        <v>Medium</v>
      </c>
      <c r="J587" s="185" t="str">
        <f>IFERROR(__xludf.DUMMYFUNCTION("""COMPUTED_VALUE"""),"Yes")</f>
        <v>Yes</v>
      </c>
      <c r="K587" s="185" t="str">
        <f>IFERROR(__xludf.DUMMYFUNCTION("""COMPUTED_VALUE"""),"Huge, Directive Consulting")</f>
        <v>Huge, Directive Consulting</v>
      </c>
      <c r="L587" s="187">
        <f>IFERROR(__xludf.DUMMYFUNCTION("""COMPUTED_VALUE"""),31.0)</f>
        <v>31</v>
      </c>
      <c r="M587" s="188">
        <f>IFERROR(__xludf.DUMMYFUNCTION("""COMPUTED_VALUE"""),0.03)</f>
        <v>0.03</v>
      </c>
      <c r="N587" s="188">
        <f>IFERROR(__xludf.DUMMYFUNCTION("""COMPUTED_VALUE"""),0.03)</f>
        <v>0.03</v>
      </c>
      <c r="O587" s="208"/>
      <c r="P587" s="208"/>
      <c r="Q587" s="208"/>
      <c r="R587" s="208"/>
    </row>
    <row r="588">
      <c r="A588" s="185" t="str">
        <f>IFERROR(__xludf.DUMMYFUNCTION("""COMPUTED_VALUE"""),"Agency directory / review marketplace")</f>
        <v>Agency directory / review marketplace</v>
      </c>
      <c r="B588" s="186" t="str">
        <f>IFERROR(__xludf.DUMMYFUNCTION("""COMPUTED_VALUE"""),"https://www.sortlist.co.uk/s/marketing-analytics/london-england-gb")</f>
        <v>https://www.sortlist.co.uk/s/marketing-analytics/london-england-gb</v>
      </c>
      <c r="C588" s="185" t="str">
        <f>IFERROR(__xludf.DUMMYFUNCTION("""COMPUTED_VALUE"""),"The 10 Best Marketing Analytics Companies in London - 2026 Reviews")</f>
        <v>The 10 Best Marketing Analytics Companies in London - 2026 Reviews</v>
      </c>
      <c r="D588" s="185" t="str">
        <f>IFERROR(__xludf.DUMMYFUNCTION("""COMPUTED_VALUE"""),"UK")</f>
        <v>UK</v>
      </c>
      <c r="E588" s="185" t="str">
        <f>IFERROR(__xludf.DUMMYFUNCTION("""COMPUTED_VALUE"""),"sortlist.co.uk")</f>
        <v>sortlist.co.uk</v>
      </c>
      <c r="F588" s="185" t="str">
        <f>IFERROR(__xludf.DUMMYFUNCTION("""COMPUTED_VALUE"""),"Listicle")</f>
        <v>Listicle</v>
      </c>
      <c r="G588" s="185" t="str">
        <f>IFERROR(__xludf.DUMMYFUNCTION("""COMPUTED_VALUE"""),"REFERENCE")</f>
        <v>REFERENCE</v>
      </c>
      <c r="H588" s="185" t="str">
        <f>IFERROR(__xludf.DUMMYFUNCTION("""COMPUTED_VALUE"""),"No")</f>
        <v>No</v>
      </c>
      <c r="I588" s="185" t="str">
        <f>IFERROR(__xludf.DUMMYFUNCTION("""COMPUTED_VALUE"""),"Medium")</f>
        <v>Medium</v>
      </c>
      <c r="J588" s="185" t="str">
        <f>IFERROR(__xludf.DUMMYFUNCTION("""COMPUTED_VALUE"""),"Yes")</f>
        <v>Yes</v>
      </c>
      <c r="K588" s="185" t="str">
        <f>IFERROR(__xludf.DUMMYFUNCTION("""COMPUTED_VALUE"""),"Momentum, M3.agency, Whitehat, McKinsey &amp; Company, Found")</f>
        <v>Momentum, M3.agency, Whitehat, McKinsey &amp; Company, Found</v>
      </c>
      <c r="L588" s="187">
        <f>IFERROR(__xludf.DUMMYFUNCTION("""COMPUTED_VALUE"""),31.0)</f>
        <v>31</v>
      </c>
      <c r="M588" s="188">
        <f>IFERROR(__xludf.DUMMYFUNCTION("""COMPUTED_VALUE"""),0.03)</f>
        <v>0.03</v>
      </c>
      <c r="N588" s="188">
        <f>IFERROR(__xludf.DUMMYFUNCTION("""COMPUTED_VALUE"""),0.1)</f>
        <v>0.1</v>
      </c>
      <c r="O588" s="208"/>
      <c r="P588" s="208"/>
      <c r="Q588" s="208"/>
      <c r="R588" s="208"/>
    </row>
    <row r="589">
      <c r="A589" s="185" t="str">
        <f>IFERROR(__xludf.DUMMYFUNCTION("""COMPUTED_VALUE"""),"Lower-priority competitor/vendor roundup")</f>
        <v>Lower-priority competitor/vendor roundup</v>
      </c>
      <c r="B589" s="186" t="str">
        <f>IFERROR(__xludf.DUMMYFUNCTION("""COMPUTED_VALUE"""),"https://bind.media/insights/top-9-paid-social-agencies-in-the-uk-2025")</f>
        <v>https://bind.media/insights/top-9-paid-social-agencies-in-the-uk-2025</v>
      </c>
      <c r="C589" s="185" t="str">
        <f>IFERROR(__xludf.DUMMYFUNCTION("""COMPUTED_VALUE"""),"Top 9 Paid Social Agencies in the UK [2025]")</f>
        <v>Top 9 Paid Social Agencies in the UK [2025]</v>
      </c>
      <c r="D589" s="185" t="str">
        <f>IFERROR(__xludf.DUMMYFUNCTION("""COMPUTED_VALUE"""),"UK")</f>
        <v>UK</v>
      </c>
      <c r="E589" s="185" t="str">
        <f>IFERROR(__xludf.DUMMYFUNCTION("""COMPUTED_VALUE"""),"bind.media")</f>
        <v>bind.media</v>
      </c>
      <c r="F589" s="185" t="str">
        <f>IFERROR(__xludf.DUMMYFUNCTION("""COMPUTED_VALUE"""),"Listicle")</f>
        <v>Listicle</v>
      </c>
      <c r="G589" s="185" t="str">
        <f>IFERROR(__xludf.DUMMYFUNCTION("""COMPUTED_VALUE"""),"COMPETITOR")</f>
        <v>COMPETITOR</v>
      </c>
      <c r="H589" s="185" t="str">
        <f>IFERROR(__xludf.DUMMYFUNCTION("""COMPUTED_VALUE"""),"No")</f>
        <v>No</v>
      </c>
      <c r="I589" s="185" t="str">
        <f>IFERROR(__xludf.DUMMYFUNCTION("""COMPUTED_VALUE"""),"Low")</f>
        <v>Low</v>
      </c>
      <c r="J589" s="185" t="str">
        <f>IFERROR(__xludf.DUMMYFUNCTION("""COMPUTED_VALUE"""),"Secondary")</f>
        <v>Secondary</v>
      </c>
      <c r="K589" s="185" t="str">
        <f>IFERROR(__xludf.DUMMYFUNCTION("""COMPUTED_VALUE"""),"Bind Media, Measured, Hallam, We Are Social, The Social Shepherd, Croud, The Good Marketer")</f>
        <v>Bind Media, Measured, Hallam, We Are Social, The Social Shepherd, Croud, The Good Marketer</v>
      </c>
      <c r="L589" s="187">
        <f>IFERROR(__xludf.DUMMYFUNCTION("""COMPUTED_VALUE"""),30.0)</f>
        <v>30</v>
      </c>
      <c r="M589" s="188">
        <f>IFERROR(__xludf.DUMMYFUNCTION("""COMPUTED_VALUE"""),0.03)</f>
        <v>0.03</v>
      </c>
      <c r="N589" s="188">
        <f>IFERROR(__xludf.DUMMYFUNCTION("""COMPUTED_VALUE"""),1.8)</f>
        <v>1.8</v>
      </c>
      <c r="O589" s="208"/>
      <c r="P589" s="208"/>
      <c r="Q589" s="208"/>
      <c r="R589" s="208"/>
    </row>
    <row r="590">
      <c r="A590" s="185" t="str">
        <f>IFERROR(__xludf.DUMMYFUNCTION("""COMPUTED_VALUE"""),"Agency directory / review marketplace")</f>
        <v>Agency directory / review marketplace</v>
      </c>
      <c r="B590" s="186" t="str">
        <f>IFERROR(__xludf.DUMMYFUNCTION("""COMPUTED_VALUE"""),"https://digitalagencynetwork.com/agencies/london/")</f>
        <v>https://digitalagencynetwork.com/agencies/london/</v>
      </c>
      <c r="C590" s="185" t="str">
        <f>IFERROR(__xludf.DUMMYFUNCTION("""COMPUTED_VALUE"""),"Best Digital Marketing Agencies in London (2026)")</f>
        <v>Best Digital Marketing Agencies in London (2026)</v>
      </c>
      <c r="D590" s="185" t="str">
        <f>IFERROR(__xludf.DUMMYFUNCTION("""COMPUTED_VALUE"""),"UK")</f>
        <v>UK</v>
      </c>
      <c r="E590" s="185" t="str">
        <f>IFERROR(__xludf.DUMMYFUNCTION("""COMPUTED_VALUE"""),"digitalagencynetwork.com")</f>
        <v>digitalagencynetwork.com</v>
      </c>
      <c r="F590" s="185" t="str">
        <f>IFERROR(__xludf.DUMMYFUNCTION("""COMPUTED_VALUE"""),"Category Page")</f>
        <v>Category Page</v>
      </c>
      <c r="G590" s="185" t="str">
        <f>IFERROR(__xludf.DUMMYFUNCTION("""COMPUTED_VALUE"""),"REFERENCE")</f>
        <v>REFERENCE</v>
      </c>
      <c r="H590" s="185" t="str">
        <f>IFERROR(__xludf.DUMMYFUNCTION("""COMPUTED_VALUE"""),"No")</f>
        <v>No</v>
      </c>
      <c r="I590" s="185" t="str">
        <f>IFERROR(__xludf.DUMMYFUNCTION("""COMPUTED_VALUE"""),"Medium")</f>
        <v>Medium</v>
      </c>
      <c r="J590" s="185" t="str">
        <f>IFERROR(__xludf.DUMMYFUNCTION("""COMPUTED_VALUE"""),"Yes")</f>
        <v>Yes</v>
      </c>
      <c r="K590" s="185" t="str">
        <f>IFERROR(__xludf.DUMMYFUNCTION("""COMPUTED_VALUE"""),"Favoured, Hallam, Propeller, Make Agency, Bird Marketing, FirstMotion, Impression, GA Agency, Push, Ninja Promo, ROAST, Found, Passion Digital")</f>
        <v>Favoured, Hallam, Propeller, Make Agency, Bird Marketing, FirstMotion, Impression, GA Agency, Push, Ninja Promo, ROAST, Found, Passion Digital</v>
      </c>
      <c r="L590" s="187">
        <f>IFERROR(__xludf.DUMMYFUNCTION("""COMPUTED_VALUE"""),28.0)</f>
        <v>28</v>
      </c>
      <c r="M590" s="188">
        <f>IFERROR(__xludf.DUMMYFUNCTION("""COMPUTED_VALUE"""),0.03)</f>
        <v>0.03</v>
      </c>
      <c r="N590" s="188">
        <f>IFERROR(__xludf.DUMMYFUNCTION("""COMPUTED_VALUE"""),0.29)</f>
        <v>0.29</v>
      </c>
      <c r="O590" s="208"/>
      <c r="P590" s="208"/>
      <c r="Q590" s="208"/>
      <c r="R590" s="208"/>
    </row>
    <row r="591">
      <c r="A591" s="185" t="str">
        <f>IFERROR(__xludf.DUMMYFUNCTION("""COMPUTED_VALUE"""),"Lower-priority competitor/vendor roundup")</f>
        <v>Lower-priority competitor/vendor roundup</v>
      </c>
      <c r="B591" s="186" t="str">
        <f>IFERROR(__xludf.DUMMYFUNCTION("""COMPUTED_VALUE"""),"https://www.cometly.com/post/marketing-incrementality-testing-tools")</f>
        <v>https://www.cometly.com/post/marketing-incrementality-testing-tools</v>
      </c>
      <c r="C591" s="185" t="str">
        <f>IFERROR(__xludf.DUMMYFUNCTION("""COMPUTED_VALUE"""),"9 Best Marketing Incrementality Testing Tools 2026")</f>
        <v>9 Best Marketing Incrementality Testing Tools 2026</v>
      </c>
      <c r="D591" s="185" t="str">
        <f>IFERROR(__xludf.DUMMYFUNCTION("""COMPUTED_VALUE"""),"UK")</f>
        <v>UK</v>
      </c>
      <c r="E591" s="185" t="str">
        <f>IFERROR(__xludf.DUMMYFUNCTION("""COMPUTED_VALUE"""),"cometly.com")</f>
        <v>cometly.com</v>
      </c>
      <c r="F591" s="185" t="str">
        <f>IFERROR(__xludf.DUMMYFUNCTION("""COMPUTED_VALUE"""),"Listicle")</f>
        <v>Listicle</v>
      </c>
      <c r="G591" s="185" t="str">
        <f>IFERROR(__xludf.DUMMYFUNCTION("""COMPUTED_VALUE"""),"COMPETITOR")</f>
        <v>COMPETITOR</v>
      </c>
      <c r="H591" s="185" t="str">
        <f>IFERROR(__xludf.DUMMYFUNCTION("""COMPUTED_VALUE"""),"No")</f>
        <v>No</v>
      </c>
      <c r="I591" s="185" t="str">
        <f>IFERROR(__xludf.DUMMYFUNCTION("""COMPUTED_VALUE"""),"Low")</f>
        <v>Low</v>
      </c>
      <c r="J591" s="185" t="str">
        <f>IFERROR(__xludf.DUMMYFUNCTION("""COMPUTED_VALUE"""),"Secondary")</f>
        <v>Secondary</v>
      </c>
      <c r="K591" s="185" t="str">
        <f>IFERROR(__xludf.DUMMYFUNCTION("""COMPUTED_VALUE"""),"Cometly, Measured, Rockerbox, Northbeam, Haus, Recast, Impression")</f>
        <v>Cometly, Measured, Rockerbox, Northbeam, Haus, Recast, Impression</v>
      </c>
      <c r="L591" s="187">
        <f>IFERROR(__xludf.DUMMYFUNCTION("""COMPUTED_VALUE"""),27.0)</f>
        <v>27</v>
      </c>
      <c r="M591" s="188">
        <f>IFERROR(__xludf.DUMMYFUNCTION("""COMPUTED_VALUE"""),0.03)</f>
        <v>0.03</v>
      </c>
      <c r="N591" s="188">
        <f>IFERROR(__xludf.DUMMYFUNCTION("""COMPUTED_VALUE"""),1.04)</f>
        <v>1.04</v>
      </c>
      <c r="O591" s="208"/>
      <c r="P591" s="208"/>
      <c r="Q591" s="208"/>
      <c r="R591" s="208"/>
    </row>
    <row r="592">
      <c r="A592" s="185" t="str">
        <f>IFERROR(__xludf.DUMMYFUNCTION("""COMPUTED_VALUE"""),"Agency directory / review marketplace")</f>
        <v>Agency directory / review marketplace</v>
      </c>
      <c r="B592" s="186" t="str">
        <f>IFERROR(__xludf.DUMMYFUNCTION("""COMPUTED_VALUE"""),"https://digitalagencynetwork.com/agencies/uk/")</f>
        <v>https://digitalagencynetwork.com/agencies/uk/</v>
      </c>
      <c r="C592" s="185" t="str">
        <f>IFERROR(__xludf.DUMMYFUNCTION("""COMPUTED_VALUE"""),"Best Digital Marketing Agencies in the UK | Digital Agency Network")</f>
        <v>Best Digital Marketing Agencies in the UK | Digital Agency Network</v>
      </c>
      <c r="D592" s="185" t="str">
        <f>IFERROR(__xludf.DUMMYFUNCTION("""COMPUTED_VALUE"""),"UK")</f>
        <v>UK</v>
      </c>
      <c r="E592" s="185" t="str">
        <f>IFERROR(__xludf.DUMMYFUNCTION("""COMPUTED_VALUE"""),"digitalagencynetwork.com")</f>
        <v>digitalagencynetwork.com</v>
      </c>
      <c r="F592" s="185" t="str">
        <f>IFERROR(__xludf.DUMMYFUNCTION("""COMPUTED_VALUE"""),"Category Page")</f>
        <v>Category Page</v>
      </c>
      <c r="G592" s="185" t="str">
        <f>IFERROR(__xludf.DUMMYFUNCTION("""COMPUTED_VALUE"""),"REFERENCE")</f>
        <v>REFERENCE</v>
      </c>
      <c r="H592" s="185" t="str">
        <f>IFERROR(__xludf.DUMMYFUNCTION("""COMPUTED_VALUE"""),"No")</f>
        <v>No</v>
      </c>
      <c r="I592" s="185" t="str">
        <f>IFERROR(__xludf.DUMMYFUNCTION("""COMPUTED_VALUE"""),"Medium")</f>
        <v>Medium</v>
      </c>
      <c r="J592" s="185" t="str">
        <f>IFERROR(__xludf.DUMMYFUNCTION("""COMPUTED_VALUE"""),"Yes")</f>
        <v>Yes</v>
      </c>
      <c r="K592" s="185" t="str">
        <f>IFERROR(__xludf.DUMMYFUNCTION("""COMPUTED_VALUE"""),"Favoured, Propeller, FirstMotion, The SEO Works, Hallam, Anicca Digital, ROAST, Found, Make Agency, Ninja Promo, Bird Marketing, Push, M3.agency, GA Agency")</f>
        <v>Favoured, Propeller, FirstMotion, The SEO Works, Hallam, Anicca Digital, ROAST, Found, Make Agency, Ninja Promo, Bird Marketing, Push, M3.agency, GA Agency</v>
      </c>
      <c r="L592" s="187">
        <f>IFERROR(__xludf.DUMMYFUNCTION("""COMPUTED_VALUE"""),27.0)</f>
        <v>27</v>
      </c>
      <c r="M592" s="188">
        <f>IFERROR(__xludf.DUMMYFUNCTION("""COMPUTED_VALUE"""),0.03)</f>
        <v>0.03</v>
      </c>
      <c r="N592" s="188">
        <f>IFERROR(__xludf.DUMMYFUNCTION("""COMPUTED_VALUE"""),0.37)</f>
        <v>0.37</v>
      </c>
      <c r="O592" s="208"/>
      <c r="P592" s="208"/>
      <c r="Q592" s="208"/>
      <c r="R592" s="208"/>
    </row>
    <row r="593">
      <c r="A593" s="185" t="str">
        <f>IFERROR(__xludf.DUMMYFUNCTION("""COMPUTED_VALUE"""),"Agency directory / review marketplace")</f>
        <v>Agency directory / review marketplace</v>
      </c>
      <c r="B593" s="186" t="str">
        <f>IFERROR(__xludf.DUMMYFUNCTION("""COMPUTED_VALUE"""),"https://www.sortlist.co.uk/s/paid-media/london-england-gb")</f>
        <v>https://www.sortlist.co.uk/s/paid-media/london-england-gb</v>
      </c>
      <c r="C593" s="185" t="str">
        <f>IFERROR(__xludf.DUMMYFUNCTION("""COMPUTED_VALUE"""),"The 10 Best Paid Media Agencies in London - 2026 Reviews")</f>
        <v>The 10 Best Paid Media Agencies in London - 2026 Reviews</v>
      </c>
      <c r="D593" s="185" t="str">
        <f>IFERROR(__xludf.DUMMYFUNCTION("""COMPUTED_VALUE"""),"UK")</f>
        <v>UK</v>
      </c>
      <c r="E593" s="185" t="str">
        <f>IFERROR(__xludf.DUMMYFUNCTION("""COMPUTED_VALUE"""),"sortlist.co.uk")</f>
        <v>sortlist.co.uk</v>
      </c>
      <c r="F593" s="185" t="str">
        <f>IFERROR(__xludf.DUMMYFUNCTION("""COMPUTED_VALUE"""),"Category Page")</f>
        <v>Category Page</v>
      </c>
      <c r="G593" s="185" t="str">
        <f>IFERROR(__xludf.DUMMYFUNCTION("""COMPUTED_VALUE"""),"REFERENCE")</f>
        <v>REFERENCE</v>
      </c>
      <c r="H593" s="185" t="str">
        <f>IFERROR(__xludf.DUMMYFUNCTION("""COMPUTED_VALUE"""),"No")</f>
        <v>No</v>
      </c>
      <c r="I593" s="185" t="str">
        <f>IFERROR(__xludf.DUMMYFUNCTION("""COMPUTED_VALUE"""),"Medium")</f>
        <v>Medium</v>
      </c>
      <c r="J593" s="185" t="str">
        <f>IFERROR(__xludf.DUMMYFUNCTION("""COMPUTED_VALUE"""),"Yes")</f>
        <v>Yes</v>
      </c>
      <c r="K593" s="185" t="str">
        <f>IFERROR(__xludf.DUMMYFUNCTION("""COMPUTED_VALUE"""),"Push, Triple Whale, Northbeam, Whitehat, Found")</f>
        <v>Push, Triple Whale, Northbeam, Whitehat, Found</v>
      </c>
      <c r="L593" s="187">
        <f>IFERROR(__xludf.DUMMYFUNCTION("""COMPUTED_VALUE"""),27.0)</f>
        <v>27</v>
      </c>
      <c r="M593" s="188">
        <f>IFERROR(__xludf.DUMMYFUNCTION("""COMPUTED_VALUE"""),0.03)</f>
        <v>0.03</v>
      </c>
      <c r="N593" s="188">
        <f>IFERROR(__xludf.DUMMYFUNCTION("""COMPUTED_VALUE"""),0.26)</f>
        <v>0.26</v>
      </c>
      <c r="O593" s="208"/>
      <c r="P593" s="208"/>
      <c r="Q593" s="208"/>
      <c r="R593" s="208"/>
    </row>
    <row r="594">
      <c r="A594" s="185" t="str">
        <f>IFERROR(__xludf.DUMMYFUNCTION("""COMPUTED_VALUE"""),"Agency directory / review marketplace")</f>
        <v>Agency directory / review marketplace</v>
      </c>
      <c r="B594" s="186" t="str">
        <f>IFERROR(__xludf.DUMMYFUNCTION("""COMPUTED_VALUE"""),"https://clutch.co/agencies/creative/uk")</f>
        <v>https://clutch.co/agencies/creative/uk</v>
      </c>
      <c r="C594" s="185" t="str">
        <f>IFERROR(__xludf.DUMMYFUNCTION("""COMPUTED_VALUE"""),"Top Creative Agencies in the United Kingdom - Jul 2026 Rankings | Clutch.co")</f>
        <v>Top Creative Agencies in the United Kingdom - Jul 2026 Rankings | Clutch.co</v>
      </c>
      <c r="D594" s="185" t="str">
        <f>IFERROR(__xludf.DUMMYFUNCTION("""COMPUTED_VALUE"""),"UK")</f>
        <v>UK</v>
      </c>
      <c r="E594" s="185" t="str">
        <f>IFERROR(__xludf.DUMMYFUNCTION("""COMPUTED_VALUE"""),"clutch.co")</f>
        <v>clutch.co</v>
      </c>
      <c r="F594" s="185" t="str">
        <f>IFERROR(__xludf.DUMMYFUNCTION("""COMPUTED_VALUE"""),"Category Page")</f>
        <v>Category Page</v>
      </c>
      <c r="G594" s="185" t="str">
        <f>IFERROR(__xludf.DUMMYFUNCTION("""COMPUTED_VALUE"""),"CORPORATE")</f>
        <v>CORPORATE</v>
      </c>
      <c r="H594" s="185" t="str">
        <f>IFERROR(__xludf.DUMMYFUNCTION("""COMPUTED_VALUE"""),"No")</f>
        <v>No</v>
      </c>
      <c r="I594" s="185" t="str">
        <f>IFERROR(__xludf.DUMMYFUNCTION("""COMPUTED_VALUE"""),"Medium")</f>
        <v>Medium</v>
      </c>
      <c r="J594" s="185" t="str">
        <f>IFERROR(__xludf.DUMMYFUNCTION("""COMPUTED_VALUE"""),"Yes")</f>
        <v>Yes</v>
      </c>
      <c r="K594" s="185" t="str">
        <f>IFERROR(__xludf.DUMMYFUNCTION("""COMPUTED_VALUE"""),"Polaris, Chello, Favoured, Make Agency")</f>
        <v>Polaris, Chello, Favoured, Make Agency</v>
      </c>
      <c r="L594" s="187">
        <f>IFERROR(__xludf.DUMMYFUNCTION("""COMPUTED_VALUE"""),26.0)</f>
        <v>26</v>
      </c>
      <c r="M594" s="188">
        <f>IFERROR(__xludf.DUMMYFUNCTION("""COMPUTED_VALUE"""),0.03)</f>
        <v>0.03</v>
      </c>
      <c r="N594" s="188">
        <f>IFERROR(__xludf.DUMMYFUNCTION("""COMPUTED_VALUE"""),0.31)</f>
        <v>0.31</v>
      </c>
      <c r="O594" s="208"/>
      <c r="P594" s="208"/>
      <c r="Q594" s="208"/>
      <c r="R594" s="208"/>
    </row>
    <row r="595">
      <c r="A595" s="185" t="str">
        <f>IFERROR(__xludf.DUMMYFUNCTION("""COMPUTED_VALUE"""),"Industry data / software authority")</f>
        <v>Industry data / software authority</v>
      </c>
      <c r="B595" s="186" t="str">
        <f>IFERROR(__xludf.DUMMYFUNCTION("""COMPUTED_VALUE"""),"https://agencies.semrush.com/list/ai-optimization/london-city/")</f>
        <v>https://agencies.semrush.com/list/ai-optimization/london-city/</v>
      </c>
      <c r="C595" s="185" t="str">
        <f>IFERROR(__xludf.DUMMYFUNCTION("""COMPUTED_VALUE"""),"Best AI Search Optimization Agencies in London 2026 | Semrush")</f>
        <v>Best AI Search Optimization Agencies in London 2026 | Semrush</v>
      </c>
      <c r="D595" s="185" t="str">
        <f>IFERROR(__xludf.DUMMYFUNCTION("""COMPUTED_VALUE"""),"UK")</f>
        <v>UK</v>
      </c>
      <c r="E595" s="185" t="str">
        <f>IFERROR(__xludf.DUMMYFUNCTION("""COMPUTED_VALUE"""),"semrush.com")</f>
        <v>semrush.com</v>
      </c>
      <c r="F595" s="185" t="str">
        <f>IFERROR(__xludf.DUMMYFUNCTION("""COMPUTED_VALUE"""),"Category Page")</f>
        <v>Category Page</v>
      </c>
      <c r="G595" s="185" t="str">
        <f>IFERROR(__xludf.DUMMYFUNCTION("""COMPUTED_VALUE"""),"CORPORATE")</f>
        <v>CORPORATE</v>
      </c>
      <c r="H595" s="185" t="str">
        <f>IFERROR(__xludf.DUMMYFUNCTION("""COMPUTED_VALUE"""),"No")</f>
        <v>No</v>
      </c>
      <c r="I595" s="185" t="str">
        <f>IFERROR(__xludf.DUMMYFUNCTION("""COMPUTED_VALUE"""),"Medium")</f>
        <v>Medium</v>
      </c>
      <c r="J595" s="185" t="str">
        <f>IFERROR(__xludf.DUMMYFUNCTION("""COMPUTED_VALUE"""),"Yes")</f>
        <v>Yes</v>
      </c>
      <c r="K595" s="185" t="str">
        <f>IFERROR(__xludf.DUMMYFUNCTION("""COMPUTED_VALUE"""),"Found, Measured, Passion Digital, The SEO Works, Gravity Global, ROAST")</f>
        <v>Found, Measured, Passion Digital, The SEO Works, Gravity Global, ROAST</v>
      </c>
      <c r="L595" s="187">
        <f>IFERROR(__xludf.DUMMYFUNCTION("""COMPUTED_VALUE"""),25.0)</f>
        <v>25</v>
      </c>
      <c r="M595" s="188">
        <f>IFERROR(__xludf.DUMMYFUNCTION("""COMPUTED_VALUE"""),0.02)</f>
        <v>0.02</v>
      </c>
      <c r="N595" s="188">
        <f>IFERROR(__xludf.DUMMYFUNCTION("""COMPUTED_VALUE"""),0.16)</f>
        <v>0.16</v>
      </c>
      <c r="O595" s="208"/>
      <c r="P595" s="208"/>
      <c r="Q595" s="208"/>
      <c r="R595" s="208"/>
    </row>
    <row r="596">
      <c r="A596" s="185" t="str">
        <f>IFERROR(__xludf.DUMMYFUNCTION("""COMPUTED_VALUE"""),"Industry data / software authority")</f>
        <v>Industry data / software authority</v>
      </c>
      <c r="B596" s="186" t="str">
        <f>IFERROR(__xludf.DUMMYFUNCTION("""COMPUTED_VALUE"""),"https://agencies.semrush.com/list/ai-optimization/united-kingdom/")</f>
        <v>https://agencies.semrush.com/list/ai-optimization/united-kingdom/</v>
      </c>
      <c r="C596" s="185" t="str">
        <f>IFERROR(__xludf.DUMMYFUNCTION("""COMPUTED_VALUE"""),"Best AI Search Optimization Agencies in United Kingdom 2026 | Semrush")</f>
        <v>Best AI Search Optimization Agencies in United Kingdom 2026 | Semrush</v>
      </c>
      <c r="D596" s="185" t="str">
        <f>IFERROR(__xludf.DUMMYFUNCTION("""COMPUTED_VALUE"""),"UK")</f>
        <v>UK</v>
      </c>
      <c r="E596" s="185" t="str">
        <f>IFERROR(__xludf.DUMMYFUNCTION("""COMPUTED_VALUE"""),"semrush.com")</f>
        <v>semrush.com</v>
      </c>
      <c r="F596" s="185" t="str">
        <f>IFERROR(__xludf.DUMMYFUNCTION("""COMPUTED_VALUE"""),"Category Page")</f>
        <v>Category Page</v>
      </c>
      <c r="G596" s="185" t="str">
        <f>IFERROR(__xludf.DUMMYFUNCTION("""COMPUTED_VALUE"""),"CORPORATE")</f>
        <v>CORPORATE</v>
      </c>
      <c r="H596" s="185" t="str">
        <f>IFERROR(__xludf.DUMMYFUNCTION("""COMPUTED_VALUE"""),"No")</f>
        <v>No</v>
      </c>
      <c r="I596" s="185" t="str">
        <f>IFERROR(__xludf.DUMMYFUNCTION("""COMPUTED_VALUE"""),"Medium")</f>
        <v>Medium</v>
      </c>
      <c r="J596" s="185" t="str">
        <f>IFERROR(__xludf.DUMMYFUNCTION("""COMPUTED_VALUE"""),"Yes")</f>
        <v>Yes</v>
      </c>
      <c r="K596" s="185" t="str">
        <f>IFERROR(__xludf.DUMMYFUNCTION("""COMPUTED_VALUE"""),"Found, Measured, Click Intelligence, Passion Digital, The SEO Works, Gravity Global, ROAST, Huge")</f>
        <v>Found, Measured, Click Intelligence, Passion Digital, The SEO Works, Gravity Global, ROAST, Huge</v>
      </c>
      <c r="L596" s="187">
        <f>IFERROR(__xludf.DUMMYFUNCTION("""COMPUTED_VALUE"""),25.0)</f>
        <v>25</v>
      </c>
      <c r="M596" s="188">
        <f>IFERROR(__xludf.DUMMYFUNCTION("""COMPUTED_VALUE"""),0.02)</f>
        <v>0.02</v>
      </c>
      <c r="N596" s="188">
        <f>IFERROR(__xludf.DUMMYFUNCTION("""COMPUTED_VALUE"""),0.0)</f>
        <v>0</v>
      </c>
      <c r="O596" s="208"/>
      <c r="P596" s="208"/>
      <c r="Q596" s="208"/>
      <c r="R596" s="208"/>
    </row>
    <row r="597">
      <c r="A597" s="185" t="str">
        <f>IFERROR(__xludf.DUMMYFUNCTION("""COMPUTED_VALUE"""),"Industry data / software authority")</f>
        <v>Industry data / software authority</v>
      </c>
      <c r="B597" s="186" t="str">
        <f>IFERROR(__xludf.DUMMYFUNCTION("""COMPUTED_VALUE"""),"https://agencies.semrush.com/list/display-advertising/london-city/")</f>
        <v>https://agencies.semrush.com/list/display-advertising/london-city/</v>
      </c>
      <c r="C597" s="185" t="str">
        <f>IFERROR(__xludf.DUMMYFUNCTION("""COMPUTED_VALUE"""),"Best Display Ads Agencies in London 2026 | Semrush")</f>
        <v>Best Display Ads Agencies in London 2026 | Semrush</v>
      </c>
      <c r="D597" s="185" t="str">
        <f>IFERROR(__xludf.DUMMYFUNCTION("""COMPUTED_VALUE"""),"UK")</f>
        <v>UK</v>
      </c>
      <c r="E597" s="185" t="str">
        <f>IFERROR(__xludf.DUMMYFUNCTION("""COMPUTED_VALUE"""),"semrush.com")</f>
        <v>semrush.com</v>
      </c>
      <c r="F597" s="185" t="str">
        <f>IFERROR(__xludf.DUMMYFUNCTION("""COMPUTED_VALUE"""),"Category Page")</f>
        <v>Category Page</v>
      </c>
      <c r="G597" s="185" t="str">
        <f>IFERROR(__xludf.DUMMYFUNCTION("""COMPUTED_VALUE"""),"CORPORATE")</f>
        <v>CORPORATE</v>
      </c>
      <c r="H597" s="185" t="str">
        <f>IFERROR(__xludf.DUMMYFUNCTION("""COMPUTED_VALUE"""),"No")</f>
        <v>No</v>
      </c>
      <c r="I597" s="185" t="str">
        <f>IFERROR(__xludf.DUMMYFUNCTION("""COMPUTED_VALUE"""),"Medium")</f>
        <v>Medium</v>
      </c>
      <c r="J597" s="185" t="str">
        <f>IFERROR(__xludf.DUMMYFUNCTION("""COMPUTED_VALUE"""),"Yes")</f>
        <v>Yes</v>
      </c>
      <c r="K597" s="185" t="str">
        <f>IFERROR(__xludf.DUMMYFUNCTION("""COMPUTED_VALUE"""),"Passion Digital, GA Agency, The SEO Works, ROAST, Found")</f>
        <v>Passion Digital, GA Agency, The SEO Works, ROAST, Found</v>
      </c>
      <c r="L597" s="187">
        <f>IFERROR(__xludf.DUMMYFUNCTION("""COMPUTED_VALUE"""),25.0)</f>
        <v>25</v>
      </c>
      <c r="M597" s="188">
        <f>IFERROR(__xludf.DUMMYFUNCTION("""COMPUTED_VALUE"""),0.02)</f>
        <v>0.02</v>
      </c>
      <c r="N597" s="188">
        <f>IFERROR(__xludf.DUMMYFUNCTION("""COMPUTED_VALUE"""),0.64)</f>
        <v>0.64</v>
      </c>
      <c r="O597" s="208"/>
      <c r="P597" s="208"/>
      <c r="Q597" s="208"/>
      <c r="R597" s="208"/>
    </row>
    <row r="598">
      <c r="A598" s="185" t="str">
        <f>IFERROR(__xludf.DUMMYFUNCTION("""COMPUTED_VALUE"""),"Agency directory / review marketplace")</f>
        <v>Agency directory / review marketplace</v>
      </c>
      <c r="B598" s="186" t="str">
        <f>IFERROR(__xludf.DUMMYFUNCTION("""COMPUTED_VALUE"""),"https://digitalagencynetwork.com/agencies/uk/creative/")</f>
        <v>https://digitalagencynetwork.com/agencies/uk/creative/</v>
      </c>
      <c r="C598" s="185" t="str">
        <f>IFERROR(__xludf.DUMMYFUNCTION("""COMPUTED_VALUE"""),"Top Creative Agencies in UK (2026)")</f>
        <v>Top Creative Agencies in UK (2026)</v>
      </c>
      <c r="D598" s="185" t="str">
        <f>IFERROR(__xludf.DUMMYFUNCTION("""COMPUTED_VALUE"""),"UK")</f>
        <v>UK</v>
      </c>
      <c r="E598" s="185" t="str">
        <f>IFERROR(__xludf.DUMMYFUNCTION("""COMPUTED_VALUE"""),"digitalagencynetwork.com")</f>
        <v>digitalagencynetwork.com</v>
      </c>
      <c r="F598" s="185" t="str">
        <f>IFERROR(__xludf.DUMMYFUNCTION("""COMPUTED_VALUE"""),"Category Page")</f>
        <v>Category Page</v>
      </c>
      <c r="G598" s="185" t="str">
        <f>IFERROR(__xludf.DUMMYFUNCTION("""COMPUTED_VALUE"""),"REFERENCE")</f>
        <v>REFERENCE</v>
      </c>
      <c r="H598" s="185" t="str">
        <f>IFERROR(__xludf.DUMMYFUNCTION("""COMPUTED_VALUE"""),"No")</f>
        <v>No</v>
      </c>
      <c r="I598" s="185" t="str">
        <f>IFERROR(__xludf.DUMMYFUNCTION("""COMPUTED_VALUE"""),"Medium")</f>
        <v>Medium</v>
      </c>
      <c r="J598" s="185" t="str">
        <f>IFERROR(__xludf.DUMMYFUNCTION("""COMPUTED_VALUE"""),"Yes")</f>
        <v>Yes</v>
      </c>
      <c r="K598" s="185" t="str">
        <f>IFERROR(__xludf.DUMMYFUNCTION("""COMPUTED_VALUE"""),"Favoured, Propeller, M3.agency, Make Agency, Impression, Bird Marketing")</f>
        <v>Favoured, Propeller, M3.agency, Make Agency, Impression, Bird Marketing</v>
      </c>
      <c r="L598" s="187">
        <f>IFERROR(__xludf.DUMMYFUNCTION("""COMPUTED_VALUE"""),25.0)</f>
        <v>25</v>
      </c>
      <c r="M598" s="188">
        <f>IFERROR(__xludf.DUMMYFUNCTION("""COMPUTED_VALUE"""),0.02)</f>
        <v>0.02</v>
      </c>
      <c r="N598" s="188">
        <f>IFERROR(__xludf.DUMMYFUNCTION("""COMPUTED_VALUE"""),0.12)</f>
        <v>0.12</v>
      </c>
      <c r="O598" s="208"/>
      <c r="P598" s="208"/>
      <c r="Q598" s="208"/>
      <c r="R598" s="208"/>
    </row>
    <row r="599">
      <c r="A599" s="185" t="str">
        <f>IFERROR(__xludf.DUMMYFUNCTION("""COMPUTED_VALUE"""),"Industry data / software authority")</f>
        <v>Industry data / software authority</v>
      </c>
      <c r="B599" s="186" t="str">
        <f>IFERROR(__xludf.DUMMYFUNCTION("""COMPUTED_VALUE"""),"https://agencies.semrush.com/list/display-advertising/united-kingdom/enterprise-business/")</f>
        <v>https://agencies.semrush.com/list/display-advertising/united-kingdom/enterprise-business/</v>
      </c>
      <c r="C599" s="185" t="str">
        <f>IFERROR(__xludf.DUMMYFUNCTION("""COMPUTED_VALUE"""),"Best Display Ads Agencies for Enterprise Business in United Kingdom 2026 | Semrush")</f>
        <v>Best Display Ads Agencies for Enterprise Business in United Kingdom 2026 | Semrush</v>
      </c>
      <c r="D599" s="185" t="str">
        <f>IFERROR(__xludf.DUMMYFUNCTION("""COMPUTED_VALUE"""),"UK")</f>
        <v>UK</v>
      </c>
      <c r="E599" s="185" t="str">
        <f>IFERROR(__xludf.DUMMYFUNCTION("""COMPUTED_VALUE"""),"semrush.com")</f>
        <v>semrush.com</v>
      </c>
      <c r="F599" s="185" t="str">
        <f>IFERROR(__xludf.DUMMYFUNCTION("""COMPUTED_VALUE"""),"Other")</f>
        <v>Other</v>
      </c>
      <c r="G599" s="185" t="str">
        <f>IFERROR(__xludf.DUMMYFUNCTION("""COMPUTED_VALUE"""),"CORPORATE")</f>
        <v>CORPORATE</v>
      </c>
      <c r="H599" s="185" t="str">
        <f>IFERROR(__xludf.DUMMYFUNCTION("""COMPUTED_VALUE"""),"No")</f>
        <v>No</v>
      </c>
      <c r="I599" s="185" t="str">
        <f>IFERROR(__xludf.DUMMYFUNCTION("""COMPUTED_VALUE"""),"Medium")</f>
        <v>Medium</v>
      </c>
      <c r="J599" s="185" t="str">
        <f>IFERROR(__xludf.DUMMYFUNCTION("""COMPUTED_VALUE"""),"Yes")</f>
        <v>Yes</v>
      </c>
      <c r="K599" s="185" t="str">
        <f>IFERROR(__xludf.DUMMYFUNCTION("""COMPUTED_VALUE"""),"Found, Soap Media, GA Agency, The SEO Works, ROAST")</f>
        <v>Found, Soap Media, GA Agency, The SEO Works, ROAST</v>
      </c>
      <c r="L599" s="187">
        <f>IFERROR(__xludf.DUMMYFUNCTION("""COMPUTED_VALUE"""),23.0)</f>
        <v>23</v>
      </c>
      <c r="M599" s="188">
        <f>IFERROR(__xludf.DUMMYFUNCTION("""COMPUTED_VALUE"""),0.02)</f>
        <v>0.02</v>
      </c>
      <c r="N599" s="188">
        <f>IFERROR(__xludf.DUMMYFUNCTION("""COMPUTED_VALUE"""),0.0)</f>
        <v>0</v>
      </c>
      <c r="O599" s="208"/>
      <c r="P599" s="208"/>
      <c r="Q599" s="208"/>
      <c r="R599" s="208"/>
    </row>
    <row r="600">
      <c r="A600" s="185" t="str">
        <f>IFERROR(__xludf.DUMMYFUNCTION("""COMPUTED_VALUE"""),"Agency directory / review marketplace")</f>
        <v>Agency directory / review marketplace</v>
      </c>
      <c r="B600" s="186" t="str">
        <f>IFERROR(__xludf.DUMMYFUNCTION("""COMPUTED_VALUE"""),"https://clutch.co/agencies/ppc/uk/england")</f>
        <v>https://clutch.co/agencies/ppc/uk/england</v>
      </c>
      <c r="C600" s="185" t="str">
        <f>IFERROR(__xludf.DUMMYFUNCTION("""COMPUTED_VALUE"""),"Top PPC Agencies in England - Jul 2026 Rankings \| Clutch.co")</f>
        <v>Top PPC Agencies in England - Jul 2026 Rankings \| Clutch.co</v>
      </c>
      <c r="D600" s="185" t="str">
        <f>IFERROR(__xludf.DUMMYFUNCTION("""COMPUTED_VALUE"""),"UK")</f>
        <v>UK</v>
      </c>
      <c r="E600" s="185" t="str">
        <f>IFERROR(__xludf.DUMMYFUNCTION("""COMPUTED_VALUE"""),"clutch.co")</f>
        <v>clutch.co</v>
      </c>
      <c r="F600" s="185" t="str">
        <f>IFERROR(__xludf.DUMMYFUNCTION("""COMPUTED_VALUE"""),"Category Page")</f>
        <v>Category Page</v>
      </c>
      <c r="G600" s="185" t="str">
        <f>IFERROR(__xludf.DUMMYFUNCTION("""COMPUTED_VALUE"""),"CORPORATE")</f>
        <v>CORPORATE</v>
      </c>
      <c r="H600" s="185" t="str">
        <f>IFERROR(__xludf.DUMMYFUNCTION("""COMPUTED_VALUE"""),"No")</f>
        <v>No</v>
      </c>
      <c r="I600" s="185" t="str">
        <f>IFERROR(__xludf.DUMMYFUNCTION("""COMPUTED_VALUE"""),"Medium")</f>
        <v>Medium</v>
      </c>
      <c r="J600" s="185" t="str">
        <f>IFERROR(__xludf.DUMMYFUNCTION("""COMPUTED_VALUE"""),"Yes")</f>
        <v>Yes</v>
      </c>
      <c r="K600" s="185" t="str">
        <f>IFERROR(__xludf.DUMMYFUNCTION("""COMPUTED_VALUE"""),"Launch Online, M3.agency, ROAST, Soap Media, GA Agency, The SEO Works, Huge, Ninja Promo, Momentum, Propeller, Found")</f>
        <v>Launch Online, M3.agency, ROAST, Soap Media, GA Agency, The SEO Works, Huge, Ninja Promo, Momentum, Propeller, Found</v>
      </c>
      <c r="L600" s="187">
        <f>IFERROR(__xludf.DUMMYFUNCTION("""COMPUTED_VALUE"""),23.0)</f>
        <v>23</v>
      </c>
      <c r="M600" s="188">
        <f>IFERROR(__xludf.DUMMYFUNCTION("""COMPUTED_VALUE"""),0.02)</f>
        <v>0.02</v>
      </c>
      <c r="N600" s="188">
        <f>IFERROR(__xludf.DUMMYFUNCTION("""COMPUTED_VALUE"""),0.17)</f>
        <v>0.17</v>
      </c>
      <c r="O600" s="208"/>
      <c r="P600" s="208"/>
      <c r="Q600" s="208"/>
      <c r="R600" s="208"/>
    </row>
    <row r="601">
      <c r="A601" s="185" t="str">
        <f>IFERROR(__xludf.DUMMYFUNCTION("""COMPUTED_VALUE"""),"Agency directory / review marketplace")</f>
        <v>Agency directory / review marketplace</v>
      </c>
      <c r="B601" s="186" t="str">
        <f>IFERROR(__xludf.DUMMYFUNCTION("""COMPUTED_VALUE"""),"https://digitalagencynetwork.com/agencies/uk/geo/")</f>
        <v>https://digitalagencynetwork.com/agencies/uk/geo/</v>
      </c>
      <c r="C601" s="185" t="str">
        <f>IFERROR(__xludf.DUMMYFUNCTION("""COMPUTED_VALUE"""),"Top GEO Agencies in UK for Generative Engine Optimization (2026)")</f>
        <v>Top GEO Agencies in UK for Generative Engine Optimization (2026)</v>
      </c>
      <c r="D601" s="185" t="str">
        <f>IFERROR(__xludf.DUMMYFUNCTION("""COMPUTED_VALUE"""),"UK")</f>
        <v>UK</v>
      </c>
      <c r="E601" s="185" t="str">
        <f>IFERROR(__xludf.DUMMYFUNCTION("""COMPUTED_VALUE"""),"digitalagencynetwork.com")</f>
        <v>digitalagencynetwork.com</v>
      </c>
      <c r="F601" s="185" t="str">
        <f>IFERROR(__xludf.DUMMYFUNCTION("""COMPUTED_VALUE"""),"Profile")</f>
        <v>Profile</v>
      </c>
      <c r="G601" s="185" t="str">
        <f>IFERROR(__xludf.DUMMYFUNCTION("""COMPUTED_VALUE"""),"REFERENCE")</f>
        <v>REFERENCE</v>
      </c>
      <c r="H601" s="185" t="str">
        <f>IFERROR(__xludf.DUMMYFUNCTION("""COMPUTED_VALUE"""),"No")</f>
        <v>No</v>
      </c>
      <c r="I601" s="185" t="str">
        <f>IFERROR(__xludf.DUMMYFUNCTION("""COMPUTED_VALUE"""),"Medium")</f>
        <v>Medium</v>
      </c>
      <c r="J601" s="185" t="str">
        <f>IFERROR(__xludf.DUMMYFUNCTION("""COMPUTED_VALUE"""),"Yes")</f>
        <v>Yes</v>
      </c>
      <c r="K601" s="185" t="str">
        <f>IFERROR(__xludf.DUMMYFUNCTION("""COMPUTED_VALUE"""),"Favoured, Measured, Found, Propeller, Anicca Digital, The SEO Works, Bird Marketing, GA Agency, ROAST, FirstMotion")</f>
        <v>Favoured, Measured, Found, Propeller, Anicca Digital, The SEO Works, Bird Marketing, GA Agency, ROAST, FirstMotion</v>
      </c>
      <c r="L601" s="187">
        <f>IFERROR(__xludf.DUMMYFUNCTION("""COMPUTED_VALUE"""),23.0)</f>
        <v>23</v>
      </c>
      <c r="M601" s="188">
        <f>IFERROR(__xludf.DUMMYFUNCTION("""COMPUTED_VALUE"""),0.02)</f>
        <v>0.02</v>
      </c>
      <c r="N601" s="188">
        <f>IFERROR(__xludf.DUMMYFUNCTION("""COMPUTED_VALUE"""),0.43)</f>
        <v>0.43</v>
      </c>
      <c r="O601" s="208"/>
      <c r="P601" s="208"/>
      <c r="Q601" s="208"/>
      <c r="R601" s="208"/>
    </row>
    <row r="602">
      <c r="A602" s="185" t="str">
        <f>IFERROR(__xludf.DUMMYFUNCTION("""COMPUTED_VALUE"""),"Agency directory / review marketplace")</f>
        <v>Agency directory / review marketplace</v>
      </c>
      <c r="B602" s="186" t="str">
        <f>IFERROR(__xludf.DUMMYFUNCTION("""COMPUTED_VALUE"""),"https://www.sortlist.co.uk/s/performance-marketing/united-kingdom-gb")</f>
        <v>https://www.sortlist.co.uk/s/performance-marketing/united-kingdom-gb</v>
      </c>
      <c r="C602" s="185" t="str">
        <f>IFERROR(__xludf.DUMMYFUNCTION("""COMPUTED_VALUE"""),"The 10 Best Performance Marketing Agencies in The United Kingdom - 2026 Reviews")</f>
        <v>The 10 Best Performance Marketing Agencies in The United Kingdom - 2026 Reviews</v>
      </c>
      <c r="D602" s="185" t="str">
        <f>IFERROR(__xludf.DUMMYFUNCTION("""COMPUTED_VALUE"""),"UK")</f>
        <v>UK</v>
      </c>
      <c r="E602" s="185" t="str">
        <f>IFERROR(__xludf.DUMMYFUNCTION("""COMPUTED_VALUE"""),"sortlist.co.uk")</f>
        <v>sortlist.co.uk</v>
      </c>
      <c r="F602" s="185" t="str">
        <f>IFERROR(__xludf.DUMMYFUNCTION("""COMPUTED_VALUE"""),"Category Page")</f>
        <v>Category Page</v>
      </c>
      <c r="G602" s="185" t="str">
        <f>IFERROR(__xludf.DUMMYFUNCTION("""COMPUTED_VALUE"""),"REFERENCE")</f>
        <v>REFERENCE</v>
      </c>
      <c r="H602" s="185" t="str">
        <f>IFERROR(__xludf.DUMMYFUNCTION("""COMPUTED_VALUE"""),"No")</f>
        <v>No</v>
      </c>
      <c r="I602" s="185" t="str">
        <f>IFERROR(__xludf.DUMMYFUNCTION("""COMPUTED_VALUE"""),"Medium")</f>
        <v>Medium</v>
      </c>
      <c r="J602" s="185" t="str">
        <f>IFERROR(__xludf.DUMMYFUNCTION("""COMPUTED_VALUE"""),"Yes")</f>
        <v>Yes</v>
      </c>
      <c r="K602" s="185" t="str">
        <f>IFERROR(__xludf.DUMMYFUNCTION("""COMPUTED_VALUE"""),"Momentum, M3.agency, Found, McKinsey &amp; Company, Push")</f>
        <v>Momentum, M3.agency, Found, McKinsey &amp; Company, Push</v>
      </c>
      <c r="L602" s="187">
        <f>IFERROR(__xludf.DUMMYFUNCTION("""COMPUTED_VALUE"""),23.0)</f>
        <v>23</v>
      </c>
      <c r="M602" s="188">
        <f>IFERROR(__xludf.DUMMYFUNCTION("""COMPUTED_VALUE"""),0.02)</f>
        <v>0.02</v>
      </c>
      <c r="N602" s="188">
        <f>IFERROR(__xludf.DUMMYFUNCTION("""COMPUTED_VALUE"""),0.13)</f>
        <v>0.13</v>
      </c>
      <c r="O602" s="208"/>
      <c r="P602" s="208"/>
      <c r="Q602" s="208"/>
      <c r="R602" s="208"/>
    </row>
    <row r="603">
      <c r="A603" s="185" t="str">
        <f>IFERROR(__xludf.DUMMYFUNCTION("""COMPUTED_VALUE"""),"Agency directory / review marketplace")</f>
        <v>Agency directory / review marketplace</v>
      </c>
      <c r="B603" s="186" t="str">
        <f>IFERROR(__xludf.DUMMYFUNCTION("""COMPUTED_VALUE"""),"https://clutch.co/agencies/ppc/display/uk")</f>
        <v>https://clutch.co/agencies/ppc/display/uk</v>
      </c>
      <c r="C603" s="185" t="str">
        <f>IFERROR(__xludf.DUMMYFUNCTION("""COMPUTED_VALUE"""),"Top Display Advertising Services in the United Kingdom - Jul 2026 Rankings \| Clutch.co")</f>
        <v>Top Display Advertising Services in the United Kingdom - Jul 2026 Rankings \| Clutch.co</v>
      </c>
      <c r="D603" s="185" t="str">
        <f>IFERROR(__xludf.DUMMYFUNCTION("""COMPUTED_VALUE"""),"UK")</f>
        <v>UK</v>
      </c>
      <c r="E603" s="185" t="str">
        <f>IFERROR(__xludf.DUMMYFUNCTION("""COMPUTED_VALUE"""),"clutch.co")</f>
        <v>clutch.co</v>
      </c>
      <c r="F603" s="185" t="str">
        <f>IFERROR(__xludf.DUMMYFUNCTION("""COMPUTED_VALUE"""),"Other")</f>
        <v>Other</v>
      </c>
      <c r="G603" s="185" t="str">
        <f>IFERROR(__xludf.DUMMYFUNCTION("""COMPUTED_VALUE"""),"CORPORATE")</f>
        <v>CORPORATE</v>
      </c>
      <c r="H603" s="185" t="str">
        <f>IFERROR(__xludf.DUMMYFUNCTION("""COMPUTED_VALUE"""),"No")</f>
        <v>No</v>
      </c>
      <c r="I603" s="185" t="str">
        <f>IFERROR(__xludf.DUMMYFUNCTION("""COMPUTED_VALUE"""),"Medium")</f>
        <v>Medium</v>
      </c>
      <c r="J603" s="185" t="str">
        <f>IFERROR(__xludf.DUMMYFUNCTION("""COMPUTED_VALUE"""),"Yes")</f>
        <v>Yes</v>
      </c>
      <c r="K603" s="185" t="str">
        <f>IFERROR(__xludf.DUMMYFUNCTION("""COMPUTED_VALUE"""),"Ninja Promo, Soap Media, The SEO Works, GA Agency, Bind Media, Found")</f>
        <v>Ninja Promo, Soap Media, The SEO Works, GA Agency, Bind Media, Found</v>
      </c>
      <c r="L603" s="187">
        <f>IFERROR(__xludf.DUMMYFUNCTION("""COMPUTED_VALUE"""),22.0)</f>
        <v>22</v>
      </c>
      <c r="M603" s="188">
        <f>IFERROR(__xludf.DUMMYFUNCTION("""COMPUTED_VALUE"""),0.02)</f>
        <v>0.02</v>
      </c>
      <c r="N603" s="188">
        <f>IFERROR(__xludf.DUMMYFUNCTION("""COMPUTED_VALUE"""),1.36)</f>
        <v>1.36</v>
      </c>
      <c r="O603" s="208"/>
      <c r="P603" s="208"/>
      <c r="Q603" s="208"/>
      <c r="R603" s="208"/>
    </row>
    <row r="604">
      <c r="A604" s="185" t="str">
        <f>IFERROR(__xludf.DUMMYFUNCTION("""COMPUTED_VALUE"""),"Agency directory / review marketplace")</f>
        <v>Agency directory / review marketplace</v>
      </c>
      <c r="B604" s="186" t="str">
        <f>IFERROR(__xludf.DUMMYFUNCTION("""COMPUTED_VALUE"""),"https://clutch.co/agencies/social-media-marketing/uk")</f>
        <v>https://clutch.co/agencies/social-media-marketing/uk</v>
      </c>
      <c r="C604" s="185" t="str">
        <f>IFERROR(__xludf.DUMMYFUNCTION("""COMPUTED_VALUE"""),"Top Social Media Marketing Agencies in the United Kingdom - Jul 2026 Rankings \| Clutch.co")</f>
        <v>Top Social Media Marketing Agencies in the United Kingdom - Jul 2026 Rankings \| Clutch.co</v>
      </c>
      <c r="D604" s="185" t="str">
        <f>IFERROR(__xludf.DUMMYFUNCTION("""COMPUTED_VALUE"""),"UK")</f>
        <v>UK</v>
      </c>
      <c r="E604" s="185" t="str">
        <f>IFERROR(__xludf.DUMMYFUNCTION("""COMPUTED_VALUE"""),"clutch.co")</f>
        <v>clutch.co</v>
      </c>
      <c r="F604" s="185" t="str">
        <f>IFERROR(__xludf.DUMMYFUNCTION("""COMPUTED_VALUE"""),"Category Page")</f>
        <v>Category Page</v>
      </c>
      <c r="G604" s="185" t="str">
        <f>IFERROR(__xludf.DUMMYFUNCTION("""COMPUTED_VALUE"""),"CORPORATE")</f>
        <v>CORPORATE</v>
      </c>
      <c r="H604" s="185" t="str">
        <f>IFERROR(__xludf.DUMMYFUNCTION("""COMPUTED_VALUE"""),"No")</f>
        <v>No</v>
      </c>
      <c r="I604" s="185" t="str">
        <f>IFERROR(__xludf.DUMMYFUNCTION("""COMPUTED_VALUE"""),"Medium")</f>
        <v>Medium</v>
      </c>
      <c r="J604" s="185" t="str">
        <f>IFERROR(__xludf.DUMMYFUNCTION("""COMPUTED_VALUE"""),"Yes")</f>
        <v>Yes</v>
      </c>
      <c r="K604" s="185" t="str">
        <f>IFERROR(__xludf.DUMMYFUNCTION("""COMPUTED_VALUE"""),"Ninja Promo, ROAST, Favoured, Soap Media, Impression, Found, Momentum, M3.agency, Propeller")</f>
        <v>Ninja Promo, ROAST, Favoured, Soap Media, Impression, Found, Momentum, M3.agency, Propeller</v>
      </c>
      <c r="L604" s="187">
        <f>IFERROR(__xludf.DUMMYFUNCTION("""COMPUTED_VALUE"""),22.0)</f>
        <v>22</v>
      </c>
      <c r="M604" s="188">
        <f>IFERROR(__xludf.DUMMYFUNCTION("""COMPUTED_VALUE"""),0.02)</f>
        <v>0.02</v>
      </c>
      <c r="N604" s="188">
        <f>IFERROR(__xludf.DUMMYFUNCTION("""COMPUTED_VALUE"""),0.68)</f>
        <v>0.68</v>
      </c>
      <c r="O604" s="208"/>
      <c r="P604" s="208"/>
      <c r="Q604" s="208"/>
      <c r="R604" s="208"/>
    </row>
    <row r="605">
      <c r="A605" s="185" t="str">
        <f>IFERROR(__xludf.DUMMYFUNCTION("""COMPUTED_VALUE"""),"Agency directory / review marketplace")</f>
        <v>Agency directory / review marketplace</v>
      </c>
      <c r="B605" s="186" t="str">
        <f>IFERROR(__xludf.DUMMYFUNCTION("""COMPUTED_VALUE"""),"https://www.goodfirms.co/directory/country/top-digital-marketing-companies/gb")</f>
        <v>https://www.goodfirms.co/directory/country/top-digital-marketing-companies/gb</v>
      </c>
      <c r="C605" s="185" t="str">
        <f>IFERROR(__xludf.DUMMYFUNCTION("""COMPUTED_VALUE"""),"Top Digital Marketing Agencies in UK - 2026 Reviews | Goodfirms")</f>
        <v>Top Digital Marketing Agencies in UK - 2026 Reviews | Goodfirms</v>
      </c>
      <c r="D605" s="185" t="str">
        <f>IFERROR(__xludf.DUMMYFUNCTION("""COMPUTED_VALUE"""),"UK")</f>
        <v>UK</v>
      </c>
      <c r="E605" s="185" t="str">
        <f>IFERROR(__xludf.DUMMYFUNCTION("""COMPUTED_VALUE"""),"goodfirms.co")</f>
        <v>goodfirms.co</v>
      </c>
      <c r="F605" s="185" t="str">
        <f>IFERROR(__xludf.DUMMYFUNCTION("""COMPUTED_VALUE"""),"Category Page")</f>
        <v>Category Page</v>
      </c>
      <c r="G605" s="185" t="str">
        <f>IFERROR(__xludf.DUMMYFUNCTION("""COMPUTED_VALUE"""),"UGC")</f>
        <v>UGC</v>
      </c>
      <c r="H605" s="185" t="str">
        <f>IFERROR(__xludf.DUMMYFUNCTION("""COMPUTED_VALUE"""),"No")</f>
        <v>No</v>
      </c>
      <c r="I605" s="185" t="str">
        <f>IFERROR(__xludf.DUMMYFUNCTION("""COMPUTED_VALUE"""),"Medium")</f>
        <v>Medium</v>
      </c>
      <c r="J605" s="185" t="str">
        <f>IFERROR(__xludf.DUMMYFUNCTION("""COMPUTED_VALUE"""),"Yes")</f>
        <v>Yes</v>
      </c>
      <c r="K605" s="185" t="str">
        <f>IFERROR(__xludf.DUMMYFUNCTION("""COMPUTED_VALUE"""),"WebFX, The SEO Works, Bird Marketing, Impression, Push, Found")</f>
        <v>WebFX, The SEO Works, Bird Marketing, Impression, Push, Found</v>
      </c>
      <c r="L605" s="187">
        <f>IFERROR(__xludf.DUMMYFUNCTION("""COMPUTED_VALUE"""),22.0)</f>
        <v>22</v>
      </c>
      <c r="M605" s="188">
        <f>IFERROR(__xludf.DUMMYFUNCTION("""COMPUTED_VALUE"""),0.02)</f>
        <v>0.02</v>
      </c>
      <c r="N605" s="188">
        <f>IFERROR(__xludf.DUMMYFUNCTION("""COMPUTED_VALUE"""),0.09)</f>
        <v>0.09</v>
      </c>
      <c r="O605" s="208"/>
      <c r="P605" s="208"/>
      <c r="Q605" s="208"/>
      <c r="R605" s="208"/>
    </row>
    <row r="606">
      <c r="A606" s="185" t="str">
        <f>IFERROR(__xludf.DUMMYFUNCTION("""COMPUTED_VALUE"""),"Official partner / certification ecosystem")</f>
        <v>Official partner / certification ecosystem</v>
      </c>
      <c r="B606" s="186" t="str">
        <f>IFERROR(__xludf.DUMMYFUNCTION("""COMPUTED_VALUE"""),"https://support.google.com/analytics/answer/7237700?hl=en")</f>
        <v>https://support.google.com/analytics/answer/7237700?hl=en</v>
      </c>
      <c r="C606" s="185" t="str">
        <f>IFERROR(__xludf.DUMMYFUNCTION("""COMPUTED_VALUE"""),"Google Marketing Platform Partners - Analytics Help")</f>
        <v>Google Marketing Platform Partners - Analytics Help</v>
      </c>
      <c r="D606" s="185" t="str">
        <f>IFERROR(__xludf.DUMMYFUNCTION("""COMPUTED_VALUE"""),"UK")</f>
        <v>UK</v>
      </c>
      <c r="E606" s="185" t="str">
        <f>IFERROR(__xludf.DUMMYFUNCTION("""COMPUTED_VALUE"""),"google.com")</f>
        <v>google.com</v>
      </c>
      <c r="F606" s="185" t="str">
        <f>IFERROR(__xludf.DUMMYFUNCTION("""COMPUTED_VALUE"""),"Other")</f>
        <v>Other</v>
      </c>
      <c r="G606" s="185" t="str">
        <f>IFERROR(__xludf.DUMMYFUNCTION("""COMPUTED_VALUE"""),"OTHER")</f>
        <v>OTHER</v>
      </c>
      <c r="H606" s="185" t="str">
        <f>IFERROR(__xludf.DUMMYFUNCTION("""COMPUTED_VALUE"""),"No")</f>
        <v>No</v>
      </c>
      <c r="I606" s="185" t="str">
        <f>IFERROR(__xludf.DUMMYFUNCTION("""COMPUTED_VALUE"""),"High")</f>
        <v>High</v>
      </c>
      <c r="J606" s="185" t="str">
        <f>IFERROR(__xludf.DUMMYFUNCTION("""COMPUTED_VALUE"""),"Yes - priority")</f>
        <v>Yes - priority</v>
      </c>
      <c r="K606" s="185"/>
      <c r="L606" s="187">
        <f>IFERROR(__xludf.DUMMYFUNCTION("""COMPUTED_VALUE"""),21.0)</f>
        <v>21</v>
      </c>
      <c r="M606" s="188">
        <f>IFERROR(__xludf.DUMMYFUNCTION("""COMPUTED_VALUE"""),0.02)</f>
        <v>0.02</v>
      </c>
      <c r="N606" s="188">
        <f>IFERROR(__xludf.DUMMYFUNCTION("""COMPUTED_VALUE"""),1.81)</f>
        <v>1.81</v>
      </c>
      <c r="O606" s="208"/>
      <c r="P606" s="208"/>
      <c r="Q606" s="208"/>
      <c r="R606" s="208"/>
    </row>
    <row r="607">
      <c r="A607" s="185" t="str">
        <f>IFERROR(__xludf.DUMMYFUNCTION("""COMPUTED_VALUE"""),"Trade media / editorial publication")</f>
        <v>Trade media / editorial publication</v>
      </c>
      <c r="B607" s="186" t="str">
        <f>IFERROR(__xludf.DUMMYFUNCTION("""COMPUTED_VALUE"""),"https://seocompare.co.uk/best-geo-agencies-uk/")</f>
        <v>https://seocompare.co.uk/best-geo-agencies-uk/</v>
      </c>
      <c r="C607" s="185" t="str">
        <f>IFERROR(__xludf.DUMMYFUNCTION("""COMPUTED_VALUE"""),"Best GEO Agencies UK 2026 - Compared | SEOCompare")</f>
        <v>Best GEO Agencies UK 2026 - Compared | SEOCompare</v>
      </c>
      <c r="D607" s="185" t="str">
        <f>IFERROR(__xludf.DUMMYFUNCTION("""COMPUTED_VALUE"""),"UK")</f>
        <v>UK</v>
      </c>
      <c r="E607" s="185" t="str">
        <f>IFERROR(__xludf.DUMMYFUNCTION("""COMPUTED_VALUE"""),"seocompare.co.uk")</f>
        <v>seocompare.co.uk</v>
      </c>
      <c r="F607" s="185" t="str">
        <f>IFERROR(__xludf.DUMMYFUNCTION("""COMPUTED_VALUE"""),"Listicle")</f>
        <v>Listicle</v>
      </c>
      <c r="G607" s="185" t="str">
        <f>IFERROR(__xludf.DUMMYFUNCTION("""COMPUTED_VALUE"""),"EDITORIAL")</f>
        <v>EDITORIAL</v>
      </c>
      <c r="H607" s="185" t="str">
        <f>IFERROR(__xludf.DUMMYFUNCTION("""COMPUTED_VALUE"""),"No")</f>
        <v>No</v>
      </c>
      <c r="I607" s="185" t="str">
        <f>IFERROR(__xludf.DUMMYFUNCTION("""COMPUTED_VALUE"""),"Low")</f>
        <v>Low</v>
      </c>
      <c r="J607" s="185" t="str">
        <f>IFERROR(__xludf.DUMMYFUNCTION("""COMPUTED_VALUE"""),"Secondary")</f>
        <v>Secondary</v>
      </c>
      <c r="K607" s="185" t="str">
        <f>IFERROR(__xludf.DUMMYFUNCTION("""COMPUTED_VALUE"""),"Found, Rank4AI, ClickSlice")</f>
        <v>Found, Rank4AI, ClickSlice</v>
      </c>
      <c r="L607" s="187">
        <f>IFERROR(__xludf.DUMMYFUNCTION("""COMPUTED_VALUE"""),20.0)</f>
        <v>20</v>
      </c>
      <c r="M607" s="188">
        <f>IFERROR(__xludf.DUMMYFUNCTION("""COMPUTED_VALUE"""),0.02)</f>
        <v>0.02</v>
      </c>
      <c r="N607" s="188">
        <f>IFERROR(__xludf.DUMMYFUNCTION("""COMPUTED_VALUE"""),3.2)</f>
        <v>3.2</v>
      </c>
      <c r="O607" s="208"/>
      <c r="P607" s="208"/>
      <c r="Q607" s="208"/>
      <c r="R607" s="208"/>
    </row>
    <row r="608">
      <c r="A608" s="185" t="str">
        <f>IFERROR(__xludf.DUMMYFUNCTION("""COMPUTED_VALUE"""),"Agency directory / review marketplace")</f>
        <v>Agency directory / review marketplace</v>
      </c>
      <c r="B608" s="186" t="str">
        <f>IFERROR(__xludf.DUMMYFUNCTION("""COMPUTED_VALUE"""),"https://www.sortlist.co.uk/s/display-advertising/england-england-gb")</f>
        <v>https://www.sortlist.co.uk/s/display-advertising/england-england-gb</v>
      </c>
      <c r="C608" s="185" t="str">
        <f>IFERROR(__xludf.DUMMYFUNCTION("""COMPUTED_VALUE"""),"The 10 Best Display Advertising Agencies in England - 2026 Reviews")</f>
        <v>The 10 Best Display Advertising Agencies in England - 2026 Reviews</v>
      </c>
      <c r="D608" s="185" t="str">
        <f>IFERROR(__xludf.DUMMYFUNCTION("""COMPUTED_VALUE"""),"UK")</f>
        <v>UK</v>
      </c>
      <c r="E608" s="185" t="str">
        <f>IFERROR(__xludf.DUMMYFUNCTION("""COMPUTED_VALUE"""),"sortlist.co.uk")</f>
        <v>sortlist.co.uk</v>
      </c>
      <c r="F608" s="185" t="str">
        <f>IFERROR(__xludf.DUMMYFUNCTION("""COMPUTED_VALUE"""),"Category Page")</f>
        <v>Category Page</v>
      </c>
      <c r="G608" s="185" t="str">
        <f>IFERROR(__xludf.DUMMYFUNCTION("""COMPUTED_VALUE"""),"REFERENCE")</f>
        <v>REFERENCE</v>
      </c>
      <c r="H608" s="185" t="str">
        <f>IFERROR(__xludf.DUMMYFUNCTION("""COMPUTED_VALUE"""),"No")</f>
        <v>No</v>
      </c>
      <c r="I608" s="185" t="str">
        <f>IFERROR(__xludf.DUMMYFUNCTION("""COMPUTED_VALUE"""),"Medium")</f>
        <v>Medium</v>
      </c>
      <c r="J608" s="185" t="str">
        <f>IFERROR(__xludf.DUMMYFUNCTION("""COMPUTED_VALUE"""),"Yes")</f>
        <v>Yes</v>
      </c>
      <c r="K608" s="185" t="str">
        <f>IFERROR(__xludf.DUMMYFUNCTION("""COMPUTED_VALUE"""),"Found, Momentum, M3.agency, Ninja Promo")</f>
        <v>Found, Momentum, M3.agency, Ninja Promo</v>
      </c>
      <c r="L608" s="187">
        <f>IFERROR(__xludf.DUMMYFUNCTION("""COMPUTED_VALUE"""),20.0)</f>
        <v>20</v>
      </c>
      <c r="M608" s="188">
        <f>IFERROR(__xludf.DUMMYFUNCTION("""COMPUTED_VALUE"""),0.02)</f>
        <v>0.02</v>
      </c>
      <c r="N608" s="188">
        <f>IFERROR(__xludf.DUMMYFUNCTION("""COMPUTED_VALUE"""),0.2)</f>
        <v>0.2</v>
      </c>
      <c r="O608" s="208"/>
      <c r="P608" s="208"/>
      <c r="Q608" s="208"/>
      <c r="R608" s="208"/>
    </row>
    <row r="609">
      <c r="A609" s="185" t="str">
        <f>IFERROR(__xludf.DUMMYFUNCTION("""COMPUTED_VALUE"""),"Agency directory / review marketplace")</f>
        <v>Agency directory / review marketplace</v>
      </c>
      <c r="B609" s="186" t="str">
        <f>IFERROR(__xludf.DUMMYFUNCTION("""COMPUTED_VALUE"""),"https://www.sortlist.co.uk/s/performance-marketing/london-england-gb")</f>
        <v>https://www.sortlist.co.uk/s/performance-marketing/london-england-gb</v>
      </c>
      <c r="C609" s="185" t="str">
        <f>IFERROR(__xludf.DUMMYFUNCTION("""COMPUTED_VALUE"""),"The 10 Best Performance Marketing Agencies in London - 2026 Reviews")</f>
        <v>The 10 Best Performance Marketing Agencies in London - 2026 Reviews</v>
      </c>
      <c r="D609" s="185" t="str">
        <f>IFERROR(__xludf.DUMMYFUNCTION("""COMPUTED_VALUE"""),"UK")</f>
        <v>UK</v>
      </c>
      <c r="E609" s="185" t="str">
        <f>IFERROR(__xludf.DUMMYFUNCTION("""COMPUTED_VALUE"""),"sortlist.co.uk")</f>
        <v>sortlist.co.uk</v>
      </c>
      <c r="F609" s="185" t="str">
        <f>IFERROR(__xludf.DUMMYFUNCTION("""COMPUTED_VALUE"""),"Category Page")</f>
        <v>Category Page</v>
      </c>
      <c r="G609" s="185" t="str">
        <f>IFERROR(__xludf.DUMMYFUNCTION("""COMPUTED_VALUE"""),"REFERENCE")</f>
        <v>REFERENCE</v>
      </c>
      <c r="H609" s="185" t="str">
        <f>IFERROR(__xludf.DUMMYFUNCTION("""COMPUTED_VALUE"""),"No")</f>
        <v>No</v>
      </c>
      <c r="I609" s="185" t="str">
        <f>IFERROR(__xludf.DUMMYFUNCTION("""COMPUTED_VALUE"""),"Medium")</f>
        <v>Medium</v>
      </c>
      <c r="J609" s="185" t="str">
        <f>IFERROR(__xludf.DUMMYFUNCTION("""COMPUTED_VALUE"""),"Yes")</f>
        <v>Yes</v>
      </c>
      <c r="K609" s="185" t="str">
        <f>IFERROR(__xludf.DUMMYFUNCTION("""COMPUTED_VALUE"""),"Push, Triple Whale, Northbeam, Whitehat, Found, Momentum, M3.agency")</f>
        <v>Push, Triple Whale, Northbeam, Whitehat, Found, Momentum, M3.agency</v>
      </c>
      <c r="L609" s="187">
        <f>IFERROR(__xludf.DUMMYFUNCTION("""COMPUTED_VALUE"""),19.0)</f>
        <v>19</v>
      </c>
      <c r="M609" s="188">
        <f>IFERROR(__xludf.DUMMYFUNCTION("""COMPUTED_VALUE"""),0.02)</f>
        <v>0.02</v>
      </c>
      <c r="N609" s="188">
        <f>IFERROR(__xludf.DUMMYFUNCTION("""COMPUTED_VALUE"""),0.11)</f>
        <v>0.11</v>
      </c>
      <c r="O609" s="208"/>
      <c r="P609" s="208"/>
      <c r="Q609" s="208"/>
      <c r="R609" s="208"/>
    </row>
    <row r="610">
      <c r="A610" s="185" t="str">
        <f>IFERROR(__xludf.DUMMYFUNCTION("""COMPUTED_VALUE"""),"Official partner / certification ecosystem")</f>
        <v>Official partner / certification ecosystem</v>
      </c>
      <c r="B610" s="186" t="str">
        <f>IFERROR(__xludf.DUMMYFUNCTION("""COMPUTED_VALUE"""),"https://business.google.com/uk/think/measurement/incrementality-testing/")</f>
        <v>https://business.google.com/uk/think/measurement/incrementality-testing/</v>
      </c>
      <c r="C610" s="185" t="str">
        <f>IFERROR(__xludf.DUMMYFUNCTION("""COMPUTED_VALUE"""),"Use incrementality testing for effective marketing measurement")</f>
        <v>Use incrementality testing for effective marketing measurement</v>
      </c>
      <c r="D610" s="185" t="str">
        <f>IFERROR(__xludf.DUMMYFUNCTION("""COMPUTED_VALUE"""),"UK")</f>
        <v>UK</v>
      </c>
      <c r="E610" s="185" t="str">
        <f>IFERROR(__xludf.DUMMYFUNCTION("""COMPUTED_VALUE"""),"google.com")</f>
        <v>google.com</v>
      </c>
      <c r="F610" s="185" t="str">
        <f>IFERROR(__xludf.DUMMYFUNCTION("""COMPUTED_VALUE"""),"How-To Guide")</f>
        <v>How-To Guide</v>
      </c>
      <c r="G610" s="185" t="str">
        <f>IFERROR(__xludf.DUMMYFUNCTION("""COMPUTED_VALUE"""),"OTHER")</f>
        <v>OTHER</v>
      </c>
      <c r="H610" s="185" t="str">
        <f>IFERROR(__xludf.DUMMYFUNCTION("""COMPUTED_VALUE"""),"No")</f>
        <v>No</v>
      </c>
      <c r="I610" s="185" t="str">
        <f>IFERROR(__xludf.DUMMYFUNCTION("""COMPUTED_VALUE"""),"High")</f>
        <v>High</v>
      </c>
      <c r="J610" s="185" t="str">
        <f>IFERROR(__xludf.DUMMYFUNCTION("""COMPUTED_VALUE"""),"Yes - priority")</f>
        <v>Yes - priority</v>
      </c>
      <c r="K610" s="185"/>
      <c r="L610" s="187">
        <f>IFERROR(__xludf.DUMMYFUNCTION("""COMPUTED_VALUE"""),18.0)</f>
        <v>18</v>
      </c>
      <c r="M610" s="188">
        <f>IFERROR(__xludf.DUMMYFUNCTION("""COMPUTED_VALUE"""),0.02)</f>
        <v>0.02</v>
      </c>
      <c r="N610" s="188">
        <f>IFERROR(__xludf.DUMMYFUNCTION("""COMPUTED_VALUE"""),0.17)</f>
        <v>0.17</v>
      </c>
      <c r="O610" s="208"/>
      <c r="P610" s="208"/>
      <c r="Q610" s="208"/>
      <c r="R610" s="208"/>
    </row>
    <row r="611">
      <c r="A611" s="185" t="str">
        <f>IFERROR(__xludf.DUMMYFUNCTION("""COMPUTED_VALUE"""),"Agency directory / review marketplace")</f>
        <v>Agency directory / review marketplace</v>
      </c>
      <c r="B611" s="186" t="str">
        <f>IFERROR(__xludf.DUMMYFUNCTION("""COMPUTED_VALUE"""),"https://clutch.co/consulting/ai/uk")</f>
        <v>https://clutch.co/consulting/ai/uk</v>
      </c>
      <c r="C611" s="185" t="str">
        <f>IFERROR(__xludf.DUMMYFUNCTION("""COMPUTED_VALUE"""),"Top AI Consultants in the United Kingdom - Jul 2026 Rankings \| Clutch.co")</f>
        <v>Top AI Consultants in the United Kingdom - Jul 2026 Rankings \| Clutch.co</v>
      </c>
      <c r="D611" s="185" t="str">
        <f>IFERROR(__xludf.DUMMYFUNCTION("""COMPUTED_VALUE"""),"UK")</f>
        <v>UK</v>
      </c>
      <c r="E611" s="185" t="str">
        <f>IFERROR(__xludf.DUMMYFUNCTION("""COMPUTED_VALUE"""),"clutch.co")</f>
        <v>clutch.co</v>
      </c>
      <c r="F611" s="185" t="str">
        <f>IFERROR(__xludf.DUMMYFUNCTION("""COMPUTED_VALUE"""),"Category Page")</f>
        <v>Category Page</v>
      </c>
      <c r="G611" s="185" t="str">
        <f>IFERROR(__xludf.DUMMYFUNCTION("""COMPUTED_VALUE"""),"CORPORATE")</f>
        <v>CORPORATE</v>
      </c>
      <c r="H611" s="185" t="str">
        <f>IFERROR(__xludf.DUMMYFUNCTION("""COMPUTED_VALUE"""),"No")</f>
        <v>No</v>
      </c>
      <c r="I611" s="185" t="str">
        <f>IFERROR(__xludf.DUMMYFUNCTION("""COMPUTED_VALUE"""),"Medium")</f>
        <v>Medium</v>
      </c>
      <c r="J611" s="185" t="str">
        <f>IFERROR(__xludf.DUMMYFUNCTION("""COMPUTED_VALUE"""),"Yes")</f>
        <v>Yes</v>
      </c>
      <c r="K611" s="185" t="str">
        <f>IFERROR(__xludf.DUMMYFUNCTION("""COMPUTED_VALUE"""),"Found")</f>
        <v>Found</v>
      </c>
      <c r="L611" s="187">
        <f>IFERROR(__xludf.DUMMYFUNCTION("""COMPUTED_VALUE"""),18.0)</f>
        <v>18</v>
      </c>
      <c r="M611" s="188">
        <f>IFERROR(__xludf.DUMMYFUNCTION("""COMPUTED_VALUE"""),0.02)</f>
        <v>0.02</v>
      </c>
      <c r="N611" s="188">
        <f>IFERROR(__xludf.DUMMYFUNCTION("""COMPUTED_VALUE"""),0.06)</f>
        <v>0.06</v>
      </c>
      <c r="O611" s="208"/>
      <c r="P611" s="208"/>
      <c r="Q611" s="208"/>
      <c r="R611" s="208"/>
    </row>
    <row r="612">
      <c r="A612" s="185" t="str">
        <f>IFERROR(__xludf.DUMMYFUNCTION("""COMPUTED_VALUE"""),"Agency directory / review marketplace")</f>
        <v>Agency directory / review marketplace</v>
      </c>
      <c r="B612" s="186" t="str">
        <f>IFERROR(__xludf.DUMMYFUNCTION("""COMPUTED_VALUE"""),"https://www.designrush.com/agency/digital-marketing/uk")</f>
        <v>https://www.designrush.com/agency/digital-marketing/uk</v>
      </c>
      <c r="C612" s="185" t="str">
        <f>IFERROR(__xludf.DUMMYFUNCTION("""COMPUTED_VALUE"""),"Top Digital Marketing Agencies in the United Kingdom | 2026")</f>
        <v>Top Digital Marketing Agencies in the United Kingdom | 2026</v>
      </c>
      <c r="D612" s="185" t="str">
        <f>IFERROR(__xludf.DUMMYFUNCTION("""COMPUTED_VALUE"""),"UK")</f>
        <v>UK</v>
      </c>
      <c r="E612" s="185" t="str">
        <f>IFERROR(__xludf.DUMMYFUNCTION("""COMPUTED_VALUE"""),"designrush.com")</f>
        <v>designrush.com</v>
      </c>
      <c r="F612" s="185" t="str">
        <f>IFERROR(__xludf.DUMMYFUNCTION("""COMPUTED_VALUE"""),"Category Page")</f>
        <v>Category Page</v>
      </c>
      <c r="G612" s="185" t="str">
        <f>IFERROR(__xludf.DUMMYFUNCTION("""COMPUTED_VALUE"""),"CORPORATE")</f>
        <v>CORPORATE</v>
      </c>
      <c r="H612" s="185" t="str">
        <f>IFERROR(__xludf.DUMMYFUNCTION("""COMPUTED_VALUE"""),"No")</f>
        <v>No</v>
      </c>
      <c r="I612" s="185" t="str">
        <f>IFERROR(__xludf.DUMMYFUNCTION("""COMPUTED_VALUE"""),"Medium")</f>
        <v>Medium</v>
      </c>
      <c r="J612" s="185" t="str">
        <f>IFERROR(__xludf.DUMMYFUNCTION("""COMPUTED_VALUE"""),"Yes")</f>
        <v>Yes</v>
      </c>
      <c r="K612" s="185" t="str">
        <f>IFERROR(__xludf.DUMMYFUNCTION("""COMPUTED_VALUE"""),"Bird Marketing, Genie Crawl, Nielsen, Favoured, WebFX, Directive Consulting, Momentum")</f>
        <v>Bird Marketing, Genie Crawl, Nielsen, Favoured, WebFX, Directive Consulting, Momentum</v>
      </c>
      <c r="L612" s="187">
        <f>IFERROR(__xludf.DUMMYFUNCTION("""COMPUTED_VALUE"""),18.0)</f>
        <v>18</v>
      </c>
      <c r="M612" s="188">
        <f>IFERROR(__xludf.DUMMYFUNCTION("""COMPUTED_VALUE"""),0.02)</f>
        <v>0.02</v>
      </c>
      <c r="N612" s="188">
        <f>IFERROR(__xludf.DUMMYFUNCTION("""COMPUTED_VALUE"""),0.0)</f>
        <v>0</v>
      </c>
      <c r="O612" s="208"/>
      <c r="P612" s="208"/>
      <c r="Q612" s="208"/>
      <c r="R612" s="208"/>
    </row>
    <row r="613">
      <c r="A613" s="185" t="str">
        <f>IFERROR(__xludf.DUMMYFUNCTION("""COMPUTED_VALUE"""),"Trade media / editorial publication")</f>
        <v>Trade media / editorial publication</v>
      </c>
      <c r="B613" s="186" t="str">
        <f>IFERROR(__xludf.DUMMYFUNCTION("""COMPUTED_VALUE"""),"https://seocompare.co.uk/")</f>
        <v>https://seocompare.co.uk/</v>
      </c>
      <c r="C613" s="185" t="str">
        <f>IFERROR(__xludf.DUMMYFUNCTION("""COMPUTED_VALUE"""),"Compare AI Search Optimisation Agencies &amp;amp; Tools | SEOCompare")</f>
        <v>Compare AI Search Optimisation Agencies &amp;amp; Tools | SEOCompare</v>
      </c>
      <c r="D613" s="185" t="str">
        <f>IFERROR(__xludf.DUMMYFUNCTION("""COMPUTED_VALUE"""),"UK")</f>
        <v>UK</v>
      </c>
      <c r="E613" s="185" t="str">
        <f>IFERROR(__xludf.DUMMYFUNCTION("""COMPUTED_VALUE"""),"seocompare.co.uk")</f>
        <v>seocompare.co.uk</v>
      </c>
      <c r="F613" s="185" t="str">
        <f>IFERROR(__xludf.DUMMYFUNCTION("""COMPUTED_VALUE"""),"Homepage")</f>
        <v>Homepage</v>
      </c>
      <c r="G613" s="185" t="str">
        <f>IFERROR(__xludf.DUMMYFUNCTION("""COMPUTED_VALUE"""),"EDITORIAL")</f>
        <v>EDITORIAL</v>
      </c>
      <c r="H613" s="185" t="str">
        <f>IFERROR(__xludf.DUMMYFUNCTION("""COMPUTED_VALUE"""),"No")</f>
        <v>No</v>
      </c>
      <c r="I613" s="185" t="str">
        <f>IFERROR(__xludf.DUMMYFUNCTION("""COMPUTED_VALUE"""),"Low")</f>
        <v>Low</v>
      </c>
      <c r="J613" s="185" t="str">
        <f>IFERROR(__xludf.DUMMYFUNCTION("""COMPUTED_VALUE"""),"Secondary")</f>
        <v>Secondary</v>
      </c>
      <c r="K613" s="185" t="str">
        <f>IFERROR(__xludf.DUMMYFUNCTION("""COMPUTED_VALUE"""),"Rank4AI")</f>
        <v>Rank4AI</v>
      </c>
      <c r="L613" s="187">
        <f>IFERROR(__xludf.DUMMYFUNCTION("""COMPUTED_VALUE"""),18.0)</f>
        <v>18</v>
      </c>
      <c r="M613" s="188">
        <f>IFERROR(__xludf.DUMMYFUNCTION("""COMPUTED_VALUE"""),0.02)</f>
        <v>0.02</v>
      </c>
      <c r="N613" s="188">
        <f>IFERROR(__xludf.DUMMYFUNCTION("""COMPUTED_VALUE"""),1.22)</f>
        <v>1.22</v>
      </c>
      <c r="O613" s="208"/>
      <c r="P613" s="208"/>
      <c r="Q613" s="208"/>
      <c r="R613" s="208"/>
    </row>
    <row r="614">
      <c r="A614" s="185" t="str">
        <f>IFERROR(__xludf.DUMMYFUNCTION("""COMPUTED_VALUE"""),"Agency directory / review marketplace")</f>
        <v>Agency directory / review marketplace</v>
      </c>
      <c r="B614" s="186" t="str">
        <f>IFERROR(__xludf.DUMMYFUNCTION("""COMPUTED_VALUE"""),"https://techbehemoths.com/companies/marketing-analytics/united-kingdom")</f>
        <v>https://techbehemoths.com/companies/marketing-analytics/united-kingdom</v>
      </c>
      <c r="C614" s="185" t="str">
        <f>IFERROR(__xludf.DUMMYFUNCTION("""COMPUTED_VALUE"""),"Top 20+ Marketing analytics Companies in United Kingdom (2026) - TechBehemoths")</f>
        <v>Top 20+ Marketing analytics Companies in United Kingdom (2026) - TechBehemoths</v>
      </c>
      <c r="D614" s="185" t="str">
        <f>IFERROR(__xludf.DUMMYFUNCTION("""COMPUTED_VALUE"""),"UK")</f>
        <v>UK</v>
      </c>
      <c r="E614" s="185" t="str">
        <f>IFERROR(__xludf.DUMMYFUNCTION("""COMPUTED_VALUE"""),"techbehemoths.com")</f>
        <v>techbehemoths.com</v>
      </c>
      <c r="F614" s="185" t="str">
        <f>IFERROR(__xludf.DUMMYFUNCTION("""COMPUTED_VALUE"""),"Profile")</f>
        <v>Profile</v>
      </c>
      <c r="G614" s="185" t="str">
        <f>IFERROR(__xludf.DUMMYFUNCTION("""COMPUTED_VALUE"""),"REFERENCE")</f>
        <v>REFERENCE</v>
      </c>
      <c r="H614" s="185" t="str">
        <f>IFERROR(__xludf.DUMMYFUNCTION("""COMPUTED_VALUE"""),"No")</f>
        <v>No</v>
      </c>
      <c r="I614" s="185" t="str">
        <f>IFERROR(__xludf.DUMMYFUNCTION("""COMPUTED_VALUE"""),"Medium")</f>
        <v>Medium</v>
      </c>
      <c r="J614" s="185" t="str">
        <f>IFERROR(__xludf.DUMMYFUNCTION("""COMPUTED_VALUE"""),"Yes")</f>
        <v>Yes</v>
      </c>
      <c r="K614" s="185" t="str">
        <f>IFERROR(__xludf.DUMMYFUNCTION("""COMPUTED_VALUE"""),"Found")</f>
        <v>Found</v>
      </c>
      <c r="L614" s="187">
        <f>IFERROR(__xludf.DUMMYFUNCTION("""COMPUTED_VALUE"""),18.0)</f>
        <v>18</v>
      </c>
      <c r="M614" s="188">
        <f>IFERROR(__xludf.DUMMYFUNCTION("""COMPUTED_VALUE"""),0.02)</f>
        <v>0.02</v>
      </c>
      <c r="N614" s="188">
        <f>IFERROR(__xludf.DUMMYFUNCTION("""COMPUTED_VALUE"""),0.06)</f>
        <v>0.06</v>
      </c>
      <c r="O614" s="208"/>
      <c r="P614" s="208"/>
      <c r="Q614" s="208"/>
      <c r="R614" s="208"/>
    </row>
    <row r="615">
      <c r="A615" s="185" t="str">
        <f>IFERROR(__xludf.DUMMYFUNCTION("""COMPUTED_VALUE"""),"Agency directory / review marketplace")</f>
        <v>Agency directory / review marketplace</v>
      </c>
      <c r="B615" s="186" t="str">
        <f>IFERROR(__xludf.DUMMYFUNCTION("""COMPUTED_VALUE"""),"https://clutch.co/agencies/ppc/uk")</f>
        <v>https://clutch.co/agencies/ppc/uk</v>
      </c>
      <c r="C615" s="185" t="str">
        <f>IFERROR(__xludf.DUMMYFUNCTION("""COMPUTED_VALUE"""),"Top PPC Agencies in the United Kingdom - Jul 2026 Rankings \| Clutch.co")</f>
        <v>Top PPC Agencies in the United Kingdom - Jul 2026 Rankings \| Clutch.co</v>
      </c>
      <c r="D615" s="185" t="str">
        <f>IFERROR(__xludf.DUMMYFUNCTION("""COMPUTED_VALUE"""),"UK")</f>
        <v>UK</v>
      </c>
      <c r="E615" s="185" t="str">
        <f>IFERROR(__xludf.DUMMYFUNCTION("""COMPUTED_VALUE"""),"clutch.co")</f>
        <v>clutch.co</v>
      </c>
      <c r="F615" s="185" t="str">
        <f>IFERROR(__xludf.DUMMYFUNCTION("""COMPUTED_VALUE"""),"Category Page")</f>
        <v>Category Page</v>
      </c>
      <c r="G615" s="185" t="str">
        <f>IFERROR(__xludf.DUMMYFUNCTION("""COMPUTED_VALUE"""),"CORPORATE")</f>
        <v>CORPORATE</v>
      </c>
      <c r="H615" s="185" t="str">
        <f>IFERROR(__xludf.DUMMYFUNCTION("""COMPUTED_VALUE"""),"No")</f>
        <v>No</v>
      </c>
      <c r="I615" s="185" t="str">
        <f>IFERROR(__xludf.DUMMYFUNCTION("""COMPUTED_VALUE"""),"Medium")</f>
        <v>Medium</v>
      </c>
      <c r="J615" s="185" t="str">
        <f>IFERROR(__xludf.DUMMYFUNCTION("""COMPUTED_VALUE"""),"Yes")</f>
        <v>Yes</v>
      </c>
      <c r="K615" s="185"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L615" s="187">
        <f>IFERROR(__xludf.DUMMYFUNCTION("""COMPUTED_VALUE"""),16.0)</f>
        <v>16</v>
      </c>
      <c r="M615" s="188">
        <f>IFERROR(__xludf.DUMMYFUNCTION("""COMPUTED_VALUE"""),0.02)</f>
        <v>0.02</v>
      </c>
      <c r="N615" s="188">
        <f>IFERROR(__xludf.DUMMYFUNCTION("""COMPUTED_VALUE"""),0.38)</f>
        <v>0.38</v>
      </c>
      <c r="O615" s="208"/>
      <c r="P615" s="208"/>
      <c r="Q615" s="208"/>
      <c r="R615" s="208"/>
    </row>
    <row r="616">
      <c r="A616" s="185" t="str">
        <f>IFERROR(__xludf.DUMMYFUNCTION("""COMPUTED_VALUE"""),"Official partner / certification ecosystem")</f>
        <v>Official partner / certification ecosystem</v>
      </c>
      <c r="B616" s="186" t="str">
        <f>IFERROR(__xludf.DUMMYFUNCTION("""COMPUTED_VALUE"""),"https://marketingplatform.google.com/about/partners/?hl=uk")</f>
        <v>https://marketingplatform.google.com/about/partners/?hl=uk</v>
      </c>
      <c r="C616" s="185"/>
      <c r="D616" s="185" t="str">
        <f>IFERROR(__xludf.DUMMYFUNCTION("""COMPUTED_VALUE"""),"UK")</f>
        <v>UK</v>
      </c>
      <c r="E616" s="185" t="str">
        <f>IFERROR(__xludf.DUMMYFUNCTION("""COMPUTED_VALUE"""),"google.com")</f>
        <v>google.com</v>
      </c>
      <c r="F616" s="185" t="str">
        <f>IFERROR(__xludf.DUMMYFUNCTION("""COMPUTED_VALUE"""),"Other")</f>
        <v>Other</v>
      </c>
      <c r="G616" s="185" t="str">
        <f>IFERROR(__xludf.DUMMYFUNCTION("""COMPUTED_VALUE"""),"OTHER")</f>
        <v>OTHER</v>
      </c>
      <c r="H616" s="185" t="str">
        <f>IFERROR(__xludf.DUMMYFUNCTION("""COMPUTED_VALUE"""),"No")</f>
        <v>No</v>
      </c>
      <c r="I616" s="185" t="str">
        <f>IFERROR(__xludf.DUMMYFUNCTION("""COMPUTED_VALUE"""),"High")</f>
        <v>High</v>
      </c>
      <c r="J616" s="185" t="str">
        <f>IFERROR(__xludf.DUMMYFUNCTION("""COMPUTED_VALUE"""),"Yes - priority")</f>
        <v>Yes - priority</v>
      </c>
      <c r="K616" s="185" t="str">
        <f>IFERROR(__xludf.DUMMYFUNCTION("""COMPUTED_VALUE"""),"Unknown")</f>
        <v>Unknown</v>
      </c>
      <c r="L616" s="187">
        <f>IFERROR(__xludf.DUMMYFUNCTION("""COMPUTED_VALUE"""),16.0)</f>
        <v>16</v>
      </c>
      <c r="M616" s="188">
        <f>IFERROR(__xludf.DUMMYFUNCTION("""COMPUTED_VALUE"""),0.02)</f>
        <v>0.02</v>
      </c>
      <c r="N616" s="188">
        <f>IFERROR(__xludf.DUMMYFUNCTION("""COMPUTED_VALUE"""),2.44)</f>
        <v>2.44</v>
      </c>
      <c r="O616" s="208"/>
      <c r="P616" s="208"/>
      <c r="Q616" s="208"/>
      <c r="R616" s="208"/>
    </row>
    <row r="617">
      <c r="A617" s="185" t="str">
        <f>IFERROR(__xludf.DUMMYFUNCTION("""COMPUTED_VALUE"""),"Agency directory / review marketplace")</f>
        <v>Agency directory / review marketplace</v>
      </c>
      <c r="B617" s="186" t="str">
        <f>IFERROR(__xludf.DUMMYFUNCTION("""COMPUTED_VALUE"""),"https://www.sortlist.co.uk/s/creative/united-kingdom-gb")</f>
        <v>https://www.sortlist.co.uk/s/creative/united-kingdom-gb</v>
      </c>
      <c r="C617" s="185" t="str">
        <f>IFERROR(__xludf.DUMMYFUNCTION("""COMPUTED_VALUE"""),"The 10 Best Creative Agencies in The United Kingdom - 2026 Reviews")</f>
        <v>The 10 Best Creative Agencies in The United Kingdom - 2026 Reviews</v>
      </c>
      <c r="D617" s="185" t="str">
        <f>IFERROR(__xludf.DUMMYFUNCTION("""COMPUTED_VALUE"""),"UK")</f>
        <v>UK</v>
      </c>
      <c r="E617" s="185" t="str">
        <f>IFERROR(__xludf.DUMMYFUNCTION("""COMPUTED_VALUE"""),"sortlist.co.uk")</f>
        <v>sortlist.co.uk</v>
      </c>
      <c r="F617" s="185" t="str">
        <f>IFERROR(__xludf.DUMMYFUNCTION("""COMPUTED_VALUE"""),"Category Page")</f>
        <v>Category Page</v>
      </c>
      <c r="G617" s="185" t="str">
        <f>IFERROR(__xludf.DUMMYFUNCTION("""COMPUTED_VALUE"""),"REFERENCE")</f>
        <v>REFERENCE</v>
      </c>
      <c r="H617" s="185" t="str">
        <f>IFERROR(__xludf.DUMMYFUNCTION("""COMPUTED_VALUE"""),"No")</f>
        <v>No</v>
      </c>
      <c r="I617" s="185" t="str">
        <f>IFERROR(__xludf.DUMMYFUNCTION("""COMPUTED_VALUE"""),"Medium")</f>
        <v>Medium</v>
      </c>
      <c r="J617" s="185" t="str">
        <f>IFERROR(__xludf.DUMMYFUNCTION("""COMPUTED_VALUE"""),"Yes")</f>
        <v>Yes</v>
      </c>
      <c r="K617" s="185" t="str">
        <f>IFERROR(__xludf.DUMMYFUNCTION("""COMPUTED_VALUE"""),"Ninja Promo, Whitehat, Momentum")</f>
        <v>Ninja Promo, Whitehat, Momentum</v>
      </c>
      <c r="L617" s="187">
        <f>IFERROR(__xludf.DUMMYFUNCTION("""COMPUTED_VALUE"""),16.0)</f>
        <v>16</v>
      </c>
      <c r="M617" s="188">
        <f>IFERROR(__xludf.DUMMYFUNCTION("""COMPUTED_VALUE"""),0.02)</f>
        <v>0.02</v>
      </c>
      <c r="N617" s="188">
        <f>IFERROR(__xludf.DUMMYFUNCTION("""COMPUTED_VALUE"""),0.13)</f>
        <v>0.13</v>
      </c>
      <c r="O617" s="208"/>
      <c r="P617" s="208"/>
      <c r="Q617" s="208"/>
      <c r="R617" s="208"/>
    </row>
    <row r="618">
      <c r="A618" s="185" t="str">
        <f>IFERROR(__xludf.DUMMYFUNCTION("""COMPUTED_VALUE"""),"Agency directory / review marketplace")</f>
        <v>Agency directory / review marketplace</v>
      </c>
      <c r="B618" s="186" t="str">
        <f>IFERROR(__xludf.DUMMYFUNCTION("""COMPUTED_VALUE"""),"https://www.sortlist.co.uk/s/paid-media/united-kingdom-gb")</f>
        <v>https://www.sortlist.co.uk/s/paid-media/united-kingdom-gb</v>
      </c>
      <c r="C618" s="185" t="str">
        <f>IFERROR(__xludf.DUMMYFUNCTION("""COMPUTED_VALUE"""),"The 10 Best Paid Media Agencies in The United Kingdom - 2026 Reviews")</f>
        <v>The 10 Best Paid Media Agencies in The United Kingdom - 2026 Reviews</v>
      </c>
      <c r="D618" s="185" t="str">
        <f>IFERROR(__xludf.DUMMYFUNCTION("""COMPUTED_VALUE"""),"UK")</f>
        <v>UK</v>
      </c>
      <c r="E618" s="185" t="str">
        <f>IFERROR(__xludf.DUMMYFUNCTION("""COMPUTED_VALUE"""),"sortlist.co.uk")</f>
        <v>sortlist.co.uk</v>
      </c>
      <c r="F618" s="185" t="str">
        <f>IFERROR(__xludf.DUMMYFUNCTION("""COMPUTED_VALUE"""),"Category Page")</f>
        <v>Category Page</v>
      </c>
      <c r="G618" s="185" t="str">
        <f>IFERROR(__xludf.DUMMYFUNCTION("""COMPUTED_VALUE"""),"REFERENCE")</f>
        <v>REFERENCE</v>
      </c>
      <c r="H618" s="185" t="str">
        <f>IFERROR(__xludf.DUMMYFUNCTION("""COMPUTED_VALUE"""),"No")</f>
        <v>No</v>
      </c>
      <c r="I618" s="185" t="str">
        <f>IFERROR(__xludf.DUMMYFUNCTION("""COMPUTED_VALUE"""),"Medium")</f>
        <v>Medium</v>
      </c>
      <c r="J618" s="185" t="str">
        <f>IFERROR(__xludf.DUMMYFUNCTION("""COMPUTED_VALUE"""),"Yes")</f>
        <v>Yes</v>
      </c>
      <c r="K618" s="185" t="str">
        <f>IFERROR(__xludf.DUMMYFUNCTION("""COMPUTED_VALUE"""),"Push, Triple Whale, Northbeam, Found, Momentum, M3.agency, McKinsey &amp; Company, Impression")</f>
        <v>Push, Triple Whale, Northbeam, Found, Momentum, M3.agency, McKinsey &amp; Company, Impression</v>
      </c>
      <c r="L618" s="187">
        <f>IFERROR(__xludf.DUMMYFUNCTION("""COMPUTED_VALUE"""),16.0)</f>
        <v>16</v>
      </c>
      <c r="M618" s="188">
        <f>IFERROR(__xludf.DUMMYFUNCTION("""COMPUTED_VALUE"""),0.02)</f>
        <v>0.02</v>
      </c>
      <c r="N618" s="188">
        <f>IFERROR(__xludf.DUMMYFUNCTION("""COMPUTED_VALUE"""),0.0)</f>
        <v>0</v>
      </c>
      <c r="O618" s="208"/>
      <c r="P618" s="208"/>
      <c r="Q618" s="208"/>
      <c r="R618" s="208"/>
    </row>
    <row r="619">
      <c r="A619" s="185" t="str">
        <f>IFERROR(__xludf.DUMMYFUNCTION("""COMPUTED_VALUE"""),"Lower-priority competitor/vendor roundup")</f>
        <v>Lower-priority competitor/vendor roundup</v>
      </c>
      <c r="B619" s="186" t="str">
        <f>IFERROR(__xludf.DUMMYFUNCTION("""COMPUTED_VALUE"""),"https://www.webtonic.io/blog/best-creative-agencies-london")</f>
        <v>https://www.webtonic.io/blog/best-creative-agencies-london</v>
      </c>
      <c r="C619" s="185" t="str">
        <f>IFERROR(__xludf.DUMMYFUNCTION("""COMPUTED_VALUE"""),"The 30 Best Creative Agencies in London as of 2026")</f>
        <v>The 30 Best Creative Agencies in London as of 2026</v>
      </c>
      <c r="D619" s="185" t="str">
        <f>IFERROR(__xludf.DUMMYFUNCTION("""COMPUTED_VALUE"""),"UK")</f>
        <v>UK</v>
      </c>
      <c r="E619" s="185" t="str">
        <f>IFERROR(__xludf.DUMMYFUNCTION("""COMPUTED_VALUE"""),"webtonic.io")</f>
        <v>webtonic.io</v>
      </c>
      <c r="F619" s="185" t="str">
        <f>IFERROR(__xludf.DUMMYFUNCTION("""COMPUTED_VALUE"""),"Listicle")</f>
        <v>Listicle</v>
      </c>
      <c r="G619" s="185" t="str">
        <f>IFERROR(__xludf.DUMMYFUNCTION("""COMPUTED_VALUE"""),"CORPORATE")</f>
        <v>CORPORATE</v>
      </c>
      <c r="H619" s="185" t="str">
        <f>IFERROR(__xludf.DUMMYFUNCTION("""COMPUTED_VALUE"""),"No")</f>
        <v>No</v>
      </c>
      <c r="I619" s="185" t="str">
        <f>IFERROR(__xludf.DUMMYFUNCTION("""COMPUTED_VALUE"""),"Low")</f>
        <v>Low</v>
      </c>
      <c r="J619" s="185" t="str">
        <f>IFERROR(__xludf.DUMMYFUNCTION("""COMPUTED_VALUE"""),"Secondary")</f>
        <v>Secondary</v>
      </c>
      <c r="K619" s="185" t="str">
        <f>IFERROR(__xludf.DUMMYFUNCTION("""COMPUTED_VALUE"""),"Mother London, Adam&amp;eveDDB, Uncommon Creative Studio, BBH London, AMV BBDO, Accenture Song, VCCP, Ogilvy, Pablo, Lucky Generals, Saatchi &amp; Saatchi")</f>
        <v>Mother London, Adam&amp;eveDDB, Uncommon Creative Studio, BBH London, AMV BBDO, Accenture Song, VCCP, Ogilvy, Pablo, Lucky Generals, Saatchi &amp; Saatchi</v>
      </c>
      <c r="L619" s="187">
        <f>IFERROR(__xludf.DUMMYFUNCTION("""COMPUTED_VALUE"""),16.0)</f>
        <v>16</v>
      </c>
      <c r="M619" s="188">
        <f>IFERROR(__xludf.DUMMYFUNCTION("""COMPUTED_VALUE"""),0.02)</f>
        <v>0.02</v>
      </c>
      <c r="N619" s="188">
        <f>IFERROR(__xludf.DUMMYFUNCTION("""COMPUTED_VALUE"""),4.94)</f>
        <v>4.94</v>
      </c>
      <c r="O619" s="208"/>
      <c r="P619" s="208"/>
      <c r="Q619" s="208"/>
      <c r="R619" s="208"/>
    </row>
    <row r="620">
      <c r="A620" s="185" t="str">
        <f>IFERROR(__xludf.DUMMYFUNCTION("""COMPUTED_VALUE"""),"Lower-priority competitor/vendor roundup")</f>
        <v>Lower-priority competitor/vendor roundup</v>
      </c>
      <c r="B620" s="186" t="str">
        <f>IFERROR(__xludf.DUMMYFUNCTION("""COMPUTED_VALUE"""),"https://www.cometly.com/post/marketing-attribution-tools-for-agencies")</f>
        <v>https://www.cometly.com/post/marketing-attribution-tools-for-agencies</v>
      </c>
      <c r="C620" s="185" t="str">
        <f>IFERROR(__xludf.DUMMYFUNCTION("""COMPUTED_VALUE"""),"Best Marketing Attribution Tools For Agencies 2026")</f>
        <v>Best Marketing Attribution Tools For Agencies 2026</v>
      </c>
      <c r="D620" s="185" t="str">
        <f>IFERROR(__xludf.DUMMYFUNCTION("""COMPUTED_VALUE"""),"UK")</f>
        <v>UK</v>
      </c>
      <c r="E620" s="185" t="str">
        <f>IFERROR(__xludf.DUMMYFUNCTION("""COMPUTED_VALUE"""),"cometly.com")</f>
        <v>cometly.com</v>
      </c>
      <c r="F620" s="185" t="str">
        <f>IFERROR(__xludf.DUMMYFUNCTION("""COMPUTED_VALUE"""),"Listicle")</f>
        <v>Listicle</v>
      </c>
      <c r="G620" s="185" t="str">
        <f>IFERROR(__xludf.DUMMYFUNCTION("""COMPUTED_VALUE"""),"COMPETITOR")</f>
        <v>COMPETITOR</v>
      </c>
      <c r="H620" s="185" t="str">
        <f>IFERROR(__xludf.DUMMYFUNCTION("""COMPUTED_VALUE"""),"No")</f>
        <v>No</v>
      </c>
      <c r="I620" s="185" t="str">
        <f>IFERROR(__xludf.DUMMYFUNCTION("""COMPUTED_VALUE"""),"Low")</f>
        <v>Low</v>
      </c>
      <c r="J620" s="185" t="str">
        <f>IFERROR(__xludf.DUMMYFUNCTION("""COMPUTED_VALUE"""),"Secondary")</f>
        <v>Secondary</v>
      </c>
      <c r="K620" s="185" t="str">
        <f>IFERROR(__xludf.DUMMYFUNCTION("""COMPUTED_VALUE"""),"Cometly, Triple Whale, Northbeam, Rockerbox, Ruler Analytics")</f>
        <v>Cometly, Triple Whale, Northbeam, Rockerbox, Ruler Analytics</v>
      </c>
      <c r="L620" s="187">
        <f>IFERROR(__xludf.DUMMYFUNCTION("""COMPUTED_VALUE"""),15.0)</f>
        <v>15</v>
      </c>
      <c r="M620" s="188">
        <f>IFERROR(__xludf.DUMMYFUNCTION("""COMPUTED_VALUE"""),0.01)</f>
        <v>0.01</v>
      </c>
      <c r="N620" s="188">
        <f>IFERROR(__xludf.DUMMYFUNCTION("""COMPUTED_VALUE"""),0.47)</f>
        <v>0.47</v>
      </c>
      <c r="O620" s="208"/>
      <c r="P620" s="208"/>
      <c r="Q620" s="208"/>
      <c r="R620" s="208"/>
    </row>
    <row r="621">
      <c r="A621" s="185" t="str">
        <f>IFERROR(__xludf.DUMMYFUNCTION("""COMPUTED_VALUE"""),"Official partner / certification ecosystem")</f>
        <v>Official partner / certification ecosystem</v>
      </c>
      <c r="B621" s="186" t="str">
        <f>IFERROR(__xludf.DUMMYFUNCTION("""COMPUTED_VALUE"""),"https://partnersdirectory.withgoogle.com/intl/en-GB/")</f>
        <v>https://partnersdirectory.withgoogle.com/intl/en-GB/</v>
      </c>
      <c r="C621" s="185" t="str">
        <f>IFERROR(__xludf.DUMMYFUNCTION("""COMPUTED_VALUE"""),"Google Partners directory – Find a Partner for business growth")</f>
        <v>Google Partners directory – Find a Partner for business growth</v>
      </c>
      <c r="D621" s="185" t="str">
        <f>IFERROR(__xludf.DUMMYFUNCTION("""COMPUTED_VALUE"""),"UK")</f>
        <v>UK</v>
      </c>
      <c r="E621" s="185" t="str">
        <f>IFERROR(__xludf.DUMMYFUNCTION("""COMPUTED_VALUE"""),"withgoogle.com")</f>
        <v>withgoogle.com</v>
      </c>
      <c r="F621" s="185" t="str">
        <f>IFERROR(__xludf.DUMMYFUNCTION("""COMPUTED_VALUE"""),"Other")</f>
        <v>Other</v>
      </c>
      <c r="G621" s="185" t="str">
        <f>IFERROR(__xludf.DUMMYFUNCTION("""COMPUTED_VALUE"""),"CORPORATE")</f>
        <v>CORPORATE</v>
      </c>
      <c r="H621" s="185" t="str">
        <f>IFERROR(__xludf.DUMMYFUNCTION("""COMPUTED_VALUE"""),"No")</f>
        <v>No</v>
      </c>
      <c r="I621" s="185" t="str">
        <f>IFERROR(__xludf.DUMMYFUNCTION("""COMPUTED_VALUE"""),"High")</f>
        <v>High</v>
      </c>
      <c r="J621" s="185" t="str">
        <f>IFERROR(__xludf.DUMMYFUNCTION("""COMPUTED_VALUE"""),"Yes - priority")</f>
        <v>Yes - priority</v>
      </c>
      <c r="K621" s="185" t="str">
        <f>IFERROR(__xludf.DUMMYFUNCTION("""COMPUTED_VALUE"""),"Acadia")</f>
        <v>Acadia</v>
      </c>
      <c r="L621" s="187">
        <f>IFERROR(__xludf.DUMMYFUNCTION("""COMPUTED_VALUE"""),15.0)</f>
        <v>15</v>
      </c>
      <c r="M621" s="188">
        <f>IFERROR(__xludf.DUMMYFUNCTION("""COMPUTED_VALUE"""),0.01)</f>
        <v>0.01</v>
      </c>
      <c r="N621" s="188">
        <f>IFERROR(__xludf.DUMMYFUNCTION("""COMPUTED_VALUE"""),0.27)</f>
        <v>0.27</v>
      </c>
      <c r="O621" s="208"/>
      <c r="P621" s="208"/>
      <c r="Q621" s="208"/>
      <c r="R621" s="208"/>
    </row>
    <row r="622">
      <c r="A622" s="185" t="str">
        <f>IFERROR(__xludf.DUMMYFUNCTION("""COMPUTED_VALUE"""),"Agency directory / review marketplace")</f>
        <v>Agency directory / review marketplace</v>
      </c>
      <c r="B622" s="186" t="str">
        <f>IFERROR(__xludf.DUMMYFUNCTION("""COMPUTED_VALUE"""),"https://www.sortlist.co.uk/s/attribution-marketing/london-england-gb")</f>
        <v>https://www.sortlist.co.uk/s/attribution-marketing/london-england-gb</v>
      </c>
      <c r="C622" s="185" t="str">
        <f>IFERROR(__xludf.DUMMYFUNCTION("""COMPUTED_VALUE"""),"The 10 Best Attribution Marketing Agencies in London - 2026 Reviews")</f>
        <v>The 10 Best Attribution Marketing Agencies in London - 2026 Reviews</v>
      </c>
      <c r="D622" s="185" t="str">
        <f>IFERROR(__xludf.DUMMYFUNCTION("""COMPUTED_VALUE"""),"UK")</f>
        <v>UK</v>
      </c>
      <c r="E622" s="185" t="str">
        <f>IFERROR(__xludf.DUMMYFUNCTION("""COMPUTED_VALUE"""),"sortlist.co.uk")</f>
        <v>sortlist.co.uk</v>
      </c>
      <c r="F622" s="185" t="str">
        <f>IFERROR(__xludf.DUMMYFUNCTION("""COMPUTED_VALUE"""),"Category Page")</f>
        <v>Category Page</v>
      </c>
      <c r="G622" s="185" t="str">
        <f>IFERROR(__xludf.DUMMYFUNCTION("""COMPUTED_VALUE"""),"REFERENCE")</f>
        <v>REFERENCE</v>
      </c>
      <c r="H622" s="185" t="str">
        <f>IFERROR(__xludf.DUMMYFUNCTION("""COMPUTED_VALUE"""),"No")</f>
        <v>No</v>
      </c>
      <c r="I622" s="185" t="str">
        <f>IFERROR(__xludf.DUMMYFUNCTION("""COMPUTED_VALUE"""),"Medium")</f>
        <v>Medium</v>
      </c>
      <c r="J622" s="185" t="str">
        <f>IFERROR(__xludf.DUMMYFUNCTION("""COMPUTED_VALUE"""),"Yes")</f>
        <v>Yes</v>
      </c>
      <c r="K622" s="185" t="str">
        <f>IFERROR(__xludf.DUMMYFUNCTION("""COMPUTED_VALUE"""),"GA Agency")</f>
        <v>GA Agency</v>
      </c>
      <c r="L622" s="187">
        <f>IFERROR(__xludf.DUMMYFUNCTION("""COMPUTED_VALUE"""),15.0)</f>
        <v>15</v>
      </c>
      <c r="M622" s="188">
        <f>IFERROR(__xludf.DUMMYFUNCTION("""COMPUTED_VALUE"""),0.01)</f>
        <v>0.01</v>
      </c>
      <c r="N622" s="188">
        <f>IFERROR(__xludf.DUMMYFUNCTION("""COMPUTED_VALUE"""),0.07)</f>
        <v>0.07</v>
      </c>
      <c r="O622" s="208"/>
      <c r="P622" s="208"/>
      <c r="Q622" s="208"/>
      <c r="R622" s="208"/>
    </row>
    <row r="623">
      <c r="A623" s="185" t="str">
        <f>IFERROR(__xludf.DUMMYFUNCTION("""COMPUTED_VALUE"""),"Agency directory / review marketplace")</f>
        <v>Agency directory / review marketplace</v>
      </c>
      <c r="B623" s="186" t="str">
        <f>IFERROR(__xludf.DUMMYFUNCTION("""COMPUTED_VALUE"""),"https://www.sortlist.co.uk/s/display-advertising/london-england-gb")</f>
        <v>https://www.sortlist.co.uk/s/display-advertising/london-england-gb</v>
      </c>
      <c r="C623" s="185" t="str">
        <f>IFERROR(__xludf.DUMMYFUNCTION("""COMPUTED_VALUE"""),"The 10 Best Display Advertising Agencies in London - 2026 Reviews")</f>
        <v>The 10 Best Display Advertising Agencies in London - 2026 Reviews</v>
      </c>
      <c r="D623" s="185" t="str">
        <f>IFERROR(__xludf.DUMMYFUNCTION("""COMPUTED_VALUE"""),"UK")</f>
        <v>UK</v>
      </c>
      <c r="E623" s="185" t="str">
        <f>IFERROR(__xludf.DUMMYFUNCTION("""COMPUTED_VALUE"""),"sortlist.co.uk")</f>
        <v>sortlist.co.uk</v>
      </c>
      <c r="F623" s="185" t="str">
        <f>IFERROR(__xludf.DUMMYFUNCTION("""COMPUTED_VALUE"""),"Category Page")</f>
        <v>Category Page</v>
      </c>
      <c r="G623" s="185" t="str">
        <f>IFERROR(__xludf.DUMMYFUNCTION("""COMPUTED_VALUE"""),"REFERENCE")</f>
        <v>REFERENCE</v>
      </c>
      <c r="H623" s="185" t="str">
        <f>IFERROR(__xludf.DUMMYFUNCTION("""COMPUTED_VALUE"""),"No")</f>
        <v>No</v>
      </c>
      <c r="I623" s="185" t="str">
        <f>IFERROR(__xludf.DUMMYFUNCTION("""COMPUTED_VALUE"""),"Medium")</f>
        <v>Medium</v>
      </c>
      <c r="J623" s="185" t="str">
        <f>IFERROR(__xludf.DUMMYFUNCTION("""COMPUTED_VALUE"""),"Yes")</f>
        <v>Yes</v>
      </c>
      <c r="K623" s="185" t="str">
        <f>IFERROR(__xludf.DUMMYFUNCTION("""COMPUTED_VALUE"""),"Found, Ninja Promo, Momentum, M3.agency, Transmission")</f>
        <v>Found, Ninja Promo, Momentum, M3.agency, Transmission</v>
      </c>
      <c r="L623" s="187">
        <f>IFERROR(__xludf.DUMMYFUNCTION("""COMPUTED_VALUE"""),15.0)</f>
        <v>15</v>
      </c>
      <c r="M623" s="188">
        <f>IFERROR(__xludf.DUMMYFUNCTION("""COMPUTED_VALUE"""),0.01)</f>
        <v>0.01</v>
      </c>
      <c r="N623" s="188">
        <f>IFERROR(__xludf.DUMMYFUNCTION("""COMPUTED_VALUE"""),0.47)</f>
        <v>0.47</v>
      </c>
      <c r="O623" s="208"/>
      <c r="P623" s="208"/>
      <c r="Q623" s="208"/>
      <c r="R623" s="208"/>
    </row>
    <row r="624">
      <c r="A624" s="185" t="str">
        <f>IFERROR(__xludf.DUMMYFUNCTION("""COMPUTED_VALUE"""),"Agency directory / review marketplace")</f>
        <v>Agency directory / review marketplace</v>
      </c>
      <c r="B624" s="186" t="str">
        <f>IFERROR(__xludf.DUMMYFUNCTION("""COMPUTED_VALUE"""),"https://www.sortlist.co.uk/social-media/united-kingdom-gb")</f>
        <v>https://www.sortlist.co.uk/social-media/united-kingdom-gb</v>
      </c>
      <c r="C624" s="185" t="str">
        <f>IFERROR(__xludf.DUMMYFUNCTION("""COMPUTED_VALUE"""),"The 10 Best Social Media Agencies in The United Kingdom - 2026 Reviews")</f>
        <v>The 10 Best Social Media Agencies in The United Kingdom - 2026 Reviews</v>
      </c>
      <c r="D624" s="185" t="str">
        <f>IFERROR(__xludf.DUMMYFUNCTION("""COMPUTED_VALUE"""),"UK")</f>
        <v>UK</v>
      </c>
      <c r="E624" s="185" t="str">
        <f>IFERROR(__xludf.DUMMYFUNCTION("""COMPUTED_VALUE"""),"sortlist.co.uk")</f>
        <v>sortlist.co.uk</v>
      </c>
      <c r="F624" s="185" t="str">
        <f>IFERROR(__xludf.DUMMYFUNCTION("""COMPUTED_VALUE"""),"Category Page")</f>
        <v>Category Page</v>
      </c>
      <c r="G624" s="185" t="str">
        <f>IFERROR(__xludf.DUMMYFUNCTION("""COMPUTED_VALUE"""),"REFERENCE")</f>
        <v>REFERENCE</v>
      </c>
      <c r="H624" s="185" t="str">
        <f>IFERROR(__xludf.DUMMYFUNCTION("""COMPUTED_VALUE"""),"No")</f>
        <v>No</v>
      </c>
      <c r="I624" s="185" t="str">
        <f>IFERROR(__xludf.DUMMYFUNCTION("""COMPUTED_VALUE"""),"Medium")</f>
        <v>Medium</v>
      </c>
      <c r="J624" s="185" t="str">
        <f>IFERROR(__xludf.DUMMYFUNCTION("""COMPUTED_VALUE"""),"Yes")</f>
        <v>Yes</v>
      </c>
      <c r="K624" s="185" t="str">
        <f>IFERROR(__xludf.DUMMYFUNCTION("""COMPUTED_VALUE"""),"Publicis Groupe, Found, Momentum, M3.agency")</f>
        <v>Publicis Groupe, Found, Momentum, M3.agency</v>
      </c>
      <c r="L624" s="187">
        <f>IFERROR(__xludf.DUMMYFUNCTION("""COMPUTED_VALUE"""),15.0)</f>
        <v>15</v>
      </c>
      <c r="M624" s="188">
        <f>IFERROR(__xludf.DUMMYFUNCTION("""COMPUTED_VALUE"""),0.01)</f>
        <v>0.01</v>
      </c>
      <c r="N624" s="188">
        <f>IFERROR(__xludf.DUMMYFUNCTION("""COMPUTED_VALUE"""),0.13)</f>
        <v>0.13</v>
      </c>
      <c r="O624" s="208"/>
      <c r="P624" s="208"/>
      <c r="Q624" s="208"/>
      <c r="R624" s="208"/>
    </row>
    <row r="625">
      <c r="A625" s="185" t="str">
        <f>IFERROR(__xludf.DUMMYFUNCTION("""COMPUTED_VALUE"""),"Agency directory / review marketplace")</f>
        <v>Agency directory / review marketplace</v>
      </c>
      <c r="B625" s="186" t="str">
        <f>IFERROR(__xludf.DUMMYFUNCTION("""COMPUTED_VALUE"""),"https://www.sortlist.co.uk/web-analytics/united-kingdom-gb")</f>
        <v>https://www.sortlist.co.uk/web-analytics/united-kingdom-gb</v>
      </c>
      <c r="C625" s="185" t="str">
        <f>IFERROR(__xludf.DUMMYFUNCTION("""COMPUTED_VALUE"""),"The 10 Best Web Analytics Agencies in The United Kingdom - 2026 Reviews")</f>
        <v>The 10 Best Web Analytics Agencies in The United Kingdom - 2026 Reviews</v>
      </c>
      <c r="D625" s="185" t="str">
        <f>IFERROR(__xludf.DUMMYFUNCTION("""COMPUTED_VALUE"""),"UK")</f>
        <v>UK</v>
      </c>
      <c r="E625" s="185" t="str">
        <f>IFERROR(__xludf.DUMMYFUNCTION("""COMPUTED_VALUE"""),"sortlist.co.uk")</f>
        <v>sortlist.co.uk</v>
      </c>
      <c r="F625" s="185" t="str">
        <f>IFERROR(__xludf.DUMMYFUNCTION("""COMPUTED_VALUE"""),"Category Page")</f>
        <v>Category Page</v>
      </c>
      <c r="G625" s="185" t="str">
        <f>IFERROR(__xludf.DUMMYFUNCTION("""COMPUTED_VALUE"""),"REFERENCE")</f>
        <v>REFERENCE</v>
      </c>
      <c r="H625" s="185" t="str">
        <f>IFERROR(__xludf.DUMMYFUNCTION("""COMPUTED_VALUE"""),"No")</f>
        <v>No</v>
      </c>
      <c r="I625" s="185" t="str">
        <f>IFERROR(__xludf.DUMMYFUNCTION("""COMPUTED_VALUE"""),"Medium")</f>
        <v>Medium</v>
      </c>
      <c r="J625" s="185" t="str">
        <f>IFERROR(__xludf.DUMMYFUNCTION("""COMPUTED_VALUE"""),"Yes")</f>
        <v>Yes</v>
      </c>
      <c r="K625" s="185" t="str">
        <f>IFERROR(__xludf.DUMMYFUNCTION("""COMPUTED_VALUE"""),"Found, Whitehat")</f>
        <v>Found, Whitehat</v>
      </c>
      <c r="L625" s="187">
        <f>IFERROR(__xludf.DUMMYFUNCTION("""COMPUTED_VALUE"""),15.0)</f>
        <v>15</v>
      </c>
      <c r="M625" s="188">
        <f>IFERROR(__xludf.DUMMYFUNCTION("""COMPUTED_VALUE"""),0.01)</f>
        <v>0.01</v>
      </c>
      <c r="N625" s="188">
        <f>IFERROR(__xludf.DUMMYFUNCTION("""COMPUTED_VALUE"""),0.0)</f>
        <v>0</v>
      </c>
      <c r="O625" s="208"/>
      <c r="P625" s="208"/>
      <c r="Q625" s="208"/>
      <c r="R625" s="208"/>
    </row>
    <row r="626">
      <c r="A626" s="185" t="str">
        <f>IFERROR(__xludf.DUMMYFUNCTION("""COMPUTED_VALUE"""),"Lower-priority competitor/vendor roundup")</f>
        <v>Lower-priority competitor/vendor roundup</v>
      </c>
      <c r="B626" s="186" t="str">
        <f>IFERROR(__xludf.DUMMYFUNCTION("""COMPUTED_VALUE"""),"https://www.webtonic.io/blog/top-digital-marketing-agencies-uk")</f>
        <v>https://www.webtonic.io/blog/top-digital-marketing-agencies-uk</v>
      </c>
      <c r="C626" s="185" t="str">
        <f>IFERROR(__xludf.DUMMYFUNCTION("""COMPUTED_VALUE"""),"Top 46 Digital Marketing Agencies in the UK (Reviewed in 2026)")</f>
        <v>Top 46 Digital Marketing Agencies in the UK (Reviewed in 2026)</v>
      </c>
      <c r="D626" s="185" t="str">
        <f>IFERROR(__xludf.DUMMYFUNCTION("""COMPUTED_VALUE"""),"UK")</f>
        <v>UK</v>
      </c>
      <c r="E626" s="185" t="str">
        <f>IFERROR(__xludf.DUMMYFUNCTION("""COMPUTED_VALUE"""),"webtonic.io")</f>
        <v>webtonic.io</v>
      </c>
      <c r="F626" s="185" t="str">
        <f>IFERROR(__xludf.DUMMYFUNCTION("""COMPUTED_VALUE"""),"Listicle")</f>
        <v>Listicle</v>
      </c>
      <c r="G626" s="185" t="str">
        <f>IFERROR(__xludf.DUMMYFUNCTION("""COMPUTED_VALUE"""),"CORPORATE")</f>
        <v>CORPORATE</v>
      </c>
      <c r="H626" s="185" t="str">
        <f>IFERROR(__xludf.DUMMYFUNCTION("""COMPUTED_VALUE"""),"No")</f>
        <v>No</v>
      </c>
      <c r="I626" s="185" t="str">
        <f>IFERROR(__xludf.DUMMYFUNCTION("""COMPUTED_VALUE"""),"Low")</f>
        <v>Low</v>
      </c>
      <c r="J626" s="185" t="str">
        <f>IFERROR(__xludf.DUMMYFUNCTION("""COMPUTED_VALUE"""),"Secondary")</f>
        <v>Secondary</v>
      </c>
      <c r="K626" s="185" t="str">
        <f>IFERROR(__xludf.DUMMYFUNCTION("""COMPUTED_VALUE"""),"ClickSlice, Ignite Visibility, Hallam, The Social Shepherd, Ninja Promo, Favoured, Whitehat, Omniscient Digital, Found, Make Agency, FirstMotion, Soap Media, ROAST, The SEO Works, Bird Marketing, Propeller, Gripped, M3.agency, Momentum")</f>
        <v>ClickSlice, Ignite Visibility, Hallam, The Social Shepherd, Ninja Promo, Favoured, Whitehat, Omniscient Digital, Found, Make Agency, FirstMotion, Soap Media, ROAST, The SEO Works, Bird Marketing, Propeller, Gripped, M3.agency, Momentum</v>
      </c>
      <c r="L626" s="187">
        <f>IFERROR(__xludf.DUMMYFUNCTION("""COMPUTED_VALUE"""),14.0)</f>
        <v>14</v>
      </c>
      <c r="M626" s="188">
        <f>IFERROR(__xludf.DUMMYFUNCTION("""COMPUTED_VALUE"""),0.01)</f>
        <v>0.01</v>
      </c>
      <c r="N626" s="188">
        <f>IFERROR(__xludf.DUMMYFUNCTION("""COMPUTED_VALUE"""),1.0)</f>
        <v>1</v>
      </c>
      <c r="O626" s="208"/>
      <c r="P626" s="208"/>
      <c r="Q626" s="208"/>
      <c r="R626" s="208"/>
    </row>
    <row r="627">
      <c r="A627" s="185" t="str">
        <f>IFERROR(__xludf.DUMMYFUNCTION("""COMPUTED_VALUE"""),"Industry data / software authority")</f>
        <v>Industry data / software authority</v>
      </c>
      <c r="B627" s="186" t="str">
        <f>IFERROR(__xludf.DUMMYFUNCTION("""COMPUTED_VALUE"""),"https://agencies.semrush.com/list/display-advertising/united-kingdom/small-business/")</f>
        <v>https://agencies.semrush.com/list/display-advertising/united-kingdom/small-business/</v>
      </c>
      <c r="C627" s="185" t="str">
        <f>IFERROR(__xludf.DUMMYFUNCTION("""COMPUTED_VALUE"""),"Best Display Ads Agencies for Small Business in United Kingdom 2026 | Semrush")</f>
        <v>Best Display Ads Agencies for Small Business in United Kingdom 2026 | Semrush</v>
      </c>
      <c r="D627" s="185" t="str">
        <f>IFERROR(__xludf.DUMMYFUNCTION("""COMPUTED_VALUE"""),"UK")</f>
        <v>UK</v>
      </c>
      <c r="E627" s="185" t="str">
        <f>IFERROR(__xludf.DUMMYFUNCTION("""COMPUTED_VALUE"""),"semrush.com")</f>
        <v>semrush.com</v>
      </c>
      <c r="F627" s="185" t="str">
        <f>IFERROR(__xludf.DUMMYFUNCTION("""COMPUTED_VALUE"""),"Other")</f>
        <v>Other</v>
      </c>
      <c r="G627" s="185" t="str">
        <f>IFERROR(__xludf.DUMMYFUNCTION("""COMPUTED_VALUE"""),"CORPORATE")</f>
        <v>CORPORATE</v>
      </c>
      <c r="H627" s="185" t="str">
        <f>IFERROR(__xludf.DUMMYFUNCTION("""COMPUTED_VALUE"""),"No")</f>
        <v>No</v>
      </c>
      <c r="I627" s="185" t="str">
        <f>IFERROR(__xludf.DUMMYFUNCTION("""COMPUTED_VALUE"""),"Medium")</f>
        <v>Medium</v>
      </c>
      <c r="J627" s="185" t="str">
        <f>IFERROR(__xludf.DUMMYFUNCTION("""COMPUTED_VALUE"""),"Yes")</f>
        <v>Yes</v>
      </c>
      <c r="K627" s="185" t="str">
        <f>IFERROR(__xludf.DUMMYFUNCTION("""COMPUTED_VALUE"""),"Found, Soap Media, The SEO Works")</f>
        <v>Found, Soap Media, The SEO Works</v>
      </c>
      <c r="L627" s="187">
        <f>IFERROR(__xludf.DUMMYFUNCTION("""COMPUTED_VALUE"""),13.0)</f>
        <v>13</v>
      </c>
      <c r="M627" s="188">
        <f>IFERROR(__xludf.DUMMYFUNCTION("""COMPUTED_VALUE"""),0.01)</f>
        <v>0.01</v>
      </c>
      <c r="N627" s="188">
        <f>IFERROR(__xludf.DUMMYFUNCTION("""COMPUTED_VALUE"""),0.0)</f>
        <v>0</v>
      </c>
      <c r="O627" s="208"/>
      <c r="P627" s="208"/>
      <c r="Q627" s="208"/>
      <c r="R627" s="208"/>
    </row>
    <row r="628">
      <c r="A628" s="185" t="str">
        <f>IFERROR(__xludf.DUMMYFUNCTION("""COMPUTED_VALUE"""),"Agency directory / review marketplace")</f>
        <v>Agency directory / review marketplace</v>
      </c>
      <c r="B628" s="186" t="str">
        <f>IFERROR(__xludf.DUMMYFUNCTION("""COMPUTED_VALUE"""),"https://clutch.co/consulting/ai/strategy/uk")</f>
        <v>https://clutch.co/consulting/ai/strategy/uk</v>
      </c>
      <c r="C628" s="185" t="str">
        <f>IFERROR(__xludf.DUMMYFUNCTION("""COMPUTED_VALUE"""),"Top AI Strategy Companies in the United Kingdom - Jul 2026 Rankings \| Clutch.co")</f>
        <v>Top AI Strategy Companies in the United Kingdom - Jul 2026 Rankings \| Clutch.co</v>
      </c>
      <c r="D628" s="185" t="str">
        <f>IFERROR(__xludf.DUMMYFUNCTION("""COMPUTED_VALUE"""),"UK")</f>
        <v>UK</v>
      </c>
      <c r="E628" s="185" t="str">
        <f>IFERROR(__xludf.DUMMYFUNCTION("""COMPUTED_VALUE"""),"clutch.co")</f>
        <v>clutch.co</v>
      </c>
      <c r="F628" s="185" t="str">
        <f>IFERROR(__xludf.DUMMYFUNCTION("""COMPUTED_VALUE"""),"Category Page")</f>
        <v>Category Page</v>
      </c>
      <c r="G628" s="185" t="str">
        <f>IFERROR(__xludf.DUMMYFUNCTION("""COMPUTED_VALUE"""),"CORPORATE")</f>
        <v>CORPORATE</v>
      </c>
      <c r="H628" s="185" t="str">
        <f>IFERROR(__xludf.DUMMYFUNCTION("""COMPUTED_VALUE"""),"No")</f>
        <v>No</v>
      </c>
      <c r="I628" s="185" t="str">
        <f>IFERROR(__xludf.DUMMYFUNCTION("""COMPUTED_VALUE"""),"Medium")</f>
        <v>Medium</v>
      </c>
      <c r="J628" s="185" t="str">
        <f>IFERROR(__xludf.DUMMYFUNCTION("""COMPUTED_VALUE"""),"Yes")</f>
        <v>Yes</v>
      </c>
      <c r="K628" s="185" t="str">
        <f>IFERROR(__xludf.DUMMYFUNCTION("""COMPUTED_VALUE"""),"Found, Impression")</f>
        <v>Found, Impression</v>
      </c>
      <c r="L628" s="187">
        <f>IFERROR(__xludf.DUMMYFUNCTION("""COMPUTED_VALUE"""),13.0)</f>
        <v>13</v>
      </c>
      <c r="M628" s="188">
        <f>IFERROR(__xludf.DUMMYFUNCTION("""COMPUTED_VALUE"""),0.01)</f>
        <v>0.01</v>
      </c>
      <c r="N628" s="188">
        <f>IFERROR(__xludf.DUMMYFUNCTION("""COMPUTED_VALUE"""),0.23)</f>
        <v>0.23</v>
      </c>
      <c r="O628" s="208"/>
      <c r="P628" s="208"/>
      <c r="Q628" s="208"/>
      <c r="R628" s="208"/>
    </row>
    <row r="629">
      <c r="A629" s="185" t="str">
        <f>IFERROR(__xludf.DUMMYFUNCTION("""COMPUTED_VALUE"""),"Agency directory / review marketplace")</f>
        <v>Agency directory / review marketplace</v>
      </c>
      <c r="B629" s="186" t="str">
        <f>IFERROR(__xludf.DUMMYFUNCTION("""COMPUTED_VALUE"""),"https://clutch.co/consulting/ai/uk/england/london")</f>
        <v>https://clutch.co/consulting/ai/uk/england/london</v>
      </c>
      <c r="C629" s="185" t="str">
        <f>IFERROR(__xludf.DUMMYFUNCTION("""COMPUTED_VALUE"""),"Top AI Consulting Agencies in London - Jul 2026 Rankings \| Clutch.co")</f>
        <v>Top AI Consulting Agencies in London - Jul 2026 Rankings \| Clutch.co</v>
      </c>
      <c r="D629" s="185" t="str">
        <f>IFERROR(__xludf.DUMMYFUNCTION("""COMPUTED_VALUE"""),"UK")</f>
        <v>UK</v>
      </c>
      <c r="E629" s="185" t="str">
        <f>IFERROR(__xludf.DUMMYFUNCTION("""COMPUTED_VALUE"""),"clutch.co")</f>
        <v>clutch.co</v>
      </c>
      <c r="F629" s="185" t="str">
        <f>IFERROR(__xludf.DUMMYFUNCTION("""COMPUTED_VALUE"""),"Category Page")</f>
        <v>Category Page</v>
      </c>
      <c r="G629" s="185" t="str">
        <f>IFERROR(__xludf.DUMMYFUNCTION("""COMPUTED_VALUE"""),"CORPORATE")</f>
        <v>CORPORATE</v>
      </c>
      <c r="H629" s="185" t="str">
        <f>IFERROR(__xludf.DUMMYFUNCTION("""COMPUTED_VALUE"""),"No")</f>
        <v>No</v>
      </c>
      <c r="I629" s="185" t="str">
        <f>IFERROR(__xludf.DUMMYFUNCTION("""COMPUTED_VALUE"""),"Medium")</f>
        <v>Medium</v>
      </c>
      <c r="J629" s="185" t="str">
        <f>IFERROR(__xludf.DUMMYFUNCTION("""COMPUTED_VALUE"""),"Yes")</f>
        <v>Yes</v>
      </c>
      <c r="K629" s="185" t="str">
        <f>IFERROR(__xludf.DUMMYFUNCTION("""COMPUTED_VALUE"""),"Momentum, Impression, Found")</f>
        <v>Momentum, Impression, Found</v>
      </c>
      <c r="L629" s="187">
        <f>IFERROR(__xludf.DUMMYFUNCTION("""COMPUTED_VALUE"""),12.0)</f>
        <v>12</v>
      </c>
      <c r="M629" s="188">
        <f>IFERROR(__xludf.DUMMYFUNCTION("""COMPUTED_VALUE"""),0.01)</f>
        <v>0.01</v>
      </c>
      <c r="N629" s="188">
        <f>IFERROR(__xludf.DUMMYFUNCTION("""COMPUTED_VALUE"""),0.17)</f>
        <v>0.17</v>
      </c>
      <c r="O629" s="208"/>
      <c r="P629" s="208"/>
      <c r="Q629" s="208"/>
      <c r="R629" s="208"/>
    </row>
    <row r="630">
      <c r="A630" s="185" t="str">
        <f>IFERROR(__xludf.DUMMYFUNCTION("""COMPUTED_VALUE"""),"Lower-priority competitor/vendor roundup")</f>
        <v>Lower-priority competitor/vendor roundup</v>
      </c>
      <c r="B630" s="186" t="str">
        <f>IFERROR(__xludf.DUMMYFUNCTION("""COMPUTED_VALUE"""),"https://www.cometly.com/post/marketing-attribution-consultant-services")</f>
        <v>https://www.cometly.com/post/marketing-attribution-consultant-services</v>
      </c>
      <c r="C630" s="185" t="str">
        <f>IFERROR(__xludf.DUMMYFUNCTION("""COMPUTED_VALUE"""),"Best Marketing Attribution Consultant Services 2026")</f>
        <v>Best Marketing Attribution Consultant Services 2026</v>
      </c>
      <c r="D630" s="185" t="str">
        <f>IFERROR(__xludf.DUMMYFUNCTION("""COMPUTED_VALUE"""),"UK")</f>
        <v>UK</v>
      </c>
      <c r="E630" s="185" t="str">
        <f>IFERROR(__xludf.DUMMYFUNCTION("""COMPUTED_VALUE"""),"cometly.com")</f>
        <v>cometly.com</v>
      </c>
      <c r="F630" s="185" t="str">
        <f>IFERROR(__xludf.DUMMYFUNCTION("""COMPUTED_VALUE"""),"Listicle")</f>
        <v>Listicle</v>
      </c>
      <c r="G630" s="185" t="str">
        <f>IFERROR(__xludf.DUMMYFUNCTION("""COMPUTED_VALUE"""),"COMPETITOR")</f>
        <v>COMPETITOR</v>
      </c>
      <c r="H630" s="185" t="str">
        <f>IFERROR(__xludf.DUMMYFUNCTION("""COMPUTED_VALUE"""),"No")</f>
        <v>No</v>
      </c>
      <c r="I630" s="185" t="str">
        <f>IFERROR(__xludf.DUMMYFUNCTION("""COMPUTED_VALUE"""),"Low")</f>
        <v>Low</v>
      </c>
      <c r="J630" s="185" t="str">
        <f>IFERROR(__xludf.DUMMYFUNCTION("""COMPUTED_VALUE"""),"Secondary")</f>
        <v>Secondary</v>
      </c>
      <c r="K630" s="185" t="str">
        <f>IFERROR(__xludf.DUMMYFUNCTION("""COMPUTED_VALUE"""),"Cometly, Measured, Rockerbox, Northbeam, Triple Whale, Ruler Analytics")</f>
        <v>Cometly, Measured, Rockerbox, Northbeam, Triple Whale, Ruler Analytics</v>
      </c>
      <c r="L630" s="187">
        <f>IFERROR(__xludf.DUMMYFUNCTION("""COMPUTED_VALUE"""),12.0)</f>
        <v>12</v>
      </c>
      <c r="M630" s="188">
        <f>IFERROR(__xludf.DUMMYFUNCTION("""COMPUTED_VALUE"""),0.01)</f>
        <v>0.01</v>
      </c>
      <c r="N630" s="188">
        <f>IFERROR(__xludf.DUMMYFUNCTION("""COMPUTED_VALUE"""),0.0)</f>
        <v>0</v>
      </c>
      <c r="O630" s="208"/>
      <c r="P630" s="208"/>
      <c r="Q630" s="208"/>
      <c r="R630" s="208"/>
    </row>
    <row r="631">
      <c r="A631" s="185" t="str">
        <f>IFERROR(__xludf.DUMMYFUNCTION("""COMPUTED_VALUE"""),"Official partner / certification ecosystem")</f>
        <v>Official partner / certification ecosystem</v>
      </c>
      <c r="B631" s="186" t="str">
        <f>IFERROR(__xludf.DUMMYFUNCTION("""COMPUTED_VALUE"""),"https://www.partnersdirectory.withgoogle.com/")</f>
        <v>https://www.partnersdirectory.withgoogle.com/</v>
      </c>
      <c r="C631" s="185" t="str">
        <f>IFERROR(__xludf.DUMMYFUNCTION("""COMPUTED_VALUE"""),"Google Partners Directory - Find a Partner for Business Growth")</f>
        <v>Google Partners Directory - Find a Partner for Business Growth</v>
      </c>
      <c r="D631" s="185" t="str">
        <f>IFERROR(__xludf.DUMMYFUNCTION("""COMPUTED_VALUE"""),"UK")</f>
        <v>UK</v>
      </c>
      <c r="E631" s="185" t="str">
        <f>IFERROR(__xludf.DUMMYFUNCTION("""COMPUTED_VALUE"""),"withgoogle.com")</f>
        <v>withgoogle.com</v>
      </c>
      <c r="F631" s="185" t="str">
        <f>IFERROR(__xludf.DUMMYFUNCTION("""COMPUTED_VALUE"""),"Homepage")</f>
        <v>Homepage</v>
      </c>
      <c r="G631" s="185" t="str">
        <f>IFERROR(__xludf.DUMMYFUNCTION("""COMPUTED_VALUE"""),"CORPORATE")</f>
        <v>CORPORATE</v>
      </c>
      <c r="H631" s="185" t="str">
        <f>IFERROR(__xludf.DUMMYFUNCTION("""COMPUTED_VALUE"""),"No")</f>
        <v>No</v>
      </c>
      <c r="I631" s="185" t="str">
        <f>IFERROR(__xludf.DUMMYFUNCTION("""COMPUTED_VALUE"""),"High")</f>
        <v>High</v>
      </c>
      <c r="J631" s="185" t="str">
        <f>IFERROR(__xludf.DUMMYFUNCTION("""COMPUTED_VALUE"""),"Yes - priority")</f>
        <v>Yes - priority</v>
      </c>
      <c r="K631" s="185" t="str">
        <f>IFERROR(__xludf.DUMMYFUNCTION("""COMPUTED_VALUE"""),"Acadia")</f>
        <v>Acadia</v>
      </c>
      <c r="L631" s="187">
        <f>IFERROR(__xludf.DUMMYFUNCTION("""COMPUTED_VALUE"""),12.0)</f>
        <v>12</v>
      </c>
      <c r="M631" s="188">
        <f>IFERROR(__xludf.DUMMYFUNCTION("""COMPUTED_VALUE"""),0.01)</f>
        <v>0.01</v>
      </c>
      <c r="N631" s="188">
        <f>IFERROR(__xludf.DUMMYFUNCTION("""COMPUTED_VALUE"""),1.17)</f>
        <v>1.17</v>
      </c>
      <c r="O631" s="208"/>
      <c r="P631" s="208"/>
      <c r="Q631" s="208"/>
      <c r="R631" s="208"/>
    </row>
    <row r="632">
      <c r="A632" s="185" t="str">
        <f>IFERROR(__xludf.DUMMYFUNCTION("""COMPUTED_VALUE"""),"Trade media / editorial publication")</f>
        <v>Trade media / editorial publication</v>
      </c>
      <c r="B632" s="186" t="str">
        <f>IFERROR(__xludf.DUMMYFUNCTION("""COMPUTED_VALUE"""),"https://seocompare.co.uk/ai-seo-agency-uk/")</f>
        <v>https://seocompare.co.uk/ai-seo-agency-uk/</v>
      </c>
      <c r="C632" s="185" t="str">
        <f>IFERROR(__xludf.DUMMYFUNCTION("""COMPUTED_VALUE"""),"AI SEO Agency UK 2026: 7 Best, Compared and Rated | SEOCompare")</f>
        <v>AI SEO Agency UK 2026: 7 Best, Compared and Rated | SEOCompare</v>
      </c>
      <c r="D632" s="185" t="str">
        <f>IFERROR(__xludf.DUMMYFUNCTION("""COMPUTED_VALUE"""),"UK")</f>
        <v>UK</v>
      </c>
      <c r="E632" s="185" t="str">
        <f>IFERROR(__xludf.DUMMYFUNCTION("""COMPUTED_VALUE"""),"seocompare.co.uk")</f>
        <v>seocompare.co.uk</v>
      </c>
      <c r="F632" s="185" t="str">
        <f>IFERROR(__xludf.DUMMYFUNCTION("""COMPUTED_VALUE"""),"Listicle")</f>
        <v>Listicle</v>
      </c>
      <c r="G632" s="185" t="str">
        <f>IFERROR(__xludf.DUMMYFUNCTION("""COMPUTED_VALUE"""),"EDITORIAL")</f>
        <v>EDITORIAL</v>
      </c>
      <c r="H632" s="185" t="str">
        <f>IFERROR(__xludf.DUMMYFUNCTION("""COMPUTED_VALUE"""),"No")</f>
        <v>No</v>
      </c>
      <c r="I632" s="185" t="str">
        <f>IFERROR(__xludf.DUMMYFUNCTION("""COMPUTED_VALUE"""),"Low")</f>
        <v>Low</v>
      </c>
      <c r="J632" s="185" t="str">
        <f>IFERROR(__xludf.DUMMYFUNCTION("""COMPUTED_VALUE"""),"Secondary")</f>
        <v>Secondary</v>
      </c>
      <c r="K632" s="185" t="str">
        <f>IFERROR(__xludf.DUMMYFUNCTION("""COMPUTED_VALUE"""),"Rank4AI, ClickSlice, Found")</f>
        <v>Rank4AI, ClickSlice, Found</v>
      </c>
      <c r="L632" s="187">
        <f>IFERROR(__xludf.DUMMYFUNCTION("""COMPUTED_VALUE"""),12.0)</f>
        <v>12</v>
      </c>
      <c r="M632" s="188">
        <f>IFERROR(__xludf.DUMMYFUNCTION("""COMPUTED_VALUE"""),0.01)</f>
        <v>0.01</v>
      </c>
      <c r="N632" s="188">
        <f>IFERROR(__xludf.DUMMYFUNCTION("""COMPUTED_VALUE"""),1.25)</f>
        <v>1.25</v>
      </c>
      <c r="O632" s="208"/>
      <c r="P632" s="208"/>
      <c r="Q632" s="208"/>
      <c r="R632" s="208"/>
    </row>
    <row r="633">
      <c r="A633" s="185" t="str">
        <f>IFERROR(__xludf.DUMMYFUNCTION("""COMPUTED_VALUE"""),"Trade media / editorial publication")</f>
        <v>Trade media / editorial publication</v>
      </c>
      <c r="B633" s="186" t="str">
        <f>IFERROR(__xludf.DUMMYFUNCTION("""COMPUTED_VALUE"""),"https://seocompare.co.uk/best-ai-search-agencies/")</f>
        <v>https://seocompare.co.uk/best-ai-search-agencies/</v>
      </c>
      <c r="C633" s="185" t="str">
        <f>IFERROR(__xludf.DUMMYFUNCTION("""COMPUTED_VALUE"""),"Best AI Search Agencies UK: 14 Compared 2026")</f>
        <v>Best AI Search Agencies UK: 14 Compared 2026</v>
      </c>
      <c r="D633" s="185" t="str">
        <f>IFERROR(__xludf.DUMMYFUNCTION("""COMPUTED_VALUE"""),"UK")</f>
        <v>UK</v>
      </c>
      <c r="E633" s="185" t="str">
        <f>IFERROR(__xludf.DUMMYFUNCTION("""COMPUTED_VALUE"""),"seocompare.co.uk")</f>
        <v>seocompare.co.uk</v>
      </c>
      <c r="F633" s="185" t="str">
        <f>IFERROR(__xludf.DUMMYFUNCTION("""COMPUTED_VALUE"""),"Comparison")</f>
        <v>Comparison</v>
      </c>
      <c r="G633" s="185" t="str">
        <f>IFERROR(__xludf.DUMMYFUNCTION("""COMPUTED_VALUE"""),"EDITORIAL")</f>
        <v>EDITORIAL</v>
      </c>
      <c r="H633" s="185" t="str">
        <f>IFERROR(__xludf.DUMMYFUNCTION("""COMPUTED_VALUE"""),"No")</f>
        <v>No</v>
      </c>
      <c r="I633" s="185" t="str">
        <f>IFERROR(__xludf.DUMMYFUNCTION("""COMPUTED_VALUE"""),"Low")</f>
        <v>Low</v>
      </c>
      <c r="J633" s="185" t="str">
        <f>IFERROR(__xludf.DUMMYFUNCTION("""COMPUTED_VALUE"""),"Secondary")</f>
        <v>Secondary</v>
      </c>
      <c r="K633" s="185" t="str">
        <f>IFERROR(__xludf.DUMMYFUNCTION("""COMPUTED_VALUE"""),"Rank4AI, Directive Consulting, Omniscient Digital, Siege Media, Ignite Visibility")</f>
        <v>Rank4AI, Directive Consulting, Omniscient Digital, Siege Media, Ignite Visibility</v>
      </c>
      <c r="L633" s="187">
        <f>IFERROR(__xludf.DUMMYFUNCTION("""COMPUTED_VALUE"""),12.0)</f>
        <v>12</v>
      </c>
      <c r="M633" s="188">
        <f>IFERROR(__xludf.DUMMYFUNCTION("""COMPUTED_VALUE"""),0.01)</f>
        <v>0.01</v>
      </c>
      <c r="N633" s="188">
        <f>IFERROR(__xludf.DUMMYFUNCTION("""COMPUTED_VALUE"""),0.83)</f>
        <v>0.83</v>
      </c>
      <c r="O633" s="208"/>
      <c r="P633" s="208"/>
      <c r="Q633" s="208"/>
      <c r="R633" s="208"/>
    </row>
    <row r="634">
      <c r="A634" s="185" t="str">
        <f>IFERROR(__xludf.DUMMYFUNCTION("""COMPUTED_VALUE"""),"Industry data / software authority")</f>
        <v>Industry data / software authority</v>
      </c>
      <c r="B634" s="186" t="str">
        <f>IFERROR(__xludf.DUMMYFUNCTION("""COMPUTED_VALUE"""),"https://agencies.semrush.com/list/display-advertising/london-city/small-business/")</f>
        <v>https://agencies.semrush.com/list/display-advertising/london-city/small-business/</v>
      </c>
      <c r="C634" s="185" t="str">
        <f>IFERROR(__xludf.DUMMYFUNCTION("""COMPUTED_VALUE"""),"Best Display Ads Agencies for Small Business in London 2026 | Semrush")</f>
        <v>Best Display Ads Agencies for Small Business in London 2026 | Semrush</v>
      </c>
      <c r="D634" s="185" t="str">
        <f>IFERROR(__xludf.DUMMYFUNCTION("""COMPUTED_VALUE"""),"UK")</f>
        <v>UK</v>
      </c>
      <c r="E634" s="185" t="str">
        <f>IFERROR(__xludf.DUMMYFUNCTION("""COMPUTED_VALUE"""),"semrush.com")</f>
        <v>semrush.com</v>
      </c>
      <c r="F634" s="185" t="str">
        <f>IFERROR(__xludf.DUMMYFUNCTION("""COMPUTED_VALUE"""),"Category Page")</f>
        <v>Category Page</v>
      </c>
      <c r="G634" s="185" t="str">
        <f>IFERROR(__xludf.DUMMYFUNCTION("""COMPUTED_VALUE"""),"CORPORATE")</f>
        <v>CORPORATE</v>
      </c>
      <c r="H634" s="185" t="str">
        <f>IFERROR(__xludf.DUMMYFUNCTION("""COMPUTED_VALUE"""),"No")</f>
        <v>No</v>
      </c>
      <c r="I634" s="185" t="str">
        <f>IFERROR(__xludf.DUMMYFUNCTION("""COMPUTED_VALUE"""),"Medium")</f>
        <v>Medium</v>
      </c>
      <c r="J634" s="185" t="str">
        <f>IFERROR(__xludf.DUMMYFUNCTION("""COMPUTED_VALUE"""),"Yes")</f>
        <v>Yes</v>
      </c>
      <c r="K634" s="185" t="str">
        <f>IFERROR(__xludf.DUMMYFUNCTION("""COMPUTED_VALUE"""),"The SEO Works, Found, Measured")</f>
        <v>The SEO Works, Found, Measured</v>
      </c>
      <c r="L634" s="187">
        <f>IFERROR(__xludf.DUMMYFUNCTION("""COMPUTED_VALUE"""),11.0)</f>
        <v>11</v>
      </c>
      <c r="M634" s="188">
        <f>IFERROR(__xludf.DUMMYFUNCTION("""COMPUTED_VALUE"""),0.01)</f>
        <v>0.01</v>
      </c>
      <c r="N634" s="188">
        <f>IFERROR(__xludf.DUMMYFUNCTION("""COMPUTED_VALUE"""),0.09)</f>
        <v>0.09</v>
      </c>
      <c r="O634" s="208"/>
      <c r="P634" s="208"/>
      <c r="Q634" s="208"/>
      <c r="R634" s="208"/>
    </row>
    <row r="635">
      <c r="A635" s="185" t="str">
        <f>IFERROR(__xludf.DUMMYFUNCTION("""COMPUTED_VALUE"""),"Agency directory / review marketplace")</f>
        <v>Agency directory / review marketplace</v>
      </c>
      <c r="B635" s="186" t="str">
        <f>IFERROR(__xludf.DUMMYFUNCTION("""COMPUTED_VALUE"""),"https://clutch.co/agencies/digital/uk")</f>
        <v>https://clutch.co/agencies/digital/uk</v>
      </c>
      <c r="C635" s="185" t="str">
        <f>IFERROR(__xludf.DUMMYFUNCTION("""COMPUTED_VALUE"""),"Top Full-Service Digital Agencies in the United Kingdom - Jul 2026 Rankings | Clutch.co")</f>
        <v>Top Full-Service Digital Agencies in the United Kingdom - Jul 2026 Rankings | Clutch.co</v>
      </c>
      <c r="D635" s="185" t="str">
        <f>IFERROR(__xludf.DUMMYFUNCTION("""COMPUTED_VALUE"""),"UK")</f>
        <v>UK</v>
      </c>
      <c r="E635" s="185" t="str">
        <f>IFERROR(__xludf.DUMMYFUNCTION("""COMPUTED_VALUE"""),"clutch.co")</f>
        <v>clutch.co</v>
      </c>
      <c r="F635" s="185" t="str">
        <f>IFERROR(__xludf.DUMMYFUNCTION("""COMPUTED_VALUE"""),"Category Page")</f>
        <v>Category Page</v>
      </c>
      <c r="G635" s="185" t="str">
        <f>IFERROR(__xludf.DUMMYFUNCTION("""COMPUTED_VALUE"""),"CORPORATE")</f>
        <v>CORPORATE</v>
      </c>
      <c r="H635" s="185" t="str">
        <f>IFERROR(__xludf.DUMMYFUNCTION("""COMPUTED_VALUE"""),"No")</f>
        <v>No</v>
      </c>
      <c r="I635" s="185" t="str">
        <f>IFERROR(__xludf.DUMMYFUNCTION("""COMPUTED_VALUE"""),"Medium")</f>
        <v>Medium</v>
      </c>
      <c r="J635" s="185" t="str">
        <f>IFERROR(__xludf.DUMMYFUNCTION("""COMPUTED_VALUE"""),"Yes")</f>
        <v>Yes</v>
      </c>
      <c r="K635" s="185" t="str">
        <f>IFERROR(__xludf.DUMMYFUNCTION("""COMPUTED_VALUE"""),"Soap Media, Favoured, Momentum, Impression, M3.agency, The SEO Works")</f>
        <v>Soap Media, Favoured, Momentum, Impression, M3.agency, The SEO Works</v>
      </c>
      <c r="L635" s="187">
        <f>IFERROR(__xludf.DUMMYFUNCTION("""COMPUTED_VALUE"""),11.0)</f>
        <v>11</v>
      </c>
      <c r="M635" s="188">
        <f>IFERROR(__xludf.DUMMYFUNCTION("""COMPUTED_VALUE"""),0.01)</f>
        <v>0.01</v>
      </c>
      <c r="N635" s="188">
        <f>IFERROR(__xludf.DUMMYFUNCTION("""COMPUTED_VALUE"""),0.18)</f>
        <v>0.18</v>
      </c>
      <c r="O635" s="208"/>
      <c r="P635" s="208"/>
      <c r="Q635" s="208"/>
      <c r="R635" s="208"/>
    </row>
    <row r="636">
      <c r="A636" s="185" t="str">
        <f>IFERROR(__xludf.DUMMYFUNCTION("""COMPUTED_VALUE"""),"Lower-priority competitor/vendor roundup")</f>
        <v>Lower-priority competitor/vendor roundup</v>
      </c>
      <c r="B636" s="186" t="str">
        <f>IFERROR(__xludf.DUMMYFUNCTION("""COMPUTED_VALUE"""),"https://www.cometly.com/post/marketing-attribution-platform-for-agencies")</f>
        <v>https://www.cometly.com/post/marketing-attribution-platform-for-agencies</v>
      </c>
      <c r="C636" s="185" t="str">
        <f>IFERROR(__xludf.DUMMYFUNCTION("""COMPUTED_VALUE"""),"Best Marketing Attribution Platform For Agencies 2026")</f>
        <v>Best Marketing Attribution Platform For Agencies 2026</v>
      </c>
      <c r="D636" s="185" t="str">
        <f>IFERROR(__xludf.DUMMYFUNCTION("""COMPUTED_VALUE"""),"UK")</f>
        <v>UK</v>
      </c>
      <c r="E636" s="185" t="str">
        <f>IFERROR(__xludf.DUMMYFUNCTION("""COMPUTED_VALUE"""),"cometly.com")</f>
        <v>cometly.com</v>
      </c>
      <c r="F636" s="185" t="str">
        <f>IFERROR(__xludf.DUMMYFUNCTION("""COMPUTED_VALUE"""),"Listicle")</f>
        <v>Listicle</v>
      </c>
      <c r="G636" s="185" t="str">
        <f>IFERROR(__xludf.DUMMYFUNCTION("""COMPUTED_VALUE"""),"COMPETITOR")</f>
        <v>COMPETITOR</v>
      </c>
      <c r="H636" s="185" t="str">
        <f>IFERROR(__xludf.DUMMYFUNCTION("""COMPUTED_VALUE"""),"No")</f>
        <v>No</v>
      </c>
      <c r="I636" s="185" t="str">
        <f>IFERROR(__xludf.DUMMYFUNCTION("""COMPUTED_VALUE"""),"Low")</f>
        <v>Low</v>
      </c>
      <c r="J636" s="185" t="str">
        <f>IFERROR(__xludf.DUMMYFUNCTION("""COMPUTED_VALUE"""),"Secondary")</f>
        <v>Secondary</v>
      </c>
      <c r="K636" s="185" t="str">
        <f>IFERROR(__xludf.DUMMYFUNCTION("""COMPUTED_VALUE"""),"Cometly, Triple Whale, Rockerbox, Northbeam, Ruler Analytics")</f>
        <v>Cometly, Triple Whale, Rockerbox, Northbeam, Ruler Analytics</v>
      </c>
      <c r="L636" s="187">
        <f>IFERROR(__xludf.DUMMYFUNCTION("""COMPUTED_VALUE"""),11.0)</f>
        <v>11</v>
      </c>
      <c r="M636" s="188">
        <f>IFERROR(__xludf.DUMMYFUNCTION("""COMPUTED_VALUE"""),0.01)</f>
        <v>0.01</v>
      </c>
      <c r="N636" s="188">
        <f>IFERROR(__xludf.DUMMYFUNCTION("""COMPUTED_VALUE"""),0.27)</f>
        <v>0.27</v>
      </c>
      <c r="O636" s="208"/>
      <c r="P636" s="208"/>
      <c r="Q636" s="208"/>
      <c r="R636" s="208"/>
    </row>
    <row r="637">
      <c r="A637" s="185" t="str">
        <f>IFERROR(__xludf.DUMMYFUNCTION("""COMPUTED_VALUE"""),"Agency directory / review marketplace")</f>
        <v>Agency directory / review marketplace</v>
      </c>
      <c r="B637" s="186" t="str">
        <f>IFERROR(__xludf.DUMMYFUNCTION("""COMPUTED_VALUE"""),"https://digitalagencynetwork.com/agencies/london/geo/")</f>
        <v>https://digitalagencynetwork.com/agencies/london/geo/</v>
      </c>
      <c r="C637" s="185" t="str">
        <f>IFERROR(__xludf.DUMMYFUNCTION("""COMPUTED_VALUE"""),"Top GEO Agencies in London for Generative Engine Optimization (2026)")</f>
        <v>Top GEO Agencies in London for Generative Engine Optimization (2026)</v>
      </c>
      <c r="D637" s="185" t="str">
        <f>IFERROR(__xludf.DUMMYFUNCTION("""COMPUTED_VALUE"""),"UK")</f>
        <v>UK</v>
      </c>
      <c r="E637" s="185" t="str">
        <f>IFERROR(__xludf.DUMMYFUNCTION("""COMPUTED_VALUE"""),"digitalagencynetwork.com")</f>
        <v>digitalagencynetwork.com</v>
      </c>
      <c r="F637" s="185" t="str">
        <f>IFERROR(__xludf.DUMMYFUNCTION("""COMPUTED_VALUE"""),"Profile")</f>
        <v>Profile</v>
      </c>
      <c r="G637" s="185" t="str">
        <f>IFERROR(__xludf.DUMMYFUNCTION("""COMPUTED_VALUE"""),"REFERENCE")</f>
        <v>REFERENCE</v>
      </c>
      <c r="H637" s="185" t="str">
        <f>IFERROR(__xludf.DUMMYFUNCTION("""COMPUTED_VALUE"""),"No")</f>
        <v>No</v>
      </c>
      <c r="I637" s="185" t="str">
        <f>IFERROR(__xludf.DUMMYFUNCTION("""COMPUTED_VALUE"""),"Medium")</f>
        <v>Medium</v>
      </c>
      <c r="J637" s="185" t="str">
        <f>IFERROR(__xludf.DUMMYFUNCTION("""COMPUTED_VALUE"""),"Yes")</f>
        <v>Yes</v>
      </c>
      <c r="K637" s="185" t="str">
        <f>IFERROR(__xludf.DUMMYFUNCTION("""COMPUTED_VALUE"""),"Favoured, Measured, Propeller, FirstMotion, Found, Bird Marketing, ROAST, GA Agency")</f>
        <v>Favoured, Measured, Propeller, FirstMotion, Found, Bird Marketing, ROAST, GA Agency</v>
      </c>
      <c r="L637" s="187">
        <f>IFERROR(__xludf.DUMMYFUNCTION("""COMPUTED_VALUE"""),11.0)</f>
        <v>11</v>
      </c>
      <c r="M637" s="188">
        <f>IFERROR(__xludf.DUMMYFUNCTION("""COMPUTED_VALUE"""),0.01)</f>
        <v>0.01</v>
      </c>
      <c r="N637" s="188">
        <f>IFERROR(__xludf.DUMMYFUNCTION("""COMPUTED_VALUE"""),0.18)</f>
        <v>0.18</v>
      </c>
      <c r="O637" s="208"/>
      <c r="P637" s="208"/>
      <c r="Q637" s="208"/>
      <c r="R637" s="208"/>
    </row>
    <row r="638">
      <c r="A638" s="185" t="str">
        <f>IFERROR(__xludf.DUMMYFUNCTION("""COMPUTED_VALUE"""),"Analyst / research authority")</f>
        <v>Analyst / research authority</v>
      </c>
      <c r="B638" s="186" t="str">
        <f>IFERROR(__xludf.DUMMYFUNCTION("""COMPUTED_VALUE"""),"https://www.gartner.com/reviews/market/incrementality-measurement-platforms")</f>
        <v>https://www.gartner.com/reviews/market/incrementality-measurement-platforms</v>
      </c>
      <c r="C638" s="185" t="str">
        <f>IFERROR(__xludf.DUMMYFUNCTION("""COMPUTED_VALUE"""),"Best Incrementality Measurement Platforms Reviews 2026 \| Gartner Peer Insights")</f>
        <v>Best Incrementality Measurement Platforms Reviews 2026 \| Gartner Peer Insights</v>
      </c>
      <c r="D638" s="185" t="str">
        <f>IFERROR(__xludf.DUMMYFUNCTION("""COMPUTED_VALUE"""),"UK")</f>
        <v>UK</v>
      </c>
      <c r="E638" s="185" t="str">
        <f>IFERROR(__xludf.DUMMYFUNCTION("""COMPUTED_VALUE"""),"gartner.com")</f>
        <v>gartner.com</v>
      </c>
      <c r="F638" s="185" t="str">
        <f>IFERROR(__xludf.DUMMYFUNCTION("""COMPUTED_VALUE"""),"Category Page")</f>
        <v>Category Page</v>
      </c>
      <c r="G638" s="185" t="str">
        <f>IFERROR(__xludf.DUMMYFUNCTION("""COMPUTED_VALUE"""),"CORPORATE")</f>
        <v>CORPORATE</v>
      </c>
      <c r="H638" s="185" t="str">
        <f>IFERROR(__xludf.DUMMYFUNCTION("""COMPUTED_VALUE"""),"No")</f>
        <v>No</v>
      </c>
      <c r="I638" s="185" t="str">
        <f>IFERROR(__xludf.DUMMYFUNCTION("""COMPUTED_VALUE"""),"High")</f>
        <v>High</v>
      </c>
      <c r="J638" s="185" t="str">
        <f>IFERROR(__xludf.DUMMYFUNCTION("""COMPUTED_VALUE"""),"Yes - priority")</f>
        <v>Yes - priority</v>
      </c>
      <c r="K638" s="185" t="str">
        <f>IFERROR(__xludf.DUMMYFUNCTION("""COMPUTED_VALUE"""),"Haus, SegmentStream, Measured, Recast")</f>
        <v>Haus, SegmentStream, Measured, Recast</v>
      </c>
      <c r="L638" s="187">
        <f>IFERROR(__xludf.DUMMYFUNCTION("""COMPUTED_VALUE"""),11.0)</f>
        <v>11</v>
      </c>
      <c r="M638" s="188">
        <f>IFERROR(__xludf.DUMMYFUNCTION("""COMPUTED_VALUE"""),0.01)</f>
        <v>0.01</v>
      </c>
      <c r="N638" s="188">
        <f>IFERROR(__xludf.DUMMYFUNCTION("""COMPUTED_VALUE"""),1.09)</f>
        <v>1.09</v>
      </c>
      <c r="O638" s="208"/>
      <c r="P638" s="208"/>
      <c r="Q638" s="208"/>
      <c r="R638" s="208"/>
    </row>
    <row r="639">
      <c r="A639" s="185" t="str">
        <f>IFERROR(__xludf.DUMMYFUNCTION("""COMPUTED_VALUE"""),"Industry data / software authority")</f>
        <v>Industry data / software authority</v>
      </c>
      <c r="B639" s="186" t="str">
        <f>IFERROR(__xludf.DUMMYFUNCTION("""COMPUTED_VALUE"""),"https://agencies.semrush.com/list/display-advertising/london-city/mid-business/")</f>
        <v>https://agencies.semrush.com/list/display-advertising/london-city/mid-business/</v>
      </c>
      <c r="C639" s="185" t="str">
        <f>IFERROR(__xludf.DUMMYFUNCTION("""COMPUTED_VALUE"""),"Best Display Ads Agencies for Mid Business in London 2026 | Semrush")</f>
        <v>Best Display Ads Agencies for Mid Business in London 2026 | Semrush</v>
      </c>
      <c r="D639" s="185" t="str">
        <f>IFERROR(__xludf.DUMMYFUNCTION("""COMPUTED_VALUE"""),"UK")</f>
        <v>UK</v>
      </c>
      <c r="E639" s="185" t="str">
        <f>IFERROR(__xludf.DUMMYFUNCTION("""COMPUTED_VALUE"""),"semrush.com")</f>
        <v>semrush.com</v>
      </c>
      <c r="F639" s="185" t="str">
        <f>IFERROR(__xludf.DUMMYFUNCTION("""COMPUTED_VALUE"""),"Profile")</f>
        <v>Profile</v>
      </c>
      <c r="G639" s="185" t="str">
        <f>IFERROR(__xludf.DUMMYFUNCTION("""COMPUTED_VALUE"""),"CORPORATE")</f>
        <v>CORPORATE</v>
      </c>
      <c r="H639" s="185" t="str">
        <f>IFERROR(__xludf.DUMMYFUNCTION("""COMPUTED_VALUE"""),"No")</f>
        <v>No</v>
      </c>
      <c r="I639" s="185" t="str">
        <f>IFERROR(__xludf.DUMMYFUNCTION("""COMPUTED_VALUE"""),"Medium")</f>
        <v>Medium</v>
      </c>
      <c r="J639" s="185" t="str">
        <f>IFERROR(__xludf.DUMMYFUNCTION("""COMPUTED_VALUE"""),"Yes")</f>
        <v>Yes</v>
      </c>
      <c r="K639" s="185" t="str">
        <f>IFERROR(__xludf.DUMMYFUNCTION("""COMPUTED_VALUE"""),"Passion Digital, The SEO Works, ROAST, Found")</f>
        <v>Passion Digital, The SEO Works, ROAST, Found</v>
      </c>
      <c r="L639" s="187">
        <f>IFERROR(__xludf.DUMMYFUNCTION("""COMPUTED_VALUE"""),10.0)</f>
        <v>10</v>
      </c>
      <c r="M639" s="188">
        <f>IFERROR(__xludf.DUMMYFUNCTION("""COMPUTED_VALUE"""),0.01)</f>
        <v>0.01</v>
      </c>
      <c r="N639" s="188">
        <f>IFERROR(__xludf.DUMMYFUNCTION("""COMPUTED_VALUE"""),0.0)</f>
        <v>0</v>
      </c>
      <c r="O639" s="208"/>
      <c r="P639" s="208"/>
      <c r="Q639" s="208"/>
      <c r="R639" s="208"/>
    </row>
    <row r="640">
      <c r="A640" s="185" t="str">
        <f>IFERROR(__xludf.DUMMYFUNCTION("""COMPUTED_VALUE"""),"Agency directory / review marketplace")</f>
        <v>Agency directory / review marketplace</v>
      </c>
      <c r="B640" s="186" t="str">
        <f>IFERROR(__xludf.DUMMYFUNCTION("""COMPUTED_VALUE"""),"https://clutch.co/agencies/digital-marketing/uk/england/london")</f>
        <v>https://clutch.co/agencies/digital-marketing/uk/england/london</v>
      </c>
      <c r="C640" s="185" t="str">
        <f>IFERROR(__xludf.DUMMYFUNCTION("""COMPUTED_VALUE"""),"Top London Digital Marketing Agencies - Jul 2026 Rankings | Clutch.co")</f>
        <v>Top London Digital Marketing Agencies - Jul 2026 Rankings | Clutch.co</v>
      </c>
      <c r="D640" s="185" t="str">
        <f>IFERROR(__xludf.DUMMYFUNCTION("""COMPUTED_VALUE"""),"UK")</f>
        <v>UK</v>
      </c>
      <c r="E640" s="185" t="str">
        <f>IFERROR(__xludf.DUMMYFUNCTION("""COMPUTED_VALUE"""),"clutch.co")</f>
        <v>clutch.co</v>
      </c>
      <c r="F640" s="185" t="str">
        <f>IFERROR(__xludf.DUMMYFUNCTION("""COMPUTED_VALUE"""),"Category Page")</f>
        <v>Category Page</v>
      </c>
      <c r="G640" s="185" t="str">
        <f>IFERROR(__xludf.DUMMYFUNCTION("""COMPUTED_VALUE"""),"CORPORATE")</f>
        <v>CORPORATE</v>
      </c>
      <c r="H640" s="185" t="str">
        <f>IFERROR(__xludf.DUMMYFUNCTION("""COMPUTED_VALUE"""),"No")</f>
        <v>No</v>
      </c>
      <c r="I640" s="185" t="str">
        <f>IFERROR(__xludf.DUMMYFUNCTION("""COMPUTED_VALUE"""),"Medium")</f>
        <v>Medium</v>
      </c>
      <c r="J640" s="185" t="str">
        <f>IFERROR(__xludf.DUMMYFUNCTION("""COMPUTED_VALUE"""),"Yes")</f>
        <v>Yes</v>
      </c>
      <c r="K640" s="185" t="str">
        <f>IFERROR(__xludf.DUMMYFUNCTION("""COMPUTED_VALUE"""),"M3.agency, Ninja Promo, ROAST, Favoured, GA Agency, Propeller, Bird Marketing, Passion Digital, Impression")</f>
        <v>M3.agency, Ninja Promo, ROAST, Favoured, GA Agency, Propeller, Bird Marketing, Passion Digital, Impression</v>
      </c>
      <c r="L640" s="187">
        <f>IFERROR(__xludf.DUMMYFUNCTION("""COMPUTED_VALUE"""),10.0)</f>
        <v>10</v>
      </c>
      <c r="M640" s="188">
        <f>IFERROR(__xludf.DUMMYFUNCTION("""COMPUTED_VALUE"""),0.01)</f>
        <v>0.01</v>
      </c>
      <c r="N640" s="188">
        <f>IFERROR(__xludf.DUMMYFUNCTION("""COMPUTED_VALUE"""),0.1)</f>
        <v>0.1</v>
      </c>
      <c r="O640" s="208"/>
      <c r="P640" s="208"/>
      <c r="Q640" s="208"/>
      <c r="R640" s="208"/>
    </row>
    <row r="641">
      <c r="A641" s="185" t="str">
        <f>IFERROR(__xludf.DUMMYFUNCTION("""COMPUTED_VALUE"""),"Agency directory / review marketplace")</f>
        <v>Agency directory / review marketplace</v>
      </c>
      <c r="B641" s="186" t="str">
        <f>IFERROR(__xludf.DUMMYFUNCTION("""COMPUTED_VALUE"""),"https://clutch.co/agencies/media-buying/uk")</f>
        <v>https://clutch.co/agencies/media-buying/uk</v>
      </c>
      <c r="C641" s="185" t="str">
        <f>IFERROR(__xludf.DUMMYFUNCTION("""COMPUTED_VALUE"""),"Top Media Buying Agencies in the United Kingdom - Jul 2026 Rankings | Clutch.co")</f>
        <v>Top Media Buying Agencies in the United Kingdom - Jul 2026 Rankings | Clutch.co</v>
      </c>
      <c r="D641" s="185" t="str">
        <f>IFERROR(__xludf.DUMMYFUNCTION("""COMPUTED_VALUE"""),"UK")</f>
        <v>UK</v>
      </c>
      <c r="E641" s="185" t="str">
        <f>IFERROR(__xludf.DUMMYFUNCTION("""COMPUTED_VALUE"""),"clutch.co")</f>
        <v>clutch.co</v>
      </c>
      <c r="F641" s="185" t="str">
        <f>IFERROR(__xludf.DUMMYFUNCTION("""COMPUTED_VALUE"""),"Category Page")</f>
        <v>Category Page</v>
      </c>
      <c r="G641" s="185" t="str">
        <f>IFERROR(__xludf.DUMMYFUNCTION("""COMPUTED_VALUE"""),"CORPORATE")</f>
        <v>CORPORATE</v>
      </c>
      <c r="H641" s="185" t="str">
        <f>IFERROR(__xludf.DUMMYFUNCTION("""COMPUTED_VALUE"""),"No")</f>
        <v>No</v>
      </c>
      <c r="I641" s="185" t="str">
        <f>IFERROR(__xludf.DUMMYFUNCTION("""COMPUTED_VALUE"""),"Medium")</f>
        <v>Medium</v>
      </c>
      <c r="J641" s="185" t="str">
        <f>IFERROR(__xludf.DUMMYFUNCTION("""COMPUTED_VALUE"""),"Yes")</f>
        <v>Yes</v>
      </c>
      <c r="K641" s="185" t="str">
        <f>IFERROR(__xludf.DUMMYFUNCTION("""COMPUTED_VALUE"""),"ROAST, Impression, NP Digital, Propellernet")</f>
        <v>ROAST, Impression, NP Digital, Propellernet</v>
      </c>
      <c r="L641" s="187">
        <f>IFERROR(__xludf.DUMMYFUNCTION("""COMPUTED_VALUE"""),10.0)</f>
        <v>10</v>
      </c>
      <c r="M641" s="188">
        <f>IFERROR(__xludf.DUMMYFUNCTION("""COMPUTED_VALUE"""),0.01)</f>
        <v>0.01</v>
      </c>
      <c r="N641" s="188">
        <f>IFERROR(__xludf.DUMMYFUNCTION("""COMPUTED_VALUE"""),0.9)</f>
        <v>0.9</v>
      </c>
      <c r="O641" s="208"/>
      <c r="P641" s="208"/>
      <c r="Q641" s="208"/>
      <c r="R641" s="208"/>
    </row>
    <row r="642">
      <c r="A642" s="185" t="str">
        <f>IFERROR(__xludf.DUMMYFUNCTION("""COMPUTED_VALUE"""),"Agency directory / review marketplace")</f>
        <v>Agency directory / review marketplace</v>
      </c>
      <c r="B642" s="186" t="str">
        <f>IFERROR(__xludf.DUMMYFUNCTION("""COMPUTED_VALUE"""),"https://clutch.co/agencies/ppc/google-adwords/uk")</f>
        <v>https://clutch.co/agencies/ppc/google-adwords/uk</v>
      </c>
      <c r="C642" s="185" t="str">
        <f>IFERROR(__xludf.DUMMYFUNCTION("""COMPUTED_VALUE"""),"Top Adwords PPC Agencies in the United Kingdom - Jul 2026 Rankings | Clutch.co")</f>
        <v>Top Adwords PPC Agencies in the United Kingdom - Jul 2026 Rankings | Clutch.co</v>
      </c>
      <c r="D642" s="185" t="str">
        <f>IFERROR(__xludf.DUMMYFUNCTION("""COMPUTED_VALUE"""),"UK")</f>
        <v>UK</v>
      </c>
      <c r="E642" s="185" t="str">
        <f>IFERROR(__xludf.DUMMYFUNCTION("""COMPUTED_VALUE"""),"clutch.co")</f>
        <v>clutch.co</v>
      </c>
      <c r="F642" s="185" t="str">
        <f>IFERROR(__xludf.DUMMYFUNCTION("""COMPUTED_VALUE"""),"Category Page")</f>
        <v>Category Page</v>
      </c>
      <c r="G642" s="185" t="str">
        <f>IFERROR(__xludf.DUMMYFUNCTION("""COMPUTED_VALUE"""),"CORPORATE")</f>
        <v>CORPORATE</v>
      </c>
      <c r="H642" s="185" t="str">
        <f>IFERROR(__xludf.DUMMYFUNCTION("""COMPUTED_VALUE"""),"No")</f>
        <v>No</v>
      </c>
      <c r="I642" s="185" t="str">
        <f>IFERROR(__xludf.DUMMYFUNCTION("""COMPUTED_VALUE"""),"Medium")</f>
        <v>Medium</v>
      </c>
      <c r="J642" s="185" t="str">
        <f>IFERROR(__xludf.DUMMYFUNCTION("""COMPUTED_VALUE"""),"Yes")</f>
        <v>Yes</v>
      </c>
      <c r="K642" s="185"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L642" s="187">
        <f>IFERROR(__xludf.DUMMYFUNCTION("""COMPUTED_VALUE"""),10.0)</f>
        <v>10</v>
      </c>
      <c r="M642" s="188">
        <f>IFERROR(__xludf.DUMMYFUNCTION("""COMPUTED_VALUE"""),0.01)</f>
        <v>0.01</v>
      </c>
      <c r="N642" s="188">
        <f>IFERROR(__xludf.DUMMYFUNCTION("""COMPUTED_VALUE"""),0.2)</f>
        <v>0.2</v>
      </c>
      <c r="O642" s="208"/>
      <c r="P642" s="208"/>
      <c r="Q642" s="208"/>
      <c r="R642" s="208"/>
    </row>
    <row r="643">
      <c r="A643" s="185" t="str">
        <f>IFERROR(__xludf.DUMMYFUNCTION("""COMPUTED_VALUE"""),"Industry data / software authority")</f>
        <v>Industry data / software authority</v>
      </c>
      <c r="B643" s="186" t="str">
        <f>IFERROR(__xludf.DUMMYFUNCTION("""COMPUTED_VALUE"""),"https://agencies.semrush.com/list/analytics-data-science/united-kingdom/")</f>
        <v>https://agencies.semrush.com/list/analytics-data-science/united-kingdom/</v>
      </c>
      <c r="C643" s="185" t="str">
        <f>IFERROR(__xludf.DUMMYFUNCTION("""COMPUTED_VALUE"""),"Best Data Analytics Services in United Kingdom 2026 | Semrush")</f>
        <v>Best Data Analytics Services in United Kingdom 2026 | Semrush</v>
      </c>
      <c r="D643" s="185" t="str">
        <f>IFERROR(__xludf.DUMMYFUNCTION("""COMPUTED_VALUE"""),"UK")</f>
        <v>UK</v>
      </c>
      <c r="E643" s="185" t="str">
        <f>IFERROR(__xludf.DUMMYFUNCTION("""COMPUTED_VALUE"""),"semrush.com")</f>
        <v>semrush.com</v>
      </c>
      <c r="F643" s="185" t="str">
        <f>IFERROR(__xludf.DUMMYFUNCTION("""COMPUTED_VALUE"""),"Category Page")</f>
        <v>Category Page</v>
      </c>
      <c r="G643" s="185" t="str">
        <f>IFERROR(__xludf.DUMMYFUNCTION("""COMPUTED_VALUE"""),"CORPORATE")</f>
        <v>CORPORATE</v>
      </c>
      <c r="H643" s="185" t="str">
        <f>IFERROR(__xludf.DUMMYFUNCTION("""COMPUTED_VALUE"""),"No")</f>
        <v>No</v>
      </c>
      <c r="I643" s="185" t="str">
        <f>IFERROR(__xludf.DUMMYFUNCTION("""COMPUTED_VALUE"""),"Medium")</f>
        <v>Medium</v>
      </c>
      <c r="J643" s="185" t="str">
        <f>IFERROR(__xludf.DUMMYFUNCTION("""COMPUTED_VALUE"""),"Yes")</f>
        <v>Yes</v>
      </c>
      <c r="K643" s="185" t="str">
        <f>IFERROR(__xludf.DUMMYFUNCTION("""COMPUTED_VALUE"""),"Found, The SEO Works, Huge")</f>
        <v>Found, The SEO Works, Huge</v>
      </c>
      <c r="L643" s="187">
        <f>IFERROR(__xludf.DUMMYFUNCTION("""COMPUTED_VALUE"""),9.0)</f>
        <v>9</v>
      </c>
      <c r="M643" s="188">
        <f>IFERROR(__xludf.DUMMYFUNCTION("""COMPUTED_VALUE"""),0.01)</f>
        <v>0.01</v>
      </c>
      <c r="N643" s="188">
        <f>IFERROR(__xludf.DUMMYFUNCTION("""COMPUTED_VALUE"""),0.0)</f>
        <v>0</v>
      </c>
      <c r="O643" s="208"/>
      <c r="P643" s="208"/>
      <c r="Q643" s="208"/>
      <c r="R643" s="208"/>
    </row>
    <row r="644">
      <c r="A644" s="185" t="str">
        <f>IFERROR(__xludf.DUMMYFUNCTION("""COMPUTED_VALUE"""),"Agency directory / review marketplace")</f>
        <v>Agency directory / review marketplace</v>
      </c>
      <c r="B644" s="186" t="str">
        <f>IFERROR(__xludf.DUMMYFUNCTION("""COMPUTED_VALUE"""),"https://clutch.co/agencies/programmatic/uk")</f>
        <v>https://clutch.co/agencies/programmatic/uk</v>
      </c>
      <c r="C644" s="185" t="str">
        <f>IFERROR(__xludf.DUMMYFUNCTION("""COMPUTED_VALUE"""),"Top Programmatic Advertising Companies in the United Kingdom - Jul 2026 Rankings \| Clutch.co")</f>
        <v>Top Programmatic Advertising Companies in the United Kingdom - Jul 2026 Rankings \| Clutch.co</v>
      </c>
      <c r="D644" s="185" t="str">
        <f>IFERROR(__xludf.DUMMYFUNCTION("""COMPUTED_VALUE"""),"UK")</f>
        <v>UK</v>
      </c>
      <c r="E644" s="185" t="str">
        <f>IFERROR(__xludf.DUMMYFUNCTION("""COMPUTED_VALUE"""),"clutch.co")</f>
        <v>clutch.co</v>
      </c>
      <c r="F644" s="185" t="str">
        <f>IFERROR(__xludf.DUMMYFUNCTION("""COMPUTED_VALUE"""),"Category Page")</f>
        <v>Category Page</v>
      </c>
      <c r="G644" s="185" t="str">
        <f>IFERROR(__xludf.DUMMYFUNCTION("""COMPUTED_VALUE"""),"CORPORATE")</f>
        <v>CORPORATE</v>
      </c>
      <c r="H644" s="185" t="str">
        <f>IFERROR(__xludf.DUMMYFUNCTION("""COMPUTED_VALUE"""),"No")</f>
        <v>No</v>
      </c>
      <c r="I644" s="185" t="str">
        <f>IFERROR(__xludf.DUMMYFUNCTION("""COMPUTED_VALUE"""),"Medium")</f>
        <v>Medium</v>
      </c>
      <c r="J644" s="185" t="str">
        <f>IFERROR(__xludf.DUMMYFUNCTION("""COMPUTED_VALUE"""),"Yes")</f>
        <v>Yes</v>
      </c>
      <c r="K644" s="185" t="str">
        <f>IFERROR(__xludf.DUMMYFUNCTION("""COMPUTED_VALUE"""),"ROAST, Ninja Promo, The SEO Works, M3.agency")</f>
        <v>ROAST, Ninja Promo, The SEO Works, M3.agency</v>
      </c>
      <c r="L644" s="187">
        <f>IFERROR(__xludf.DUMMYFUNCTION("""COMPUTED_VALUE"""),9.0)</f>
        <v>9</v>
      </c>
      <c r="M644" s="188">
        <f>IFERROR(__xludf.DUMMYFUNCTION("""COMPUTED_VALUE"""),0.01)</f>
        <v>0.01</v>
      </c>
      <c r="N644" s="188">
        <f>IFERROR(__xludf.DUMMYFUNCTION("""COMPUTED_VALUE"""),1.44)</f>
        <v>1.44</v>
      </c>
      <c r="O644" s="208"/>
      <c r="P644" s="208"/>
      <c r="Q644" s="208"/>
      <c r="R644" s="208"/>
    </row>
    <row r="645">
      <c r="A645" s="185" t="str">
        <f>IFERROR(__xludf.DUMMYFUNCTION("""COMPUTED_VALUE"""),"Agency directory / review marketplace")</f>
        <v>Agency directory / review marketplace</v>
      </c>
      <c r="B645" s="186" t="str">
        <f>IFERROR(__xludf.DUMMYFUNCTION("""COMPUTED_VALUE"""),"https://clutch.co/agencies/sem/uk")</f>
        <v>https://clutch.co/agencies/sem/uk</v>
      </c>
      <c r="C645" s="185" t="str">
        <f>IFERROR(__xludf.DUMMYFUNCTION("""COMPUTED_VALUE"""),"Top Search Engine Marketing Agencies in the United Kingdom - Jul 2026 Rankings | Clutch.co")</f>
        <v>Top Search Engine Marketing Agencies in the United Kingdom - Jul 2026 Rankings | Clutch.co</v>
      </c>
      <c r="D645" s="185" t="str">
        <f>IFERROR(__xludf.DUMMYFUNCTION("""COMPUTED_VALUE"""),"UK")</f>
        <v>UK</v>
      </c>
      <c r="E645" s="185" t="str">
        <f>IFERROR(__xludf.DUMMYFUNCTION("""COMPUTED_VALUE"""),"clutch.co")</f>
        <v>clutch.co</v>
      </c>
      <c r="F645" s="185" t="str">
        <f>IFERROR(__xludf.DUMMYFUNCTION("""COMPUTED_VALUE"""),"Category Page")</f>
        <v>Category Page</v>
      </c>
      <c r="G645" s="185" t="str">
        <f>IFERROR(__xludf.DUMMYFUNCTION("""COMPUTED_VALUE"""),"CORPORATE")</f>
        <v>CORPORATE</v>
      </c>
      <c r="H645" s="185" t="str">
        <f>IFERROR(__xludf.DUMMYFUNCTION("""COMPUTED_VALUE"""),"No")</f>
        <v>No</v>
      </c>
      <c r="I645" s="185" t="str">
        <f>IFERROR(__xludf.DUMMYFUNCTION("""COMPUTED_VALUE"""),"Medium")</f>
        <v>Medium</v>
      </c>
      <c r="J645" s="185" t="str">
        <f>IFERROR(__xludf.DUMMYFUNCTION("""COMPUTED_VALUE"""),"Yes")</f>
        <v>Yes</v>
      </c>
      <c r="K645" s="185"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L645" s="187">
        <f>IFERROR(__xludf.DUMMYFUNCTION("""COMPUTED_VALUE"""),9.0)</f>
        <v>9</v>
      </c>
      <c r="M645" s="188">
        <f>IFERROR(__xludf.DUMMYFUNCTION("""COMPUTED_VALUE"""),0.01)</f>
        <v>0.01</v>
      </c>
      <c r="N645" s="188">
        <f>IFERROR(__xludf.DUMMYFUNCTION("""COMPUTED_VALUE"""),0.67)</f>
        <v>0.67</v>
      </c>
      <c r="O645" s="208"/>
      <c r="P645" s="208"/>
      <c r="Q645" s="208"/>
      <c r="R645" s="208"/>
    </row>
    <row r="646">
      <c r="A646" s="185" t="str">
        <f>IFERROR(__xludf.DUMMYFUNCTION("""COMPUTED_VALUE"""),"Trade media / editorial publication")</f>
        <v>Trade media / editorial publication</v>
      </c>
      <c r="B646" s="186" t="str">
        <f>IFERROR(__xludf.DUMMYFUNCTION("""COMPUTED_VALUE"""),"https://seocompare.co.uk/best-ai-seo-agencies/")</f>
        <v>https://seocompare.co.uk/best-ai-seo-agencies/</v>
      </c>
      <c r="C646" s="185" t="str">
        <f>IFERROR(__xludf.DUMMYFUNCTION("""COMPUTED_VALUE"""),"AI SEO Agency Rankings: 7 Compared for 2026 (with Prices) | SEOCompare")</f>
        <v>AI SEO Agency Rankings: 7 Compared for 2026 (with Prices) | SEOCompare</v>
      </c>
      <c r="D646" s="185" t="str">
        <f>IFERROR(__xludf.DUMMYFUNCTION("""COMPUTED_VALUE"""),"UK")</f>
        <v>UK</v>
      </c>
      <c r="E646" s="185" t="str">
        <f>IFERROR(__xludf.DUMMYFUNCTION("""COMPUTED_VALUE"""),"seocompare.co.uk")</f>
        <v>seocompare.co.uk</v>
      </c>
      <c r="F646" s="185" t="str">
        <f>IFERROR(__xludf.DUMMYFUNCTION("""COMPUTED_VALUE"""),"Comparison")</f>
        <v>Comparison</v>
      </c>
      <c r="G646" s="185" t="str">
        <f>IFERROR(__xludf.DUMMYFUNCTION("""COMPUTED_VALUE"""),"EDITORIAL")</f>
        <v>EDITORIAL</v>
      </c>
      <c r="H646" s="185" t="str">
        <f>IFERROR(__xludf.DUMMYFUNCTION("""COMPUTED_VALUE"""),"No")</f>
        <v>No</v>
      </c>
      <c r="I646" s="185" t="str">
        <f>IFERROR(__xludf.DUMMYFUNCTION("""COMPUTED_VALUE"""),"Low")</f>
        <v>Low</v>
      </c>
      <c r="J646" s="185" t="str">
        <f>IFERROR(__xludf.DUMMYFUNCTION("""COMPUTED_VALUE"""),"Secondary")</f>
        <v>Secondary</v>
      </c>
      <c r="K646" s="185" t="str">
        <f>IFERROR(__xludf.DUMMYFUNCTION("""COMPUTED_VALUE"""),"Directive Consulting, Rank4AI, Siege Media, Omniscient Digital, Measured")</f>
        <v>Directive Consulting, Rank4AI, Siege Media, Omniscient Digital, Measured</v>
      </c>
      <c r="L646" s="187">
        <f>IFERROR(__xludf.DUMMYFUNCTION("""COMPUTED_VALUE"""),9.0)</f>
        <v>9</v>
      </c>
      <c r="M646" s="188">
        <f>IFERROR(__xludf.DUMMYFUNCTION("""COMPUTED_VALUE"""),0.01)</f>
        <v>0.01</v>
      </c>
      <c r="N646" s="188">
        <f>IFERROR(__xludf.DUMMYFUNCTION("""COMPUTED_VALUE"""),0.0)</f>
        <v>0</v>
      </c>
      <c r="O646" s="208"/>
      <c r="P646" s="208"/>
      <c r="Q646" s="208"/>
      <c r="R646" s="208"/>
    </row>
    <row r="647">
      <c r="A647" s="185" t="str">
        <f>IFERROR(__xludf.DUMMYFUNCTION("""COMPUTED_VALUE"""),"Agency directory / review marketplace")</f>
        <v>Agency directory / review marketplace</v>
      </c>
      <c r="B647" s="186" t="str">
        <f>IFERROR(__xludf.DUMMYFUNCTION("""COMPUTED_VALUE"""),"https://www.sortlist.co.uk/s/performance-marketing/england-england-gb")</f>
        <v>https://www.sortlist.co.uk/s/performance-marketing/england-england-gb</v>
      </c>
      <c r="C647" s="185" t="str">
        <f>IFERROR(__xludf.DUMMYFUNCTION("""COMPUTED_VALUE"""),"The 10 Best Performance Marketing Agencies in England - 2026 Reviews")</f>
        <v>The 10 Best Performance Marketing Agencies in England - 2026 Reviews</v>
      </c>
      <c r="D647" s="185" t="str">
        <f>IFERROR(__xludf.DUMMYFUNCTION("""COMPUTED_VALUE"""),"UK")</f>
        <v>UK</v>
      </c>
      <c r="E647" s="185" t="str">
        <f>IFERROR(__xludf.DUMMYFUNCTION("""COMPUTED_VALUE"""),"sortlist.co.uk")</f>
        <v>sortlist.co.uk</v>
      </c>
      <c r="F647" s="185" t="str">
        <f>IFERROR(__xludf.DUMMYFUNCTION("""COMPUTED_VALUE"""),"Category Page")</f>
        <v>Category Page</v>
      </c>
      <c r="G647" s="185" t="str">
        <f>IFERROR(__xludf.DUMMYFUNCTION("""COMPUTED_VALUE"""),"REFERENCE")</f>
        <v>REFERENCE</v>
      </c>
      <c r="H647" s="185" t="str">
        <f>IFERROR(__xludf.DUMMYFUNCTION("""COMPUTED_VALUE"""),"No")</f>
        <v>No</v>
      </c>
      <c r="I647" s="185" t="str">
        <f>IFERROR(__xludf.DUMMYFUNCTION("""COMPUTED_VALUE"""),"Medium")</f>
        <v>Medium</v>
      </c>
      <c r="J647" s="185" t="str">
        <f>IFERROR(__xludf.DUMMYFUNCTION("""COMPUTED_VALUE"""),"Yes")</f>
        <v>Yes</v>
      </c>
      <c r="K647" s="185" t="str">
        <f>IFERROR(__xludf.DUMMYFUNCTION("""COMPUTED_VALUE"""),"Momentum, M3.agency, Found, McKinsey &amp; Company")</f>
        <v>Momentum, M3.agency, Found, McKinsey &amp; Company</v>
      </c>
      <c r="L647" s="187">
        <f>IFERROR(__xludf.DUMMYFUNCTION("""COMPUTED_VALUE"""),9.0)</f>
        <v>9</v>
      </c>
      <c r="M647" s="188">
        <f>IFERROR(__xludf.DUMMYFUNCTION("""COMPUTED_VALUE"""),0.01)</f>
        <v>0.01</v>
      </c>
      <c r="N647" s="188">
        <f>IFERROR(__xludf.DUMMYFUNCTION("""COMPUTED_VALUE"""),0.0)</f>
        <v>0</v>
      </c>
      <c r="O647" s="208"/>
      <c r="P647" s="208"/>
      <c r="Q647" s="208"/>
      <c r="R647" s="208"/>
    </row>
    <row r="648">
      <c r="A648" s="185" t="str">
        <f>IFERROR(__xludf.DUMMYFUNCTION("""COMPUTED_VALUE"""),"Agency directory / review marketplace")</f>
        <v>Agency directory / review marketplace</v>
      </c>
      <c r="B648" s="186" t="str">
        <f>IFERROR(__xludf.DUMMYFUNCTION("""COMPUTED_VALUE"""),"https://themanifest.com/creative/agencies/uk")</f>
        <v>https://themanifest.com/creative/agencies/uk</v>
      </c>
      <c r="C648" s="185" t="str">
        <f>IFERROR(__xludf.DUMMYFUNCTION("""COMPUTED_VALUE"""),"The Best Creative Companies in United Kingdom - Jul 2026 | The Manifest")</f>
        <v>The Best Creative Companies in United Kingdom - Jul 2026 | The Manifest</v>
      </c>
      <c r="D648" s="185" t="str">
        <f>IFERROR(__xludf.DUMMYFUNCTION("""COMPUTED_VALUE"""),"UK")</f>
        <v>UK</v>
      </c>
      <c r="E648" s="185" t="str">
        <f>IFERROR(__xludf.DUMMYFUNCTION("""COMPUTED_VALUE"""),"themanifest.com")</f>
        <v>themanifest.com</v>
      </c>
      <c r="F648" s="185" t="str">
        <f>IFERROR(__xludf.DUMMYFUNCTION("""COMPUTED_VALUE"""),"Listicle")</f>
        <v>Listicle</v>
      </c>
      <c r="G648" s="185" t="str">
        <f>IFERROR(__xludf.DUMMYFUNCTION("""COMPUTED_VALUE"""),"REFERENCE")</f>
        <v>REFERENCE</v>
      </c>
      <c r="H648" s="185" t="str">
        <f>IFERROR(__xludf.DUMMYFUNCTION("""COMPUTED_VALUE"""),"No")</f>
        <v>No</v>
      </c>
      <c r="I648" s="185" t="str">
        <f>IFERROR(__xludf.DUMMYFUNCTION("""COMPUTED_VALUE"""),"Medium")</f>
        <v>Medium</v>
      </c>
      <c r="J648" s="185" t="str">
        <f>IFERROR(__xludf.DUMMYFUNCTION("""COMPUTED_VALUE"""),"Yes")</f>
        <v>Yes</v>
      </c>
      <c r="K648" s="185" t="str">
        <f>IFERROR(__xludf.DUMMYFUNCTION("""COMPUTED_VALUE"""),"Chello, Favoured")</f>
        <v>Chello, Favoured</v>
      </c>
      <c r="L648" s="187">
        <f>IFERROR(__xludf.DUMMYFUNCTION("""COMPUTED_VALUE"""),9.0)</f>
        <v>9</v>
      </c>
      <c r="M648" s="188">
        <f>IFERROR(__xludf.DUMMYFUNCTION("""COMPUTED_VALUE"""),0.01)</f>
        <v>0.01</v>
      </c>
      <c r="N648" s="188">
        <f>IFERROR(__xludf.DUMMYFUNCTION("""COMPUTED_VALUE"""),0.0)</f>
        <v>0</v>
      </c>
      <c r="O648" s="208"/>
      <c r="P648" s="208"/>
      <c r="Q648" s="208"/>
      <c r="R648" s="208"/>
    </row>
    <row r="649">
      <c r="A649" s="185" t="str">
        <f>IFERROR(__xludf.DUMMYFUNCTION("""COMPUTED_VALUE"""),"Industry data / software authority")</f>
        <v>Industry data / software authority</v>
      </c>
      <c r="B649" s="186" t="str">
        <f>IFERROR(__xludf.DUMMYFUNCTION("""COMPUTED_VALUE"""),"https://agencies.semrush.com/list/advertising/united-kingdom/")</f>
        <v>https://agencies.semrush.com/list/advertising/united-kingdom/</v>
      </c>
      <c r="C649" s="185" t="str">
        <f>IFERROR(__xludf.DUMMYFUNCTION("""COMPUTED_VALUE"""),"Best Advertising Agencies in United Kingdom 2026 | Semrush")</f>
        <v>Best Advertising Agencies in United Kingdom 2026 | Semrush</v>
      </c>
      <c r="D649" s="185" t="str">
        <f>IFERROR(__xludf.DUMMYFUNCTION("""COMPUTED_VALUE"""),"UK")</f>
        <v>UK</v>
      </c>
      <c r="E649" s="185" t="str">
        <f>IFERROR(__xludf.DUMMYFUNCTION("""COMPUTED_VALUE"""),"semrush.com")</f>
        <v>semrush.com</v>
      </c>
      <c r="F649" s="185" t="str">
        <f>IFERROR(__xludf.DUMMYFUNCTION("""COMPUTED_VALUE"""),"Profile")</f>
        <v>Profile</v>
      </c>
      <c r="G649" s="185" t="str">
        <f>IFERROR(__xludf.DUMMYFUNCTION("""COMPUTED_VALUE"""),"CORPORATE")</f>
        <v>CORPORATE</v>
      </c>
      <c r="H649" s="185" t="str">
        <f>IFERROR(__xludf.DUMMYFUNCTION("""COMPUTED_VALUE"""),"No")</f>
        <v>No</v>
      </c>
      <c r="I649" s="185" t="str">
        <f>IFERROR(__xludf.DUMMYFUNCTION("""COMPUTED_VALUE"""),"Medium")</f>
        <v>Medium</v>
      </c>
      <c r="J649" s="185" t="str">
        <f>IFERROR(__xludf.DUMMYFUNCTION("""COMPUTED_VALUE"""),"Yes")</f>
        <v>Yes</v>
      </c>
      <c r="K649" s="185" t="str">
        <f>IFERROR(__xludf.DUMMYFUNCTION("""COMPUTED_VALUE"""),"Found, Impression, Click Intelligence, Passion Digital, Soap Media")</f>
        <v>Found, Impression, Click Intelligence, Passion Digital, Soap Media</v>
      </c>
      <c r="L649" s="187">
        <f>IFERROR(__xludf.DUMMYFUNCTION("""COMPUTED_VALUE"""),8.0)</f>
        <v>8</v>
      </c>
      <c r="M649" s="188">
        <f>IFERROR(__xludf.DUMMYFUNCTION("""COMPUTED_VALUE"""),0.01)</f>
        <v>0.01</v>
      </c>
      <c r="N649" s="188">
        <f>IFERROR(__xludf.DUMMYFUNCTION("""COMPUTED_VALUE"""),0.38)</f>
        <v>0.38</v>
      </c>
      <c r="O649" s="208"/>
      <c r="P649" s="208"/>
      <c r="Q649" s="208"/>
      <c r="R649" s="208"/>
    </row>
    <row r="650">
      <c r="A650" s="185" t="str">
        <f>IFERROR(__xludf.DUMMYFUNCTION("""COMPUTED_VALUE"""),"Industry data / software authority")</f>
        <v>Industry data / software authority</v>
      </c>
      <c r="B650" s="186" t="str">
        <f>IFERROR(__xludf.DUMMYFUNCTION("""COMPUTED_VALUE"""),"https://agencies.semrush.com/list/display-advertising/united-kingdom/mid-business/")</f>
        <v>https://agencies.semrush.com/list/display-advertising/united-kingdom/mid-business/</v>
      </c>
      <c r="C650" s="185" t="str">
        <f>IFERROR(__xludf.DUMMYFUNCTION("""COMPUTED_VALUE"""),"Best Display Ads Agencies for Mid Business in United Kingdom 2026 | Semrush")</f>
        <v>Best Display Ads Agencies for Mid Business in United Kingdom 2026 | Semrush</v>
      </c>
      <c r="D650" s="185" t="str">
        <f>IFERROR(__xludf.DUMMYFUNCTION("""COMPUTED_VALUE"""),"UK")</f>
        <v>UK</v>
      </c>
      <c r="E650" s="185" t="str">
        <f>IFERROR(__xludf.DUMMYFUNCTION("""COMPUTED_VALUE"""),"semrush.com")</f>
        <v>semrush.com</v>
      </c>
      <c r="F650" s="185" t="str">
        <f>IFERROR(__xludf.DUMMYFUNCTION("""COMPUTED_VALUE"""),"Other")</f>
        <v>Other</v>
      </c>
      <c r="G650" s="185" t="str">
        <f>IFERROR(__xludf.DUMMYFUNCTION("""COMPUTED_VALUE"""),"CORPORATE")</f>
        <v>CORPORATE</v>
      </c>
      <c r="H650" s="185" t="str">
        <f>IFERROR(__xludf.DUMMYFUNCTION("""COMPUTED_VALUE"""),"No")</f>
        <v>No</v>
      </c>
      <c r="I650" s="185" t="str">
        <f>IFERROR(__xludf.DUMMYFUNCTION("""COMPUTED_VALUE"""),"Medium")</f>
        <v>Medium</v>
      </c>
      <c r="J650" s="185" t="str">
        <f>IFERROR(__xludf.DUMMYFUNCTION("""COMPUTED_VALUE"""),"Yes")</f>
        <v>Yes</v>
      </c>
      <c r="K650" s="185" t="str">
        <f>IFERROR(__xludf.DUMMYFUNCTION("""COMPUTED_VALUE"""),"Found, Passion Digital, Soap Media, The SEO Works")</f>
        <v>Found, Passion Digital, Soap Media, The SEO Works</v>
      </c>
      <c r="L650" s="187">
        <f>IFERROR(__xludf.DUMMYFUNCTION("""COMPUTED_VALUE"""),8.0)</f>
        <v>8</v>
      </c>
      <c r="M650" s="188">
        <f>IFERROR(__xludf.DUMMYFUNCTION("""COMPUTED_VALUE"""),0.01)</f>
        <v>0.01</v>
      </c>
      <c r="N650" s="188">
        <f>IFERROR(__xludf.DUMMYFUNCTION("""COMPUTED_VALUE"""),0.63)</f>
        <v>0.63</v>
      </c>
      <c r="O650" s="208"/>
      <c r="P650" s="208"/>
      <c r="Q650" s="208"/>
      <c r="R650" s="208"/>
    </row>
    <row r="651">
      <c r="A651" s="185" t="str">
        <f>IFERROR(__xludf.DUMMYFUNCTION("""COMPUTED_VALUE"""),"Official partner / certification ecosystem")</f>
        <v>Official partner / certification ecosystem</v>
      </c>
      <c r="B651" s="186" t="str">
        <f>IFERROR(__xludf.DUMMYFUNCTION("""COMPUTED_VALUE"""),"https://marketingplatform.google.com/about/partners/find-a-partner?category=206")</f>
        <v>https://marketingplatform.google.com/about/partners/find-a-partner?category=206</v>
      </c>
      <c r="C651" s="185"/>
      <c r="D651" s="185" t="str">
        <f>IFERROR(__xludf.DUMMYFUNCTION("""COMPUTED_VALUE"""),"UK")</f>
        <v>UK</v>
      </c>
      <c r="E651" s="185" t="str">
        <f>IFERROR(__xludf.DUMMYFUNCTION("""COMPUTED_VALUE"""),"google.com")</f>
        <v>google.com</v>
      </c>
      <c r="F651" s="185" t="str">
        <f>IFERROR(__xludf.DUMMYFUNCTION("""COMPUTED_VALUE"""),"Other")</f>
        <v>Other</v>
      </c>
      <c r="G651" s="185" t="str">
        <f>IFERROR(__xludf.DUMMYFUNCTION("""COMPUTED_VALUE"""),"OTHER")</f>
        <v>OTHER</v>
      </c>
      <c r="H651" s="185" t="str">
        <f>IFERROR(__xludf.DUMMYFUNCTION("""COMPUTED_VALUE"""),"No")</f>
        <v>No</v>
      </c>
      <c r="I651" s="185" t="str">
        <f>IFERROR(__xludf.DUMMYFUNCTION("""COMPUTED_VALUE"""),"High")</f>
        <v>High</v>
      </c>
      <c r="J651" s="185" t="str">
        <f>IFERROR(__xludf.DUMMYFUNCTION("""COMPUTED_VALUE"""),"Yes - priority")</f>
        <v>Yes - priority</v>
      </c>
      <c r="K651" s="185" t="str">
        <f>IFERROR(__xludf.DUMMYFUNCTION("""COMPUTED_VALUE"""),"Unknown")</f>
        <v>Unknown</v>
      </c>
      <c r="L651" s="187">
        <f>IFERROR(__xludf.DUMMYFUNCTION("""COMPUTED_VALUE"""),8.0)</f>
        <v>8</v>
      </c>
      <c r="M651" s="188">
        <f>IFERROR(__xludf.DUMMYFUNCTION("""COMPUTED_VALUE"""),0.01)</f>
        <v>0.01</v>
      </c>
      <c r="N651" s="188">
        <f>IFERROR(__xludf.DUMMYFUNCTION("""COMPUTED_VALUE"""),2.13)</f>
        <v>2.13</v>
      </c>
      <c r="O651" s="208"/>
      <c r="P651" s="208"/>
      <c r="Q651" s="208"/>
      <c r="R651" s="208"/>
    </row>
    <row r="652">
      <c r="A652" s="185" t="str">
        <f>IFERROR(__xludf.DUMMYFUNCTION("""COMPUTED_VALUE"""),"Agency directory / review marketplace")</f>
        <v>Agency directory / review marketplace</v>
      </c>
      <c r="B652" s="186" t="str">
        <f>IFERROR(__xludf.DUMMYFUNCTION("""COMPUTED_VALUE"""),"https://www.sortlist.co.uk/s/artificial-intelligence/london-england-gb")</f>
        <v>https://www.sortlist.co.uk/s/artificial-intelligence/london-england-gb</v>
      </c>
      <c r="C652" s="185" t="str">
        <f>IFERROR(__xludf.DUMMYFUNCTION("""COMPUTED_VALUE"""),"The 10 Best Artificial Intelligence Agencies in London - 2026 Reviews")</f>
        <v>The 10 Best Artificial Intelligence Agencies in London - 2026 Reviews</v>
      </c>
      <c r="D652" s="185" t="str">
        <f>IFERROR(__xludf.DUMMYFUNCTION("""COMPUTED_VALUE"""),"UK")</f>
        <v>UK</v>
      </c>
      <c r="E652" s="185" t="str">
        <f>IFERROR(__xludf.DUMMYFUNCTION("""COMPUTED_VALUE"""),"sortlist.co.uk")</f>
        <v>sortlist.co.uk</v>
      </c>
      <c r="F652" s="185" t="str">
        <f>IFERROR(__xludf.DUMMYFUNCTION("""COMPUTED_VALUE"""),"Category Page")</f>
        <v>Category Page</v>
      </c>
      <c r="G652" s="185" t="str">
        <f>IFERROR(__xludf.DUMMYFUNCTION("""COMPUTED_VALUE"""),"REFERENCE")</f>
        <v>REFERENCE</v>
      </c>
      <c r="H652" s="185" t="str">
        <f>IFERROR(__xludf.DUMMYFUNCTION("""COMPUTED_VALUE"""),"No")</f>
        <v>No</v>
      </c>
      <c r="I652" s="185" t="str">
        <f>IFERROR(__xludf.DUMMYFUNCTION("""COMPUTED_VALUE"""),"Medium")</f>
        <v>Medium</v>
      </c>
      <c r="J652" s="185" t="str">
        <f>IFERROR(__xludf.DUMMYFUNCTION("""COMPUTED_VALUE"""),"Yes")</f>
        <v>Yes</v>
      </c>
      <c r="K652" s="185"/>
      <c r="L652" s="187">
        <f>IFERROR(__xludf.DUMMYFUNCTION("""COMPUTED_VALUE"""),8.0)</f>
        <v>8</v>
      </c>
      <c r="M652" s="188">
        <f>IFERROR(__xludf.DUMMYFUNCTION("""COMPUTED_VALUE"""),0.01)</f>
        <v>0.01</v>
      </c>
      <c r="N652" s="188">
        <f>IFERROR(__xludf.DUMMYFUNCTION("""COMPUTED_VALUE"""),0.13)</f>
        <v>0.13</v>
      </c>
      <c r="O652" s="208"/>
      <c r="P652" s="208"/>
      <c r="Q652" s="208"/>
      <c r="R652" s="208"/>
    </row>
    <row r="653">
      <c r="A653" s="185" t="str">
        <f>IFERROR(__xludf.DUMMYFUNCTION("""COMPUTED_VALUE"""),"Agency directory / review marketplace")</f>
        <v>Agency directory / review marketplace</v>
      </c>
      <c r="B653" s="186" t="str">
        <f>IFERROR(__xludf.DUMMYFUNCTION("""COMPUTED_VALUE"""),"https://www.sortlist.com/attribution-marketing")</f>
        <v>https://www.sortlist.com/attribution-marketing</v>
      </c>
      <c r="C653" s="185" t="str">
        <f>IFERROR(__xludf.DUMMYFUNCTION("""COMPUTED_VALUE"""),"The 100 Best Attribution Marketing Agencies - 2026 Reviews")</f>
        <v>The 100 Best Attribution Marketing Agencies - 2026 Reviews</v>
      </c>
      <c r="D653" s="185" t="str">
        <f>IFERROR(__xludf.DUMMYFUNCTION("""COMPUTED_VALUE"""),"UK")</f>
        <v>UK</v>
      </c>
      <c r="E653" s="185" t="str">
        <f>IFERROR(__xludf.DUMMYFUNCTION("""COMPUTED_VALUE"""),"sortlist.com")</f>
        <v>sortlist.com</v>
      </c>
      <c r="F653" s="185" t="str">
        <f>IFERROR(__xludf.DUMMYFUNCTION("""COMPUTED_VALUE"""),"Profile")</f>
        <v>Profile</v>
      </c>
      <c r="G653" s="185" t="str">
        <f>IFERROR(__xludf.DUMMYFUNCTION("""COMPUTED_VALUE"""),"CORPORATE")</f>
        <v>CORPORATE</v>
      </c>
      <c r="H653" s="185" t="str">
        <f>IFERROR(__xludf.DUMMYFUNCTION("""COMPUTED_VALUE"""),"No")</f>
        <v>No</v>
      </c>
      <c r="I653" s="185" t="str">
        <f>IFERROR(__xludf.DUMMYFUNCTION("""COMPUTED_VALUE"""),"Medium")</f>
        <v>Medium</v>
      </c>
      <c r="J653" s="185" t="str">
        <f>IFERROR(__xludf.DUMMYFUNCTION("""COMPUTED_VALUE"""),"Yes")</f>
        <v>Yes</v>
      </c>
      <c r="K653" s="185" t="str">
        <f>IFERROR(__xludf.DUMMYFUNCTION("""COMPUTED_VALUE"""),"Impression, Push, Triple Whale, Northbeam, WPP")</f>
        <v>Impression, Push, Triple Whale, Northbeam, WPP</v>
      </c>
      <c r="L653" s="187">
        <f>IFERROR(__xludf.DUMMYFUNCTION("""COMPUTED_VALUE"""),8.0)</f>
        <v>8</v>
      </c>
      <c r="M653" s="188">
        <f>IFERROR(__xludf.DUMMYFUNCTION("""COMPUTED_VALUE"""),0.01)</f>
        <v>0.01</v>
      </c>
      <c r="N653" s="188">
        <f>IFERROR(__xludf.DUMMYFUNCTION("""COMPUTED_VALUE"""),0.0)</f>
        <v>0</v>
      </c>
      <c r="O653" s="208"/>
      <c r="P653" s="208"/>
      <c r="Q653" s="208"/>
      <c r="R653" s="208"/>
    </row>
    <row r="654">
      <c r="A654" s="185" t="str">
        <f>IFERROR(__xludf.DUMMYFUNCTION("""COMPUTED_VALUE"""),"Official partner / certification ecosystem")</f>
        <v>Official partner / certification ecosystem</v>
      </c>
      <c r="B654" s="186" t="str">
        <f>IFERROR(__xludf.DUMMYFUNCTION("""COMPUTED_VALUE"""),"https://support.google.com/tagmanager/answer/7237700?hl=en-GB")</f>
        <v>https://support.google.com/tagmanager/answer/7237700?hl=en-GB</v>
      </c>
      <c r="C654" s="185" t="str">
        <f>IFERROR(__xludf.DUMMYFUNCTION("""COMPUTED_VALUE"""),"Google Marketing Platform Partners - Tag Manager Help")</f>
        <v>Google Marketing Platform Partners - Tag Manager Help</v>
      </c>
      <c r="D654" s="185" t="str">
        <f>IFERROR(__xludf.DUMMYFUNCTION("""COMPUTED_VALUE"""),"UK")</f>
        <v>UK</v>
      </c>
      <c r="E654" s="185" t="str">
        <f>IFERROR(__xludf.DUMMYFUNCTION("""COMPUTED_VALUE"""),"google.com")</f>
        <v>google.com</v>
      </c>
      <c r="F654" s="185" t="str">
        <f>IFERROR(__xludf.DUMMYFUNCTION("""COMPUTED_VALUE"""),"Other")</f>
        <v>Other</v>
      </c>
      <c r="G654" s="185" t="str">
        <f>IFERROR(__xludf.DUMMYFUNCTION("""COMPUTED_VALUE"""),"OTHER")</f>
        <v>OTHER</v>
      </c>
      <c r="H654" s="185" t="str">
        <f>IFERROR(__xludf.DUMMYFUNCTION("""COMPUTED_VALUE"""),"No")</f>
        <v>No</v>
      </c>
      <c r="I654" s="185" t="str">
        <f>IFERROR(__xludf.DUMMYFUNCTION("""COMPUTED_VALUE"""),"High")</f>
        <v>High</v>
      </c>
      <c r="J654" s="185" t="str">
        <f>IFERROR(__xludf.DUMMYFUNCTION("""COMPUTED_VALUE"""),"Yes - priority")</f>
        <v>Yes - priority</v>
      </c>
      <c r="K654" s="185"/>
      <c r="L654" s="187">
        <f>IFERROR(__xludf.DUMMYFUNCTION("""COMPUTED_VALUE"""),8.0)</f>
        <v>8</v>
      </c>
      <c r="M654" s="188">
        <f>IFERROR(__xludf.DUMMYFUNCTION("""COMPUTED_VALUE"""),0.01)</f>
        <v>0.01</v>
      </c>
      <c r="N654" s="188">
        <f>IFERROR(__xludf.DUMMYFUNCTION("""COMPUTED_VALUE"""),0.5)</f>
        <v>0.5</v>
      </c>
      <c r="O654" s="208"/>
      <c r="P654" s="208"/>
      <c r="Q654" s="208"/>
      <c r="R654" s="208"/>
    </row>
    <row r="655">
      <c r="A655" s="185" t="str">
        <f>IFERROR(__xludf.DUMMYFUNCTION("""COMPUTED_VALUE"""),"Agency directory / review marketplace")</f>
        <v>Agency directory / review marketplace</v>
      </c>
      <c r="B655" s="186" t="str">
        <f>IFERROR(__xludf.DUMMYFUNCTION("""COMPUTED_VALUE"""),"https://techbehemoths.com/companies/google-ads/united-kingdom")</f>
        <v>https://techbehemoths.com/companies/google-ads/united-kingdom</v>
      </c>
      <c r="C655" s="185" t="str">
        <f>IFERROR(__xludf.DUMMYFUNCTION("""COMPUTED_VALUE"""),"Top 20+ Google Ads Agencies in United Kingdom (2026) - TechBehemoths")</f>
        <v>Top 20+ Google Ads Agencies in United Kingdom (2026) - TechBehemoths</v>
      </c>
      <c r="D655" s="185" t="str">
        <f>IFERROR(__xludf.DUMMYFUNCTION("""COMPUTED_VALUE"""),"UK")</f>
        <v>UK</v>
      </c>
      <c r="E655" s="185" t="str">
        <f>IFERROR(__xludf.DUMMYFUNCTION("""COMPUTED_VALUE"""),"techbehemoths.com")</f>
        <v>techbehemoths.com</v>
      </c>
      <c r="F655" s="185" t="str">
        <f>IFERROR(__xludf.DUMMYFUNCTION("""COMPUTED_VALUE"""),"Profile")</f>
        <v>Profile</v>
      </c>
      <c r="G655" s="185" t="str">
        <f>IFERROR(__xludf.DUMMYFUNCTION("""COMPUTED_VALUE"""),"REFERENCE")</f>
        <v>REFERENCE</v>
      </c>
      <c r="H655" s="185" t="str">
        <f>IFERROR(__xludf.DUMMYFUNCTION("""COMPUTED_VALUE"""),"No")</f>
        <v>No</v>
      </c>
      <c r="I655" s="185" t="str">
        <f>IFERROR(__xludf.DUMMYFUNCTION("""COMPUTED_VALUE"""),"Medium")</f>
        <v>Medium</v>
      </c>
      <c r="J655" s="185" t="str">
        <f>IFERROR(__xludf.DUMMYFUNCTION("""COMPUTED_VALUE"""),"Yes")</f>
        <v>Yes</v>
      </c>
      <c r="K655" s="185" t="str">
        <f>IFERROR(__xludf.DUMMYFUNCTION("""COMPUTED_VALUE"""),"Found, Bird Marketing, Soap Media, The SEO Works, Disruptive Advertising, Impression")</f>
        <v>Found, Bird Marketing, Soap Media, The SEO Works, Disruptive Advertising, Impression</v>
      </c>
      <c r="L655" s="187">
        <f>IFERROR(__xludf.DUMMYFUNCTION("""COMPUTED_VALUE"""),8.0)</f>
        <v>8</v>
      </c>
      <c r="M655" s="188">
        <f>IFERROR(__xludf.DUMMYFUNCTION("""COMPUTED_VALUE"""),0.01)</f>
        <v>0.01</v>
      </c>
      <c r="N655" s="188">
        <f>IFERROR(__xludf.DUMMYFUNCTION("""COMPUTED_VALUE"""),0.0)</f>
        <v>0</v>
      </c>
      <c r="O655" s="208"/>
      <c r="P655" s="208"/>
      <c r="Q655" s="208"/>
      <c r="R655" s="208"/>
    </row>
    <row r="656">
      <c r="A656" s="185" t="str">
        <f>IFERROR(__xludf.DUMMYFUNCTION("""COMPUTED_VALUE"""),"Industry data / software authority")</f>
        <v>Industry data / software authority</v>
      </c>
      <c r="B656" s="186" t="str">
        <f>IFERROR(__xludf.DUMMYFUNCTION("""COMPUTED_VALUE"""),"https://agencies.semrush.com/list/search-engine-marketing/united-kingdom/")</f>
        <v>https://agencies.semrush.com/list/search-engine-marketing/united-kingdom/</v>
      </c>
      <c r="C656" s="185" t="str">
        <f>IFERROR(__xludf.DUMMYFUNCTION("""COMPUTED_VALUE"""),"Best Search Engine Marketing Companies in United Kingdom 2026 | Semrush")</f>
        <v>Best Search Engine Marketing Companies in United Kingdom 2026 | Semrush</v>
      </c>
      <c r="D656" s="185" t="str">
        <f>IFERROR(__xludf.DUMMYFUNCTION("""COMPUTED_VALUE"""),"UK")</f>
        <v>UK</v>
      </c>
      <c r="E656" s="185" t="str">
        <f>IFERROR(__xludf.DUMMYFUNCTION("""COMPUTED_VALUE"""),"semrush.com")</f>
        <v>semrush.com</v>
      </c>
      <c r="F656" s="185" t="str">
        <f>IFERROR(__xludf.DUMMYFUNCTION("""COMPUTED_VALUE"""),"Category Page")</f>
        <v>Category Page</v>
      </c>
      <c r="G656" s="185" t="str">
        <f>IFERROR(__xludf.DUMMYFUNCTION("""COMPUTED_VALUE"""),"CORPORATE")</f>
        <v>CORPORATE</v>
      </c>
      <c r="H656" s="185" t="str">
        <f>IFERROR(__xludf.DUMMYFUNCTION("""COMPUTED_VALUE"""),"No")</f>
        <v>No</v>
      </c>
      <c r="I656" s="185" t="str">
        <f>IFERROR(__xludf.DUMMYFUNCTION("""COMPUTED_VALUE"""),"Medium")</f>
        <v>Medium</v>
      </c>
      <c r="J656" s="185" t="str">
        <f>IFERROR(__xludf.DUMMYFUNCTION("""COMPUTED_VALUE"""),"Yes")</f>
        <v>Yes</v>
      </c>
      <c r="K656" s="185" t="str">
        <f>IFERROR(__xludf.DUMMYFUNCTION("""COMPUTED_VALUE"""),"Found, Impression, Bird Marketing, Measured, Click Intelligence, Passion Digital, Soap Media")</f>
        <v>Found, Impression, Bird Marketing, Measured, Click Intelligence, Passion Digital, Soap Media</v>
      </c>
      <c r="L656" s="187">
        <f>IFERROR(__xludf.DUMMYFUNCTION("""COMPUTED_VALUE"""),7.0)</f>
        <v>7</v>
      </c>
      <c r="M656" s="188">
        <f>IFERROR(__xludf.DUMMYFUNCTION("""COMPUTED_VALUE"""),0.01)</f>
        <v>0.01</v>
      </c>
      <c r="N656" s="188">
        <f>IFERROR(__xludf.DUMMYFUNCTION("""COMPUTED_VALUE"""),0.0)</f>
        <v>0</v>
      </c>
      <c r="O656" s="208"/>
      <c r="P656" s="208"/>
      <c r="Q656" s="208"/>
      <c r="R656" s="208"/>
    </row>
    <row r="657">
      <c r="A657" s="185" t="str">
        <f>IFERROR(__xludf.DUMMYFUNCTION("""COMPUTED_VALUE"""),"Agency directory / review marketplace")</f>
        <v>Agency directory / review marketplace</v>
      </c>
      <c r="B657" s="186" t="str">
        <f>IFERROR(__xludf.DUMMYFUNCTION("""COMPUTED_VALUE"""),"https://digitalagencynetwork.com/agencies/uk/branding/")</f>
        <v>https://digitalagencynetwork.com/agencies/uk/branding/</v>
      </c>
      <c r="C657" s="185" t="str">
        <f>IFERROR(__xludf.DUMMYFUNCTION("""COMPUTED_VALUE"""),"Top Branding Agencies in UK (2026)")</f>
        <v>Top Branding Agencies in UK (2026)</v>
      </c>
      <c r="D657" s="185" t="str">
        <f>IFERROR(__xludf.DUMMYFUNCTION("""COMPUTED_VALUE"""),"UK")</f>
        <v>UK</v>
      </c>
      <c r="E657" s="185" t="str">
        <f>IFERROR(__xludf.DUMMYFUNCTION("""COMPUTED_VALUE"""),"digitalagencynetwork.com")</f>
        <v>digitalagencynetwork.com</v>
      </c>
      <c r="F657" s="185" t="str">
        <f>IFERROR(__xludf.DUMMYFUNCTION("""COMPUTED_VALUE"""),"Category Page")</f>
        <v>Category Page</v>
      </c>
      <c r="G657" s="185" t="str">
        <f>IFERROR(__xludf.DUMMYFUNCTION("""COMPUTED_VALUE"""),"REFERENCE")</f>
        <v>REFERENCE</v>
      </c>
      <c r="H657" s="185" t="str">
        <f>IFERROR(__xludf.DUMMYFUNCTION("""COMPUTED_VALUE"""),"No")</f>
        <v>No</v>
      </c>
      <c r="I657" s="185" t="str">
        <f>IFERROR(__xludf.DUMMYFUNCTION("""COMPUTED_VALUE"""),"Medium")</f>
        <v>Medium</v>
      </c>
      <c r="J657" s="185" t="str">
        <f>IFERROR(__xludf.DUMMYFUNCTION("""COMPUTED_VALUE"""),"Yes")</f>
        <v>Yes</v>
      </c>
      <c r="K657" s="185" t="str">
        <f>IFERROR(__xludf.DUMMYFUNCTION("""COMPUTED_VALUE"""),"Favoured, Bird Marketing, Hallam, M3.agency, Impression")</f>
        <v>Favoured, Bird Marketing, Hallam, M3.agency, Impression</v>
      </c>
      <c r="L657" s="187">
        <f>IFERROR(__xludf.DUMMYFUNCTION("""COMPUTED_VALUE"""),7.0)</f>
        <v>7</v>
      </c>
      <c r="M657" s="188">
        <f>IFERROR(__xludf.DUMMYFUNCTION("""COMPUTED_VALUE"""),0.01)</f>
        <v>0.01</v>
      </c>
      <c r="N657" s="188">
        <f>IFERROR(__xludf.DUMMYFUNCTION("""COMPUTED_VALUE"""),0.29)</f>
        <v>0.29</v>
      </c>
      <c r="O657" s="208"/>
      <c r="P657" s="208"/>
      <c r="Q657" s="208"/>
      <c r="R657" s="208"/>
    </row>
    <row r="658">
      <c r="A658" s="185" t="str">
        <f>IFERROR(__xludf.DUMMYFUNCTION("""COMPUTED_VALUE"""),"Official partner / certification ecosystem")</f>
        <v>Official partner / certification ecosystem</v>
      </c>
      <c r="B658" s="186" t="str">
        <f>IFERROR(__xludf.DUMMYFUNCTION("""COMPUTED_VALUE"""),"https://www.google.com/intl/en_GB/ads/publisher/partners/find-a-partner/")</f>
        <v>https://www.google.com/intl/en_GB/ads/publisher/partners/find-a-partner/</v>
      </c>
      <c r="C658" s="185" t="str">
        <f>IFERROR(__xludf.DUMMYFUNCTION("""COMPUTED_VALUE"""),"Find a Publishing Partner")</f>
        <v>Find a Publishing Partner</v>
      </c>
      <c r="D658" s="185" t="str">
        <f>IFERROR(__xludf.DUMMYFUNCTION("""COMPUTED_VALUE"""),"UK")</f>
        <v>UK</v>
      </c>
      <c r="E658" s="185" t="str">
        <f>IFERROR(__xludf.DUMMYFUNCTION("""COMPUTED_VALUE"""),"google.com")</f>
        <v>google.com</v>
      </c>
      <c r="F658" s="185" t="str">
        <f>IFERROR(__xludf.DUMMYFUNCTION("""COMPUTED_VALUE"""),"Profile")</f>
        <v>Profile</v>
      </c>
      <c r="G658" s="185" t="str">
        <f>IFERROR(__xludf.DUMMYFUNCTION("""COMPUTED_VALUE"""),"OTHER")</f>
        <v>OTHER</v>
      </c>
      <c r="H658" s="185" t="str">
        <f>IFERROR(__xludf.DUMMYFUNCTION("""COMPUTED_VALUE"""),"No")</f>
        <v>No</v>
      </c>
      <c r="I658" s="185" t="str">
        <f>IFERROR(__xludf.DUMMYFUNCTION("""COMPUTED_VALUE"""),"High")</f>
        <v>High</v>
      </c>
      <c r="J658" s="185" t="str">
        <f>IFERROR(__xludf.DUMMYFUNCTION("""COMPUTED_VALUE"""),"Yes - priority")</f>
        <v>Yes - priority</v>
      </c>
      <c r="K658" s="185" t="str">
        <f>IFERROR(__xludf.DUMMYFUNCTION("""COMPUTED_VALUE"""),"Found")</f>
        <v>Found</v>
      </c>
      <c r="L658" s="187">
        <f>IFERROR(__xludf.DUMMYFUNCTION("""COMPUTED_VALUE"""),7.0)</f>
        <v>7</v>
      </c>
      <c r="M658" s="188">
        <f>IFERROR(__xludf.DUMMYFUNCTION("""COMPUTED_VALUE"""),0.01)</f>
        <v>0.01</v>
      </c>
      <c r="N658" s="188">
        <f>IFERROR(__xludf.DUMMYFUNCTION("""COMPUTED_VALUE"""),0.0)</f>
        <v>0</v>
      </c>
      <c r="O658" s="208"/>
      <c r="P658" s="208"/>
      <c r="Q658" s="208"/>
      <c r="R658" s="208"/>
    </row>
    <row r="659">
      <c r="A659" s="185" t="str">
        <f>IFERROR(__xludf.DUMMYFUNCTION("""COMPUTED_VALUE"""),"Industry data / software authority")</f>
        <v>Industry data / software authority</v>
      </c>
      <c r="B659" s="186" t="str">
        <f>IFERROR(__xludf.DUMMYFUNCTION("""COMPUTED_VALUE"""),"https://agencies.semrush.com/list/ai-optimization/united-kingdom/enterprise-business/")</f>
        <v>https://agencies.semrush.com/list/ai-optimization/united-kingdom/enterprise-business/</v>
      </c>
      <c r="C659" s="185" t="str">
        <f>IFERROR(__xludf.DUMMYFUNCTION("""COMPUTED_VALUE"""),"Best AI Search Optimization Agencies for Enterprise Business in United Kingdom 2026 | Semrush")</f>
        <v>Best AI Search Optimization Agencies for Enterprise Business in United Kingdom 2026 | Semrush</v>
      </c>
      <c r="D659" s="185" t="str">
        <f>IFERROR(__xludf.DUMMYFUNCTION("""COMPUTED_VALUE"""),"UK")</f>
        <v>UK</v>
      </c>
      <c r="E659" s="185" t="str">
        <f>IFERROR(__xludf.DUMMYFUNCTION("""COMPUTED_VALUE"""),"semrush.com")</f>
        <v>semrush.com</v>
      </c>
      <c r="F659" s="185" t="str">
        <f>IFERROR(__xludf.DUMMYFUNCTION("""COMPUTED_VALUE"""),"Category Page")</f>
        <v>Category Page</v>
      </c>
      <c r="G659" s="185" t="str">
        <f>IFERROR(__xludf.DUMMYFUNCTION("""COMPUTED_VALUE"""),"CORPORATE")</f>
        <v>CORPORATE</v>
      </c>
      <c r="H659" s="185" t="str">
        <f>IFERROR(__xludf.DUMMYFUNCTION("""COMPUTED_VALUE"""),"No")</f>
        <v>No</v>
      </c>
      <c r="I659" s="185" t="str">
        <f>IFERROR(__xludf.DUMMYFUNCTION("""COMPUTED_VALUE"""),"Medium")</f>
        <v>Medium</v>
      </c>
      <c r="J659" s="185" t="str">
        <f>IFERROR(__xludf.DUMMYFUNCTION("""COMPUTED_VALUE"""),"Yes")</f>
        <v>Yes</v>
      </c>
      <c r="K659" s="185" t="str">
        <f>IFERROR(__xludf.DUMMYFUNCTION("""COMPUTED_VALUE"""),"Found, Measured, Click Intelligence, Momentum, The SEO Works, Gravity Global, ROAST, Huge")</f>
        <v>Found, Measured, Click Intelligence, Momentum, The SEO Works, Gravity Global, ROAST, Huge</v>
      </c>
      <c r="L659" s="187">
        <f>IFERROR(__xludf.DUMMYFUNCTION("""COMPUTED_VALUE"""),6.0)</f>
        <v>6</v>
      </c>
      <c r="M659" s="188">
        <f>IFERROR(__xludf.DUMMYFUNCTION("""COMPUTED_VALUE"""),0.01)</f>
        <v>0.01</v>
      </c>
      <c r="N659" s="188">
        <f>IFERROR(__xludf.DUMMYFUNCTION("""COMPUTED_VALUE"""),0.0)</f>
        <v>0</v>
      </c>
      <c r="O659" s="208"/>
      <c r="P659" s="208"/>
      <c r="Q659" s="208"/>
      <c r="R659" s="208"/>
    </row>
    <row r="660">
      <c r="A660" s="185" t="str">
        <f>IFERROR(__xludf.DUMMYFUNCTION("""COMPUTED_VALUE"""),"Industry data / software authority")</f>
        <v>Industry data / software authority</v>
      </c>
      <c r="B660" s="186" t="str">
        <f>IFERROR(__xludf.DUMMYFUNCTION("""COMPUTED_VALUE"""),"https://agencies.semrush.com/list/analytics-data-science/business-professional-services/united-kingdom/")</f>
        <v>https://agencies.semrush.com/list/analytics-data-science/business-professional-services/united-kingdom/</v>
      </c>
      <c r="C660" s="185" t="str">
        <f>IFERROR(__xludf.DUMMYFUNCTION("""COMPUTED_VALUE"""),"Best B2B Services Data Analytics Services in United Kingdom 2026 | Semrush")</f>
        <v>Best B2B Services Data Analytics Services in United Kingdom 2026 | Semrush</v>
      </c>
      <c r="D660" s="185" t="str">
        <f>IFERROR(__xludf.DUMMYFUNCTION("""COMPUTED_VALUE"""),"UK")</f>
        <v>UK</v>
      </c>
      <c r="E660" s="185" t="str">
        <f>IFERROR(__xludf.DUMMYFUNCTION("""COMPUTED_VALUE"""),"semrush.com")</f>
        <v>semrush.com</v>
      </c>
      <c r="F660" s="185" t="str">
        <f>IFERROR(__xludf.DUMMYFUNCTION("""COMPUTED_VALUE"""),"Category Page")</f>
        <v>Category Page</v>
      </c>
      <c r="G660" s="185" t="str">
        <f>IFERROR(__xludf.DUMMYFUNCTION("""COMPUTED_VALUE"""),"CORPORATE")</f>
        <v>CORPORATE</v>
      </c>
      <c r="H660" s="185" t="str">
        <f>IFERROR(__xludf.DUMMYFUNCTION("""COMPUTED_VALUE"""),"No")</f>
        <v>No</v>
      </c>
      <c r="I660" s="185" t="str">
        <f>IFERROR(__xludf.DUMMYFUNCTION("""COMPUTED_VALUE"""),"Medium")</f>
        <v>Medium</v>
      </c>
      <c r="J660" s="185" t="str">
        <f>IFERROR(__xludf.DUMMYFUNCTION("""COMPUTED_VALUE"""),"Yes")</f>
        <v>Yes</v>
      </c>
      <c r="K660" s="185" t="str">
        <f>IFERROR(__xludf.DUMMYFUNCTION("""COMPUTED_VALUE"""),"Found, The SEO Works, Huge, Measured")</f>
        <v>Found, The SEO Works, Huge, Measured</v>
      </c>
      <c r="L660" s="187">
        <f>IFERROR(__xludf.DUMMYFUNCTION("""COMPUTED_VALUE"""),6.0)</f>
        <v>6</v>
      </c>
      <c r="M660" s="188">
        <f>IFERROR(__xludf.DUMMYFUNCTION("""COMPUTED_VALUE"""),0.01)</f>
        <v>0.01</v>
      </c>
      <c r="N660" s="188">
        <f>IFERROR(__xludf.DUMMYFUNCTION("""COMPUTED_VALUE"""),0.0)</f>
        <v>0</v>
      </c>
      <c r="O660" s="208"/>
      <c r="P660" s="208"/>
      <c r="Q660" s="208"/>
      <c r="R660" s="208"/>
    </row>
    <row r="661">
      <c r="A661" s="185" t="str">
        <f>IFERROR(__xludf.DUMMYFUNCTION("""COMPUTED_VALUE"""),"Agency directory / review marketplace")</f>
        <v>Agency directory / review marketplace</v>
      </c>
      <c r="B661" s="186" t="str">
        <f>IFERROR(__xludf.DUMMYFUNCTION("""COMPUTED_VALUE"""),"https://clutch.co/agencies/ppc/display")</f>
        <v>https://clutch.co/agencies/ppc/display</v>
      </c>
      <c r="C661" s="185" t="str">
        <f>IFERROR(__xludf.DUMMYFUNCTION("""COMPUTED_VALUE"""),"Top Display Advertising Agencies - Jul 2026 Rankings | Clutch.co")</f>
        <v>Top Display Advertising Agencies - Jul 2026 Rankings | Clutch.co</v>
      </c>
      <c r="D661" s="185" t="str">
        <f>IFERROR(__xludf.DUMMYFUNCTION("""COMPUTED_VALUE"""),"UK")</f>
        <v>UK</v>
      </c>
      <c r="E661" s="185" t="str">
        <f>IFERROR(__xludf.DUMMYFUNCTION("""COMPUTED_VALUE"""),"clutch.co")</f>
        <v>clutch.co</v>
      </c>
      <c r="F661" s="185" t="str">
        <f>IFERROR(__xludf.DUMMYFUNCTION("""COMPUTED_VALUE"""),"Category Page")</f>
        <v>Category Page</v>
      </c>
      <c r="G661" s="185" t="str">
        <f>IFERROR(__xludf.DUMMYFUNCTION("""COMPUTED_VALUE"""),"CORPORATE")</f>
        <v>CORPORATE</v>
      </c>
      <c r="H661" s="185" t="str">
        <f>IFERROR(__xludf.DUMMYFUNCTION("""COMPUTED_VALUE"""),"No")</f>
        <v>No</v>
      </c>
      <c r="I661" s="185" t="str">
        <f>IFERROR(__xludf.DUMMYFUNCTION("""COMPUTED_VALUE"""),"Medium")</f>
        <v>Medium</v>
      </c>
      <c r="J661" s="185" t="str">
        <f>IFERROR(__xludf.DUMMYFUNCTION("""COMPUTED_VALUE"""),"Yes")</f>
        <v>Yes</v>
      </c>
      <c r="K661" s="185" t="str">
        <f>IFERROR(__xludf.DUMMYFUNCTION("""COMPUTED_VALUE"""),"Ninja Promo, Soap Media, Found, The SEO Works, GA Agency")</f>
        <v>Ninja Promo, Soap Media, Found, The SEO Works, GA Agency</v>
      </c>
      <c r="L661" s="187">
        <f>IFERROR(__xludf.DUMMYFUNCTION("""COMPUTED_VALUE"""),6.0)</f>
        <v>6</v>
      </c>
      <c r="M661" s="188">
        <f>IFERROR(__xludf.DUMMYFUNCTION("""COMPUTED_VALUE"""),0.01)</f>
        <v>0.01</v>
      </c>
      <c r="N661" s="188">
        <f>IFERROR(__xludf.DUMMYFUNCTION("""COMPUTED_VALUE"""),0.0)</f>
        <v>0</v>
      </c>
      <c r="O661" s="208"/>
      <c r="P661" s="208"/>
      <c r="Q661" s="208"/>
      <c r="R661" s="208"/>
    </row>
    <row r="662">
      <c r="A662" s="185" t="str">
        <f>IFERROR(__xludf.DUMMYFUNCTION("""COMPUTED_VALUE"""),"Agency directory / review marketplace")</f>
        <v>Agency directory / review marketplace</v>
      </c>
      <c r="B662" s="186" t="str">
        <f>IFERROR(__xludf.DUMMYFUNCTION("""COMPUTED_VALUE"""),"https://www.sortlist.co.uk/s/ai-marketing/greater-london-england-gb")</f>
        <v>https://www.sortlist.co.uk/s/ai-marketing/greater-london-england-gb</v>
      </c>
      <c r="C662" s="185" t="str">
        <f>IFERROR(__xludf.DUMMYFUNCTION("""COMPUTED_VALUE"""),"The 10 Best AI Marketing Companies in Greater London - 2026 Reviews")</f>
        <v>The 10 Best AI Marketing Companies in Greater London - 2026 Reviews</v>
      </c>
      <c r="D662" s="185" t="str">
        <f>IFERROR(__xludf.DUMMYFUNCTION("""COMPUTED_VALUE"""),"UK")</f>
        <v>UK</v>
      </c>
      <c r="E662" s="185" t="str">
        <f>IFERROR(__xludf.DUMMYFUNCTION("""COMPUTED_VALUE"""),"sortlist.co.uk")</f>
        <v>sortlist.co.uk</v>
      </c>
      <c r="F662" s="185" t="str">
        <f>IFERROR(__xludf.DUMMYFUNCTION("""COMPUTED_VALUE"""),"Category Page")</f>
        <v>Category Page</v>
      </c>
      <c r="G662" s="185" t="str">
        <f>IFERROR(__xludf.DUMMYFUNCTION("""COMPUTED_VALUE"""),"REFERENCE")</f>
        <v>REFERENCE</v>
      </c>
      <c r="H662" s="185" t="str">
        <f>IFERROR(__xludf.DUMMYFUNCTION("""COMPUTED_VALUE"""),"No")</f>
        <v>No</v>
      </c>
      <c r="I662" s="185" t="str">
        <f>IFERROR(__xludf.DUMMYFUNCTION("""COMPUTED_VALUE"""),"Medium")</f>
        <v>Medium</v>
      </c>
      <c r="J662" s="185" t="str">
        <f>IFERROR(__xludf.DUMMYFUNCTION("""COMPUTED_VALUE"""),"Yes")</f>
        <v>Yes</v>
      </c>
      <c r="K662" s="185" t="str">
        <f>IFERROR(__xludf.DUMMYFUNCTION("""COMPUTED_VALUE"""),"Hallam")</f>
        <v>Hallam</v>
      </c>
      <c r="L662" s="187">
        <f>IFERROR(__xludf.DUMMYFUNCTION("""COMPUTED_VALUE"""),6.0)</f>
        <v>6</v>
      </c>
      <c r="M662" s="188">
        <f>IFERROR(__xludf.DUMMYFUNCTION("""COMPUTED_VALUE"""),0.01)</f>
        <v>0.01</v>
      </c>
      <c r="N662" s="188">
        <f>IFERROR(__xludf.DUMMYFUNCTION("""COMPUTED_VALUE"""),0.0)</f>
        <v>0</v>
      </c>
      <c r="O662" s="208"/>
      <c r="P662" s="208"/>
      <c r="Q662" s="208"/>
      <c r="R662" s="208"/>
    </row>
    <row r="663">
      <c r="A663" s="185" t="str">
        <f>IFERROR(__xludf.DUMMYFUNCTION("""COMPUTED_VALUE"""),"Agency directory / review marketplace")</f>
        <v>Agency directory / review marketplace</v>
      </c>
      <c r="B663" s="186" t="str">
        <f>IFERROR(__xludf.DUMMYFUNCTION("""COMPUTED_VALUE"""),"https://www.sortlist.co.uk/s/paid-media/england-england-gb")</f>
        <v>https://www.sortlist.co.uk/s/paid-media/england-england-gb</v>
      </c>
      <c r="C663" s="185" t="str">
        <f>IFERROR(__xludf.DUMMYFUNCTION("""COMPUTED_VALUE"""),"The 10 Best Paid Media Agencies in England - 2026 Reviews")</f>
        <v>The 10 Best Paid Media Agencies in England - 2026 Reviews</v>
      </c>
      <c r="D663" s="185" t="str">
        <f>IFERROR(__xludf.DUMMYFUNCTION("""COMPUTED_VALUE"""),"UK")</f>
        <v>UK</v>
      </c>
      <c r="E663" s="185" t="str">
        <f>IFERROR(__xludf.DUMMYFUNCTION("""COMPUTED_VALUE"""),"sortlist.co.uk")</f>
        <v>sortlist.co.uk</v>
      </c>
      <c r="F663" s="185" t="str">
        <f>IFERROR(__xludf.DUMMYFUNCTION("""COMPUTED_VALUE"""),"Category Page")</f>
        <v>Category Page</v>
      </c>
      <c r="G663" s="185" t="str">
        <f>IFERROR(__xludf.DUMMYFUNCTION("""COMPUTED_VALUE"""),"REFERENCE")</f>
        <v>REFERENCE</v>
      </c>
      <c r="H663" s="185" t="str">
        <f>IFERROR(__xludf.DUMMYFUNCTION("""COMPUTED_VALUE"""),"No")</f>
        <v>No</v>
      </c>
      <c r="I663" s="185" t="str">
        <f>IFERROR(__xludf.DUMMYFUNCTION("""COMPUTED_VALUE"""),"Medium")</f>
        <v>Medium</v>
      </c>
      <c r="J663" s="185" t="str">
        <f>IFERROR(__xludf.DUMMYFUNCTION("""COMPUTED_VALUE"""),"Yes")</f>
        <v>Yes</v>
      </c>
      <c r="K663" s="185" t="str">
        <f>IFERROR(__xludf.DUMMYFUNCTION("""COMPUTED_VALUE"""),"Push, Triple Whale, Northbeam, Found, Momentum, M3.agency, McKinsey &amp; Company")</f>
        <v>Push, Triple Whale, Northbeam, Found, Momentum, M3.agency, McKinsey &amp; Company</v>
      </c>
      <c r="L663" s="187">
        <f>IFERROR(__xludf.DUMMYFUNCTION("""COMPUTED_VALUE"""),6.0)</f>
        <v>6</v>
      </c>
      <c r="M663" s="188">
        <f>IFERROR(__xludf.DUMMYFUNCTION("""COMPUTED_VALUE"""),0.01)</f>
        <v>0.01</v>
      </c>
      <c r="N663" s="188">
        <f>IFERROR(__xludf.DUMMYFUNCTION("""COMPUTED_VALUE"""),0.5)</f>
        <v>0.5</v>
      </c>
      <c r="O663" s="208"/>
      <c r="P663" s="208"/>
      <c r="Q663" s="208"/>
      <c r="R663" s="208"/>
    </row>
    <row r="664">
      <c r="A664" s="185" t="str">
        <f>IFERROR(__xludf.DUMMYFUNCTION("""COMPUTED_VALUE"""),"Agency directory / review marketplace")</f>
        <v>Agency directory / review marketplace</v>
      </c>
      <c r="B664" s="186" t="str">
        <f>IFERROR(__xludf.DUMMYFUNCTION("""COMPUTED_VALUE"""),"https://www.sortlist.com/display-advertising")</f>
        <v>https://www.sortlist.com/display-advertising</v>
      </c>
      <c r="C664" s="185" t="str">
        <f>IFERROR(__xludf.DUMMYFUNCTION("""COMPUTED_VALUE"""),"The 100 Best Display Advertising Agencies - 2026 Reviews")</f>
        <v>The 100 Best Display Advertising Agencies - 2026 Reviews</v>
      </c>
      <c r="D664" s="185" t="str">
        <f>IFERROR(__xludf.DUMMYFUNCTION("""COMPUTED_VALUE"""),"UK")</f>
        <v>UK</v>
      </c>
      <c r="E664" s="185" t="str">
        <f>IFERROR(__xludf.DUMMYFUNCTION("""COMPUTED_VALUE"""),"sortlist.com")</f>
        <v>sortlist.com</v>
      </c>
      <c r="F664" s="185" t="str">
        <f>IFERROR(__xludf.DUMMYFUNCTION("""COMPUTED_VALUE"""),"Listicle")</f>
        <v>Listicle</v>
      </c>
      <c r="G664" s="185" t="str">
        <f>IFERROR(__xludf.DUMMYFUNCTION("""COMPUTED_VALUE"""),"CORPORATE")</f>
        <v>CORPORATE</v>
      </c>
      <c r="H664" s="185" t="str">
        <f>IFERROR(__xludf.DUMMYFUNCTION("""COMPUTED_VALUE"""),"No")</f>
        <v>No</v>
      </c>
      <c r="I664" s="185" t="str">
        <f>IFERROR(__xludf.DUMMYFUNCTION("""COMPUTED_VALUE"""),"Medium")</f>
        <v>Medium</v>
      </c>
      <c r="J664" s="185" t="str">
        <f>IFERROR(__xludf.DUMMYFUNCTION("""COMPUTED_VALUE"""),"Yes")</f>
        <v>Yes</v>
      </c>
      <c r="K664" s="185"/>
      <c r="L664" s="187">
        <f>IFERROR(__xludf.DUMMYFUNCTION("""COMPUTED_VALUE"""),6.0)</f>
        <v>6</v>
      </c>
      <c r="M664" s="188">
        <f>IFERROR(__xludf.DUMMYFUNCTION("""COMPUTED_VALUE"""),0.01)</f>
        <v>0.01</v>
      </c>
      <c r="N664" s="188">
        <f>IFERROR(__xludf.DUMMYFUNCTION("""COMPUTED_VALUE"""),0.0)</f>
        <v>0</v>
      </c>
      <c r="O664" s="208"/>
      <c r="P664" s="208"/>
      <c r="Q664" s="208"/>
      <c r="R664" s="208"/>
    </row>
    <row r="665">
      <c r="A665" s="185" t="str">
        <f>IFERROR(__xludf.DUMMYFUNCTION("""COMPUTED_VALUE"""),"Agency directory / review marketplace")</f>
        <v>Agency directory / review marketplace</v>
      </c>
      <c r="B665" s="186" t="str">
        <f>IFERROR(__xludf.DUMMYFUNCTION("""COMPUTED_VALUE"""),"https://clutch.co/agencies/performance-marketing")</f>
        <v>https://clutch.co/agencies/performance-marketing</v>
      </c>
      <c r="C665" s="185" t="str">
        <f>IFERROR(__xludf.DUMMYFUNCTION("""COMPUTED_VALUE"""),"Top Performance Marketing Agencies - Jul 2026 Rankings | Clutch.co")</f>
        <v>Top Performance Marketing Agencies - Jul 2026 Rankings | Clutch.co</v>
      </c>
      <c r="D665" s="185" t="str">
        <f>IFERROR(__xludf.DUMMYFUNCTION("""COMPUTED_VALUE"""),"UK")</f>
        <v>UK</v>
      </c>
      <c r="E665" s="185" t="str">
        <f>IFERROR(__xludf.DUMMYFUNCTION("""COMPUTED_VALUE"""),"clutch.co")</f>
        <v>clutch.co</v>
      </c>
      <c r="F665" s="185" t="str">
        <f>IFERROR(__xludf.DUMMYFUNCTION("""COMPUTED_VALUE"""),"Category Page")</f>
        <v>Category Page</v>
      </c>
      <c r="G665" s="185" t="str">
        <f>IFERROR(__xludf.DUMMYFUNCTION("""COMPUTED_VALUE"""),"CORPORATE")</f>
        <v>CORPORATE</v>
      </c>
      <c r="H665" s="185" t="str">
        <f>IFERROR(__xludf.DUMMYFUNCTION("""COMPUTED_VALUE"""),"No")</f>
        <v>No</v>
      </c>
      <c r="I665" s="185" t="str">
        <f>IFERROR(__xludf.DUMMYFUNCTION("""COMPUTED_VALUE"""),"Medium")</f>
        <v>Medium</v>
      </c>
      <c r="J665" s="185" t="str">
        <f>IFERROR(__xludf.DUMMYFUNCTION("""COMPUTED_VALUE"""),"Yes")</f>
        <v>Yes</v>
      </c>
      <c r="K665" s="185" t="str">
        <f>IFERROR(__xludf.DUMMYFUNCTION("""COMPUTED_VALUE"""),"Disruptive Advertising, Launch Online, Found, Momentum, GA Agency")</f>
        <v>Disruptive Advertising, Launch Online, Found, Momentum, GA Agency</v>
      </c>
      <c r="L665" s="187">
        <f>IFERROR(__xludf.DUMMYFUNCTION("""COMPUTED_VALUE"""),5.0)</f>
        <v>5</v>
      </c>
      <c r="M665" s="188">
        <f>IFERROR(__xludf.DUMMYFUNCTION("""COMPUTED_VALUE"""),0.0)</f>
        <v>0</v>
      </c>
      <c r="N665" s="188">
        <f>IFERROR(__xludf.DUMMYFUNCTION("""COMPUTED_VALUE"""),0.8)</f>
        <v>0.8</v>
      </c>
      <c r="O665" s="208"/>
      <c r="P665" s="208"/>
      <c r="Q665" s="208"/>
      <c r="R665" s="208"/>
    </row>
    <row r="666">
      <c r="A666" s="185" t="str">
        <f>IFERROR(__xludf.DUMMYFUNCTION("""COMPUTED_VALUE"""),"Agency directory / review marketplace")</f>
        <v>Agency directory / review marketplace</v>
      </c>
      <c r="B666" s="186" t="str">
        <f>IFERROR(__xludf.DUMMYFUNCTION("""COMPUTED_VALUE"""),"https://clutch.co/agencies/ppc/display/uk?page=1")</f>
        <v>https://clutch.co/agencies/ppc/display/uk?page=1</v>
      </c>
      <c r="C666" s="185" t="str">
        <f>IFERROR(__xludf.DUMMYFUNCTION("""COMPUTED_VALUE"""),"Page 2 - Top Display Advertising Services in the United Kingdom - Jul 2026 Rankings \| Clutch.co")</f>
        <v>Page 2 - Top Display Advertising Services in the United Kingdom - Jul 2026 Rankings \| Clutch.co</v>
      </c>
      <c r="D666" s="185" t="str">
        <f>IFERROR(__xludf.DUMMYFUNCTION("""COMPUTED_VALUE"""),"UK")</f>
        <v>UK</v>
      </c>
      <c r="E666" s="185" t="str">
        <f>IFERROR(__xludf.DUMMYFUNCTION("""COMPUTED_VALUE"""),"clutch.co")</f>
        <v>clutch.co</v>
      </c>
      <c r="F666" s="185" t="str">
        <f>IFERROR(__xludf.DUMMYFUNCTION("""COMPUTED_VALUE"""),"Category Page")</f>
        <v>Category Page</v>
      </c>
      <c r="G666" s="185" t="str">
        <f>IFERROR(__xludf.DUMMYFUNCTION("""COMPUTED_VALUE"""),"CORPORATE")</f>
        <v>CORPORATE</v>
      </c>
      <c r="H666" s="185" t="str">
        <f>IFERROR(__xludf.DUMMYFUNCTION("""COMPUTED_VALUE"""),"No")</f>
        <v>No</v>
      </c>
      <c r="I666" s="185" t="str">
        <f>IFERROR(__xludf.DUMMYFUNCTION("""COMPUTED_VALUE"""),"Medium")</f>
        <v>Medium</v>
      </c>
      <c r="J666" s="185" t="str">
        <f>IFERROR(__xludf.DUMMYFUNCTION("""COMPUTED_VALUE"""),"Yes")</f>
        <v>Yes</v>
      </c>
      <c r="K666" s="185" t="str">
        <f>IFERROR(__xludf.DUMMYFUNCTION("""COMPUTED_VALUE"""),"Ninja Promo, Soap Media, The SEO Works, GA Agency, Bind Media, Found")</f>
        <v>Ninja Promo, Soap Media, The SEO Works, GA Agency, Bind Media, Found</v>
      </c>
      <c r="L666" s="187">
        <f>IFERROR(__xludf.DUMMYFUNCTION("""COMPUTED_VALUE"""),5.0)</f>
        <v>5</v>
      </c>
      <c r="M666" s="188">
        <f>IFERROR(__xludf.DUMMYFUNCTION("""COMPUTED_VALUE"""),0.0)</f>
        <v>0</v>
      </c>
      <c r="N666" s="188">
        <f>IFERROR(__xludf.DUMMYFUNCTION("""COMPUTED_VALUE"""),0.0)</f>
        <v>0</v>
      </c>
      <c r="O666" s="208"/>
      <c r="P666" s="208"/>
      <c r="Q666" s="208"/>
      <c r="R666" s="208"/>
    </row>
    <row r="667">
      <c r="A667" s="185" t="str">
        <f>IFERROR(__xludf.DUMMYFUNCTION("""COMPUTED_VALUE"""),"Lower-priority competitor/vendor roundup")</f>
        <v>Lower-priority competitor/vendor roundup</v>
      </c>
      <c r="B667" s="186" t="str">
        <f>IFERROR(__xludf.DUMMYFUNCTION("""COMPUTED_VALUE"""),"https://www.cometly.com/post/incrementality-measurement-tool")</f>
        <v>https://www.cometly.com/post/incrementality-measurement-tool</v>
      </c>
      <c r="C667" s="185" t="str">
        <f>IFERROR(__xludf.DUMMYFUNCTION("""COMPUTED_VALUE"""),"9 Best Incrementality Measurement Tools: 2026 Guide")</f>
        <v>9 Best Incrementality Measurement Tools: 2026 Guide</v>
      </c>
      <c r="D667" s="185" t="str">
        <f>IFERROR(__xludf.DUMMYFUNCTION("""COMPUTED_VALUE"""),"UK")</f>
        <v>UK</v>
      </c>
      <c r="E667" s="185" t="str">
        <f>IFERROR(__xludf.DUMMYFUNCTION("""COMPUTED_VALUE"""),"cometly.com")</f>
        <v>cometly.com</v>
      </c>
      <c r="F667" s="185" t="str">
        <f>IFERROR(__xludf.DUMMYFUNCTION("""COMPUTED_VALUE"""),"Listicle")</f>
        <v>Listicle</v>
      </c>
      <c r="G667" s="185" t="str">
        <f>IFERROR(__xludf.DUMMYFUNCTION("""COMPUTED_VALUE"""),"COMPETITOR")</f>
        <v>COMPETITOR</v>
      </c>
      <c r="H667" s="185" t="str">
        <f>IFERROR(__xludf.DUMMYFUNCTION("""COMPUTED_VALUE"""),"No")</f>
        <v>No</v>
      </c>
      <c r="I667" s="185" t="str">
        <f>IFERROR(__xludf.DUMMYFUNCTION("""COMPUTED_VALUE"""),"Low")</f>
        <v>Low</v>
      </c>
      <c r="J667" s="185" t="str">
        <f>IFERROR(__xludf.DUMMYFUNCTION("""COMPUTED_VALUE"""),"Secondary")</f>
        <v>Secondary</v>
      </c>
      <c r="K667" s="185" t="str">
        <f>IFERROR(__xludf.DUMMYFUNCTION("""COMPUTED_VALUE"""),"Cometly, Measured, Rockerbox, Northbeam, Recast, Haus")</f>
        <v>Cometly, Measured, Rockerbox, Northbeam, Recast, Haus</v>
      </c>
      <c r="L667" s="187">
        <f>IFERROR(__xludf.DUMMYFUNCTION("""COMPUTED_VALUE"""),5.0)</f>
        <v>5</v>
      </c>
      <c r="M667" s="188">
        <f>IFERROR(__xludf.DUMMYFUNCTION("""COMPUTED_VALUE"""),0.0)</f>
        <v>0</v>
      </c>
      <c r="N667" s="188">
        <f>IFERROR(__xludf.DUMMYFUNCTION("""COMPUTED_VALUE"""),0.4)</f>
        <v>0.4</v>
      </c>
      <c r="O667" s="208"/>
      <c r="P667" s="208"/>
      <c r="Q667" s="208"/>
      <c r="R667" s="208"/>
    </row>
    <row r="668">
      <c r="A668" s="185" t="str">
        <f>IFERROR(__xludf.DUMMYFUNCTION("""COMPUTED_VALUE"""),"Agency directory / review marketplace")</f>
        <v>Agency directory / review marketplace</v>
      </c>
      <c r="B668" s="186" t="str">
        <f>IFERROR(__xludf.DUMMYFUNCTION("""COMPUTED_VALUE"""),"https://www.designrush.com/agency/social-media-marketing/uk")</f>
        <v>https://www.designrush.com/agency/social-media-marketing/uk</v>
      </c>
      <c r="C668" s="185" t="str">
        <f>IFERROR(__xludf.DUMMYFUNCTION("""COMPUTED_VALUE"""),"Top Social Media Marketing Companies in the United Kingdom | 2026")</f>
        <v>Top Social Media Marketing Companies in the United Kingdom | 2026</v>
      </c>
      <c r="D668" s="185" t="str">
        <f>IFERROR(__xludf.DUMMYFUNCTION("""COMPUTED_VALUE"""),"UK")</f>
        <v>UK</v>
      </c>
      <c r="E668" s="185" t="str">
        <f>IFERROR(__xludf.DUMMYFUNCTION("""COMPUTED_VALUE"""),"designrush.com")</f>
        <v>designrush.com</v>
      </c>
      <c r="F668" s="185" t="str">
        <f>IFERROR(__xludf.DUMMYFUNCTION("""COMPUTED_VALUE"""),"Category Page")</f>
        <v>Category Page</v>
      </c>
      <c r="G668" s="185" t="str">
        <f>IFERROR(__xludf.DUMMYFUNCTION("""COMPUTED_VALUE"""),"CORPORATE")</f>
        <v>CORPORATE</v>
      </c>
      <c r="H668" s="185" t="str">
        <f>IFERROR(__xludf.DUMMYFUNCTION("""COMPUTED_VALUE"""),"No")</f>
        <v>No</v>
      </c>
      <c r="I668" s="185" t="str">
        <f>IFERROR(__xludf.DUMMYFUNCTION("""COMPUTED_VALUE"""),"Medium")</f>
        <v>Medium</v>
      </c>
      <c r="J668" s="185" t="str">
        <f>IFERROR(__xludf.DUMMYFUNCTION("""COMPUTED_VALUE"""),"Yes")</f>
        <v>Yes</v>
      </c>
      <c r="K668" s="185" t="str">
        <f>IFERROR(__xludf.DUMMYFUNCTION("""COMPUTED_VALUE"""),"WebFX, Nielsen, Bird Marketing, Genie Crawl, Favoured, Impression, The SEO Works")</f>
        <v>WebFX, Nielsen, Bird Marketing, Genie Crawl, Favoured, Impression, The SEO Works</v>
      </c>
      <c r="L668" s="187">
        <f>IFERROR(__xludf.DUMMYFUNCTION("""COMPUTED_VALUE"""),5.0)</f>
        <v>5</v>
      </c>
      <c r="M668" s="188">
        <f>IFERROR(__xludf.DUMMYFUNCTION("""COMPUTED_VALUE"""),0.0)</f>
        <v>0</v>
      </c>
      <c r="N668" s="188">
        <f>IFERROR(__xludf.DUMMYFUNCTION("""COMPUTED_VALUE"""),0.0)</f>
        <v>0</v>
      </c>
      <c r="O668" s="208"/>
      <c r="P668" s="208"/>
      <c r="Q668" s="208"/>
      <c r="R668" s="208"/>
    </row>
    <row r="669">
      <c r="A669" s="185" t="str">
        <f>IFERROR(__xludf.DUMMYFUNCTION("""COMPUTED_VALUE"""),"Official partner / certification ecosystem")</f>
        <v>Official partner / certification ecosystem</v>
      </c>
      <c r="B669" s="186" t="str">
        <f>IFERROR(__xludf.DUMMYFUNCTION("""COMPUTED_VALUE"""),"https://enterprisemarketingportal.google/work-with-partners")</f>
        <v>https://enterprisemarketingportal.google/work-with-partners</v>
      </c>
      <c r="C669" s="185" t="str">
        <f>IFERROR(__xludf.DUMMYFUNCTION("""COMPUTED_VALUE"""),"Work with Partners")</f>
        <v>Work with Partners</v>
      </c>
      <c r="D669" s="185" t="str">
        <f>IFERROR(__xludf.DUMMYFUNCTION("""COMPUTED_VALUE"""),"UK")</f>
        <v>UK</v>
      </c>
      <c r="E669" s="185" t="str">
        <f>IFERROR(__xludf.DUMMYFUNCTION("""COMPUTED_VALUE"""),"enterprisemarketingportal.google")</f>
        <v>enterprisemarketingportal.google</v>
      </c>
      <c r="F669" s="185" t="str">
        <f>IFERROR(__xludf.DUMMYFUNCTION("""COMPUTED_VALUE"""),"Category Page")</f>
        <v>Category Page</v>
      </c>
      <c r="G669" s="185" t="str">
        <f>IFERROR(__xludf.DUMMYFUNCTION("""COMPUTED_VALUE"""),"CORPORATE")</f>
        <v>CORPORATE</v>
      </c>
      <c r="H669" s="185" t="str">
        <f>IFERROR(__xludf.DUMMYFUNCTION("""COMPUTED_VALUE"""),"No")</f>
        <v>No</v>
      </c>
      <c r="I669" s="185" t="str">
        <f>IFERROR(__xludf.DUMMYFUNCTION("""COMPUTED_VALUE"""),"High")</f>
        <v>High</v>
      </c>
      <c r="J669" s="185" t="str">
        <f>IFERROR(__xludf.DUMMYFUNCTION("""COMPUTED_VALUE"""),"Yes - priority")</f>
        <v>Yes - priority</v>
      </c>
      <c r="K669" s="185"/>
      <c r="L669" s="187">
        <f>IFERROR(__xludf.DUMMYFUNCTION("""COMPUTED_VALUE"""),5.0)</f>
        <v>5</v>
      </c>
      <c r="M669" s="188">
        <f>IFERROR(__xludf.DUMMYFUNCTION("""COMPUTED_VALUE"""),0.0)</f>
        <v>0</v>
      </c>
      <c r="N669" s="188">
        <f>IFERROR(__xludf.DUMMYFUNCTION("""COMPUTED_VALUE"""),2.8)</f>
        <v>2.8</v>
      </c>
      <c r="O669" s="208"/>
      <c r="P669" s="208"/>
      <c r="Q669" s="208"/>
      <c r="R669" s="208"/>
    </row>
    <row r="670">
      <c r="A670" s="185" t="str">
        <f>IFERROR(__xludf.DUMMYFUNCTION("""COMPUTED_VALUE"""),"Agency directory / review marketplace")</f>
        <v>Agency directory / review marketplace</v>
      </c>
      <c r="B670" s="186" t="str">
        <f>IFERROR(__xludf.DUMMYFUNCTION("""COMPUTED_VALUE"""),"https://www.goodfirms.co/advertising-companies/creative/uk")</f>
        <v>https://www.goodfirms.co/advertising-companies/creative/uk</v>
      </c>
      <c r="C670" s="185" t="str">
        <f>IFERROR(__xludf.DUMMYFUNCTION("""COMPUTED_VALUE"""),"Top Creative Agencies in the United Kingdom - 2026 Reviews | Goodfirms")</f>
        <v>Top Creative Agencies in the United Kingdom - 2026 Reviews | Goodfirms</v>
      </c>
      <c r="D670" s="185" t="str">
        <f>IFERROR(__xludf.DUMMYFUNCTION("""COMPUTED_VALUE"""),"UK")</f>
        <v>UK</v>
      </c>
      <c r="E670" s="185" t="str">
        <f>IFERROR(__xludf.DUMMYFUNCTION("""COMPUTED_VALUE"""),"goodfirms.co")</f>
        <v>goodfirms.co</v>
      </c>
      <c r="F670" s="185" t="str">
        <f>IFERROR(__xludf.DUMMYFUNCTION("""COMPUTED_VALUE"""),"Category Page")</f>
        <v>Category Page</v>
      </c>
      <c r="G670" s="185" t="str">
        <f>IFERROR(__xludf.DUMMYFUNCTION("""COMPUTED_VALUE"""),"UGC")</f>
        <v>UGC</v>
      </c>
      <c r="H670" s="185" t="str">
        <f>IFERROR(__xludf.DUMMYFUNCTION("""COMPUTED_VALUE"""),"No")</f>
        <v>No</v>
      </c>
      <c r="I670" s="185" t="str">
        <f>IFERROR(__xludf.DUMMYFUNCTION("""COMPUTED_VALUE"""),"Medium")</f>
        <v>Medium</v>
      </c>
      <c r="J670" s="185" t="str">
        <f>IFERROR(__xludf.DUMMYFUNCTION("""COMPUTED_VALUE"""),"Yes")</f>
        <v>Yes</v>
      </c>
      <c r="K670" s="185" t="str">
        <f>IFERROR(__xludf.DUMMYFUNCTION("""COMPUTED_VALUE"""),"Haus, Found")</f>
        <v>Haus, Found</v>
      </c>
      <c r="L670" s="187">
        <f>IFERROR(__xludf.DUMMYFUNCTION("""COMPUTED_VALUE"""),5.0)</f>
        <v>5</v>
      </c>
      <c r="M670" s="188">
        <f>IFERROR(__xludf.DUMMYFUNCTION("""COMPUTED_VALUE"""),0.0)</f>
        <v>0</v>
      </c>
      <c r="N670" s="188">
        <f>IFERROR(__xludf.DUMMYFUNCTION("""COMPUTED_VALUE"""),0.0)</f>
        <v>0</v>
      </c>
      <c r="O670" s="208"/>
      <c r="P670" s="208"/>
      <c r="Q670" s="208"/>
      <c r="R670" s="208"/>
    </row>
    <row r="671">
      <c r="A671" s="185" t="str">
        <f>IFERROR(__xludf.DUMMYFUNCTION("""COMPUTED_VALUE"""),"Agency directory / review marketplace")</f>
        <v>Agency directory / review marketplace</v>
      </c>
      <c r="B671" s="186" t="str">
        <f>IFERROR(__xludf.DUMMYFUNCTION("""COMPUTED_VALUE"""),"https://www.goodfirms.co/directory/country/top-digital-marketing-companies/advertising-ppc/uk")</f>
        <v>https://www.goodfirms.co/directory/country/top-digital-marketing-companies/advertising-ppc/uk</v>
      </c>
      <c r="C671" s="185" t="str">
        <f>IFERROR(__xludf.DUMMYFUNCTION("""COMPUTED_VALUE"""),"Top PPC Agencies in the UK - 2026 Reviews | Goodfirms")</f>
        <v>Top PPC Agencies in the UK - 2026 Reviews | Goodfirms</v>
      </c>
      <c r="D671" s="185" t="str">
        <f>IFERROR(__xludf.DUMMYFUNCTION("""COMPUTED_VALUE"""),"UK")</f>
        <v>UK</v>
      </c>
      <c r="E671" s="185" t="str">
        <f>IFERROR(__xludf.DUMMYFUNCTION("""COMPUTED_VALUE"""),"goodfirms.co")</f>
        <v>goodfirms.co</v>
      </c>
      <c r="F671" s="185" t="str">
        <f>IFERROR(__xludf.DUMMYFUNCTION("""COMPUTED_VALUE"""),"Category Page")</f>
        <v>Category Page</v>
      </c>
      <c r="G671" s="185" t="str">
        <f>IFERROR(__xludf.DUMMYFUNCTION("""COMPUTED_VALUE"""),"UGC")</f>
        <v>UGC</v>
      </c>
      <c r="H671" s="185" t="str">
        <f>IFERROR(__xludf.DUMMYFUNCTION("""COMPUTED_VALUE"""),"No")</f>
        <v>No</v>
      </c>
      <c r="I671" s="185" t="str">
        <f>IFERROR(__xludf.DUMMYFUNCTION("""COMPUTED_VALUE"""),"Medium")</f>
        <v>Medium</v>
      </c>
      <c r="J671" s="185" t="str">
        <f>IFERROR(__xludf.DUMMYFUNCTION("""COMPUTED_VALUE"""),"Yes")</f>
        <v>Yes</v>
      </c>
      <c r="K671" s="185" t="str">
        <f>IFERROR(__xludf.DUMMYFUNCTION("""COMPUTED_VALUE"""),"WebFX, The SEO Works, Bird Marketing, Push, Found")</f>
        <v>WebFX, The SEO Works, Bird Marketing, Push, Found</v>
      </c>
      <c r="L671" s="187">
        <f>IFERROR(__xludf.DUMMYFUNCTION("""COMPUTED_VALUE"""),5.0)</f>
        <v>5</v>
      </c>
      <c r="M671" s="188">
        <f>IFERROR(__xludf.DUMMYFUNCTION("""COMPUTED_VALUE"""),0.0)</f>
        <v>0</v>
      </c>
      <c r="N671" s="188">
        <f>IFERROR(__xludf.DUMMYFUNCTION("""COMPUTED_VALUE"""),0.0)</f>
        <v>0</v>
      </c>
      <c r="O671" s="208"/>
      <c r="P671" s="208"/>
      <c r="Q671" s="208"/>
      <c r="R671" s="208"/>
    </row>
    <row r="672">
      <c r="A672" s="185" t="str">
        <f>IFERROR(__xludf.DUMMYFUNCTION("""COMPUTED_VALUE"""),"Official partner / certification ecosystem")</f>
        <v>Official partner / certification ecosystem</v>
      </c>
      <c r="B672" s="186" t="str">
        <f>IFERROR(__xludf.DUMMYFUNCTION("""COMPUTED_VALUE"""),"https://www.google.com/partners")</f>
        <v>https://www.google.com/partners</v>
      </c>
      <c r="C672" s="185"/>
      <c r="D672" s="185" t="str">
        <f>IFERROR(__xludf.DUMMYFUNCTION("""COMPUTED_VALUE"""),"UK")</f>
        <v>UK</v>
      </c>
      <c r="E672" s="185" t="str">
        <f>IFERROR(__xludf.DUMMYFUNCTION("""COMPUTED_VALUE"""),"google.com")</f>
        <v>google.com</v>
      </c>
      <c r="F672" s="185" t="str">
        <f>IFERROR(__xludf.DUMMYFUNCTION("""COMPUTED_VALUE"""),"Other")</f>
        <v>Other</v>
      </c>
      <c r="G672" s="185" t="str">
        <f>IFERROR(__xludf.DUMMYFUNCTION("""COMPUTED_VALUE"""),"OTHER")</f>
        <v>OTHER</v>
      </c>
      <c r="H672" s="185" t="str">
        <f>IFERROR(__xludf.DUMMYFUNCTION("""COMPUTED_VALUE"""),"No")</f>
        <v>No</v>
      </c>
      <c r="I672" s="185" t="str">
        <f>IFERROR(__xludf.DUMMYFUNCTION("""COMPUTED_VALUE"""),"High")</f>
        <v>High</v>
      </c>
      <c r="J672" s="185" t="str">
        <f>IFERROR(__xludf.DUMMYFUNCTION("""COMPUTED_VALUE"""),"Yes - priority")</f>
        <v>Yes - priority</v>
      </c>
      <c r="K672" s="185" t="str">
        <f>IFERROR(__xludf.DUMMYFUNCTION("""COMPUTED_VALUE"""),"Unknown")</f>
        <v>Unknown</v>
      </c>
      <c r="L672" s="187">
        <f>IFERROR(__xludf.DUMMYFUNCTION("""COMPUTED_VALUE"""),5.0)</f>
        <v>5</v>
      </c>
      <c r="M672" s="188">
        <f>IFERROR(__xludf.DUMMYFUNCTION("""COMPUTED_VALUE"""),0.0)</f>
        <v>0</v>
      </c>
      <c r="N672" s="188">
        <f>IFERROR(__xludf.DUMMYFUNCTION("""COMPUTED_VALUE"""),0.0)</f>
        <v>0</v>
      </c>
      <c r="O672" s="208"/>
      <c r="P672" s="208"/>
      <c r="Q672" s="208"/>
      <c r="R672" s="208"/>
    </row>
    <row r="673">
      <c r="A673" s="185" t="str">
        <f>IFERROR(__xludf.DUMMYFUNCTION("""COMPUTED_VALUE"""),"Official partner / certification ecosystem")</f>
        <v>Official partner / certification ecosystem</v>
      </c>
      <c r="B673" s="186" t="str">
        <f>IFERROR(__xludf.DUMMYFUNCTION("""COMPUTED_VALUE"""),"https://marketingplatform.google.com/intl/en_uk/about/")</f>
        <v>https://marketingplatform.google.com/intl/en_uk/about/</v>
      </c>
      <c r="C673" s="185" t="str">
        <f>IFERROR(__xludf.DUMMYFUNCTION("""COMPUTED_VALUE"""),"Google Marketing Platform – Unified Advertising and Analytics")</f>
        <v>Google Marketing Platform – Unified Advertising and Analytics</v>
      </c>
      <c r="D673" s="185" t="str">
        <f>IFERROR(__xludf.DUMMYFUNCTION("""COMPUTED_VALUE"""),"UK")</f>
        <v>UK</v>
      </c>
      <c r="E673" s="185" t="str">
        <f>IFERROR(__xludf.DUMMYFUNCTION("""COMPUTED_VALUE"""),"google.com")</f>
        <v>google.com</v>
      </c>
      <c r="F673" s="185" t="str">
        <f>IFERROR(__xludf.DUMMYFUNCTION("""COMPUTED_VALUE"""),"Product Page")</f>
        <v>Product Page</v>
      </c>
      <c r="G673" s="185" t="str">
        <f>IFERROR(__xludf.DUMMYFUNCTION("""COMPUTED_VALUE"""),"OTHER")</f>
        <v>OTHER</v>
      </c>
      <c r="H673" s="185" t="str">
        <f>IFERROR(__xludf.DUMMYFUNCTION("""COMPUTED_VALUE"""),"No")</f>
        <v>No</v>
      </c>
      <c r="I673" s="185" t="str">
        <f>IFERROR(__xludf.DUMMYFUNCTION("""COMPUTED_VALUE"""),"High")</f>
        <v>High</v>
      </c>
      <c r="J673" s="185" t="str">
        <f>IFERROR(__xludf.DUMMYFUNCTION("""COMPUTED_VALUE"""),"Yes - priority")</f>
        <v>Yes - priority</v>
      </c>
      <c r="K673" s="185"/>
      <c r="L673" s="187">
        <f>IFERROR(__xludf.DUMMYFUNCTION("""COMPUTED_VALUE"""),5.0)</f>
        <v>5</v>
      </c>
      <c r="M673" s="188">
        <f>IFERROR(__xludf.DUMMYFUNCTION("""COMPUTED_VALUE"""),0.0)</f>
        <v>0</v>
      </c>
      <c r="N673" s="188">
        <f>IFERROR(__xludf.DUMMYFUNCTION("""COMPUTED_VALUE"""),0.0)</f>
        <v>0</v>
      </c>
      <c r="O673" s="208"/>
      <c r="P673" s="208"/>
      <c r="Q673" s="208"/>
      <c r="R673" s="208"/>
    </row>
    <row r="674">
      <c r="A674" s="185" t="str">
        <f>IFERROR(__xludf.DUMMYFUNCTION("""COMPUTED_VALUE"""),"Agency directory / review marketplace")</f>
        <v>Agency directory / review marketplace</v>
      </c>
      <c r="B674" s="186" t="str">
        <f>IFERROR(__xludf.DUMMYFUNCTION("""COMPUTED_VALUE"""),"https://www.sortlist.co.uk/branding/united-kingdom-gb")</f>
        <v>https://www.sortlist.co.uk/branding/united-kingdom-gb</v>
      </c>
      <c r="C674" s="185" t="str">
        <f>IFERROR(__xludf.DUMMYFUNCTION("""COMPUTED_VALUE"""),"The 10 Best Branding Agencies in The United Kingdom - 2026 Reviews")</f>
        <v>The 10 Best Branding Agencies in The United Kingdom - 2026 Reviews</v>
      </c>
      <c r="D674" s="185" t="str">
        <f>IFERROR(__xludf.DUMMYFUNCTION("""COMPUTED_VALUE"""),"UK")</f>
        <v>UK</v>
      </c>
      <c r="E674" s="185" t="str">
        <f>IFERROR(__xludf.DUMMYFUNCTION("""COMPUTED_VALUE"""),"sortlist.co.uk")</f>
        <v>sortlist.co.uk</v>
      </c>
      <c r="F674" s="185" t="str">
        <f>IFERROR(__xludf.DUMMYFUNCTION("""COMPUTED_VALUE"""),"Category Page")</f>
        <v>Category Page</v>
      </c>
      <c r="G674" s="185" t="str">
        <f>IFERROR(__xludf.DUMMYFUNCTION("""COMPUTED_VALUE"""),"REFERENCE")</f>
        <v>REFERENCE</v>
      </c>
      <c r="H674" s="185" t="str">
        <f>IFERROR(__xludf.DUMMYFUNCTION("""COMPUTED_VALUE"""),"No")</f>
        <v>No</v>
      </c>
      <c r="I674" s="185" t="str">
        <f>IFERROR(__xludf.DUMMYFUNCTION("""COMPUTED_VALUE"""),"Medium")</f>
        <v>Medium</v>
      </c>
      <c r="J674" s="185" t="str">
        <f>IFERROR(__xludf.DUMMYFUNCTION("""COMPUTED_VALUE"""),"Yes")</f>
        <v>Yes</v>
      </c>
      <c r="K674" s="185" t="str">
        <f>IFERROR(__xludf.DUMMYFUNCTION("""COMPUTED_VALUE"""),"Momentum, M3.agency, Found, McKinsey &amp; Company")</f>
        <v>Momentum, M3.agency, Found, McKinsey &amp; Company</v>
      </c>
      <c r="L674" s="187">
        <f>IFERROR(__xludf.DUMMYFUNCTION("""COMPUTED_VALUE"""),5.0)</f>
        <v>5</v>
      </c>
      <c r="M674" s="188">
        <f>IFERROR(__xludf.DUMMYFUNCTION("""COMPUTED_VALUE"""),0.0)</f>
        <v>0</v>
      </c>
      <c r="N674" s="188">
        <f>IFERROR(__xludf.DUMMYFUNCTION("""COMPUTED_VALUE"""),0.0)</f>
        <v>0</v>
      </c>
      <c r="O674" s="208"/>
      <c r="P674" s="208"/>
      <c r="Q674" s="208"/>
      <c r="R674" s="208"/>
    </row>
    <row r="675">
      <c r="A675" s="185" t="str">
        <f>IFERROR(__xludf.DUMMYFUNCTION("""COMPUTED_VALUE"""),"Agency directory / review marketplace")</f>
        <v>Agency directory / review marketplace</v>
      </c>
      <c r="B675" s="186" t="str">
        <f>IFERROR(__xludf.DUMMYFUNCTION("""COMPUTED_VALUE"""),"https://www.sortlist.co.uk/digital-marketing/united-kingdom-gb")</f>
        <v>https://www.sortlist.co.uk/digital-marketing/united-kingdom-gb</v>
      </c>
      <c r="C675" s="185" t="str">
        <f>IFERROR(__xludf.DUMMYFUNCTION("""COMPUTED_VALUE"""),"100+ Top Digital Marketing Agencies in the UK - 2026 Reviews")</f>
        <v>100+ Top Digital Marketing Agencies in the UK - 2026 Reviews</v>
      </c>
      <c r="D675" s="185" t="str">
        <f>IFERROR(__xludf.DUMMYFUNCTION("""COMPUTED_VALUE"""),"UK")</f>
        <v>UK</v>
      </c>
      <c r="E675" s="185" t="str">
        <f>IFERROR(__xludf.DUMMYFUNCTION("""COMPUTED_VALUE"""),"sortlist.co.uk")</f>
        <v>sortlist.co.uk</v>
      </c>
      <c r="F675" s="185" t="str">
        <f>IFERROR(__xludf.DUMMYFUNCTION("""COMPUTED_VALUE"""),"Category Page")</f>
        <v>Category Page</v>
      </c>
      <c r="G675" s="185" t="str">
        <f>IFERROR(__xludf.DUMMYFUNCTION("""COMPUTED_VALUE"""),"REFERENCE")</f>
        <v>REFERENCE</v>
      </c>
      <c r="H675" s="185" t="str">
        <f>IFERROR(__xludf.DUMMYFUNCTION("""COMPUTED_VALUE"""),"No")</f>
        <v>No</v>
      </c>
      <c r="I675" s="185" t="str">
        <f>IFERROR(__xludf.DUMMYFUNCTION("""COMPUTED_VALUE"""),"Medium")</f>
        <v>Medium</v>
      </c>
      <c r="J675" s="185" t="str">
        <f>IFERROR(__xludf.DUMMYFUNCTION("""COMPUTED_VALUE"""),"Yes")</f>
        <v>Yes</v>
      </c>
      <c r="K675" s="185" t="str">
        <f>IFERROR(__xludf.DUMMYFUNCTION("""COMPUTED_VALUE"""),"Found, Momentum, M3.agency")</f>
        <v>Found, Momentum, M3.agency</v>
      </c>
      <c r="L675" s="187">
        <f>IFERROR(__xludf.DUMMYFUNCTION("""COMPUTED_VALUE"""),5.0)</f>
        <v>5</v>
      </c>
      <c r="M675" s="188">
        <f>IFERROR(__xludf.DUMMYFUNCTION("""COMPUTED_VALUE"""),0.0)</f>
        <v>0</v>
      </c>
      <c r="N675" s="188">
        <f>IFERROR(__xludf.DUMMYFUNCTION("""COMPUTED_VALUE"""),0.0)</f>
        <v>0</v>
      </c>
      <c r="O675" s="208"/>
      <c r="P675" s="208"/>
      <c r="Q675" s="208"/>
      <c r="R675" s="208"/>
    </row>
    <row r="676">
      <c r="A676" s="185" t="str">
        <f>IFERROR(__xludf.DUMMYFUNCTION("""COMPUTED_VALUE"""),"Agency directory / review marketplace")</f>
        <v>Agency directory / review marketplace</v>
      </c>
      <c r="B676" s="186" t="str">
        <f>IFERROR(__xludf.DUMMYFUNCTION("""COMPUTED_VALUE"""),"https://www.sortlist.co.uk/media-planning/united-kingdom-gb")</f>
        <v>https://www.sortlist.co.uk/media-planning/united-kingdom-gb</v>
      </c>
      <c r="C676" s="185" t="str">
        <f>IFERROR(__xludf.DUMMYFUNCTION("""COMPUTED_VALUE"""),"The 10 Best Media Agencies in The United Kingdom - 2026 Reviews")</f>
        <v>The 10 Best Media Agencies in The United Kingdom - 2026 Reviews</v>
      </c>
      <c r="D676" s="185" t="str">
        <f>IFERROR(__xludf.DUMMYFUNCTION("""COMPUTED_VALUE"""),"UK")</f>
        <v>UK</v>
      </c>
      <c r="E676" s="185" t="str">
        <f>IFERROR(__xludf.DUMMYFUNCTION("""COMPUTED_VALUE"""),"sortlist.co.uk")</f>
        <v>sortlist.co.uk</v>
      </c>
      <c r="F676" s="185" t="str">
        <f>IFERROR(__xludf.DUMMYFUNCTION("""COMPUTED_VALUE"""),"Category Page")</f>
        <v>Category Page</v>
      </c>
      <c r="G676" s="185" t="str">
        <f>IFERROR(__xludf.DUMMYFUNCTION("""COMPUTED_VALUE"""),"REFERENCE")</f>
        <v>REFERENCE</v>
      </c>
      <c r="H676" s="185" t="str">
        <f>IFERROR(__xludf.DUMMYFUNCTION("""COMPUTED_VALUE"""),"No")</f>
        <v>No</v>
      </c>
      <c r="I676" s="185" t="str">
        <f>IFERROR(__xludf.DUMMYFUNCTION("""COMPUTED_VALUE"""),"Medium")</f>
        <v>Medium</v>
      </c>
      <c r="J676" s="185" t="str">
        <f>IFERROR(__xludf.DUMMYFUNCTION("""COMPUTED_VALUE"""),"Yes")</f>
        <v>Yes</v>
      </c>
      <c r="K676" s="185" t="str">
        <f>IFERROR(__xludf.DUMMYFUNCTION("""COMPUTED_VALUE"""),"Momentum, M3.agency, Ninja Promo, YouGov, Kantar")</f>
        <v>Momentum, M3.agency, Ninja Promo, YouGov, Kantar</v>
      </c>
      <c r="L676" s="187">
        <f>IFERROR(__xludf.DUMMYFUNCTION("""COMPUTED_VALUE"""),5.0)</f>
        <v>5</v>
      </c>
      <c r="M676" s="188">
        <f>IFERROR(__xludf.DUMMYFUNCTION("""COMPUTED_VALUE"""),0.0)</f>
        <v>0</v>
      </c>
      <c r="N676" s="188">
        <f>IFERROR(__xludf.DUMMYFUNCTION("""COMPUTED_VALUE"""),0.0)</f>
        <v>0</v>
      </c>
      <c r="O676" s="208"/>
      <c r="P676" s="208"/>
      <c r="Q676" s="208"/>
      <c r="R676" s="208"/>
    </row>
    <row r="677">
      <c r="A677" s="185" t="str">
        <f>IFERROR(__xludf.DUMMYFUNCTION("""COMPUTED_VALUE"""),"Agency directory / review marketplace")</f>
        <v>Agency directory / review marketplace</v>
      </c>
      <c r="B677" s="186" t="str">
        <f>IFERROR(__xludf.DUMMYFUNCTION("""COMPUTED_VALUE"""),"https://www.sortlist.co.uk/s/attribution-marketing/united-kingdom-gb")</f>
        <v>https://www.sortlist.co.uk/s/attribution-marketing/united-kingdom-gb</v>
      </c>
      <c r="C677" s="185" t="str">
        <f>IFERROR(__xludf.DUMMYFUNCTION("""COMPUTED_VALUE"""),"The 10 Best Attribution Marketing Agencies in The United Kingdom - 2026 Reviews")</f>
        <v>The 10 Best Attribution Marketing Agencies in The United Kingdom - 2026 Reviews</v>
      </c>
      <c r="D677" s="185" t="str">
        <f>IFERROR(__xludf.DUMMYFUNCTION("""COMPUTED_VALUE"""),"UK")</f>
        <v>UK</v>
      </c>
      <c r="E677" s="185" t="str">
        <f>IFERROR(__xludf.DUMMYFUNCTION("""COMPUTED_VALUE"""),"sortlist.co.uk")</f>
        <v>sortlist.co.uk</v>
      </c>
      <c r="F677" s="185" t="str">
        <f>IFERROR(__xludf.DUMMYFUNCTION("""COMPUTED_VALUE"""),"Category Page")</f>
        <v>Category Page</v>
      </c>
      <c r="G677" s="185" t="str">
        <f>IFERROR(__xludf.DUMMYFUNCTION("""COMPUTED_VALUE"""),"REFERENCE")</f>
        <v>REFERENCE</v>
      </c>
      <c r="H677" s="185" t="str">
        <f>IFERROR(__xludf.DUMMYFUNCTION("""COMPUTED_VALUE"""),"No")</f>
        <v>No</v>
      </c>
      <c r="I677" s="185" t="str">
        <f>IFERROR(__xludf.DUMMYFUNCTION("""COMPUTED_VALUE"""),"Medium")</f>
        <v>Medium</v>
      </c>
      <c r="J677" s="185" t="str">
        <f>IFERROR(__xludf.DUMMYFUNCTION("""COMPUTED_VALUE"""),"Yes")</f>
        <v>Yes</v>
      </c>
      <c r="K677" s="185" t="str">
        <f>IFERROR(__xludf.DUMMYFUNCTION("""COMPUTED_VALUE"""),"GA Agency")</f>
        <v>GA Agency</v>
      </c>
      <c r="L677" s="187">
        <f>IFERROR(__xludf.DUMMYFUNCTION("""COMPUTED_VALUE"""),5.0)</f>
        <v>5</v>
      </c>
      <c r="M677" s="188">
        <f>IFERROR(__xludf.DUMMYFUNCTION("""COMPUTED_VALUE"""),0.0)</f>
        <v>0</v>
      </c>
      <c r="N677" s="188">
        <f>IFERROR(__xludf.DUMMYFUNCTION("""COMPUTED_VALUE"""),0.6)</f>
        <v>0.6</v>
      </c>
      <c r="O677" s="208"/>
      <c r="P677" s="208"/>
      <c r="Q677" s="208"/>
      <c r="R677" s="208"/>
    </row>
    <row r="678">
      <c r="A678" s="185" t="str">
        <f>IFERROR(__xludf.DUMMYFUNCTION("""COMPUTED_VALUE"""),"Agency directory / review marketplace")</f>
        <v>Agency directory / review marketplace</v>
      </c>
      <c r="B678" s="186" t="str">
        <f>IFERROR(__xludf.DUMMYFUNCTION("""COMPUTED_VALUE"""),"https://www.sortlist.com/i/s/data-driven-marketing/united-kingdom-gb")</f>
        <v>https://www.sortlist.com/i/s/data-driven-marketing/united-kingdom-gb</v>
      </c>
      <c r="C678" s="185" t="str">
        <f>IFERROR(__xludf.DUMMYFUNCTION("""COMPUTED_VALUE"""),"The 10 Best Data Driven Marketing Agencies in The United Kingdom - 2026 Reviews")</f>
        <v>The 10 Best Data Driven Marketing Agencies in The United Kingdom - 2026 Reviews</v>
      </c>
      <c r="D678" s="185" t="str">
        <f>IFERROR(__xludf.DUMMYFUNCTION("""COMPUTED_VALUE"""),"UK")</f>
        <v>UK</v>
      </c>
      <c r="E678" s="185" t="str">
        <f>IFERROR(__xludf.DUMMYFUNCTION("""COMPUTED_VALUE"""),"sortlist.com")</f>
        <v>sortlist.com</v>
      </c>
      <c r="F678" s="185" t="str">
        <f>IFERROR(__xludf.DUMMYFUNCTION("""COMPUTED_VALUE"""),"Category Page")</f>
        <v>Category Page</v>
      </c>
      <c r="G678" s="185" t="str">
        <f>IFERROR(__xludf.DUMMYFUNCTION("""COMPUTED_VALUE"""),"CORPORATE")</f>
        <v>CORPORATE</v>
      </c>
      <c r="H678" s="185" t="str">
        <f>IFERROR(__xludf.DUMMYFUNCTION("""COMPUTED_VALUE"""),"No")</f>
        <v>No</v>
      </c>
      <c r="I678" s="185" t="str">
        <f>IFERROR(__xludf.DUMMYFUNCTION("""COMPUTED_VALUE"""),"Medium")</f>
        <v>Medium</v>
      </c>
      <c r="J678" s="185" t="str">
        <f>IFERROR(__xludf.DUMMYFUNCTION("""COMPUTED_VALUE"""),"Yes")</f>
        <v>Yes</v>
      </c>
      <c r="K678" s="185" t="str">
        <f>IFERROR(__xludf.DUMMYFUNCTION("""COMPUTED_VALUE"""),"Momentum, M3.agency, Ninja Promo, Bird Marketing")</f>
        <v>Momentum, M3.agency, Ninja Promo, Bird Marketing</v>
      </c>
      <c r="L678" s="187">
        <f>IFERROR(__xludf.DUMMYFUNCTION("""COMPUTED_VALUE"""),5.0)</f>
        <v>5</v>
      </c>
      <c r="M678" s="188">
        <f>IFERROR(__xludf.DUMMYFUNCTION("""COMPUTED_VALUE"""),0.0)</f>
        <v>0</v>
      </c>
      <c r="N678" s="188">
        <f>IFERROR(__xludf.DUMMYFUNCTION("""COMPUTED_VALUE"""),0.0)</f>
        <v>0</v>
      </c>
      <c r="O678" s="208"/>
      <c r="P678" s="208"/>
      <c r="Q678" s="208"/>
      <c r="R678" s="208"/>
    </row>
    <row r="679">
      <c r="A679" s="185" t="str">
        <f>IFERROR(__xludf.DUMMYFUNCTION("""COMPUTED_VALUE"""),"Official partner / certification ecosystem")</f>
        <v>Official partner / certification ecosystem</v>
      </c>
      <c r="B679" s="186" t="str">
        <f>IFERROR(__xludf.DUMMYFUNCTION("""COMPUTED_VALUE"""),"https://business.google.com/en-all/support/work-with-a-partner/?hl=uk")</f>
        <v>https://business.google.com/en-all/support/work-with-a-partner/?hl=uk</v>
      </c>
      <c r="C679" s="185"/>
      <c r="D679" s="185" t="str">
        <f>IFERROR(__xludf.DUMMYFUNCTION("""COMPUTED_VALUE"""),"UK")</f>
        <v>UK</v>
      </c>
      <c r="E679" s="185" t="str">
        <f>IFERROR(__xludf.DUMMYFUNCTION("""COMPUTED_VALUE"""),"google.com")</f>
        <v>google.com</v>
      </c>
      <c r="F679" s="185" t="str">
        <f>IFERROR(__xludf.DUMMYFUNCTION("""COMPUTED_VALUE"""),"Other")</f>
        <v>Other</v>
      </c>
      <c r="G679" s="185" t="str">
        <f>IFERROR(__xludf.DUMMYFUNCTION("""COMPUTED_VALUE"""),"OTHER")</f>
        <v>OTHER</v>
      </c>
      <c r="H679" s="185" t="str">
        <f>IFERROR(__xludf.DUMMYFUNCTION("""COMPUTED_VALUE"""),"No")</f>
        <v>No</v>
      </c>
      <c r="I679" s="185" t="str">
        <f>IFERROR(__xludf.DUMMYFUNCTION("""COMPUTED_VALUE"""),"High")</f>
        <v>High</v>
      </c>
      <c r="J679" s="185" t="str">
        <f>IFERROR(__xludf.DUMMYFUNCTION("""COMPUTED_VALUE"""),"Yes - priority")</f>
        <v>Yes - priority</v>
      </c>
      <c r="K679" s="185" t="str">
        <f>IFERROR(__xludf.DUMMYFUNCTION("""COMPUTED_VALUE"""),"Unknown")</f>
        <v>Unknown</v>
      </c>
      <c r="L679" s="187">
        <f>IFERROR(__xludf.DUMMYFUNCTION("""COMPUTED_VALUE"""),4.0)</f>
        <v>4</v>
      </c>
      <c r="M679" s="188">
        <f>IFERROR(__xludf.DUMMYFUNCTION("""COMPUTED_VALUE"""),0.0)</f>
        <v>0</v>
      </c>
      <c r="N679" s="188">
        <f>IFERROR(__xludf.DUMMYFUNCTION("""COMPUTED_VALUE"""),0.0)</f>
        <v>0</v>
      </c>
      <c r="O679" s="208"/>
      <c r="P679" s="208"/>
      <c r="Q679" s="208"/>
      <c r="R679" s="208"/>
    </row>
    <row r="680">
      <c r="A680" s="185" t="str">
        <f>IFERROR(__xludf.DUMMYFUNCTION("""COMPUTED_VALUE"""),"Agency directory / review marketplace")</f>
        <v>Agency directory / review marketplace</v>
      </c>
      <c r="B680" s="186" t="str">
        <f>IFERROR(__xludf.DUMMYFUNCTION("""COMPUTED_VALUE"""),"https://clutch.co/agencies/branding/uk")</f>
        <v>https://clutch.co/agencies/branding/uk</v>
      </c>
      <c r="C680" s="185" t="str">
        <f>IFERROR(__xludf.DUMMYFUNCTION("""COMPUTED_VALUE"""),"Top Branding Agencies in the United Kingdom - Jul 2026 Rankings \| Clutch.co")</f>
        <v>Top Branding Agencies in the United Kingdom - Jul 2026 Rankings \| Clutch.co</v>
      </c>
      <c r="D680" s="185" t="str">
        <f>IFERROR(__xludf.DUMMYFUNCTION("""COMPUTED_VALUE"""),"UK")</f>
        <v>UK</v>
      </c>
      <c r="E680" s="185" t="str">
        <f>IFERROR(__xludf.DUMMYFUNCTION("""COMPUTED_VALUE"""),"clutch.co")</f>
        <v>clutch.co</v>
      </c>
      <c r="F680" s="185" t="str">
        <f>IFERROR(__xludf.DUMMYFUNCTION("""COMPUTED_VALUE"""),"Category Page")</f>
        <v>Category Page</v>
      </c>
      <c r="G680" s="185" t="str">
        <f>IFERROR(__xludf.DUMMYFUNCTION("""COMPUTED_VALUE"""),"CORPORATE")</f>
        <v>CORPORATE</v>
      </c>
      <c r="H680" s="185" t="str">
        <f>IFERROR(__xludf.DUMMYFUNCTION("""COMPUTED_VALUE"""),"No")</f>
        <v>No</v>
      </c>
      <c r="I680" s="185" t="str">
        <f>IFERROR(__xludf.DUMMYFUNCTION("""COMPUTED_VALUE"""),"Medium")</f>
        <v>Medium</v>
      </c>
      <c r="J680" s="185" t="str">
        <f>IFERROR(__xludf.DUMMYFUNCTION("""COMPUTED_VALUE"""),"Yes")</f>
        <v>Yes</v>
      </c>
      <c r="K680" s="185" t="str">
        <f>IFERROR(__xludf.DUMMYFUNCTION("""COMPUTED_VALUE"""),"Chello, Impression, Polaris, Favoured, Found")</f>
        <v>Chello, Impression, Polaris, Favoured, Found</v>
      </c>
      <c r="L680" s="187">
        <f>IFERROR(__xludf.DUMMYFUNCTION("""COMPUTED_VALUE"""),4.0)</f>
        <v>4</v>
      </c>
      <c r="M680" s="188">
        <f>IFERROR(__xludf.DUMMYFUNCTION("""COMPUTED_VALUE"""),0.0)</f>
        <v>0</v>
      </c>
      <c r="N680" s="188">
        <f>IFERROR(__xludf.DUMMYFUNCTION("""COMPUTED_VALUE"""),2.0)</f>
        <v>2</v>
      </c>
      <c r="O680" s="208"/>
      <c r="P680" s="208"/>
      <c r="Q680" s="208"/>
      <c r="R680" s="208"/>
    </row>
    <row r="681">
      <c r="A681" s="185" t="str">
        <f>IFERROR(__xludf.DUMMYFUNCTION("""COMPUTED_VALUE"""),"Agency directory / review marketplace")</f>
        <v>Agency directory / review marketplace</v>
      </c>
      <c r="B681" s="186" t="str">
        <f>IFERROR(__xludf.DUMMYFUNCTION("""COMPUTED_VALUE"""),"https://clutch.co/agencies/ppc/advertising-industry/uk")</f>
        <v>https://clutch.co/agencies/ppc/advertising-industry/uk</v>
      </c>
      <c r="C681" s="185" t="str">
        <f>IFERROR(__xludf.DUMMYFUNCTION("""COMPUTED_VALUE"""),"Top PPC Agencies for Ad Agencies in the United Kingdom - Jul 2026 Rankings \| Clutch.co")</f>
        <v>Top PPC Agencies for Ad Agencies in the United Kingdom - Jul 2026 Rankings \| Clutch.co</v>
      </c>
      <c r="D681" s="185" t="str">
        <f>IFERROR(__xludf.DUMMYFUNCTION("""COMPUTED_VALUE"""),"UK")</f>
        <v>UK</v>
      </c>
      <c r="E681" s="185" t="str">
        <f>IFERROR(__xludf.DUMMYFUNCTION("""COMPUTED_VALUE"""),"clutch.co")</f>
        <v>clutch.co</v>
      </c>
      <c r="F681" s="185" t="str">
        <f>IFERROR(__xludf.DUMMYFUNCTION("""COMPUTED_VALUE"""),"Category Page")</f>
        <v>Category Page</v>
      </c>
      <c r="G681" s="185" t="str">
        <f>IFERROR(__xludf.DUMMYFUNCTION("""COMPUTED_VALUE"""),"CORPORATE")</f>
        <v>CORPORATE</v>
      </c>
      <c r="H681" s="185" t="str">
        <f>IFERROR(__xludf.DUMMYFUNCTION("""COMPUTED_VALUE"""),"No")</f>
        <v>No</v>
      </c>
      <c r="I681" s="185" t="str">
        <f>IFERROR(__xludf.DUMMYFUNCTION("""COMPUTED_VALUE"""),"Medium")</f>
        <v>Medium</v>
      </c>
      <c r="J681" s="185" t="str">
        <f>IFERROR(__xludf.DUMMYFUNCTION("""COMPUTED_VALUE"""),"Yes")</f>
        <v>Yes</v>
      </c>
      <c r="K681" s="185" t="str">
        <f>IFERROR(__xludf.DUMMYFUNCTION("""COMPUTED_VALUE"""),"Launch Online, Ninja Promo, M3.agency, ClickSlice, Gripped, Genie Crawl, Impression")</f>
        <v>Launch Online, Ninja Promo, M3.agency, ClickSlice, Gripped, Genie Crawl, Impression</v>
      </c>
      <c r="L681" s="187">
        <f>IFERROR(__xludf.DUMMYFUNCTION("""COMPUTED_VALUE"""),4.0)</f>
        <v>4</v>
      </c>
      <c r="M681" s="188">
        <f>IFERROR(__xludf.DUMMYFUNCTION("""COMPUTED_VALUE"""),0.0)</f>
        <v>0</v>
      </c>
      <c r="N681" s="188">
        <f>IFERROR(__xludf.DUMMYFUNCTION("""COMPUTED_VALUE"""),0.75)</f>
        <v>0.75</v>
      </c>
      <c r="O681" s="208"/>
      <c r="P681" s="208"/>
      <c r="Q681" s="208"/>
      <c r="R681" s="208"/>
    </row>
    <row r="682">
      <c r="A682" s="185" t="str">
        <f>IFERROR(__xludf.DUMMYFUNCTION("""COMPUTED_VALUE"""),"Agency directory / review marketplace")</f>
        <v>Agency directory / review marketplace</v>
      </c>
      <c r="B682" s="186" t="str">
        <f>IFERROR(__xludf.DUMMYFUNCTION("""COMPUTED_VALUE"""),"https://clutch.co/agencies/ppc/display/uk/england/london")</f>
        <v>https://clutch.co/agencies/ppc/display/uk/england/london</v>
      </c>
      <c r="C682" s="185" t="str">
        <f>IFERROR(__xludf.DUMMYFUNCTION("""COMPUTED_VALUE"""),"Top Display Advertising Agencies - Jul 2026 Rankings \| Clutch.co")</f>
        <v>Top Display Advertising Agencies - Jul 2026 Rankings \| Clutch.co</v>
      </c>
      <c r="D682" s="185" t="str">
        <f>IFERROR(__xludf.DUMMYFUNCTION("""COMPUTED_VALUE"""),"UK")</f>
        <v>UK</v>
      </c>
      <c r="E682" s="185" t="str">
        <f>IFERROR(__xludf.DUMMYFUNCTION("""COMPUTED_VALUE"""),"clutch.co")</f>
        <v>clutch.co</v>
      </c>
      <c r="F682" s="185" t="str">
        <f>IFERROR(__xludf.DUMMYFUNCTION("""COMPUTED_VALUE"""),"Category Page")</f>
        <v>Category Page</v>
      </c>
      <c r="G682" s="185" t="str">
        <f>IFERROR(__xludf.DUMMYFUNCTION("""COMPUTED_VALUE"""),"CORPORATE")</f>
        <v>CORPORATE</v>
      </c>
      <c r="H682" s="185" t="str">
        <f>IFERROR(__xludf.DUMMYFUNCTION("""COMPUTED_VALUE"""),"No")</f>
        <v>No</v>
      </c>
      <c r="I682" s="185" t="str">
        <f>IFERROR(__xludf.DUMMYFUNCTION("""COMPUTED_VALUE"""),"Medium")</f>
        <v>Medium</v>
      </c>
      <c r="J682" s="185" t="str">
        <f>IFERROR(__xludf.DUMMYFUNCTION("""COMPUTED_VALUE"""),"Yes")</f>
        <v>Yes</v>
      </c>
      <c r="K682" s="185" t="str">
        <f>IFERROR(__xludf.DUMMYFUNCTION("""COMPUTED_VALUE"""),"Ninja Promo, Soap Media, Huge, Found, The SEO Works, GA Agency")</f>
        <v>Ninja Promo, Soap Media, Huge, Found, The SEO Works, GA Agency</v>
      </c>
      <c r="L682" s="187">
        <f>IFERROR(__xludf.DUMMYFUNCTION("""COMPUTED_VALUE"""),4.0)</f>
        <v>4</v>
      </c>
      <c r="M682" s="188">
        <f>IFERROR(__xludf.DUMMYFUNCTION("""COMPUTED_VALUE"""),0.0)</f>
        <v>0</v>
      </c>
      <c r="N682" s="188">
        <f>IFERROR(__xludf.DUMMYFUNCTION("""COMPUTED_VALUE"""),0.0)</f>
        <v>0</v>
      </c>
      <c r="O682" s="208"/>
      <c r="P682" s="208"/>
      <c r="Q682" s="208"/>
      <c r="R682" s="208"/>
    </row>
    <row r="683">
      <c r="A683" s="185" t="str">
        <f>IFERROR(__xludf.DUMMYFUNCTION("""COMPUTED_VALUE"""),"Agency directory / review marketplace")</f>
        <v>Agency directory / review marketplace</v>
      </c>
      <c r="B683" s="186" t="str">
        <f>IFERROR(__xludf.DUMMYFUNCTION("""COMPUTED_VALUE"""),"https://www.designrush.com/agency/ad-agencies/uk")</f>
        <v>https://www.designrush.com/agency/ad-agencies/uk</v>
      </c>
      <c r="C683" s="185" t="str">
        <f>IFERROR(__xludf.DUMMYFUNCTION("""COMPUTED_VALUE"""),"Top Advertising Agencies in the United Kingdom | 2026")</f>
        <v>Top Advertising Agencies in the United Kingdom | 2026</v>
      </c>
      <c r="D683" s="185" t="str">
        <f>IFERROR(__xludf.DUMMYFUNCTION("""COMPUTED_VALUE"""),"UK")</f>
        <v>UK</v>
      </c>
      <c r="E683" s="185" t="str">
        <f>IFERROR(__xludf.DUMMYFUNCTION("""COMPUTED_VALUE"""),"designrush.com")</f>
        <v>designrush.com</v>
      </c>
      <c r="F683" s="185" t="str">
        <f>IFERROR(__xludf.DUMMYFUNCTION("""COMPUTED_VALUE"""),"Category Page")</f>
        <v>Category Page</v>
      </c>
      <c r="G683" s="185" t="str">
        <f>IFERROR(__xludf.DUMMYFUNCTION("""COMPUTED_VALUE"""),"CORPORATE")</f>
        <v>CORPORATE</v>
      </c>
      <c r="H683" s="185" t="str">
        <f>IFERROR(__xludf.DUMMYFUNCTION("""COMPUTED_VALUE"""),"No")</f>
        <v>No</v>
      </c>
      <c r="I683" s="185" t="str">
        <f>IFERROR(__xludf.DUMMYFUNCTION("""COMPUTED_VALUE"""),"Medium")</f>
        <v>Medium</v>
      </c>
      <c r="J683" s="185" t="str">
        <f>IFERROR(__xludf.DUMMYFUNCTION("""COMPUTED_VALUE"""),"Yes")</f>
        <v>Yes</v>
      </c>
      <c r="K683" s="185" t="str">
        <f>IFERROR(__xludf.DUMMYFUNCTION("""COMPUTED_VALUE"""),"Favoured, PPC Geeks, Passion Digital")</f>
        <v>Favoured, PPC Geeks, Passion Digital</v>
      </c>
      <c r="L683" s="187">
        <f>IFERROR(__xludf.DUMMYFUNCTION("""COMPUTED_VALUE"""),4.0)</f>
        <v>4</v>
      </c>
      <c r="M683" s="188">
        <f>IFERROR(__xludf.DUMMYFUNCTION("""COMPUTED_VALUE"""),0.0)</f>
        <v>0</v>
      </c>
      <c r="N683" s="188">
        <f>IFERROR(__xludf.DUMMYFUNCTION("""COMPUTED_VALUE"""),0.0)</f>
        <v>0</v>
      </c>
      <c r="O683" s="208"/>
      <c r="P683" s="208"/>
      <c r="Q683" s="208"/>
      <c r="R683" s="208"/>
    </row>
    <row r="684">
      <c r="A684" s="185" t="str">
        <f>IFERROR(__xludf.DUMMYFUNCTION("""COMPUTED_VALUE"""),"Official partner / certification ecosystem")</f>
        <v>Official partner / certification ecosystem</v>
      </c>
      <c r="B684" s="186" t="str">
        <f>IFERROR(__xludf.DUMMYFUNCTION("""COMPUTED_VALUE"""),"https://marketingplatform.google.com/about/partners/?authuser=1")</f>
        <v>https://marketingplatform.google.com/about/partners/?authuser=1</v>
      </c>
      <c r="C684" s="185" t="str">
        <f>IFERROR(__xludf.DUMMYFUNCTION("""COMPUTED_VALUE"""),"Meet Your New Marketing Partner - Google Marketing Platform Partners")</f>
        <v>Meet Your New Marketing Partner - Google Marketing Platform Partners</v>
      </c>
      <c r="D684" s="185" t="str">
        <f>IFERROR(__xludf.DUMMYFUNCTION("""COMPUTED_VALUE"""),"UK")</f>
        <v>UK</v>
      </c>
      <c r="E684" s="185" t="str">
        <f>IFERROR(__xludf.DUMMYFUNCTION("""COMPUTED_VALUE"""),"google.com")</f>
        <v>google.com</v>
      </c>
      <c r="F684" s="185" t="str">
        <f>IFERROR(__xludf.DUMMYFUNCTION("""COMPUTED_VALUE"""),"Category Page")</f>
        <v>Category Page</v>
      </c>
      <c r="G684" s="185" t="str">
        <f>IFERROR(__xludf.DUMMYFUNCTION("""COMPUTED_VALUE"""),"OTHER")</f>
        <v>OTHER</v>
      </c>
      <c r="H684" s="185" t="str">
        <f>IFERROR(__xludf.DUMMYFUNCTION("""COMPUTED_VALUE"""),"No")</f>
        <v>No</v>
      </c>
      <c r="I684" s="185" t="str">
        <f>IFERROR(__xludf.DUMMYFUNCTION("""COMPUTED_VALUE"""),"High")</f>
        <v>High</v>
      </c>
      <c r="J684" s="185" t="str">
        <f>IFERROR(__xludf.DUMMYFUNCTION("""COMPUTED_VALUE"""),"Yes - priority")</f>
        <v>Yes - priority</v>
      </c>
      <c r="K684" s="185"/>
      <c r="L684" s="187">
        <f>IFERROR(__xludf.DUMMYFUNCTION("""COMPUTED_VALUE"""),4.0)</f>
        <v>4</v>
      </c>
      <c r="M684" s="188">
        <f>IFERROR(__xludf.DUMMYFUNCTION("""COMPUTED_VALUE"""),0.0)</f>
        <v>0</v>
      </c>
      <c r="N684" s="188">
        <f>IFERROR(__xludf.DUMMYFUNCTION("""COMPUTED_VALUE"""),1.25)</f>
        <v>1.25</v>
      </c>
      <c r="O684" s="208"/>
      <c r="P684" s="208"/>
      <c r="Q684" s="208"/>
      <c r="R684" s="208"/>
    </row>
    <row r="685">
      <c r="A685" s="185" t="str">
        <f>IFERROR(__xludf.DUMMYFUNCTION("""COMPUTED_VALUE"""),"Official partner / certification ecosystem")</f>
        <v>Official partner / certification ecosystem</v>
      </c>
      <c r="B685" s="186" t="str">
        <f>IFERROR(__xludf.DUMMYFUNCTION("""COMPUTED_VALUE"""),"https://marketingplatform.google.com/intl/en_uk/about/support/")</f>
        <v>https://marketingplatform.google.com/intl/en_uk/about/support/</v>
      </c>
      <c r="C685" s="185" t="str">
        <f>IFERROR(__xludf.DUMMYFUNCTION("""COMPUTED_VALUE"""),"Services and Support – Google Marketing Platform")</f>
        <v>Services and Support – Google Marketing Platform</v>
      </c>
      <c r="D685" s="185" t="str">
        <f>IFERROR(__xludf.DUMMYFUNCTION("""COMPUTED_VALUE"""),"UK")</f>
        <v>UK</v>
      </c>
      <c r="E685" s="185" t="str">
        <f>IFERROR(__xludf.DUMMYFUNCTION("""COMPUTED_VALUE"""),"google.com")</f>
        <v>google.com</v>
      </c>
      <c r="F685" s="185" t="str">
        <f>IFERROR(__xludf.DUMMYFUNCTION("""COMPUTED_VALUE"""),"Other")</f>
        <v>Other</v>
      </c>
      <c r="G685" s="185" t="str">
        <f>IFERROR(__xludf.DUMMYFUNCTION("""COMPUTED_VALUE"""),"OTHER")</f>
        <v>OTHER</v>
      </c>
      <c r="H685" s="185" t="str">
        <f>IFERROR(__xludf.DUMMYFUNCTION("""COMPUTED_VALUE"""),"No")</f>
        <v>No</v>
      </c>
      <c r="I685" s="185" t="str">
        <f>IFERROR(__xludf.DUMMYFUNCTION("""COMPUTED_VALUE"""),"High")</f>
        <v>High</v>
      </c>
      <c r="J685" s="185" t="str">
        <f>IFERROR(__xludf.DUMMYFUNCTION("""COMPUTED_VALUE"""),"Yes - priority")</f>
        <v>Yes - priority</v>
      </c>
      <c r="K685" s="185"/>
      <c r="L685" s="187">
        <f>IFERROR(__xludf.DUMMYFUNCTION("""COMPUTED_VALUE"""),4.0)</f>
        <v>4</v>
      </c>
      <c r="M685" s="188">
        <f>IFERROR(__xludf.DUMMYFUNCTION("""COMPUTED_VALUE"""),0.0)</f>
        <v>0</v>
      </c>
      <c r="N685" s="188">
        <f>IFERROR(__xludf.DUMMYFUNCTION("""COMPUTED_VALUE"""),0.0)</f>
        <v>0</v>
      </c>
      <c r="O685" s="208"/>
      <c r="P685" s="208"/>
      <c r="Q685" s="208"/>
      <c r="R685" s="208"/>
    </row>
    <row r="686">
      <c r="A686" s="185" t="str">
        <f>IFERROR(__xludf.DUMMYFUNCTION("""COMPUTED_VALUE"""),"Agency directory / review marketplace")</f>
        <v>Agency directory / review marketplace</v>
      </c>
      <c r="B686" s="186" t="str">
        <f>IFERROR(__xludf.DUMMYFUNCTION("""COMPUTED_VALUE"""),"https://www.sortlist.co.uk/s/ai-marketing/england-england-gb")</f>
        <v>https://www.sortlist.co.uk/s/ai-marketing/england-england-gb</v>
      </c>
      <c r="C686" s="185" t="str">
        <f>IFERROR(__xludf.DUMMYFUNCTION("""COMPUTED_VALUE"""),"The 10 Best AI Marketing Companies in England - 2026 Reviews")</f>
        <v>The 10 Best AI Marketing Companies in England - 2026 Reviews</v>
      </c>
      <c r="D686" s="185" t="str">
        <f>IFERROR(__xludf.DUMMYFUNCTION("""COMPUTED_VALUE"""),"UK")</f>
        <v>UK</v>
      </c>
      <c r="E686" s="185" t="str">
        <f>IFERROR(__xludf.DUMMYFUNCTION("""COMPUTED_VALUE"""),"sortlist.co.uk")</f>
        <v>sortlist.co.uk</v>
      </c>
      <c r="F686" s="185" t="str">
        <f>IFERROR(__xludf.DUMMYFUNCTION("""COMPUTED_VALUE"""),"Category Page")</f>
        <v>Category Page</v>
      </c>
      <c r="G686" s="185" t="str">
        <f>IFERROR(__xludf.DUMMYFUNCTION("""COMPUTED_VALUE"""),"REFERENCE")</f>
        <v>REFERENCE</v>
      </c>
      <c r="H686" s="185" t="str">
        <f>IFERROR(__xludf.DUMMYFUNCTION("""COMPUTED_VALUE"""),"No")</f>
        <v>No</v>
      </c>
      <c r="I686" s="185" t="str">
        <f>IFERROR(__xludf.DUMMYFUNCTION("""COMPUTED_VALUE"""),"Medium")</f>
        <v>Medium</v>
      </c>
      <c r="J686" s="185" t="str">
        <f>IFERROR(__xludf.DUMMYFUNCTION("""COMPUTED_VALUE"""),"Yes")</f>
        <v>Yes</v>
      </c>
      <c r="K686" s="185"/>
      <c r="L686" s="187">
        <f>IFERROR(__xludf.DUMMYFUNCTION("""COMPUTED_VALUE"""),4.0)</f>
        <v>4</v>
      </c>
      <c r="M686" s="188">
        <f>IFERROR(__xludf.DUMMYFUNCTION("""COMPUTED_VALUE"""),0.0)</f>
        <v>0</v>
      </c>
      <c r="N686" s="188">
        <f>IFERROR(__xludf.DUMMYFUNCTION("""COMPUTED_VALUE"""),0.0)</f>
        <v>0</v>
      </c>
      <c r="O686" s="208"/>
      <c r="P686" s="208"/>
      <c r="Q686" s="208"/>
      <c r="R686" s="208"/>
    </row>
    <row r="687">
      <c r="A687" s="185" t="str">
        <f>IFERROR(__xludf.DUMMYFUNCTION("""COMPUTED_VALUE"""),"Agency directory / review marketplace")</f>
        <v>Agency directory / review marketplace</v>
      </c>
      <c r="B687" s="186"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C687" s="185" t="str">
        <f>IFERROR(__xludf.DUMMYFUNCTION("""COMPUTED_VALUE"""),"The 10 Best Attribution Marketing Agencies in England - 2026 Reviews")</f>
        <v>The 10 Best Attribution Marketing Agencies in England - 2026 Reviews</v>
      </c>
      <c r="D687" s="185" t="str">
        <f>IFERROR(__xludf.DUMMYFUNCTION("""COMPUTED_VALUE"""),"UK")</f>
        <v>UK</v>
      </c>
      <c r="E687" s="185" t="str">
        <f>IFERROR(__xludf.DUMMYFUNCTION("""COMPUTED_VALUE"""),"sortlist.co.uk")</f>
        <v>sortlist.co.uk</v>
      </c>
      <c r="F687" s="185" t="str">
        <f>IFERROR(__xludf.DUMMYFUNCTION("""COMPUTED_VALUE"""),"Category Page")</f>
        <v>Category Page</v>
      </c>
      <c r="G687" s="185" t="str">
        <f>IFERROR(__xludf.DUMMYFUNCTION("""COMPUTED_VALUE"""),"REFERENCE")</f>
        <v>REFERENCE</v>
      </c>
      <c r="H687" s="185" t="str">
        <f>IFERROR(__xludf.DUMMYFUNCTION("""COMPUTED_VALUE"""),"No")</f>
        <v>No</v>
      </c>
      <c r="I687" s="185" t="str">
        <f>IFERROR(__xludf.DUMMYFUNCTION("""COMPUTED_VALUE"""),"Medium")</f>
        <v>Medium</v>
      </c>
      <c r="J687" s="185" t="str">
        <f>IFERROR(__xludf.DUMMYFUNCTION("""COMPUTED_VALUE"""),"Yes")</f>
        <v>Yes</v>
      </c>
      <c r="K687" s="185" t="str">
        <f>IFERROR(__xludf.DUMMYFUNCTION("""COMPUTED_VALUE"""),"GA Agency")</f>
        <v>GA Agency</v>
      </c>
      <c r="L687" s="187">
        <f>IFERROR(__xludf.DUMMYFUNCTION("""COMPUTED_VALUE"""),4.0)</f>
        <v>4</v>
      </c>
      <c r="M687" s="188">
        <f>IFERROR(__xludf.DUMMYFUNCTION("""COMPUTED_VALUE"""),0.0)</f>
        <v>0</v>
      </c>
      <c r="N687" s="188">
        <f>IFERROR(__xludf.DUMMYFUNCTION("""COMPUTED_VALUE"""),0.75)</f>
        <v>0.75</v>
      </c>
      <c r="O687" s="208"/>
      <c r="P687" s="208"/>
      <c r="Q687" s="208"/>
      <c r="R687" s="208"/>
    </row>
    <row r="688">
      <c r="A688" s="185" t="str">
        <f>IFERROR(__xludf.DUMMYFUNCTION("""COMPUTED_VALUE"""),"Agency directory / review marketplace")</f>
        <v>Agency directory / review marketplace</v>
      </c>
      <c r="B688" s="186" t="str">
        <f>IFERROR(__xludf.DUMMYFUNCTION("""COMPUTED_VALUE"""),"https://www.sortlist.co.uk/s/marketing-analytics/west-midlands-england-gb")</f>
        <v>https://www.sortlist.co.uk/s/marketing-analytics/west-midlands-england-gb</v>
      </c>
      <c r="C688" s="185" t="str">
        <f>IFERROR(__xludf.DUMMYFUNCTION("""COMPUTED_VALUE"""),"The 10 Best Marketing Analytics Companies in West Midlands - 2026 Reviews")</f>
        <v>The 10 Best Marketing Analytics Companies in West Midlands - 2026 Reviews</v>
      </c>
      <c r="D688" s="185" t="str">
        <f>IFERROR(__xludf.DUMMYFUNCTION("""COMPUTED_VALUE"""),"UK")</f>
        <v>UK</v>
      </c>
      <c r="E688" s="185" t="str">
        <f>IFERROR(__xludf.DUMMYFUNCTION("""COMPUTED_VALUE"""),"sortlist.co.uk")</f>
        <v>sortlist.co.uk</v>
      </c>
      <c r="F688" s="185" t="str">
        <f>IFERROR(__xludf.DUMMYFUNCTION("""COMPUTED_VALUE"""),"Category Page")</f>
        <v>Category Page</v>
      </c>
      <c r="G688" s="185" t="str">
        <f>IFERROR(__xludf.DUMMYFUNCTION("""COMPUTED_VALUE"""),"REFERENCE")</f>
        <v>REFERENCE</v>
      </c>
      <c r="H688" s="185" t="str">
        <f>IFERROR(__xludf.DUMMYFUNCTION("""COMPUTED_VALUE"""),"No")</f>
        <v>No</v>
      </c>
      <c r="I688" s="185" t="str">
        <f>IFERROR(__xludf.DUMMYFUNCTION("""COMPUTED_VALUE"""),"Medium")</f>
        <v>Medium</v>
      </c>
      <c r="J688" s="185" t="str">
        <f>IFERROR(__xludf.DUMMYFUNCTION("""COMPUTED_VALUE"""),"Yes")</f>
        <v>Yes</v>
      </c>
      <c r="K688" s="185" t="str">
        <f>IFERROR(__xludf.DUMMYFUNCTION("""COMPUTED_VALUE"""),"Momentum, M3.agency, Ninja Promo")</f>
        <v>Momentum, M3.agency, Ninja Promo</v>
      </c>
      <c r="L688" s="187">
        <f>IFERROR(__xludf.DUMMYFUNCTION("""COMPUTED_VALUE"""),4.0)</f>
        <v>4</v>
      </c>
      <c r="M688" s="188">
        <f>IFERROR(__xludf.DUMMYFUNCTION("""COMPUTED_VALUE"""),0.0)</f>
        <v>0</v>
      </c>
      <c r="N688" s="188">
        <f>IFERROR(__xludf.DUMMYFUNCTION("""COMPUTED_VALUE"""),0.0)</f>
        <v>0</v>
      </c>
      <c r="O688" s="208"/>
      <c r="P688" s="208"/>
      <c r="Q688" s="208"/>
      <c r="R688" s="208"/>
    </row>
    <row r="689">
      <c r="A689" s="185" t="str">
        <f>IFERROR(__xludf.DUMMYFUNCTION("""COMPUTED_VALUE"""),"Industry data / software authority")</f>
        <v>Industry data / software authority</v>
      </c>
      <c r="B689" s="186" t="str">
        <f>IFERROR(__xludf.DUMMYFUNCTION("""COMPUTED_VALUE"""),"https://agencies.semrush.com/list/market-analysis/united-kingdom/")</f>
        <v>https://agencies.semrush.com/list/market-analysis/united-kingdom/</v>
      </c>
      <c r="C689" s="185" t="str">
        <f>IFERROR(__xludf.DUMMYFUNCTION("""COMPUTED_VALUE"""),"Best Market Research Companies in United Kingdom 2026 | Semrush")</f>
        <v>Best Market Research Companies in United Kingdom 2026 | Semrush</v>
      </c>
      <c r="D689" s="185" t="str">
        <f>IFERROR(__xludf.DUMMYFUNCTION("""COMPUTED_VALUE"""),"UK")</f>
        <v>UK</v>
      </c>
      <c r="E689" s="185" t="str">
        <f>IFERROR(__xludf.DUMMYFUNCTION("""COMPUTED_VALUE"""),"semrush.com")</f>
        <v>semrush.com</v>
      </c>
      <c r="F689" s="185" t="str">
        <f>IFERROR(__xludf.DUMMYFUNCTION("""COMPUTED_VALUE"""),"Category Page")</f>
        <v>Category Page</v>
      </c>
      <c r="G689" s="185" t="str">
        <f>IFERROR(__xludf.DUMMYFUNCTION("""COMPUTED_VALUE"""),"CORPORATE")</f>
        <v>CORPORATE</v>
      </c>
      <c r="H689" s="185" t="str">
        <f>IFERROR(__xludf.DUMMYFUNCTION("""COMPUTED_VALUE"""),"No")</f>
        <v>No</v>
      </c>
      <c r="I689" s="185" t="str">
        <f>IFERROR(__xludf.DUMMYFUNCTION("""COMPUTED_VALUE"""),"Medium")</f>
        <v>Medium</v>
      </c>
      <c r="J689" s="185" t="str">
        <f>IFERROR(__xludf.DUMMYFUNCTION("""COMPUTED_VALUE"""),"Yes")</f>
        <v>Yes</v>
      </c>
      <c r="K689" s="185" t="str">
        <f>IFERROR(__xludf.DUMMYFUNCTION("""COMPUTED_VALUE"""),"Found, GA Agency, Huge")</f>
        <v>Found, GA Agency, Huge</v>
      </c>
      <c r="L689" s="187">
        <f>IFERROR(__xludf.DUMMYFUNCTION("""COMPUTED_VALUE"""),3.0)</f>
        <v>3</v>
      </c>
      <c r="M689" s="188">
        <f>IFERROR(__xludf.DUMMYFUNCTION("""COMPUTED_VALUE"""),0.0)</f>
        <v>0</v>
      </c>
      <c r="N689" s="188">
        <f>IFERROR(__xludf.DUMMYFUNCTION("""COMPUTED_VALUE"""),0.0)</f>
        <v>0</v>
      </c>
      <c r="O689" s="208"/>
      <c r="P689" s="208"/>
      <c r="Q689" s="208"/>
      <c r="R689" s="208"/>
    </row>
    <row r="690">
      <c r="A690" s="185" t="str">
        <f>IFERROR(__xludf.DUMMYFUNCTION("""COMPUTED_VALUE"""),"Official partner / certification ecosystem")</f>
        <v>Official partner / certification ecosystem</v>
      </c>
      <c r="B690" s="186" t="str">
        <f>IFERROR(__xludf.DUMMYFUNCTION("""COMPUTED_VALUE"""),"https://business.google.com/en-all/support/become-a-partner/")</f>
        <v>https://business.google.com/en-all/support/become-a-partner/</v>
      </c>
      <c r="C690" s="185" t="str">
        <f>IFERROR(__xludf.DUMMYFUNCTION("""COMPUTED_VALUE"""),"Google Partners Programme: Become a Partner – Google Ads")</f>
        <v>Google Partners Programme: Become a Partner – Google Ads</v>
      </c>
      <c r="D690" s="185" t="str">
        <f>IFERROR(__xludf.DUMMYFUNCTION("""COMPUTED_VALUE"""),"UK")</f>
        <v>UK</v>
      </c>
      <c r="E690" s="185" t="str">
        <f>IFERROR(__xludf.DUMMYFUNCTION("""COMPUTED_VALUE"""),"google.com")</f>
        <v>google.com</v>
      </c>
      <c r="F690" s="185" t="str">
        <f>IFERROR(__xludf.DUMMYFUNCTION("""COMPUTED_VALUE"""),"Product Page")</f>
        <v>Product Page</v>
      </c>
      <c r="G690" s="185" t="str">
        <f>IFERROR(__xludf.DUMMYFUNCTION("""COMPUTED_VALUE"""),"OTHER")</f>
        <v>OTHER</v>
      </c>
      <c r="H690" s="185" t="str">
        <f>IFERROR(__xludf.DUMMYFUNCTION("""COMPUTED_VALUE"""),"No")</f>
        <v>No</v>
      </c>
      <c r="I690" s="185" t="str">
        <f>IFERROR(__xludf.DUMMYFUNCTION("""COMPUTED_VALUE"""),"High")</f>
        <v>High</v>
      </c>
      <c r="J690" s="185" t="str">
        <f>IFERROR(__xludf.DUMMYFUNCTION("""COMPUTED_VALUE"""),"Yes - priority")</f>
        <v>Yes - priority</v>
      </c>
      <c r="K690" s="185" t="str">
        <f>IFERROR(__xludf.DUMMYFUNCTION("""COMPUTED_VALUE"""),"New Engen, Merkle")</f>
        <v>New Engen, Merkle</v>
      </c>
      <c r="L690" s="187">
        <f>IFERROR(__xludf.DUMMYFUNCTION("""COMPUTED_VALUE"""),3.0)</f>
        <v>3</v>
      </c>
      <c r="M690" s="188">
        <f>IFERROR(__xludf.DUMMYFUNCTION("""COMPUTED_VALUE"""),0.0)</f>
        <v>0</v>
      </c>
      <c r="N690" s="188">
        <f>IFERROR(__xludf.DUMMYFUNCTION("""COMPUTED_VALUE"""),0.0)</f>
        <v>0</v>
      </c>
      <c r="O690" s="208"/>
      <c r="P690" s="208"/>
      <c r="Q690" s="208"/>
      <c r="R690" s="208"/>
    </row>
    <row r="691">
      <c r="A691" s="185" t="str">
        <f>IFERROR(__xludf.DUMMYFUNCTION("""COMPUTED_VALUE"""),"Agency directory / review marketplace")</f>
        <v>Agency directory / review marketplace</v>
      </c>
      <c r="B691" s="186" t="str">
        <f>IFERROR(__xludf.DUMMYFUNCTION("""COMPUTED_VALUE"""),"https://clutch.co/agencies/ppc/display/uk?page=2")</f>
        <v>https://clutch.co/agencies/ppc/display/uk?page=2</v>
      </c>
      <c r="C691" s="185" t="str">
        <f>IFERROR(__xludf.DUMMYFUNCTION("""COMPUTED_VALUE"""),"Page 2 - Top Display Advertising Services in the United Kingdom - Jul 2026 Rankings \| Clutch.co")</f>
        <v>Page 2 - Top Display Advertising Services in the United Kingdom - Jul 2026 Rankings \| Clutch.co</v>
      </c>
      <c r="D691" s="185" t="str">
        <f>IFERROR(__xludf.DUMMYFUNCTION("""COMPUTED_VALUE"""),"UK")</f>
        <v>UK</v>
      </c>
      <c r="E691" s="185" t="str">
        <f>IFERROR(__xludf.DUMMYFUNCTION("""COMPUTED_VALUE"""),"clutch.co")</f>
        <v>clutch.co</v>
      </c>
      <c r="F691" s="185" t="str">
        <f>IFERROR(__xludf.DUMMYFUNCTION("""COMPUTED_VALUE"""),"Category Page")</f>
        <v>Category Page</v>
      </c>
      <c r="G691" s="185" t="str">
        <f>IFERROR(__xludf.DUMMYFUNCTION("""COMPUTED_VALUE"""),"CORPORATE")</f>
        <v>CORPORATE</v>
      </c>
      <c r="H691" s="185" t="str">
        <f>IFERROR(__xludf.DUMMYFUNCTION("""COMPUTED_VALUE"""),"No")</f>
        <v>No</v>
      </c>
      <c r="I691" s="185" t="str">
        <f>IFERROR(__xludf.DUMMYFUNCTION("""COMPUTED_VALUE"""),"Medium")</f>
        <v>Medium</v>
      </c>
      <c r="J691" s="185" t="str">
        <f>IFERROR(__xludf.DUMMYFUNCTION("""COMPUTED_VALUE"""),"Yes")</f>
        <v>Yes</v>
      </c>
      <c r="K691" s="185" t="str">
        <f>IFERROR(__xludf.DUMMYFUNCTION("""COMPUTED_VALUE"""),"Ninja Promo, Soap Media, The SEO Works, GA Agency, Bind Media, Found")</f>
        <v>Ninja Promo, Soap Media, The SEO Works, GA Agency, Bind Media, Found</v>
      </c>
      <c r="L691" s="187">
        <f>IFERROR(__xludf.DUMMYFUNCTION("""COMPUTED_VALUE"""),3.0)</f>
        <v>3</v>
      </c>
      <c r="M691" s="188">
        <f>IFERROR(__xludf.DUMMYFUNCTION("""COMPUTED_VALUE"""),0.0)</f>
        <v>0</v>
      </c>
      <c r="N691" s="188">
        <f>IFERROR(__xludf.DUMMYFUNCTION("""COMPUTED_VALUE"""),0.0)</f>
        <v>0</v>
      </c>
      <c r="O691" s="208"/>
      <c r="P691" s="208"/>
      <c r="Q691" s="208"/>
      <c r="R691" s="208"/>
    </row>
    <row r="692">
      <c r="A692" s="185" t="str">
        <f>IFERROR(__xludf.DUMMYFUNCTION("""COMPUTED_VALUE"""),"Agency directory / review marketplace")</f>
        <v>Agency directory / review marketplace</v>
      </c>
      <c r="B692" s="186" t="str">
        <f>IFERROR(__xludf.DUMMYFUNCTION("""COMPUTED_VALUE"""),"https://www.goodfirms.co/advertising-companies/creative/uk?sort_by=rating")</f>
        <v>https://www.goodfirms.co/advertising-companies/creative/uk?sort_by=rating</v>
      </c>
      <c r="C692" s="185" t="str">
        <f>IFERROR(__xludf.DUMMYFUNCTION("""COMPUTED_VALUE"""),"Top Creative Agencies in the United Kingdom - 2026 Reviews | Goodfirms")</f>
        <v>Top Creative Agencies in the United Kingdom - 2026 Reviews | Goodfirms</v>
      </c>
      <c r="D692" s="185" t="str">
        <f>IFERROR(__xludf.DUMMYFUNCTION("""COMPUTED_VALUE"""),"UK")</f>
        <v>UK</v>
      </c>
      <c r="E692" s="185" t="str">
        <f>IFERROR(__xludf.DUMMYFUNCTION("""COMPUTED_VALUE"""),"goodfirms.co")</f>
        <v>goodfirms.co</v>
      </c>
      <c r="F692" s="185" t="str">
        <f>IFERROR(__xludf.DUMMYFUNCTION("""COMPUTED_VALUE"""),"Category Page")</f>
        <v>Category Page</v>
      </c>
      <c r="G692" s="185" t="str">
        <f>IFERROR(__xludf.DUMMYFUNCTION("""COMPUTED_VALUE"""),"UGC")</f>
        <v>UGC</v>
      </c>
      <c r="H692" s="185" t="str">
        <f>IFERROR(__xludf.DUMMYFUNCTION("""COMPUTED_VALUE"""),"No")</f>
        <v>No</v>
      </c>
      <c r="I692" s="185" t="str">
        <f>IFERROR(__xludf.DUMMYFUNCTION("""COMPUTED_VALUE"""),"Medium")</f>
        <v>Medium</v>
      </c>
      <c r="J692" s="185" t="str">
        <f>IFERROR(__xludf.DUMMYFUNCTION("""COMPUTED_VALUE"""),"Yes")</f>
        <v>Yes</v>
      </c>
      <c r="K692" s="185" t="str">
        <f>IFERROR(__xludf.DUMMYFUNCTION("""COMPUTED_VALUE"""),"Impression, Found")</f>
        <v>Impression, Found</v>
      </c>
      <c r="L692" s="187">
        <f>IFERROR(__xludf.DUMMYFUNCTION("""COMPUTED_VALUE"""),3.0)</f>
        <v>3</v>
      </c>
      <c r="M692" s="188">
        <f>IFERROR(__xludf.DUMMYFUNCTION("""COMPUTED_VALUE"""),0.0)</f>
        <v>0</v>
      </c>
      <c r="N692" s="188">
        <f>IFERROR(__xludf.DUMMYFUNCTION("""COMPUTED_VALUE"""),0.0)</f>
        <v>0</v>
      </c>
      <c r="O692" s="208"/>
      <c r="P692" s="208"/>
      <c r="Q692" s="208"/>
      <c r="R692" s="208"/>
    </row>
    <row r="693">
      <c r="A693" s="185" t="str">
        <f>IFERROR(__xludf.DUMMYFUNCTION("""COMPUTED_VALUE"""),"Agency directory / review marketplace")</f>
        <v>Agency directory / review marketplace</v>
      </c>
      <c r="B693" s="186" t="str">
        <f>IFERROR(__xludf.DUMMYFUNCTION("""COMPUTED_VALUE"""),"https://www.goodfirms.co/directory/country/top-digital-marketing-companies/gb?sort_by=rating")</f>
        <v>https://www.goodfirms.co/directory/country/top-digital-marketing-companies/gb?sort_by=rating</v>
      </c>
      <c r="C693" s="185" t="str">
        <f>IFERROR(__xludf.DUMMYFUNCTION("""COMPUTED_VALUE"""),"Top Digital Marketing Agencies in UK - 2026 Reviews | Goodfirms")</f>
        <v>Top Digital Marketing Agencies in UK - 2026 Reviews | Goodfirms</v>
      </c>
      <c r="D693" s="185" t="str">
        <f>IFERROR(__xludf.DUMMYFUNCTION("""COMPUTED_VALUE"""),"UK")</f>
        <v>UK</v>
      </c>
      <c r="E693" s="185" t="str">
        <f>IFERROR(__xludf.DUMMYFUNCTION("""COMPUTED_VALUE"""),"goodfirms.co")</f>
        <v>goodfirms.co</v>
      </c>
      <c r="F693" s="185" t="str">
        <f>IFERROR(__xludf.DUMMYFUNCTION("""COMPUTED_VALUE"""),"Other")</f>
        <v>Other</v>
      </c>
      <c r="G693" s="185" t="str">
        <f>IFERROR(__xludf.DUMMYFUNCTION("""COMPUTED_VALUE"""),"UGC")</f>
        <v>UGC</v>
      </c>
      <c r="H693" s="185" t="str">
        <f>IFERROR(__xludf.DUMMYFUNCTION("""COMPUTED_VALUE"""),"No")</f>
        <v>No</v>
      </c>
      <c r="I693" s="185" t="str">
        <f>IFERROR(__xludf.DUMMYFUNCTION("""COMPUTED_VALUE"""),"Medium")</f>
        <v>Medium</v>
      </c>
      <c r="J693" s="185" t="str">
        <f>IFERROR(__xludf.DUMMYFUNCTION("""COMPUTED_VALUE"""),"Yes")</f>
        <v>Yes</v>
      </c>
      <c r="K693" s="185" t="str">
        <f>IFERROR(__xludf.DUMMYFUNCTION("""COMPUTED_VALUE"""),"Bird Marketing, Found")</f>
        <v>Bird Marketing, Found</v>
      </c>
      <c r="L693" s="187">
        <f>IFERROR(__xludf.DUMMYFUNCTION("""COMPUTED_VALUE"""),3.0)</f>
        <v>3</v>
      </c>
      <c r="M693" s="188">
        <f>IFERROR(__xludf.DUMMYFUNCTION("""COMPUTED_VALUE"""),0.0)</f>
        <v>0</v>
      </c>
      <c r="N693" s="188">
        <f>IFERROR(__xludf.DUMMYFUNCTION("""COMPUTED_VALUE"""),0.0)</f>
        <v>0</v>
      </c>
      <c r="O693" s="208"/>
      <c r="P693" s="208"/>
      <c r="Q693" s="208"/>
      <c r="R693" s="208"/>
    </row>
    <row r="694">
      <c r="A694" s="185" t="str">
        <f>IFERROR(__xludf.DUMMYFUNCTION("""COMPUTED_VALUE"""),"Official partner / certification ecosystem")</f>
        <v>Official partner / certification ecosystem</v>
      </c>
      <c r="B694" s="186" t="str">
        <f>IFERROR(__xludf.DUMMYFUNCTION("""COMPUTED_VALUE"""),"https://www.google.com/ads/publisher/partners/find-a-partner/")</f>
        <v>https://www.google.com/ads/publisher/partners/find-a-partner/</v>
      </c>
      <c r="C694" s="185" t="str">
        <f>IFERROR(__xludf.DUMMYFUNCTION("""COMPUTED_VALUE"""),"Find a Publishing Partner \| Certified Publishing Partner – Google")</f>
        <v>Find a Publishing Partner \| Certified Publishing Partner – Google</v>
      </c>
      <c r="D694" s="185" t="str">
        <f>IFERROR(__xludf.DUMMYFUNCTION("""COMPUTED_VALUE"""),"UK")</f>
        <v>UK</v>
      </c>
      <c r="E694" s="185" t="str">
        <f>IFERROR(__xludf.DUMMYFUNCTION("""COMPUTED_VALUE"""),"google.com")</f>
        <v>google.com</v>
      </c>
      <c r="F694" s="185" t="str">
        <f>IFERROR(__xludf.DUMMYFUNCTION("""COMPUTED_VALUE"""),"Category Page")</f>
        <v>Category Page</v>
      </c>
      <c r="G694" s="185" t="str">
        <f>IFERROR(__xludf.DUMMYFUNCTION("""COMPUTED_VALUE"""),"OTHER")</f>
        <v>OTHER</v>
      </c>
      <c r="H694" s="185" t="str">
        <f>IFERROR(__xludf.DUMMYFUNCTION("""COMPUTED_VALUE"""),"No")</f>
        <v>No</v>
      </c>
      <c r="I694" s="185" t="str">
        <f>IFERROR(__xludf.DUMMYFUNCTION("""COMPUTED_VALUE"""),"High")</f>
        <v>High</v>
      </c>
      <c r="J694" s="185" t="str">
        <f>IFERROR(__xludf.DUMMYFUNCTION("""COMPUTED_VALUE"""),"Yes - priority")</f>
        <v>Yes - priority</v>
      </c>
      <c r="K694" s="185" t="str">
        <f>IFERROR(__xludf.DUMMYFUNCTION("""COMPUTED_VALUE"""),"Found")</f>
        <v>Found</v>
      </c>
      <c r="L694" s="187">
        <f>IFERROR(__xludf.DUMMYFUNCTION("""COMPUTED_VALUE"""),3.0)</f>
        <v>3</v>
      </c>
      <c r="M694" s="188">
        <f>IFERROR(__xludf.DUMMYFUNCTION("""COMPUTED_VALUE"""),0.0)</f>
        <v>0</v>
      </c>
      <c r="N694" s="188">
        <f>IFERROR(__xludf.DUMMYFUNCTION("""COMPUTED_VALUE"""),0.0)</f>
        <v>0</v>
      </c>
      <c r="O694" s="208"/>
      <c r="P694" s="208"/>
      <c r="Q694" s="208"/>
      <c r="R694" s="208"/>
    </row>
    <row r="695">
      <c r="A695" s="185" t="str">
        <f>IFERROR(__xludf.DUMMYFUNCTION("""COMPUTED_VALUE"""),"Official partner / certification ecosystem")</f>
        <v>Official partner / certification ecosystem</v>
      </c>
      <c r="B695" s="186" t="str">
        <f>IFERROR(__xludf.DUMMYFUNCTION("""COMPUTED_VALUE"""),"https://marketingplatform.google.com/intl/en_uk/about/contact-us/")</f>
        <v>https://marketingplatform.google.com/intl/en_uk/about/contact-us/</v>
      </c>
      <c r="C695" s="185"/>
      <c r="D695" s="185" t="str">
        <f>IFERROR(__xludf.DUMMYFUNCTION("""COMPUTED_VALUE"""),"UK")</f>
        <v>UK</v>
      </c>
      <c r="E695" s="185" t="str">
        <f>IFERROR(__xludf.DUMMYFUNCTION("""COMPUTED_VALUE"""),"google.com")</f>
        <v>google.com</v>
      </c>
      <c r="F695" s="185" t="str">
        <f>IFERROR(__xludf.DUMMYFUNCTION("""COMPUTED_VALUE"""),"Other")</f>
        <v>Other</v>
      </c>
      <c r="G695" s="185" t="str">
        <f>IFERROR(__xludf.DUMMYFUNCTION("""COMPUTED_VALUE"""),"OTHER")</f>
        <v>OTHER</v>
      </c>
      <c r="H695" s="185" t="str">
        <f>IFERROR(__xludf.DUMMYFUNCTION("""COMPUTED_VALUE"""),"No")</f>
        <v>No</v>
      </c>
      <c r="I695" s="185" t="str">
        <f>IFERROR(__xludf.DUMMYFUNCTION("""COMPUTED_VALUE"""),"High")</f>
        <v>High</v>
      </c>
      <c r="J695" s="185" t="str">
        <f>IFERROR(__xludf.DUMMYFUNCTION("""COMPUTED_VALUE"""),"Yes - priority")</f>
        <v>Yes - priority</v>
      </c>
      <c r="K695" s="185" t="str">
        <f>IFERROR(__xludf.DUMMYFUNCTION("""COMPUTED_VALUE"""),"Unknown")</f>
        <v>Unknown</v>
      </c>
      <c r="L695" s="187">
        <f>IFERROR(__xludf.DUMMYFUNCTION("""COMPUTED_VALUE"""),3.0)</f>
        <v>3</v>
      </c>
      <c r="M695" s="188">
        <f>IFERROR(__xludf.DUMMYFUNCTION("""COMPUTED_VALUE"""),0.0)</f>
        <v>0</v>
      </c>
      <c r="N695" s="188">
        <f>IFERROR(__xludf.DUMMYFUNCTION("""COMPUTED_VALUE"""),0.0)</f>
        <v>0</v>
      </c>
      <c r="O695" s="208"/>
      <c r="P695" s="208"/>
      <c r="Q695" s="208"/>
      <c r="R695" s="208"/>
    </row>
    <row r="696">
      <c r="A696" s="185" t="str">
        <f>IFERROR(__xludf.DUMMYFUNCTION("""COMPUTED_VALUE"""),"Trade media / editorial publication")</f>
        <v>Trade media / editorial publication</v>
      </c>
      <c r="B696" s="186" t="str">
        <f>IFERROR(__xludf.DUMMYFUNCTION("""COMPUTED_VALUE"""),"https://seocompare.co.uk/ai-search-agencies-uk/")</f>
        <v>https://seocompare.co.uk/ai-search-agencies-uk/</v>
      </c>
      <c r="C696" s="185" t="str">
        <f>IFERROR(__xludf.DUMMYFUNCTION("""COMPUTED_VALUE"""),"19 Best AI SEO Agencies UK | SEOCompare")</f>
        <v>19 Best AI SEO Agencies UK | SEOCompare</v>
      </c>
      <c r="D696" s="185" t="str">
        <f>IFERROR(__xludf.DUMMYFUNCTION("""COMPUTED_VALUE"""),"UK")</f>
        <v>UK</v>
      </c>
      <c r="E696" s="185" t="str">
        <f>IFERROR(__xludf.DUMMYFUNCTION("""COMPUTED_VALUE"""),"seocompare.co.uk")</f>
        <v>seocompare.co.uk</v>
      </c>
      <c r="F696" s="185" t="str">
        <f>IFERROR(__xludf.DUMMYFUNCTION("""COMPUTED_VALUE"""),"Other")</f>
        <v>Other</v>
      </c>
      <c r="G696" s="185" t="str">
        <f>IFERROR(__xludf.DUMMYFUNCTION("""COMPUTED_VALUE"""),"EDITORIAL")</f>
        <v>EDITORIAL</v>
      </c>
      <c r="H696" s="185" t="str">
        <f>IFERROR(__xludf.DUMMYFUNCTION("""COMPUTED_VALUE"""),"No")</f>
        <v>No</v>
      </c>
      <c r="I696" s="185" t="str">
        <f>IFERROR(__xludf.DUMMYFUNCTION("""COMPUTED_VALUE"""),"Low")</f>
        <v>Low</v>
      </c>
      <c r="J696" s="185" t="str">
        <f>IFERROR(__xludf.DUMMYFUNCTION("""COMPUTED_VALUE"""),"Secondary")</f>
        <v>Secondary</v>
      </c>
      <c r="K696" s="185" t="str">
        <f>IFERROR(__xludf.DUMMYFUNCTION("""COMPUTED_VALUE"""),"Rank4AI, ClickSlice, Propeller, Screaming Frog, Blue Array, Passion Digital, Impression, Builtvisible")</f>
        <v>Rank4AI, ClickSlice, Propeller, Screaming Frog, Blue Array, Passion Digital, Impression, Builtvisible</v>
      </c>
      <c r="L696" s="187">
        <f>IFERROR(__xludf.DUMMYFUNCTION("""COMPUTED_VALUE"""),3.0)</f>
        <v>3</v>
      </c>
      <c r="M696" s="188">
        <f>IFERROR(__xludf.DUMMYFUNCTION("""COMPUTED_VALUE"""),0.0)</f>
        <v>0</v>
      </c>
      <c r="N696" s="188">
        <f>IFERROR(__xludf.DUMMYFUNCTION("""COMPUTED_VALUE"""),0.0)</f>
        <v>0</v>
      </c>
      <c r="O696" s="208"/>
      <c r="P696" s="208"/>
      <c r="Q696" s="208"/>
      <c r="R696" s="208"/>
    </row>
    <row r="697">
      <c r="A697" s="185" t="str">
        <f>IFERROR(__xludf.DUMMYFUNCTION("""COMPUTED_VALUE"""),"Agency directory / review marketplace")</f>
        <v>Agency directory / review marketplace</v>
      </c>
      <c r="B697" s="186" t="str">
        <f>IFERROR(__xludf.DUMMYFUNCTION("""COMPUTED_VALUE"""),"https://www.sortlist.co.uk/s/data-driven-marketing/united-kingdom-gb")</f>
        <v>https://www.sortlist.co.uk/s/data-driven-marketing/united-kingdom-gb</v>
      </c>
      <c r="C697" s="185" t="str">
        <f>IFERROR(__xludf.DUMMYFUNCTION("""COMPUTED_VALUE"""),"The 10 Best Data Driven Marketing Agencies in The United Kingdom - 2026 Reviews")</f>
        <v>The 10 Best Data Driven Marketing Agencies in The United Kingdom - 2026 Reviews</v>
      </c>
      <c r="D697" s="185" t="str">
        <f>IFERROR(__xludf.DUMMYFUNCTION("""COMPUTED_VALUE"""),"UK")</f>
        <v>UK</v>
      </c>
      <c r="E697" s="185" t="str">
        <f>IFERROR(__xludf.DUMMYFUNCTION("""COMPUTED_VALUE"""),"sortlist.co.uk")</f>
        <v>sortlist.co.uk</v>
      </c>
      <c r="F697" s="185" t="str">
        <f>IFERROR(__xludf.DUMMYFUNCTION("""COMPUTED_VALUE"""),"Category Page")</f>
        <v>Category Page</v>
      </c>
      <c r="G697" s="185" t="str">
        <f>IFERROR(__xludf.DUMMYFUNCTION("""COMPUTED_VALUE"""),"REFERENCE")</f>
        <v>REFERENCE</v>
      </c>
      <c r="H697" s="185" t="str">
        <f>IFERROR(__xludf.DUMMYFUNCTION("""COMPUTED_VALUE"""),"No")</f>
        <v>No</v>
      </c>
      <c r="I697" s="185" t="str">
        <f>IFERROR(__xludf.DUMMYFUNCTION("""COMPUTED_VALUE"""),"Medium")</f>
        <v>Medium</v>
      </c>
      <c r="J697" s="185" t="str">
        <f>IFERROR(__xludf.DUMMYFUNCTION("""COMPUTED_VALUE"""),"Yes")</f>
        <v>Yes</v>
      </c>
      <c r="K697" s="185" t="str">
        <f>IFERROR(__xludf.DUMMYFUNCTION("""COMPUTED_VALUE"""),"Momentum, M3.agency, Ninja Promo, Bird Marketing")</f>
        <v>Momentum, M3.agency, Ninja Promo, Bird Marketing</v>
      </c>
      <c r="L697" s="187">
        <f>IFERROR(__xludf.DUMMYFUNCTION("""COMPUTED_VALUE"""),3.0)</f>
        <v>3</v>
      </c>
      <c r="M697" s="188">
        <f>IFERROR(__xludf.DUMMYFUNCTION("""COMPUTED_VALUE"""),0.0)</f>
        <v>0</v>
      </c>
      <c r="N697" s="188">
        <f>IFERROR(__xludf.DUMMYFUNCTION("""COMPUTED_VALUE"""),0.0)</f>
        <v>0</v>
      </c>
      <c r="O697" s="208"/>
      <c r="P697" s="208"/>
      <c r="Q697" s="208"/>
      <c r="R697" s="208"/>
    </row>
    <row r="698">
      <c r="A698" s="185" t="str">
        <f>IFERROR(__xludf.DUMMYFUNCTION("""COMPUTED_VALUE"""),"Official partner / certification ecosystem")</f>
        <v>Official partner / certification ecosystem</v>
      </c>
      <c r="B698" s="186" t="str">
        <f>IFERROR(__xludf.DUMMYFUNCTION("""COMPUTED_VALUE"""),"https://support.google.com/tagmanager/answer/7237700?hl=en")</f>
        <v>https://support.google.com/tagmanager/answer/7237700?hl=en</v>
      </c>
      <c r="C698" s="185" t="str">
        <f>IFERROR(__xludf.DUMMYFUNCTION("""COMPUTED_VALUE"""),"Google Marketing Platform Partners - Tag Manager Help")</f>
        <v>Google Marketing Platform Partners - Tag Manager Help</v>
      </c>
      <c r="D698" s="185" t="str">
        <f>IFERROR(__xludf.DUMMYFUNCTION("""COMPUTED_VALUE"""),"UK")</f>
        <v>UK</v>
      </c>
      <c r="E698" s="185" t="str">
        <f>IFERROR(__xludf.DUMMYFUNCTION("""COMPUTED_VALUE"""),"google.com")</f>
        <v>google.com</v>
      </c>
      <c r="F698" s="185" t="str">
        <f>IFERROR(__xludf.DUMMYFUNCTION("""COMPUTED_VALUE"""),"Other")</f>
        <v>Other</v>
      </c>
      <c r="G698" s="185" t="str">
        <f>IFERROR(__xludf.DUMMYFUNCTION("""COMPUTED_VALUE"""),"OTHER")</f>
        <v>OTHER</v>
      </c>
      <c r="H698" s="185" t="str">
        <f>IFERROR(__xludf.DUMMYFUNCTION("""COMPUTED_VALUE"""),"No")</f>
        <v>No</v>
      </c>
      <c r="I698" s="185" t="str">
        <f>IFERROR(__xludf.DUMMYFUNCTION("""COMPUTED_VALUE"""),"High")</f>
        <v>High</v>
      </c>
      <c r="J698" s="185" t="str">
        <f>IFERROR(__xludf.DUMMYFUNCTION("""COMPUTED_VALUE"""),"Yes - priority")</f>
        <v>Yes - priority</v>
      </c>
      <c r="K698" s="185"/>
      <c r="L698" s="187">
        <f>IFERROR(__xludf.DUMMYFUNCTION("""COMPUTED_VALUE"""),3.0)</f>
        <v>3</v>
      </c>
      <c r="M698" s="188">
        <f>IFERROR(__xludf.DUMMYFUNCTION("""COMPUTED_VALUE"""),0.0)</f>
        <v>0</v>
      </c>
      <c r="N698" s="188">
        <f>IFERROR(__xludf.DUMMYFUNCTION("""COMPUTED_VALUE"""),0.33)</f>
        <v>0.33</v>
      </c>
      <c r="O698" s="208"/>
      <c r="P698" s="208"/>
      <c r="Q698" s="208"/>
      <c r="R698" s="208"/>
    </row>
    <row r="699">
      <c r="A699" s="185" t="str">
        <f>IFERROR(__xludf.DUMMYFUNCTION("""COMPUTED_VALUE"""),"Lower-priority competitor/vendor roundup")</f>
        <v>Lower-priority competitor/vendor roundup</v>
      </c>
      <c r="B699" s="186" t="str">
        <f>IFERROR(__xludf.DUMMYFUNCTION("""COMPUTED_VALUE"""),"https://www.thegrowthsyndicate.com/agencies/best-b2b-performance-marketing-agencies-europe")</f>
        <v>https://www.thegrowthsyndicate.com/agencies/best-b2b-performance-marketing-agencies-europe</v>
      </c>
      <c r="C699" s="185" t="str">
        <f>IFERROR(__xludf.DUMMYFUNCTION("""COMPUTED_VALUE"""),"The 12 Best B2B Performance Marketing Agencies in Europe")</f>
        <v>The 12 Best B2B Performance Marketing Agencies in Europe</v>
      </c>
      <c r="D699" s="185" t="str">
        <f>IFERROR(__xludf.DUMMYFUNCTION("""COMPUTED_VALUE"""),"UK")</f>
        <v>UK</v>
      </c>
      <c r="E699" s="185" t="str">
        <f>IFERROR(__xludf.DUMMYFUNCTION("""COMPUTED_VALUE"""),"thegrowthsyndicate.com")</f>
        <v>thegrowthsyndicate.com</v>
      </c>
      <c r="F699" s="185" t="str">
        <f>IFERROR(__xludf.DUMMYFUNCTION("""COMPUTED_VALUE"""),"Listicle")</f>
        <v>Listicle</v>
      </c>
      <c r="G699" s="185" t="str">
        <f>IFERROR(__xludf.DUMMYFUNCTION("""COMPUTED_VALUE"""),"CORPORATE")</f>
        <v>CORPORATE</v>
      </c>
      <c r="H699" s="185" t="str">
        <f>IFERROR(__xludf.DUMMYFUNCTION("""COMPUTED_VALUE"""),"Yes")</f>
        <v>Yes</v>
      </c>
      <c r="I699" s="185" t="str">
        <f>IFERROR(__xludf.DUMMYFUNCTION("""COMPUTED_VALUE"""),"Low")</f>
        <v>Low</v>
      </c>
      <c r="J699" s="185" t="str">
        <f>IFERROR(__xludf.DUMMYFUNCTION("""COMPUTED_VALUE"""),"Secondary")</f>
        <v>Secondary</v>
      </c>
      <c r="K699" s="185" t="str">
        <f>IFERROR(__xludf.DUMMYFUNCTION("""COMPUTED_VALUE"""),"Brainlabs, WPP, GroupM, Incubeta, Croud, Born Social, Measured, Havas Market UK, Huge, Publicis Groupe, Omnicom, Dentsu, Merkle, Impression")</f>
        <v>Brainlabs, WPP, GroupM, Incubeta, Croud, Born Social, Measured, Havas Market UK, Huge, Publicis Groupe, Omnicom, Dentsu, Merkle, Impression</v>
      </c>
      <c r="L699" s="187">
        <f>IFERROR(__xludf.DUMMYFUNCTION("""COMPUTED_VALUE"""),3.0)</f>
        <v>3</v>
      </c>
      <c r="M699" s="188">
        <f>IFERROR(__xludf.DUMMYFUNCTION("""COMPUTED_VALUE"""),0.0)</f>
        <v>0</v>
      </c>
      <c r="N699" s="188">
        <f>IFERROR(__xludf.DUMMYFUNCTION("""COMPUTED_VALUE"""),1.0)</f>
        <v>1</v>
      </c>
      <c r="O699" s="208"/>
      <c r="P699" s="208"/>
      <c r="Q699" s="208"/>
      <c r="R699" s="208"/>
    </row>
    <row r="700">
      <c r="A700" s="185" t="str">
        <f>IFERROR(__xludf.DUMMYFUNCTION("""COMPUTED_VALUE"""),"Agency directory / review marketplace")</f>
        <v>Agency directory / review marketplace</v>
      </c>
      <c r="B700" s="186" t="str">
        <f>IFERROR(__xludf.DUMMYFUNCTION("""COMPUTED_VALUE"""),"https://themanifest.com/advertising/agencies/uk")</f>
        <v>https://themanifest.com/advertising/agencies/uk</v>
      </c>
      <c r="C700" s="185" t="str">
        <f>IFERROR(__xludf.DUMMYFUNCTION("""COMPUTED_VALUE"""),"The Best Advertising Companies in United Kingdom - Jul 2026 | The Manifest")</f>
        <v>The Best Advertising Companies in United Kingdom - Jul 2026 | The Manifest</v>
      </c>
      <c r="D700" s="185" t="str">
        <f>IFERROR(__xludf.DUMMYFUNCTION("""COMPUTED_VALUE"""),"UK")</f>
        <v>UK</v>
      </c>
      <c r="E700" s="185" t="str">
        <f>IFERROR(__xludf.DUMMYFUNCTION("""COMPUTED_VALUE"""),"themanifest.com")</f>
        <v>themanifest.com</v>
      </c>
      <c r="F700" s="185" t="str">
        <f>IFERROR(__xludf.DUMMYFUNCTION("""COMPUTED_VALUE"""),"Listicle")</f>
        <v>Listicle</v>
      </c>
      <c r="G700" s="185" t="str">
        <f>IFERROR(__xludf.DUMMYFUNCTION("""COMPUTED_VALUE"""),"REFERENCE")</f>
        <v>REFERENCE</v>
      </c>
      <c r="H700" s="185" t="str">
        <f>IFERROR(__xludf.DUMMYFUNCTION("""COMPUTED_VALUE"""),"No")</f>
        <v>No</v>
      </c>
      <c r="I700" s="185" t="str">
        <f>IFERROR(__xludf.DUMMYFUNCTION("""COMPUTED_VALUE"""),"Medium")</f>
        <v>Medium</v>
      </c>
      <c r="J700" s="185" t="str">
        <f>IFERROR(__xludf.DUMMYFUNCTION("""COMPUTED_VALUE"""),"Yes")</f>
        <v>Yes</v>
      </c>
      <c r="K700" s="185" t="str">
        <f>IFERROR(__xludf.DUMMYFUNCTION("""COMPUTED_VALUE"""),"Ninja Promo, ROAST, Favoured, M3.agency, Chello, The SEO Works")</f>
        <v>Ninja Promo, ROAST, Favoured, M3.agency, Chello, The SEO Works</v>
      </c>
      <c r="L700" s="187">
        <f>IFERROR(__xludf.DUMMYFUNCTION("""COMPUTED_VALUE"""),3.0)</f>
        <v>3</v>
      </c>
      <c r="M700" s="188">
        <f>IFERROR(__xludf.DUMMYFUNCTION("""COMPUTED_VALUE"""),0.0)</f>
        <v>0</v>
      </c>
      <c r="N700" s="188">
        <f>IFERROR(__xludf.DUMMYFUNCTION("""COMPUTED_VALUE"""),0.33)</f>
        <v>0.33</v>
      </c>
      <c r="O700" s="208"/>
      <c r="P700" s="208"/>
      <c r="Q700" s="208"/>
      <c r="R700" s="208"/>
    </row>
    <row r="701">
      <c r="A701" s="185" t="str">
        <f>IFERROR(__xludf.DUMMYFUNCTION("""COMPUTED_VALUE"""),"Lower-priority competitor/vendor roundup")</f>
        <v>Lower-priority competitor/vendor roundup</v>
      </c>
      <c r="B701" s="186" t="str">
        <f>IFERROR(__xludf.DUMMYFUNCTION("""COMPUTED_VALUE"""),"https://www.webtonic.io/blog/best-ppc-agencies-uk")</f>
        <v>https://www.webtonic.io/blog/best-ppc-agencies-uk</v>
      </c>
      <c r="C701" s="185" t="str">
        <f>IFERROR(__xludf.DUMMYFUNCTION("""COMPUTED_VALUE"""),"The 44 Best PPC Agencies in the UK as of 2026")</f>
        <v>The 44 Best PPC Agencies in the UK as of 2026</v>
      </c>
      <c r="D701" s="185" t="str">
        <f>IFERROR(__xludf.DUMMYFUNCTION("""COMPUTED_VALUE"""),"UK")</f>
        <v>UK</v>
      </c>
      <c r="E701" s="185" t="str">
        <f>IFERROR(__xludf.DUMMYFUNCTION("""COMPUTED_VALUE"""),"webtonic.io")</f>
        <v>webtonic.io</v>
      </c>
      <c r="F701" s="185" t="str">
        <f>IFERROR(__xludf.DUMMYFUNCTION("""COMPUTED_VALUE"""),"Listicle")</f>
        <v>Listicle</v>
      </c>
      <c r="G701" s="185" t="str">
        <f>IFERROR(__xludf.DUMMYFUNCTION("""COMPUTED_VALUE"""),"CORPORATE")</f>
        <v>CORPORATE</v>
      </c>
      <c r="H701" s="185" t="str">
        <f>IFERROR(__xludf.DUMMYFUNCTION("""COMPUTED_VALUE"""),"No")</f>
        <v>No</v>
      </c>
      <c r="I701" s="185" t="str">
        <f>IFERROR(__xludf.DUMMYFUNCTION("""COMPUTED_VALUE"""),"Low")</f>
        <v>Low</v>
      </c>
      <c r="J701" s="185" t="str">
        <f>IFERROR(__xludf.DUMMYFUNCTION("""COMPUTED_VALUE"""),"Secondary")</f>
        <v>Secondary</v>
      </c>
      <c r="K701" s="185" t="str">
        <f>IFERROR(__xludf.DUMMYFUNCTION("""COMPUTED_VALUE"""),"PPC Geeks, Bind Media, Impression, Found, The SEO Works, Gripped, Hallam, Croud, The Social Shepherd, Koozai, Soap Media, Push, Push Group, Launch Online, The Good Marketer, LOCALiQ, Passion Digital, ClickSlice, NP Digital")</f>
        <v>PPC Geeks, Bind Media, Impression, Found, The SEO Works, Gripped, Hallam, Croud, The Social Shepherd, Koozai, Soap Media, Push, Push Group, Launch Online, The Good Marketer, LOCALiQ, Passion Digital, ClickSlice, NP Digital</v>
      </c>
      <c r="L701" s="187">
        <f>IFERROR(__xludf.DUMMYFUNCTION("""COMPUTED_VALUE"""),3.0)</f>
        <v>3</v>
      </c>
      <c r="M701" s="188">
        <f>IFERROR(__xludf.DUMMYFUNCTION("""COMPUTED_VALUE"""),0.0)</f>
        <v>0</v>
      </c>
      <c r="N701" s="188">
        <f>IFERROR(__xludf.DUMMYFUNCTION("""COMPUTED_VALUE"""),2.67)</f>
        <v>2.67</v>
      </c>
      <c r="O701" s="208"/>
      <c r="P701" s="208"/>
      <c r="Q701" s="208"/>
      <c r="R701" s="208"/>
    </row>
    <row r="702">
      <c r="A702" s="185" t="str">
        <f>IFERROR(__xludf.DUMMYFUNCTION("""COMPUTED_VALUE"""),"Agency directory / review marketplace")</f>
        <v>Agency directory / review marketplace</v>
      </c>
      <c r="B702" s="186" t="str">
        <f>IFERROR(__xludf.DUMMYFUNCTION("""COMPUTED_VALUE"""),"https://www.10seos.com/gb/display-advertising-companies-in-uk")</f>
        <v>https://www.10seos.com/gb/display-advertising-companies-in-uk</v>
      </c>
      <c r="C702" s="185" t="str">
        <f>IFERROR(__xludf.DUMMYFUNCTION("""COMPUTED_VALUE"""),"Top 10 Display Advertising Companies For Best Services. UK | July 2026")</f>
        <v>Top 10 Display Advertising Companies For Best Services. UK | July 2026</v>
      </c>
      <c r="D702" s="185" t="str">
        <f>IFERROR(__xludf.DUMMYFUNCTION("""COMPUTED_VALUE"""),"UK")</f>
        <v>UK</v>
      </c>
      <c r="E702" s="185" t="str">
        <f>IFERROR(__xludf.DUMMYFUNCTION("""COMPUTED_VALUE"""),"10seos.com")</f>
        <v>10seos.com</v>
      </c>
      <c r="F702" s="185" t="str">
        <f>IFERROR(__xludf.DUMMYFUNCTION("""COMPUTED_VALUE"""),"Other")</f>
        <v>Other</v>
      </c>
      <c r="G702" s="185" t="str">
        <f>IFERROR(__xludf.DUMMYFUNCTION("""COMPUTED_VALUE"""),"REFERENCE")</f>
        <v>REFERENCE</v>
      </c>
      <c r="H702" s="185" t="str">
        <f>IFERROR(__xludf.DUMMYFUNCTION("""COMPUTED_VALUE"""),"No")</f>
        <v>No</v>
      </c>
      <c r="I702" s="185" t="str">
        <f>IFERROR(__xludf.DUMMYFUNCTION("""COMPUTED_VALUE"""),"Medium")</f>
        <v>Medium</v>
      </c>
      <c r="J702" s="185" t="str">
        <f>IFERROR(__xludf.DUMMYFUNCTION("""COMPUTED_VALUE"""),"Yes")</f>
        <v>Yes</v>
      </c>
      <c r="K702" s="185" t="str">
        <f>IFERROR(__xludf.DUMMYFUNCTION("""COMPUTED_VALUE"""),"The SEO Works")</f>
        <v>The SEO Works</v>
      </c>
      <c r="L702" s="187">
        <f>IFERROR(__xludf.DUMMYFUNCTION("""COMPUTED_VALUE"""),2.0)</f>
        <v>2</v>
      </c>
      <c r="M702" s="188">
        <f>IFERROR(__xludf.DUMMYFUNCTION("""COMPUTED_VALUE"""),0.0)</f>
        <v>0</v>
      </c>
      <c r="N702" s="188">
        <f>IFERROR(__xludf.DUMMYFUNCTION("""COMPUTED_VALUE"""),0.0)</f>
        <v>0</v>
      </c>
      <c r="O702" s="208"/>
      <c r="P702" s="208"/>
      <c r="Q702" s="208"/>
      <c r="R702" s="208"/>
    </row>
    <row r="703">
      <c r="A703" s="185" t="str">
        <f>IFERROR(__xludf.DUMMYFUNCTION("""COMPUTED_VALUE"""),"Industry data / software authority")</f>
        <v>Industry data / software authority</v>
      </c>
      <c r="B703" s="186" t="str">
        <f>IFERROR(__xludf.DUMMYFUNCTION("""COMPUTED_VALUE"""),"https://agencies.semrush.com/list/ai-optimization/london-city/mid-business/")</f>
        <v>https://agencies.semrush.com/list/ai-optimization/london-city/mid-business/</v>
      </c>
      <c r="C703" s="185" t="str">
        <f>IFERROR(__xludf.DUMMYFUNCTION("""COMPUTED_VALUE"""),"Best AI Search Optimization Agencies for Mid Business in London 2026 | Semrush")</f>
        <v>Best AI Search Optimization Agencies for Mid Business in London 2026 | Semrush</v>
      </c>
      <c r="D703" s="185" t="str">
        <f>IFERROR(__xludf.DUMMYFUNCTION("""COMPUTED_VALUE"""),"UK")</f>
        <v>UK</v>
      </c>
      <c r="E703" s="185" t="str">
        <f>IFERROR(__xludf.DUMMYFUNCTION("""COMPUTED_VALUE"""),"semrush.com")</f>
        <v>semrush.com</v>
      </c>
      <c r="F703" s="185" t="str">
        <f>IFERROR(__xludf.DUMMYFUNCTION("""COMPUTED_VALUE"""),"Category Page")</f>
        <v>Category Page</v>
      </c>
      <c r="G703" s="185" t="str">
        <f>IFERROR(__xludf.DUMMYFUNCTION("""COMPUTED_VALUE"""),"CORPORATE")</f>
        <v>CORPORATE</v>
      </c>
      <c r="H703" s="185" t="str">
        <f>IFERROR(__xludf.DUMMYFUNCTION("""COMPUTED_VALUE"""),"No")</f>
        <v>No</v>
      </c>
      <c r="I703" s="185" t="str">
        <f>IFERROR(__xludf.DUMMYFUNCTION("""COMPUTED_VALUE"""),"Medium")</f>
        <v>Medium</v>
      </c>
      <c r="J703" s="185" t="str">
        <f>IFERROR(__xludf.DUMMYFUNCTION("""COMPUTED_VALUE"""),"Yes")</f>
        <v>Yes</v>
      </c>
      <c r="K703" s="185" t="str">
        <f>IFERROR(__xludf.DUMMYFUNCTION("""COMPUTED_VALUE"""),"Found, Measured, Passion Digital, The SEO Works, Gravity Global, ROAST")</f>
        <v>Found, Measured, Passion Digital, The SEO Works, Gravity Global, ROAST</v>
      </c>
      <c r="L703" s="187">
        <f>IFERROR(__xludf.DUMMYFUNCTION("""COMPUTED_VALUE"""),2.0)</f>
        <v>2</v>
      </c>
      <c r="M703" s="188">
        <f>IFERROR(__xludf.DUMMYFUNCTION("""COMPUTED_VALUE"""),0.0)</f>
        <v>0</v>
      </c>
      <c r="N703" s="188">
        <f>IFERROR(__xludf.DUMMYFUNCTION("""COMPUTED_VALUE"""),0.0)</f>
        <v>0</v>
      </c>
      <c r="O703" s="208"/>
      <c r="P703" s="208"/>
      <c r="Q703" s="208"/>
      <c r="R703" s="208"/>
    </row>
    <row r="704">
      <c r="A704" s="185" t="str">
        <f>IFERROR(__xludf.DUMMYFUNCTION("""COMPUTED_VALUE"""),"Industry data / software authority")</f>
        <v>Industry data / software authority</v>
      </c>
      <c r="B704" s="186" t="str">
        <f>IFERROR(__xludf.DUMMYFUNCTION("""COMPUTED_VALUE"""),"https://agencies.semrush.com/list/analytics-data-science/london-city/")</f>
        <v>https://agencies.semrush.com/list/analytics-data-science/london-city/</v>
      </c>
      <c r="C704" s="185" t="str">
        <f>IFERROR(__xludf.DUMMYFUNCTION("""COMPUTED_VALUE"""),"Best Data Analytics Services in London 2026 | Semrush")</f>
        <v>Best Data Analytics Services in London 2026 | Semrush</v>
      </c>
      <c r="D704" s="185" t="str">
        <f>IFERROR(__xludf.DUMMYFUNCTION("""COMPUTED_VALUE"""),"UK")</f>
        <v>UK</v>
      </c>
      <c r="E704" s="185" t="str">
        <f>IFERROR(__xludf.DUMMYFUNCTION("""COMPUTED_VALUE"""),"semrush.com")</f>
        <v>semrush.com</v>
      </c>
      <c r="F704" s="185" t="str">
        <f>IFERROR(__xludf.DUMMYFUNCTION("""COMPUTED_VALUE"""),"Category Page")</f>
        <v>Category Page</v>
      </c>
      <c r="G704" s="185" t="str">
        <f>IFERROR(__xludf.DUMMYFUNCTION("""COMPUTED_VALUE"""),"CORPORATE")</f>
        <v>CORPORATE</v>
      </c>
      <c r="H704" s="185" t="str">
        <f>IFERROR(__xludf.DUMMYFUNCTION("""COMPUTED_VALUE"""),"No")</f>
        <v>No</v>
      </c>
      <c r="I704" s="185" t="str">
        <f>IFERROR(__xludf.DUMMYFUNCTION("""COMPUTED_VALUE"""),"Medium")</f>
        <v>Medium</v>
      </c>
      <c r="J704" s="185" t="str">
        <f>IFERROR(__xludf.DUMMYFUNCTION("""COMPUTED_VALUE"""),"Yes")</f>
        <v>Yes</v>
      </c>
      <c r="K704" s="185" t="str">
        <f>IFERROR(__xludf.DUMMYFUNCTION("""COMPUTED_VALUE"""),"The SEO Works, Found, Measured")</f>
        <v>The SEO Works, Found, Measured</v>
      </c>
      <c r="L704" s="187">
        <f>IFERROR(__xludf.DUMMYFUNCTION("""COMPUTED_VALUE"""),2.0)</f>
        <v>2</v>
      </c>
      <c r="M704" s="188">
        <f>IFERROR(__xludf.DUMMYFUNCTION("""COMPUTED_VALUE"""),0.0)</f>
        <v>0</v>
      </c>
      <c r="N704" s="188">
        <f>IFERROR(__xludf.DUMMYFUNCTION("""COMPUTED_VALUE"""),0.0)</f>
        <v>0</v>
      </c>
      <c r="O704" s="208"/>
      <c r="P704" s="208"/>
      <c r="Q704" s="208"/>
      <c r="R704" s="208"/>
    </row>
    <row r="705">
      <c r="A705" s="185" t="str">
        <f>IFERROR(__xludf.DUMMYFUNCTION("""COMPUTED_VALUE"""),"Industry data / software authority")</f>
        <v>Industry data / software authority</v>
      </c>
      <c r="B705" s="186" t="str">
        <f>IFERROR(__xludf.DUMMYFUNCTION("""COMPUTED_VALUE"""),"https://agencies.semrush.com/list/ppc/london-city/")</f>
        <v>https://agencies.semrush.com/list/ppc/london-city/</v>
      </c>
      <c r="C705" s="185" t="str">
        <f>IFERROR(__xludf.DUMMYFUNCTION("""COMPUTED_VALUE"""),"Best PPC Agencies in London 2026 | Semrush")</f>
        <v>Best PPC Agencies in London 2026 | Semrush</v>
      </c>
      <c r="D705" s="185" t="str">
        <f>IFERROR(__xludf.DUMMYFUNCTION("""COMPUTED_VALUE"""),"UK")</f>
        <v>UK</v>
      </c>
      <c r="E705" s="185" t="str">
        <f>IFERROR(__xludf.DUMMYFUNCTION("""COMPUTED_VALUE"""),"semrush.com")</f>
        <v>semrush.com</v>
      </c>
      <c r="F705" s="185" t="str">
        <f>IFERROR(__xludf.DUMMYFUNCTION("""COMPUTED_VALUE"""),"Category Page")</f>
        <v>Category Page</v>
      </c>
      <c r="G705" s="185" t="str">
        <f>IFERROR(__xludf.DUMMYFUNCTION("""COMPUTED_VALUE"""),"CORPORATE")</f>
        <v>CORPORATE</v>
      </c>
      <c r="H705" s="185" t="str">
        <f>IFERROR(__xludf.DUMMYFUNCTION("""COMPUTED_VALUE"""),"No")</f>
        <v>No</v>
      </c>
      <c r="I705" s="185" t="str">
        <f>IFERROR(__xludf.DUMMYFUNCTION("""COMPUTED_VALUE"""),"Medium")</f>
        <v>Medium</v>
      </c>
      <c r="J705" s="185" t="str">
        <f>IFERROR(__xludf.DUMMYFUNCTION("""COMPUTED_VALUE"""),"Yes")</f>
        <v>Yes</v>
      </c>
      <c r="K705" s="185" t="str">
        <f>IFERROR(__xludf.DUMMYFUNCTION("""COMPUTED_VALUE"""),"Impression, Passion Digital, Found, GA Agency, The SEO Works, ROAST")</f>
        <v>Impression, Passion Digital, Found, GA Agency, The SEO Works, ROAST</v>
      </c>
      <c r="L705" s="187">
        <f>IFERROR(__xludf.DUMMYFUNCTION("""COMPUTED_VALUE"""),2.0)</f>
        <v>2</v>
      </c>
      <c r="M705" s="188">
        <f>IFERROR(__xludf.DUMMYFUNCTION("""COMPUTED_VALUE"""),0.0)</f>
        <v>0</v>
      </c>
      <c r="N705" s="188">
        <f>IFERROR(__xludf.DUMMYFUNCTION("""COMPUTED_VALUE"""),0.0)</f>
        <v>0</v>
      </c>
      <c r="O705" s="208"/>
      <c r="P705" s="208"/>
      <c r="Q705" s="208"/>
      <c r="R705" s="208"/>
    </row>
    <row r="706">
      <c r="A706" s="185" t="str">
        <f>IFERROR(__xludf.DUMMYFUNCTION("""COMPUTED_VALUE"""),"Industry data / software authority")</f>
        <v>Industry data / software authority</v>
      </c>
      <c r="B706" s="186" t="str">
        <f>IFERROR(__xludf.DUMMYFUNCTION("""COMPUTED_VALUE"""),"https://agencies.semrush.com/list/programmatic-advertising/united-kingdom/")</f>
        <v>https://agencies.semrush.com/list/programmatic-advertising/united-kingdom/</v>
      </c>
      <c r="C706" s="185" t="str">
        <f>IFERROR(__xludf.DUMMYFUNCTION("""COMPUTED_VALUE"""),"Best Programmatic Advertising Agencies in United Kingdom 2026 | Semrush")</f>
        <v>Best Programmatic Advertising Agencies in United Kingdom 2026 | Semrush</v>
      </c>
      <c r="D706" s="185" t="str">
        <f>IFERROR(__xludf.DUMMYFUNCTION("""COMPUTED_VALUE"""),"UK")</f>
        <v>UK</v>
      </c>
      <c r="E706" s="185" t="str">
        <f>IFERROR(__xludf.DUMMYFUNCTION("""COMPUTED_VALUE"""),"semrush.com")</f>
        <v>semrush.com</v>
      </c>
      <c r="F706" s="185" t="str">
        <f>IFERROR(__xludf.DUMMYFUNCTION("""COMPUTED_VALUE"""),"Category Page")</f>
        <v>Category Page</v>
      </c>
      <c r="G706" s="185" t="str">
        <f>IFERROR(__xludf.DUMMYFUNCTION("""COMPUTED_VALUE"""),"CORPORATE")</f>
        <v>CORPORATE</v>
      </c>
      <c r="H706" s="185" t="str">
        <f>IFERROR(__xludf.DUMMYFUNCTION("""COMPUTED_VALUE"""),"No")</f>
        <v>No</v>
      </c>
      <c r="I706" s="185" t="str">
        <f>IFERROR(__xludf.DUMMYFUNCTION("""COMPUTED_VALUE"""),"Medium")</f>
        <v>Medium</v>
      </c>
      <c r="J706" s="185" t="str">
        <f>IFERROR(__xludf.DUMMYFUNCTION("""COMPUTED_VALUE"""),"Yes")</f>
        <v>Yes</v>
      </c>
      <c r="K706" s="185" t="str">
        <f>IFERROR(__xludf.DUMMYFUNCTION("""COMPUTED_VALUE"""),"Found, Passion Digital, GA Agency, The SEO Works, ROAST")</f>
        <v>Found, Passion Digital, GA Agency, The SEO Works, ROAST</v>
      </c>
      <c r="L706" s="187">
        <f>IFERROR(__xludf.DUMMYFUNCTION("""COMPUTED_VALUE"""),2.0)</f>
        <v>2</v>
      </c>
      <c r="M706" s="188">
        <f>IFERROR(__xludf.DUMMYFUNCTION("""COMPUTED_VALUE"""),0.0)</f>
        <v>0</v>
      </c>
      <c r="N706" s="188">
        <f>IFERROR(__xludf.DUMMYFUNCTION("""COMPUTED_VALUE"""),0.0)</f>
        <v>0</v>
      </c>
      <c r="O706" s="208"/>
      <c r="P706" s="208"/>
      <c r="Q706" s="208"/>
      <c r="R706" s="208"/>
    </row>
    <row r="707">
      <c r="A707" s="185" t="str">
        <f>IFERROR(__xludf.DUMMYFUNCTION("""COMPUTED_VALUE"""),"Official partner / certification ecosystem")</f>
        <v>Official partner / certification ecosystem</v>
      </c>
      <c r="B707" s="186" t="str">
        <f>IFERROR(__xludf.DUMMYFUNCTION("""COMPUTED_VALUE"""),"https://business.google.com/en-all/support/work-with-a-partner/")</f>
        <v>https://business.google.com/en-all/support/work-with-a-partner/</v>
      </c>
      <c r="C707" s="185" t="str">
        <f>IFERROR(__xludf.DUMMYFUNCTION("""COMPUTED_VALUE"""),"Work with a Google Partner for a Successful Campaign – Google Ads")</f>
        <v>Work with a Google Partner for a Successful Campaign – Google Ads</v>
      </c>
      <c r="D707" s="185" t="str">
        <f>IFERROR(__xludf.DUMMYFUNCTION("""COMPUTED_VALUE"""),"UK")</f>
        <v>UK</v>
      </c>
      <c r="E707" s="185" t="str">
        <f>IFERROR(__xludf.DUMMYFUNCTION("""COMPUTED_VALUE"""),"google.com")</f>
        <v>google.com</v>
      </c>
      <c r="F707" s="185" t="str">
        <f>IFERROR(__xludf.DUMMYFUNCTION("""COMPUTED_VALUE"""),"Product Page")</f>
        <v>Product Page</v>
      </c>
      <c r="G707" s="185" t="str">
        <f>IFERROR(__xludf.DUMMYFUNCTION("""COMPUTED_VALUE"""),"OTHER")</f>
        <v>OTHER</v>
      </c>
      <c r="H707" s="185" t="str">
        <f>IFERROR(__xludf.DUMMYFUNCTION("""COMPUTED_VALUE"""),"No")</f>
        <v>No</v>
      </c>
      <c r="I707" s="185" t="str">
        <f>IFERROR(__xludf.DUMMYFUNCTION("""COMPUTED_VALUE"""),"High")</f>
        <v>High</v>
      </c>
      <c r="J707" s="185" t="str">
        <f>IFERROR(__xludf.DUMMYFUNCTION("""COMPUTED_VALUE"""),"Yes - priority")</f>
        <v>Yes - priority</v>
      </c>
      <c r="K707" s="185" t="str">
        <f>IFERROR(__xludf.DUMMYFUNCTION("""COMPUTED_VALUE"""),"New Engen, Wpromote")</f>
        <v>New Engen, Wpromote</v>
      </c>
      <c r="L707" s="187">
        <f>IFERROR(__xludf.DUMMYFUNCTION("""COMPUTED_VALUE"""),2.0)</f>
        <v>2</v>
      </c>
      <c r="M707" s="188">
        <f>IFERROR(__xludf.DUMMYFUNCTION("""COMPUTED_VALUE"""),0.0)</f>
        <v>0</v>
      </c>
      <c r="N707" s="188">
        <f>IFERROR(__xludf.DUMMYFUNCTION("""COMPUTED_VALUE"""),0.0)</f>
        <v>0</v>
      </c>
      <c r="O707" s="208"/>
      <c r="P707" s="208"/>
      <c r="Q707" s="208"/>
      <c r="R707" s="208"/>
    </row>
    <row r="708">
      <c r="A708" s="185" t="str">
        <f>IFERROR(__xludf.DUMMYFUNCTION("""COMPUTED_VALUE"""),"Official partner / certification ecosystem")</f>
        <v>Official partner / certification ecosystem</v>
      </c>
      <c r="B708" s="186" t="str">
        <f>IFERROR(__xludf.DUMMYFUNCTION("""COMPUTED_VALUE"""),"https://business.google.com/uk/support/become-a-partner/")</f>
        <v>https://business.google.com/uk/support/become-a-partner/</v>
      </c>
      <c r="C708" s="185" t="str">
        <f>IFERROR(__xludf.DUMMYFUNCTION("""COMPUTED_VALUE"""),"Google Partners Programme: Become a Partner – Google Ads")</f>
        <v>Google Partners Programme: Become a Partner – Google Ads</v>
      </c>
      <c r="D708" s="185" t="str">
        <f>IFERROR(__xludf.DUMMYFUNCTION("""COMPUTED_VALUE"""),"UK")</f>
        <v>UK</v>
      </c>
      <c r="E708" s="185" t="str">
        <f>IFERROR(__xludf.DUMMYFUNCTION("""COMPUTED_VALUE"""),"google.com")</f>
        <v>google.com</v>
      </c>
      <c r="F708" s="185" t="str">
        <f>IFERROR(__xludf.DUMMYFUNCTION("""COMPUTED_VALUE"""),"Product Page")</f>
        <v>Product Page</v>
      </c>
      <c r="G708" s="185" t="str">
        <f>IFERROR(__xludf.DUMMYFUNCTION("""COMPUTED_VALUE"""),"OTHER")</f>
        <v>OTHER</v>
      </c>
      <c r="H708" s="185" t="str">
        <f>IFERROR(__xludf.DUMMYFUNCTION("""COMPUTED_VALUE"""),"No")</f>
        <v>No</v>
      </c>
      <c r="I708" s="185" t="str">
        <f>IFERROR(__xludf.DUMMYFUNCTION("""COMPUTED_VALUE"""),"High")</f>
        <v>High</v>
      </c>
      <c r="J708" s="185" t="str">
        <f>IFERROR(__xludf.DUMMYFUNCTION("""COMPUTED_VALUE"""),"Yes - priority")</f>
        <v>Yes - priority</v>
      </c>
      <c r="K708" s="185" t="str">
        <f>IFERROR(__xludf.DUMMYFUNCTION("""COMPUTED_VALUE"""),"New Engen, Merkle")</f>
        <v>New Engen, Merkle</v>
      </c>
      <c r="L708" s="187">
        <f>IFERROR(__xludf.DUMMYFUNCTION("""COMPUTED_VALUE"""),2.0)</f>
        <v>2</v>
      </c>
      <c r="M708" s="188">
        <f>IFERROR(__xludf.DUMMYFUNCTION("""COMPUTED_VALUE"""),0.0)</f>
        <v>0</v>
      </c>
      <c r="N708" s="188">
        <f>IFERROR(__xludf.DUMMYFUNCTION("""COMPUTED_VALUE"""),1.0)</f>
        <v>1</v>
      </c>
      <c r="O708" s="208"/>
      <c r="P708" s="208"/>
      <c r="Q708" s="208"/>
      <c r="R708" s="208"/>
    </row>
    <row r="709">
      <c r="A709" s="185" t="str">
        <f>IFERROR(__xludf.DUMMYFUNCTION("""COMPUTED_VALUE"""),"Agency directory / review marketplace")</f>
        <v>Agency directory / review marketplace</v>
      </c>
      <c r="B709" s="186" t="str">
        <f>IFERROR(__xludf.DUMMYFUNCTION("""COMPUTED_VALUE"""),"https://clutch.co/agencies")</f>
        <v>https://clutch.co/agencies</v>
      </c>
      <c r="C709" s="185" t="str">
        <f>IFERROR(__xludf.DUMMYFUNCTION("""COMPUTED_VALUE"""),"Top Advertising Agencies &amp;amp; Marketing Companies - Jul 2026 Rankings | Clutch.co")</f>
        <v>Top Advertising Agencies &amp;amp; Marketing Companies - Jul 2026 Rankings | Clutch.co</v>
      </c>
      <c r="D709" s="185" t="str">
        <f>IFERROR(__xludf.DUMMYFUNCTION("""COMPUTED_VALUE"""),"UK")</f>
        <v>UK</v>
      </c>
      <c r="E709" s="185" t="str">
        <f>IFERROR(__xludf.DUMMYFUNCTION("""COMPUTED_VALUE"""),"clutch.co")</f>
        <v>clutch.co</v>
      </c>
      <c r="F709" s="185" t="str">
        <f>IFERROR(__xludf.DUMMYFUNCTION("""COMPUTED_VALUE"""),"Category Page")</f>
        <v>Category Page</v>
      </c>
      <c r="G709" s="185" t="str">
        <f>IFERROR(__xludf.DUMMYFUNCTION("""COMPUTED_VALUE"""),"CORPORATE")</f>
        <v>CORPORATE</v>
      </c>
      <c r="H709" s="185" t="str">
        <f>IFERROR(__xludf.DUMMYFUNCTION("""COMPUTED_VALUE"""),"No")</f>
        <v>No</v>
      </c>
      <c r="I709" s="185" t="str">
        <f>IFERROR(__xludf.DUMMYFUNCTION("""COMPUTED_VALUE"""),"Medium")</f>
        <v>Medium</v>
      </c>
      <c r="J709" s="185" t="str">
        <f>IFERROR(__xludf.DUMMYFUNCTION("""COMPUTED_VALUE"""),"Yes")</f>
        <v>Yes</v>
      </c>
      <c r="K709" s="185" t="str">
        <f>IFERROR(__xludf.DUMMYFUNCTION("""COMPUTED_VALUE"""),"Power Digital, Ignite Visibility, Favoured, Ninja Promo, WebFX, Chello, ROAST, M3.agency, The SEO Works")</f>
        <v>Power Digital, Ignite Visibility, Favoured, Ninja Promo, WebFX, Chello, ROAST, M3.agency, The SEO Works</v>
      </c>
      <c r="L709" s="187">
        <f>IFERROR(__xludf.DUMMYFUNCTION("""COMPUTED_VALUE"""),2.0)</f>
        <v>2</v>
      </c>
      <c r="M709" s="188">
        <f>IFERROR(__xludf.DUMMYFUNCTION("""COMPUTED_VALUE"""),0.0)</f>
        <v>0</v>
      </c>
      <c r="N709" s="188">
        <f>IFERROR(__xludf.DUMMYFUNCTION("""COMPUTED_VALUE"""),0.0)</f>
        <v>0</v>
      </c>
      <c r="O709" s="208"/>
      <c r="P709" s="208"/>
      <c r="Q709" s="208"/>
      <c r="R709" s="208"/>
    </row>
    <row r="710">
      <c r="A710" s="185" t="str">
        <f>IFERROR(__xludf.DUMMYFUNCTION("""COMPUTED_VALUE"""),"Agency directory / review marketplace")</f>
        <v>Agency directory / review marketplace</v>
      </c>
      <c r="B710" s="186" t="str">
        <f>IFERROR(__xludf.DUMMYFUNCTION("""COMPUTED_VALUE"""),"https://clutch.co/agencies/market-research/shopper-marketing/uk")</f>
        <v>https://clutch.co/agencies/market-research/shopper-marketing/uk</v>
      </c>
      <c r="C710" s="185" t="str">
        <f>IFERROR(__xludf.DUMMYFUNCTION("""COMPUTED_VALUE"""),"Top Shopper Marketing Agencies in the United Kingdom - Jul 2026 Rankings | Clutch.co")</f>
        <v>Top Shopper Marketing Agencies in the United Kingdom - Jul 2026 Rankings | Clutch.co</v>
      </c>
      <c r="D710" s="185" t="str">
        <f>IFERROR(__xludf.DUMMYFUNCTION("""COMPUTED_VALUE"""),"UK")</f>
        <v>UK</v>
      </c>
      <c r="E710" s="185" t="str">
        <f>IFERROR(__xludf.DUMMYFUNCTION("""COMPUTED_VALUE"""),"clutch.co")</f>
        <v>clutch.co</v>
      </c>
      <c r="F710" s="185" t="str">
        <f>IFERROR(__xludf.DUMMYFUNCTION("""COMPUTED_VALUE"""),"Profile")</f>
        <v>Profile</v>
      </c>
      <c r="G710" s="185" t="str">
        <f>IFERROR(__xludf.DUMMYFUNCTION("""COMPUTED_VALUE"""),"CORPORATE")</f>
        <v>CORPORATE</v>
      </c>
      <c r="H710" s="185" t="str">
        <f>IFERROR(__xludf.DUMMYFUNCTION("""COMPUTED_VALUE"""),"No")</f>
        <v>No</v>
      </c>
      <c r="I710" s="185" t="str">
        <f>IFERROR(__xludf.DUMMYFUNCTION("""COMPUTED_VALUE"""),"Medium")</f>
        <v>Medium</v>
      </c>
      <c r="J710" s="185" t="str">
        <f>IFERROR(__xludf.DUMMYFUNCTION("""COMPUTED_VALUE"""),"Yes")</f>
        <v>Yes</v>
      </c>
      <c r="K710" s="185"/>
      <c r="L710" s="187">
        <f>IFERROR(__xludf.DUMMYFUNCTION("""COMPUTED_VALUE"""),2.0)</f>
        <v>2</v>
      </c>
      <c r="M710" s="188">
        <f>IFERROR(__xludf.DUMMYFUNCTION("""COMPUTED_VALUE"""),0.0)</f>
        <v>0</v>
      </c>
      <c r="N710" s="188">
        <f>IFERROR(__xludf.DUMMYFUNCTION("""COMPUTED_VALUE"""),0.0)</f>
        <v>0</v>
      </c>
      <c r="O710" s="208"/>
      <c r="P710" s="208"/>
      <c r="Q710" s="208"/>
      <c r="R710" s="208"/>
    </row>
    <row r="711">
      <c r="A711" s="185" t="str">
        <f>IFERROR(__xludf.DUMMYFUNCTION("""COMPUTED_VALUE"""),"Agency directory / review marketplace")</f>
        <v>Agency directory / review marketplace</v>
      </c>
      <c r="B711" s="186" t="str">
        <f>IFERROR(__xludf.DUMMYFUNCTION("""COMPUTED_VALUE"""),"https://clutch.co/agencies/ppc/display/uk/england")</f>
        <v>https://clutch.co/agencies/ppc/display/uk/england</v>
      </c>
      <c r="C711" s="185" t="str">
        <f>IFERROR(__xludf.DUMMYFUNCTION("""COMPUTED_VALUE"""),"Top Display Advertising Agencies - Jul 2026 Rankings \| Clutch.co")</f>
        <v>Top Display Advertising Agencies - Jul 2026 Rankings \| Clutch.co</v>
      </c>
      <c r="D711" s="185" t="str">
        <f>IFERROR(__xludf.DUMMYFUNCTION("""COMPUTED_VALUE"""),"UK")</f>
        <v>UK</v>
      </c>
      <c r="E711" s="185" t="str">
        <f>IFERROR(__xludf.DUMMYFUNCTION("""COMPUTED_VALUE"""),"clutch.co")</f>
        <v>clutch.co</v>
      </c>
      <c r="F711" s="185" t="str">
        <f>IFERROR(__xludf.DUMMYFUNCTION("""COMPUTED_VALUE"""),"Category Page")</f>
        <v>Category Page</v>
      </c>
      <c r="G711" s="185" t="str">
        <f>IFERROR(__xludf.DUMMYFUNCTION("""COMPUTED_VALUE"""),"CORPORATE")</f>
        <v>CORPORATE</v>
      </c>
      <c r="H711" s="185" t="str">
        <f>IFERROR(__xludf.DUMMYFUNCTION("""COMPUTED_VALUE"""),"No")</f>
        <v>No</v>
      </c>
      <c r="I711" s="185" t="str">
        <f>IFERROR(__xludf.DUMMYFUNCTION("""COMPUTED_VALUE"""),"Medium")</f>
        <v>Medium</v>
      </c>
      <c r="J711" s="185" t="str">
        <f>IFERROR(__xludf.DUMMYFUNCTION("""COMPUTED_VALUE"""),"Yes")</f>
        <v>Yes</v>
      </c>
      <c r="K711" s="185" t="str">
        <f>IFERROR(__xludf.DUMMYFUNCTION("""COMPUTED_VALUE"""),"Ninja Promo, Soap Media, Found, The SEO Works, GA Agency")</f>
        <v>Ninja Promo, Soap Media, Found, The SEO Works, GA Agency</v>
      </c>
      <c r="L711" s="187">
        <f>IFERROR(__xludf.DUMMYFUNCTION("""COMPUTED_VALUE"""),2.0)</f>
        <v>2</v>
      </c>
      <c r="M711" s="188">
        <f>IFERROR(__xludf.DUMMYFUNCTION("""COMPUTED_VALUE"""),0.0)</f>
        <v>0</v>
      </c>
      <c r="N711" s="188">
        <f>IFERROR(__xludf.DUMMYFUNCTION("""COMPUTED_VALUE"""),0.5)</f>
        <v>0.5</v>
      </c>
      <c r="O711" s="208"/>
      <c r="P711" s="208"/>
      <c r="Q711" s="208"/>
      <c r="R711" s="208"/>
    </row>
    <row r="712">
      <c r="A712" s="185" t="str">
        <f>IFERROR(__xludf.DUMMYFUNCTION("""COMPUTED_VALUE"""),"Agency directory / review marketplace")</f>
        <v>Agency directory / review marketplace</v>
      </c>
      <c r="B712" s="186" t="str">
        <f>IFERROR(__xludf.DUMMYFUNCTION("""COMPUTED_VALUE"""),"https://clutch.co/agencies/social-media-marketing/influencer/uk")</f>
        <v>https://clutch.co/agencies/social-media-marketing/influencer/uk</v>
      </c>
      <c r="C712" s="185" t="str">
        <f>IFERROR(__xludf.DUMMYFUNCTION("""COMPUTED_VALUE"""),"Top Influencer Advertising Agencies in the United Kingdom - Jul 2026 Rankings \| Clutch.co")</f>
        <v>Top Influencer Advertising Agencies in the United Kingdom - Jul 2026 Rankings \| Clutch.co</v>
      </c>
      <c r="D712" s="185" t="str">
        <f>IFERROR(__xludf.DUMMYFUNCTION("""COMPUTED_VALUE"""),"UK")</f>
        <v>UK</v>
      </c>
      <c r="E712" s="185" t="str">
        <f>IFERROR(__xludf.DUMMYFUNCTION("""COMPUTED_VALUE"""),"clutch.co")</f>
        <v>clutch.co</v>
      </c>
      <c r="F712" s="185" t="str">
        <f>IFERROR(__xludf.DUMMYFUNCTION("""COMPUTED_VALUE"""),"Profile")</f>
        <v>Profile</v>
      </c>
      <c r="G712" s="185" t="str">
        <f>IFERROR(__xludf.DUMMYFUNCTION("""COMPUTED_VALUE"""),"CORPORATE")</f>
        <v>CORPORATE</v>
      </c>
      <c r="H712" s="185" t="str">
        <f>IFERROR(__xludf.DUMMYFUNCTION("""COMPUTED_VALUE"""),"No")</f>
        <v>No</v>
      </c>
      <c r="I712" s="185" t="str">
        <f>IFERROR(__xludf.DUMMYFUNCTION("""COMPUTED_VALUE"""),"Medium")</f>
        <v>Medium</v>
      </c>
      <c r="J712" s="185" t="str">
        <f>IFERROR(__xludf.DUMMYFUNCTION("""COMPUTED_VALUE"""),"Yes")</f>
        <v>Yes</v>
      </c>
      <c r="K712" s="185" t="str">
        <f>IFERROR(__xludf.DUMMYFUNCTION("""COMPUTED_VALUE"""),"Ninja Promo, Favoured, Found, Momentum, Propeller, Impression")</f>
        <v>Ninja Promo, Favoured, Found, Momentum, Propeller, Impression</v>
      </c>
      <c r="L712" s="187">
        <f>IFERROR(__xludf.DUMMYFUNCTION("""COMPUTED_VALUE"""),2.0)</f>
        <v>2</v>
      </c>
      <c r="M712" s="188">
        <f>IFERROR(__xludf.DUMMYFUNCTION("""COMPUTED_VALUE"""),0.0)</f>
        <v>0</v>
      </c>
      <c r="N712" s="188">
        <f>IFERROR(__xludf.DUMMYFUNCTION("""COMPUTED_VALUE"""),0.0)</f>
        <v>0</v>
      </c>
      <c r="O712" s="208"/>
      <c r="P712" s="208"/>
      <c r="Q712" s="208"/>
      <c r="R712" s="208"/>
    </row>
    <row r="713">
      <c r="A713" s="185" t="str">
        <f>IFERROR(__xludf.DUMMYFUNCTION("""COMPUTED_VALUE"""),"Agency directory / review marketplace")</f>
        <v>Agency directory / review marketplace</v>
      </c>
      <c r="B713" s="186" t="str">
        <f>IFERROR(__xludf.DUMMYFUNCTION("""COMPUTED_VALUE"""),"https://clutch.co/consulting/ai/uk?page=3")</f>
        <v>https://clutch.co/consulting/ai/uk?page=3</v>
      </c>
      <c r="C713" s="185" t="str">
        <f>IFERROR(__xludf.DUMMYFUNCTION("""COMPUTED_VALUE"""),"Page 3 - Top AI Consultants in the United Kingdom - Jul 2026 Rankings \| Clutch.co")</f>
        <v>Page 3 - Top AI Consultants in the United Kingdom - Jul 2026 Rankings \| Clutch.co</v>
      </c>
      <c r="D713" s="185" t="str">
        <f>IFERROR(__xludf.DUMMYFUNCTION("""COMPUTED_VALUE"""),"UK")</f>
        <v>UK</v>
      </c>
      <c r="E713" s="185" t="str">
        <f>IFERROR(__xludf.DUMMYFUNCTION("""COMPUTED_VALUE"""),"clutch.co")</f>
        <v>clutch.co</v>
      </c>
      <c r="F713" s="185" t="str">
        <f>IFERROR(__xludf.DUMMYFUNCTION("""COMPUTED_VALUE"""),"Category Page")</f>
        <v>Category Page</v>
      </c>
      <c r="G713" s="185" t="str">
        <f>IFERROR(__xludf.DUMMYFUNCTION("""COMPUTED_VALUE"""),"CORPORATE")</f>
        <v>CORPORATE</v>
      </c>
      <c r="H713" s="185" t="str">
        <f>IFERROR(__xludf.DUMMYFUNCTION("""COMPUTED_VALUE"""),"No")</f>
        <v>No</v>
      </c>
      <c r="I713" s="185" t="str">
        <f>IFERROR(__xludf.DUMMYFUNCTION("""COMPUTED_VALUE"""),"Medium")</f>
        <v>Medium</v>
      </c>
      <c r="J713" s="185" t="str">
        <f>IFERROR(__xludf.DUMMYFUNCTION("""COMPUTED_VALUE"""),"Yes")</f>
        <v>Yes</v>
      </c>
      <c r="K713" s="185" t="str">
        <f>IFERROR(__xludf.DUMMYFUNCTION("""COMPUTED_VALUE"""),"Found, Impression")</f>
        <v>Found, Impression</v>
      </c>
      <c r="L713" s="187">
        <f>IFERROR(__xludf.DUMMYFUNCTION("""COMPUTED_VALUE"""),2.0)</f>
        <v>2</v>
      </c>
      <c r="M713" s="188">
        <f>IFERROR(__xludf.DUMMYFUNCTION("""COMPUTED_VALUE"""),0.0)</f>
        <v>0</v>
      </c>
      <c r="N713" s="188">
        <f>IFERROR(__xludf.DUMMYFUNCTION("""COMPUTED_VALUE"""),0.0)</f>
        <v>0</v>
      </c>
      <c r="O713" s="208"/>
      <c r="P713" s="208"/>
      <c r="Q713" s="208"/>
      <c r="R713" s="208"/>
    </row>
    <row r="714">
      <c r="A714" s="185" t="str">
        <f>IFERROR(__xludf.DUMMYFUNCTION("""COMPUTED_VALUE"""),"Agency directory / review marketplace")</f>
        <v>Agency directory / review marketplace</v>
      </c>
      <c r="B714" s="186" t="str">
        <f>IFERROR(__xludf.DUMMYFUNCTION("""COMPUTED_VALUE"""),"https://www.designrush.com/agency/digital-marketing/artificial-intelligence")</f>
        <v>https://www.designrush.com/agency/digital-marketing/artificial-intelligence</v>
      </c>
      <c r="C714" s="185" t="str">
        <f>IFERROR(__xludf.DUMMYFUNCTION("""COMPUTED_VALUE"""),"Top AI Marketing Companies in 2026")</f>
        <v>Top AI Marketing Companies in 2026</v>
      </c>
      <c r="D714" s="185" t="str">
        <f>IFERROR(__xludf.DUMMYFUNCTION("""COMPUTED_VALUE"""),"UK")</f>
        <v>UK</v>
      </c>
      <c r="E714" s="185" t="str">
        <f>IFERROR(__xludf.DUMMYFUNCTION("""COMPUTED_VALUE"""),"designrush.com")</f>
        <v>designrush.com</v>
      </c>
      <c r="F714" s="185" t="str">
        <f>IFERROR(__xludf.DUMMYFUNCTION("""COMPUTED_VALUE"""),"Listicle")</f>
        <v>Listicle</v>
      </c>
      <c r="G714" s="185" t="str">
        <f>IFERROR(__xludf.DUMMYFUNCTION("""COMPUTED_VALUE"""),"CORPORATE")</f>
        <v>CORPORATE</v>
      </c>
      <c r="H714" s="185" t="str">
        <f>IFERROR(__xludf.DUMMYFUNCTION("""COMPUTED_VALUE"""),"No")</f>
        <v>No</v>
      </c>
      <c r="I714" s="185" t="str">
        <f>IFERROR(__xludf.DUMMYFUNCTION("""COMPUTED_VALUE"""),"Medium")</f>
        <v>Medium</v>
      </c>
      <c r="J714" s="185" t="str">
        <f>IFERROR(__xludf.DUMMYFUNCTION("""COMPUTED_VALUE"""),"Yes")</f>
        <v>Yes</v>
      </c>
      <c r="K714" s="185" t="str">
        <f>IFERROR(__xludf.DUMMYFUNCTION("""COMPUTED_VALUE"""),"Single Grain, Jellyfish, Push, Huge, Found, Disruptive Advertising, Ninja Promo, PwC, Impression, WebFX")</f>
        <v>Single Grain, Jellyfish, Push, Huge, Found, Disruptive Advertising, Ninja Promo, PwC, Impression, WebFX</v>
      </c>
      <c r="L714" s="187">
        <f>IFERROR(__xludf.DUMMYFUNCTION("""COMPUTED_VALUE"""),2.0)</f>
        <v>2</v>
      </c>
      <c r="M714" s="188">
        <f>IFERROR(__xludf.DUMMYFUNCTION("""COMPUTED_VALUE"""),0.0)</f>
        <v>0</v>
      </c>
      <c r="N714" s="188">
        <f>IFERROR(__xludf.DUMMYFUNCTION("""COMPUTED_VALUE"""),0.0)</f>
        <v>0</v>
      </c>
      <c r="O714" s="208"/>
      <c r="P714" s="208"/>
      <c r="Q714" s="208"/>
      <c r="R714" s="208"/>
    </row>
    <row r="715">
      <c r="A715" s="185" t="str">
        <f>IFERROR(__xludf.DUMMYFUNCTION("""COMPUTED_VALUE"""),"Agency directory / review marketplace")</f>
        <v>Agency directory / review marketplace</v>
      </c>
      <c r="B715" s="186" t="str">
        <f>IFERROR(__xludf.DUMMYFUNCTION("""COMPUTED_VALUE"""),"https://www.designrush.com/agency/digital-marketing/performance-marketing-agencies")</f>
        <v>https://www.designrush.com/agency/digital-marketing/performance-marketing-agencies</v>
      </c>
      <c r="C715" s="185" t="str">
        <f>IFERROR(__xludf.DUMMYFUNCTION("""COMPUTED_VALUE"""),"Top Performance Marketing Agencies in 2026")</f>
        <v>Top Performance Marketing Agencies in 2026</v>
      </c>
      <c r="D715" s="185" t="str">
        <f>IFERROR(__xludf.DUMMYFUNCTION("""COMPUTED_VALUE"""),"UK")</f>
        <v>UK</v>
      </c>
      <c r="E715" s="185" t="str">
        <f>IFERROR(__xludf.DUMMYFUNCTION("""COMPUTED_VALUE"""),"designrush.com")</f>
        <v>designrush.com</v>
      </c>
      <c r="F715" s="185" t="str">
        <f>IFERROR(__xludf.DUMMYFUNCTION("""COMPUTED_VALUE"""),"Listicle")</f>
        <v>Listicle</v>
      </c>
      <c r="G715" s="185" t="str">
        <f>IFERROR(__xludf.DUMMYFUNCTION("""COMPUTED_VALUE"""),"CORPORATE")</f>
        <v>CORPORATE</v>
      </c>
      <c r="H715" s="185" t="str">
        <f>IFERROR(__xludf.DUMMYFUNCTION("""COMPUTED_VALUE"""),"No")</f>
        <v>No</v>
      </c>
      <c r="I715" s="185" t="str">
        <f>IFERROR(__xludf.DUMMYFUNCTION("""COMPUTED_VALUE"""),"Medium")</f>
        <v>Medium</v>
      </c>
      <c r="J715" s="185" t="str">
        <f>IFERROR(__xludf.DUMMYFUNCTION("""COMPUTED_VALUE"""),"Yes")</f>
        <v>Yes</v>
      </c>
      <c r="K715" s="185" t="str">
        <f>IFERROR(__xludf.DUMMYFUNCTION("""COMPUTED_VALUE"""),"Wpromote, Polaris, NoGood, Power Digital, Found, Huge, Push, Disruptive Advertising, Impression, PwC, Propeller, Dept")</f>
        <v>Wpromote, Polaris, NoGood, Power Digital, Found, Huge, Push, Disruptive Advertising, Impression, PwC, Propeller, Dept</v>
      </c>
      <c r="L715" s="187">
        <f>IFERROR(__xludf.DUMMYFUNCTION("""COMPUTED_VALUE"""),2.0)</f>
        <v>2</v>
      </c>
      <c r="M715" s="188">
        <f>IFERROR(__xludf.DUMMYFUNCTION("""COMPUTED_VALUE"""),0.0)</f>
        <v>0</v>
      </c>
      <c r="N715" s="188">
        <f>IFERROR(__xludf.DUMMYFUNCTION("""COMPUTED_VALUE"""),0.0)</f>
        <v>0</v>
      </c>
      <c r="O715" s="208"/>
      <c r="P715" s="208"/>
      <c r="Q715" s="208"/>
      <c r="R715" s="208"/>
    </row>
    <row r="716">
      <c r="A716" s="185" t="str">
        <f>IFERROR(__xludf.DUMMYFUNCTION("""COMPUTED_VALUE"""),"Agency directory / review marketplace")</f>
        <v>Agency directory / review marketplace</v>
      </c>
      <c r="B716" s="186" t="str">
        <f>IFERROR(__xludf.DUMMYFUNCTION("""COMPUTED_VALUE"""),"https://www.designrush.com/agency/paid-media-pay-per-click/display-advertising-agency")</f>
        <v>https://www.designrush.com/agency/paid-media-pay-per-click/display-advertising-agency</v>
      </c>
      <c r="C716" s="185" t="str">
        <f>IFERROR(__xludf.DUMMYFUNCTION("""COMPUTED_VALUE"""),"Top Display Advertising Agencies in 2026")</f>
        <v>Top Display Advertising Agencies in 2026</v>
      </c>
      <c r="D716" s="185" t="str">
        <f>IFERROR(__xludf.DUMMYFUNCTION("""COMPUTED_VALUE"""),"UK")</f>
        <v>UK</v>
      </c>
      <c r="E716" s="185" t="str">
        <f>IFERROR(__xludf.DUMMYFUNCTION("""COMPUTED_VALUE"""),"designrush.com")</f>
        <v>designrush.com</v>
      </c>
      <c r="F716" s="185" t="str">
        <f>IFERROR(__xludf.DUMMYFUNCTION("""COMPUTED_VALUE"""),"Listicle")</f>
        <v>Listicle</v>
      </c>
      <c r="G716" s="185" t="str">
        <f>IFERROR(__xludf.DUMMYFUNCTION("""COMPUTED_VALUE"""),"CORPORATE")</f>
        <v>CORPORATE</v>
      </c>
      <c r="H716" s="185" t="str">
        <f>IFERROR(__xludf.DUMMYFUNCTION("""COMPUTED_VALUE"""),"No")</f>
        <v>No</v>
      </c>
      <c r="I716" s="185" t="str">
        <f>IFERROR(__xludf.DUMMYFUNCTION("""COMPUTED_VALUE"""),"Medium")</f>
        <v>Medium</v>
      </c>
      <c r="J716" s="185" t="str">
        <f>IFERROR(__xludf.DUMMYFUNCTION("""COMPUTED_VALUE"""),"Yes")</f>
        <v>Yes</v>
      </c>
      <c r="K716" s="185" t="str">
        <f>IFERROR(__xludf.DUMMYFUNCTION("""COMPUTED_VALUE"""),"Push, Huge, Disruptive Advertising, Bird Marketing, Impression, WebFX, Found")</f>
        <v>Push, Huge, Disruptive Advertising, Bird Marketing, Impression, WebFX, Found</v>
      </c>
      <c r="L716" s="187">
        <f>IFERROR(__xludf.DUMMYFUNCTION("""COMPUTED_VALUE"""),2.0)</f>
        <v>2</v>
      </c>
      <c r="M716" s="188">
        <f>IFERROR(__xludf.DUMMYFUNCTION("""COMPUTED_VALUE"""),0.0)</f>
        <v>0</v>
      </c>
      <c r="N716" s="188">
        <f>IFERROR(__xludf.DUMMYFUNCTION("""COMPUTED_VALUE"""),1.0)</f>
        <v>1</v>
      </c>
      <c r="O716" s="208"/>
      <c r="P716" s="208"/>
      <c r="Q716" s="208"/>
      <c r="R716" s="208"/>
    </row>
    <row r="717">
      <c r="A717" s="185" t="str">
        <f>IFERROR(__xludf.DUMMYFUNCTION("""COMPUTED_VALUE"""),"Agency directory / review marketplace")</f>
        <v>Agency directory / review marketplace</v>
      </c>
      <c r="B717" s="186" t="str">
        <f>IFERROR(__xludf.DUMMYFUNCTION("""COMPUTED_VALUE"""),"https://digitalagencynetwork.com/agencies/uk/online-advertising/")</f>
        <v>https://digitalagencynetwork.com/agencies/uk/online-advertising/</v>
      </c>
      <c r="C717" s="185" t="str">
        <f>IFERROR(__xludf.DUMMYFUNCTION("""COMPUTED_VALUE"""),"Best Online Advertising Agencies in UK")</f>
        <v>Best Online Advertising Agencies in UK</v>
      </c>
      <c r="D717" s="185" t="str">
        <f>IFERROR(__xludf.DUMMYFUNCTION("""COMPUTED_VALUE"""),"UK")</f>
        <v>UK</v>
      </c>
      <c r="E717" s="185" t="str">
        <f>IFERROR(__xludf.DUMMYFUNCTION("""COMPUTED_VALUE"""),"digitalagencynetwork.com")</f>
        <v>digitalagencynetwork.com</v>
      </c>
      <c r="F717" s="185" t="str">
        <f>IFERROR(__xludf.DUMMYFUNCTION("""COMPUTED_VALUE"""),"Listicle")</f>
        <v>Listicle</v>
      </c>
      <c r="G717" s="185" t="str">
        <f>IFERROR(__xludf.DUMMYFUNCTION("""COMPUTED_VALUE"""),"REFERENCE")</f>
        <v>REFERENCE</v>
      </c>
      <c r="H717" s="185" t="str">
        <f>IFERROR(__xludf.DUMMYFUNCTION("""COMPUTED_VALUE"""),"No")</f>
        <v>No</v>
      </c>
      <c r="I717" s="185" t="str">
        <f>IFERROR(__xludf.DUMMYFUNCTION("""COMPUTED_VALUE"""),"Medium")</f>
        <v>Medium</v>
      </c>
      <c r="J717" s="185" t="str">
        <f>IFERROR(__xludf.DUMMYFUNCTION("""COMPUTED_VALUE"""),"Yes")</f>
        <v>Yes</v>
      </c>
      <c r="K717" s="185" t="str">
        <f>IFERROR(__xludf.DUMMYFUNCTION("""COMPUTED_VALUE"""),"Favoured, GA Agency, Measured, Propeller, M3.agency, Bird Marketing, Passion Digital")</f>
        <v>Favoured, GA Agency, Measured, Propeller, M3.agency, Bird Marketing, Passion Digital</v>
      </c>
      <c r="L717" s="187">
        <f>IFERROR(__xludf.DUMMYFUNCTION("""COMPUTED_VALUE"""),2.0)</f>
        <v>2</v>
      </c>
      <c r="M717" s="188">
        <f>IFERROR(__xludf.DUMMYFUNCTION("""COMPUTED_VALUE"""),0.0)</f>
        <v>0</v>
      </c>
      <c r="N717" s="188">
        <f>IFERROR(__xludf.DUMMYFUNCTION("""COMPUTED_VALUE"""),0.5)</f>
        <v>0.5</v>
      </c>
      <c r="O717" s="208"/>
      <c r="P717" s="208"/>
      <c r="Q717" s="208"/>
      <c r="R717" s="208"/>
    </row>
    <row r="718">
      <c r="A718" s="185" t="str">
        <f>IFERROR(__xludf.DUMMYFUNCTION("""COMPUTED_VALUE"""),"Agency directory / review marketplace")</f>
        <v>Agency directory / review marketplace</v>
      </c>
      <c r="B718" s="186" t="str">
        <f>IFERROR(__xludf.DUMMYFUNCTION("""COMPUTED_VALUE"""),"https://digitalagencynetwork.com/agencies/usa/ai-marketing/")</f>
        <v>https://digitalagencynetwork.com/agencies/usa/ai-marketing/</v>
      </c>
      <c r="C718" s="185" t="str">
        <f>IFERROR(__xludf.DUMMYFUNCTION("""COMPUTED_VALUE"""),"Top AI Marketing Agencies in USA (2026)")</f>
        <v>Top AI Marketing Agencies in USA (2026)</v>
      </c>
      <c r="D718" s="185" t="str">
        <f>IFERROR(__xludf.DUMMYFUNCTION("""COMPUTED_VALUE"""),"UK")</f>
        <v>UK</v>
      </c>
      <c r="E718" s="185" t="str">
        <f>IFERROR(__xludf.DUMMYFUNCTION("""COMPUTED_VALUE"""),"digitalagencynetwork.com")</f>
        <v>digitalagencynetwork.com</v>
      </c>
      <c r="F718" s="185" t="str">
        <f>IFERROR(__xludf.DUMMYFUNCTION("""COMPUTED_VALUE"""),"Profile")</f>
        <v>Profile</v>
      </c>
      <c r="G718" s="185" t="str">
        <f>IFERROR(__xludf.DUMMYFUNCTION("""COMPUTED_VALUE"""),"REFERENCE")</f>
        <v>REFERENCE</v>
      </c>
      <c r="H718" s="185" t="str">
        <f>IFERROR(__xludf.DUMMYFUNCTION("""COMPUTED_VALUE"""),"No")</f>
        <v>No</v>
      </c>
      <c r="I718" s="185" t="str">
        <f>IFERROR(__xludf.DUMMYFUNCTION("""COMPUTED_VALUE"""),"Medium")</f>
        <v>Medium</v>
      </c>
      <c r="J718" s="185" t="str">
        <f>IFERROR(__xludf.DUMMYFUNCTION("""COMPUTED_VALUE"""),"Yes")</f>
        <v>Yes</v>
      </c>
      <c r="K718" s="185" t="str">
        <f>IFERROR(__xludf.DUMMYFUNCTION("""COMPUTED_VALUE"""),"Favoured, NoGood, Ignite Visibility, Propeller, Ninja Promo, Bird Marketing, ROAST, Found, Impression")</f>
        <v>Favoured, NoGood, Ignite Visibility, Propeller, Ninja Promo, Bird Marketing, ROAST, Found, Impression</v>
      </c>
      <c r="L718" s="187">
        <f>IFERROR(__xludf.DUMMYFUNCTION("""COMPUTED_VALUE"""),2.0)</f>
        <v>2</v>
      </c>
      <c r="M718" s="188">
        <f>IFERROR(__xludf.DUMMYFUNCTION("""COMPUTED_VALUE"""),0.0)</f>
        <v>0</v>
      </c>
      <c r="N718" s="188">
        <f>IFERROR(__xludf.DUMMYFUNCTION("""COMPUTED_VALUE"""),0.0)</f>
        <v>0</v>
      </c>
      <c r="O718" s="208"/>
      <c r="P718" s="208"/>
      <c r="Q718" s="208"/>
      <c r="R718" s="208"/>
    </row>
    <row r="719">
      <c r="A719" s="185" t="str">
        <f>IFERROR(__xludf.DUMMYFUNCTION("""COMPUTED_VALUE"""),"Agency directory / review marketplace")</f>
        <v>Agency directory / review marketplace</v>
      </c>
      <c r="B719" s="186" t="str">
        <f>IFERROR(__xludf.DUMMYFUNCTION("""COMPUTED_VALUE"""),"https://www.goodfirms.co/advertising-companies/creative/uk?page=2")</f>
        <v>https://www.goodfirms.co/advertising-companies/creative/uk?page=2</v>
      </c>
      <c r="C719" s="185" t="str">
        <f>IFERROR(__xludf.DUMMYFUNCTION("""COMPUTED_VALUE"""),"Top Creative Agencies in the United Kingdom - 2026 Reviews | Goodfirms")</f>
        <v>Top Creative Agencies in the United Kingdom - 2026 Reviews | Goodfirms</v>
      </c>
      <c r="D719" s="185" t="str">
        <f>IFERROR(__xludf.DUMMYFUNCTION("""COMPUTED_VALUE"""),"UK")</f>
        <v>UK</v>
      </c>
      <c r="E719" s="185" t="str">
        <f>IFERROR(__xludf.DUMMYFUNCTION("""COMPUTED_VALUE"""),"goodfirms.co")</f>
        <v>goodfirms.co</v>
      </c>
      <c r="F719" s="185" t="str">
        <f>IFERROR(__xludf.DUMMYFUNCTION("""COMPUTED_VALUE"""),"Category Page")</f>
        <v>Category Page</v>
      </c>
      <c r="G719" s="185" t="str">
        <f>IFERROR(__xludf.DUMMYFUNCTION("""COMPUTED_VALUE"""),"UGC")</f>
        <v>UGC</v>
      </c>
      <c r="H719" s="185" t="str">
        <f>IFERROR(__xludf.DUMMYFUNCTION("""COMPUTED_VALUE"""),"No")</f>
        <v>No</v>
      </c>
      <c r="I719" s="185" t="str">
        <f>IFERROR(__xludf.DUMMYFUNCTION("""COMPUTED_VALUE"""),"Medium")</f>
        <v>Medium</v>
      </c>
      <c r="J719" s="185" t="str">
        <f>IFERROR(__xludf.DUMMYFUNCTION("""COMPUTED_VALUE"""),"Yes")</f>
        <v>Yes</v>
      </c>
      <c r="K719" s="185" t="str">
        <f>IFERROR(__xludf.DUMMYFUNCTION("""COMPUTED_VALUE"""),"The Social Shepherd, Mother London, Huge, Impression, Found")</f>
        <v>The Social Shepherd, Mother London, Huge, Impression, Found</v>
      </c>
      <c r="L719" s="187">
        <f>IFERROR(__xludf.DUMMYFUNCTION("""COMPUTED_VALUE"""),2.0)</f>
        <v>2</v>
      </c>
      <c r="M719" s="188">
        <f>IFERROR(__xludf.DUMMYFUNCTION("""COMPUTED_VALUE"""),0.0)</f>
        <v>0</v>
      </c>
      <c r="N719" s="188">
        <f>IFERROR(__xludf.DUMMYFUNCTION("""COMPUTED_VALUE"""),0.0)</f>
        <v>0</v>
      </c>
      <c r="O719" s="208"/>
      <c r="P719" s="208"/>
      <c r="Q719" s="208"/>
      <c r="R719" s="208"/>
    </row>
    <row r="720">
      <c r="A720" s="185" t="str">
        <f>IFERROR(__xludf.DUMMYFUNCTION("""COMPUTED_VALUE"""),"Agency directory / review marketplace")</f>
        <v>Agency directory / review marketplace</v>
      </c>
      <c r="B720" s="186" t="str">
        <f>IFERROR(__xludf.DUMMYFUNCTION("""COMPUTED_VALUE"""),"https://www.goodfirms.co/directory/country/top-digital-marketing-companies/advertising-ppc/uk?sort_by=reviews")</f>
        <v>https://www.goodfirms.co/directory/country/top-digital-marketing-companies/advertising-ppc/uk?sort_by=reviews</v>
      </c>
      <c r="C720" s="185" t="str">
        <f>IFERROR(__xludf.DUMMYFUNCTION("""COMPUTED_VALUE"""),"Top PPC Agencies in the UK - 2026 Reviews | Goodfirms")</f>
        <v>Top PPC Agencies in the UK - 2026 Reviews | Goodfirms</v>
      </c>
      <c r="D720" s="185" t="str">
        <f>IFERROR(__xludf.DUMMYFUNCTION("""COMPUTED_VALUE"""),"UK")</f>
        <v>UK</v>
      </c>
      <c r="E720" s="185" t="str">
        <f>IFERROR(__xludf.DUMMYFUNCTION("""COMPUTED_VALUE"""),"goodfirms.co")</f>
        <v>goodfirms.co</v>
      </c>
      <c r="F720" s="185" t="str">
        <f>IFERROR(__xludf.DUMMYFUNCTION("""COMPUTED_VALUE"""),"Profile")</f>
        <v>Profile</v>
      </c>
      <c r="G720" s="185" t="str">
        <f>IFERROR(__xludf.DUMMYFUNCTION("""COMPUTED_VALUE"""),"UGC")</f>
        <v>UGC</v>
      </c>
      <c r="H720" s="185" t="str">
        <f>IFERROR(__xludf.DUMMYFUNCTION("""COMPUTED_VALUE"""),"No")</f>
        <v>No</v>
      </c>
      <c r="I720" s="185" t="str">
        <f>IFERROR(__xludf.DUMMYFUNCTION("""COMPUTED_VALUE"""),"Medium")</f>
        <v>Medium</v>
      </c>
      <c r="J720" s="185" t="str">
        <f>IFERROR(__xludf.DUMMYFUNCTION("""COMPUTED_VALUE"""),"Yes")</f>
        <v>Yes</v>
      </c>
      <c r="K720" s="185" t="str">
        <f>IFERROR(__xludf.DUMMYFUNCTION("""COMPUTED_VALUE"""),"Bird Marketing, WebFX, Found")</f>
        <v>Bird Marketing, WebFX, Found</v>
      </c>
      <c r="L720" s="187">
        <f>IFERROR(__xludf.DUMMYFUNCTION("""COMPUTED_VALUE"""),2.0)</f>
        <v>2</v>
      </c>
      <c r="M720" s="188">
        <f>IFERROR(__xludf.DUMMYFUNCTION("""COMPUTED_VALUE"""),0.0)</f>
        <v>0</v>
      </c>
      <c r="N720" s="188">
        <f>IFERROR(__xludf.DUMMYFUNCTION("""COMPUTED_VALUE"""),0.0)</f>
        <v>0</v>
      </c>
      <c r="O720" s="208"/>
      <c r="P720" s="208"/>
      <c r="Q720" s="208"/>
      <c r="R720" s="208"/>
    </row>
    <row r="721">
      <c r="A721" s="185" t="str">
        <f>IFERROR(__xludf.DUMMYFUNCTION("""COMPUTED_VALUE"""),"Trade media / editorial publication")</f>
        <v>Trade media / editorial publication</v>
      </c>
      <c r="B721" s="186" t="str">
        <f>IFERROR(__xludf.DUMMYFUNCTION("""COMPUTED_VALUE"""),"https://influencermarketinghub.com/ai-marketing-agencies/")</f>
        <v>https://influencermarketinghub.com/ai-marketing-agencies/</v>
      </c>
      <c r="C721" s="185" t="str">
        <f>IFERROR(__xludf.DUMMYFUNCTION("""COMPUTED_VALUE"""),"Best AI Marketing Agencies For 2026")</f>
        <v>Best AI Marketing Agencies For 2026</v>
      </c>
      <c r="D721" s="185" t="str">
        <f>IFERROR(__xludf.DUMMYFUNCTION("""COMPUTED_VALUE"""),"UK")</f>
        <v>UK</v>
      </c>
      <c r="E721" s="185" t="str">
        <f>IFERROR(__xludf.DUMMYFUNCTION("""COMPUTED_VALUE"""),"influencermarketinghub.com")</f>
        <v>influencermarketinghub.com</v>
      </c>
      <c r="F721" s="185" t="str">
        <f>IFERROR(__xludf.DUMMYFUNCTION("""COMPUTED_VALUE"""),"Listicle")</f>
        <v>Listicle</v>
      </c>
      <c r="G721" s="185" t="str">
        <f>IFERROR(__xludf.DUMMYFUNCTION("""COMPUTED_VALUE"""),"REFERENCE")</f>
        <v>REFERENCE</v>
      </c>
      <c r="H721" s="185" t="str">
        <f>IFERROR(__xludf.DUMMYFUNCTION("""COMPUTED_VALUE"""),"No")</f>
        <v>No</v>
      </c>
      <c r="I721" s="185" t="str">
        <f>IFERROR(__xludf.DUMMYFUNCTION("""COMPUTED_VALUE"""),"Medium")</f>
        <v>Medium</v>
      </c>
      <c r="J721" s="185" t="str">
        <f>IFERROR(__xludf.DUMMYFUNCTION("""COMPUTED_VALUE"""),"Yes")</f>
        <v>Yes</v>
      </c>
      <c r="K721" s="185" t="str">
        <f>IFERROR(__xludf.DUMMYFUNCTION("""COMPUTED_VALUE"""),"McKinsey &amp; Company, Momentum, Found, Wpromote, Dentsu")</f>
        <v>McKinsey &amp; Company, Momentum, Found, Wpromote, Dentsu</v>
      </c>
      <c r="L721" s="187">
        <f>IFERROR(__xludf.DUMMYFUNCTION("""COMPUTED_VALUE"""),2.0)</f>
        <v>2</v>
      </c>
      <c r="M721" s="188">
        <f>IFERROR(__xludf.DUMMYFUNCTION("""COMPUTED_VALUE"""),0.0)</f>
        <v>0</v>
      </c>
      <c r="N721" s="188">
        <f>IFERROR(__xludf.DUMMYFUNCTION("""COMPUTED_VALUE"""),0.0)</f>
        <v>0</v>
      </c>
      <c r="O721" s="208"/>
      <c r="P721" s="208"/>
      <c r="Q721" s="208"/>
      <c r="R721" s="208"/>
    </row>
    <row r="722">
      <c r="A722" s="185" t="str">
        <f>IFERROR(__xludf.DUMMYFUNCTION("""COMPUTED_VALUE"""),"Official partner / certification ecosystem")</f>
        <v>Official partner / certification ecosystem</v>
      </c>
      <c r="B722" s="186" t="str">
        <f>IFERROR(__xludf.DUMMYFUNCTION("""COMPUTED_VALUE"""),"https://marketingplatform.google.com/about/partners/find-a-partner")</f>
        <v>https://marketingplatform.google.com/about/partners/find-a-partner</v>
      </c>
      <c r="C722" s="185"/>
      <c r="D722" s="185" t="str">
        <f>IFERROR(__xludf.DUMMYFUNCTION("""COMPUTED_VALUE"""),"UK")</f>
        <v>UK</v>
      </c>
      <c r="E722" s="185" t="str">
        <f>IFERROR(__xludf.DUMMYFUNCTION("""COMPUTED_VALUE"""),"google.com")</f>
        <v>google.com</v>
      </c>
      <c r="F722" s="185" t="str">
        <f>IFERROR(__xludf.DUMMYFUNCTION("""COMPUTED_VALUE"""),"Other")</f>
        <v>Other</v>
      </c>
      <c r="G722" s="185" t="str">
        <f>IFERROR(__xludf.DUMMYFUNCTION("""COMPUTED_VALUE"""),"OTHER")</f>
        <v>OTHER</v>
      </c>
      <c r="H722" s="185" t="str">
        <f>IFERROR(__xludf.DUMMYFUNCTION("""COMPUTED_VALUE"""),"No")</f>
        <v>No</v>
      </c>
      <c r="I722" s="185" t="str">
        <f>IFERROR(__xludf.DUMMYFUNCTION("""COMPUTED_VALUE"""),"High")</f>
        <v>High</v>
      </c>
      <c r="J722" s="185" t="str">
        <f>IFERROR(__xludf.DUMMYFUNCTION("""COMPUTED_VALUE"""),"Yes - priority")</f>
        <v>Yes - priority</v>
      </c>
      <c r="K722" s="185" t="str">
        <f>IFERROR(__xludf.DUMMYFUNCTION("""COMPUTED_VALUE"""),"Unknown")</f>
        <v>Unknown</v>
      </c>
      <c r="L722" s="187">
        <f>IFERROR(__xludf.DUMMYFUNCTION("""COMPUTED_VALUE"""),2.0)</f>
        <v>2</v>
      </c>
      <c r="M722" s="188">
        <f>IFERROR(__xludf.DUMMYFUNCTION("""COMPUTED_VALUE"""),0.0)</f>
        <v>0</v>
      </c>
      <c r="N722" s="188">
        <f>IFERROR(__xludf.DUMMYFUNCTION("""COMPUTED_VALUE"""),0.0)</f>
        <v>0</v>
      </c>
      <c r="O722" s="208"/>
      <c r="P722" s="208"/>
      <c r="Q722" s="208"/>
      <c r="R722" s="208"/>
    </row>
    <row r="723">
      <c r="A723" s="185" t="str">
        <f>IFERROR(__xludf.DUMMYFUNCTION("""COMPUTED_VALUE"""),"Official partner / certification ecosystem")</f>
        <v>Official partner / certification ecosystem</v>
      </c>
      <c r="B723" s="186" t="str">
        <f>IFERROR(__xludf.DUMMYFUNCTION("""COMPUTED_VALUE"""),"https://marketingplatform.google.com/intl/en_uk/about/optimize/")</f>
        <v>https://marketingplatform.google.com/intl/en_uk/about/optimize/</v>
      </c>
      <c r="C723" s="185"/>
      <c r="D723" s="185" t="str">
        <f>IFERROR(__xludf.DUMMYFUNCTION("""COMPUTED_VALUE"""),"UK")</f>
        <v>UK</v>
      </c>
      <c r="E723" s="185" t="str">
        <f>IFERROR(__xludf.DUMMYFUNCTION("""COMPUTED_VALUE"""),"google.com")</f>
        <v>google.com</v>
      </c>
      <c r="F723" s="185" t="str">
        <f>IFERROR(__xludf.DUMMYFUNCTION("""COMPUTED_VALUE"""),"Other")</f>
        <v>Other</v>
      </c>
      <c r="G723" s="185" t="str">
        <f>IFERROR(__xludf.DUMMYFUNCTION("""COMPUTED_VALUE"""),"OTHER")</f>
        <v>OTHER</v>
      </c>
      <c r="H723" s="185" t="str">
        <f>IFERROR(__xludf.DUMMYFUNCTION("""COMPUTED_VALUE"""),"No")</f>
        <v>No</v>
      </c>
      <c r="I723" s="185" t="str">
        <f>IFERROR(__xludf.DUMMYFUNCTION("""COMPUTED_VALUE"""),"High")</f>
        <v>High</v>
      </c>
      <c r="J723" s="185" t="str">
        <f>IFERROR(__xludf.DUMMYFUNCTION("""COMPUTED_VALUE"""),"Yes - priority")</f>
        <v>Yes - priority</v>
      </c>
      <c r="K723" s="185" t="str">
        <f>IFERROR(__xludf.DUMMYFUNCTION("""COMPUTED_VALUE"""),"Unknown")</f>
        <v>Unknown</v>
      </c>
      <c r="L723" s="187">
        <f>IFERROR(__xludf.DUMMYFUNCTION("""COMPUTED_VALUE"""),2.0)</f>
        <v>2</v>
      </c>
      <c r="M723" s="188">
        <f>IFERROR(__xludf.DUMMYFUNCTION("""COMPUTED_VALUE"""),0.0)</f>
        <v>0</v>
      </c>
      <c r="N723" s="188">
        <f>IFERROR(__xludf.DUMMYFUNCTION("""COMPUTED_VALUE"""),0.0)</f>
        <v>0</v>
      </c>
      <c r="O723" s="208"/>
      <c r="P723" s="208"/>
      <c r="Q723" s="208"/>
      <c r="R723" s="208"/>
    </row>
    <row r="724">
      <c r="A724" s="185" t="str">
        <f>IFERROR(__xludf.DUMMYFUNCTION("""COMPUTED_VALUE"""),"Agency directory / review marketplace")</f>
        <v>Agency directory / review marketplace</v>
      </c>
      <c r="B724" s="186" t="str">
        <f>IFERROR(__xludf.DUMMYFUNCTION("""COMPUTED_VALUE"""),"https://www.sortlist.co.uk/s/ai-marketing/london-england-gb")</f>
        <v>https://www.sortlist.co.uk/s/ai-marketing/london-england-gb</v>
      </c>
      <c r="C724" s="185" t="str">
        <f>IFERROR(__xludf.DUMMYFUNCTION("""COMPUTED_VALUE"""),"The 10 Best AI Marketing Companies in London - 2026 Reviews")</f>
        <v>The 10 Best AI Marketing Companies in London - 2026 Reviews</v>
      </c>
      <c r="D724" s="185" t="str">
        <f>IFERROR(__xludf.DUMMYFUNCTION("""COMPUTED_VALUE"""),"UK")</f>
        <v>UK</v>
      </c>
      <c r="E724" s="185" t="str">
        <f>IFERROR(__xludf.DUMMYFUNCTION("""COMPUTED_VALUE"""),"sortlist.co.uk")</f>
        <v>sortlist.co.uk</v>
      </c>
      <c r="F724" s="185" t="str">
        <f>IFERROR(__xludf.DUMMYFUNCTION("""COMPUTED_VALUE"""),"Category Page")</f>
        <v>Category Page</v>
      </c>
      <c r="G724" s="185" t="str">
        <f>IFERROR(__xludf.DUMMYFUNCTION("""COMPUTED_VALUE"""),"REFERENCE")</f>
        <v>REFERENCE</v>
      </c>
      <c r="H724" s="185" t="str">
        <f>IFERROR(__xludf.DUMMYFUNCTION("""COMPUTED_VALUE"""),"No")</f>
        <v>No</v>
      </c>
      <c r="I724" s="185" t="str">
        <f>IFERROR(__xludf.DUMMYFUNCTION("""COMPUTED_VALUE"""),"Medium")</f>
        <v>Medium</v>
      </c>
      <c r="J724" s="185" t="str">
        <f>IFERROR(__xludf.DUMMYFUNCTION("""COMPUTED_VALUE"""),"Yes")</f>
        <v>Yes</v>
      </c>
      <c r="K724" s="185" t="str">
        <f>IFERROR(__xludf.DUMMYFUNCTION("""COMPUTED_VALUE"""),"Hallam")</f>
        <v>Hallam</v>
      </c>
      <c r="L724" s="187">
        <f>IFERROR(__xludf.DUMMYFUNCTION("""COMPUTED_VALUE"""),2.0)</f>
        <v>2</v>
      </c>
      <c r="M724" s="188">
        <f>IFERROR(__xludf.DUMMYFUNCTION("""COMPUTED_VALUE"""),0.0)</f>
        <v>0</v>
      </c>
      <c r="N724" s="188">
        <f>IFERROR(__xludf.DUMMYFUNCTION("""COMPUTED_VALUE"""),0.0)</f>
        <v>0</v>
      </c>
      <c r="O724" s="208"/>
      <c r="P724" s="208"/>
      <c r="Q724" s="208"/>
      <c r="R724" s="208"/>
    </row>
    <row r="725">
      <c r="A725" s="185" t="str">
        <f>IFERROR(__xludf.DUMMYFUNCTION("""COMPUTED_VALUE"""),"Agency directory / review marketplace")</f>
        <v>Agency directory / review marketplace</v>
      </c>
      <c r="B725" s="186" t="str">
        <f>IFERROR(__xludf.DUMMYFUNCTION("""COMPUTED_VALUE"""),"https://www.sortlist.co.uk/s/attribution-marketing/essex-england-gb")</f>
        <v>https://www.sortlist.co.uk/s/attribution-marketing/essex-england-gb</v>
      </c>
      <c r="C725" s="185" t="str">
        <f>IFERROR(__xludf.DUMMYFUNCTION("""COMPUTED_VALUE"""),"The 10 Best Attribution Marketing Agencies in Essex - 2026 Reviews")</f>
        <v>The 10 Best Attribution Marketing Agencies in Essex - 2026 Reviews</v>
      </c>
      <c r="D725" s="185" t="str">
        <f>IFERROR(__xludf.DUMMYFUNCTION("""COMPUTED_VALUE"""),"UK")</f>
        <v>UK</v>
      </c>
      <c r="E725" s="185" t="str">
        <f>IFERROR(__xludf.DUMMYFUNCTION("""COMPUTED_VALUE"""),"sortlist.co.uk")</f>
        <v>sortlist.co.uk</v>
      </c>
      <c r="F725" s="185" t="str">
        <f>IFERROR(__xludf.DUMMYFUNCTION("""COMPUTED_VALUE"""),"Category Page")</f>
        <v>Category Page</v>
      </c>
      <c r="G725" s="185" t="str">
        <f>IFERROR(__xludf.DUMMYFUNCTION("""COMPUTED_VALUE"""),"REFERENCE")</f>
        <v>REFERENCE</v>
      </c>
      <c r="H725" s="185" t="str">
        <f>IFERROR(__xludf.DUMMYFUNCTION("""COMPUTED_VALUE"""),"No")</f>
        <v>No</v>
      </c>
      <c r="I725" s="185" t="str">
        <f>IFERROR(__xludf.DUMMYFUNCTION("""COMPUTED_VALUE"""),"Medium")</f>
        <v>Medium</v>
      </c>
      <c r="J725" s="185" t="str">
        <f>IFERROR(__xludf.DUMMYFUNCTION("""COMPUTED_VALUE"""),"Yes")</f>
        <v>Yes</v>
      </c>
      <c r="K725" s="185" t="str">
        <f>IFERROR(__xludf.DUMMYFUNCTION("""COMPUTED_VALUE"""),"GA Agency")</f>
        <v>GA Agency</v>
      </c>
      <c r="L725" s="187">
        <f>IFERROR(__xludf.DUMMYFUNCTION("""COMPUTED_VALUE"""),2.0)</f>
        <v>2</v>
      </c>
      <c r="M725" s="188">
        <f>IFERROR(__xludf.DUMMYFUNCTION("""COMPUTED_VALUE"""),0.0)</f>
        <v>0</v>
      </c>
      <c r="N725" s="188">
        <f>IFERROR(__xludf.DUMMYFUNCTION("""COMPUTED_VALUE"""),0.0)</f>
        <v>0</v>
      </c>
      <c r="O725" s="208"/>
      <c r="P725" s="208"/>
      <c r="Q725" s="208"/>
      <c r="R725" s="208"/>
    </row>
    <row r="726">
      <c r="A726" s="185" t="str">
        <f>IFERROR(__xludf.DUMMYFUNCTION("""COMPUTED_VALUE"""),"Agency directory / review marketplace")</f>
        <v>Agency directory / review marketplace</v>
      </c>
      <c r="B726" s="186" t="str">
        <f>IFERROR(__xludf.DUMMYFUNCTION("""COMPUTED_VALUE"""),"https://www.sortlist.co.uk/s/creative/england-england-gb")</f>
        <v>https://www.sortlist.co.uk/s/creative/england-england-gb</v>
      </c>
      <c r="C726" s="185" t="str">
        <f>IFERROR(__xludf.DUMMYFUNCTION("""COMPUTED_VALUE"""),"The 10 Best Creative Agencies in England - 2026 Reviews")</f>
        <v>The 10 Best Creative Agencies in England - 2026 Reviews</v>
      </c>
      <c r="D726" s="185" t="str">
        <f>IFERROR(__xludf.DUMMYFUNCTION("""COMPUTED_VALUE"""),"UK")</f>
        <v>UK</v>
      </c>
      <c r="E726" s="185" t="str">
        <f>IFERROR(__xludf.DUMMYFUNCTION("""COMPUTED_VALUE"""),"sortlist.co.uk")</f>
        <v>sortlist.co.uk</v>
      </c>
      <c r="F726" s="185" t="str">
        <f>IFERROR(__xludf.DUMMYFUNCTION("""COMPUTED_VALUE"""),"Category Page")</f>
        <v>Category Page</v>
      </c>
      <c r="G726" s="185" t="str">
        <f>IFERROR(__xludf.DUMMYFUNCTION("""COMPUTED_VALUE"""),"REFERENCE")</f>
        <v>REFERENCE</v>
      </c>
      <c r="H726" s="185" t="str">
        <f>IFERROR(__xludf.DUMMYFUNCTION("""COMPUTED_VALUE"""),"No")</f>
        <v>No</v>
      </c>
      <c r="I726" s="185" t="str">
        <f>IFERROR(__xludf.DUMMYFUNCTION("""COMPUTED_VALUE"""),"Medium")</f>
        <v>Medium</v>
      </c>
      <c r="J726" s="185" t="str">
        <f>IFERROR(__xludf.DUMMYFUNCTION("""COMPUTED_VALUE"""),"Yes")</f>
        <v>Yes</v>
      </c>
      <c r="K726" s="185" t="str">
        <f>IFERROR(__xludf.DUMMYFUNCTION("""COMPUTED_VALUE"""),"Ninja Promo, Whitehat, Momentum")</f>
        <v>Ninja Promo, Whitehat, Momentum</v>
      </c>
      <c r="L726" s="187">
        <f>IFERROR(__xludf.DUMMYFUNCTION("""COMPUTED_VALUE"""),2.0)</f>
        <v>2</v>
      </c>
      <c r="M726" s="188">
        <f>IFERROR(__xludf.DUMMYFUNCTION("""COMPUTED_VALUE"""),0.0)</f>
        <v>0</v>
      </c>
      <c r="N726" s="188">
        <f>IFERROR(__xludf.DUMMYFUNCTION("""COMPUTED_VALUE"""),0.0)</f>
        <v>0</v>
      </c>
      <c r="O726" s="208"/>
      <c r="P726" s="208"/>
      <c r="Q726" s="208"/>
      <c r="R726" s="208"/>
    </row>
    <row r="727">
      <c r="A727" s="185" t="str">
        <f>IFERROR(__xludf.DUMMYFUNCTION("""COMPUTED_VALUE"""),"Agency directory / review marketplace")</f>
        <v>Agency directory / review marketplace</v>
      </c>
      <c r="B727" s="186" t="str">
        <f>IFERROR(__xludf.DUMMYFUNCTION("""COMPUTED_VALUE"""),"https://www.sortlist.co.uk/s/digital-advertising/united-kingdom-gb")</f>
        <v>https://www.sortlist.co.uk/s/digital-advertising/united-kingdom-gb</v>
      </c>
      <c r="C727" s="185" t="str">
        <f>IFERROR(__xludf.DUMMYFUNCTION("""COMPUTED_VALUE"""),"The 10 Best Digital Advertising Agencies in The United Kingdom - 2026 Reviews")</f>
        <v>The 10 Best Digital Advertising Agencies in The United Kingdom - 2026 Reviews</v>
      </c>
      <c r="D727" s="185" t="str">
        <f>IFERROR(__xludf.DUMMYFUNCTION("""COMPUTED_VALUE"""),"UK")</f>
        <v>UK</v>
      </c>
      <c r="E727" s="185" t="str">
        <f>IFERROR(__xludf.DUMMYFUNCTION("""COMPUTED_VALUE"""),"sortlist.co.uk")</f>
        <v>sortlist.co.uk</v>
      </c>
      <c r="F727" s="185" t="str">
        <f>IFERROR(__xludf.DUMMYFUNCTION("""COMPUTED_VALUE"""),"Category Page")</f>
        <v>Category Page</v>
      </c>
      <c r="G727" s="185" t="str">
        <f>IFERROR(__xludf.DUMMYFUNCTION("""COMPUTED_VALUE"""),"REFERENCE")</f>
        <v>REFERENCE</v>
      </c>
      <c r="H727" s="185" t="str">
        <f>IFERROR(__xludf.DUMMYFUNCTION("""COMPUTED_VALUE"""),"No")</f>
        <v>No</v>
      </c>
      <c r="I727" s="185" t="str">
        <f>IFERROR(__xludf.DUMMYFUNCTION("""COMPUTED_VALUE"""),"Medium")</f>
        <v>Medium</v>
      </c>
      <c r="J727" s="185" t="str">
        <f>IFERROR(__xludf.DUMMYFUNCTION("""COMPUTED_VALUE"""),"Yes")</f>
        <v>Yes</v>
      </c>
      <c r="K727" s="185" t="str">
        <f>IFERROR(__xludf.DUMMYFUNCTION("""COMPUTED_VALUE"""),"Found, Momentum, M3.agency")</f>
        <v>Found, Momentum, M3.agency</v>
      </c>
      <c r="L727" s="187">
        <f>IFERROR(__xludf.DUMMYFUNCTION("""COMPUTED_VALUE"""),2.0)</f>
        <v>2</v>
      </c>
      <c r="M727" s="188">
        <f>IFERROR(__xludf.DUMMYFUNCTION("""COMPUTED_VALUE"""),0.0)</f>
        <v>0</v>
      </c>
      <c r="N727" s="188">
        <f>IFERROR(__xludf.DUMMYFUNCTION("""COMPUTED_VALUE"""),0.0)</f>
        <v>0</v>
      </c>
      <c r="O727" s="208"/>
      <c r="P727" s="208"/>
      <c r="Q727" s="208"/>
      <c r="R727" s="208"/>
    </row>
    <row r="728">
      <c r="A728" s="185" t="str">
        <f>IFERROR(__xludf.DUMMYFUNCTION("""COMPUTED_VALUE"""),"Agency directory / review marketplace")</f>
        <v>Agency directory / review marketplace</v>
      </c>
      <c r="B728" s="186" t="str">
        <f>IFERROR(__xludf.DUMMYFUNCTION("""COMPUTED_VALUE"""),"https://www.sortlist.co.uk/s/marketing-analytics/birmingham-england-gb")</f>
        <v>https://www.sortlist.co.uk/s/marketing-analytics/birmingham-england-gb</v>
      </c>
      <c r="C728" s="185" t="str">
        <f>IFERROR(__xludf.DUMMYFUNCTION("""COMPUTED_VALUE"""),"The 10 Best Marketing Analytics Companies in Birmingham - 2026 Reviews")</f>
        <v>The 10 Best Marketing Analytics Companies in Birmingham - 2026 Reviews</v>
      </c>
      <c r="D728" s="185" t="str">
        <f>IFERROR(__xludf.DUMMYFUNCTION("""COMPUTED_VALUE"""),"UK")</f>
        <v>UK</v>
      </c>
      <c r="E728" s="185" t="str">
        <f>IFERROR(__xludf.DUMMYFUNCTION("""COMPUTED_VALUE"""),"sortlist.co.uk")</f>
        <v>sortlist.co.uk</v>
      </c>
      <c r="F728" s="185" t="str">
        <f>IFERROR(__xludf.DUMMYFUNCTION("""COMPUTED_VALUE"""),"Category Page")</f>
        <v>Category Page</v>
      </c>
      <c r="G728" s="185" t="str">
        <f>IFERROR(__xludf.DUMMYFUNCTION("""COMPUTED_VALUE"""),"REFERENCE")</f>
        <v>REFERENCE</v>
      </c>
      <c r="H728" s="185" t="str">
        <f>IFERROR(__xludf.DUMMYFUNCTION("""COMPUTED_VALUE"""),"No")</f>
        <v>No</v>
      </c>
      <c r="I728" s="185" t="str">
        <f>IFERROR(__xludf.DUMMYFUNCTION("""COMPUTED_VALUE"""),"Medium")</f>
        <v>Medium</v>
      </c>
      <c r="J728" s="185" t="str">
        <f>IFERROR(__xludf.DUMMYFUNCTION("""COMPUTED_VALUE"""),"Yes")</f>
        <v>Yes</v>
      </c>
      <c r="K728" s="185" t="str">
        <f>IFERROR(__xludf.DUMMYFUNCTION("""COMPUTED_VALUE"""),"Momentum, M3.agency, Ninja Promo")</f>
        <v>Momentum, M3.agency, Ninja Promo</v>
      </c>
      <c r="L728" s="187">
        <f>IFERROR(__xludf.DUMMYFUNCTION("""COMPUTED_VALUE"""),2.0)</f>
        <v>2</v>
      </c>
      <c r="M728" s="188">
        <f>IFERROR(__xludf.DUMMYFUNCTION("""COMPUTED_VALUE"""),0.0)</f>
        <v>0</v>
      </c>
      <c r="N728" s="188">
        <f>IFERROR(__xludf.DUMMYFUNCTION("""COMPUTED_VALUE"""),0.0)</f>
        <v>0</v>
      </c>
      <c r="O728" s="208"/>
      <c r="P728" s="208"/>
      <c r="Q728" s="208"/>
      <c r="R728" s="208"/>
    </row>
    <row r="729">
      <c r="A729" s="185" t="str">
        <f>IFERROR(__xludf.DUMMYFUNCTION("""COMPUTED_VALUE"""),"Agency directory / review marketplace")</f>
        <v>Agency directory / review marketplace</v>
      </c>
      <c r="B729" s="186" t="str">
        <f>IFERROR(__xludf.DUMMYFUNCTION("""COMPUTED_VALUE"""),"https://www.sortlist.co.uk/s/paid-media/greater-london-england-gb")</f>
        <v>https://www.sortlist.co.uk/s/paid-media/greater-london-england-gb</v>
      </c>
      <c r="C729" s="185" t="str">
        <f>IFERROR(__xludf.DUMMYFUNCTION("""COMPUTED_VALUE"""),"The 10 Best Paid Media Agencies in Greater London - 2026 Reviews")</f>
        <v>The 10 Best Paid Media Agencies in Greater London - 2026 Reviews</v>
      </c>
      <c r="D729" s="185" t="str">
        <f>IFERROR(__xludf.DUMMYFUNCTION("""COMPUTED_VALUE"""),"UK")</f>
        <v>UK</v>
      </c>
      <c r="E729" s="185" t="str">
        <f>IFERROR(__xludf.DUMMYFUNCTION("""COMPUTED_VALUE"""),"sortlist.co.uk")</f>
        <v>sortlist.co.uk</v>
      </c>
      <c r="F729" s="185" t="str">
        <f>IFERROR(__xludf.DUMMYFUNCTION("""COMPUTED_VALUE"""),"Category Page")</f>
        <v>Category Page</v>
      </c>
      <c r="G729" s="185" t="str">
        <f>IFERROR(__xludf.DUMMYFUNCTION("""COMPUTED_VALUE"""),"REFERENCE")</f>
        <v>REFERENCE</v>
      </c>
      <c r="H729" s="185" t="str">
        <f>IFERROR(__xludf.DUMMYFUNCTION("""COMPUTED_VALUE"""),"No")</f>
        <v>No</v>
      </c>
      <c r="I729" s="185" t="str">
        <f>IFERROR(__xludf.DUMMYFUNCTION("""COMPUTED_VALUE"""),"Medium")</f>
        <v>Medium</v>
      </c>
      <c r="J729" s="185" t="str">
        <f>IFERROR(__xludf.DUMMYFUNCTION("""COMPUTED_VALUE"""),"Yes")</f>
        <v>Yes</v>
      </c>
      <c r="K729" s="185" t="str">
        <f>IFERROR(__xludf.DUMMYFUNCTION("""COMPUTED_VALUE"""),"Push, Triple Whale, Northbeam, McKinsey &amp; Company, Momentum, M3.agency")</f>
        <v>Push, Triple Whale, Northbeam, McKinsey &amp; Company, Momentum, M3.agency</v>
      </c>
      <c r="L729" s="187">
        <f>IFERROR(__xludf.DUMMYFUNCTION("""COMPUTED_VALUE"""),2.0)</f>
        <v>2</v>
      </c>
      <c r="M729" s="188">
        <f>IFERROR(__xludf.DUMMYFUNCTION("""COMPUTED_VALUE"""),0.0)</f>
        <v>0</v>
      </c>
      <c r="N729" s="188">
        <f>IFERROR(__xludf.DUMMYFUNCTION("""COMPUTED_VALUE"""),0.0)</f>
        <v>0</v>
      </c>
      <c r="O729" s="208"/>
      <c r="P729" s="208"/>
      <c r="Q729" s="208"/>
      <c r="R729" s="208"/>
    </row>
    <row r="730">
      <c r="A730" s="185" t="str">
        <f>IFERROR(__xludf.DUMMYFUNCTION("""COMPUTED_VALUE"""),"Agency directory / review marketplace")</f>
        <v>Agency directory / review marketplace</v>
      </c>
      <c r="B730" s="186" t="str">
        <f>IFERROR(__xludf.DUMMYFUNCTION("""COMPUTED_VALUE"""),"https://www.sortlist.co.uk/s/programmatic-advertising/united-kingdom-gb")</f>
        <v>https://www.sortlist.co.uk/s/programmatic-advertising/united-kingdom-gb</v>
      </c>
      <c r="C730" s="185" t="str">
        <f>IFERROR(__xludf.DUMMYFUNCTION("""COMPUTED_VALUE"""),"100+ Top Programmatic Advertising Companies in the UK - 2026 Reviews")</f>
        <v>100+ Top Programmatic Advertising Companies in the UK - 2026 Reviews</v>
      </c>
      <c r="D730" s="185" t="str">
        <f>IFERROR(__xludf.DUMMYFUNCTION("""COMPUTED_VALUE"""),"UK")</f>
        <v>UK</v>
      </c>
      <c r="E730" s="185" t="str">
        <f>IFERROR(__xludf.DUMMYFUNCTION("""COMPUTED_VALUE"""),"sortlist.co.uk")</f>
        <v>sortlist.co.uk</v>
      </c>
      <c r="F730" s="185" t="str">
        <f>IFERROR(__xludf.DUMMYFUNCTION("""COMPUTED_VALUE"""),"Profile")</f>
        <v>Profile</v>
      </c>
      <c r="G730" s="185" t="str">
        <f>IFERROR(__xludf.DUMMYFUNCTION("""COMPUTED_VALUE"""),"REFERENCE")</f>
        <v>REFERENCE</v>
      </c>
      <c r="H730" s="185" t="str">
        <f>IFERROR(__xludf.DUMMYFUNCTION("""COMPUTED_VALUE"""),"No")</f>
        <v>No</v>
      </c>
      <c r="I730" s="185" t="str">
        <f>IFERROR(__xludf.DUMMYFUNCTION("""COMPUTED_VALUE"""),"Medium")</f>
        <v>Medium</v>
      </c>
      <c r="J730" s="185" t="str">
        <f>IFERROR(__xludf.DUMMYFUNCTION("""COMPUTED_VALUE"""),"Yes")</f>
        <v>Yes</v>
      </c>
      <c r="K730" s="185" t="str">
        <f>IFERROR(__xludf.DUMMYFUNCTION("""COMPUTED_VALUE"""),"Push, Triple Whale, Northbeam, Momentum, M3.agency, Impression")</f>
        <v>Push, Triple Whale, Northbeam, Momentum, M3.agency, Impression</v>
      </c>
      <c r="L730" s="187">
        <f>IFERROR(__xludf.DUMMYFUNCTION("""COMPUTED_VALUE"""),2.0)</f>
        <v>2</v>
      </c>
      <c r="M730" s="188">
        <f>IFERROR(__xludf.DUMMYFUNCTION("""COMPUTED_VALUE"""),0.0)</f>
        <v>0</v>
      </c>
      <c r="N730" s="188">
        <f>IFERROR(__xludf.DUMMYFUNCTION("""COMPUTED_VALUE"""),0.0)</f>
        <v>0</v>
      </c>
      <c r="O730" s="208"/>
      <c r="P730" s="208"/>
      <c r="Q730" s="208"/>
      <c r="R730" s="208"/>
    </row>
    <row r="731">
      <c r="A731" s="185" t="str">
        <f>IFERROR(__xludf.DUMMYFUNCTION("""COMPUTED_VALUE"""),"Agency directory / review marketplace")</f>
        <v>Agency directory / review marketplace</v>
      </c>
      <c r="B731" s="186" t="str">
        <f>IFERROR(__xludf.DUMMYFUNCTION("""COMPUTED_VALUE"""),"https://www.sortlist.com/marketing-analytics")</f>
        <v>https://www.sortlist.com/marketing-analytics</v>
      </c>
      <c r="C731" s="185" t="str">
        <f>IFERROR(__xludf.DUMMYFUNCTION("""COMPUTED_VALUE"""),"The 100 Best Marketing Analytics Companies - 2026 Reviews")</f>
        <v>The 100 Best Marketing Analytics Companies - 2026 Reviews</v>
      </c>
      <c r="D731" s="185" t="str">
        <f>IFERROR(__xludf.DUMMYFUNCTION("""COMPUTED_VALUE"""),"UK")</f>
        <v>UK</v>
      </c>
      <c r="E731" s="185" t="str">
        <f>IFERROR(__xludf.DUMMYFUNCTION("""COMPUTED_VALUE"""),"sortlist.com")</f>
        <v>sortlist.com</v>
      </c>
      <c r="F731" s="185" t="str">
        <f>IFERROR(__xludf.DUMMYFUNCTION("""COMPUTED_VALUE"""),"Category Page")</f>
        <v>Category Page</v>
      </c>
      <c r="G731" s="185" t="str">
        <f>IFERROR(__xludf.DUMMYFUNCTION("""COMPUTED_VALUE"""),"CORPORATE")</f>
        <v>CORPORATE</v>
      </c>
      <c r="H731" s="185" t="str">
        <f>IFERROR(__xludf.DUMMYFUNCTION("""COMPUTED_VALUE"""),"No")</f>
        <v>No</v>
      </c>
      <c r="I731" s="185" t="str">
        <f>IFERROR(__xludf.DUMMYFUNCTION("""COMPUTED_VALUE"""),"Medium")</f>
        <v>Medium</v>
      </c>
      <c r="J731" s="185" t="str">
        <f>IFERROR(__xludf.DUMMYFUNCTION("""COMPUTED_VALUE"""),"Yes")</f>
        <v>Yes</v>
      </c>
      <c r="K731" s="185" t="str">
        <f>IFERROR(__xludf.DUMMYFUNCTION("""COMPUTED_VALUE"""),"Ninja Promo")</f>
        <v>Ninja Promo</v>
      </c>
      <c r="L731" s="187">
        <f>IFERROR(__xludf.DUMMYFUNCTION("""COMPUTED_VALUE"""),2.0)</f>
        <v>2</v>
      </c>
      <c r="M731" s="188">
        <f>IFERROR(__xludf.DUMMYFUNCTION("""COMPUTED_VALUE"""),0.0)</f>
        <v>0</v>
      </c>
      <c r="N731" s="188">
        <f>IFERROR(__xludf.DUMMYFUNCTION("""COMPUTED_VALUE"""),0.0)</f>
        <v>0</v>
      </c>
      <c r="O731" s="208"/>
      <c r="P731" s="208"/>
      <c r="Q731" s="208"/>
      <c r="R731" s="208"/>
    </row>
    <row r="732">
      <c r="A732" s="185" t="str">
        <f>IFERROR(__xludf.DUMMYFUNCTION("""COMPUTED_VALUE"""),"Official partner / certification ecosystem")</f>
        <v>Official partner / certification ecosystem</v>
      </c>
      <c r="B732" s="186" t="str">
        <f>IFERROR(__xludf.DUMMYFUNCTION("""COMPUTED_VALUE"""),"https://support.google.com/google-ads/answer/11410677?hl=en")</f>
        <v>https://support.google.com/google-ads/answer/11410677?hl=en</v>
      </c>
      <c r="C732" s="185" t="str">
        <f>IFERROR(__xludf.DUMMYFUNCTION("""COMPUTED_VALUE"""),"Google Partners directory - Google Ads Help")</f>
        <v>Google Partners directory - Google Ads Help</v>
      </c>
      <c r="D732" s="185" t="str">
        <f>IFERROR(__xludf.DUMMYFUNCTION("""COMPUTED_VALUE"""),"UK")</f>
        <v>UK</v>
      </c>
      <c r="E732" s="185" t="str">
        <f>IFERROR(__xludf.DUMMYFUNCTION("""COMPUTED_VALUE"""),"google.com")</f>
        <v>google.com</v>
      </c>
      <c r="F732" s="185" t="str">
        <f>IFERROR(__xludf.DUMMYFUNCTION("""COMPUTED_VALUE"""),"How-To Guide")</f>
        <v>How-To Guide</v>
      </c>
      <c r="G732" s="185" t="str">
        <f>IFERROR(__xludf.DUMMYFUNCTION("""COMPUTED_VALUE"""),"OTHER")</f>
        <v>OTHER</v>
      </c>
      <c r="H732" s="185" t="str">
        <f>IFERROR(__xludf.DUMMYFUNCTION("""COMPUTED_VALUE"""),"No")</f>
        <v>No</v>
      </c>
      <c r="I732" s="185" t="str">
        <f>IFERROR(__xludf.DUMMYFUNCTION("""COMPUTED_VALUE"""),"High")</f>
        <v>High</v>
      </c>
      <c r="J732" s="185" t="str">
        <f>IFERROR(__xludf.DUMMYFUNCTION("""COMPUTED_VALUE"""),"Yes - priority")</f>
        <v>Yes - priority</v>
      </c>
      <c r="K732" s="185"/>
      <c r="L732" s="187">
        <f>IFERROR(__xludf.DUMMYFUNCTION("""COMPUTED_VALUE"""),2.0)</f>
        <v>2</v>
      </c>
      <c r="M732" s="188">
        <f>IFERROR(__xludf.DUMMYFUNCTION("""COMPUTED_VALUE"""),0.0)</f>
        <v>0</v>
      </c>
      <c r="N732" s="188">
        <f>IFERROR(__xludf.DUMMYFUNCTION("""COMPUTED_VALUE"""),0.0)</f>
        <v>0</v>
      </c>
      <c r="O732" s="208"/>
      <c r="P732" s="208"/>
      <c r="Q732" s="208"/>
      <c r="R732" s="208"/>
    </row>
    <row r="733">
      <c r="A733" s="185" t="str">
        <f>IFERROR(__xludf.DUMMYFUNCTION("""COMPUTED_VALUE"""),"Agency directory / review marketplace")</f>
        <v>Agency directory / review marketplace</v>
      </c>
      <c r="B733" s="186" t="str">
        <f>IFERROR(__xludf.DUMMYFUNCTION("""COMPUTED_VALUE"""),"https://techbehemoths.com/companies/google-marketing-platform/united-kingdom")</f>
        <v>https://techbehemoths.com/companies/google-marketing-platform/united-kingdom</v>
      </c>
      <c r="C733" s="185" t="str">
        <f>IFERROR(__xludf.DUMMYFUNCTION("""COMPUTED_VALUE"""),"Top 20+ Google Marketing Platform Companies in United Kingdom (2026) - TechBehemoths")</f>
        <v>Top 20+ Google Marketing Platform Companies in United Kingdom (2026) - TechBehemoths</v>
      </c>
      <c r="D733" s="185" t="str">
        <f>IFERROR(__xludf.DUMMYFUNCTION("""COMPUTED_VALUE"""),"UK")</f>
        <v>UK</v>
      </c>
      <c r="E733" s="185" t="str">
        <f>IFERROR(__xludf.DUMMYFUNCTION("""COMPUTED_VALUE"""),"techbehemoths.com")</f>
        <v>techbehemoths.com</v>
      </c>
      <c r="F733" s="185" t="str">
        <f>IFERROR(__xludf.DUMMYFUNCTION("""COMPUTED_VALUE"""),"Other")</f>
        <v>Other</v>
      </c>
      <c r="G733" s="185" t="str">
        <f>IFERROR(__xludf.DUMMYFUNCTION("""COMPUTED_VALUE"""),"REFERENCE")</f>
        <v>REFERENCE</v>
      </c>
      <c r="H733" s="185" t="str">
        <f>IFERROR(__xludf.DUMMYFUNCTION("""COMPUTED_VALUE"""),"No")</f>
        <v>No</v>
      </c>
      <c r="I733" s="185" t="str">
        <f>IFERROR(__xludf.DUMMYFUNCTION("""COMPUTED_VALUE"""),"Medium")</f>
        <v>Medium</v>
      </c>
      <c r="J733" s="185" t="str">
        <f>IFERROR(__xludf.DUMMYFUNCTION("""COMPUTED_VALUE"""),"Yes")</f>
        <v>Yes</v>
      </c>
      <c r="K733" s="185" t="str">
        <f>IFERROR(__xludf.DUMMYFUNCTION("""COMPUTED_VALUE"""),"Found")</f>
        <v>Found</v>
      </c>
      <c r="L733" s="187">
        <f>IFERROR(__xludf.DUMMYFUNCTION("""COMPUTED_VALUE"""),2.0)</f>
        <v>2</v>
      </c>
      <c r="M733" s="188">
        <f>IFERROR(__xludf.DUMMYFUNCTION("""COMPUTED_VALUE"""),0.0)</f>
        <v>0</v>
      </c>
      <c r="N733" s="188">
        <f>IFERROR(__xludf.DUMMYFUNCTION("""COMPUTED_VALUE"""),1.0)</f>
        <v>1</v>
      </c>
      <c r="O733" s="208"/>
      <c r="P733" s="208"/>
      <c r="Q733" s="208"/>
      <c r="R733" s="208"/>
    </row>
    <row r="734">
      <c r="A734" s="185" t="str">
        <f>IFERROR(__xludf.DUMMYFUNCTION("""COMPUTED_VALUE"""),"Lower-priority competitor/vendor roundup")</f>
        <v>Lower-priority competitor/vendor roundup</v>
      </c>
      <c r="B734" s="186" t="str">
        <f>IFERROR(__xludf.DUMMYFUNCTION("""COMPUTED_VALUE"""),"https://www.thegrowthsyndicate.com/agencies/best-b2b-digital-marketing-agencies-uk")</f>
        <v>https://www.thegrowthsyndicate.com/agencies/best-b2b-digital-marketing-agencies-uk</v>
      </c>
      <c r="C734" s="185" t="str">
        <f>IFERROR(__xludf.DUMMYFUNCTION("""COMPUTED_VALUE"""),"The 11 Best B2B Digital Marketing Agencies in the UK (2026)")</f>
        <v>The 11 Best B2B Digital Marketing Agencies in the UK (2026)</v>
      </c>
      <c r="D734" s="185" t="str">
        <f>IFERROR(__xludf.DUMMYFUNCTION("""COMPUTED_VALUE"""),"UK")</f>
        <v>UK</v>
      </c>
      <c r="E734" s="185" t="str">
        <f>IFERROR(__xludf.DUMMYFUNCTION("""COMPUTED_VALUE"""),"thegrowthsyndicate.com")</f>
        <v>thegrowthsyndicate.com</v>
      </c>
      <c r="F734" s="185" t="str">
        <f>IFERROR(__xludf.DUMMYFUNCTION("""COMPUTED_VALUE"""),"Listicle")</f>
        <v>Listicle</v>
      </c>
      <c r="G734" s="185" t="str">
        <f>IFERROR(__xludf.DUMMYFUNCTION("""COMPUTED_VALUE"""),"CORPORATE")</f>
        <v>CORPORATE</v>
      </c>
      <c r="H734" s="185" t="str">
        <f>IFERROR(__xludf.DUMMYFUNCTION("""COMPUTED_VALUE"""),"No")</f>
        <v>No</v>
      </c>
      <c r="I734" s="185" t="str">
        <f>IFERROR(__xludf.DUMMYFUNCTION("""COMPUTED_VALUE"""),"Low")</f>
        <v>Low</v>
      </c>
      <c r="J734" s="185" t="str">
        <f>IFERROR(__xludf.DUMMYFUNCTION("""COMPUTED_VALUE"""),"Secondary")</f>
        <v>Secondary</v>
      </c>
      <c r="K734" s="185" t="str">
        <f>IFERROR(__xludf.DUMMYFUNCTION("""COMPUTED_VALUE"""),"The Social Shepherd, Propellernet, Dentsu, LOCALiQ, Found")</f>
        <v>The Social Shepherd, Propellernet, Dentsu, LOCALiQ, Found</v>
      </c>
      <c r="L734" s="187">
        <f>IFERROR(__xludf.DUMMYFUNCTION("""COMPUTED_VALUE"""),2.0)</f>
        <v>2</v>
      </c>
      <c r="M734" s="188">
        <f>IFERROR(__xludf.DUMMYFUNCTION("""COMPUTED_VALUE"""),0.0)</f>
        <v>0</v>
      </c>
      <c r="N734" s="188">
        <f>IFERROR(__xludf.DUMMYFUNCTION("""COMPUTED_VALUE"""),2.5)</f>
        <v>2.5</v>
      </c>
      <c r="O734" s="208"/>
      <c r="P734" s="208"/>
      <c r="Q734" s="208"/>
      <c r="R734" s="208"/>
    </row>
    <row r="735">
      <c r="A735" s="185" t="str">
        <f>IFERROR(__xludf.DUMMYFUNCTION("""COMPUTED_VALUE"""),"Agency directory / review marketplace")</f>
        <v>Agency directory / review marketplace</v>
      </c>
      <c r="B735" s="186" t="str">
        <f>IFERROR(__xludf.DUMMYFUNCTION("""COMPUTED_VALUE"""),"https://themanifest.com/programmatic/agencies/uk")</f>
        <v>https://themanifest.com/programmatic/agencies/uk</v>
      </c>
      <c r="C735" s="185" t="str">
        <f>IFERROR(__xludf.DUMMYFUNCTION("""COMPUTED_VALUE"""),"The Best Programmatic Advertising Companies in United Kingdom - Jun 2026 \| The Manifest")</f>
        <v>The Best Programmatic Advertising Companies in United Kingdom - Jun 2026 \| The Manifest</v>
      </c>
      <c r="D735" s="185" t="str">
        <f>IFERROR(__xludf.DUMMYFUNCTION("""COMPUTED_VALUE"""),"UK")</f>
        <v>UK</v>
      </c>
      <c r="E735" s="185" t="str">
        <f>IFERROR(__xludf.DUMMYFUNCTION("""COMPUTED_VALUE"""),"themanifest.com")</f>
        <v>themanifest.com</v>
      </c>
      <c r="F735" s="185" t="str">
        <f>IFERROR(__xludf.DUMMYFUNCTION("""COMPUTED_VALUE"""),"Category Page")</f>
        <v>Category Page</v>
      </c>
      <c r="G735" s="185" t="str">
        <f>IFERROR(__xludf.DUMMYFUNCTION("""COMPUTED_VALUE"""),"REFERENCE")</f>
        <v>REFERENCE</v>
      </c>
      <c r="H735" s="185" t="str">
        <f>IFERROR(__xludf.DUMMYFUNCTION("""COMPUTED_VALUE"""),"No")</f>
        <v>No</v>
      </c>
      <c r="I735" s="185" t="str">
        <f>IFERROR(__xludf.DUMMYFUNCTION("""COMPUTED_VALUE"""),"Medium")</f>
        <v>Medium</v>
      </c>
      <c r="J735" s="185" t="str">
        <f>IFERROR(__xludf.DUMMYFUNCTION("""COMPUTED_VALUE"""),"Yes")</f>
        <v>Yes</v>
      </c>
      <c r="K735" s="185" t="str">
        <f>IFERROR(__xludf.DUMMYFUNCTION("""COMPUTED_VALUE"""),"ROAST, Ninja Promo, The SEO Works, M3.agency")</f>
        <v>ROAST, Ninja Promo, The SEO Works, M3.agency</v>
      </c>
      <c r="L735" s="187">
        <f>IFERROR(__xludf.DUMMYFUNCTION("""COMPUTED_VALUE"""),2.0)</f>
        <v>2</v>
      </c>
      <c r="M735" s="188">
        <f>IFERROR(__xludf.DUMMYFUNCTION("""COMPUTED_VALUE"""),0.0)</f>
        <v>0</v>
      </c>
      <c r="N735" s="188">
        <f>IFERROR(__xludf.DUMMYFUNCTION("""COMPUTED_VALUE"""),0.0)</f>
        <v>0</v>
      </c>
      <c r="O735" s="208"/>
      <c r="P735" s="208"/>
      <c r="Q735" s="208"/>
      <c r="R735" s="208"/>
    </row>
    <row r="736">
      <c r="A736" s="185" t="str">
        <f>IFERROR(__xludf.DUMMYFUNCTION("""COMPUTED_VALUE"""),"Lower-priority competitor/vendor roundup")</f>
        <v>Lower-priority competitor/vendor roundup</v>
      </c>
      <c r="B736" s="186" t="str">
        <f>IFERROR(__xludf.DUMMYFUNCTION("""COMPUTED_VALUE"""),"https://www.webtonic.io/blog/top-conversion-rate-optimisation-agencies-london")</f>
        <v>https://www.webtonic.io/blog/top-conversion-rate-optimisation-agencies-london</v>
      </c>
      <c r="C736" s="185" t="str">
        <f>IFERROR(__xludf.DUMMYFUNCTION("""COMPUTED_VALUE"""),"25 Top Conversion Rate Optimisation Agencies in London for 2026")</f>
        <v>25 Top Conversion Rate Optimisation Agencies in London for 2026</v>
      </c>
      <c r="D736" s="185" t="str">
        <f>IFERROR(__xludf.DUMMYFUNCTION("""COMPUTED_VALUE"""),"UK")</f>
        <v>UK</v>
      </c>
      <c r="E736" s="185" t="str">
        <f>IFERROR(__xludf.DUMMYFUNCTION("""COMPUTED_VALUE"""),"webtonic.io")</f>
        <v>webtonic.io</v>
      </c>
      <c r="F736" s="185" t="str">
        <f>IFERROR(__xludf.DUMMYFUNCTION("""COMPUTED_VALUE"""),"Listicle")</f>
        <v>Listicle</v>
      </c>
      <c r="G736" s="185" t="str">
        <f>IFERROR(__xludf.DUMMYFUNCTION("""COMPUTED_VALUE"""),"CORPORATE")</f>
        <v>CORPORATE</v>
      </c>
      <c r="H736" s="185" t="str">
        <f>IFERROR(__xludf.DUMMYFUNCTION("""COMPUTED_VALUE"""),"No")</f>
        <v>No</v>
      </c>
      <c r="I736" s="185" t="str">
        <f>IFERROR(__xludf.DUMMYFUNCTION("""COMPUTED_VALUE"""),"Low")</f>
        <v>Low</v>
      </c>
      <c r="J736" s="185" t="str">
        <f>IFERROR(__xludf.DUMMYFUNCTION("""COMPUTED_VALUE"""),"Secondary")</f>
        <v>Secondary</v>
      </c>
      <c r="K736" s="185" t="str">
        <f>IFERROR(__xludf.DUMMYFUNCTION("""COMPUTED_VALUE"""),"Impression, Anicca Digital")</f>
        <v>Impression, Anicca Digital</v>
      </c>
      <c r="L736" s="187">
        <f>IFERROR(__xludf.DUMMYFUNCTION("""COMPUTED_VALUE"""),2.0)</f>
        <v>2</v>
      </c>
      <c r="M736" s="188">
        <f>IFERROR(__xludf.DUMMYFUNCTION("""COMPUTED_VALUE"""),0.0)</f>
        <v>0</v>
      </c>
      <c r="N736" s="188">
        <f>IFERROR(__xludf.DUMMYFUNCTION("""COMPUTED_VALUE"""),2.0)</f>
        <v>2</v>
      </c>
      <c r="O736" s="208"/>
      <c r="P736" s="208"/>
      <c r="Q736" s="208"/>
      <c r="R736" s="208"/>
    </row>
    <row r="737">
      <c r="A737" s="185" t="str">
        <f>IFERROR(__xludf.DUMMYFUNCTION("""COMPUTED_VALUE"""),"Lower-priority competitor/vendor roundup")</f>
        <v>Lower-priority competitor/vendor roundup</v>
      </c>
      <c r="B737" s="186" t="str">
        <f>IFERROR(__xludf.DUMMYFUNCTION("""COMPUTED_VALUE"""),"https://www.webtonic.io/blog/top-social-media-agencies-uk")</f>
        <v>https://www.webtonic.io/blog/top-social-media-agencies-uk</v>
      </c>
      <c r="C737" s="185" t="str">
        <f>IFERROR(__xludf.DUMMYFUNCTION("""COMPUTED_VALUE"""),"Top 48 Social Media Agencies in the UK (Reviewed in 2026)")</f>
        <v>Top 48 Social Media Agencies in the UK (Reviewed in 2026)</v>
      </c>
      <c r="D737" s="185" t="str">
        <f>IFERROR(__xludf.DUMMYFUNCTION("""COMPUTED_VALUE"""),"UK")</f>
        <v>UK</v>
      </c>
      <c r="E737" s="185" t="str">
        <f>IFERROR(__xludf.DUMMYFUNCTION("""COMPUTED_VALUE"""),"webtonic.io")</f>
        <v>webtonic.io</v>
      </c>
      <c r="F737" s="185" t="str">
        <f>IFERROR(__xludf.DUMMYFUNCTION("""COMPUTED_VALUE"""),"Listicle")</f>
        <v>Listicle</v>
      </c>
      <c r="G737" s="185" t="str">
        <f>IFERROR(__xludf.DUMMYFUNCTION("""COMPUTED_VALUE"""),"CORPORATE")</f>
        <v>CORPORATE</v>
      </c>
      <c r="H737" s="185" t="str">
        <f>IFERROR(__xludf.DUMMYFUNCTION("""COMPUTED_VALUE"""),"No")</f>
        <v>No</v>
      </c>
      <c r="I737" s="185" t="str">
        <f>IFERROR(__xludf.DUMMYFUNCTION("""COMPUTED_VALUE"""),"Low")</f>
        <v>Low</v>
      </c>
      <c r="J737" s="185" t="str">
        <f>IFERROR(__xludf.DUMMYFUNCTION("""COMPUTED_VALUE"""),"Secondary")</f>
        <v>Secondary</v>
      </c>
      <c r="K737" s="185" t="str">
        <f>IFERROR(__xludf.DUMMYFUNCTION("""COMPUTED_VALUE"""),"The Social Shepherd, We Are Social, Social Chain, WPP, Born Social, Brainlabs, Ninja Promo, Make Agency, Croud, The Good Marketer, Gripped, Measured, inBeat, Bird Marketing, Disrupt Marketing, Soap Media")</f>
        <v>The Social Shepherd, We Are Social, Social Chain, WPP, Born Social, Brainlabs, Ninja Promo, Make Agency, Croud, The Good Marketer, Gripped, Measured, inBeat, Bird Marketing, Disrupt Marketing, Soap Media</v>
      </c>
      <c r="L737" s="187">
        <f>IFERROR(__xludf.DUMMYFUNCTION("""COMPUTED_VALUE"""),2.0)</f>
        <v>2</v>
      </c>
      <c r="M737" s="188">
        <f>IFERROR(__xludf.DUMMYFUNCTION("""COMPUTED_VALUE"""),0.0)</f>
        <v>0</v>
      </c>
      <c r="N737" s="188">
        <f>IFERROR(__xludf.DUMMYFUNCTION("""COMPUTED_VALUE"""),1.0)</f>
        <v>1</v>
      </c>
      <c r="O737" s="208"/>
      <c r="P737" s="208"/>
      <c r="Q737" s="208"/>
      <c r="R737" s="208"/>
    </row>
    <row r="738">
      <c r="A738" s="185" t="str">
        <f>IFERROR(__xludf.DUMMYFUNCTION("""COMPUTED_VALUE"""),"Official partner / certification ecosystem")</f>
        <v>Official partner / certification ecosystem</v>
      </c>
      <c r="B738" s="186" t="str">
        <f>IFERROR(__xludf.DUMMYFUNCTION("""COMPUTED_VALUE"""),"https://ads.google.com/home/resources/advanced/agency-directory/")</f>
        <v>https://ads.google.com/home/resources/advanced/agency-directory/</v>
      </c>
      <c r="C738" s="185" t="str">
        <f>IFERROR(__xludf.DUMMYFUNCTION("""COMPUTED_VALUE"""),"Find a trusted Google App campaigns creative agency")</f>
        <v>Find a trusted Google App campaigns creative agency</v>
      </c>
      <c r="D738" s="185" t="str">
        <f>IFERROR(__xludf.DUMMYFUNCTION("""COMPUTED_VALUE"""),"UK")</f>
        <v>UK</v>
      </c>
      <c r="E738" s="185" t="str">
        <f>IFERROR(__xludf.DUMMYFUNCTION("""COMPUTED_VALUE"""),"google.com")</f>
        <v>google.com</v>
      </c>
      <c r="F738" s="185" t="str">
        <f>IFERROR(__xludf.DUMMYFUNCTION("""COMPUTED_VALUE"""),"Other")</f>
        <v>Other</v>
      </c>
      <c r="G738" s="185" t="str">
        <f>IFERROR(__xludf.DUMMYFUNCTION("""COMPUTED_VALUE"""),"OTHER")</f>
        <v>OTHER</v>
      </c>
      <c r="H738" s="185" t="str">
        <f>IFERROR(__xludf.DUMMYFUNCTION("""COMPUTED_VALUE"""),"No")</f>
        <v>No</v>
      </c>
      <c r="I738" s="185" t="str">
        <f>IFERROR(__xludf.DUMMYFUNCTION("""COMPUTED_VALUE"""),"High")</f>
        <v>High</v>
      </c>
      <c r="J738" s="185" t="str">
        <f>IFERROR(__xludf.DUMMYFUNCTION("""COMPUTED_VALUE"""),"Yes - priority")</f>
        <v>Yes - priority</v>
      </c>
      <c r="K738" s="185"/>
      <c r="L738" s="187">
        <f>IFERROR(__xludf.DUMMYFUNCTION("""COMPUTED_VALUE"""),1.0)</f>
        <v>1</v>
      </c>
      <c r="M738" s="188">
        <f>IFERROR(__xludf.DUMMYFUNCTION("""COMPUTED_VALUE"""),0.0)</f>
        <v>0</v>
      </c>
      <c r="N738" s="188">
        <f>IFERROR(__xludf.DUMMYFUNCTION("""COMPUTED_VALUE"""),0.0)</f>
        <v>0</v>
      </c>
      <c r="O738" s="208"/>
      <c r="P738" s="208"/>
      <c r="Q738" s="208"/>
      <c r="R738" s="208"/>
    </row>
    <row r="739">
      <c r="A739" s="185" t="str">
        <f>IFERROR(__xludf.DUMMYFUNCTION("""COMPUTED_VALUE"""),"Industry data / software authority")</f>
        <v>Industry data / software authority</v>
      </c>
      <c r="B739" s="186" t="str">
        <f>IFERROR(__xludf.DUMMYFUNCTION("""COMPUTED_VALUE"""),"https://agencies.semrush.com/list/advertising/united-kingdom/small-business/")</f>
        <v>https://agencies.semrush.com/list/advertising/united-kingdom/small-business/</v>
      </c>
      <c r="C739" s="185" t="str">
        <f>IFERROR(__xludf.DUMMYFUNCTION("""COMPUTED_VALUE"""),"Best Advertising Agencies for Small Business in United Kingdom 2026 | Semrush")</f>
        <v>Best Advertising Agencies for Small Business in United Kingdom 2026 | Semrush</v>
      </c>
      <c r="D739" s="185" t="str">
        <f>IFERROR(__xludf.DUMMYFUNCTION("""COMPUTED_VALUE"""),"UK")</f>
        <v>UK</v>
      </c>
      <c r="E739" s="185" t="str">
        <f>IFERROR(__xludf.DUMMYFUNCTION("""COMPUTED_VALUE"""),"semrush.com")</f>
        <v>semrush.com</v>
      </c>
      <c r="F739" s="185" t="str">
        <f>IFERROR(__xludf.DUMMYFUNCTION("""COMPUTED_VALUE"""),"Category Page")</f>
        <v>Category Page</v>
      </c>
      <c r="G739" s="185" t="str">
        <f>IFERROR(__xludf.DUMMYFUNCTION("""COMPUTED_VALUE"""),"CORPORATE")</f>
        <v>CORPORATE</v>
      </c>
      <c r="H739" s="185" t="str">
        <f>IFERROR(__xludf.DUMMYFUNCTION("""COMPUTED_VALUE"""),"No")</f>
        <v>No</v>
      </c>
      <c r="I739" s="185" t="str">
        <f>IFERROR(__xludf.DUMMYFUNCTION("""COMPUTED_VALUE"""),"Medium")</f>
        <v>Medium</v>
      </c>
      <c r="J739" s="185" t="str">
        <f>IFERROR(__xludf.DUMMYFUNCTION("""COMPUTED_VALUE"""),"Yes")</f>
        <v>Yes</v>
      </c>
      <c r="K739" s="185" t="str">
        <f>IFERROR(__xludf.DUMMYFUNCTION("""COMPUTED_VALUE"""),"Found, Impression, Click Intelligence, Soap Media")</f>
        <v>Found, Impression, Click Intelligence, Soap Media</v>
      </c>
      <c r="L739" s="187">
        <f>IFERROR(__xludf.DUMMYFUNCTION("""COMPUTED_VALUE"""),1.0)</f>
        <v>1</v>
      </c>
      <c r="M739" s="188">
        <f>IFERROR(__xludf.DUMMYFUNCTION("""COMPUTED_VALUE"""),0.0)</f>
        <v>0</v>
      </c>
      <c r="N739" s="188">
        <f>IFERROR(__xludf.DUMMYFUNCTION("""COMPUTED_VALUE"""),0.0)</f>
        <v>0</v>
      </c>
      <c r="O739" s="208"/>
      <c r="P739" s="208"/>
      <c r="Q739" s="208"/>
      <c r="R739" s="208"/>
    </row>
    <row r="740">
      <c r="A740" s="185" t="str">
        <f>IFERROR(__xludf.DUMMYFUNCTION("""COMPUTED_VALUE"""),"Industry data / software authority")</f>
        <v>Industry data / software authority</v>
      </c>
      <c r="B740" s="186" t="str">
        <f>IFERROR(__xludf.DUMMYFUNCTION("""COMPUTED_VALUE"""),"https://agencies.semrush.com/list/ai-optimization/united-kingdom/mid-business/")</f>
        <v>https://agencies.semrush.com/list/ai-optimization/united-kingdom/mid-business/</v>
      </c>
      <c r="C740" s="185" t="str">
        <f>IFERROR(__xludf.DUMMYFUNCTION("""COMPUTED_VALUE"""),"Best AI Search Optimization Agencies for Mid Business in United Kingdom 2026 | Semrush")</f>
        <v>Best AI Search Optimization Agencies for Mid Business in United Kingdom 2026 | Semrush</v>
      </c>
      <c r="D740" s="185" t="str">
        <f>IFERROR(__xludf.DUMMYFUNCTION("""COMPUTED_VALUE"""),"UK")</f>
        <v>UK</v>
      </c>
      <c r="E740" s="185" t="str">
        <f>IFERROR(__xludf.DUMMYFUNCTION("""COMPUTED_VALUE"""),"semrush.com")</f>
        <v>semrush.com</v>
      </c>
      <c r="F740" s="185" t="str">
        <f>IFERROR(__xludf.DUMMYFUNCTION("""COMPUTED_VALUE"""),"Category Page")</f>
        <v>Category Page</v>
      </c>
      <c r="G740" s="185" t="str">
        <f>IFERROR(__xludf.DUMMYFUNCTION("""COMPUTED_VALUE"""),"CORPORATE")</f>
        <v>CORPORATE</v>
      </c>
      <c r="H740" s="185" t="str">
        <f>IFERROR(__xludf.DUMMYFUNCTION("""COMPUTED_VALUE"""),"No")</f>
        <v>No</v>
      </c>
      <c r="I740" s="185" t="str">
        <f>IFERROR(__xludf.DUMMYFUNCTION("""COMPUTED_VALUE"""),"Medium")</f>
        <v>Medium</v>
      </c>
      <c r="J740" s="185" t="str">
        <f>IFERROR(__xludf.DUMMYFUNCTION("""COMPUTED_VALUE"""),"Yes")</f>
        <v>Yes</v>
      </c>
      <c r="K740" s="185" t="str">
        <f>IFERROR(__xludf.DUMMYFUNCTION("""COMPUTED_VALUE"""),"Found, Measured, Click Intelligence, Passion Digital, The SEO Works, Gravity Global, ROAST, Huge")</f>
        <v>Found, Measured, Click Intelligence, Passion Digital, The SEO Works, Gravity Global, ROAST, Huge</v>
      </c>
      <c r="L740" s="187">
        <f>IFERROR(__xludf.DUMMYFUNCTION("""COMPUTED_VALUE"""),1.0)</f>
        <v>1</v>
      </c>
      <c r="M740" s="188">
        <f>IFERROR(__xludf.DUMMYFUNCTION("""COMPUTED_VALUE"""),0.0)</f>
        <v>0</v>
      </c>
      <c r="N740" s="188">
        <f>IFERROR(__xludf.DUMMYFUNCTION("""COMPUTED_VALUE"""),0.0)</f>
        <v>0</v>
      </c>
      <c r="O740" s="208"/>
      <c r="P740" s="208"/>
      <c r="Q740" s="208"/>
      <c r="R740" s="208"/>
    </row>
    <row r="741">
      <c r="A741" s="185" t="str">
        <f>IFERROR(__xludf.DUMMYFUNCTION("""COMPUTED_VALUE"""),"Industry data / software authority")</f>
        <v>Industry data / software authority</v>
      </c>
      <c r="B741" s="186" t="str">
        <f>IFERROR(__xludf.DUMMYFUNCTION("""COMPUTED_VALUE"""),"https://agencies.semrush.com/list/display-advertising/")</f>
        <v>https://agencies.semrush.com/list/display-advertising/</v>
      </c>
      <c r="C741" s="185" t="str">
        <f>IFERROR(__xludf.DUMMYFUNCTION("""COMPUTED_VALUE"""),"Best Display Ads Agencies in the World 2026 | Semrush")</f>
        <v>Best Display Ads Agencies in the World 2026 | Semrush</v>
      </c>
      <c r="D741" s="185" t="str">
        <f>IFERROR(__xludf.DUMMYFUNCTION("""COMPUTED_VALUE"""),"UK")</f>
        <v>UK</v>
      </c>
      <c r="E741" s="185" t="str">
        <f>IFERROR(__xludf.DUMMYFUNCTION("""COMPUTED_VALUE"""),"semrush.com")</f>
        <v>semrush.com</v>
      </c>
      <c r="F741" s="185" t="str">
        <f>IFERROR(__xludf.DUMMYFUNCTION("""COMPUTED_VALUE"""),"Category Page")</f>
        <v>Category Page</v>
      </c>
      <c r="G741" s="185" t="str">
        <f>IFERROR(__xludf.DUMMYFUNCTION("""COMPUTED_VALUE"""),"CORPORATE")</f>
        <v>CORPORATE</v>
      </c>
      <c r="H741" s="185" t="str">
        <f>IFERROR(__xludf.DUMMYFUNCTION("""COMPUTED_VALUE"""),"No")</f>
        <v>No</v>
      </c>
      <c r="I741" s="185" t="str">
        <f>IFERROR(__xludf.DUMMYFUNCTION("""COMPUTED_VALUE"""),"Medium")</f>
        <v>Medium</v>
      </c>
      <c r="J741" s="185" t="str">
        <f>IFERROR(__xludf.DUMMYFUNCTION("""COMPUTED_VALUE"""),"Yes")</f>
        <v>Yes</v>
      </c>
      <c r="K741" s="185"/>
      <c r="L741" s="187">
        <f>IFERROR(__xludf.DUMMYFUNCTION("""COMPUTED_VALUE"""),1.0)</f>
        <v>1</v>
      </c>
      <c r="M741" s="188">
        <f>IFERROR(__xludf.DUMMYFUNCTION("""COMPUTED_VALUE"""),0.0)</f>
        <v>0</v>
      </c>
      <c r="N741" s="188">
        <f>IFERROR(__xludf.DUMMYFUNCTION("""COMPUTED_VALUE"""),0.0)</f>
        <v>0</v>
      </c>
      <c r="O741" s="208"/>
      <c r="P741" s="208"/>
      <c r="Q741" s="208"/>
      <c r="R741" s="208"/>
    </row>
    <row r="742">
      <c r="A742" s="185" t="str">
        <f>IFERROR(__xludf.DUMMYFUNCTION("""COMPUTED_VALUE"""),"Industry data / software authority")</f>
        <v>Industry data / software authority</v>
      </c>
      <c r="B742" s="186" t="str">
        <f>IFERROR(__xludf.DUMMYFUNCTION("""COMPUTED_VALUE"""),"https://agencies.semrush.com/list/los-angeles/")</f>
        <v>https://agencies.semrush.com/list/los-angeles/</v>
      </c>
      <c r="C742" s="185" t="str">
        <f>IFERROR(__xludf.DUMMYFUNCTION("""COMPUTED_VALUE"""),"Best Digital Marketing Agencies in Los Angeles 2026 | Semrush")</f>
        <v>Best Digital Marketing Agencies in Los Angeles 2026 | Semrush</v>
      </c>
      <c r="D742" s="185" t="str">
        <f>IFERROR(__xludf.DUMMYFUNCTION("""COMPUTED_VALUE"""),"UK")</f>
        <v>UK</v>
      </c>
      <c r="E742" s="185" t="str">
        <f>IFERROR(__xludf.DUMMYFUNCTION("""COMPUTED_VALUE"""),"semrush.com")</f>
        <v>semrush.com</v>
      </c>
      <c r="F742" s="185" t="str">
        <f>IFERROR(__xludf.DUMMYFUNCTION("""COMPUTED_VALUE"""),"Category Page")</f>
        <v>Category Page</v>
      </c>
      <c r="G742" s="185" t="str">
        <f>IFERROR(__xludf.DUMMYFUNCTION("""COMPUTED_VALUE"""),"CORPORATE")</f>
        <v>CORPORATE</v>
      </c>
      <c r="H742" s="185" t="str">
        <f>IFERROR(__xludf.DUMMYFUNCTION("""COMPUTED_VALUE"""),"No")</f>
        <v>No</v>
      </c>
      <c r="I742" s="185" t="str">
        <f>IFERROR(__xludf.DUMMYFUNCTION("""COMPUTED_VALUE"""),"Medium")</f>
        <v>Medium</v>
      </c>
      <c r="J742" s="185" t="str">
        <f>IFERROR(__xludf.DUMMYFUNCTION("""COMPUTED_VALUE"""),"Yes")</f>
        <v>Yes</v>
      </c>
      <c r="K742" s="185" t="str">
        <f>IFERROR(__xludf.DUMMYFUNCTION("""COMPUTED_VALUE"""),"Bird Marketing")</f>
        <v>Bird Marketing</v>
      </c>
      <c r="L742" s="187">
        <f>IFERROR(__xludf.DUMMYFUNCTION("""COMPUTED_VALUE"""),1.0)</f>
        <v>1</v>
      </c>
      <c r="M742" s="188">
        <f>IFERROR(__xludf.DUMMYFUNCTION("""COMPUTED_VALUE"""),0.0)</f>
        <v>0</v>
      </c>
      <c r="N742" s="188">
        <f>IFERROR(__xludf.DUMMYFUNCTION("""COMPUTED_VALUE"""),0.0)</f>
        <v>0</v>
      </c>
      <c r="O742" s="208"/>
      <c r="P742" s="208"/>
      <c r="Q742" s="208"/>
      <c r="R742" s="208"/>
    </row>
    <row r="743">
      <c r="A743" s="185" t="str">
        <f>IFERROR(__xludf.DUMMYFUNCTION("""COMPUTED_VALUE"""),"Industry data / software authority")</f>
        <v>Industry data / software authority</v>
      </c>
      <c r="B743" s="186" t="str">
        <f>IFERROR(__xludf.DUMMYFUNCTION("""COMPUTED_VALUE"""),"https://agencies.semrush.com/list/machine-learning-and-ai/london-city/")</f>
        <v>https://agencies.semrush.com/list/machine-learning-and-ai/london-city/</v>
      </c>
      <c r="C743" s="185" t="str">
        <f>IFERROR(__xludf.DUMMYFUNCTION("""COMPUTED_VALUE"""),"Best Machine Learning and AI Services in London 2026 | Semrush")</f>
        <v>Best Machine Learning and AI Services in London 2026 | Semrush</v>
      </c>
      <c r="D743" s="185" t="str">
        <f>IFERROR(__xludf.DUMMYFUNCTION("""COMPUTED_VALUE"""),"UK")</f>
        <v>UK</v>
      </c>
      <c r="E743" s="185" t="str">
        <f>IFERROR(__xludf.DUMMYFUNCTION("""COMPUTED_VALUE"""),"semrush.com")</f>
        <v>semrush.com</v>
      </c>
      <c r="F743" s="185" t="str">
        <f>IFERROR(__xludf.DUMMYFUNCTION("""COMPUTED_VALUE"""),"Profile")</f>
        <v>Profile</v>
      </c>
      <c r="G743" s="185" t="str">
        <f>IFERROR(__xludf.DUMMYFUNCTION("""COMPUTED_VALUE"""),"CORPORATE")</f>
        <v>CORPORATE</v>
      </c>
      <c r="H743" s="185" t="str">
        <f>IFERROR(__xludf.DUMMYFUNCTION("""COMPUTED_VALUE"""),"No")</f>
        <v>No</v>
      </c>
      <c r="I743" s="185" t="str">
        <f>IFERROR(__xludf.DUMMYFUNCTION("""COMPUTED_VALUE"""),"Medium")</f>
        <v>Medium</v>
      </c>
      <c r="J743" s="185" t="str">
        <f>IFERROR(__xludf.DUMMYFUNCTION("""COMPUTED_VALUE"""),"Yes")</f>
        <v>Yes</v>
      </c>
      <c r="K743" s="185" t="str">
        <f>IFERROR(__xludf.DUMMYFUNCTION("""COMPUTED_VALUE"""),"The SEO Works, Found, Measured")</f>
        <v>The SEO Works, Found, Measured</v>
      </c>
      <c r="L743" s="187">
        <f>IFERROR(__xludf.DUMMYFUNCTION("""COMPUTED_VALUE"""),1.0)</f>
        <v>1</v>
      </c>
      <c r="M743" s="188">
        <f>IFERROR(__xludf.DUMMYFUNCTION("""COMPUTED_VALUE"""),0.0)</f>
        <v>0</v>
      </c>
      <c r="N743" s="188">
        <f>IFERROR(__xludf.DUMMYFUNCTION("""COMPUTED_VALUE"""),0.0)</f>
        <v>0</v>
      </c>
      <c r="O743" s="208"/>
      <c r="P743" s="208"/>
      <c r="Q743" s="208"/>
      <c r="R743" s="208"/>
    </row>
    <row r="744">
      <c r="A744" s="185" t="str">
        <f>IFERROR(__xludf.DUMMYFUNCTION("""COMPUTED_VALUE"""),"Industry data / software authority")</f>
        <v>Industry data / software authority</v>
      </c>
      <c r="B744" s="186" t="str">
        <f>IFERROR(__xludf.DUMMYFUNCTION("""COMPUTED_VALUE"""),"https://agencies.semrush.com/list/ppc/united-kingdom/")</f>
        <v>https://agencies.semrush.com/list/ppc/united-kingdom/</v>
      </c>
      <c r="C744" s="185" t="str">
        <f>IFERROR(__xludf.DUMMYFUNCTION("""COMPUTED_VALUE"""),"Best PPC Agencies in United Kingdom 2026 | Semrush")</f>
        <v>Best PPC Agencies in United Kingdom 2026 | Semrush</v>
      </c>
      <c r="D744" s="185" t="str">
        <f>IFERROR(__xludf.DUMMYFUNCTION("""COMPUTED_VALUE"""),"UK")</f>
        <v>UK</v>
      </c>
      <c r="E744" s="185" t="str">
        <f>IFERROR(__xludf.DUMMYFUNCTION("""COMPUTED_VALUE"""),"semrush.com")</f>
        <v>semrush.com</v>
      </c>
      <c r="F744" s="185" t="str">
        <f>IFERROR(__xludf.DUMMYFUNCTION("""COMPUTED_VALUE"""),"Category Page")</f>
        <v>Category Page</v>
      </c>
      <c r="G744" s="185" t="str">
        <f>IFERROR(__xludf.DUMMYFUNCTION("""COMPUTED_VALUE"""),"CORPORATE")</f>
        <v>CORPORATE</v>
      </c>
      <c r="H744" s="185" t="str">
        <f>IFERROR(__xludf.DUMMYFUNCTION("""COMPUTED_VALUE"""),"No")</f>
        <v>No</v>
      </c>
      <c r="I744" s="185" t="str">
        <f>IFERROR(__xludf.DUMMYFUNCTION("""COMPUTED_VALUE"""),"Medium")</f>
        <v>Medium</v>
      </c>
      <c r="J744" s="185" t="str">
        <f>IFERROR(__xludf.DUMMYFUNCTION("""COMPUTED_VALUE"""),"Yes")</f>
        <v>Yes</v>
      </c>
      <c r="K744" s="185" t="str">
        <f>IFERROR(__xludf.DUMMYFUNCTION("""COMPUTED_VALUE"""),"Found, Impression, Passion Digital, Soap Media")</f>
        <v>Found, Impression, Passion Digital, Soap Media</v>
      </c>
      <c r="L744" s="187">
        <f>IFERROR(__xludf.DUMMYFUNCTION("""COMPUTED_VALUE"""),1.0)</f>
        <v>1</v>
      </c>
      <c r="M744" s="188">
        <f>IFERROR(__xludf.DUMMYFUNCTION("""COMPUTED_VALUE"""),0.0)</f>
        <v>0</v>
      </c>
      <c r="N744" s="188">
        <f>IFERROR(__xludf.DUMMYFUNCTION("""COMPUTED_VALUE"""),0.0)</f>
        <v>0</v>
      </c>
      <c r="O744" s="208"/>
      <c r="P744" s="208"/>
      <c r="Q744" s="208"/>
      <c r="R744" s="208"/>
    </row>
    <row r="745">
      <c r="A745" s="185" t="str">
        <f>IFERROR(__xludf.DUMMYFUNCTION("""COMPUTED_VALUE"""),"Industry data / software authority")</f>
        <v>Industry data / software authority</v>
      </c>
      <c r="B745" s="186" t="str">
        <f>IFERROR(__xludf.DUMMYFUNCTION("""COMPUTED_VALUE"""),"https://agencies.semrush.com/list/ppc/united-states/")</f>
        <v>https://agencies.semrush.com/list/ppc/united-states/</v>
      </c>
      <c r="C745" s="185" t="str">
        <f>IFERROR(__xludf.DUMMYFUNCTION("""COMPUTED_VALUE"""),"Best PPC Agencies in United States 2026 | Semrush")</f>
        <v>Best PPC Agencies in United States 2026 | Semrush</v>
      </c>
      <c r="D745" s="185" t="str">
        <f>IFERROR(__xludf.DUMMYFUNCTION("""COMPUTED_VALUE"""),"UK")</f>
        <v>UK</v>
      </c>
      <c r="E745" s="185" t="str">
        <f>IFERROR(__xludf.DUMMYFUNCTION("""COMPUTED_VALUE"""),"semrush.com")</f>
        <v>semrush.com</v>
      </c>
      <c r="F745" s="185" t="str">
        <f>IFERROR(__xludf.DUMMYFUNCTION("""COMPUTED_VALUE"""),"Category Page")</f>
        <v>Category Page</v>
      </c>
      <c r="G745" s="185" t="str">
        <f>IFERROR(__xludf.DUMMYFUNCTION("""COMPUTED_VALUE"""),"CORPORATE")</f>
        <v>CORPORATE</v>
      </c>
      <c r="H745" s="185" t="str">
        <f>IFERROR(__xludf.DUMMYFUNCTION("""COMPUTED_VALUE"""),"No")</f>
        <v>No</v>
      </c>
      <c r="I745" s="185" t="str">
        <f>IFERROR(__xludf.DUMMYFUNCTION("""COMPUTED_VALUE"""),"Medium")</f>
        <v>Medium</v>
      </c>
      <c r="J745" s="185" t="str">
        <f>IFERROR(__xludf.DUMMYFUNCTION("""COMPUTED_VALUE"""),"Yes")</f>
        <v>Yes</v>
      </c>
      <c r="K745" s="185" t="str">
        <f>IFERROR(__xludf.DUMMYFUNCTION("""COMPUTED_VALUE"""),"Whitehat")</f>
        <v>Whitehat</v>
      </c>
      <c r="L745" s="187">
        <f>IFERROR(__xludf.DUMMYFUNCTION("""COMPUTED_VALUE"""),1.0)</f>
        <v>1</v>
      </c>
      <c r="M745" s="188">
        <f>IFERROR(__xludf.DUMMYFUNCTION("""COMPUTED_VALUE"""),0.0)</f>
        <v>0</v>
      </c>
      <c r="N745" s="188">
        <f>IFERROR(__xludf.DUMMYFUNCTION("""COMPUTED_VALUE"""),1.0)</f>
        <v>1</v>
      </c>
      <c r="O745" s="208"/>
      <c r="P745" s="208"/>
      <c r="Q745" s="208"/>
      <c r="R745" s="208"/>
    </row>
    <row r="746">
      <c r="A746" s="185" t="str">
        <f>IFERROR(__xludf.DUMMYFUNCTION("""COMPUTED_VALUE"""),"Lower-priority competitor/vendor roundup")</f>
        <v>Lower-priority competitor/vendor roundup</v>
      </c>
      <c r="B746" s="186" t="str">
        <f>IFERROR(__xludf.DUMMYFUNCTION("""COMPUTED_VALUE"""),"https://bind.media/")</f>
        <v>https://bind.media/</v>
      </c>
      <c r="C746" s="185" t="str">
        <f>IFERROR(__xludf.DUMMYFUNCTION("""COMPUTED_VALUE"""),"Bind Media | Performance Marketing Agency | Paid Media, Creative, CRO…")</f>
        <v>Bind Media | Performance Marketing Agency | Paid Media, Creative, CRO…</v>
      </c>
      <c r="D746" s="185" t="str">
        <f>IFERROR(__xludf.DUMMYFUNCTION("""COMPUTED_VALUE"""),"UK")</f>
        <v>UK</v>
      </c>
      <c r="E746" s="185" t="str">
        <f>IFERROR(__xludf.DUMMYFUNCTION("""COMPUTED_VALUE"""),"bind.media")</f>
        <v>bind.media</v>
      </c>
      <c r="F746" s="185" t="str">
        <f>IFERROR(__xludf.DUMMYFUNCTION("""COMPUTED_VALUE"""),"Homepage")</f>
        <v>Homepage</v>
      </c>
      <c r="G746" s="185" t="str">
        <f>IFERROR(__xludf.DUMMYFUNCTION("""COMPUTED_VALUE"""),"COMPETITOR")</f>
        <v>COMPETITOR</v>
      </c>
      <c r="H746" s="185" t="str">
        <f>IFERROR(__xludf.DUMMYFUNCTION("""COMPUTED_VALUE"""),"No")</f>
        <v>No</v>
      </c>
      <c r="I746" s="185" t="str">
        <f>IFERROR(__xludf.DUMMYFUNCTION("""COMPUTED_VALUE"""),"Low")</f>
        <v>Low</v>
      </c>
      <c r="J746" s="185" t="str">
        <f>IFERROR(__xludf.DUMMYFUNCTION("""COMPUTED_VALUE"""),"Secondary")</f>
        <v>Secondary</v>
      </c>
      <c r="K746" s="185" t="str">
        <f>IFERROR(__xludf.DUMMYFUNCTION("""COMPUTED_VALUE"""),"Bind Media, Push")</f>
        <v>Bind Media, Push</v>
      </c>
      <c r="L746" s="187">
        <f>IFERROR(__xludf.DUMMYFUNCTION("""COMPUTED_VALUE"""),1.0)</f>
        <v>1</v>
      </c>
      <c r="M746" s="188">
        <f>IFERROR(__xludf.DUMMYFUNCTION("""COMPUTED_VALUE"""),0.0)</f>
        <v>0</v>
      </c>
      <c r="N746" s="188">
        <f>IFERROR(__xludf.DUMMYFUNCTION("""COMPUTED_VALUE"""),0.0)</f>
        <v>0</v>
      </c>
      <c r="O746" s="208"/>
      <c r="P746" s="208"/>
      <c r="Q746" s="208"/>
      <c r="R746" s="208"/>
    </row>
    <row r="747">
      <c r="A747" s="185" t="str">
        <f>IFERROR(__xludf.DUMMYFUNCTION("""COMPUTED_VALUE"""),"Lower-priority competitor/vendor roundup")</f>
        <v>Lower-priority competitor/vendor roundup</v>
      </c>
      <c r="B747" s="186" t="str">
        <f>IFERROR(__xludf.DUMMYFUNCTION("""COMPUTED_VALUE"""),"https://bind.media/services/paid-media")</f>
        <v>https://bind.media/services/paid-media</v>
      </c>
      <c r="C747" s="185" t="str">
        <f>IFERROR(__xludf.DUMMYFUNCTION("""COMPUTED_VALUE"""),"Paid Media Agency | Bind Media")</f>
        <v>Paid Media Agency | Bind Media</v>
      </c>
      <c r="D747" s="185" t="str">
        <f>IFERROR(__xludf.DUMMYFUNCTION("""COMPUTED_VALUE"""),"UK")</f>
        <v>UK</v>
      </c>
      <c r="E747" s="185" t="str">
        <f>IFERROR(__xludf.DUMMYFUNCTION("""COMPUTED_VALUE"""),"bind.media")</f>
        <v>bind.media</v>
      </c>
      <c r="F747" s="185" t="str">
        <f>IFERROR(__xludf.DUMMYFUNCTION("""COMPUTED_VALUE"""),"Product Page")</f>
        <v>Product Page</v>
      </c>
      <c r="G747" s="185" t="str">
        <f>IFERROR(__xludf.DUMMYFUNCTION("""COMPUTED_VALUE"""),"COMPETITOR")</f>
        <v>COMPETITOR</v>
      </c>
      <c r="H747" s="185" t="str">
        <f>IFERROR(__xludf.DUMMYFUNCTION("""COMPUTED_VALUE"""),"No")</f>
        <v>No</v>
      </c>
      <c r="I747" s="185" t="str">
        <f>IFERROR(__xludf.DUMMYFUNCTION("""COMPUTED_VALUE"""),"Low")</f>
        <v>Low</v>
      </c>
      <c r="J747" s="185" t="str">
        <f>IFERROR(__xludf.DUMMYFUNCTION("""COMPUTED_VALUE"""),"Secondary")</f>
        <v>Secondary</v>
      </c>
      <c r="K747" s="185" t="str">
        <f>IFERROR(__xludf.DUMMYFUNCTION("""COMPUTED_VALUE"""),"Bind Media")</f>
        <v>Bind Media</v>
      </c>
      <c r="L747" s="187">
        <f>IFERROR(__xludf.DUMMYFUNCTION("""COMPUTED_VALUE"""),1.0)</f>
        <v>1</v>
      </c>
      <c r="M747" s="188">
        <f>IFERROR(__xludf.DUMMYFUNCTION("""COMPUTED_VALUE"""),0.0)</f>
        <v>0</v>
      </c>
      <c r="N747" s="188">
        <f>IFERROR(__xludf.DUMMYFUNCTION("""COMPUTED_VALUE"""),0.0)</f>
        <v>0</v>
      </c>
      <c r="O747" s="208"/>
      <c r="P747" s="208"/>
      <c r="Q747" s="208"/>
      <c r="R747" s="208"/>
    </row>
    <row r="748">
      <c r="A748" s="185" t="str">
        <f>IFERROR(__xludf.DUMMYFUNCTION("""COMPUTED_VALUE"""),"Official partner / certification ecosystem")</f>
        <v>Official partner / certification ecosystem</v>
      </c>
      <c r="B748" s="186" t="str">
        <f>IFERROR(__xludf.DUMMYFUNCTION("""COMPUTED_VALUE"""),"https://business.google.com/us/think/measurement/incrementality-testing/")</f>
        <v>https://business.google.com/us/think/measurement/incrementality-testing/</v>
      </c>
      <c r="C748" s="185" t="str">
        <f>IFERROR(__xludf.DUMMYFUNCTION("""COMPUTED_VALUE"""),"Use incrementality testing for effective marketing measurement")</f>
        <v>Use incrementality testing for effective marketing measurement</v>
      </c>
      <c r="D748" s="185" t="str">
        <f>IFERROR(__xludf.DUMMYFUNCTION("""COMPUTED_VALUE"""),"UK")</f>
        <v>UK</v>
      </c>
      <c r="E748" s="185" t="str">
        <f>IFERROR(__xludf.DUMMYFUNCTION("""COMPUTED_VALUE"""),"google.com")</f>
        <v>google.com</v>
      </c>
      <c r="F748" s="185" t="str">
        <f>IFERROR(__xludf.DUMMYFUNCTION("""COMPUTED_VALUE"""),"Article")</f>
        <v>Article</v>
      </c>
      <c r="G748" s="185" t="str">
        <f>IFERROR(__xludf.DUMMYFUNCTION("""COMPUTED_VALUE"""),"OTHER")</f>
        <v>OTHER</v>
      </c>
      <c r="H748" s="185" t="str">
        <f>IFERROR(__xludf.DUMMYFUNCTION("""COMPUTED_VALUE"""),"No")</f>
        <v>No</v>
      </c>
      <c r="I748" s="185" t="str">
        <f>IFERROR(__xludf.DUMMYFUNCTION("""COMPUTED_VALUE"""),"High")</f>
        <v>High</v>
      </c>
      <c r="J748" s="185" t="str">
        <f>IFERROR(__xludf.DUMMYFUNCTION("""COMPUTED_VALUE"""),"Yes - priority")</f>
        <v>Yes - priority</v>
      </c>
      <c r="K748" s="185"/>
      <c r="L748" s="187">
        <f>IFERROR(__xludf.DUMMYFUNCTION("""COMPUTED_VALUE"""),1.0)</f>
        <v>1</v>
      </c>
      <c r="M748" s="188">
        <f>IFERROR(__xludf.DUMMYFUNCTION("""COMPUTED_VALUE"""),0.0)</f>
        <v>0</v>
      </c>
      <c r="N748" s="188">
        <f>IFERROR(__xludf.DUMMYFUNCTION("""COMPUTED_VALUE"""),0.0)</f>
        <v>0</v>
      </c>
      <c r="O748" s="208"/>
      <c r="P748" s="208"/>
      <c r="Q748" s="208"/>
      <c r="R748" s="208"/>
    </row>
    <row r="749">
      <c r="A749" s="185" t="str">
        <f>IFERROR(__xludf.DUMMYFUNCTION("""COMPUTED_VALUE"""),"Trade media / editorial publication")</f>
        <v>Trade media / editorial publication</v>
      </c>
      <c r="B749" s="186" t="str">
        <f>IFERROR(__xludf.DUMMYFUNCTION("""COMPUTED_VALUE"""),"https://www.businessofapps.com/marketplace/performance-marketing/")</f>
        <v>https://www.businessofapps.com/marketplace/performance-marketing/</v>
      </c>
      <c r="C749" s="185" t="str">
        <f>IFERROR(__xludf.DUMMYFUNCTION("""COMPUTED_VALUE"""),"Top Performance Marketing Agencies (2026) - Business of Apps")</f>
        <v>Top Performance Marketing Agencies (2026) - Business of Apps</v>
      </c>
      <c r="D749" s="185" t="str">
        <f>IFERROR(__xludf.DUMMYFUNCTION("""COMPUTED_VALUE"""),"UK")</f>
        <v>UK</v>
      </c>
      <c r="E749" s="185" t="str">
        <f>IFERROR(__xludf.DUMMYFUNCTION("""COMPUTED_VALUE"""),"businessofapps.com")</f>
        <v>businessofapps.com</v>
      </c>
      <c r="F749" s="185" t="str">
        <f>IFERROR(__xludf.DUMMYFUNCTION("""COMPUTED_VALUE"""),"Category Page")</f>
        <v>Category Page</v>
      </c>
      <c r="G749" s="185" t="str">
        <f>IFERROR(__xludf.DUMMYFUNCTION("""COMPUTED_VALUE"""),"EDITORIAL")</f>
        <v>EDITORIAL</v>
      </c>
      <c r="H749" s="185" t="str">
        <f>IFERROR(__xludf.DUMMYFUNCTION("""COMPUTED_VALUE"""),"Yes")</f>
        <v>Yes</v>
      </c>
      <c r="I749" s="185" t="str">
        <f>IFERROR(__xludf.DUMMYFUNCTION("""COMPUTED_VALUE"""),"Medium")</f>
        <v>Medium</v>
      </c>
      <c r="J749" s="185" t="str">
        <f>IFERROR(__xludf.DUMMYFUNCTION("""COMPUTED_VALUE"""),"Yes")</f>
        <v>Yes</v>
      </c>
      <c r="K749" s="185" t="str">
        <f>IFERROR(__xludf.DUMMYFUNCTION("""COMPUTED_VALUE"""),"Push, The Social Shepherd, Measured, Favoured, Incubeta")</f>
        <v>Push, The Social Shepherd, Measured, Favoured, Incubeta</v>
      </c>
      <c r="L749" s="187">
        <f>IFERROR(__xludf.DUMMYFUNCTION("""COMPUTED_VALUE"""),1.0)</f>
        <v>1</v>
      </c>
      <c r="M749" s="188">
        <f>IFERROR(__xludf.DUMMYFUNCTION("""COMPUTED_VALUE"""),0.0)</f>
        <v>0</v>
      </c>
      <c r="N749" s="188">
        <f>IFERROR(__xludf.DUMMYFUNCTION("""COMPUTED_VALUE"""),0.0)</f>
        <v>0</v>
      </c>
      <c r="O749" s="208"/>
      <c r="P749" s="208"/>
      <c r="Q749" s="208"/>
      <c r="R749" s="208"/>
    </row>
    <row r="750">
      <c r="A750" s="185" t="str">
        <f>IFERROR(__xludf.DUMMYFUNCTION("""COMPUTED_VALUE"""),"Agency directory / review marketplace")</f>
        <v>Agency directory / review marketplace</v>
      </c>
      <c r="B750" s="186" t="str">
        <f>IFERROR(__xludf.DUMMYFUNCTION("""COMPUTED_VALUE"""),"https://clutch.co/agencies/account-based-marketing/uk")</f>
        <v>https://clutch.co/agencies/account-based-marketing/uk</v>
      </c>
      <c r="C750" s="185" t="str">
        <f>IFERROR(__xludf.DUMMYFUNCTION("""COMPUTED_VALUE"""),"Top Account Based Marketing Agencies in the United Kingdom - Jul 2026 Rankings \| Clutch.co")</f>
        <v>Top Account Based Marketing Agencies in the United Kingdom - Jul 2026 Rankings \| Clutch.co</v>
      </c>
      <c r="D750" s="185" t="str">
        <f>IFERROR(__xludf.DUMMYFUNCTION("""COMPUTED_VALUE"""),"UK")</f>
        <v>UK</v>
      </c>
      <c r="E750" s="185" t="str">
        <f>IFERROR(__xludf.DUMMYFUNCTION("""COMPUTED_VALUE"""),"clutch.co")</f>
        <v>clutch.co</v>
      </c>
      <c r="F750" s="185" t="str">
        <f>IFERROR(__xludf.DUMMYFUNCTION("""COMPUTED_VALUE"""),"Category Page")</f>
        <v>Category Page</v>
      </c>
      <c r="G750" s="185" t="str">
        <f>IFERROR(__xludf.DUMMYFUNCTION("""COMPUTED_VALUE"""),"CORPORATE")</f>
        <v>CORPORATE</v>
      </c>
      <c r="H750" s="185" t="str">
        <f>IFERROR(__xludf.DUMMYFUNCTION("""COMPUTED_VALUE"""),"No")</f>
        <v>No</v>
      </c>
      <c r="I750" s="185" t="str">
        <f>IFERROR(__xludf.DUMMYFUNCTION("""COMPUTED_VALUE"""),"Medium")</f>
        <v>Medium</v>
      </c>
      <c r="J750" s="185" t="str">
        <f>IFERROR(__xludf.DUMMYFUNCTION("""COMPUTED_VALUE"""),"Yes")</f>
        <v>Yes</v>
      </c>
      <c r="K750" s="185" t="str">
        <f>IFERROR(__xludf.DUMMYFUNCTION("""COMPUTED_VALUE"""),"Found, Gripped, Momentum")</f>
        <v>Found, Gripped, Momentum</v>
      </c>
      <c r="L750" s="187">
        <f>IFERROR(__xludf.DUMMYFUNCTION("""COMPUTED_VALUE"""),1.0)</f>
        <v>1</v>
      </c>
      <c r="M750" s="188">
        <f>IFERROR(__xludf.DUMMYFUNCTION("""COMPUTED_VALUE"""),0.0)</f>
        <v>0</v>
      </c>
      <c r="N750" s="188">
        <f>IFERROR(__xludf.DUMMYFUNCTION("""COMPUTED_VALUE"""),0.0)</f>
        <v>0</v>
      </c>
      <c r="O750" s="208"/>
      <c r="P750" s="208"/>
      <c r="Q750" s="208"/>
      <c r="R750" s="208"/>
    </row>
    <row r="751">
      <c r="A751" s="185" t="str">
        <f>IFERROR(__xludf.DUMMYFUNCTION("""COMPUTED_VALUE"""),"Agency directory / review marketplace")</f>
        <v>Agency directory / review marketplace</v>
      </c>
      <c r="B751" s="186" t="str">
        <f>IFERROR(__xludf.DUMMYFUNCTION("""COMPUTED_VALUE"""),"https://clutch.co/agencies/conversion-optimization/uk")</f>
        <v>https://clutch.co/agencies/conversion-optimization/uk</v>
      </c>
      <c r="C751" s="185" t="str">
        <f>IFERROR(__xludf.DUMMYFUNCTION("""COMPUTED_VALUE"""),"Top Conversion Rate Optimization Services in the United Kingdom - Jul 2026 Rankings \| Clutch.co")</f>
        <v>Top Conversion Rate Optimization Services in the United Kingdom - Jul 2026 Rankings \| Clutch.co</v>
      </c>
      <c r="D751" s="185" t="str">
        <f>IFERROR(__xludf.DUMMYFUNCTION("""COMPUTED_VALUE"""),"UK")</f>
        <v>UK</v>
      </c>
      <c r="E751" s="185" t="str">
        <f>IFERROR(__xludf.DUMMYFUNCTION("""COMPUTED_VALUE"""),"clutch.co")</f>
        <v>clutch.co</v>
      </c>
      <c r="F751" s="185" t="str">
        <f>IFERROR(__xludf.DUMMYFUNCTION("""COMPUTED_VALUE"""),"Category Page")</f>
        <v>Category Page</v>
      </c>
      <c r="G751" s="185" t="str">
        <f>IFERROR(__xludf.DUMMYFUNCTION("""COMPUTED_VALUE"""),"CORPORATE")</f>
        <v>CORPORATE</v>
      </c>
      <c r="H751" s="185" t="str">
        <f>IFERROR(__xludf.DUMMYFUNCTION("""COMPUTED_VALUE"""),"No")</f>
        <v>No</v>
      </c>
      <c r="I751" s="185" t="str">
        <f>IFERROR(__xludf.DUMMYFUNCTION("""COMPUTED_VALUE"""),"Medium")</f>
        <v>Medium</v>
      </c>
      <c r="J751" s="185" t="str">
        <f>IFERROR(__xludf.DUMMYFUNCTION("""COMPUTED_VALUE"""),"Yes")</f>
        <v>Yes</v>
      </c>
      <c r="K751" s="185" t="str">
        <f>IFERROR(__xludf.DUMMYFUNCTION("""COMPUTED_VALUE"""),"Soap Media, Launch Online, Propeller, Found, Gripped, Bind Media")</f>
        <v>Soap Media, Launch Online, Propeller, Found, Gripped, Bind Media</v>
      </c>
      <c r="L751" s="187">
        <f>IFERROR(__xludf.DUMMYFUNCTION("""COMPUTED_VALUE"""),1.0)</f>
        <v>1</v>
      </c>
      <c r="M751" s="188">
        <f>IFERROR(__xludf.DUMMYFUNCTION("""COMPUTED_VALUE"""),0.0)</f>
        <v>0</v>
      </c>
      <c r="N751" s="188">
        <f>IFERROR(__xludf.DUMMYFUNCTION("""COMPUTED_VALUE"""),0.0)</f>
        <v>0</v>
      </c>
      <c r="O751" s="208"/>
      <c r="P751" s="208"/>
      <c r="Q751" s="208"/>
      <c r="R751" s="208"/>
    </row>
    <row r="752">
      <c r="A752" s="185" t="str">
        <f>IFERROR(__xludf.DUMMYFUNCTION("""COMPUTED_VALUE"""),"Agency directory / review marketplace")</f>
        <v>Agency directory / review marketplace</v>
      </c>
      <c r="B752" s="186"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C752" s="185" t="str">
        <f>IFERROR(__xludf.DUMMYFUNCTION("""COMPUTED_VALUE"""),"Best Digital Marketing Agencies - Jul 2026 Rankings \| Clutch.co")</f>
        <v>Best Digital Marketing Agencies - Jul 2026 Rankings \| Clutch.co</v>
      </c>
      <c r="D752" s="185" t="str">
        <f>IFERROR(__xludf.DUMMYFUNCTION("""COMPUTED_VALUE"""),"UK")</f>
        <v>UK</v>
      </c>
      <c r="E752" s="185" t="str">
        <f>IFERROR(__xludf.DUMMYFUNCTION("""COMPUTED_VALUE"""),"clutch.co")</f>
        <v>clutch.co</v>
      </c>
      <c r="F752" s="185" t="str">
        <f>IFERROR(__xludf.DUMMYFUNCTION("""COMPUTED_VALUE"""),"Category Page")</f>
        <v>Category Page</v>
      </c>
      <c r="G752" s="185" t="str">
        <f>IFERROR(__xludf.DUMMYFUNCTION("""COMPUTED_VALUE"""),"CORPORATE")</f>
        <v>CORPORATE</v>
      </c>
      <c r="H752" s="185" t="str">
        <f>IFERROR(__xludf.DUMMYFUNCTION("""COMPUTED_VALUE"""),"No")</f>
        <v>No</v>
      </c>
      <c r="I752" s="185" t="str">
        <f>IFERROR(__xludf.DUMMYFUNCTION("""COMPUTED_VALUE"""),"Medium")</f>
        <v>Medium</v>
      </c>
      <c r="J752" s="185" t="str">
        <f>IFERROR(__xludf.DUMMYFUNCTION("""COMPUTED_VALUE"""),"Yes")</f>
        <v>Yes</v>
      </c>
      <c r="K752" s="185"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L752" s="187">
        <f>IFERROR(__xludf.DUMMYFUNCTION("""COMPUTED_VALUE"""),1.0)</f>
        <v>1</v>
      </c>
      <c r="M752" s="188">
        <f>IFERROR(__xludf.DUMMYFUNCTION("""COMPUTED_VALUE"""),0.0)</f>
        <v>0</v>
      </c>
      <c r="N752" s="188">
        <f>IFERROR(__xludf.DUMMYFUNCTION("""COMPUTED_VALUE"""),2.0)</f>
        <v>2</v>
      </c>
      <c r="O752" s="208"/>
      <c r="P752" s="208"/>
      <c r="Q752" s="208"/>
      <c r="R752" s="208"/>
    </row>
    <row r="753">
      <c r="A753" s="185" t="str">
        <f>IFERROR(__xludf.DUMMYFUNCTION("""COMPUTED_VALUE"""),"Agency directory / review marketplace")</f>
        <v>Agency directory / review marketplace</v>
      </c>
      <c r="B753" s="186" t="str">
        <f>IFERROR(__xludf.DUMMYFUNCTION("""COMPUTED_VALUE"""),"https://clutch.co/agencies/digital-marketing/enterprise/uk/england/london")</f>
        <v>https://clutch.co/agencies/digital-marketing/enterprise/uk/england/london</v>
      </c>
      <c r="C753" s="185" t="str">
        <f>IFERROR(__xludf.DUMMYFUNCTION("""COMPUTED_VALUE"""),"Top Digital Marketing Agencies for Enterprise in London - Jul 2026 Rankings \| Clutch.co")</f>
        <v>Top Digital Marketing Agencies for Enterprise in London - Jul 2026 Rankings \| Clutch.co</v>
      </c>
      <c r="D753" s="185" t="str">
        <f>IFERROR(__xludf.DUMMYFUNCTION("""COMPUTED_VALUE"""),"UK")</f>
        <v>UK</v>
      </c>
      <c r="E753" s="185" t="str">
        <f>IFERROR(__xludf.DUMMYFUNCTION("""COMPUTED_VALUE"""),"clutch.co")</f>
        <v>clutch.co</v>
      </c>
      <c r="F753" s="185" t="str">
        <f>IFERROR(__xludf.DUMMYFUNCTION("""COMPUTED_VALUE"""),"Category Page")</f>
        <v>Category Page</v>
      </c>
      <c r="G753" s="185" t="str">
        <f>IFERROR(__xludf.DUMMYFUNCTION("""COMPUTED_VALUE"""),"CORPORATE")</f>
        <v>CORPORATE</v>
      </c>
      <c r="H753" s="185" t="str">
        <f>IFERROR(__xludf.DUMMYFUNCTION("""COMPUTED_VALUE"""),"No")</f>
        <v>No</v>
      </c>
      <c r="I753" s="185" t="str">
        <f>IFERROR(__xludf.DUMMYFUNCTION("""COMPUTED_VALUE"""),"Medium")</f>
        <v>Medium</v>
      </c>
      <c r="J753" s="185" t="str">
        <f>IFERROR(__xludf.DUMMYFUNCTION("""COMPUTED_VALUE"""),"Yes")</f>
        <v>Yes</v>
      </c>
      <c r="K753" s="185" t="str">
        <f>IFERROR(__xludf.DUMMYFUNCTION("""COMPUTED_VALUE"""),"Impression, M3.agency, Ninja Promo, ROAST, Favoured, GA Agency, Propeller, Bird Marketing, Found")</f>
        <v>Impression, M3.agency, Ninja Promo, ROAST, Favoured, GA Agency, Propeller, Bird Marketing, Found</v>
      </c>
      <c r="L753" s="187">
        <f>IFERROR(__xludf.DUMMYFUNCTION("""COMPUTED_VALUE"""),1.0)</f>
        <v>1</v>
      </c>
      <c r="M753" s="188">
        <f>IFERROR(__xludf.DUMMYFUNCTION("""COMPUTED_VALUE"""),0.0)</f>
        <v>0</v>
      </c>
      <c r="N753" s="188">
        <f>IFERROR(__xludf.DUMMYFUNCTION("""COMPUTED_VALUE"""),1.0)</f>
        <v>1</v>
      </c>
      <c r="O753" s="208"/>
      <c r="P753" s="208"/>
      <c r="Q753" s="208"/>
      <c r="R753" s="208"/>
    </row>
    <row r="754">
      <c r="A754" s="185" t="str">
        <f>IFERROR(__xludf.DUMMYFUNCTION("""COMPUTED_VALUE"""),"Agency directory / review marketplace")</f>
        <v>Agency directory / review marketplace</v>
      </c>
      <c r="B754" s="186" t="str">
        <f>IFERROR(__xludf.DUMMYFUNCTION("""COMPUTED_VALUE"""),"https://clutch.co/agencies/market-research/uk")</f>
        <v>https://clutch.co/agencies/market-research/uk</v>
      </c>
      <c r="C754" s="185" t="str">
        <f>IFERROR(__xludf.DUMMYFUNCTION("""COMPUTED_VALUE"""),"Top Market Research Companies in the United Kingdom - Jul 2026 Rankings \| Clutch.co")</f>
        <v>Top Market Research Companies in the United Kingdom - Jul 2026 Rankings \| Clutch.co</v>
      </c>
      <c r="D754" s="185" t="str">
        <f>IFERROR(__xludf.DUMMYFUNCTION("""COMPUTED_VALUE"""),"UK")</f>
        <v>UK</v>
      </c>
      <c r="E754" s="185" t="str">
        <f>IFERROR(__xludf.DUMMYFUNCTION("""COMPUTED_VALUE"""),"clutch.co")</f>
        <v>clutch.co</v>
      </c>
      <c r="F754" s="185" t="str">
        <f>IFERROR(__xludf.DUMMYFUNCTION("""COMPUTED_VALUE"""),"Category Page")</f>
        <v>Category Page</v>
      </c>
      <c r="G754" s="185" t="str">
        <f>IFERROR(__xludf.DUMMYFUNCTION("""COMPUTED_VALUE"""),"CORPORATE")</f>
        <v>CORPORATE</v>
      </c>
      <c r="H754" s="185" t="str">
        <f>IFERROR(__xludf.DUMMYFUNCTION("""COMPUTED_VALUE"""),"No")</f>
        <v>No</v>
      </c>
      <c r="I754" s="185" t="str">
        <f>IFERROR(__xludf.DUMMYFUNCTION("""COMPUTED_VALUE"""),"Medium")</f>
        <v>Medium</v>
      </c>
      <c r="J754" s="185" t="str">
        <f>IFERROR(__xludf.DUMMYFUNCTION("""COMPUTED_VALUE"""),"Yes")</f>
        <v>Yes</v>
      </c>
      <c r="K754" s="185" t="str">
        <f>IFERROR(__xludf.DUMMYFUNCTION("""COMPUTED_VALUE"""),"Found")</f>
        <v>Found</v>
      </c>
      <c r="L754" s="187">
        <f>IFERROR(__xludf.DUMMYFUNCTION("""COMPUTED_VALUE"""),1.0)</f>
        <v>1</v>
      </c>
      <c r="M754" s="188">
        <f>IFERROR(__xludf.DUMMYFUNCTION("""COMPUTED_VALUE"""),0.0)</f>
        <v>0</v>
      </c>
      <c r="N754" s="188">
        <f>IFERROR(__xludf.DUMMYFUNCTION("""COMPUTED_VALUE"""),0.0)</f>
        <v>0</v>
      </c>
      <c r="O754" s="208"/>
      <c r="P754" s="208"/>
      <c r="Q754" s="208"/>
      <c r="R754" s="208"/>
    </row>
    <row r="755">
      <c r="A755" s="185" t="str">
        <f>IFERROR(__xludf.DUMMYFUNCTION("""COMPUTED_VALUE"""),"Agency directory / review marketplace")</f>
        <v>Agency directory / review marketplace</v>
      </c>
      <c r="B755" s="186" t="str">
        <f>IFERROR(__xludf.DUMMYFUNCTION("""COMPUTED_VALUE"""),"https://clutch.co/agencies/performance-marketing%3Fpage%3D0")</f>
        <v>https://clutch.co/agencies/performance-marketing%3Fpage%3D0</v>
      </c>
      <c r="C755" s="185" t="str">
        <f>IFERROR(__xludf.DUMMYFUNCTION("""COMPUTED_VALUE"""),"Top Performance Marketing Agencies - Jul 2026 Rankings \| Clutch.co")</f>
        <v>Top Performance Marketing Agencies - Jul 2026 Rankings \| Clutch.co</v>
      </c>
      <c r="D755" s="185" t="str">
        <f>IFERROR(__xludf.DUMMYFUNCTION("""COMPUTED_VALUE"""),"UK")</f>
        <v>UK</v>
      </c>
      <c r="E755" s="185" t="str">
        <f>IFERROR(__xludf.DUMMYFUNCTION("""COMPUTED_VALUE"""),"clutch.co")</f>
        <v>clutch.co</v>
      </c>
      <c r="F755" s="185" t="str">
        <f>IFERROR(__xludf.DUMMYFUNCTION("""COMPUTED_VALUE"""),"Listicle")</f>
        <v>Listicle</v>
      </c>
      <c r="G755" s="185" t="str">
        <f>IFERROR(__xludf.DUMMYFUNCTION("""COMPUTED_VALUE"""),"CORPORATE")</f>
        <v>CORPORATE</v>
      </c>
      <c r="H755" s="185" t="str">
        <f>IFERROR(__xludf.DUMMYFUNCTION("""COMPUTED_VALUE"""),"No")</f>
        <v>No</v>
      </c>
      <c r="I755" s="185" t="str">
        <f>IFERROR(__xludf.DUMMYFUNCTION("""COMPUTED_VALUE"""),"Medium")</f>
        <v>Medium</v>
      </c>
      <c r="J755" s="185" t="str">
        <f>IFERROR(__xludf.DUMMYFUNCTION("""COMPUTED_VALUE"""),"Yes")</f>
        <v>Yes</v>
      </c>
      <c r="K755" s="185" t="str">
        <f>IFERROR(__xludf.DUMMYFUNCTION("""COMPUTED_VALUE"""),"Disruptive Advertising, Launch Online, Momentum, GA Agency, Found")</f>
        <v>Disruptive Advertising, Launch Online, Momentum, GA Agency, Found</v>
      </c>
      <c r="L755" s="187">
        <f>IFERROR(__xludf.DUMMYFUNCTION("""COMPUTED_VALUE"""),1.0)</f>
        <v>1</v>
      </c>
      <c r="M755" s="188">
        <f>IFERROR(__xludf.DUMMYFUNCTION("""COMPUTED_VALUE"""),0.0)</f>
        <v>0</v>
      </c>
      <c r="N755" s="188">
        <f>IFERROR(__xludf.DUMMYFUNCTION("""COMPUTED_VALUE"""),0.0)</f>
        <v>0</v>
      </c>
      <c r="O755" s="208"/>
      <c r="P755" s="208"/>
      <c r="Q755" s="208"/>
      <c r="R755" s="208"/>
    </row>
    <row r="756">
      <c r="A756" s="185" t="str">
        <f>IFERROR(__xludf.DUMMYFUNCTION("""COMPUTED_VALUE"""),"Agency directory / review marketplace")</f>
        <v>Agency directory / review marketplace</v>
      </c>
      <c r="B756" s="186" t="str">
        <f>IFERROR(__xludf.DUMMYFUNCTION("""COMPUTED_VALUE"""),"https://clutch.co/agencies/ppc/display%3Fpage%3D0")</f>
        <v>https://clutch.co/agencies/ppc/display%3Fpage%3D0</v>
      </c>
      <c r="C756" s="185" t="str">
        <f>IFERROR(__xludf.DUMMYFUNCTION("""COMPUTED_VALUE"""),"Top Display Advertising Agencies - Jul 2026 Rankings | Clutch.co")</f>
        <v>Top Display Advertising Agencies - Jul 2026 Rankings | Clutch.co</v>
      </c>
      <c r="D756" s="185" t="str">
        <f>IFERROR(__xludf.DUMMYFUNCTION("""COMPUTED_VALUE"""),"UK")</f>
        <v>UK</v>
      </c>
      <c r="E756" s="185" t="str">
        <f>IFERROR(__xludf.DUMMYFUNCTION("""COMPUTED_VALUE"""),"clutch.co")</f>
        <v>clutch.co</v>
      </c>
      <c r="F756" s="185" t="str">
        <f>IFERROR(__xludf.DUMMYFUNCTION("""COMPUTED_VALUE"""),"Profile")</f>
        <v>Profile</v>
      </c>
      <c r="G756" s="185" t="str">
        <f>IFERROR(__xludf.DUMMYFUNCTION("""COMPUTED_VALUE"""),"CORPORATE")</f>
        <v>CORPORATE</v>
      </c>
      <c r="H756" s="185" t="str">
        <f>IFERROR(__xludf.DUMMYFUNCTION("""COMPUTED_VALUE"""),"No")</f>
        <v>No</v>
      </c>
      <c r="I756" s="185" t="str">
        <f>IFERROR(__xludf.DUMMYFUNCTION("""COMPUTED_VALUE"""),"Medium")</f>
        <v>Medium</v>
      </c>
      <c r="J756" s="185" t="str">
        <f>IFERROR(__xludf.DUMMYFUNCTION("""COMPUTED_VALUE"""),"Yes")</f>
        <v>Yes</v>
      </c>
      <c r="K756" s="185" t="str">
        <f>IFERROR(__xludf.DUMMYFUNCTION("""COMPUTED_VALUE"""),"Ninja Promo, Soap Media, Found, Impression, Huge, The SEO Works, GA Agency")</f>
        <v>Ninja Promo, Soap Media, Found, Impression, Huge, The SEO Works, GA Agency</v>
      </c>
      <c r="L756" s="187">
        <f>IFERROR(__xludf.DUMMYFUNCTION("""COMPUTED_VALUE"""),1.0)</f>
        <v>1</v>
      </c>
      <c r="M756" s="188">
        <f>IFERROR(__xludf.DUMMYFUNCTION("""COMPUTED_VALUE"""),0.0)</f>
        <v>0</v>
      </c>
      <c r="N756" s="188">
        <f>IFERROR(__xludf.DUMMYFUNCTION("""COMPUTED_VALUE"""),0.0)</f>
        <v>0</v>
      </c>
      <c r="O756" s="208"/>
      <c r="P756" s="208"/>
      <c r="Q756" s="208"/>
      <c r="R756" s="208"/>
    </row>
    <row r="757">
      <c r="A757" s="185" t="str">
        <f>IFERROR(__xludf.DUMMYFUNCTION("""COMPUTED_VALUE"""),"Agency directory / review marketplace")</f>
        <v>Agency directory / review marketplace</v>
      </c>
      <c r="B757" s="186" t="str">
        <f>IFERROR(__xludf.DUMMYFUNCTION("""COMPUTED_VALUE"""),"https://clutch.co/agencies/ppc/uk/england/nottingham")</f>
        <v>https://clutch.co/agencies/ppc/uk/england/nottingham</v>
      </c>
      <c r="C757" s="185" t="str">
        <f>IFERROR(__xludf.DUMMYFUNCTION("""COMPUTED_VALUE"""),"Top PPC Agencies - Jul 2026 Rankings \| Clutch.co")</f>
        <v>Top PPC Agencies - Jul 2026 Rankings \| Clutch.co</v>
      </c>
      <c r="D757" s="185" t="str">
        <f>IFERROR(__xludf.DUMMYFUNCTION("""COMPUTED_VALUE"""),"UK")</f>
        <v>UK</v>
      </c>
      <c r="E757" s="185" t="str">
        <f>IFERROR(__xludf.DUMMYFUNCTION("""COMPUTED_VALUE"""),"clutch.co")</f>
        <v>clutch.co</v>
      </c>
      <c r="F757" s="185" t="str">
        <f>IFERROR(__xludf.DUMMYFUNCTION("""COMPUTED_VALUE"""),"Category Page")</f>
        <v>Category Page</v>
      </c>
      <c r="G757" s="185" t="str">
        <f>IFERROR(__xludf.DUMMYFUNCTION("""COMPUTED_VALUE"""),"CORPORATE")</f>
        <v>CORPORATE</v>
      </c>
      <c r="H757" s="185" t="str">
        <f>IFERROR(__xludf.DUMMYFUNCTION("""COMPUTED_VALUE"""),"No")</f>
        <v>No</v>
      </c>
      <c r="I757" s="185" t="str">
        <f>IFERROR(__xludf.DUMMYFUNCTION("""COMPUTED_VALUE"""),"Medium")</f>
        <v>Medium</v>
      </c>
      <c r="J757" s="185" t="str">
        <f>IFERROR(__xludf.DUMMYFUNCTION("""COMPUTED_VALUE"""),"Yes")</f>
        <v>Yes</v>
      </c>
      <c r="K757" s="185" t="str">
        <f>IFERROR(__xludf.DUMMYFUNCTION("""COMPUTED_VALUE"""),"Propeller, Disruptive Advertising, Single Grain, Launch Online, Ninja Promo")</f>
        <v>Propeller, Disruptive Advertising, Single Grain, Launch Online, Ninja Promo</v>
      </c>
      <c r="L757" s="187">
        <f>IFERROR(__xludf.DUMMYFUNCTION("""COMPUTED_VALUE"""),1.0)</f>
        <v>1</v>
      </c>
      <c r="M757" s="188">
        <f>IFERROR(__xludf.DUMMYFUNCTION("""COMPUTED_VALUE"""),0.0)</f>
        <v>0</v>
      </c>
      <c r="N757" s="188">
        <f>IFERROR(__xludf.DUMMYFUNCTION("""COMPUTED_VALUE"""),0.0)</f>
        <v>0</v>
      </c>
      <c r="O757" s="208"/>
      <c r="P757" s="208"/>
      <c r="Q757" s="208"/>
      <c r="R757" s="208"/>
    </row>
    <row r="758">
      <c r="A758" s="185" t="str">
        <f>IFERROR(__xludf.DUMMYFUNCTION("""COMPUTED_VALUE"""),"Agency directory / review marketplace")</f>
        <v>Agency directory / review marketplace</v>
      </c>
      <c r="B758" s="186" t="str">
        <f>IFERROR(__xludf.DUMMYFUNCTION("""COMPUTED_VALUE"""),"https://clutch.co/agencies/programmatic/uk/england/london")</f>
        <v>https://clutch.co/agencies/programmatic/uk/england/london</v>
      </c>
      <c r="C758" s="185" t="str">
        <f>IFERROR(__xludf.DUMMYFUNCTION("""COMPUTED_VALUE"""),"Top Programmatic Advertising Agencies in London - Jul 2026 Rankings \| Clutch.co")</f>
        <v>Top Programmatic Advertising Agencies in London - Jul 2026 Rankings \| Clutch.co</v>
      </c>
      <c r="D758" s="185" t="str">
        <f>IFERROR(__xludf.DUMMYFUNCTION("""COMPUTED_VALUE"""),"UK")</f>
        <v>UK</v>
      </c>
      <c r="E758" s="185" t="str">
        <f>IFERROR(__xludf.DUMMYFUNCTION("""COMPUTED_VALUE"""),"clutch.co")</f>
        <v>clutch.co</v>
      </c>
      <c r="F758" s="185" t="str">
        <f>IFERROR(__xludf.DUMMYFUNCTION("""COMPUTED_VALUE"""),"Category Page")</f>
        <v>Category Page</v>
      </c>
      <c r="G758" s="185" t="str">
        <f>IFERROR(__xludf.DUMMYFUNCTION("""COMPUTED_VALUE"""),"CORPORATE")</f>
        <v>CORPORATE</v>
      </c>
      <c r="H758" s="185" t="str">
        <f>IFERROR(__xludf.DUMMYFUNCTION("""COMPUTED_VALUE"""),"No")</f>
        <v>No</v>
      </c>
      <c r="I758" s="185" t="str">
        <f>IFERROR(__xludf.DUMMYFUNCTION("""COMPUTED_VALUE"""),"Medium")</f>
        <v>Medium</v>
      </c>
      <c r="J758" s="185" t="str">
        <f>IFERROR(__xludf.DUMMYFUNCTION("""COMPUTED_VALUE"""),"Yes")</f>
        <v>Yes</v>
      </c>
      <c r="K758" s="185" t="str">
        <f>IFERROR(__xludf.DUMMYFUNCTION("""COMPUTED_VALUE"""),"ROAST, Ninja Promo, Push, WPP, Omnicom")</f>
        <v>ROAST, Ninja Promo, Push, WPP, Omnicom</v>
      </c>
      <c r="L758" s="187">
        <f>IFERROR(__xludf.DUMMYFUNCTION("""COMPUTED_VALUE"""),1.0)</f>
        <v>1</v>
      </c>
      <c r="M758" s="188">
        <f>IFERROR(__xludf.DUMMYFUNCTION("""COMPUTED_VALUE"""),0.0)</f>
        <v>0</v>
      </c>
      <c r="N758" s="188">
        <f>IFERROR(__xludf.DUMMYFUNCTION("""COMPUTED_VALUE"""),2.0)</f>
        <v>2</v>
      </c>
      <c r="O758" s="208"/>
      <c r="P758" s="208"/>
      <c r="Q758" s="208"/>
      <c r="R758" s="208"/>
    </row>
    <row r="759">
      <c r="A759" s="185" t="str">
        <f>IFERROR(__xludf.DUMMYFUNCTION("""COMPUTED_VALUE"""),"Agency directory / review marketplace")</f>
        <v>Agency directory / review marketplace</v>
      </c>
      <c r="B759" s="186" t="str">
        <f>IFERROR(__xludf.DUMMYFUNCTION("""COMPUTED_VALUE"""),"https://clutch.co/agencies/programmatic/uk/england/manchester")</f>
        <v>https://clutch.co/agencies/programmatic/uk/england/manchester</v>
      </c>
      <c r="C759" s="185" t="str">
        <f>IFERROR(__xludf.DUMMYFUNCTION("""COMPUTED_VALUE"""),"Top Programmatic Advertising Companies in Manchester - Jul 2026 Rankings \| Clutch.co")</f>
        <v>Top Programmatic Advertising Companies in Manchester - Jul 2026 Rankings \| Clutch.co</v>
      </c>
      <c r="D759" s="185" t="str">
        <f>IFERROR(__xludf.DUMMYFUNCTION("""COMPUTED_VALUE"""),"UK")</f>
        <v>UK</v>
      </c>
      <c r="E759" s="185" t="str">
        <f>IFERROR(__xludf.DUMMYFUNCTION("""COMPUTED_VALUE"""),"clutch.co")</f>
        <v>clutch.co</v>
      </c>
      <c r="F759" s="185" t="str">
        <f>IFERROR(__xludf.DUMMYFUNCTION("""COMPUTED_VALUE"""),"Other")</f>
        <v>Other</v>
      </c>
      <c r="G759" s="185" t="str">
        <f>IFERROR(__xludf.DUMMYFUNCTION("""COMPUTED_VALUE"""),"CORPORATE")</f>
        <v>CORPORATE</v>
      </c>
      <c r="H759" s="185" t="str">
        <f>IFERROR(__xludf.DUMMYFUNCTION("""COMPUTED_VALUE"""),"No")</f>
        <v>No</v>
      </c>
      <c r="I759" s="185" t="str">
        <f>IFERROR(__xludf.DUMMYFUNCTION("""COMPUTED_VALUE"""),"Medium")</f>
        <v>Medium</v>
      </c>
      <c r="J759" s="185" t="str">
        <f>IFERROR(__xludf.DUMMYFUNCTION("""COMPUTED_VALUE"""),"Yes")</f>
        <v>Yes</v>
      </c>
      <c r="K759" s="185" t="str">
        <f>IFERROR(__xludf.DUMMYFUNCTION("""COMPUTED_VALUE"""),"M3.agency, The SEO Works")</f>
        <v>M3.agency, The SEO Works</v>
      </c>
      <c r="L759" s="187">
        <f>IFERROR(__xludf.DUMMYFUNCTION("""COMPUTED_VALUE"""),1.0)</f>
        <v>1</v>
      </c>
      <c r="M759" s="188">
        <f>IFERROR(__xludf.DUMMYFUNCTION("""COMPUTED_VALUE"""),0.0)</f>
        <v>0</v>
      </c>
      <c r="N759" s="188">
        <f>IFERROR(__xludf.DUMMYFUNCTION("""COMPUTED_VALUE"""),0.0)</f>
        <v>0</v>
      </c>
      <c r="O759" s="208"/>
      <c r="P759" s="208"/>
      <c r="Q759" s="208"/>
      <c r="R759" s="208"/>
    </row>
    <row r="760">
      <c r="A760" s="185" t="str">
        <f>IFERROR(__xludf.DUMMYFUNCTION("""COMPUTED_VALUE"""),"Agency directory / review marketplace")</f>
        <v>Agency directory / review marketplace</v>
      </c>
      <c r="B760" s="186" t="str">
        <f>IFERROR(__xludf.DUMMYFUNCTION("""COMPUTED_VALUE"""),"https://clutch.co/agencies/programmatic/uk?page=2")</f>
        <v>https://clutch.co/agencies/programmatic/uk?page=2</v>
      </c>
      <c r="C760" s="185" t="str">
        <f>IFERROR(__xludf.DUMMYFUNCTION("""COMPUTED_VALUE"""),"Page 2 - Top Programmatic Advertising Companies in the United Kingdom - Jul 2026 Rankings \| Clutch.co")</f>
        <v>Page 2 - Top Programmatic Advertising Companies in the United Kingdom - Jul 2026 Rankings \| Clutch.co</v>
      </c>
      <c r="D760" s="185" t="str">
        <f>IFERROR(__xludf.DUMMYFUNCTION("""COMPUTED_VALUE"""),"UK")</f>
        <v>UK</v>
      </c>
      <c r="E760" s="185" t="str">
        <f>IFERROR(__xludf.DUMMYFUNCTION("""COMPUTED_VALUE"""),"clutch.co")</f>
        <v>clutch.co</v>
      </c>
      <c r="F760" s="185" t="str">
        <f>IFERROR(__xludf.DUMMYFUNCTION("""COMPUTED_VALUE"""),"Category Page")</f>
        <v>Category Page</v>
      </c>
      <c r="G760" s="185" t="str">
        <f>IFERROR(__xludf.DUMMYFUNCTION("""COMPUTED_VALUE"""),"CORPORATE")</f>
        <v>CORPORATE</v>
      </c>
      <c r="H760" s="185" t="str">
        <f>IFERROR(__xludf.DUMMYFUNCTION("""COMPUTED_VALUE"""),"No")</f>
        <v>No</v>
      </c>
      <c r="I760" s="185" t="str">
        <f>IFERROR(__xludf.DUMMYFUNCTION("""COMPUTED_VALUE"""),"Medium")</f>
        <v>Medium</v>
      </c>
      <c r="J760" s="185" t="str">
        <f>IFERROR(__xludf.DUMMYFUNCTION("""COMPUTED_VALUE"""),"Yes")</f>
        <v>Yes</v>
      </c>
      <c r="K760" s="185" t="str">
        <f>IFERROR(__xludf.DUMMYFUNCTION("""COMPUTED_VALUE"""),"ROAST, Ninja Promo, The SEO Works, M3.agency")</f>
        <v>ROAST, Ninja Promo, The SEO Works, M3.agency</v>
      </c>
      <c r="L760" s="187">
        <f>IFERROR(__xludf.DUMMYFUNCTION("""COMPUTED_VALUE"""),1.0)</f>
        <v>1</v>
      </c>
      <c r="M760" s="188">
        <f>IFERROR(__xludf.DUMMYFUNCTION("""COMPUTED_VALUE"""),0.0)</f>
        <v>0</v>
      </c>
      <c r="N760" s="188">
        <f>IFERROR(__xludf.DUMMYFUNCTION("""COMPUTED_VALUE"""),0.0)</f>
        <v>0</v>
      </c>
      <c r="O760" s="208"/>
      <c r="P760" s="208"/>
      <c r="Q760" s="208"/>
      <c r="R760" s="208"/>
    </row>
    <row r="761">
      <c r="A761" s="185" t="str">
        <f>IFERROR(__xludf.DUMMYFUNCTION("""COMPUTED_VALUE"""),"Agency directory / review marketplace")</f>
        <v>Agency directory / review marketplace</v>
      </c>
      <c r="B761" s="186" t="str">
        <f>IFERROR(__xludf.DUMMYFUNCTION("""COMPUTED_VALUE"""),"https://clutch.co/agencies/social-media-marketing/tik-tok/uk")</f>
        <v>https://clutch.co/agencies/social-media-marketing/tik-tok/uk</v>
      </c>
      <c r="C761" s="185" t="str">
        <f>IFERROR(__xludf.DUMMYFUNCTION("""COMPUTED_VALUE"""),"Top TikTok Advertising Agencies in the United Kingdom - Jul 2026 Rankings \| Clutch.co")</f>
        <v>Top TikTok Advertising Agencies in the United Kingdom - Jul 2026 Rankings \| Clutch.co</v>
      </c>
      <c r="D761" s="185" t="str">
        <f>IFERROR(__xludf.DUMMYFUNCTION("""COMPUTED_VALUE"""),"UK")</f>
        <v>UK</v>
      </c>
      <c r="E761" s="185" t="str">
        <f>IFERROR(__xludf.DUMMYFUNCTION("""COMPUTED_VALUE"""),"clutch.co")</f>
        <v>clutch.co</v>
      </c>
      <c r="F761" s="185" t="str">
        <f>IFERROR(__xludf.DUMMYFUNCTION("""COMPUTED_VALUE"""),"Category Page")</f>
        <v>Category Page</v>
      </c>
      <c r="G761" s="185" t="str">
        <f>IFERROR(__xludf.DUMMYFUNCTION("""COMPUTED_VALUE"""),"CORPORATE")</f>
        <v>CORPORATE</v>
      </c>
      <c r="H761" s="185" t="str">
        <f>IFERROR(__xludf.DUMMYFUNCTION("""COMPUTED_VALUE"""),"No")</f>
        <v>No</v>
      </c>
      <c r="I761" s="185" t="str">
        <f>IFERROR(__xludf.DUMMYFUNCTION("""COMPUTED_VALUE"""),"Medium")</f>
        <v>Medium</v>
      </c>
      <c r="J761" s="185" t="str">
        <f>IFERROR(__xludf.DUMMYFUNCTION("""COMPUTED_VALUE"""),"Yes")</f>
        <v>Yes</v>
      </c>
      <c r="K761" s="185" t="str">
        <f>IFERROR(__xludf.DUMMYFUNCTION("""COMPUTED_VALUE"""),"Favoured, Ninja Promo, Soap Media, M3.agency, Huge, Propeller, Impression, Found")</f>
        <v>Favoured, Ninja Promo, Soap Media, M3.agency, Huge, Propeller, Impression, Found</v>
      </c>
      <c r="L761" s="187">
        <f>IFERROR(__xludf.DUMMYFUNCTION("""COMPUTED_VALUE"""),1.0)</f>
        <v>1</v>
      </c>
      <c r="M761" s="188">
        <f>IFERROR(__xludf.DUMMYFUNCTION("""COMPUTED_VALUE"""),0.0)</f>
        <v>0</v>
      </c>
      <c r="N761" s="188">
        <f>IFERROR(__xludf.DUMMYFUNCTION("""COMPUTED_VALUE"""),2.0)</f>
        <v>2</v>
      </c>
      <c r="O761" s="208"/>
      <c r="P761" s="208"/>
      <c r="Q761" s="208"/>
      <c r="R761" s="208"/>
    </row>
    <row r="762">
      <c r="A762" s="185" t="str">
        <f>IFERROR(__xludf.DUMMYFUNCTION("""COMPUTED_VALUE"""),"Agency directory / review marketplace")</f>
        <v>Agency directory / review marketplace</v>
      </c>
      <c r="B762" s="186" t="str">
        <f>IFERROR(__xludf.DUMMYFUNCTION("""COMPUTED_VALUE"""),"https://clutch.co/developers/ecommerce")</f>
        <v>https://clutch.co/developers/ecommerce</v>
      </c>
      <c r="C762" s="185" t="str">
        <f>IFERROR(__xludf.DUMMYFUNCTION("""COMPUTED_VALUE"""),"Top E-Commerce Development Agencies - Jul 2026 Rankings | Clutch.co")</f>
        <v>Top E-Commerce Development Agencies - Jul 2026 Rankings | Clutch.co</v>
      </c>
      <c r="D762" s="185" t="str">
        <f>IFERROR(__xludf.DUMMYFUNCTION("""COMPUTED_VALUE"""),"UK")</f>
        <v>UK</v>
      </c>
      <c r="E762" s="185" t="str">
        <f>IFERROR(__xludf.DUMMYFUNCTION("""COMPUTED_VALUE"""),"clutch.co")</f>
        <v>clutch.co</v>
      </c>
      <c r="F762" s="185" t="str">
        <f>IFERROR(__xludf.DUMMYFUNCTION("""COMPUTED_VALUE"""),"Category Page")</f>
        <v>Category Page</v>
      </c>
      <c r="G762" s="185" t="str">
        <f>IFERROR(__xludf.DUMMYFUNCTION("""COMPUTED_VALUE"""),"CORPORATE")</f>
        <v>CORPORATE</v>
      </c>
      <c r="H762" s="185" t="str">
        <f>IFERROR(__xludf.DUMMYFUNCTION("""COMPUTED_VALUE"""),"No")</f>
        <v>No</v>
      </c>
      <c r="I762" s="185" t="str">
        <f>IFERROR(__xludf.DUMMYFUNCTION("""COMPUTED_VALUE"""),"Medium")</f>
        <v>Medium</v>
      </c>
      <c r="J762" s="185" t="str">
        <f>IFERROR(__xludf.DUMMYFUNCTION("""COMPUTED_VALUE"""),"Yes")</f>
        <v>Yes</v>
      </c>
      <c r="K762" s="185" t="str">
        <f>IFERROR(__xludf.DUMMYFUNCTION("""COMPUTED_VALUE"""),"Found, Launch Online")</f>
        <v>Found, Launch Online</v>
      </c>
      <c r="L762" s="187">
        <f>IFERROR(__xludf.DUMMYFUNCTION("""COMPUTED_VALUE"""),1.0)</f>
        <v>1</v>
      </c>
      <c r="M762" s="188">
        <f>IFERROR(__xludf.DUMMYFUNCTION("""COMPUTED_VALUE"""),0.0)</f>
        <v>0</v>
      </c>
      <c r="N762" s="188">
        <f>IFERROR(__xludf.DUMMYFUNCTION("""COMPUTED_VALUE"""),1.0)</f>
        <v>1</v>
      </c>
      <c r="O762" s="208"/>
      <c r="P762" s="208"/>
      <c r="Q762" s="208"/>
      <c r="R762" s="208"/>
    </row>
    <row r="763">
      <c r="A763" s="185" t="str">
        <f>IFERROR(__xludf.DUMMYFUNCTION("""COMPUTED_VALUE"""),"Agency directory / review marketplace")</f>
        <v>Agency directory / review marketplace</v>
      </c>
      <c r="B763" s="186" t="str">
        <f>IFERROR(__xludf.DUMMYFUNCTION("""COMPUTED_VALUE"""),"https://clutch.co/seo-firms/amazon/uk")</f>
        <v>https://clutch.co/seo-firms/amazon/uk</v>
      </c>
      <c r="C763" s="185" t="str">
        <f>IFERROR(__xludf.DUMMYFUNCTION("""COMPUTED_VALUE"""),"Top Amazon SEO Services in the United Kingdom - Jul 2026 Rankings \| Clutch.co")</f>
        <v>Top Amazon SEO Services in the United Kingdom - Jul 2026 Rankings \| Clutch.co</v>
      </c>
      <c r="D763" s="185" t="str">
        <f>IFERROR(__xludf.DUMMYFUNCTION("""COMPUTED_VALUE"""),"UK")</f>
        <v>UK</v>
      </c>
      <c r="E763" s="185" t="str">
        <f>IFERROR(__xludf.DUMMYFUNCTION("""COMPUTED_VALUE"""),"clutch.co")</f>
        <v>clutch.co</v>
      </c>
      <c r="F763" s="185" t="str">
        <f>IFERROR(__xludf.DUMMYFUNCTION("""COMPUTED_VALUE"""),"Category Page")</f>
        <v>Category Page</v>
      </c>
      <c r="G763" s="185" t="str">
        <f>IFERROR(__xludf.DUMMYFUNCTION("""COMPUTED_VALUE"""),"CORPORATE")</f>
        <v>CORPORATE</v>
      </c>
      <c r="H763" s="185" t="str">
        <f>IFERROR(__xludf.DUMMYFUNCTION("""COMPUTED_VALUE"""),"No")</f>
        <v>No</v>
      </c>
      <c r="I763" s="185" t="str">
        <f>IFERROR(__xludf.DUMMYFUNCTION("""COMPUTED_VALUE"""),"Medium")</f>
        <v>Medium</v>
      </c>
      <c r="J763" s="185" t="str">
        <f>IFERROR(__xludf.DUMMYFUNCTION("""COMPUTED_VALUE"""),"Yes")</f>
        <v>Yes</v>
      </c>
      <c r="K763" s="185" t="str">
        <f>IFERROR(__xludf.DUMMYFUNCTION("""COMPUTED_VALUE"""),"IDHL")</f>
        <v>IDHL</v>
      </c>
      <c r="L763" s="187">
        <f>IFERROR(__xludf.DUMMYFUNCTION("""COMPUTED_VALUE"""),1.0)</f>
        <v>1</v>
      </c>
      <c r="M763" s="188">
        <f>IFERROR(__xludf.DUMMYFUNCTION("""COMPUTED_VALUE"""),0.0)</f>
        <v>0</v>
      </c>
      <c r="N763" s="188">
        <f>IFERROR(__xludf.DUMMYFUNCTION("""COMPUTED_VALUE"""),1.0)</f>
        <v>1</v>
      </c>
      <c r="O763" s="208"/>
      <c r="P763" s="208"/>
      <c r="Q763" s="208"/>
      <c r="R763" s="208"/>
    </row>
    <row r="764">
      <c r="A764" s="185" t="str">
        <f>IFERROR(__xludf.DUMMYFUNCTION("""COMPUTED_VALUE"""),"Agency directory / review marketplace")</f>
        <v>Agency directory / review marketplace</v>
      </c>
      <c r="B764" s="186" t="str">
        <f>IFERROR(__xludf.DUMMYFUNCTION("""COMPUTED_VALUE"""),"https://clutch.co/seo-firms/link-building")</f>
        <v>https://clutch.co/seo-firms/link-building</v>
      </c>
      <c r="C764" s="185" t="str">
        <f>IFERROR(__xludf.DUMMYFUNCTION("""COMPUTED_VALUE"""),"Top Link Building Companies - Jul 2026 Rankings \| Clutch.co")</f>
        <v>Top Link Building Companies - Jul 2026 Rankings \| Clutch.co</v>
      </c>
      <c r="D764" s="185" t="str">
        <f>IFERROR(__xludf.DUMMYFUNCTION("""COMPUTED_VALUE"""),"UK")</f>
        <v>UK</v>
      </c>
      <c r="E764" s="185" t="str">
        <f>IFERROR(__xludf.DUMMYFUNCTION("""COMPUTED_VALUE"""),"clutch.co")</f>
        <v>clutch.co</v>
      </c>
      <c r="F764" s="185" t="str">
        <f>IFERROR(__xludf.DUMMYFUNCTION("""COMPUTED_VALUE"""),"Category Page")</f>
        <v>Category Page</v>
      </c>
      <c r="G764" s="185" t="str">
        <f>IFERROR(__xludf.DUMMYFUNCTION("""COMPUTED_VALUE"""),"CORPORATE")</f>
        <v>CORPORATE</v>
      </c>
      <c r="H764" s="185" t="str">
        <f>IFERROR(__xludf.DUMMYFUNCTION("""COMPUTED_VALUE"""),"No")</f>
        <v>No</v>
      </c>
      <c r="I764" s="185" t="str">
        <f>IFERROR(__xludf.DUMMYFUNCTION("""COMPUTED_VALUE"""),"Medium")</f>
        <v>Medium</v>
      </c>
      <c r="J764" s="185" t="str">
        <f>IFERROR(__xludf.DUMMYFUNCTION("""COMPUTED_VALUE"""),"Yes")</f>
        <v>Yes</v>
      </c>
      <c r="K764" s="185" t="str">
        <f>IFERROR(__xludf.DUMMYFUNCTION("""COMPUTED_VALUE"""),"Bird Marketing, WebFX, Ignite Visibility, Huge")</f>
        <v>Bird Marketing, WebFX, Ignite Visibility, Huge</v>
      </c>
      <c r="L764" s="187">
        <f>IFERROR(__xludf.DUMMYFUNCTION("""COMPUTED_VALUE"""),1.0)</f>
        <v>1</v>
      </c>
      <c r="M764" s="188">
        <f>IFERROR(__xludf.DUMMYFUNCTION("""COMPUTED_VALUE"""),0.0)</f>
        <v>0</v>
      </c>
      <c r="N764" s="188">
        <f>IFERROR(__xludf.DUMMYFUNCTION("""COMPUTED_VALUE"""),1.0)</f>
        <v>1</v>
      </c>
      <c r="O764" s="208"/>
      <c r="P764" s="208"/>
      <c r="Q764" s="208"/>
      <c r="R764" s="208"/>
    </row>
    <row r="765">
      <c r="A765" s="185" t="str">
        <f>IFERROR(__xludf.DUMMYFUNCTION("""COMPUTED_VALUE"""),"Lower-priority competitor/vendor roundup")</f>
        <v>Lower-priority competitor/vendor roundup</v>
      </c>
      <c r="B765" s="186" t="str">
        <f>IFERROR(__xludf.DUMMYFUNCTION("""COMPUTED_VALUE"""),"https://www.cometly.com/post/agency-marketing-attribution-tools")</f>
        <v>https://www.cometly.com/post/agency-marketing-attribution-tools</v>
      </c>
      <c r="C765" s="185" t="str">
        <f>IFERROR(__xludf.DUMMYFUNCTION("""COMPUTED_VALUE"""),"Top Agency Marketing Attribution Tools for 2026 Tips")</f>
        <v>Top Agency Marketing Attribution Tools for 2026 Tips</v>
      </c>
      <c r="D765" s="185" t="str">
        <f>IFERROR(__xludf.DUMMYFUNCTION("""COMPUTED_VALUE"""),"UK")</f>
        <v>UK</v>
      </c>
      <c r="E765" s="185" t="str">
        <f>IFERROR(__xludf.DUMMYFUNCTION("""COMPUTED_VALUE"""),"cometly.com")</f>
        <v>cometly.com</v>
      </c>
      <c r="F765" s="185" t="str">
        <f>IFERROR(__xludf.DUMMYFUNCTION("""COMPUTED_VALUE"""),"Listicle")</f>
        <v>Listicle</v>
      </c>
      <c r="G765" s="185" t="str">
        <f>IFERROR(__xludf.DUMMYFUNCTION("""COMPUTED_VALUE"""),"COMPETITOR")</f>
        <v>COMPETITOR</v>
      </c>
      <c r="H765" s="185" t="str">
        <f>IFERROR(__xludf.DUMMYFUNCTION("""COMPUTED_VALUE"""),"No")</f>
        <v>No</v>
      </c>
      <c r="I765" s="185" t="str">
        <f>IFERROR(__xludf.DUMMYFUNCTION("""COMPUTED_VALUE"""),"Low")</f>
        <v>Low</v>
      </c>
      <c r="J765" s="185" t="str">
        <f>IFERROR(__xludf.DUMMYFUNCTION("""COMPUTED_VALUE"""),"Secondary")</f>
        <v>Secondary</v>
      </c>
      <c r="K765" s="185" t="str">
        <f>IFERROR(__xludf.DUMMYFUNCTION("""COMPUTED_VALUE"""),"Cometly, Triple Whale, Northbeam, Rockerbox, Ruler Analytics")</f>
        <v>Cometly, Triple Whale, Northbeam, Rockerbox, Ruler Analytics</v>
      </c>
      <c r="L765" s="187">
        <f>IFERROR(__xludf.DUMMYFUNCTION("""COMPUTED_VALUE"""),1.0)</f>
        <v>1</v>
      </c>
      <c r="M765" s="188">
        <f>IFERROR(__xludf.DUMMYFUNCTION("""COMPUTED_VALUE"""),0.0)</f>
        <v>0</v>
      </c>
      <c r="N765" s="188">
        <f>IFERROR(__xludf.DUMMYFUNCTION("""COMPUTED_VALUE"""),2.0)</f>
        <v>2</v>
      </c>
      <c r="O765" s="208"/>
      <c r="P765" s="208"/>
      <c r="Q765" s="208"/>
      <c r="R765" s="208"/>
    </row>
    <row r="766">
      <c r="A766" s="185" t="str">
        <f>IFERROR(__xludf.DUMMYFUNCTION("""COMPUTED_VALUE"""),"Lower-priority competitor/vendor roundup")</f>
        <v>Lower-priority competitor/vendor roundup</v>
      </c>
      <c r="B766" s="186" t="str">
        <f>IFERROR(__xludf.DUMMYFUNCTION("""COMPUTED_VALUE"""),"https://www.cometly.com/post/ai-powered-ad-optimization-platform")</f>
        <v>https://www.cometly.com/post/ai-powered-ad-optimization-platform</v>
      </c>
      <c r="C766" s="185" t="str">
        <f>IFERROR(__xludf.DUMMYFUNCTION("""COMPUTED_VALUE"""),"9 Best AI Powered Ad Optimization Platforms 2026 Guide")</f>
        <v>9 Best AI Powered Ad Optimization Platforms 2026 Guide</v>
      </c>
      <c r="D766" s="185" t="str">
        <f>IFERROR(__xludf.DUMMYFUNCTION("""COMPUTED_VALUE"""),"UK")</f>
        <v>UK</v>
      </c>
      <c r="E766" s="185" t="str">
        <f>IFERROR(__xludf.DUMMYFUNCTION("""COMPUTED_VALUE"""),"cometly.com")</f>
        <v>cometly.com</v>
      </c>
      <c r="F766" s="185" t="str">
        <f>IFERROR(__xludf.DUMMYFUNCTION("""COMPUTED_VALUE"""),"Listicle")</f>
        <v>Listicle</v>
      </c>
      <c r="G766" s="185" t="str">
        <f>IFERROR(__xludf.DUMMYFUNCTION("""COMPUTED_VALUE"""),"COMPETITOR")</f>
        <v>COMPETITOR</v>
      </c>
      <c r="H766" s="185" t="str">
        <f>IFERROR(__xludf.DUMMYFUNCTION("""COMPUTED_VALUE"""),"No")</f>
        <v>No</v>
      </c>
      <c r="I766" s="185" t="str">
        <f>IFERROR(__xludf.DUMMYFUNCTION("""COMPUTED_VALUE"""),"Low")</f>
        <v>Low</v>
      </c>
      <c r="J766" s="185" t="str">
        <f>IFERROR(__xludf.DUMMYFUNCTION("""COMPUTED_VALUE"""),"Secondary")</f>
        <v>Secondary</v>
      </c>
      <c r="K766" s="185" t="str">
        <f>IFERROR(__xludf.DUMMYFUNCTION("""COMPUTED_VALUE"""),"Cometly, Impression")</f>
        <v>Cometly, Impression</v>
      </c>
      <c r="L766" s="187">
        <f>IFERROR(__xludf.DUMMYFUNCTION("""COMPUTED_VALUE"""),1.0)</f>
        <v>1</v>
      </c>
      <c r="M766" s="188">
        <f>IFERROR(__xludf.DUMMYFUNCTION("""COMPUTED_VALUE"""),0.0)</f>
        <v>0</v>
      </c>
      <c r="N766" s="188">
        <f>IFERROR(__xludf.DUMMYFUNCTION("""COMPUTED_VALUE"""),0.0)</f>
        <v>0</v>
      </c>
      <c r="O766" s="208"/>
      <c r="P766" s="208"/>
      <c r="Q766" s="208"/>
      <c r="R766" s="208"/>
    </row>
    <row r="767">
      <c r="A767" s="185" t="str">
        <f>IFERROR(__xludf.DUMMYFUNCTION("""COMPUTED_VALUE"""),"Lower-priority competitor/vendor roundup")</f>
        <v>Lower-priority competitor/vendor roundup</v>
      </c>
      <c r="B767" s="186" t="str">
        <f>IFERROR(__xludf.DUMMYFUNCTION("""COMPUTED_VALUE"""),"https://www.cometly.com/post/attribution-platforms-for-agencies")</f>
        <v>https://www.cometly.com/post/attribution-platforms-for-agencies</v>
      </c>
      <c r="C767" s="185" t="str">
        <f>IFERROR(__xludf.DUMMYFUNCTION("""COMPUTED_VALUE"""),"Top Attribution Platforms For Agencies: 2026 Guide")</f>
        <v>Top Attribution Platforms For Agencies: 2026 Guide</v>
      </c>
      <c r="D767" s="185" t="str">
        <f>IFERROR(__xludf.DUMMYFUNCTION("""COMPUTED_VALUE"""),"UK")</f>
        <v>UK</v>
      </c>
      <c r="E767" s="185" t="str">
        <f>IFERROR(__xludf.DUMMYFUNCTION("""COMPUTED_VALUE"""),"cometly.com")</f>
        <v>cometly.com</v>
      </c>
      <c r="F767" s="185" t="str">
        <f>IFERROR(__xludf.DUMMYFUNCTION("""COMPUTED_VALUE"""),"Listicle")</f>
        <v>Listicle</v>
      </c>
      <c r="G767" s="185" t="str">
        <f>IFERROR(__xludf.DUMMYFUNCTION("""COMPUTED_VALUE"""),"COMPETITOR")</f>
        <v>COMPETITOR</v>
      </c>
      <c r="H767" s="185" t="str">
        <f>IFERROR(__xludf.DUMMYFUNCTION("""COMPUTED_VALUE"""),"No")</f>
        <v>No</v>
      </c>
      <c r="I767" s="185" t="str">
        <f>IFERROR(__xludf.DUMMYFUNCTION("""COMPUTED_VALUE"""),"Low")</f>
        <v>Low</v>
      </c>
      <c r="J767" s="185" t="str">
        <f>IFERROR(__xludf.DUMMYFUNCTION("""COMPUTED_VALUE"""),"Secondary")</f>
        <v>Secondary</v>
      </c>
      <c r="K767" s="185" t="str">
        <f>IFERROR(__xludf.DUMMYFUNCTION("""COMPUTED_VALUE"""),"Cometly, Triple Whale, Northbeam, Rockerbox, Ruler Analytics")</f>
        <v>Cometly, Triple Whale, Northbeam, Rockerbox, Ruler Analytics</v>
      </c>
      <c r="L767" s="187">
        <f>IFERROR(__xludf.DUMMYFUNCTION("""COMPUTED_VALUE"""),1.0)</f>
        <v>1</v>
      </c>
      <c r="M767" s="188">
        <f>IFERROR(__xludf.DUMMYFUNCTION("""COMPUTED_VALUE"""),0.0)</f>
        <v>0</v>
      </c>
      <c r="N767" s="188">
        <f>IFERROR(__xludf.DUMMYFUNCTION("""COMPUTED_VALUE"""),1.0)</f>
        <v>1</v>
      </c>
      <c r="O767" s="208"/>
      <c r="P767" s="208"/>
      <c r="Q767" s="208"/>
      <c r="R767" s="208"/>
    </row>
    <row r="768">
      <c r="A768" s="185" t="str">
        <f>IFERROR(__xludf.DUMMYFUNCTION("""COMPUTED_VALUE"""),"Lower-priority competitor/vendor roundup")</f>
        <v>Lower-priority competitor/vendor roundup</v>
      </c>
      <c r="B768" s="186" t="str">
        <f>IFERROR(__xludf.DUMMYFUNCTION("""COMPUTED_VALUE"""),"https://www.cometly.com/post/attribution-tools-for-digital-marketing-agencies")</f>
        <v>https://www.cometly.com/post/attribution-tools-for-digital-marketing-agencies</v>
      </c>
      <c r="C768" s="185" t="str">
        <f>IFERROR(__xludf.DUMMYFUNCTION("""COMPUTED_VALUE"""),"9 Best Attribution Tools For Digital Marketing Agencies")</f>
        <v>9 Best Attribution Tools For Digital Marketing Agencies</v>
      </c>
      <c r="D768" s="185" t="str">
        <f>IFERROR(__xludf.DUMMYFUNCTION("""COMPUTED_VALUE"""),"UK")</f>
        <v>UK</v>
      </c>
      <c r="E768" s="185" t="str">
        <f>IFERROR(__xludf.DUMMYFUNCTION("""COMPUTED_VALUE"""),"cometly.com")</f>
        <v>cometly.com</v>
      </c>
      <c r="F768" s="185" t="str">
        <f>IFERROR(__xludf.DUMMYFUNCTION("""COMPUTED_VALUE"""),"Listicle")</f>
        <v>Listicle</v>
      </c>
      <c r="G768" s="185" t="str">
        <f>IFERROR(__xludf.DUMMYFUNCTION("""COMPUTED_VALUE"""),"COMPETITOR")</f>
        <v>COMPETITOR</v>
      </c>
      <c r="H768" s="185" t="str">
        <f>IFERROR(__xludf.DUMMYFUNCTION("""COMPUTED_VALUE"""),"No")</f>
        <v>No</v>
      </c>
      <c r="I768" s="185" t="str">
        <f>IFERROR(__xludf.DUMMYFUNCTION("""COMPUTED_VALUE"""),"Low")</f>
        <v>Low</v>
      </c>
      <c r="J768" s="185" t="str">
        <f>IFERROR(__xludf.DUMMYFUNCTION("""COMPUTED_VALUE"""),"Secondary")</f>
        <v>Secondary</v>
      </c>
      <c r="K768" s="185" t="str">
        <f>IFERROR(__xludf.DUMMYFUNCTION("""COMPUTED_VALUE"""),"Cometly, Triple Whale, Northbeam, Rockerbox, Ruler Analytics")</f>
        <v>Cometly, Triple Whale, Northbeam, Rockerbox, Ruler Analytics</v>
      </c>
      <c r="L768" s="187">
        <f>IFERROR(__xludf.DUMMYFUNCTION("""COMPUTED_VALUE"""),1.0)</f>
        <v>1</v>
      </c>
      <c r="M768" s="188">
        <f>IFERROR(__xludf.DUMMYFUNCTION("""COMPUTED_VALUE"""),0.0)</f>
        <v>0</v>
      </c>
      <c r="N768" s="188">
        <f>IFERROR(__xludf.DUMMYFUNCTION("""COMPUTED_VALUE"""),0.0)</f>
        <v>0</v>
      </c>
      <c r="O768" s="208"/>
      <c r="P768" s="208"/>
      <c r="Q768" s="208"/>
      <c r="R768" s="208"/>
    </row>
    <row r="769">
      <c r="A769" s="185" t="str">
        <f>IFERROR(__xludf.DUMMYFUNCTION("""COMPUTED_VALUE"""),"Lower-priority competitor/vendor roundup")</f>
        <v>Lower-priority competitor/vendor roundup</v>
      </c>
      <c r="B769" s="186" t="str">
        <f>IFERROR(__xludf.DUMMYFUNCTION("""COMPUTED_VALUE"""),"https://www.cometly.com/post/first-party-data-tracking-solutions")</f>
        <v>https://www.cometly.com/post/first-party-data-tracking-solutions</v>
      </c>
      <c r="C769" s="185" t="str">
        <f>IFERROR(__xludf.DUMMYFUNCTION("""COMPUTED_VALUE"""),"9 Best First Party Data Tracking Solutions for 2026")</f>
        <v>9 Best First Party Data Tracking Solutions for 2026</v>
      </c>
      <c r="D769" s="185" t="str">
        <f>IFERROR(__xludf.DUMMYFUNCTION("""COMPUTED_VALUE"""),"UK")</f>
        <v>UK</v>
      </c>
      <c r="E769" s="185" t="str">
        <f>IFERROR(__xludf.DUMMYFUNCTION("""COMPUTED_VALUE"""),"cometly.com")</f>
        <v>cometly.com</v>
      </c>
      <c r="F769" s="185" t="str">
        <f>IFERROR(__xludf.DUMMYFUNCTION("""COMPUTED_VALUE"""),"Listicle")</f>
        <v>Listicle</v>
      </c>
      <c r="G769" s="185" t="str">
        <f>IFERROR(__xludf.DUMMYFUNCTION("""COMPUTED_VALUE"""),"COMPETITOR")</f>
        <v>COMPETITOR</v>
      </c>
      <c r="H769" s="185" t="str">
        <f>IFERROR(__xludf.DUMMYFUNCTION("""COMPUTED_VALUE"""),"No")</f>
        <v>No</v>
      </c>
      <c r="I769" s="185" t="str">
        <f>IFERROR(__xludf.DUMMYFUNCTION("""COMPUTED_VALUE"""),"Low")</f>
        <v>Low</v>
      </c>
      <c r="J769" s="185" t="str">
        <f>IFERROR(__xludf.DUMMYFUNCTION("""COMPUTED_VALUE"""),"Secondary")</f>
        <v>Secondary</v>
      </c>
      <c r="K769" s="185" t="str">
        <f>IFERROR(__xludf.DUMMYFUNCTION("""COMPUTED_VALUE"""),"Cometly, Push")</f>
        <v>Cometly, Push</v>
      </c>
      <c r="L769" s="187">
        <f>IFERROR(__xludf.DUMMYFUNCTION("""COMPUTED_VALUE"""),1.0)</f>
        <v>1</v>
      </c>
      <c r="M769" s="188">
        <f>IFERROR(__xludf.DUMMYFUNCTION("""COMPUTED_VALUE"""),0.0)</f>
        <v>0</v>
      </c>
      <c r="N769" s="188">
        <f>IFERROR(__xludf.DUMMYFUNCTION("""COMPUTED_VALUE"""),1.0)</f>
        <v>1</v>
      </c>
      <c r="O769" s="208"/>
      <c r="P769" s="208"/>
      <c r="Q769" s="208"/>
      <c r="R769" s="208"/>
    </row>
    <row r="770">
      <c r="A770" s="185" t="str">
        <f>IFERROR(__xludf.DUMMYFUNCTION("""COMPUTED_VALUE"""),"Lower-priority competitor/vendor roundup")</f>
        <v>Lower-priority competitor/vendor roundup</v>
      </c>
      <c r="B770" s="186" t="str">
        <f>IFERROR(__xludf.DUMMYFUNCTION("""COMPUTED_VALUE"""),"https://www.cometly.com/post/incrementality-testing-software")</f>
        <v>https://www.cometly.com/post/incrementality-testing-software</v>
      </c>
      <c r="C770" s="185" t="str">
        <f>IFERROR(__xludf.DUMMYFUNCTION("""COMPUTED_VALUE"""),"Best Incrementality Testing Software Tools Guide 2026")</f>
        <v>Best Incrementality Testing Software Tools Guide 2026</v>
      </c>
      <c r="D770" s="185" t="str">
        <f>IFERROR(__xludf.DUMMYFUNCTION("""COMPUTED_VALUE"""),"UK")</f>
        <v>UK</v>
      </c>
      <c r="E770" s="185" t="str">
        <f>IFERROR(__xludf.DUMMYFUNCTION("""COMPUTED_VALUE"""),"cometly.com")</f>
        <v>cometly.com</v>
      </c>
      <c r="F770" s="185" t="str">
        <f>IFERROR(__xludf.DUMMYFUNCTION("""COMPUTED_VALUE"""),"Listicle")</f>
        <v>Listicle</v>
      </c>
      <c r="G770" s="185" t="str">
        <f>IFERROR(__xludf.DUMMYFUNCTION("""COMPUTED_VALUE"""),"COMPETITOR")</f>
        <v>COMPETITOR</v>
      </c>
      <c r="H770" s="185" t="str">
        <f>IFERROR(__xludf.DUMMYFUNCTION("""COMPUTED_VALUE"""),"No")</f>
        <v>No</v>
      </c>
      <c r="I770" s="185" t="str">
        <f>IFERROR(__xludf.DUMMYFUNCTION("""COMPUTED_VALUE"""),"Low")</f>
        <v>Low</v>
      </c>
      <c r="J770" s="185" t="str">
        <f>IFERROR(__xludf.DUMMYFUNCTION("""COMPUTED_VALUE"""),"Secondary")</f>
        <v>Secondary</v>
      </c>
      <c r="K770" s="185" t="str">
        <f>IFERROR(__xludf.DUMMYFUNCTION("""COMPUTED_VALUE"""),"Cometly, Measured, Rockerbox, Northbeam, Haus, Recast")</f>
        <v>Cometly, Measured, Rockerbox, Northbeam, Haus, Recast</v>
      </c>
      <c r="L770" s="187">
        <f>IFERROR(__xludf.DUMMYFUNCTION("""COMPUTED_VALUE"""),1.0)</f>
        <v>1</v>
      </c>
      <c r="M770" s="188">
        <f>IFERROR(__xludf.DUMMYFUNCTION("""COMPUTED_VALUE"""),0.0)</f>
        <v>0</v>
      </c>
      <c r="N770" s="188">
        <f>IFERROR(__xludf.DUMMYFUNCTION("""COMPUTED_VALUE"""),1.0)</f>
        <v>1</v>
      </c>
      <c r="O770" s="208"/>
      <c r="P770" s="208"/>
      <c r="Q770" s="208"/>
      <c r="R770" s="208"/>
    </row>
    <row r="771">
      <c r="A771" s="185" t="str">
        <f>IFERROR(__xludf.DUMMYFUNCTION("""COMPUTED_VALUE"""),"Lower-priority competitor/vendor roundup")</f>
        <v>Lower-priority competitor/vendor roundup</v>
      </c>
      <c r="B771" s="186" t="str">
        <f>IFERROR(__xludf.DUMMYFUNCTION("""COMPUTED_VALUE"""),"https://www.cometly.com/post/marketing-attribution-platforms-for-agencies")</f>
        <v>https://www.cometly.com/post/marketing-attribution-platforms-for-agencies</v>
      </c>
      <c r="C771" s="185" t="str">
        <f>IFERROR(__xludf.DUMMYFUNCTION("""COMPUTED_VALUE"""),"Best Marketing Attribution Platforms For Agencies 2026")</f>
        <v>Best Marketing Attribution Platforms For Agencies 2026</v>
      </c>
      <c r="D771" s="185" t="str">
        <f>IFERROR(__xludf.DUMMYFUNCTION("""COMPUTED_VALUE"""),"UK")</f>
        <v>UK</v>
      </c>
      <c r="E771" s="185" t="str">
        <f>IFERROR(__xludf.DUMMYFUNCTION("""COMPUTED_VALUE"""),"cometly.com")</f>
        <v>cometly.com</v>
      </c>
      <c r="F771" s="185" t="str">
        <f>IFERROR(__xludf.DUMMYFUNCTION("""COMPUTED_VALUE"""),"Listicle")</f>
        <v>Listicle</v>
      </c>
      <c r="G771" s="185" t="str">
        <f>IFERROR(__xludf.DUMMYFUNCTION("""COMPUTED_VALUE"""),"COMPETITOR")</f>
        <v>COMPETITOR</v>
      </c>
      <c r="H771" s="185" t="str">
        <f>IFERROR(__xludf.DUMMYFUNCTION("""COMPUTED_VALUE"""),"No")</f>
        <v>No</v>
      </c>
      <c r="I771" s="185" t="str">
        <f>IFERROR(__xludf.DUMMYFUNCTION("""COMPUTED_VALUE"""),"Low")</f>
        <v>Low</v>
      </c>
      <c r="J771" s="185" t="str">
        <f>IFERROR(__xludf.DUMMYFUNCTION("""COMPUTED_VALUE"""),"Secondary")</f>
        <v>Secondary</v>
      </c>
      <c r="K771" s="185" t="str">
        <f>IFERROR(__xludf.DUMMYFUNCTION("""COMPUTED_VALUE"""),"Cometly, Triple Whale, Northbeam, Rockerbox, Ruler Analytics")</f>
        <v>Cometly, Triple Whale, Northbeam, Rockerbox, Ruler Analytics</v>
      </c>
      <c r="L771" s="187">
        <f>IFERROR(__xludf.DUMMYFUNCTION("""COMPUTED_VALUE"""),1.0)</f>
        <v>1</v>
      </c>
      <c r="M771" s="188">
        <f>IFERROR(__xludf.DUMMYFUNCTION("""COMPUTED_VALUE"""),0.0)</f>
        <v>0</v>
      </c>
      <c r="N771" s="188">
        <f>IFERROR(__xludf.DUMMYFUNCTION("""COMPUTED_VALUE"""),1.0)</f>
        <v>1</v>
      </c>
      <c r="O771" s="208"/>
      <c r="P771" s="208"/>
      <c r="Q771" s="208"/>
      <c r="R771" s="208"/>
    </row>
    <row r="772">
      <c r="A772" s="185" t="str">
        <f>IFERROR(__xludf.DUMMYFUNCTION("""COMPUTED_VALUE"""),"Lower-priority competitor/vendor roundup")</f>
        <v>Lower-priority competitor/vendor roundup</v>
      </c>
      <c r="B772" s="186" t="str">
        <f>IFERROR(__xludf.DUMMYFUNCTION("""COMPUTED_VALUE"""),"https://www.cometly.com/post/marketing-measurement-and-attribution")</f>
        <v>https://www.cometly.com/post/marketing-measurement-and-attribution</v>
      </c>
      <c r="C772" s="185" t="str">
        <f>IFERROR(__xludf.DUMMYFUNCTION("""COMPUTED_VALUE"""),"Marketing Measurement And Attribution: Complete Guide")</f>
        <v>Marketing Measurement And Attribution: Complete Guide</v>
      </c>
      <c r="D772" s="185" t="str">
        <f>IFERROR(__xludf.DUMMYFUNCTION("""COMPUTED_VALUE"""),"UK")</f>
        <v>UK</v>
      </c>
      <c r="E772" s="185" t="str">
        <f>IFERROR(__xludf.DUMMYFUNCTION("""COMPUTED_VALUE"""),"cometly.com")</f>
        <v>cometly.com</v>
      </c>
      <c r="F772" s="185" t="str">
        <f>IFERROR(__xludf.DUMMYFUNCTION("""COMPUTED_VALUE"""),"Article")</f>
        <v>Article</v>
      </c>
      <c r="G772" s="185" t="str">
        <f>IFERROR(__xludf.DUMMYFUNCTION("""COMPUTED_VALUE"""),"COMPETITOR")</f>
        <v>COMPETITOR</v>
      </c>
      <c r="H772" s="185" t="str">
        <f>IFERROR(__xludf.DUMMYFUNCTION("""COMPUTED_VALUE"""),"No")</f>
        <v>No</v>
      </c>
      <c r="I772" s="185" t="str">
        <f>IFERROR(__xludf.DUMMYFUNCTION("""COMPUTED_VALUE"""),"Low")</f>
        <v>Low</v>
      </c>
      <c r="J772" s="185" t="str">
        <f>IFERROR(__xludf.DUMMYFUNCTION("""COMPUTED_VALUE"""),"Secondary")</f>
        <v>Secondary</v>
      </c>
      <c r="K772" s="185" t="str">
        <f>IFERROR(__xludf.DUMMYFUNCTION("""COMPUTED_VALUE"""),"Cometly, Impression, Measured")</f>
        <v>Cometly, Impression, Measured</v>
      </c>
      <c r="L772" s="187">
        <f>IFERROR(__xludf.DUMMYFUNCTION("""COMPUTED_VALUE"""),1.0)</f>
        <v>1</v>
      </c>
      <c r="M772" s="188">
        <f>IFERROR(__xludf.DUMMYFUNCTION("""COMPUTED_VALUE"""),0.0)</f>
        <v>0</v>
      </c>
      <c r="N772" s="188">
        <f>IFERROR(__xludf.DUMMYFUNCTION("""COMPUTED_VALUE"""),0.0)</f>
        <v>0</v>
      </c>
      <c r="O772" s="208"/>
      <c r="P772" s="208"/>
      <c r="Q772" s="208"/>
      <c r="R772" s="208"/>
    </row>
    <row r="773">
      <c r="A773" s="185" t="str">
        <f>IFERROR(__xludf.DUMMYFUNCTION("""COMPUTED_VALUE"""),"Lower-priority competitor/vendor roundup")</f>
        <v>Lower-priority competitor/vendor roundup</v>
      </c>
      <c r="B773" s="186" t="str">
        <f>IFERROR(__xludf.DUMMYFUNCTION("""COMPUTED_VALUE"""),"https://www.cometly.com/post/media-buying-optimization-tool")</f>
        <v>https://www.cometly.com/post/media-buying-optimization-tool</v>
      </c>
      <c r="C773" s="185" t="str">
        <f>IFERROR(__xludf.DUMMYFUNCTION("""COMPUTED_VALUE"""),"Best Media Buying Optimization Tool for Ad Teams 2026")</f>
        <v>Best Media Buying Optimization Tool for Ad Teams 2026</v>
      </c>
      <c r="D773" s="185" t="str">
        <f>IFERROR(__xludf.DUMMYFUNCTION("""COMPUTED_VALUE"""),"UK")</f>
        <v>UK</v>
      </c>
      <c r="E773" s="185" t="str">
        <f>IFERROR(__xludf.DUMMYFUNCTION("""COMPUTED_VALUE"""),"cometly.com")</f>
        <v>cometly.com</v>
      </c>
      <c r="F773" s="185" t="str">
        <f>IFERROR(__xludf.DUMMYFUNCTION("""COMPUTED_VALUE"""),"Listicle")</f>
        <v>Listicle</v>
      </c>
      <c r="G773" s="185" t="str">
        <f>IFERROR(__xludf.DUMMYFUNCTION("""COMPUTED_VALUE"""),"COMPETITOR")</f>
        <v>COMPETITOR</v>
      </c>
      <c r="H773" s="185" t="str">
        <f>IFERROR(__xludf.DUMMYFUNCTION("""COMPUTED_VALUE"""),"No")</f>
        <v>No</v>
      </c>
      <c r="I773" s="185" t="str">
        <f>IFERROR(__xludf.DUMMYFUNCTION("""COMPUTED_VALUE"""),"Low")</f>
        <v>Low</v>
      </c>
      <c r="J773" s="185" t="str">
        <f>IFERROR(__xludf.DUMMYFUNCTION("""COMPUTED_VALUE"""),"Secondary")</f>
        <v>Secondary</v>
      </c>
      <c r="K773" s="185" t="str">
        <f>IFERROR(__xludf.DUMMYFUNCTION("""COMPUTED_VALUE"""),"Cometly, Momentum, Northbeam")</f>
        <v>Cometly, Momentum, Northbeam</v>
      </c>
      <c r="L773" s="187">
        <f>IFERROR(__xludf.DUMMYFUNCTION("""COMPUTED_VALUE"""),1.0)</f>
        <v>1</v>
      </c>
      <c r="M773" s="188">
        <f>IFERROR(__xludf.DUMMYFUNCTION("""COMPUTED_VALUE"""),0.0)</f>
        <v>0</v>
      </c>
      <c r="N773" s="188">
        <f>IFERROR(__xludf.DUMMYFUNCTION("""COMPUTED_VALUE"""),0.0)</f>
        <v>0</v>
      </c>
      <c r="O773" s="208"/>
      <c r="P773" s="208"/>
      <c r="Q773" s="208"/>
      <c r="R773" s="208"/>
    </row>
    <row r="774">
      <c r="A774" s="185" t="str">
        <f>IFERROR(__xludf.DUMMYFUNCTION("""COMPUTED_VALUE"""),"Lower-priority competitor/vendor roundup")</f>
        <v>Lower-priority competitor/vendor roundup</v>
      </c>
      <c r="B774" s="186" t="str">
        <f>IFERROR(__xludf.DUMMYFUNCTION("""COMPUTED_VALUE"""),"https://www.cometly.com/post/tools-for-marketing-analytics")</f>
        <v>https://www.cometly.com/post/tools-for-marketing-analytics</v>
      </c>
      <c r="C774" s="185" t="str">
        <f>IFERROR(__xludf.DUMMYFUNCTION("""COMPUTED_VALUE"""),"7 Essential Tools For Marketing Analytics You Need Today")</f>
        <v>7 Essential Tools For Marketing Analytics You Need Today</v>
      </c>
      <c r="D774" s="185" t="str">
        <f>IFERROR(__xludf.DUMMYFUNCTION("""COMPUTED_VALUE"""),"UK")</f>
        <v>UK</v>
      </c>
      <c r="E774" s="185" t="str">
        <f>IFERROR(__xludf.DUMMYFUNCTION("""COMPUTED_VALUE"""),"cometly.com")</f>
        <v>cometly.com</v>
      </c>
      <c r="F774" s="185" t="str">
        <f>IFERROR(__xludf.DUMMYFUNCTION("""COMPUTED_VALUE"""),"Listicle")</f>
        <v>Listicle</v>
      </c>
      <c r="G774" s="185" t="str">
        <f>IFERROR(__xludf.DUMMYFUNCTION("""COMPUTED_VALUE"""),"COMPETITOR")</f>
        <v>COMPETITOR</v>
      </c>
      <c r="H774" s="185" t="str">
        <f>IFERROR(__xludf.DUMMYFUNCTION("""COMPUTED_VALUE"""),"No")</f>
        <v>No</v>
      </c>
      <c r="I774" s="185" t="str">
        <f>IFERROR(__xludf.DUMMYFUNCTION("""COMPUTED_VALUE"""),"Low")</f>
        <v>Low</v>
      </c>
      <c r="J774" s="185" t="str">
        <f>IFERROR(__xludf.DUMMYFUNCTION("""COMPUTED_VALUE"""),"Secondary")</f>
        <v>Secondary</v>
      </c>
      <c r="K774" s="185" t="str">
        <f>IFERROR(__xludf.DUMMYFUNCTION("""COMPUTED_VALUE"""),"Cometly, Impression")</f>
        <v>Cometly, Impression</v>
      </c>
      <c r="L774" s="187">
        <f>IFERROR(__xludf.DUMMYFUNCTION("""COMPUTED_VALUE"""),1.0)</f>
        <v>1</v>
      </c>
      <c r="M774" s="188">
        <f>IFERROR(__xludf.DUMMYFUNCTION("""COMPUTED_VALUE"""),0.0)</f>
        <v>0</v>
      </c>
      <c r="N774" s="188">
        <f>IFERROR(__xludf.DUMMYFUNCTION("""COMPUTED_VALUE"""),0.0)</f>
        <v>0</v>
      </c>
      <c r="O774" s="208"/>
      <c r="P774" s="208"/>
      <c r="Q774" s="208"/>
      <c r="R774" s="208"/>
    </row>
    <row r="775">
      <c r="A775" s="185" t="str">
        <f>IFERROR(__xludf.DUMMYFUNCTION("""COMPUTED_VALUE"""),"Official partner / certification ecosystem")</f>
        <v>Official partner / certification ecosystem</v>
      </c>
      <c r="B775" s="186" t="str">
        <f>IFERROR(__xludf.DUMMYFUNCTION("""COMPUTED_VALUE"""),"https://www.comparisonshoppingpartners.withgoogle.com/find_a_partner/")</f>
        <v>https://www.comparisonshoppingpartners.withgoogle.com/find_a_partner/</v>
      </c>
      <c r="C775" s="185"/>
      <c r="D775" s="185" t="str">
        <f>IFERROR(__xludf.DUMMYFUNCTION("""COMPUTED_VALUE"""),"UK")</f>
        <v>UK</v>
      </c>
      <c r="E775" s="185" t="str">
        <f>IFERROR(__xludf.DUMMYFUNCTION("""COMPUTED_VALUE"""),"withgoogle.com")</f>
        <v>withgoogle.com</v>
      </c>
      <c r="F775" s="185" t="str">
        <f>IFERROR(__xludf.DUMMYFUNCTION("""COMPUTED_VALUE"""),"Other")</f>
        <v>Other</v>
      </c>
      <c r="G775" s="185" t="str">
        <f>IFERROR(__xludf.DUMMYFUNCTION("""COMPUTED_VALUE"""),"CORPORATE")</f>
        <v>CORPORATE</v>
      </c>
      <c r="H775" s="185" t="str">
        <f>IFERROR(__xludf.DUMMYFUNCTION("""COMPUTED_VALUE"""),"No")</f>
        <v>No</v>
      </c>
      <c r="I775" s="185" t="str">
        <f>IFERROR(__xludf.DUMMYFUNCTION("""COMPUTED_VALUE"""),"High")</f>
        <v>High</v>
      </c>
      <c r="J775" s="185" t="str">
        <f>IFERROR(__xludf.DUMMYFUNCTION("""COMPUTED_VALUE"""),"Yes - priority")</f>
        <v>Yes - priority</v>
      </c>
      <c r="K775" s="185" t="str">
        <f>IFERROR(__xludf.DUMMYFUNCTION("""COMPUTED_VALUE"""),"Unknown")</f>
        <v>Unknown</v>
      </c>
      <c r="L775" s="187">
        <f>IFERROR(__xludf.DUMMYFUNCTION("""COMPUTED_VALUE"""),1.0)</f>
        <v>1</v>
      </c>
      <c r="M775" s="188">
        <f>IFERROR(__xludf.DUMMYFUNCTION("""COMPUTED_VALUE"""),0.0)</f>
        <v>0</v>
      </c>
      <c r="N775" s="188">
        <f>IFERROR(__xludf.DUMMYFUNCTION("""COMPUTED_VALUE"""),0.0)</f>
        <v>0</v>
      </c>
      <c r="O775" s="208"/>
      <c r="P775" s="208"/>
      <c r="Q775" s="208"/>
      <c r="R775" s="208"/>
    </row>
    <row r="776">
      <c r="A776" s="185" t="str">
        <f>IFERROR(__xludf.DUMMYFUNCTION("""COMPUTED_VALUE"""),"Industry data / software authority")</f>
        <v>Industry data / software authority</v>
      </c>
      <c r="B776" s="186" t="str">
        <f>IFERROR(__xludf.DUMMYFUNCTION("""COMPUTED_VALUE"""),"https://cw.semrush.com/agencies/list/analytics-data-science/united-kingdom")</f>
        <v>https://cw.semrush.com/agencies/list/analytics-data-science/united-kingdom</v>
      </c>
      <c r="C776" s="185"/>
      <c r="D776" s="185" t="str">
        <f>IFERROR(__xludf.DUMMYFUNCTION("""COMPUTED_VALUE"""),"UK")</f>
        <v>UK</v>
      </c>
      <c r="E776" s="185" t="str">
        <f>IFERROR(__xludf.DUMMYFUNCTION("""COMPUTED_VALUE"""),"semrush.com")</f>
        <v>semrush.com</v>
      </c>
      <c r="F776" s="185" t="str">
        <f>IFERROR(__xludf.DUMMYFUNCTION("""COMPUTED_VALUE"""),"Other")</f>
        <v>Other</v>
      </c>
      <c r="G776" s="185" t="str">
        <f>IFERROR(__xludf.DUMMYFUNCTION("""COMPUTED_VALUE"""),"OTHER")</f>
        <v>OTHER</v>
      </c>
      <c r="H776" s="185" t="str">
        <f>IFERROR(__xludf.DUMMYFUNCTION("""COMPUTED_VALUE"""),"No")</f>
        <v>No</v>
      </c>
      <c r="I776" s="185" t="str">
        <f>IFERROR(__xludf.DUMMYFUNCTION("""COMPUTED_VALUE"""),"Medium")</f>
        <v>Medium</v>
      </c>
      <c r="J776" s="185" t="str">
        <f>IFERROR(__xludf.DUMMYFUNCTION("""COMPUTED_VALUE"""),"Yes")</f>
        <v>Yes</v>
      </c>
      <c r="K776" s="185" t="str">
        <f>IFERROR(__xludf.DUMMYFUNCTION("""COMPUTED_VALUE"""),"Unknown")</f>
        <v>Unknown</v>
      </c>
      <c r="L776" s="187">
        <f>IFERROR(__xludf.DUMMYFUNCTION("""COMPUTED_VALUE"""),1.0)</f>
        <v>1</v>
      </c>
      <c r="M776" s="188">
        <f>IFERROR(__xludf.DUMMYFUNCTION("""COMPUTED_VALUE"""),0.0)</f>
        <v>0</v>
      </c>
      <c r="N776" s="188">
        <f>IFERROR(__xludf.DUMMYFUNCTION("""COMPUTED_VALUE"""),0.0)</f>
        <v>0</v>
      </c>
      <c r="O776" s="208"/>
      <c r="P776" s="208"/>
      <c r="Q776" s="208"/>
      <c r="R776" s="208"/>
    </row>
    <row r="777">
      <c r="A777" s="185" t="str">
        <f>IFERROR(__xludf.DUMMYFUNCTION("""COMPUTED_VALUE"""),"Agency directory / review marketplace")</f>
        <v>Agency directory / review marketplace</v>
      </c>
      <c r="B777" s="186" t="str">
        <f>IFERROR(__xludf.DUMMYFUNCTION("""COMPUTED_VALUE"""),"https://www.designrush.com/agency/digital-marketing/analytics")</f>
        <v>https://www.designrush.com/agency/digital-marketing/analytics</v>
      </c>
      <c r="C777" s="185" t="str">
        <f>IFERROR(__xludf.DUMMYFUNCTION("""COMPUTED_VALUE"""),"Top Marketing Analytics Agencies in 2026")</f>
        <v>Top Marketing Analytics Agencies in 2026</v>
      </c>
      <c r="D777" s="185" t="str">
        <f>IFERROR(__xludf.DUMMYFUNCTION("""COMPUTED_VALUE"""),"UK")</f>
        <v>UK</v>
      </c>
      <c r="E777" s="185" t="str">
        <f>IFERROR(__xludf.DUMMYFUNCTION("""COMPUTED_VALUE"""),"designrush.com")</f>
        <v>designrush.com</v>
      </c>
      <c r="F777" s="185" t="str">
        <f>IFERROR(__xludf.DUMMYFUNCTION("""COMPUTED_VALUE"""),"Category Page")</f>
        <v>Category Page</v>
      </c>
      <c r="G777" s="185" t="str">
        <f>IFERROR(__xludf.DUMMYFUNCTION("""COMPUTED_VALUE"""),"CORPORATE")</f>
        <v>CORPORATE</v>
      </c>
      <c r="H777" s="185" t="str">
        <f>IFERROR(__xludf.DUMMYFUNCTION("""COMPUTED_VALUE"""),"No")</f>
        <v>No</v>
      </c>
      <c r="I777" s="185" t="str">
        <f>IFERROR(__xludf.DUMMYFUNCTION("""COMPUTED_VALUE"""),"Medium")</f>
        <v>Medium</v>
      </c>
      <c r="J777" s="185" t="str">
        <f>IFERROR(__xludf.DUMMYFUNCTION("""COMPUTED_VALUE"""),"Yes")</f>
        <v>Yes</v>
      </c>
      <c r="K777" s="185" t="str">
        <f>IFERROR(__xludf.DUMMYFUNCTION("""COMPUTED_VALUE"""),"Huge, Monks, Found, Ignite Visibility, Ruler Analytics")</f>
        <v>Huge, Monks, Found, Ignite Visibility, Ruler Analytics</v>
      </c>
      <c r="L777" s="187">
        <f>IFERROR(__xludf.DUMMYFUNCTION("""COMPUTED_VALUE"""),1.0)</f>
        <v>1</v>
      </c>
      <c r="M777" s="188">
        <f>IFERROR(__xludf.DUMMYFUNCTION("""COMPUTED_VALUE"""),0.0)</f>
        <v>0</v>
      </c>
      <c r="N777" s="188">
        <f>IFERROR(__xludf.DUMMYFUNCTION("""COMPUTED_VALUE"""),0.0)</f>
        <v>0</v>
      </c>
      <c r="O777" s="208"/>
      <c r="P777" s="208"/>
      <c r="Q777" s="208"/>
      <c r="R777" s="208"/>
    </row>
    <row r="778">
      <c r="A778" s="185" t="str">
        <f>IFERROR(__xludf.DUMMYFUNCTION("""COMPUTED_VALUE"""),"Agency directory / review marketplace")</f>
        <v>Agency directory / review marketplace</v>
      </c>
      <c r="B778" s="186" t="str">
        <f>IFERROR(__xludf.DUMMYFUNCTION("""COMPUTED_VALUE"""),"https://www.designrush.com/agency/digital-marketing/integrated-marketing")</f>
        <v>https://www.designrush.com/agency/digital-marketing/integrated-marketing</v>
      </c>
      <c r="C778" s="185" t="str">
        <f>IFERROR(__xludf.DUMMYFUNCTION("""COMPUTED_VALUE"""),"Top Integrated Marketing Agencies in 2026")</f>
        <v>Top Integrated Marketing Agencies in 2026</v>
      </c>
      <c r="D778" s="185" t="str">
        <f>IFERROR(__xludf.DUMMYFUNCTION("""COMPUTED_VALUE"""),"UK")</f>
        <v>UK</v>
      </c>
      <c r="E778" s="185" t="str">
        <f>IFERROR(__xludf.DUMMYFUNCTION("""COMPUTED_VALUE"""),"designrush.com")</f>
        <v>designrush.com</v>
      </c>
      <c r="F778" s="185" t="str">
        <f>IFERROR(__xludf.DUMMYFUNCTION("""COMPUTED_VALUE"""),"Listicle")</f>
        <v>Listicle</v>
      </c>
      <c r="G778" s="185" t="str">
        <f>IFERROR(__xludf.DUMMYFUNCTION("""COMPUTED_VALUE"""),"CORPORATE")</f>
        <v>CORPORATE</v>
      </c>
      <c r="H778" s="185" t="str">
        <f>IFERROR(__xludf.DUMMYFUNCTION("""COMPUTED_VALUE"""),"No")</f>
        <v>No</v>
      </c>
      <c r="I778" s="185" t="str">
        <f>IFERROR(__xludf.DUMMYFUNCTION("""COMPUTED_VALUE"""),"Medium")</f>
        <v>Medium</v>
      </c>
      <c r="J778" s="185" t="str">
        <f>IFERROR(__xludf.DUMMYFUNCTION("""COMPUTED_VALUE"""),"Yes")</f>
        <v>Yes</v>
      </c>
      <c r="K778" s="185" t="str">
        <f>IFERROR(__xludf.DUMMYFUNCTION("""COMPUTED_VALUE"""),"Momentum, PwC, Wpromote")</f>
        <v>Momentum, PwC, Wpromote</v>
      </c>
      <c r="L778" s="187">
        <f>IFERROR(__xludf.DUMMYFUNCTION("""COMPUTED_VALUE"""),1.0)</f>
        <v>1</v>
      </c>
      <c r="M778" s="188">
        <f>IFERROR(__xludf.DUMMYFUNCTION("""COMPUTED_VALUE"""),0.0)</f>
        <v>0</v>
      </c>
      <c r="N778" s="188">
        <f>IFERROR(__xludf.DUMMYFUNCTION("""COMPUTED_VALUE"""),0.0)</f>
        <v>0</v>
      </c>
      <c r="O778" s="208"/>
      <c r="P778" s="208"/>
      <c r="Q778" s="208"/>
      <c r="R778" s="208"/>
    </row>
    <row r="779">
      <c r="A779" s="185" t="str">
        <f>IFERROR(__xludf.DUMMYFUNCTION("""COMPUTED_VALUE"""),"Agency directory / review marketplace")</f>
        <v>Agency directory / review marketplace</v>
      </c>
      <c r="B779" s="186" t="str">
        <f>IFERROR(__xludf.DUMMYFUNCTION("""COMPUTED_VALUE"""),"https://www.designrush.com/agency/profile/the-good-marketer")</f>
        <v>https://www.designrush.com/agency/profile/the-good-marketer</v>
      </c>
      <c r="C779" s="185" t="str">
        <f>IFERROR(__xludf.DUMMYFUNCTION("""COMPUTED_VALUE"""),"The Good Marketer Reviews | View Portfolios | DesignRush")</f>
        <v>The Good Marketer Reviews | View Portfolios | DesignRush</v>
      </c>
      <c r="D779" s="185" t="str">
        <f>IFERROR(__xludf.DUMMYFUNCTION("""COMPUTED_VALUE"""),"UK")</f>
        <v>UK</v>
      </c>
      <c r="E779" s="185" t="str">
        <f>IFERROR(__xludf.DUMMYFUNCTION("""COMPUTED_VALUE"""),"designrush.com")</f>
        <v>designrush.com</v>
      </c>
      <c r="F779" s="185" t="str">
        <f>IFERROR(__xludf.DUMMYFUNCTION("""COMPUTED_VALUE"""),"Profile")</f>
        <v>Profile</v>
      </c>
      <c r="G779" s="185" t="str">
        <f>IFERROR(__xludf.DUMMYFUNCTION("""COMPUTED_VALUE"""),"CORPORATE")</f>
        <v>CORPORATE</v>
      </c>
      <c r="H779" s="185" t="str">
        <f>IFERROR(__xludf.DUMMYFUNCTION("""COMPUTED_VALUE"""),"No")</f>
        <v>No</v>
      </c>
      <c r="I779" s="185" t="str">
        <f>IFERROR(__xludf.DUMMYFUNCTION("""COMPUTED_VALUE"""),"Medium")</f>
        <v>Medium</v>
      </c>
      <c r="J779" s="185" t="str">
        <f>IFERROR(__xludf.DUMMYFUNCTION("""COMPUTED_VALUE"""),"Yes")</f>
        <v>Yes</v>
      </c>
      <c r="K779" s="185" t="str">
        <f>IFERROR(__xludf.DUMMYFUNCTION("""COMPUTED_VALUE"""),"The Good Marketer, WebFX, Found")</f>
        <v>The Good Marketer, WebFX, Found</v>
      </c>
      <c r="L779" s="187">
        <f>IFERROR(__xludf.DUMMYFUNCTION("""COMPUTED_VALUE"""),1.0)</f>
        <v>1</v>
      </c>
      <c r="M779" s="188">
        <f>IFERROR(__xludf.DUMMYFUNCTION("""COMPUTED_VALUE"""),0.0)</f>
        <v>0</v>
      </c>
      <c r="N779" s="188">
        <f>IFERROR(__xludf.DUMMYFUNCTION("""COMPUTED_VALUE"""),1.0)</f>
        <v>1</v>
      </c>
      <c r="O779" s="208"/>
      <c r="P779" s="208"/>
      <c r="Q779" s="208"/>
      <c r="R779" s="208"/>
    </row>
    <row r="780">
      <c r="A780" s="185" t="str">
        <f>IFERROR(__xludf.DUMMYFUNCTION("""COMPUTED_VALUE"""),"Agency directory / review marketplace")</f>
        <v>Agency directory / review marketplace</v>
      </c>
      <c r="B780" s="186" t="str">
        <f>IFERROR(__xludf.DUMMYFUNCTION("""COMPUTED_VALUE"""),"https://digitalagencynetwork.com/agencies/london/creative/")</f>
        <v>https://digitalagencynetwork.com/agencies/london/creative/</v>
      </c>
      <c r="C780" s="185" t="str">
        <f>IFERROR(__xludf.DUMMYFUNCTION("""COMPUTED_VALUE"""),"Top Creative Agencies in London (2026)")</f>
        <v>Top Creative Agencies in London (2026)</v>
      </c>
      <c r="D780" s="185" t="str">
        <f>IFERROR(__xludf.DUMMYFUNCTION("""COMPUTED_VALUE"""),"UK")</f>
        <v>UK</v>
      </c>
      <c r="E780" s="185" t="str">
        <f>IFERROR(__xludf.DUMMYFUNCTION("""COMPUTED_VALUE"""),"digitalagencynetwork.com")</f>
        <v>digitalagencynetwork.com</v>
      </c>
      <c r="F780" s="185" t="str">
        <f>IFERROR(__xludf.DUMMYFUNCTION("""COMPUTED_VALUE"""),"Category Page")</f>
        <v>Category Page</v>
      </c>
      <c r="G780" s="185" t="str">
        <f>IFERROR(__xludf.DUMMYFUNCTION("""COMPUTED_VALUE"""),"REFERENCE")</f>
        <v>REFERENCE</v>
      </c>
      <c r="H780" s="185" t="str">
        <f>IFERROR(__xludf.DUMMYFUNCTION("""COMPUTED_VALUE"""),"No")</f>
        <v>No</v>
      </c>
      <c r="I780" s="185" t="str">
        <f>IFERROR(__xludf.DUMMYFUNCTION("""COMPUTED_VALUE"""),"Medium")</f>
        <v>Medium</v>
      </c>
      <c r="J780" s="185" t="str">
        <f>IFERROR(__xludf.DUMMYFUNCTION("""COMPUTED_VALUE"""),"Yes")</f>
        <v>Yes</v>
      </c>
      <c r="K780" s="185" t="str">
        <f>IFERROR(__xludf.DUMMYFUNCTION("""COMPUTED_VALUE"""),"Favoured, Propeller, FirstMotion, Impression, Make Agency, Bird Marketing")</f>
        <v>Favoured, Propeller, FirstMotion, Impression, Make Agency, Bird Marketing</v>
      </c>
      <c r="L780" s="187">
        <f>IFERROR(__xludf.DUMMYFUNCTION("""COMPUTED_VALUE"""),1.0)</f>
        <v>1</v>
      </c>
      <c r="M780" s="188">
        <f>IFERROR(__xludf.DUMMYFUNCTION("""COMPUTED_VALUE"""),0.0)</f>
        <v>0</v>
      </c>
      <c r="N780" s="188">
        <f>IFERROR(__xludf.DUMMYFUNCTION("""COMPUTED_VALUE"""),0.0)</f>
        <v>0</v>
      </c>
      <c r="O780" s="208"/>
      <c r="P780" s="208"/>
      <c r="Q780" s="208"/>
      <c r="R780" s="208"/>
    </row>
    <row r="781">
      <c r="A781" s="185" t="str">
        <f>IFERROR(__xludf.DUMMYFUNCTION("""COMPUTED_VALUE"""),"Agency directory / review marketplace")</f>
        <v>Agency directory / review marketplace</v>
      </c>
      <c r="B781" s="186" t="str">
        <f>IFERROR(__xludf.DUMMYFUNCTION("""COMPUTED_VALUE"""),"https://digitalagencynetwork.com/agency/ga-agency/")</f>
        <v>https://digitalagencynetwork.com/agency/ga-agency/</v>
      </c>
      <c r="C781" s="185" t="str">
        <f>IFERROR(__xludf.DUMMYFUNCTION("""COMPUTED_VALUE"""),"GA Agency Reviews (2026) | Digital Agency Network")</f>
        <v>GA Agency Reviews (2026) | Digital Agency Network</v>
      </c>
      <c r="D781" s="185" t="str">
        <f>IFERROR(__xludf.DUMMYFUNCTION("""COMPUTED_VALUE"""),"UK")</f>
        <v>UK</v>
      </c>
      <c r="E781" s="185" t="str">
        <f>IFERROR(__xludf.DUMMYFUNCTION("""COMPUTED_VALUE"""),"digitalagencynetwork.com")</f>
        <v>digitalagencynetwork.com</v>
      </c>
      <c r="F781" s="185" t="str">
        <f>IFERROR(__xludf.DUMMYFUNCTION("""COMPUTED_VALUE"""),"Profile")</f>
        <v>Profile</v>
      </c>
      <c r="G781" s="185" t="str">
        <f>IFERROR(__xludf.DUMMYFUNCTION("""COMPUTED_VALUE"""),"REFERENCE")</f>
        <v>REFERENCE</v>
      </c>
      <c r="H781" s="185" t="str">
        <f>IFERROR(__xludf.DUMMYFUNCTION("""COMPUTED_VALUE"""),"No")</f>
        <v>No</v>
      </c>
      <c r="I781" s="185" t="str">
        <f>IFERROR(__xludf.DUMMYFUNCTION("""COMPUTED_VALUE"""),"Medium")</f>
        <v>Medium</v>
      </c>
      <c r="J781" s="185" t="str">
        <f>IFERROR(__xludf.DUMMYFUNCTION("""COMPUTED_VALUE"""),"Yes")</f>
        <v>Yes</v>
      </c>
      <c r="K781" s="185" t="str">
        <f>IFERROR(__xludf.DUMMYFUNCTION("""COMPUTED_VALUE"""),"Favoured, GA Agency")</f>
        <v>Favoured, GA Agency</v>
      </c>
      <c r="L781" s="187">
        <f>IFERROR(__xludf.DUMMYFUNCTION("""COMPUTED_VALUE"""),1.0)</f>
        <v>1</v>
      </c>
      <c r="M781" s="188">
        <f>IFERROR(__xludf.DUMMYFUNCTION("""COMPUTED_VALUE"""),0.0)</f>
        <v>0</v>
      </c>
      <c r="N781" s="188">
        <f>IFERROR(__xludf.DUMMYFUNCTION("""COMPUTED_VALUE"""),0.0)</f>
        <v>0</v>
      </c>
      <c r="O781" s="208"/>
      <c r="P781" s="208"/>
      <c r="Q781" s="208"/>
      <c r="R781" s="208"/>
    </row>
    <row r="782">
      <c r="A782" s="185" t="str">
        <f>IFERROR(__xludf.DUMMYFUNCTION("""COMPUTED_VALUE"""),"Agency directory / review marketplace")</f>
        <v>Agency directory / review marketplace</v>
      </c>
      <c r="B782" s="186" t="str">
        <f>IFERROR(__xludf.DUMMYFUNCTION("""COMPUTED_VALUE"""),"https://digitalagencynetwork.com/agency/jaywing/")</f>
        <v>https://digitalagencynetwork.com/agency/jaywing/</v>
      </c>
      <c r="C782" s="185" t="str">
        <f>IFERROR(__xludf.DUMMYFUNCTION("""COMPUTED_VALUE"""),"Jaywing Agency Reviews (2026) | Digital Agency Network")</f>
        <v>Jaywing Agency Reviews (2026) | Digital Agency Network</v>
      </c>
      <c r="D782" s="185" t="str">
        <f>IFERROR(__xludf.DUMMYFUNCTION("""COMPUTED_VALUE"""),"UK")</f>
        <v>UK</v>
      </c>
      <c r="E782" s="185" t="str">
        <f>IFERROR(__xludf.DUMMYFUNCTION("""COMPUTED_VALUE"""),"digitalagencynetwork.com")</f>
        <v>digitalagencynetwork.com</v>
      </c>
      <c r="F782" s="185" t="str">
        <f>IFERROR(__xludf.DUMMYFUNCTION("""COMPUTED_VALUE"""),"Profile")</f>
        <v>Profile</v>
      </c>
      <c r="G782" s="185" t="str">
        <f>IFERROR(__xludf.DUMMYFUNCTION("""COMPUTED_VALUE"""),"REFERENCE")</f>
        <v>REFERENCE</v>
      </c>
      <c r="H782" s="185" t="str">
        <f>IFERROR(__xludf.DUMMYFUNCTION("""COMPUTED_VALUE"""),"No")</f>
        <v>No</v>
      </c>
      <c r="I782" s="185" t="str">
        <f>IFERROR(__xludf.DUMMYFUNCTION("""COMPUTED_VALUE"""),"Medium")</f>
        <v>Medium</v>
      </c>
      <c r="J782" s="185" t="str">
        <f>IFERROR(__xludf.DUMMYFUNCTION("""COMPUTED_VALUE"""),"Yes")</f>
        <v>Yes</v>
      </c>
      <c r="K782" s="185" t="str">
        <f>IFERROR(__xludf.DUMMYFUNCTION("""COMPUTED_VALUE"""),"Favoured")</f>
        <v>Favoured</v>
      </c>
      <c r="L782" s="187">
        <f>IFERROR(__xludf.DUMMYFUNCTION("""COMPUTED_VALUE"""),1.0)</f>
        <v>1</v>
      </c>
      <c r="M782" s="188">
        <f>IFERROR(__xludf.DUMMYFUNCTION("""COMPUTED_VALUE"""),0.0)</f>
        <v>0</v>
      </c>
      <c r="N782" s="188">
        <f>IFERROR(__xludf.DUMMYFUNCTION("""COMPUTED_VALUE"""),0.0)</f>
        <v>0</v>
      </c>
      <c r="O782" s="208"/>
      <c r="P782" s="208"/>
      <c r="Q782" s="208"/>
      <c r="R782" s="208"/>
    </row>
    <row r="783">
      <c r="A783" s="185" t="str">
        <f>IFERROR(__xludf.DUMMYFUNCTION("""COMPUTED_VALUE"""),"Agency directory / review marketplace")</f>
        <v>Agency directory / review marketplace</v>
      </c>
      <c r="B783" s="186" t="str">
        <f>IFERROR(__xludf.DUMMYFUNCTION("""COMPUTED_VALUE"""),"https://digitalagencynetwork.com/geo-agency/")</f>
        <v>https://digitalagencynetwork.com/geo-agency/</v>
      </c>
      <c r="C783" s="185" t="str">
        <f>IFERROR(__xludf.DUMMYFUNCTION("""COMPUTED_VALUE"""),"What is a GEO Agency? Top 10 GEO Agencies Leading AI Search Optimization")</f>
        <v>What is a GEO Agency? Top 10 GEO Agencies Leading AI Search Optimization</v>
      </c>
      <c r="D783" s="185" t="str">
        <f>IFERROR(__xludf.DUMMYFUNCTION("""COMPUTED_VALUE"""),"UK")</f>
        <v>UK</v>
      </c>
      <c r="E783" s="185" t="str">
        <f>IFERROR(__xludf.DUMMYFUNCTION("""COMPUTED_VALUE"""),"digitalagencynetwork.com")</f>
        <v>digitalagencynetwork.com</v>
      </c>
      <c r="F783" s="185" t="str">
        <f>IFERROR(__xludf.DUMMYFUNCTION("""COMPUTED_VALUE"""),"Article")</f>
        <v>Article</v>
      </c>
      <c r="G783" s="185" t="str">
        <f>IFERROR(__xludf.DUMMYFUNCTION("""COMPUTED_VALUE"""),"REFERENCE")</f>
        <v>REFERENCE</v>
      </c>
      <c r="H783" s="185" t="str">
        <f>IFERROR(__xludf.DUMMYFUNCTION("""COMPUTED_VALUE"""),"No")</f>
        <v>No</v>
      </c>
      <c r="I783" s="185" t="str">
        <f>IFERROR(__xludf.DUMMYFUNCTION("""COMPUTED_VALUE"""),"Medium")</f>
        <v>Medium</v>
      </c>
      <c r="J783" s="185" t="str">
        <f>IFERROR(__xludf.DUMMYFUNCTION("""COMPUTED_VALUE"""),"Yes")</f>
        <v>Yes</v>
      </c>
      <c r="K783" s="185" t="str">
        <f>IFERROR(__xludf.DUMMYFUNCTION("""COMPUTED_VALUE"""),"Favoured, QuantumBlack, Propeller, GA Agency, The SEO Works, Found")</f>
        <v>Favoured, QuantumBlack, Propeller, GA Agency, The SEO Works, Found</v>
      </c>
      <c r="L783" s="187">
        <f>IFERROR(__xludf.DUMMYFUNCTION("""COMPUTED_VALUE"""),1.0)</f>
        <v>1</v>
      </c>
      <c r="M783" s="188">
        <f>IFERROR(__xludf.DUMMYFUNCTION("""COMPUTED_VALUE"""),0.0)</f>
        <v>0</v>
      </c>
      <c r="N783" s="188">
        <f>IFERROR(__xludf.DUMMYFUNCTION("""COMPUTED_VALUE"""),0.0)</f>
        <v>0</v>
      </c>
      <c r="O783" s="208"/>
      <c r="P783" s="208"/>
      <c r="Q783" s="208"/>
      <c r="R783" s="208"/>
    </row>
    <row r="784">
      <c r="A784" s="185" t="str">
        <f>IFERROR(__xludf.DUMMYFUNCTION("""COMPUTED_VALUE"""),"Official partner / certification ecosystem")</f>
        <v>Official partner / certification ecosystem</v>
      </c>
      <c r="B784" s="186" t="str">
        <f>IFERROR(__xludf.DUMMYFUNCTION("""COMPUTED_VALUE"""),"https://enterprisemarketingportal.google/find-a-partner")</f>
        <v>https://enterprisemarketingportal.google/find-a-partner</v>
      </c>
      <c r="C784" s="185" t="str">
        <f>IFERROR(__xludf.DUMMYFUNCTION("""COMPUTED_VALUE"""),"Find a Partner Gallery")</f>
        <v>Find a Partner Gallery</v>
      </c>
      <c r="D784" s="185" t="str">
        <f>IFERROR(__xludf.DUMMYFUNCTION("""COMPUTED_VALUE"""),"UK")</f>
        <v>UK</v>
      </c>
      <c r="E784" s="185" t="str">
        <f>IFERROR(__xludf.DUMMYFUNCTION("""COMPUTED_VALUE"""),"enterprisemarketingportal.google")</f>
        <v>enterprisemarketingportal.google</v>
      </c>
      <c r="F784" s="185" t="str">
        <f>IFERROR(__xludf.DUMMYFUNCTION("""COMPUTED_VALUE"""),"Category Page")</f>
        <v>Category Page</v>
      </c>
      <c r="G784" s="185" t="str">
        <f>IFERROR(__xludf.DUMMYFUNCTION("""COMPUTED_VALUE"""),"CORPORATE")</f>
        <v>CORPORATE</v>
      </c>
      <c r="H784" s="185" t="str">
        <f>IFERROR(__xludf.DUMMYFUNCTION("""COMPUTED_VALUE"""),"Yes")</f>
        <v>Yes</v>
      </c>
      <c r="I784" s="185" t="str">
        <f>IFERROR(__xludf.DUMMYFUNCTION("""COMPUTED_VALUE"""),"High")</f>
        <v>High</v>
      </c>
      <c r="J784" s="185" t="str">
        <f>IFERROR(__xludf.DUMMYFUNCTION("""COMPUTED_VALUE"""),"Yes - priority")</f>
        <v>Yes - priority</v>
      </c>
      <c r="K784" s="185" t="str">
        <f>IFERROR(__xludf.DUMMYFUNCTION("""COMPUTED_VALUE"""),"Brainlabs, Jellyfish, Incubeta, Brainlabs, Monks, Adswerve, Merkle, Dept, Wpromote, PMG, Tinuiti")</f>
        <v>Brainlabs, Jellyfish, Incubeta, Brainlabs, Monks, Adswerve, Merkle, Dept, Wpromote, PMG, Tinuiti</v>
      </c>
      <c r="L784" s="187">
        <f>IFERROR(__xludf.DUMMYFUNCTION("""COMPUTED_VALUE"""),1.0)</f>
        <v>1</v>
      </c>
      <c r="M784" s="188">
        <f>IFERROR(__xludf.DUMMYFUNCTION("""COMPUTED_VALUE"""),0.0)</f>
        <v>0</v>
      </c>
      <c r="N784" s="188">
        <f>IFERROR(__xludf.DUMMYFUNCTION("""COMPUTED_VALUE"""),0.0)</f>
        <v>0</v>
      </c>
      <c r="O784" s="208"/>
      <c r="P784" s="208"/>
      <c r="Q784" s="208"/>
      <c r="R784" s="208"/>
    </row>
    <row r="785">
      <c r="A785" s="185" t="str">
        <f>IFERROR(__xludf.DUMMYFUNCTION("""COMPUTED_VALUE"""),"Analyst / research authority")</f>
        <v>Analyst / research authority</v>
      </c>
      <c r="B785" s="186" t="str">
        <f>IFERROR(__xludf.DUMMYFUNCTION("""COMPUTED_VALUE"""),"https://www.gartner.com/reviews/market/global-digital-marketing-agencies")</f>
        <v>https://www.gartner.com/reviews/market/global-digital-marketing-agencies</v>
      </c>
      <c r="C785" s="185" t="str">
        <f>IFERROR(__xludf.DUMMYFUNCTION("""COMPUTED_VALUE"""),"Best Global Digital Marketing Agencies Reviews 2026 | Gartner Peer Insights")</f>
        <v>Best Global Digital Marketing Agencies Reviews 2026 | Gartner Peer Insights</v>
      </c>
      <c r="D785" s="185" t="str">
        <f>IFERROR(__xludf.DUMMYFUNCTION("""COMPUTED_VALUE"""),"UK")</f>
        <v>UK</v>
      </c>
      <c r="E785" s="185" t="str">
        <f>IFERROR(__xludf.DUMMYFUNCTION("""COMPUTED_VALUE"""),"gartner.com")</f>
        <v>gartner.com</v>
      </c>
      <c r="F785" s="185" t="str">
        <f>IFERROR(__xludf.DUMMYFUNCTION("""COMPUTED_VALUE"""),"Profile")</f>
        <v>Profile</v>
      </c>
      <c r="G785" s="185" t="str">
        <f>IFERROR(__xludf.DUMMYFUNCTION("""COMPUTED_VALUE"""),"CORPORATE")</f>
        <v>CORPORATE</v>
      </c>
      <c r="H785" s="185" t="str">
        <f>IFERROR(__xludf.DUMMYFUNCTION("""COMPUTED_VALUE"""),"No")</f>
        <v>No</v>
      </c>
      <c r="I785" s="185" t="str">
        <f>IFERROR(__xludf.DUMMYFUNCTION("""COMPUTED_VALUE"""),"High")</f>
        <v>High</v>
      </c>
      <c r="J785" s="185" t="str">
        <f>IFERROR(__xludf.DUMMYFUNCTION("""COMPUTED_VALUE"""),"Yes - priority")</f>
        <v>Yes - priority</v>
      </c>
      <c r="K785" s="185" t="str">
        <f>IFERROR(__xludf.DUMMYFUNCTION("""COMPUTED_VALUE"""),"Accenture Song, Deloitte Digital, Huge, Merkle, AKQA, Ogilvy, iCrossing, Bird Marketing")</f>
        <v>Accenture Song, Deloitte Digital, Huge, Merkle, AKQA, Ogilvy, iCrossing, Bird Marketing</v>
      </c>
      <c r="L785" s="187">
        <f>IFERROR(__xludf.DUMMYFUNCTION("""COMPUTED_VALUE"""),1.0)</f>
        <v>1</v>
      </c>
      <c r="M785" s="188">
        <f>IFERROR(__xludf.DUMMYFUNCTION("""COMPUTED_VALUE"""),0.0)</f>
        <v>0</v>
      </c>
      <c r="N785" s="188">
        <f>IFERROR(__xludf.DUMMYFUNCTION("""COMPUTED_VALUE"""),1.0)</f>
        <v>1</v>
      </c>
      <c r="O785" s="208"/>
      <c r="P785" s="208"/>
      <c r="Q785" s="208"/>
      <c r="R785" s="208"/>
    </row>
    <row r="786">
      <c r="A786" s="185" t="str">
        <f>IFERROR(__xludf.DUMMYFUNCTION("""COMPUTED_VALUE"""),"Analyst / research authority")</f>
        <v>Analyst / research authority</v>
      </c>
      <c r="B786" s="186" t="str">
        <f>IFERROR(__xludf.DUMMYFUNCTION("""COMPUTED_VALUE"""),"https://www.gartner.com/reviews/market/global-digital-marketing-agencies/vendor/r-ga/product/r-ga-global-digital-marketing-services/alternatives")</f>
        <v>https://www.gartner.com/reviews/market/global-digital-marketing-agencies/vendor/r-ga/product/r-ga-global-digital-marketing-services/alternatives</v>
      </c>
      <c r="C786" s="185" t="str">
        <f>IFERROR(__xludf.DUMMYFUNCTION("""COMPUTED_VALUE"""),"Top R/GA Global Digital Marketing Services Alternatives &amp; Competitors 2026 \| Gartner Peer Insights")</f>
        <v>Top R/GA Global Digital Marketing Services Alternatives &amp; Competitors 2026 \| Gartner Peer Insights</v>
      </c>
      <c r="D786" s="185" t="str">
        <f>IFERROR(__xludf.DUMMYFUNCTION("""COMPUTED_VALUE"""),"UK")</f>
        <v>UK</v>
      </c>
      <c r="E786" s="185" t="str">
        <f>IFERROR(__xludf.DUMMYFUNCTION("""COMPUTED_VALUE"""),"gartner.com")</f>
        <v>gartner.com</v>
      </c>
      <c r="F786" s="185" t="str">
        <f>IFERROR(__xludf.DUMMYFUNCTION("""COMPUTED_VALUE"""),"Alternative")</f>
        <v>Alternative</v>
      </c>
      <c r="G786" s="185" t="str">
        <f>IFERROR(__xludf.DUMMYFUNCTION("""COMPUTED_VALUE"""),"CORPORATE")</f>
        <v>CORPORATE</v>
      </c>
      <c r="H786" s="185" t="str">
        <f>IFERROR(__xludf.DUMMYFUNCTION("""COMPUTED_VALUE"""),"No")</f>
        <v>No</v>
      </c>
      <c r="I786" s="185" t="str">
        <f>IFERROR(__xludf.DUMMYFUNCTION("""COMPUTED_VALUE"""),"High")</f>
        <v>High</v>
      </c>
      <c r="J786" s="185" t="str">
        <f>IFERROR(__xludf.DUMMYFUNCTION("""COMPUTED_VALUE"""),"Yes - priority")</f>
        <v>Yes - priority</v>
      </c>
      <c r="K786" s="185" t="str">
        <f>IFERROR(__xludf.DUMMYFUNCTION("""COMPUTED_VALUE"""),"Accenture Song, Huge, AKQA")</f>
        <v>Accenture Song, Huge, AKQA</v>
      </c>
      <c r="L786" s="187">
        <f>IFERROR(__xludf.DUMMYFUNCTION("""COMPUTED_VALUE"""),1.0)</f>
        <v>1</v>
      </c>
      <c r="M786" s="188">
        <f>IFERROR(__xludf.DUMMYFUNCTION("""COMPUTED_VALUE"""),0.0)</f>
        <v>0</v>
      </c>
      <c r="N786" s="188">
        <f>IFERROR(__xludf.DUMMYFUNCTION("""COMPUTED_VALUE"""),5.0)</f>
        <v>5</v>
      </c>
      <c r="O786" s="208"/>
      <c r="P786" s="208"/>
      <c r="Q786" s="208"/>
      <c r="R786" s="208"/>
    </row>
    <row r="787">
      <c r="A787" s="185" t="str">
        <f>IFERROR(__xludf.DUMMYFUNCTION("""COMPUTED_VALUE"""),"Analyst / research authority")</f>
        <v>Analyst / research authority</v>
      </c>
      <c r="B787" s="186" t="str">
        <f>IFERROR(__xludf.DUMMYFUNCTION("""COMPUTED_VALUE"""),"https://www.gartner.com/reviews/market/global-digital-marketing-agencies/vendor/r-ga/product/r-ga-global-digital-marketing-services?marketSeoName=global-digital-marketing-agencies&amp;productSeoName=r-ga-global-digital-marketing-services&amp;vendorSeoName=r-ga")</f>
        <v>https://www.gartner.com/reviews/market/global-digital-marketing-agencies/vendor/r-ga/product/r-ga-global-digital-marketing-services?marketSeoName=global-digital-marketing-agencies&amp;productSeoName=r-ga-global-digital-marketing-services&amp;vendorSeoName=r-ga</v>
      </c>
      <c r="C787" s="185" t="str">
        <f>IFERROR(__xludf.DUMMYFUNCTION("""COMPUTED_VALUE"""),"R/GA Global Digital Marketing Services Reviews &amp; Ratings 2026 \| Gartner Peer Insights")</f>
        <v>R/GA Global Digital Marketing Services Reviews &amp; Ratings 2026 \| Gartner Peer Insights</v>
      </c>
      <c r="D787" s="185" t="str">
        <f>IFERROR(__xludf.DUMMYFUNCTION("""COMPUTED_VALUE"""),"UK")</f>
        <v>UK</v>
      </c>
      <c r="E787" s="185" t="str">
        <f>IFERROR(__xludf.DUMMYFUNCTION("""COMPUTED_VALUE"""),"gartner.com")</f>
        <v>gartner.com</v>
      </c>
      <c r="F787" s="185" t="str">
        <f>IFERROR(__xludf.DUMMYFUNCTION("""COMPUTED_VALUE"""),"Profile")</f>
        <v>Profile</v>
      </c>
      <c r="G787" s="185" t="str">
        <f>IFERROR(__xludf.DUMMYFUNCTION("""COMPUTED_VALUE"""),"CORPORATE")</f>
        <v>CORPORATE</v>
      </c>
      <c r="H787" s="185" t="str">
        <f>IFERROR(__xludf.DUMMYFUNCTION("""COMPUTED_VALUE"""),"No")</f>
        <v>No</v>
      </c>
      <c r="I787" s="185" t="str">
        <f>IFERROR(__xludf.DUMMYFUNCTION("""COMPUTED_VALUE"""),"High")</f>
        <v>High</v>
      </c>
      <c r="J787" s="185" t="str">
        <f>IFERROR(__xludf.DUMMYFUNCTION("""COMPUTED_VALUE"""),"Yes - priority")</f>
        <v>Yes - priority</v>
      </c>
      <c r="K787" s="185" t="str">
        <f>IFERROR(__xludf.DUMMYFUNCTION("""COMPUTED_VALUE"""),"Accenture Song")</f>
        <v>Accenture Song</v>
      </c>
      <c r="L787" s="187">
        <f>IFERROR(__xludf.DUMMYFUNCTION("""COMPUTED_VALUE"""),1.0)</f>
        <v>1</v>
      </c>
      <c r="M787" s="188">
        <f>IFERROR(__xludf.DUMMYFUNCTION("""COMPUTED_VALUE"""),0.0)</f>
        <v>0</v>
      </c>
      <c r="N787" s="188">
        <f>IFERROR(__xludf.DUMMYFUNCTION("""COMPUTED_VALUE"""),0.0)</f>
        <v>0</v>
      </c>
      <c r="O787" s="208"/>
      <c r="P787" s="208"/>
      <c r="Q787" s="208"/>
      <c r="R787" s="208"/>
    </row>
    <row r="788">
      <c r="A788" s="185" t="str">
        <f>IFERROR(__xludf.DUMMYFUNCTION("""COMPUTED_VALUE"""),"Analyst / research authority")</f>
        <v>Analyst / research authority</v>
      </c>
      <c r="B788" s="186" t="str">
        <f>IFERROR(__xludf.DUMMYFUNCTION("""COMPUTED_VALUE"""),"https://www.gartner.com/reviews/product/r-ga-global-digital-marketing-services/alternatives")</f>
        <v>https://www.gartner.com/reviews/product/r-ga-global-digital-marketing-services/alternatives</v>
      </c>
      <c r="C788" s="185" t="str">
        <f>IFERROR(__xludf.DUMMYFUNCTION("""COMPUTED_VALUE"""),"Top R/GA Global Digital Marketing Services Alternatives &amp;amp; Competitors 2026 | Gartner Peer Insights")</f>
        <v>Top R/GA Global Digital Marketing Services Alternatives &amp;amp; Competitors 2026 | Gartner Peer Insights</v>
      </c>
      <c r="D788" s="185" t="str">
        <f>IFERROR(__xludf.DUMMYFUNCTION("""COMPUTED_VALUE"""),"UK")</f>
        <v>UK</v>
      </c>
      <c r="E788" s="185" t="str">
        <f>IFERROR(__xludf.DUMMYFUNCTION("""COMPUTED_VALUE"""),"gartner.com")</f>
        <v>gartner.com</v>
      </c>
      <c r="F788" s="185" t="str">
        <f>IFERROR(__xludf.DUMMYFUNCTION("""COMPUTED_VALUE"""),"Alternative")</f>
        <v>Alternative</v>
      </c>
      <c r="G788" s="185" t="str">
        <f>IFERROR(__xludf.DUMMYFUNCTION("""COMPUTED_VALUE"""),"CORPORATE")</f>
        <v>CORPORATE</v>
      </c>
      <c r="H788" s="185" t="str">
        <f>IFERROR(__xludf.DUMMYFUNCTION("""COMPUTED_VALUE"""),"No")</f>
        <v>No</v>
      </c>
      <c r="I788" s="185" t="str">
        <f>IFERROR(__xludf.DUMMYFUNCTION("""COMPUTED_VALUE"""),"High")</f>
        <v>High</v>
      </c>
      <c r="J788" s="185" t="str">
        <f>IFERROR(__xludf.DUMMYFUNCTION("""COMPUTED_VALUE"""),"Yes - priority")</f>
        <v>Yes - priority</v>
      </c>
      <c r="K788" s="185" t="str">
        <f>IFERROR(__xludf.DUMMYFUNCTION("""COMPUTED_VALUE"""),"Accenture Song, Huge, AKQA, Merkle, Deloitte Digital")</f>
        <v>Accenture Song, Huge, AKQA, Merkle, Deloitte Digital</v>
      </c>
      <c r="L788" s="187">
        <f>IFERROR(__xludf.DUMMYFUNCTION("""COMPUTED_VALUE"""),1.0)</f>
        <v>1</v>
      </c>
      <c r="M788" s="188">
        <f>IFERROR(__xludf.DUMMYFUNCTION("""COMPUTED_VALUE"""),0.0)</f>
        <v>0</v>
      </c>
      <c r="N788" s="188">
        <f>IFERROR(__xludf.DUMMYFUNCTION("""COMPUTED_VALUE"""),0.0)</f>
        <v>0</v>
      </c>
      <c r="O788" s="208"/>
      <c r="P788" s="208"/>
      <c r="Q788" s="208"/>
      <c r="R788" s="208"/>
    </row>
    <row r="789">
      <c r="A789" s="185" t="str">
        <f>IFERROR(__xludf.DUMMYFUNCTION("""COMPUTED_VALUE"""),"Agency directory / review marketplace")</f>
        <v>Agency directory / review marketplace</v>
      </c>
      <c r="B789" s="186" t="str">
        <f>IFERROR(__xludf.DUMMYFUNCTION("""COMPUTED_VALUE"""),"https://www.goodfirms.co/advertising-companies/creative")</f>
        <v>https://www.goodfirms.co/advertising-companies/creative</v>
      </c>
      <c r="C789" s="185" t="str">
        <f>IFERROR(__xludf.DUMMYFUNCTION("""COMPUTED_VALUE"""),"Top Creative Agencies - 2026 Reviews | Goodfirms")</f>
        <v>Top Creative Agencies - 2026 Reviews | Goodfirms</v>
      </c>
      <c r="D789" s="185" t="str">
        <f>IFERROR(__xludf.DUMMYFUNCTION("""COMPUTED_VALUE"""),"UK")</f>
        <v>UK</v>
      </c>
      <c r="E789" s="185" t="str">
        <f>IFERROR(__xludf.DUMMYFUNCTION("""COMPUTED_VALUE"""),"goodfirms.co")</f>
        <v>goodfirms.co</v>
      </c>
      <c r="F789" s="185" t="str">
        <f>IFERROR(__xludf.DUMMYFUNCTION("""COMPUTED_VALUE"""),"Profile")</f>
        <v>Profile</v>
      </c>
      <c r="G789" s="185" t="str">
        <f>IFERROR(__xludf.DUMMYFUNCTION("""COMPUTED_VALUE"""),"UGC")</f>
        <v>UGC</v>
      </c>
      <c r="H789" s="185" t="str">
        <f>IFERROR(__xludf.DUMMYFUNCTION("""COMPUTED_VALUE"""),"No")</f>
        <v>No</v>
      </c>
      <c r="I789" s="185" t="str">
        <f>IFERROR(__xludf.DUMMYFUNCTION("""COMPUTED_VALUE"""),"Medium")</f>
        <v>Medium</v>
      </c>
      <c r="J789" s="185" t="str">
        <f>IFERROR(__xludf.DUMMYFUNCTION("""COMPUTED_VALUE"""),"Yes")</f>
        <v>Yes</v>
      </c>
      <c r="K789" s="185" t="str">
        <f>IFERROR(__xludf.DUMMYFUNCTION("""COMPUTED_VALUE"""),"Found, Daydream")</f>
        <v>Found, Daydream</v>
      </c>
      <c r="L789" s="187">
        <f>IFERROR(__xludf.DUMMYFUNCTION("""COMPUTED_VALUE"""),1.0)</f>
        <v>1</v>
      </c>
      <c r="M789" s="188">
        <f>IFERROR(__xludf.DUMMYFUNCTION("""COMPUTED_VALUE"""),0.0)</f>
        <v>0</v>
      </c>
      <c r="N789" s="188">
        <f>IFERROR(__xludf.DUMMYFUNCTION("""COMPUTED_VALUE"""),0.0)</f>
        <v>0</v>
      </c>
      <c r="O789" s="208"/>
      <c r="P789" s="208"/>
      <c r="Q789" s="208"/>
      <c r="R789" s="208"/>
    </row>
    <row r="790">
      <c r="A790" s="185" t="str">
        <f>IFERROR(__xludf.DUMMYFUNCTION("""COMPUTED_VALUE"""),"Agency directory / review marketplace")</f>
        <v>Agency directory / review marketplace</v>
      </c>
      <c r="B790" s="186" t="str">
        <f>IFERROR(__xludf.DUMMYFUNCTION("""COMPUTED_VALUE"""),"https://www.goodfirms.co/advertising-companies/creative/uk?sort_by=reviews")</f>
        <v>https://www.goodfirms.co/advertising-companies/creative/uk?sort_by=reviews</v>
      </c>
      <c r="C790" s="185" t="str">
        <f>IFERROR(__xludf.DUMMYFUNCTION("""COMPUTED_VALUE"""),"Top Creative Agencies in the United Kingdom - 2026 Reviews | Goodfirms")</f>
        <v>Top Creative Agencies in the United Kingdom - 2026 Reviews | Goodfirms</v>
      </c>
      <c r="D790" s="185" t="str">
        <f>IFERROR(__xludf.DUMMYFUNCTION("""COMPUTED_VALUE"""),"UK")</f>
        <v>UK</v>
      </c>
      <c r="E790" s="185" t="str">
        <f>IFERROR(__xludf.DUMMYFUNCTION("""COMPUTED_VALUE"""),"goodfirms.co")</f>
        <v>goodfirms.co</v>
      </c>
      <c r="F790" s="185" t="str">
        <f>IFERROR(__xludf.DUMMYFUNCTION("""COMPUTED_VALUE"""),"Profile")</f>
        <v>Profile</v>
      </c>
      <c r="G790" s="185" t="str">
        <f>IFERROR(__xludf.DUMMYFUNCTION("""COMPUTED_VALUE"""),"UGC")</f>
        <v>UGC</v>
      </c>
      <c r="H790" s="185" t="str">
        <f>IFERROR(__xludf.DUMMYFUNCTION("""COMPUTED_VALUE"""),"No")</f>
        <v>No</v>
      </c>
      <c r="I790" s="185" t="str">
        <f>IFERROR(__xludf.DUMMYFUNCTION("""COMPUTED_VALUE"""),"Medium")</f>
        <v>Medium</v>
      </c>
      <c r="J790" s="185" t="str">
        <f>IFERROR(__xludf.DUMMYFUNCTION("""COMPUTED_VALUE"""),"Yes")</f>
        <v>Yes</v>
      </c>
      <c r="K790" s="185" t="str">
        <f>IFERROR(__xludf.DUMMYFUNCTION("""COMPUTED_VALUE"""),"Impression, Found")</f>
        <v>Impression, Found</v>
      </c>
      <c r="L790" s="187">
        <f>IFERROR(__xludf.DUMMYFUNCTION("""COMPUTED_VALUE"""),1.0)</f>
        <v>1</v>
      </c>
      <c r="M790" s="188">
        <f>IFERROR(__xludf.DUMMYFUNCTION("""COMPUTED_VALUE"""),0.0)</f>
        <v>0</v>
      </c>
      <c r="N790" s="188">
        <f>IFERROR(__xludf.DUMMYFUNCTION("""COMPUTED_VALUE"""),0.0)</f>
        <v>0</v>
      </c>
      <c r="O790" s="208"/>
      <c r="P790" s="208"/>
      <c r="Q790" s="208"/>
      <c r="R790" s="208"/>
    </row>
    <row r="791">
      <c r="A791" s="185" t="str">
        <f>IFERROR(__xludf.DUMMYFUNCTION("""COMPUTED_VALUE"""),"Agency directory / review marketplace")</f>
        <v>Agency directory / review marketplace</v>
      </c>
      <c r="B791" s="186" t="str">
        <f>IFERROR(__xludf.DUMMYFUNCTION("""COMPUTED_VALUE"""),"https://www.goodfirms.co/advertising-companies/programmatic")</f>
        <v>https://www.goodfirms.co/advertising-companies/programmatic</v>
      </c>
      <c r="C791" s="185" t="str">
        <f>IFERROR(__xludf.DUMMYFUNCTION("""COMPUTED_VALUE"""),"Top Programmatic Advertising Companies - 2026 Reviews | Goodfirms")</f>
        <v>Top Programmatic Advertising Companies - 2026 Reviews | Goodfirms</v>
      </c>
      <c r="D791" s="185" t="str">
        <f>IFERROR(__xludf.DUMMYFUNCTION("""COMPUTED_VALUE"""),"UK")</f>
        <v>UK</v>
      </c>
      <c r="E791" s="185" t="str">
        <f>IFERROR(__xludf.DUMMYFUNCTION("""COMPUTED_VALUE"""),"goodfirms.co")</f>
        <v>goodfirms.co</v>
      </c>
      <c r="F791" s="185" t="str">
        <f>IFERROR(__xludf.DUMMYFUNCTION("""COMPUTED_VALUE"""),"Category Page")</f>
        <v>Category Page</v>
      </c>
      <c r="G791" s="185" t="str">
        <f>IFERROR(__xludf.DUMMYFUNCTION("""COMPUTED_VALUE"""),"UGC")</f>
        <v>UGC</v>
      </c>
      <c r="H791" s="185" t="str">
        <f>IFERROR(__xludf.DUMMYFUNCTION("""COMPUTED_VALUE"""),"No")</f>
        <v>No</v>
      </c>
      <c r="I791" s="185" t="str">
        <f>IFERROR(__xludf.DUMMYFUNCTION("""COMPUTED_VALUE"""),"Medium")</f>
        <v>Medium</v>
      </c>
      <c r="J791" s="185" t="str">
        <f>IFERROR(__xludf.DUMMYFUNCTION("""COMPUTED_VALUE"""),"Yes")</f>
        <v>Yes</v>
      </c>
      <c r="K791" s="185" t="str">
        <f>IFERROR(__xludf.DUMMYFUNCTION("""COMPUTED_VALUE"""),"The SEO Works, Found, Daydream")</f>
        <v>The SEO Works, Found, Daydream</v>
      </c>
      <c r="L791" s="187">
        <f>IFERROR(__xludf.DUMMYFUNCTION("""COMPUTED_VALUE"""),1.0)</f>
        <v>1</v>
      </c>
      <c r="M791" s="188">
        <f>IFERROR(__xludf.DUMMYFUNCTION("""COMPUTED_VALUE"""),0.0)</f>
        <v>0</v>
      </c>
      <c r="N791" s="188">
        <f>IFERROR(__xludf.DUMMYFUNCTION("""COMPUTED_VALUE"""),0.0)</f>
        <v>0</v>
      </c>
      <c r="O791" s="208"/>
      <c r="P791" s="208"/>
      <c r="Q791" s="208"/>
      <c r="R791" s="208"/>
    </row>
    <row r="792">
      <c r="A792" s="185" t="str">
        <f>IFERROR(__xludf.DUMMYFUNCTION("""COMPUTED_VALUE"""),"Agency directory / review marketplace")</f>
        <v>Agency directory / review marketplace</v>
      </c>
      <c r="B792" s="186" t="str">
        <f>IFERROR(__xludf.DUMMYFUNCTION("""COMPUTED_VALUE"""),"https://www.goodfirms.co/directory/city/top-digital-marketing-companies/advertising-ppc/london?sort_by=reviews")</f>
        <v>https://www.goodfirms.co/directory/city/top-digital-marketing-companies/advertising-ppc/london?sort_by=reviews</v>
      </c>
      <c r="C792" s="185" t="str">
        <f>IFERROR(__xludf.DUMMYFUNCTION("""COMPUTED_VALUE"""),"Top PPC Agencies in London - 2026 Reviews | Goodfirms")</f>
        <v>Top PPC Agencies in London - 2026 Reviews | Goodfirms</v>
      </c>
      <c r="D792" s="185" t="str">
        <f>IFERROR(__xludf.DUMMYFUNCTION("""COMPUTED_VALUE"""),"UK")</f>
        <v>UK</v>
      </c>
      <c r="E792" s="185" t="str">
        <f>IFERROR(__xludf.DUMMYFUNCTION("""COMPUTED_VALUE"""),"goodfirms.co")</f>
        <v>goodfirms.co</v>
      </c>
      <c r="F792" s="185" t="str">
        <f>IFERROR(__xludf.DUMMYFUNCTION("""COMPUTED_VALUE"""),"Other")</f>
        <v>Other</v>
      </c>
      <c r="G792" s="185" t="str">
        <f>IFERROR(__xludf.DUMMYFUNCTION("""COMPUTED_VALUE"""),"UGC")</f>
        <v>UGC</v>
      </c>
      <c r="H792" s="185" t="str">
        <f>IFERROR(__xludf.DUMMYFUNCTION("""COMPUTED_VALUE"""),"No")</f>
        <v>No</v>
      </c>
      <c r="I792" s="185" t="str">
        <f>IFERROR(__xludf.DUMMYFUNCTION("""COMPUTED_VALUE"""),"Medium")</f>
        <v>Medium</v>
      </c>
      <c r="J792" s="185" t="str">
        <f>IFERROR(__xludf.DUMMYFUNCTION("""COMPUTED_VALUE"""),"Yes")</f>
        <v>Yes</v>
      </c>
      <c r="K792" s="185" t="str">
        <f>IFERROR(__xludf.DUMMYFUNCTION("""COMPUTED_VALUE"""),"Bird Marketing, WebFX, Found")</f>
        <v>Bird Marketing, WebFX, Found</v>
      </c>
      <c r="L792" s="187">
        <f>IFERROR(__xludf.DUMMYFUNCTION("""COMPUTED_VALUE"""),1.0)</f>
        <v>1</v>
      </c>
      <c r="M792" s="188">
        <f>IFERROR(__xludf.DUMMYFUNCTION("""COMPUTED_VALUE"""),0.0)</f>
        <v>0</v>
      </c>
      <c r="N792" s="188">
        <f>IFERROR(__xludf.DUMMYFUNCTION("""COMPUTED_VALUE"""),0.0)</f>
        <v>0</v>
      </c>
      <c r="O792" s="208"/>
      <c r="P792" s="208"/>
      <c r="Q792" s="208"/>
      <c r="R792" s="208"/>
    </row>
    <row r="793">
      <c r="A793" s="185" t="str">
        <f>IFERROR(__xludf.DUMMYFUNCTION("""COMPUTED_VALUE"""),"Agency directory / review marketplace")</f>
        <v>Agency directory / review marketplace</v>
      </c>
      <c r="B793" s="186" t="str">
        <f>IFERROR(__xludf.DUMMYFUNCTION("""COMPUTED_VALUE"""),"https://www.goodfirms.co/directory/country/top-digital-marketing-companies/advertising-ppc/uk?sort_by=matrix")</f>
        <v>https://www.goodfirms.co/directory/country/top-digital-marketing-companies/advertising-ppc/uk?sort_by=matrix</v>
      </c>
      <c r="C793" s="185" t="str">
        <f>IFERROR(__xludf.DUMMYFUNCTION("""COMPUTED_VALUE"""),"Top PPC Agencies in the UK - 2026 Reviews | Goodfirms")</f>
        <v>Top PPC Agencies in the UK - 2026 Reviews | Goodfirms</v>
      </c>
      <c r="D793" s="185" t="str">
        <f>IFERROR(__xludf.DUMMYFUNCTION("""COMPUTED_VALUE"""),"UK")</f>
        <v>UK</v>
      </c>
      <c r="E793" s="185" t="str">
        <f>IFERROR(__xludf.DUMMYFUNCTION("""COMPUTED_VALUE"""),"goodfirms.co")</f>
        <v>goodfirms.co</v>
      </c>
      <c r="F793" s="185" t="str">
        <f>IFERROR(__xludf.DUMMYFUNCTION("""COMPUTED_VALUE"""),"Other")</f>
        <v>Other</v>
      </c>
      <c r="G793" s="185" t="str">
        <f>IFERROR(__xludf.DUMMYFUNCTION("""COMPUTED_VALUE"""),"UGC")</f>
        <v>UGC</v>
      </c>
      <c r="H793" s="185" t="str">
        <f>IFERROR(__xludf.DUMMYFUNCTION("""COMPUTED_VALUE"""),"No")</f>
        <v>No</v>
      </c>
      <c r="I793" s="185" t="str">
        <f>IFERROR(__xludf.DUMMYFUNCTION("""COMPUTED_VALUE"""),"Medium")</f>
        <v>Medium</v>
      </c>
      <c r="J793" s="185" t="str">
        <f>IFERROR(__xludf.DUMMYFUNCTION("""COMPUTED_VALUE"""),"Yes")</f>
        <v>Yes</v>
      </c>
      <c r="K793" s="185" t="str">
        <f>IFERROR(__xludf.DUMMYFUNCTION("""COMPUTED_VALUE"""),"Bird Marketing, WebFX, The SEO Works, Found")</f>
        <v>Bird Marketing, WebFX, The SEO Works, Found</v>
      </c>
      <c r="L793" s="187">
        <f>IFERROR(__xludf.DUMMYFUNCTION("""COMPUTED_VALUE"""),1.0)</f>
        <v>1</v>
      </c>
      <c r="M793" s="188">
        <f>IFERROR(__xludf.DUMMYFUNCTION("""COMPUTED_VALUE"""),0.0)</f>
        <v>0</v>
      </c>
      <c r="N793" s="188">
        <f>IFERROR(__xludf.DUMMYFUNCTION("""COMPUTED_VALUE"""),0.0)</f>
        <v>0</v>
      </c>
      <c r="O793" s="208"/>
      <c r="P793" s="208"/>
      <c r="Q793" s="208"/>
      <c r="R793" s="208"/>
    </row>
    <row r="794">
      <c r="A794" s="185" t="str">
        <f>IFERROR(__xludf.DUMMYFUNCTION("""COMPUTED_VALUE"""),"Agency directory / review marketplace")</f>
        <v>Agency directory / review marketplace</v>
      </c>
      <c r="B794" s="186" t="str">
        <f>IFERROR(__xludf.DUMMYFUNCTION("""COMPUTED_VALUE"""),"https://www.goodfirms.co/directory/country/top-digital-marketing-companies/gb?hss_channel=fbp-687194624745812utm_content%3D126613956&amp;page=2")</f>
        <v>https://www.goodfirms.co/directory/country/top-digital-marketing-companies/gb?hss_channel=fbp-687194624745812utm_content%3D126613956&amp;page=2</v>
      </c>
      <c r="C794" s="185" t="str">
        <f>IFERROR(__xludf.DUMMYFUNCTION("""COMPUTED_VALUE"""),"Top Digital Marketing Agencies in UK - 2026 Reviews | Goodfirms")</f>
        <v>Top Digital Marketing Agencies in UK - 2026 Reviews | Goodfirms</v>
      </c>
      <c r="D794" s="185" t="str">
        <f>IFERROR(__xludf.DUMMYFUNCTION("""COMPUTED_VALUE"""),"UK")</f>
        <v>UK</v>
      </c>
      <c r="E794" s="185" t="str">
        <f>IFERROR(__xludf.DUMMYFUNCTION("""COMPUTED_VALUE"""),"goodfirms.co")</f>
        <v>goodfirms.co</v>
      </c>
      <c r="F794" s="185" t="str">
        <f>IFERROR(__xludf.DUMMYFUNCTION("""COMPUTED_VALUE"""),"Other")</f>
        <v>Other</v>
      </c>
      <c r="G794" s="185" t="str">
        <f>IFERROR(__xludf.DUMMYFUNCTION("""COMPUTED_VALUE"""),"UGC")</f>
        <v>UGC</v>
      </c>
      <c r="H794" s="185" t="str">
        <f>IFERROR(__xludf.DUMMYFUNCTION("""COMPUTED_VALUE"""),"No")</f>
        <v>No</v>
      </c>
      <c r="I794" s="185" t="str">
        <f>IFERROR(__xludf.DUMMYFUNCTION("""COMPUTED_VALUE"""),"Medium")</f>
        <v>Medium</v>
      </c>
      <c r="J794" s="185" t="str">
        <f>IFERROR(__xludf.DUMMYFUNCTION("""COMPUTED_VALUE"""),"Yes")</f>
        <v>Yes</v>
      </c>
      <c r="K794" s="185" t="str">
        <f>IFERROR(__xludf.DUMMYFUNCTION("""COMPUTED_VALUE"""),"Whitehat, Found, Bird Marketing")</f>
        <v>Whitehat, Found, Bird Marketing</v>
      </c>
      <c r="L794" s="187">
        <f>IFERROR(__xludf.DUMMYFUNCTION("""COMPUTED_VALUE"""),1.0)</f>
        <v>1</v>
      </c>
      <c r="M794" s="188">
        <f>IFERROR(__xludf.DUMMYFUNCTION("""COMPUTED_VALUE"""),0.0)</f>
        <v>0</v>
      </c>
      <c r="N794" s="188">
        <f>IFERROR(__xludf.DUMMYFUNCTION("""COMPUTED_VALUE"""),0.0)</f>
        <v>0</v>
      </c>
      <c r="O794" s="208"/>
      <c r="P794" s="208"/>
      <c r="Q794" s="208"/>
      <c r="R794" s="208"/>
    </row>
    <row r="795">
      <c r="A795" s="185" t="str">
        <f>IFERROR(__xludf.DUMMYFUNCTION("""COMPUTED_VALUE"""),"Agency directory / review marketplace")</f>
        <v>Agency directory / review marketplace</v>
      </c>
      <c r="B795" s="186" t="str">
        <f>IFERROR(__xludf.DUMMYFUNCTION("""COMPUTED_VALUE"""),"https://www.goodfirms.co/directory/country/top-digital-marketing-companies/media-planning-buying/uk")</f>
        <v>https://www.goodfirms.co/directory/country/top-digital-marketing-companies/media-planning-buying/uk</v>
      </c>
      <c r="C795" s="185" t="str">
        <f>IFERROR(__xludf.DUMMYFUNCTION("""COMPUTED_VALUE"""),"Top Media Buying Agencies in the United Kingdom - 2026 Reviews | Goodfirms")</f>
        <v>Top Media Buying Agencies in the United Kingdom - 2026 Reviews | Goodfirms</v>
      </c>
      <c r="D795" s="185" t="str">
        <f>IFERROR(__xludf.DUMMYFUNCTION("""COMPUTED_VALUE"""),"UK")</f>
        <v>UK</v>
      </c>
      <c r="E795" s="185" t="str">
        <f>IFERROR(__xludf.DUMMYFUNCTION("""COMPUTED_VALUE"""),"goodfirms.co")</f>
        <v>goodfirms.co</v>
      </c>
      <c r="F795" s="185" t="str">
        <f>IFERROR(__xludf.DUMMYFUNCTION("""COMPUTED_VALUE"""),"Other")</f>
        <v>Other</v>
      </c>
      <c r="G795" s="185" t="str">
        <f>IFERROR(__xludf.DUMMYFUNCTION("""COMPUTED_VALUE"""),"UGC")</f>
        <v>UGC</v>
      </c>
      <c r="H795" s="185" t="str">
        <f>IFERROR(__xludf.DUMMYFUNCTION("""COMPUTED_VALUE"""),"No")</f>
        <v>No</v>
      </c>
      <c r="I795" s="185" t="str">
        <f>IFERROR(__xludf.DUMMYFUNCTION("""COMPUTED_VALUE"""),"Medium")</f>
        <v>Medium</v>
      </c>
      <c r="J795" s="185" t="str">
        <f>IFERROR(__xludf.DUMMYFUNCTION("""COMPUTED_VALUE"""),"Yes")</f>
        <v>Yes</v>
      </c>
      <c r="K795" s="185" t="str">
        <f>IFERROR(__xludf.DUMMYFUNCTION("""COMPUTED_VALUE"""),"WebFX, VCCP, Favoured, Omnicom, Found, Bird Marketing")</f>
        <v>WebFX, VCCP, Favoured, Omnicom, Found, Bird Marketing</v>
      </c>
      <c r="L795" s="187">
        <f>IFERROR(__xludf.DUMMYFUNCTION("""COMPUTED_VALUE"""),1.0)</f>
        <v>1</v>
      </c>
      <c r="M795" s="188">
        <f>IFERROR(__xludf.DUMMYFUNCTION("""COMPUTED_VALUE"""),0.0)</f>
        <v>0</v>
      </c>
      <c r="N795" s="188">
        <f>IFERROR(__xludf.DUMMYFUNCTION("""COMPUTED_VALUE"""),0.0)</f>
        <v>0</v>
      </c>
      <c r="O795" s="208"/>
      <c r="P795" s="208"/>
      <c r="Q795" s="208"/>
      <c r="R795" s="208"/>
    </row>
    <row r="796">
      <c r="A796" s="185" t="str">
        <f>IFERROR(__xludf.DUMMYFUNCTION("""COMPUTED_VALUE"""),"Official partner / certification ecosystem")</f>
        <v>Official partner / certification ecosystem</v>
      </c>
      <c r="B796" s="186" t="str">
        <f>IFERROR(__xludf.DUMMYFUNCTION("""COMPUTED_VALUE"""),"https://www.google.com/searchviewer/10?svid=CAwSGxIZCgNwdnESEkNnc3ZaeTh4ZEd4ZmJEWXhlURgK")</f>
        <v>https://www.google.com/searchviewer/10?svid=CAwSGxIZCgNwdnESEkNnc3ZaeTh4ZEd4ZmJEWXhlURgK</v>
      </c>
      <c r="C796" s="185"/>
      <c r="D796" s="185" t="str">
        <f>IFERROR(__xludf.DUMMYFUNCTION("""COMPUTED_VALUE"""),"UK")</f>
        <v>UK</v>
      </c>
      <c r="E796" s="185" t="str">
        <f>IFERROR(__xludf.DUMMYFUNCTION("""COMPUTED_VALUE"""),"google.com")</f>
        <v>google.com</v>
      </c>
      <c r="F796" s="185" t="str">
        <f>IFERROR(__xludf.DUMMYFUNCTION("""COMPUTED_VALUE"""),"Other")</f>
        <v>Other</v>
      </c>
      <c r="G796" s="185" t="str">
        <f>IFERROR(__xludf.DUMMYFUNCTION("""COMPUTED_VALUE"""),"OTHER")</f>
        <v>OTHER</v>
      </c>
      <c r="H796" s="185" t="str">
        <f>IFERROR(__xludf.DUMMYFUNCTION("""COMPUTED_VALUE"""),"No")</f>
        <v>No</v>
      </c>
      <c r="I796" s="185" t="str">
        <f>IFERROR(__xludf.DUMMYFUNCTION("""COMPUTED_VALUE"""),"High")</f>
        <v>High</v>
      </c>
      <c r="J796" s="185" t="str">
        <f>IFERROR(__xludf.DUMMYFUNCTION("""COMPUTED_VALUE"""),"Yes - priority")</f>
        <v>Yes - priority</v>
      </c>
      <c r="K796" s="185" t="str">
        <f>IFERROR(__xludf.DUMMYFUNCTION("""COMPUTED_VALUE"""),"Unknown")</f>
        <v>Unknown</v>
      </c>
      <c r="L796" s="187">
        <f>IFERROR(__xludf.DUMMYFUNCTION("""COMPUTED_VALUE"""),1.0)</f>
        <v>1</v>
      </c>
      <c r="M796" s="188">
        <f>IFERROR(__xludf.DUMMYFUNCTION("""COMPUTED_VALUE"""),0.0)</f>
        <v>0</v>
      </c>
      <c r="N796" s="188">
        <f>IFERROR(__xludf.DUMMYFUNCTION("""COMPUTED_VALUE"""),0.0)</f>
        <v>0</v>
      </c>
      <c r="O796" s="208"/>
      <c r="P796" s="208"/>
      <c r="Q796" s="208"/>
      <c r="R796" s="208"/>
    </row>
    <row r="797">
      <c r="A797" s="185" t="str">
        <f>IFERROR(__xludf.DUMMYFUNCTION("""COMPUTED_VALUE"""),"Official partner / certification ecosystem")</f>
        <v>Official partner / certification ecosystem</v>
      </c>
      <c r="B797" s="186" t="str">
        <f>IFERROR(__xludf.DUMMYFUNCTION("""COMPUTED_VALUE"""),"https://www.google.com/searchviewer/10?svid=CAwSGxIZCgNwdnESEkNnc3ZaeTh4ZEdONGVqbG9OZxgK")</f>
        <v>https://www.google.com/searchviewer/10?svid=CAwSGxIZCgNwdnESEkNnc3ZaeTh4ZEdONGVqbG9OZxgK</v>
      </c>
      <c r="C797" s="185"/>
      <c r="D797" s="185" t="str">
        <f>IFERROR(__xludf.DUMMYFUNCTION("""COMPUTED_VALUE"""),"UK")</f>
        <v>UK</v>
      </c>
      <c r="E797" s="185" t="str">
        <f>IFERROR(__xludf.DUMMYFUNCTION("""COMPUTED_VALUE"""),"google.com")</f>
        <v>google.com</v>
      </c>
      <c r="F797" s="185" t="str">
        <f>IFERROR(__xludf.DUMMYFUNCTION("""COMPUTED_VALUE"""),"Other")</f>
        <v>Other</v>
      </c>
      <c r="G797" s="185" t="str">
        <f>IFERROR(__xludf.DUMMYFUNCTION("""COMPUTED_VALUE"""),"OTHER")</f>
        <v>OTHER</v>
      </c>
      <c r="H797" s="185" t="str">
        <f>IFERROR(__xludf.DUMMYFUNCTION("""COMPUTED_VALUE"""),"No")</f>
        <v>No</v>
      </c>
      <c r="I797" s="185" t="str">
        <f>IFERROR(__xludf.DUMMYFUNCTION("""COMPUTED_VALUE"""),"High")</f>
        <v>High</v>
      </c>
      <c r="J797" s="185" t="str">
        <f>IFERROR(__xludf.DUMMYFUNCTION("""COMPUTED_VALUE"""),"Yes - priority")</f>
        <v>Yes - priority</v>
      </c>
      <c r="K797" s="185" t="str">
        <f>IFERROR(__xludf.DUMMYFUNCTION("""COMPUTED_VALUE"""),"Unknown")</f>
        <v>Unknown</v>
      </c>
      <c r="L797" s="187">
        <f>IFERROR(__xludf.DUMMYFUNCTION("""COMPUTED_VALUE"""),1.0)</f>
        <v>1</v>
      </c>
      <c r="M797" s="188">
        <f>IFERROR(__xludf.DUMMYFUNCTION("""COMPUTED_VALUE"""),0.0)</f>
        <v>0</v>
      </c>
      <c r="N797" s="188">
        <f>IFERROR(__xludf.DUMMYFUNCTION("""COMPUTED_VALUE"""),1.0)</f>
        <v>1</v>
      </c>
      <c r="O797" s="208"/>
      <c r="P797" s="208"/>
      <c r="Q797" s="208"/>
      <c r="R797" s="208"/>
    </row>
    <row r="798">
      <c r="A798" s="185" t="str">
        <f>IFERROR(__xludf.DUMMYFUNCTION("""COMPUTED_VALUE"""),"Official partner / certification ecosystem")</f>
        <v>Official partner / certification ecosystem</v>
      </c>
      <c r="B798" s="186" t="str">
        <f>IFERROR(__xludf.DUMMYFUNCTION("""COMPUTED_VALUE"""),"https://www.google.com/searchviewer/10?svid=CAwSGxIZCgNwdnESEkNnc3ZaeTh4ZEdRMFpEQnpPQRgK")</f>
        <v>https://www.google.com/searchviewer/10?svid=CAwSGxIZCgNwdnESEkNnc3ZaeTh4ZEdRMFpEQnpPQRgK</v>
      </c>
      <c r="C798" s="185"/>
      <c r="D798" s="185" t="str">
        <f>IFERROR(__xludf.DUMMYFUNCTION("""COMPUTED_VALUE"""),"UK")</f>
        <v>UK</v>
      </c>
      <c r="E798" s="185" t="str">
        <f>IFERROR(__xludf.DUMMYFUNCTION("""COMPUTED_VALUE"""),"google.com")</f>
        <v>google.com</v>
      </c>
      <c r="F798" s="185" t="str">
        <f>IFERROR(__xludf.DUMMYFUNCTION("""COMPUTED_VALUE"""),"Other")</f>
        <v>Other</v>
      </c>
      <c r="G798" s="185" t="str">
        <f>IFERROR(__xludf.DUMMYFUNCTION("""COMPUTED_VALUE"""),"OTHER")</f>
        <v>OTHER</v>
      </c>
      <c r="H798" s="185" t="str">
        <f>IFERROR(__xludf.DUMMYFUNCTION("""COMPUTED_VALUE"""),"No")</f>
        <v>No</v>
      </c>
      <c r="I798" s="185" t="str">
        <f>IFERROR(__xludf.DUMMYFUNCTION("""COMPUTED_VALUE"""),"High")</f>
        <v>High</v>
      </c>
      <c r="J798" s="185" t="str">
        <f>IFERROR(__xludf.DUMMYFUNCTION("""COMPUTED_VALUE"""),"Yes - priority")</f>
        <v>Yes - priority</v>
      </c>
      <c r="K798" s="185" t="str">
        <f>IFERROR(__xludf.DUMMYFUNCTION("""COMPUTED_VALUE"""),"Unknown")</f>
        <v>Unknown</v>
      </c>
      <c r="L798" s="187">
        <f>IFERROR(__xludf.DUMMYFUNCTION("""COMPUTED_VALUE"""),1.0)</f>
        <v>1</v>
      </c>
      <c r="M798" s="188">
        <f>IFERROR(__xludf.DUMMYFUNCTION("""COMPUTED_VALUE"""),0.0)</f>
        <v>0</v>
      </c>
      <c r="N798" s="188">
        <f>IFERROR(__xludf.DUMMYFUNCTION("""COMPUTED_VALUE"""),0.0)</f>
        <v>0</v>
      </c>
      <c r="O798" s="208"/>
      <c r="P798" s="208"/>
      <c r="Q798" s="208"/>
      <c r="R798" s="208"/>
    </row>
    <row r="799">
      <c r="A799" s="185" t="str">
        <f>IFERROR(__xludf.DUMMYFUNCTION("""COMPUTED_VALUE"""),"Official partner / certification ecosystem")</f>
        <v>Official partner / certification ecosystem</v>
      </c>
      <c r="B799" s="186" t="str">
        <f>IFERROR(__xludf.DUMMYFUNCTION("""COMPUTED_VALUE"""),"https://www.google.com/searchviewer/10?svid=CAwSGxIZCgNwdnESEkNnc3ZaeTh4ZEdSNVgyWjNOZxgK")</f>
        <v>https://www.google.com/searchviewer/10?svid=CAwSGxIZCgNwdnESEkNnc3ZaeTh4ZEdSNVgyWjNOZxgK</v>
      </c>
      <c r="C799" s="185"/>
      <c r="D799" s="185" t="str">
        <f>IFERROR(__xludf.DUMMYFUNCTION("""COMPUTED_VALUE"""),"UK")</f>
        <v>UK</v>
      </c>
      <c r="E799" s="185" t="str">
        <f>IFERROR(__xludf.DUMMYFUNCTION("""COMPUTED_VALUE"""),"google.com")</f>
        <v>google.com</v>
      </c>
      <c r="F799" s="185" t="str">
        <f>IFERROR(__xludf.DUMMYFUNCTION("""COMPUTED_VALUE"""),"Other")</f>
        <v>Other</v>
      </c>
      <c r="G799" s="185" t="str">
        <f>IFERROR(__xludf.DUMMYFUNCTION("""COMPUTED_VALUE"""),"OTHER")</f>
        <v>OTHER</v>
      </c>
      <c r="H799" s="185" t="str">
        <f>IFERROR(__xludf.DUMMYFUNCTION("""COMPUTED_VALUE"""),"No")</f>
        <v>No</v>
      </c>
      <c r="I799" s="185" t="str">
        <f>IFERROR(__xludf.DUMMYFUNCTION("""COMPUTED_VALUE"""),"High")</f>
        <v>High</v>
      </c>
      <c r="J799" s="185" t="str">
        <f>IFERROR(__xludf.DUMMYFUNCTION("""COMPUTED_VALUE"""),"Yes - priority")</f>
        <v>Yes - priority</v>
      </c>
      <c r="K799" s="185" t="str">
        <f>IFERROR(__xludf.DUMMYFUNCTION("""COMPUTED_VALUE"""),"Unknown")</f>
        <v>Unknown</v>
      </c>
      <c r="L799" s="187">
        <f>IFERROR(__xludf.DUMMYFUNCTION("""COMPUTED_VALUE"""),1.0)</f>
        <v>1</v>
      </c>
      <c r="M799" s="188">
        <f>IFERROR(__xludf.DUMMYFUNCTION("""COMPUTED_VALUE"""),0.0)</f>
        <v>0</v>
      </c>
      <c r="N799" s="188">
        <f>IFERROR(__xludf.DUMMYFUNCTION("""COMPUTED_VALUE"""),0.0)</f>
        <v>0</v>
      </c>
      <c r="O799" s="208"/>
      <c r="P799" s="208"/>
      <c r="Q799" s="208"/>
      <c r="R799" s="208"/>
    </row>
    <row r="800">
      <c r="A800" s="185" t="str">
        <f>IFERROR(__xludf.DUMMYFUNCTION("""COMPUTED_VALUE"""),"Official partner / certification ecosystem")</f>
        <v>Official partner / certification ecosystem</v>
      </c>
      <c r="B800" s="186" t="str">
        <f>IFERROR(__xludf.DUMMYFUNCTION("""COMPUTED_VALUE"""),"https://www.google.com/searchviewer/10?svid=CAwSGxIZCgNwdnESEkNnc3ZaeTh4ZEdjMWVqTXpaQRgK")</f>
        <v>https://www.google.com/searchviewer/10?svid=CAwSGxIZCgNwdnESEkNnc3ZaeTh4ZEdjMWVqTXpaQRgK</v>
      </c>
      <c r="C800" s="185"/>
      <c r="D800" s="185" t="str">
        <f>IFERROR(__xludf.DUMMYFUNCTION("""COMPUTED_VALUE"""),"UK")</f>
        <v>UK</v>
      </c>
      <c r="E800" s="185" t="str">
        <f>IFERROR(__xludf.DUMMYFUNCTION("""COMPUTED_VALUE"""),"google.com")</f>
        <v>google.com</v>
      </c>
      <c r="F800" s="185" t="str">
        <f>IFERROR(__xludf.DUMMYFUNCTION("""COMPUTED_VALUE"""),"Other")</f>
        <v>Other</v>
      </c>
      <c r="G800" s="185" t="str">
        <f>IFERROR(__xludf.DUMMYFUNCTION("""COMPUTED_VALUE"""),"OTHER")</f>
        <v>OTHER</v>
      </c>
      <c r="H800" s="185" t="str">
        <f>IFERROR(__xludf.DUMMYFUNCTION("""COMPUTED_VALUE"""),"No")</f>
        <v>No</v>
      </c>
      <c r="I800" s="185" t="str">
        <f>IFERROR(__xludf.DUMMYFUNCTION("""COMPUTED_VALUE"""),"High")</f>
        <v>High</v>
      </c>
      <c r="J800" s="185" t="str">
        <f>IFERROR(__xludf.DUMMYFUNCTION("""COMPUTED_VALUE"""),"Yes - priority")</f>
        <v>Yes - priority</v>
      </c>
      <c r="K800" s="185" t="str">
        <f>IFERROR(__xludf.DUMMYFUNCTION("""COMPUTED_VALUE"""),"Unknown")</f>
        <v>Unknown</v>
      </c>
      <c r="L800" s="187">
        <f>IFERROR(__xludf.DUMMYFUNCTION("""COMPUTED_VALUE"""),1.0)</f>
        <v>1</v>
      </c>
      <c r="M800" s="188">
        <f>IFERROR(__xludf.DUMMYFUNCTION("""COMPUTED_VALUE"""),0.0)</f>
        <v>0</v>
      </c>
      <c r="N800" s="188">
        <f>IFERROR(__xludf.DUMMYFUNCTION("""COMPUTED_VALUE"""),0.0)</f>
        <v>0</v>
      </c>
      <c r="O800" s="208"/>
      <c r="P800" s="208"/>
      <c r="Q800" s="208"/>
      <c r="R800" s="208"/>
    </row>
    <row r="801">
      <c r="A801" s="185" t="str">
        <f>IFERROR(__xludf.DUMMYFUNCTION("""COMPUTED_VALUE"""),"Official partner / certification ecosystem")</f>
        <v>Official partner / certification ecosystem</v>
      </c>
      <c r="B801" s="186" t="str">
        <f>IFERROR(__xludf.DUMMYFUNCTION("""COMPUTED_VALUE"""),"https://www.google.com/searchviewer/10?svid=CAwSGxIZCgNwdnESEkNnc3ZaeTh4ZEdka2MyMXhiQRgK")</f>
        <v>https://www.google.com/searchviewer/10?svid=CAwSGxIZCgNwdnESEkNnc3ZaeTh4ZEdka2MyMXhiQRgK</v>
      </c>
      <c r="C801" s="185"/>
      <c r="D801" s="185" t="str">
        <f>IFERROR(__xludf.DUMMYFUNCTION("""COMPUTED_VALUE"""),"UK")</f>
        <v>UK</v>
      </c>
      <c r="E801" s="185" t="str">
        <f>IFERROR(__xludf.DUMMYFUNCTION("""COMPUTED_VALUE"""),"google.com")</f>
        <v>google.com</v>
      </c>
      <c r="F801" s="185" t="str">
        <f>IFERROR(__xludf.DUMMYFUNCTION("""COMPUTED_VALUE"""),"Other")</f>
        <v>Other</v>
      </c>
      <c r="G801" s="185" t="str">
        <f>IFERROR(__xludf.DUMMYFUNCTION("""COMPUTED_VALUE"""),"OTHER")</f>
        <v>OTHER</v>
      </c>
      <c r="H801" s="185" t="str">
        <f>IFERROR(__xludf.DUMMYFUNCTION("""COMPUTED_VALUE"""),"No")</f>
        <v>No</v>
      </c>
      <c r="I801" s="185" t="str">
        <f>IFERROR(__xludf.DUMMYFUNCTION("""COMPUTED_VALUE"""),"High")</f>
        <v>High</v>
      </c>
      <c r="J801" s="185" t="str">
        <f>IFERROR(__xludf.DUMMYFUNCTION("""COMPUTED_VALUE"""),"Yes - priority")</f>
        <v>Yes - priority</v>
      </c>
      <c r="K801" s="185" t="str">
        <f>IFERROR(__xludf.DUMMYFUNCTION("""COMPUTED_VALUE"""),"Unknown")</f>
        <v>Unknown</v>
      </c>
      <c r="L801" s="187">
        <f>IFERROR(__xludf.DUMMYFUNCTION("""COMPUTED_VALUE"""),1.0)</f>
        <v>1</v>
      </c>
      <c r="M801" s="188">
        <f>IFERROR(__xludf.DUMMYFUNCTION("""COMPUTED_VALUE"""),0.0)</f>
        <v>0</v>
      </c>
      <c r="N801" s="188">
        <f>IFERROR(__xludf.DUMMYFUNCTION("""COMPUTED_VALUE"""),0.0)</f>
        <v>0</v>
      </c>
      <c r="O801" s="208"/>
      <c r="P801" s="208"/>
      <c r="Q801" s="208"/>
      <c r="R801" s="208"/>
    </row>
    <row r="802">
      <c r="A802" s="185" t="str">
        <f>IFERROR(__xludf.DUMMYFUNCTION("""COMPUTED_VALUE"""),"Official partner / certification ecosystem")</f>
        <v>Official partner / certification ecosystem</v>
      </c>
      <c r="B802" s="186" t="str">
        <f>IFERROR(__xludf.DUMMYFUNCTION("""COMPUTED_VALUE"""),"https://www.google.com/searchviewer/10?svid=CAwSGxIZCgNwdnESEkNnc3ZaeTh4ZEdvemEydHFhQRgK")</f>
        <v>https://www.google.com/searchviewer/10?svid=CAwSGxIZCgNwdnESEkNnc3ZaeTh4ZEdvemEydHFhQRgK</v>
      </c>
      <c r="C802" s="185"/>
      <c r="D802" s="185" t="str">
        <f>IFERROR(__xludf.DUMMYFUNCTION("""COMPUTED_VALUE"""),"UK")</f>
        <v>UK</v>
      </c>
      <c r="E802" s="185" t="str">
        <f>IFERROR(__xludf.DUMMYFUNCTION("""COMPUTED_VALUE"""),"google.com")</f>
        <v>google.com</v>
      </c>
      <c r="F802" s="185" t="str">
        <f>IFERROR(__xludf.DUMMYFUNCTION("""COMPUTED_VALUE"""),"Other")</f>
        <v>Other</v>
      </c>
      <c r="G802" s="185" t="str">
        <f>IFERROR(__xludf.DUMMYFUNCTION("""COMPUTED_VALUE"""),"OTHER")</f>
        <v>OTHER</v>
      </c>
      <c r="H802" s="185" t="str">
        <f>IFERROR(__xludf.DUMMYFUNCTION("""COMPUTED_VALUE"""),"No")</f>
        <v>No</v>
      </c>
      <c r="I802" s="185" t="str">
        <f>IFERROR(__xludf.DUMMYFUNCTION("""COMPUTED_VALUE"""),"High")</f>
        <v>High</v>
      </c>
      <c r="J802" s="185" t="str">
        <f>IFERROR(__xludf.DUMMYFUNCTION("""COMPUTED_VALUE"""),"Yes - priority")</f>
        <v>Yes - priority</v>
      </c>
      <c r="K802" s="185" t="str">
        <f>IFERROR(__xludf.DUMMYFUNCTION("""COMPUTED_VALUE"""),"Unknown")</f>
        <v>Unknown</v>
      </c>
      <c r="L802" s="187">
        <f>IFERROR(__xludf.DUMMYFUNCTION("""COMPUTED_VALUE"""),1.0)</f>
        <v>1</v>
      </c>
      <c r="M802" s="188">
        <f>IFERROR(__xludf.DUMMYFUNCTION("""COMPUTED_VALUE"""),0.0)</f>
        <v>0</v>
      </c>
      <c r="N802" s="188">
        <f>IFERROR(__xludf.DUMMYFUNCTION("""COMPUTED_VALUE"""),0.0)</f>
        <v>0</v>
      </c>
      <c r="O802" s="208"/>
      <c r="P802" s="208"/>
      <c r="Q802" s="208"/>
      <c r="R802" s="208"/>
    </row>
    <row r="803">
      <c r="A803" s="185" t="str">
        <f>IFERROR(__xludf.DUMMYFUNCTION("""COMPUTED_VALUE"""),"Official partner / certification ecosystem")</f>
        <v>Official partner / certification ecosystem</v>
      </c>
      <c r="B803" s="186" t="str">
        <f>IFERROR(__xludf.DUMMYFUNCTION("""COMPUTED_VALUE"""),"https://www.google.com/searchviewer/10?svid=CAwSGxIZCgNwdnESEkNnc3ZaeTh4ZGpnek1HeHFadxgK")</f>
        <v>https://www.google.com/searchviewer/10?svid=CAwSGxIZCgNwdnESEkNnc3ZaeTh4ZGpnek1HeHFadxgK</v>
      </c>
      <c r="C803" s="185"/>
      <c r="D803" s="185" t="str">
        <f>IFERROR(__xludf.DUMMYFUNCTION("""COMPUTED_VALUE"""),"UK")</f>
        <v>UK</v>
      </c>
      <c r="E803" s="185" t="str">
        <f>IFERROR(__xludf.DUMMYFUNCTION("""COMPUTED_VALUE"""),"google.com")</f>
        <v>google.com</v>
      </c>
      <c r="F803" s="185" t="str">
        <f>IFERROR(__xludf.DUMMYFUNCTION("""COMPUTED_VALUE"""),"Other")</f>
        <v>Other</v>
      </c>
      <c r="G803" s="185" t="str">
        <f>IFERROR(__xludf.DUMMYFUNCTION("""COMPUTED_VALUE"""),"OTHER")</f>
        <v>OTHER</v>
      </c>
      <c r="H803" s="185" t="str">
        <f>IFERROR(__xludf.DUMMYFUNCTION("""COMPUTED_VALUE"""),"No")</f>
        <v>No</v>
      </c>
      <c r="I803" s="185" t="str">
        <f>IFERROR(__xludf.DUMMYFUNCTION("""COMPUTED_VALUE"""),"High")</f>
        <v>High</v>
      </c>
      <c r="J803" s="185" t="str">
        <f>IFERROR(__xludf.DUMMYFUNCTION("""COMPUTED_VALUE"""),"Yes - priority")</f>
        <v>Yes - priority</v>
      </c>
      <c r="K803" s="185" t="str">
        <f>IFERROR(__xludf.DUMMYFUNCTION("""COMPUTED_VALUE"""),"Unknown")</f>
        <v>Unknown</v>
      </c>
      <c r="L803" s="187">
        <f>IFERROR(__xludf.DUMMYFUNCTION("""COMPUTED_VALUE"""),1.0)</f>
        <v>1</v>
      </c>
      <c r="M803" s="188">
        <f>IFERROR(__xludf.DUMMYFUNCTION("""COMPUTED_VALUE"""),0.0)</f>
        <v>0</v>
      </c>
      <c r="N803" s="188">
        <f>IFERROR(__xludf.DUMMYFUNCTION("""COMPUTED_VALUE"""),0.0)</f>
        <v>0</v>
      </c>
      <c r="O803" s="208"/>
      <c r="P803" s="208"/>
      <c r="Q803" s="208"/>
      <c r="R803" s="208"/>
    </row>
    <row r="804">
      <c r="A804" s="185" t="str">
        <f>IFERROR(__xludf.DUMMYFUNCTION("""COMPUTED_VALUE"""),"Official partner / certification ecosystem")</f>
        <v>Official partner / certification ecosystem</v>
      </c>
      <c r="B804" s="186" t="str">
        <f>IFERROR(__xludf.DUMMYFUNCTION("""COMPUTED_VALUE"""),"https://www.google.com/searchviewer/10?svid=CAwSHBIaCgNwdnESE0Nnd3ZaeTh4TVRObWN6TTROWFEYCg")</f>
        <v>https://www.google.com/searchviewer/10?svid=CAwSHBIaCgNwdnESE0Nnd3ZaeTh4TVRObWN6TTROWFEYCg</v>
      </c>
      <c r="C804" s="185"/>
      <c r="D804" s="185" t="str">
        <f>IFERROR(__xludf.DUMMYFUNCTION("""COMPUTED_VALUE"""),"UK")</f>
        <v>UK</v>
      </c>
      <c r="E804" s="185" t="str">
        <f>IFERROR(__xludf.DUMMYFUNCTION("""COMPUTED_VALUE"""),"google.com")</f>
        <v>google.com</v>
      </c>
      <c r="F804" s="185" t="str">
        <f>IFERROR(__xludf.DUMMYFUNCTION("""COMPUTED_VALUE"""),"Other")</f>
        <v>Other</v>
      </c>
      <c r="G804" s="185" t="str">
        <f>IFERROR(__xludf.DUMMYFUNCTION("""COMPUTED_VALUE"""),"OTHER")</f>
        <v>OTHER</v>
      </c>
      <c r="H804" s="185" t="str">
        <f>IFERROR(__xludf.DUMMYFUNCTION("""COMPUTED_VALUE"""),"No")</f>
        <v>No</v>
      </c>
      <c r="I804" s="185" t="str">
        <f>IFERROR(__xludf.DUMMYFUNCTION("""COMPUTED_VALUE"""),"High")</f>
        <v>High</v>
      </c>
      <c r="J804" s="185" t="str">
        <f>IFERROR(__xludf.DUMMYFUNCTION("""COMPUTED_VALUE"""),"Yes - priority")</f>
        <v>Yes - priority</v>
      </c>
      <c r="K804" s="185" t="str">
        <f>IFERROR(__xludf.DUMMYFUNCTION("""COMPUTED_VALUE"""),"Unknown")</f>
        <v>Unknown</v>
      </c>
      <c r="L804" s="187">
        <f>IFERROR(__xludf.DUMMYFUNCTION("""COMPUTED_VALUE"""),1.0)</f>
        <v>1</v>
      </c>
      <c r="M804" s="188">
        <f>IFERROR(__xludf.DUMMYFUNCTION("""COMPUTED_VALUE"""),0.0)</f>
        <v>0</v>
      </c>
      <c r="N804" s="188">
        <f>IFERROR(__xludf.DUMMYFUNCTION("""COMPUTED_VALUE"""),0.0)</f>
        <v>0</v>
      </c>
      <c r="O804" s="208"/>
      <c r="P804" s="208"/>
      <c r="Q804" s="208"/>
      <c r="R804" s="208"/>
    </row>
    <row r="805">
      <c r="A805" s="185" t="str">
        <f>IFERROR(__xludf.DUMMYFUNCTION("""COMPUTED_VALUE"""),"Official partner / certification ecosystem")</f>
        <v>Official partner / certification ecosystem</v>
      </c>
      <c r="B805" s="186" t="str">
        <f>IFERROR(__xludf.DUMMYFUNCTION("""COMPUTED_VALUE"""),"https://www.google.com/searchviewer/10?svid=CAwSHBIaCgNwdnESE0Nnd3ZaeTh4TW0wNU9ERnJOM2sYCg")</f>
        <v>https://www.google.com/searchviewer/10?svid=CAwSHBIaCgNwdnESE0Nnd3ZaeTh4TW0wNU9ERnJOM2sYCg</v>
      </c>
      <c r="C805" s="185"/>
      <c r="D805" s="185" t="str">
        <f>IFERROR(__xludf.DUMMYFUNCTION("""COMPUTED_VALUE"""),"UK")</f>
        <v>UK</v>
      </c>
      <c r="E805" s="185" t="str">
        <f>IFERROR(__xludf.DUMMYFUNCTION("""COMPUTED_VALUE"""),"google.com")</f>
        <v>google.com</v>
      </c>
      <c r="F805" s="185" t="str">
        <f>IFERROR(__xludf.DUMMYFUNCTION("""COMPUTED_VALUE"""),"Other")</f>
        <v>Other</v>
      </c>
      <c r="G805" s="185" t="str">
        <f>IFERROR(__xludf.DUMMYFUNCTION("""COMPUTED_VALUE"""),"OTHER")</f>
        <v>OTHER</v>
      </c>
      <c r="H805" s="185" t="str">
        <f>IFERROR(__xludf.DUMMYFUNCTION("""COMPUTED_VALUE"""),"No")</f>
        <v>No</v>
      </c>
      <c r="I805" s="185" t="str">
        <f>IFERROR(__xludf.DUMMYFUNCTION("""COMPUTED_VALUE"""),"High")</f>
        <v>High</v>
      </c>
      <c r="J805" s="185" t="str">
        <f>IFERROR(__xludf.DUMMYFUNCTION("""COMPUTED_VALUE"""),"Yes - priority")</f>
        <v>Yes - priority</v>
      </c>
      <c r="K805" s="185" t="str">
        <f>IFERROR(__xludf.DUMMYFUNCTION("""COMPUTED_VALUE"""),"Unknown")</f>
        <v>Unknown</v>
      </c>
      <c r="L805" s="187">
        <f>IFERROR(__xludf.DUMMYFUNCTION("""COMPUTED_VALUE"""),1.0)</f>
        <v>1</v>
      </c>
      <c r="M805" s="188">
        <f>IFERROR(__xludf.DUMMYFUNCTION("""COMPUTED_VALUE"""),0.0)</f>
        <v>0</v>
      </c>
      <c r="N805" s="188">
        <f>IFERROR(__xludf.DUMMYFUNCTION("""COMPUTED_VALUE"""),0.0)</f>
        <v>0</v>
      </c>
      <c r="O805" s="208"/>
      <c r="P805" s="208"/>
      <c r="Q805" s="208"/>
      <c r="R805" s="208"/>
    </row>
    <row r="806">
      <c r="A806" s="185" t="str">
        <f>IFERROR(__xludf.DUMMYFUNCTION("""COMPUTED_VALUE"""),"Official partner / certification ecosystem")</f>
        <v>Official partner / certification ecosystem</v>
      </c>
      <c r="B806" s="186" t="str">
        <f>IFERROR(__xludf.DUMMYFUNCTION("""COMPUTED_VALUE"""),"https://www.google.com/searchviewer/10?svid=CAwSHBIaCgNwdnESE0Nnd3ZaeTh4TW0xc01ubDNkMkkYCg")</f>
        <v>https://www.google.com/searchviewer/10?svid=CAwSHBIaCgNwdnESE0Nnd3ZaeTh4TW0xc01ubDNkMkkYCg</v>
      </c>
      <c r="C806" s="185"/>
      <c r="D806" s="185" t="str">
        <f>IFERROR(__xludf.DUMMYFUNCTION("""COMPUTED_VALUE"""),"UK")</f>
        <v>UK</v>
      </c>
      <c r="E806" s="185" t="str">
        <f>IFERROR(__xludf.DUMMYFUNCTION("""COMPUTED_VALUE"""),"google.com")</f>
        <v>google.com</v>
      </c>
      <c r="F806" s="185" t="str">
        <f>IFERROR(__xludf.DUMMYFUNCTION("""COMPUTED_VALUE"""),"Other")</f>
        <v>Other</v>
      </c>
      <c r="G806" s="185" t="str">
        <f>IFERROR(__xludf.DUMMYFUNCTION("""COMPUTED_VALUE"""),"OTHER")</f>
        <v>OTHER</v>
      </c>
      <c r="H806" s="185" t="str">
        <f>IFERROR(__xludf.DUMMYFUNCTION("""COMPUTED_VALUE"""),"No")</f>
        <v>No</v>
      </c>
      <c r="I806" s="185" t="str">
        <f>IFERROR(__xludf.DUMMYFUNCTION("""COMPUTED_VALUE"""),"High")</f>
        <v>High</v>
      </c>
      <c r="J806" s="185" t="str">
        <f>IFERROR(__xludf.DUMMYFUNCTION("""COMPUTED_VALUE"""),"Yes - priority")</f>
        <v>Yes - priority</v>
      </c>
      <c r="K806" s="185" t="str">
        <f>IFERROR(__xludf.DUMMYFUNCTION("""COMPUTED_VALUE"""),"Unknown")</f>
        <v>Unknown</v>
      </c>
      <c r="L806" s="187">
        <f>IFERROR(__xludf.DUMMYFUNCTION("""COMPUTED_VALUE"""),1.0)</f>
        <v>1</v>
      </c>
      <c r="M806" s="188">
        <f>IFERROR(__xludf.DUMMYFUNCTION("""COMPUTED_VALUE"""),0.0)</f>
        <v>0</v>
      </c>
      <c r="N806" s="188">
        <f>IFERROR(__xludf.DUMMYFUNCTION("""COMPUTED_VALUE"""),0.0)</f>
        <v>0</v>
      </c>
      <c r="O806" s="208"/>
      <c r="P806" s="208"/>
      <c r="Q806" s="208"/>
      <c r="R806" s="208"/>
    </row>
    <row r="807">
      <c r="A807" s="185" t="str">
        <f>IFERROR(__xludf.DUMMYFUNCTION("""COMPUTED_VALUE"""),"Official partner / certification ecosystem")</f>
        <v>Official partner / certification ecosystem</v>
      </c>
      <c r="B807" s="186" t="str">
        <f>IFERROR(__xludf.DUMMYFUNCTION("""COMPUTED_VALUE"""),"https://www.google.com/searchviewer/10?svid=CAwSHBIaCgNwdnESE0Nnd3ZaeTh4TW1Od01qTnNNV2cYCg")</f>
        <v>https://www.google.com/searchviewer/10?svid=CAwSHBIaCgNwdnESE0Nnd3ZaeTh4TW1Od01qTnNNV2cYCg</v>
      </c>
      <c r="C807" s="185"/>
      <c r="D807" s="185" t="str">
        <f>IFERROR(__xludf.DUMMYFUNCTION("""COMPUTED_VALUE"""),"UK")</f>
        <v>UK</v>
      </c>
      <c r="E807" s="185" t="str">
        <f>IFERROR(__xludf.DUMMYFUNCTION("""COMPUTED_VALUE"""),"google.com")</f>
        <v>google.com</v>
      </c>
      <c r="F807" s="185" t="str">
        <f>IFERROR(__xludf.DUMMYFUNCTION("""COMPUTED_VALUE"""),"Other")</f>
        <v>Other</v>
      </c>
      <c r="G807" s="185" t="str">
        <f>IFERROR(__xludf.DUMMYFUNCTION("""COMPUTED_VALUE"""),"OTHER")</f>
        <v>OTHER</v>
      </c>
      <c r="H807" s="185" t="str">
        <f>IFERROR(__xludf.DUMMYFUNCTION("""COMPUTED_VALUE"""),"No")</f>
        <v>No</v>
      </c>
      <c r="I807" s="185" t="str">
        <f>IFERROR(__xludf.DUMMYFUNCTION("""COMPUTED_VALUE"""),"High")</f>
        <v>High</v>
      </c>
      <c r="J807" s="185" t="str">
        <f>IFERROR(__xludf.DUMMYFUNCTION("""COMPUTED_VALUE"""),"Yes - priority")</f>
        <v>Yes - priority</v>
      </c>
      <c r="K807" s="185" t="str">
        <f>IFERROR(__xludf.DUMMYFUNCTION("""COMPUTED_VALUE"""),"Unknown")</f>
        <v>Unknown</v>
      </c>
      <c r="L807" s="187">
        <f>IFERROR(__xludf.DUMMYFUNCTION("""COMPUTED_VALUE"""),1.0)</f>
        <v>1</v>
      </c>
      <c r="M807" s="188">
        <f>IFERROR(__xludf.DUMMYFUNCTION("""COMPUTED_VALUE"""),0.0)</f>
        <v>0</v>
      </c>
      <c r="N807" s="188">
        <f>IFERROR(__xludf.DUMMYFUNCTION("""COMPUTED_VALUE"""),0.0)</f>
        <v>0</v>
      </c>
      <c r="O807" s="208"/>
      <c r="P807" s="208"/>
      <c r="Q807" s="208"/>
      <c r="R807" s="208"/>
    </row>
    <row r="808">
      <c r="A808" s="185" t="str">
        <f>IFERROR(__xludf.DUMMYFUNCTION("""COMPUTED_VALUE"""),"Official partner / certification ecosystem")</f>
        <v>Official partner / certification ecosystem</v>
      </c>
      <c r="B808" s="186" t="str">
        <f>IFERROR(__xludf.DUMMYFUNCTION("""COMPUTED_VALUE"""),"https://www.google.com/searchviewer/10?svid=CAwSHBIaCgNwdnESE0Nnd3ZaeTh4Y0hSMmRtb3dZMkkYCg")</f>
        <v>https://www.google.com/searchviewer/10?svid=CAwSHBIaCgNwdnESE0Nnd3ZaeTh4Y0hSMmRtb3dZMkkYCg</v>
      </c>
      <c r="C808" s="185"/>
      <c r="D808" s="185" t="str">
        <f>IFERROR(__xludf.DUMMYFUNCTION("""COMPUTED_VALUE"""),"UK")</f>
        <v>UK</v>
      </c>
      <c r="E808" s="185" t="str">
        <f>IFERROR(__xludf.DUMMYFUNCTION("""COMPUTED_VALUE"""),"google.com")</f>
        <v>google.com</v>
      </c>
      <c r="F808" s="185" t="str">
        <f>IFERROR(__xludf.DUMMYFUNCTION("""COMPUTED_VALUE"""),"Other")</f>
        <v>Other</v>
      </c>
      <c r="G808" s="185" t="str">
        <f>IFERROR(__xludf.DUMMYFUNCTION("""COMPUTED_VALUE"""),"OTHER")</f>
        <v>OTHER</v>
      </c>
      <c r="H808" s="185" t="str">
        <f>IFERROR(__xludf.DUMMYFUNCTION("""COMPUTED_VALUE"""),"No")</f>
        <v>No</v>
      </c>
      <c r="I808" s="185" t="str">
        <f>IFERROR(__xludf.DUMMYFUNCTION("""COMPUTED_VALUE"""),"High")</f>
        <v>High</v>
      </c>
      <c r="J808" s="185" t="str">
        <f>IFERROR(__xludf.DUMMYFUNCTION("""COMPUTED_VALUE"""),"Yes - priority")</f>
        <v>Yes - priority</v>
      </c>
      <c r="K808" s="185" t="str">
        <f>IFERROR(__xludf.DUMMYFUNCTION("""COMPUTED_VALUE"""),"Unknown")</f>
        <v>Unknown</v>
      </c>
      <c r="L808" s="187">
        <f>IFERROR(__xludf.DUMMYFUNCTION("""COMPUTED_VALUE"""),1.0)</f>
        <v>1</v>
      </c>
      <c r="M808" s="188">
        <f>IFERROR(__xludf.DUMMYFUNCTION("""COMPUTED_VALUE"""),0.0)</f>
        <v>0</v>
      </c>
      <c r="N808" s="188">
        <f>IFERROR(__xludf.DUMMYFUNCTION("""COMPUTED_VALUE"""),0.0)</f>
        <v>0</v>
      </c>
      <c r="O808" s="208"/>
      <c r="P808" s="208"/>
      <c r="Q808" s="208"/>
      <c r="R808" s="208"/>
    </row>
    <row r="809">
      <c r="A809" s="185" t="str">
        <f>IFERROR(__xludf.DUMMYFUNCTION("""COMPUTED_VALUE"""),"Official partner / certification ecosystem")</f>
        <v>Official partner / certification ecosystem</v>
      </c>
      <c r="B809" s="186" t="str">
        <f>IFERROR(__xludf.DUMMYFUNCTION("""COMPUTED_VALUE"""),"https://www.google.com/searchviewer/10?svid=CAwSHBIaCgNwdnESE0Nnd3ZaeTh4Y1RacVkyMDFlVFUYCg")</f>
        <v>https://www.google.com/searchviewer/10?svid=CAwSHBIaCgNwdnESE0Nnd3ZaeTh4Y1RacVkyMDFlVFUYCg</v>
      </c>
      <c r="C809" s="185"/>
      <c r="D809" s="185" t="str">
        <f>IFERROR(__xludf.DUMMYFUNCTION("""COMPUTED_VALUE"""),"UK")</f>
        <v>UK</v>
      </c>
      <c r="E809" s="185" t="str">
        <f>IFERROR(__xludf.DUMMYFUNCTION("""COMPUTED_VALUE"""),"google.com")</f>
        <v>google.com</v>
      </c>
      <c r="F809" s="185" t="str">
        <f>IFERROR(__xludf.DUMMYFUNCTION("""COMPUTED_VALUE"""),"Other")</f>
        <v>Other</v>
      </c>
      <c r="G809" s="185" t="str">
        <f>IFERROR(__xludf.DUMMYFUNCTION("""COMPUTED_VALUE"""),"OTHER")</f>
        <v>OTHER</v>
      </c>
      <c r="H809" s="185" t="str">
        <f>IFERROR(__xludf.DUMMYFUNCTION("""COMPUTED_VALUE"""),"No")</f>
        <v>No</v>
      </c>
      <c r="I809" s="185" t="str">
        <f>IFERROR(__xludf.DUMMYFUNCTION("""COMPUTED_VALUE"""),"High")</f>
        <v>High</v>
      </c>
      <c r="J809" s="185" t="str">
        <f>IFERROR(__xludf.DUMMYFUNCTION("""COMPUTED_VALUE"""),"Yes - priority")</f>
        <v>Yes - priority</v>
      </c>
      <c r="K809" s="185" t="str">
        <f>IFERROR(__xludf.DUMMYFUNCTION("""COMPUTED_VALUE"""),"Unknown")</f>
        <v>Unknown</v>
      </c>
      <c r="L809" s="187">
        <f>IFERROR(__xludf.DUMMYFUNCTION("""COMPUTED_VALUE"""),1.0)</f>
        <v>1</v>
      </c>
      <c r="M809" s="188">
        <f>IFERROR(__xludf.DUMMYFUNCTION("""COMPUTED_VALUE"""),0.0)</f>
        <v>0</v>
      </c>
      <c r="N809" s="188">
        <f>IFERROR(__xludf.DUMMYFUNCTION("""COMPUTED_VALUE"""),0.0)</f>
        <v>0</v>
      </c>
      <c r="O809" s="208"/>
      <c r="P809" s="208"/>
      <c r="Q809" s="208"/>
      <c r="R809" s="208"/>
    </row>
    <row r="810">
      <c r="A810" s="185" t="str">
        <f>IFERROR(__xludf.DUMMYFUNCTION("""COMPUTED_VALUE"""),"Official partner / certification ecosystem")</f>
        <v>Official partner / certification ecosystem</v>
      </c>
      <c r="B810" s="186" t="str">
        <f>IFERROR(__xludf.DUMMYFUNCTION("""COMPUTED_VALUE"""),"https://www.google.com/searchviewer/10?svid=CAwSHBIaCgNwdnESE0Nnd3ZaeTh4YW1kdE1XWjVjMjQYCg")</f>
        <v>https://www.google.com/searchviewer/10?svid=CAwSHBIaCgNwdnESE0Nnd3ZaeTh4YW1kdE1XWjVjMjQYCg</v>
      </c>
      <c r="C810" s="185"/>
      <c r="D810" s="185" t="str">
        <f>IFERROR(__xludf.DUMMYFUNCTION("""COMPUTED_VALUE"""),"UK")</f>
        <v>UK</v>
      </c>
      <c r="E810" s="185" t="str">
        <f>IFERROR(__xludf.DUMMYFUNCTION("""COMPUTED_VALUE"""),"google.com")</f>
        <v>google.com</v>
      </c>
      <c r="F810" s="185" t="str">
        <f>IFERROR(__xludf.DUMMYFUNCTION("""COMPUTED_VALUE"""),"Other")</f>
        <v>Other</v>
      </c>
      <c r="G810" s="185" t="str">
        <f>IFERROR(__xludf.DUMMYFUNCTION("""COMPUTED_VALUE"""),"OTHER")</f>
        <v>OTHER</v>
      </c>
      <c r="H810" s="185" t="str">
        <f>IFERROR(__xludf.DUMMYFUNCTION("""COMPUTED_VALUE"""),"No")</f>
        <v>No</v>
      </c>
      <c r="I810" s="185" t="str">
        <f>IFERROR(__xludf.DUMMYFUNCTION("""COMPUTED_VALUE"""),"High")</f>
        <v>High</v>
      </c>
      <c r="J810" s="185" t="str">
        <f>IFERROR(__xludf.DUMMYFUNCTION("""COMPUTED_VALUE"""),"Yes - priority")</f>
        <v>Yes - priority</v>
      </c>
      <c r="K810" s="185" t="str">
        <f>IFERROR(__xludf.DUMMYFUNCTION("""COMPUTED_VALUE"""),"Unknown")</f>
        <v>Unknown</v>
      </c>
      <c r="L810" s="187">
        <f>IFERROR(__xludf.DUMMYFUNCTION("""COMPUTED_VALUE"""),1.0)</f>
        <v>1</v>
      </c>
      <c r="M810" s="188">
        <f>IFERROR(__xludf.DUMMYFUNCTION("""COMPUTED_VALUE"""),0.0)</f>
        <v>0</v>
      </c>
      <c r="N810" s="188">
        <f>IFERROR(__xludf.DUMMYFUNCTION("""COMPUTED_VALUE"""),0.0)</f>
        <v>0</v>
      </c>
      <c r="O810" s="208"/>
      <c r="P810" s="208"/>
      <c r="Q810" s="208"/>
      <c r="R810" s="208"/>
    </row>
    <row r="811">
      <c r="A811" s="185" t="str">
        <f>IFERROR(__xludf.DUMMYFUNCTION("""COMPUTED_VALUE"""),"Official partner / certification ecosystem")</f>
        <v>Official partner / certification ecosystem</v>
      </c>
      <c r="B811" s="186" t="str">
        <f>IFERROR(__xludf.DUMMYFUNCTION("""COMPUTED_VALUE"""),"https://www.google.com/searchviewer/10?svid=CAwSHRIbCgNwdnESFENnMHZaeTh4TVc1aWFtUjVORGR1GAo")</f>
        <v>https://www.google.com/searchviewer/10?svid=CAwSHRIbCgNwdnESFENnMHZaeTh4TVc1aWFtUjVORGR1GAo</v>
      </c>
      <c r="C811" s="185"/>
      <c r="D811" s="185" t="str">
        <f>IFERROR(__xludf.DUMMYFUNCTION("""COMPUTED_VALUE"""),"UK")</f>
        <v>UK</v>
      </c>
      <c r="E811" s="185" t="str">
        <f>IFERROR(__xludf.DUMMYFUNCTION("""COMPUTED_VALUE"""),"google.com")</f>
        <v>google.com</v>
      </c>
      <c r="F811" s="185" t="str">
        <f>IFERROR(__xludf.DUMMYFUNCTION("""COMPUTED_VALUE"""),"Other")</f>
        <v>Other</v>
      </c>
      <c r="G811" s="185" t="str">
        <f>IFERROR(__xludf.DUMMYFUNCTION("""COMPUTED_VALUE"""),"OTHER")</f>
        <v>OTHER</v>
      </c>
      <c r="H811" s="185" t="str">
        <f>IFERROR(__xludf.DUMMYFUNCTION("""COMPUTED_VALUE"""),"No")</f>
        <v>No</v>
      </c>
      <c r="I811" s="185" t="str">
        <f>IFERROR(__xludf.DUMMYFUNCTION("""COMPUTED_VALUE"""),"High")</f>
        <v>High</v>
      </c>
      <c r="J811" s="185" t="str">
        <f>IFERROR(__xludf.DUMMYFUNCTION("""COMPUTED_VALUE"""),"Yes - priority")</f>
        <v>Yes - priority</v>
      </c>
      <c r="K811" s="185" t="str">
        <f>IFERROR(__xludf.DUMMYFUNCTION("""COMPUTED_VALUE"""),"Unknown")</f>
        <v>Unknown</v>
      </c>
      <c r="L811" s="187">
        <f>IFERROR(__xludf.DUMMYFUNCTION("""COMPUTED_VALUE"""),1.0)</f>
        <v>1</v>
      </c>
      <c r="M811" s="188">
        <f>IFERROR(__xludf.DUMMYFUNCTION("""COMPUTED_VALUE"""),0.0)</f>
        <v>0</v>
      </c>
      <c r="N811" s="188">
        <f>IFERROR(__xludf.DUMMYFUNCTION("""COMPUTED_VALUE"""),0.0)</f>
        <v>0</v>
      </c>
      <c r="O811" s="208"/>
      <c r="P811" s="208"/>
      <c r="Q811" s="208"/>
      <c r="R811" s="208"/>
    </row>
    <row r="812">
      <c r="A812" s="185" t="str">
        <f>IFERROR(__xludf.DUMMYFUNCTION("""COMPUTED_VALUE"""),"Official partner / certification ecosystem")</f>
        <v>Official partner / certification ecosystem</v>
      </c>
      <c r="B812" s="186" t="str">
        <f>IFERROR(__xludf.DUMMYFUNCTION("""COMPUTED_VALUE"""),"https://www.google.com/searchviewer/10?svid=CAwSHRIbCgNwdnESFENnMHZaeTh4TVdJMlkzQjRNbUl6GAo")</f>
        <v>https://www.google.com/searchviewer/10?svid=CAwSHRIbCgNwdnESFENnMHZaeTh4TVdJMlkzQjRNbUl6GAo</v>
      </c>
      <c r="C812" s="185"/>
      <c r="D812" s="185" t="str">
        <f>IFERROR(__xludf.DUMMYFUNCTION("""COMPUTED_VALUE"""),"UK")</f>
        <v>UK</v>
      </c>
      <c r="E812" s="185" t="str">
        <f>IFERROR(__xludf.DUMMYFUNCTION("""COMPUTED_VALUE"""),"google.com")</f>
        <v>google.com</v>
      </c>
      <c r="F812" s="185" t="str">
        <f>IFERROR(__xludf.DUMMYFUNCTION("""COMPUTED_VALUE"""),"Other")</f>
        <v>Other</v>
      </c>
      <c r="G812" s="185" t="str">
        <f>IFERROR(__xludf.DUMMYFUNCTION("""COMPUTED_VALUE"""),"OTHER")</f>
        <v>OTHER</v>
      </c>
      <c r="H812" s="185" t="str">
        <f>IFERROR(__xludf.DUMMYFUNCTION("""COMPUTED_VALUE"""),"No")</f>
        <v>No</v>
      </c>
      <c r="I812" s="185" t="str">
        <f>IFERROR(__xludf.DUMMYFUNCTION("""COMPUTED_VALUE"""),"High")</f>
        <v>High</v>
      </c>
      <c r="J812" s="185" t="str">
        <f>IFERROR(__xludf.DUMMYFUNCTION("""COMPUTED_VALUE"""),"Yes - priority")</f>
        <v>Yes - priority</v>
      </c>
      <c r="K812" s="185" t="str">
        <f>IFERROR(__xludf.DUMMYFUNCTION("""COMPUTED_VALUE"""),"Unknown")</f>
        <v>Unknown</v>
      </c>
      <c r="L812" s="187">
        <f>IFERROR(__xludf.DUMMYFUNCTION("""COMPUTED_VALUE"""),1.0)</f>
        <v>1</v>
      </c>
      <c r="M812" s="188">
        <f>IFERROR(__xludf.DUMMYFUNCTION("""COMPUTED_VALUE"""),0.0)</f>
        <v>0</v>
      </c>
      <c r="N812" s="188">
        <f>IFERROR(__xludf.DUMMYFUNCTION("""COMPUTED_VALUE"""),0.0)</f>
        <v>0</v>
      </c>
      <c r="O812" s="208"/>
      <c r="P812" s="208"/>
      <c r="Q812" s="208"/>
      <c r="R812" s="208"/>
    </row>
    <row r="813">
      <c r="A813" s="185" t="str">
        <f>IFERROR(__xludf.DUMMYFUNCTION("""COMPUTED_VALUE"""),"Official partner / certification ecosystem")</f>
        <v>Official partner / certification ecosystem</v>
      </c>
      <c r="B813" s="186" t="str">
        <f>IFERROR(__xludf.DUMMYFUNCTION("""COMPUTED_VALUE"""),"https://www.google.com/searchviewer/10?svid=CAwSHRIbCgNwdnESFENnMHZaeTh4TVdKM1p6bGZjbUkwGAo")</f>
        <v>https://www.google.com/searchviewer/10?svid=CAwSHRIbCgNwdnESFENnMHZaeTh4TVdKM1p6bGZjbUkwGAo</v>
      </c>
      <c r="C813" s="185"/>
      <c r="D813" s="185" t="str">
        <f>IFERROR(__xludf.DUMMYFUNCTION("""COMPUTED_VALUE"""),"UK")</f>
        <v>UK</v>
      </c>
      <c r="E813" s="185" t="str">
        <f>IFERROR(__xludf.DUMMYFUNCTION("""COMPUTED_VALUE"""),"google.com")</f>
        <v>google.com</v>
      </c>
      <c r="F813" s="185" t="str">
        <f>IFERROR(__xludf.DUMMYFUNCTION("""COMPUTED_VALUE"""),"Other")</f>
        <v>Other</v>
      </c>
      <c r="G813" s="185" t="str">
        <f>IFERROR(__xludf.DUMMYFUNCTION("""COMPUTED_VALUE"""),"OTHER")</f>
        <v>OTHER</v>
      </c>
      <c r="H813" s="185" t="str">
        <f>IFERROR(__xludf.DUMMYFUNCTION("""COMPUTED_VALUE"""),"No")</f>
        <v>No</v>
      </c>
      <c r="I813" s="185" t="str">
        <f>IFERROR(__xludf.DUMMYFUNCTION("""COMPUTED_VALUE"""),"High")</f>
        <v>High</v>
      </c>
      <c r="J813" s="185" t="str">
        <f>IFERROR(__xludf.DUMMYFUNCTION("""COMPUTED_VALUE"""),"Yes - priority")</f>
        <v>Yes - priority</v>
      </c>
      <c r="K813" s="185" t="str">
        <f>IFERROR(__xludf.DUMMYFUNCTION("""COMPUTED_VALUE"""),"Unknown")</f>
        <v>Unknown</v>
      </c>
      <c r="L813" s="187">
        <f>IFERROR(__xludf.DUMMYFUNCTION("""COMPUTED_VALUE"""),1.0)</f>
        <v>1</v>
      </c>
      <c r="M813" s="188">
        <f>IFERROR(__xludf.DUMMYFUNCTION("""COMPUTED_VALUE"""),0.0)</f>
        <v>0</v>
      </c>
      <c r="N813" s="188">
        <f>IFERROR(__xludf.DUMMYFUNCTION("""COMPUTED_VALUE"""),0.0)</f>
        <v>0</v>
      </c>
      <c r="O813" s="208"/>
      <c r="P813" s="208"/>
      <c r="Q813" s="208"/>
      <c r="R813" s="208"/>
    </row>
    <row r="814">
      <c r="A814" s="185" t="str">
        <f>IFERROR(__xludf.DUMMYFUNCTION("""COMPUTED_VALUE"""),"Official partner / certification ecosystem")</f>
        <v>Official partner / certification ecosystem</v>
      </c>
      <c r="B814" s="186" t="str">
        <f>IFERROR(__xludf.DUMMYFUNCTION("""COMPUTED_VALUE"""),"https://www.google.com/searchviewer/10?svid=CAwSHRIbCgNwdnESFENnMHZaeTh4TVdKMGJUbHdYM1JzGAo")</f>
        <v>https://www.google.com/searchviewer/10?svid=CAwSHRIbCgNwdnESFENnMHZaeTh4TVdKMGJUbHdYM1JzGAo</v>
      </c>
      <c r="C814" s="185"/>
      <c r="D814" s="185" t="str">
        <f>IFERROR(__xludf.DUMMYFUNCTION("""COMPUTED_VALUE"""),"UK")</f>
        <v>UK</v>
      </c>
      <c r="E814" s="185" t="str">
        <f>IFERROR(__xludf.DUMMYFUNCTION("""COMPUTED_VALUE"""),"google.com")</f>
        <v>google.com</v>
      </c>
      <c r="F814" s="185" t="str">
        <f>IFERROR(__xludf.DUMMYFUNCTION("""COMPUTED_VALUE"""),"Other")</f>
        <v>Other</v>
      </c>
      <c r="G814" s="185" t="str">
        <f>IFERROR(__xludf.DUMMYFUNCTION("""COMPUTED_VALUE"""),"OTHER")</f>
        <v>OTHER</v>
      </c>
      <c r="H814" s="185" t="str">
        <f>IFERROR(__xludf.DUMMYFUNCTION("""COMPUTED_VALUE"""),"No")</f>
        <v>No</v>
      </c>
      <c r="I814" s="185" t="str">
        <f>IFERROR(__xludf.DUMMYFUNCTION("""COMPUTED_VALUE"""),"High")</f>
        <v>High</v>
      </c>
      <c r="J814" s="185" t="str">
        <f>IFERROR(__xludf.DUMMYFUNCTION("""COMPUTED_VALUE"""),"Yes - priority")</f>
        <v>Yes - priority</v>
      </c>
      <c r="K814" s="185" t="str">
        <f>IFERROR(__xludf.DUMMYFUNCTION("""COMPUTED_VALUE"""),"Unknown")</f>
        <v>Unknown</v>
      </c>
      <c r="L814" s="187">
        <f>IFERROR(__xludf.DUMMYFUNCTION("""COMPUTED_VALUE"""),1.0)</f>
        <v>1</v>
      </c>
      <c r="M814" s="188">
        <f>IFERROR(__xludf.DUMMYFUNCTION("""COMPUTED_VALUE"""),0.0)</f>
        <v>0</v>
      </c>
      <c r="N814" s="188">
        <f>IFERROR(__xludf.DUMMYFUNCTION("""COMPUTED_VALUE"""),0.0)</f>
        <v>0</v>
      </c>
      <c r="O814" s="208"/>
      <c r="P814" s="208"/>
      <c r="Q814" s="208"/>
      <c r="R814" s="208"/>
    </row>
    <row r="815">
      <c r="A815" s="185" t="str">
        <f>IFERROR(__xludf.DUMMYFUNCTION("""COMPUTED_VALUE"""),"Official partner / certification ecosystem")</f>
        <v>Official partner / certification ecosystem</v>
      </c>
      <c r="B815" s="186" t="str">
        <f>IFERROR(__xludf.DUMMYFUNCTION("""COMPUTED_VALUE"""),"https://www.google.com/searchviewer/10?svid=CAwSHRIbCgNwdnESFENnMHZaeTh4TVdKaWRESnFkRFp6GAo")</f>
        <v>https://www.google.com/searchviewer/10?svid=CAwSHRIbCgNwdnESFENnMHZaeTh4TVdKaWRESnFkRFp6GAo</v>
      </c>
      <c r="C815" s="185"/>
      <c r="D815" s="185" t="str">
        <f>IFERROR(__xludf.DUMMYFUNCTION("""COMPUTED_VALUE"""),"UK")</f>
        <v>UK</v>
      </c>
      <c r="E815" s="185" t="str">
        <f>IFERROR(__xludf.DUMMYFUNCTION("""COMPUTED_VALUE"""),"google.com")</f>
        <v>google.com</v>
      </c>
      <c r="F815" s="185" t="str">
        <f>IFERROR(__xludf.DUMMYFUNCTION("""COMPUTED_VALUE"""),"Other")</f>
        <v>Other</v>
      </c>
      <c r="G815" s="185" t="str">
        <f>IFERROR(__xludf.DUMMYFUNCTION("""COMPUTED_VALUE"""),"OTHER")</f>
        <v>OTHER</v>
      </c>
      <c r="H815" s="185" t="str">
        <f>IFERROR(__xludf.DUMMYFUNCTION("""COMPUTED_VALUE"""),"No")</f>
        <v>No</v>
      </c>
      <c r="I815" s="185" t="str">
        <f>IFERROR(__xludf.DUMMYFUNCTION("""COMPUTED_VALUE"""),"High")</f>
        <v>High</v>
      </c>
      <c r="J815" s="185" t="str">
        <f>IFERROR(__xludf.DUMMYFUNCTION("""COMPUTED_VALUE"""),"Yes - priority")</f>
        <v>Yes - priority</v>
      </c>
      <c r="K815" s="185" t="str">
        <f>IFERROR(__xludf.DUMMYFUNCTION("""COMPUTED_VALUE"""),"Unknown")</f>
        <v>Unknown</v>
      </c>
      <c r="L815" s="187">
        <f>IFERROR(__xludf.DUMMYFUNCTION("""COMPUTED_VALUE"""),1.0)</f>
        <v>1</v>
      </c>
      <c r="M815" s="188">
        <f>IFERROR(__xludf.DUMMYFUNCTION("""COMPUTED_VALUE"""),0.0)</f>
        <v>0</v>
      </c>
      <c r="N815" s="188">
        <f>IFERROR(__xludf.DUMMYFUNCTION("""COMPUTED_VALUE"""),0.0)</f>
        <v>0</v>
      </c>
      <c r="O815" s="208"/>
      <c r="P815" s="208"/>
      <c r="Q815" s="208"/>
      <c r="R815" s="208"/>
    </row>
    <row r="816">
      <c r="A816" s="185" t="str">
        <f>IFERROR(__xludf.DUMMYFUNCTION("""COMPUTED_VALUE"""),"Official partner / certification ecosystem")</f>
        <v>Official partner / certification ecosystem</v>
      </c>
      <c r="B816" s="186" t="str">
        <f>IFERROR(__xludf.DUMMYFUNCTION("""COMPUTED_VALUE"""),"https://www.google.com/searchviewer/10?svid=CAwSHRIbCgNwdnESFENnMHZaeTh4TVdNMFltZDBNekZ1GAo")</f>
        <v>https://www.google.com/searchviewer/10?svid=CAwSHRIbCgNwdnESFENnMHZaeTh4TVdNMFltZDBNekZ1GAo</v>
      </c>
      <c r="C816" s="185"/>
      <c r="D816" s="185" t="str">
        <f>IFERROR(__xludf.DUMMYFUNCTION("""COMPUTED_VALUE"""),"UK")</f>
        <v>UK</v>
      </c>
      <c r="E816" s="185" t="str">
        <f>IFERROR(__xludf.DUMMYFUNCTION("""COMPUTED_VALUE"""),"google.com")</f>
        <v>google.com</v>
      </c>
      <c r="F816" s="185" t="str">
        <f>IFERROR(__xludf.DUMMYFUNCTION("""COMPUTED_VALUE"""),"Other")</f>
        <v>Other</v>
      </c>
      <c r="G816" s="185" t="str">
        <f>IFERROR(__xludf.DUMMYFUNCTION("""COMPUTED_VALUE"""),"OTHER")</f>
        <v>OTHER</v>
      </c>
      <c r="H816" s="185" t="str">
        <f>IFERROR(__xludf.DUMMYFUNCTION("""COMPUTED_VALUE"""),"No")</f>
        <v>No</v>
      </c>
      <c r="I816" s="185" t="str">
        <f>IFERROR(__xludf.DUMMYFUNCTION("""COMPUTED_VALUE"""),"High")</f>
        <v>High</v>
      </c>
      <c r="J816" s="185" t="str">
        <f>IFERROR(__xludf.DUMMYFUNCTION("""COMPUTED_VALUE"""),"Yes - priority")</f>
        <v>Yes - priority</v>
      </c>
      <c r="K816" s="185" t="str">
        <f>IFERROR(__xludf.DUMMYFUNCTION("""COMPUTED_VALUE"""),"Unknown")</f>
        <v>Unknown</v>
      </c>
      <c r="L816" s="187">
        <f>IFERROR(__xludf.DUMMYFUNCTION("""COMPUTED_VALUE"""),1.0)</f>
        <v>1</v>
      </c>
      <c r="M816" s="188">
        <f>IFERROR(__xludf.DUMMYFUNCTION("""COMPUTED_VALUE"""),0.0)</f>
        <v>0</v>
      </c>
      <c r="N816" s="188">
        <f>IFERROR(__xludf.DUMMYFUNCTION("""COMPUTED_VALUE"""),0.0)</f>
        <v>0</v>
      </c>
      <c r="O816" s="208"/>
      <c r="P816" s="208"/>
      <c r="Q816" s="208"/>
      <c r="R816" s="208"/>
    </row>
    <row r="817">
      <c r="A817" s="185" t="str">
        <f>IFERROR(__xludf.DUMMYFUNCTION("""COMPUTED_VALUE"""),"Official partner / certification ecosystem")</f>
        <v>Official partner / certification ecosystem</v>
      </c>
      <c r="B817" s="186" t="str">
        <f>IFERROR(__xludf.DUMMYFUNCTION("""COMPUTED_VALUE"""),"https://www.google.com/searchviewer/10?svid=CAwSHRIbCgNwdnESFENnMHZaeTh4TVdNMU5IWm1aMlF5GAo")</f>
        <v>https://www.google.com/searchviewer/10?svid=CAwSHRIbCgNwdnESFENnMHZaeTh4TVdNMU5IWm1aMlF5GAo</v>
      </c>
      <c r="C817" s="185"/>
      <c r="D817" s="185" t="str">
        <f>IFERROR(__xludf.DUMMYFUNCTION("""COMPUTED_VALUE"""),"UK")</f>
        <v>UK</v>
      </c>
      <c r="E817" s="185" t="str">
        <f>IFERROR(__xludf.DUMMYFUNCTION("""COMPUTED_VALUE"""),"google.com")</f>
        <v>google.com</v>
      </c>
      <c r="F817" s="185" t="str">
        <f>IFERROR(__xludf.DUMMYFUNCTION("""COMPUTED_VALUE"""),"Other")</f>
        <v>Other</v>
      </c>
      <c r="G817" s="185" t="str">
        <f>IFERROR(__xludf.DUMMYFUNCTION("""COMPUTED_VALUE"""),"OTHER")</f>
        <v>OTHER</v>
      </c>
      <c r="H817" s="185" t="str">
        <f>IFERROR(__xludf.DUMMYFUNCTION("""COMPUTED_VALUE"""),"No")</f>
        <v>No</v>
      </c>
      <c r="I817" s="185" t="str">
        <f>IFERROR(__xludf.DUMMYFUNCTION("""COMPUTED_VALUE"""),"High")</f>
        <v>High</v>
      </c>
      <c r="J817" s="185" t="str">
        <f>IFERROR(__xludf.DUMMYFUNCTION("""COMPUTED_VALUE"""),"Yes - priority")</f>
        <v>Yes - priority</v>
      </c>
      <c r="K817" s="185" t="str">
        <f>IFERROR(__xludf.DUMMYFUNCTION("""COMPUTED_VALUE"""),"Unknown")</f>
        <v>Unknown</v>
      </c>
      <c r="L817" s="187">
        <f>IFERROR(__xludf.DUMMYFUNCTION("""COMPUTED_VALUE"""),1.0)</f>
        <v>1</v>
      </c>
      <c r="M817" s="188">
        <f>IFERROR(__xludf.DUMMYFUNCTION("""COMPUTED_VALUE"""),0.0)</f>
        <v>0</v>
      </c>
      <c r="N817" s="188">
        <f>IFERROR(__xludf.DUMMYFUNCTION("""COMPUTED_VALUE"""),0.0)</f>
        <v>0</v>
      </c>
      <c r="O817" s="208"/>
      <c r="P817" s="208"/>
      <c r="Q817" s="208"/>
      <c r="R817" s="208"/>
    </row>
    <row r="818">
      <c r="A818" s="185" t="str">
        <f>IFERROR(__xludf.DUMMYFUNCTION("""COMPUTED_VALUE"""),"Official partner / certification ecosystem")</f>
        <v>Official partner / certification ecosystem</v>
      </c>
      <c r="B818" s="186" t="str">
        <f>IFERROR(__xludf.DUMMYFUNCTION("""COMPUTED_VALUE"""),"https://www.google.com/searchviewer/10?svid=CAwSHRIbCgNwdnESFENnMHZaeTh4TVdOek0zcHNjblp5GAo")</f>
        <v>https://www.google.com/searchviewer/10?svid=CAwSHRIbCgNwdnESFENnMHZaeTh4TVdOek0zcHNjblp5GAo</v>
      </c>
      <c r="C818" s="185"/>
      <c r="D818" s="185" t="str">
        <f>IFERROR(__xludf.DUMMYFUNCTION("""COMPUTED_VALUE"""),"UK")</f>
        <v>UK</v>
      </c>
      <c r="E818" s="185" t="str">
        <f>IFERROR(__xludf.DUMMYFUNCTION("""COMPUTED_VALUE"""),"google.com")</f>
        <v>google.com</v>
      </c>
      <c r="F818" s="185" t="str">
        <f>IFERROR(__xludf.DUMMYFUNCTION("""COMPUTED_VALUE"""),"Other")</f>
        <v>Other</v>
      </c>
      <c r="G818" s="185" t="str">
        <f>IFERROR(__xludf.DUMMYFUNCTION("""COMPUTED_VALUE"""),"OTHER")</f>
        <v>OTHER</v>
      </c>
      <c r="H818" s="185" t="str">
        <f>IFERROR(__xludf.DUMMYFUNCTION("""COMPUTED_VALUE"""),"No")</f>
        <v>No</v>
      </c>
      <c r="I818" s="185" t="str">
        <f>IFERROR(__xludf.DUMMYFUNCTION("""COMPUTED_VALUE"""),"High")</f>
        <v>High</v>
      </c>
      <c r="J818" s="185" t="str">
        <f>IFERROR(__xludf.DUMMYFUNCTION("""COMPUTED_VALUE"""),"Yes - priority")</f>
        <v>Yes - priority</v>
      </c>
      <c r="K818" s="185" t="str">
        <f>IFERROR(__xludf.DUMMYFUNCTION("""COMPUTED_VALUE"""),"Unknown")</f>
        <v>Unknown</v>
      </c>
      <c r="L818" s="187">
        <f>IFERROR(__xludf.DUMMYFUNCTION("""COMPUTED_VALUE"""),1.0)</f>
        <v>1</v>
      </c>
      <c r="M818" s="188">
        <f>IFERROR(__xludf.DUMMYFUNCTION("""COMPUTED_VALUE"""),0.0)</f>
        <v>0</v>
      </c>
      <c r="N818" s="188">
        <f>IFERROR(__xludf.DUMMYFUNCTION("""COMPUTED_VALUE"""),1.0)</f>
        <v>1</v>
      </c>
      <c r="O818" s="208"/>
      <c r="P818" s="208"/>
      <c r="Q818" s="208"/>
      <c r="R818" s="208"/>
    </row>
    <row r="819">
      <c r="A819" s="185" t="str">
        <f>IFERROR(__xludf.DUMMYFUNCTION("""COMPUTED_VALUE"""),"Official partner / certification ecosystem")</f>
        <v>Official partner / certification ecosystem</v>
      </c>
      <c r="B819" s="186" t="str">
        <f>IFERROR(__xludf.DUMMYFUNCTION("""COMPUTED_VALUE"""),"https://www.google.com/searchviewer/10?svid=CAwSHRIbCgNwdnESFENnMHZaeTh4TVdZNGFITjZhM1J0GAo")</f>
        <v>https://www.google.com/searchviewer/10?svid=CAwSHRIbCgNwdnESFENnMHZaeTh4TVdZNGFITjZhM1J0GAo</v>
      </c>
      <c r="C819" s="185"/>
      <c r="D819" s="185" t="str">
        <f>IFERROR(__xludf.DUMMYFUNCTION("""COMPUTED_VALUE"""),"UK")</f>
        <v>UK</v>
      </c>
      <c r="E819" s="185" t="str">
        <f>IFERROR(__xludf.DUMMYFUNCTION("""COMPUTED_VALUE"""),"google.com")</f>
        <v>google.com</v>
      </c>
      <c r="F819" s="185" t="str">
        <f>IFERROR(__xludf.DUMMYFUNCTION("""COMPUTED_VALUE"""),"Other")</f>
        <v>Other</v>
      </c>
      <c r="G819" s="185" t="str">
        <f>IFERROR(__xludf.DUMMYFUNCTION("""COMPUTED_VALUE"""),"OTHER")</f>
        <v>OTHER</v>
      </c>
      <c r="H819" s="185" t="str">
        <f>IFERROR(__xludf.DUMMYFUNCTION("""COMPUTED_VALUE"""),"No")</f>
        <v>No</v>
      </c>
      <c r="I819" s="185" t="str">
        <f>IFERROR(__xludf.DUMMYFUNCTION("""COMPUTED_VALUE"""),"High")</f>
        <v>High</v>
      </c>
      <c r="J819" s="185" t="str">
        <f>IFERROR(__xludf.DUMMYFUNCTION("""COMPUTED_VALUE"""),"Yes - priority")</f>
        <v>Yes - priority</v>
      </c>
      <c r="K819" s="185" t="str">
        <f>IFERROR(__xludf.DUMMYFUNCTION("""COMPUTED_VALUE"""),"Unknown")</f>
        <v>Unknown</v>
      </c>
      <c r="L819" s="187">
        <f>IFERROR(__xludf.DUMMYFUNCTION("""COMPUTED_VALUE"""),1.0)</f>
        <v>1</v>
      </c>
      <c r="M819" s="188">
        <f>IFERROR(__xludf.DUMMYFUNCTION("""COMPUTED_VALUE"""),0.0)</f>
        <v>0</v>
      </c>
      <c r="N819" s="188">
        <f>IFERROR(__xludf.DUMMYFUNCTION("""COMPUTED_VALUE"""),0.0)</f>
        <v>0</v>
      </c>
      <c r="O819" s="208"/>
      <c r="P819" s="208"/>
      <c r="Q819" s="208"/>
      <c r="R819" s="208"/>
    </row>
    <row r="820">
      <c r="A820" s="185" t="str">
        <f>IFERROR(__xludf.DUMMYFUNCTION("""COMPUTED_VALUE"""),"Official partner / certification ecosystem")</f>
        <v>Official partner / certification ecosystem</v>
      </c>
      <c r="B820" s="186" t="str">
        <f>IFERROR(__xludf.DUMMYFUNCTION("""COMPUTED_VALUE"""),"https://www.google.com/searchviewer/10?svid=CAwSHRIbCgNwdnESFENnMHZaeTh4TVdZd05ESnpjMTlrGAo")</f>
        <v>https://www.google.com/searchviewer/10?svid=CAwSHRIbCgNwdnESFENnMHZaeTh4TVdZd05ESnpjMTlrGAo</v>
      </c>
      <c r="C820" s="185"/>
      <c r="D820" s="185" t="str">
        <f>IFERROR(__xludf.DUMMYFUNCTION("""COMPUTED_VALUE"""),"UK")</f>
        <v>UK</v>
      </c>
      <c r="E820" s="185" t="str">
        <f>IFERROR(__xludf.DUMMYFUNCTION("""COMPUTED_VALUE"""),"google.com")</f>
        <v>google.com</v>
      </c>
      <c r="F820" s="185" t="str">
        <f>IFERROR(__xludf.DUMMYFUNCTION("""COMPUTED_VALUE"""),"Other")</f>
        <v>Other</v>
      </c>
      <c r="G820" s="185" t="str">
        <f>IFERROR(__xludf.DUMMYFUNCTION("""COMPUTED_VALUE"""),"OTHER")</f>
        <v>OTHER</v>
      </c>
      <c r="H820" s="185" t="str">
        <f>IFERROR(__xludf.DUMMYFUNCTION("""COMPUTED_VALUE"""),"No")</f>
        <v>No</v>
      </c>
      <c r="I820" s="185" t="str">
        <f>IFERROR(__xludf.DUMMYFUNCTION("""COMPUTED_VALUE"""),"High")</f>
        <v>High</v>
      </c>
      <c r="J820" s="185" t="str">
        <f>IFERROR(__xludf.DUMMYFUNCTION("""COMPUTED_VALUE"""),"Yes - priority")</f>
        <v>Yes - priority</v>
      </c>
      <c r="K820" s="185" t="str">
        <f>IFERROR(__xludf.DUMMYFUNCTION("""COMPUTED_VALUE"""),"Unknown")</f>
        <v>Unknown</v>
      </c>
      <c r="L820" s="187">
        <f>IFERROR(__xludf.DUMMYFUNCTION("""COMPUTED_VALUE"""),1.0)</f>
        <v>1</v>
      </c>
      <c r="M820" s="188">
        <f>IFERROR(__xludf.DUMMYFUNCTION("""COMPUTED_VALUE"""),0.0)</f>
        <v>0</v>
      </c>
      <c r="N820" s="188">
        <f>IFERROR(__xludf.DUMMYFUNCTION("""COMPUTED_VALUE"""),1.0)</f>
        <v>1</v>
      </c>
      <c r="O820" s="208"/>
      <c r="P820" s="208"/>
      <c r="Q820" s="208"/>
      <c r="R820" s="208"/>
    </row>
    <row r="821">
      <c r="A821" s="185" t="str">
        <f>IFERROR(__xludf.DUMMYFUNCTION("""COMPUTED_VALUE"""),"Official partner / certification ecosystem")</f>
        <v>Official partner / certification ecosystem</v>
      </c>
      <c r="B821" s="186" t="str">
        <f>IFERROR(__xludf.DUMMYFUNCTION("""COMPUTED_VALUE"""),"https://www.google.com/searchviewer/10?svid=CAwSHRIbCgNwdnESFENnMHZaeTh4TVdkMFp6bHhhbmRuGAo")</f>
        <v>https://www.google.com/searchviewer/10?svid=CAwSHRIbCgNwdnESFENnMHZaeTh4TVdkMFp6bHhhbmRuGAo</v>
      </c>
      <c r="C821" s="185"/>
      <c r="D821" s="185" t="str">
        <f>IFERROR(__xludf.DUMMYFUNCTION("""COMPUTED_VALUE"""),"UK")</f>
        <v>UK</v>
      </c>
      <c r="E821" s="185" t="str">
        <f>IFERROR(__xludf.DUMMYFUNCTION("""COMPUTED_VALUE"""),"google.com")</f>
        <v>google.com</v>
      </c>
      <c r="F821" s="185" t="str">
        <f>IFERROR(__xludf.DUMMYFUNCTION("""COMPUTED_VALUE"""),"Other")</f>
        <v>Other</v>
      </c>
      <c r="G821" s="185" t="str">
        <f>IFERROR(__xludf.DUMMYFUNCTION("""COMPUTED_VALUE"""),"OTHER")</f>
        <v>OTHER</v>
      </c>
      <c r="H821" s="185" t="str">
        <f>IFERROR(__xludf.DUMMYFUNCTION("""COMPUTED_VALUE"""),"No")</f>
        <v>No</v>
      </c>
      <c r="I821" s="185" t="str">
        <f>IFERROR(__xludf.DUMMYFUNCTION("""COMPUTED_VALUE"""),"High")</f>
        <v>High</v>
      </c>
      <c r="J821" s="185" t="str">
        <f>IFERROR(__xludf.DUMMYFUNCTION("""COMPUTED_VALUE"""),"Yes - priority")</f>
        <v>Yes - priority</v>
      </c>
      <c r="K821" s="185" t="str">
        <f>IFERROR(__xludf.DUMMYFUNCTION("""COMPUTED_VALUE"""),"Unknown")</f>
        <v>Unknown</v>
      </c>
      <c r="L821" s="187">
        <f>IFERROR(__xludf.DUMMYFUNCTION("""COMPUTED_VALUE"""),1.0)</f>
        <v>1</v>
      </c>
      <c r="M821" s="188">
        <f>IFERROR(__xludf.DUMMYFUNCTION("""COMPUTED_VALUE"""),0.0)</f>
        <v>0</v>
      </c>
      <c r="N821" s="188">
        <f>IFERROR(__xludf.DUMMYFUNCTION("""COMPUTED_VALUE"""),0.0)</f>
        <v>0</v>
      </c>
      <c r="O821" s="208"/>
      <c r="P821" s="208"/>
      <c r="Q821" s="208"/>
      <c r="R821" s="208"/>
    </row>
    <row r="822">
      <c r="A822" s="185" t="str">
        <f>IFERROR(__xludf.DUMMYFUNCTION("""COMPUTED_VALUE"""),"Official partner / certification ecosystem")</f>
        <v>Official partner / certification ecosystem</v>
      </c>
      <c r="B822" s="186" t="str">
        <f>IFERROR(__xludf.DUMMYFUNCTION("""COMPUTED_VALUE"""),"https://www.google.com/searchviewer/10?svid=CAwSHRIbCgNwdnESFENnMHZaeTh4TVdneE9HZHRjak53GAo")</f>
        <v>https://www.google.com/searchviewer/10?svid=CAwSHRIbCgNwdnESFENnMHZaeTh4TVdneE9HZHRjak53GAo</v>
      </c>
      <c r="C822" s="185"/>
      <c r="D822" s="185" t="str">
        <f>IFERROR(__xludf.DUMMYFUNCTION("""COMPUTED_VALUE"""),"UK")</f>
        <v>UK</v>
      </c>
      <c r="E822" s="185" t="str">
        <f>IFERROR(__xludf.DUMMYFUNCTION("""COMPUTED_VALUE"""),"google.com")</f>
        <v>google.com</v>
      </c>
      <c r="F822" s="185" t="str">
        <f>IFERROR(__xludf.DUMMYFUNCTION("""COMPUTED_VALUE"""),"Other")</f>
        <v>Other</v>
      </c>
      <c r="G822" s="185" t="str">
        <f>IFERROR(__xludf.DUMMYFUNCTION("""COMPUTED_VALUE"""),"OTHER")</f>
        <v>OTHER</v>
      </c>
      <c r="H822" s="185" t="str">
        <f>IFERROR(__xludf.DUMMYFUNCTION("""COMPUTED_VALUE"""),"No")</f>
        <v>No</v>
      </c>
      <c r="I822" s="185" t="str">
        <f>IFERROR(__xludf.DUMMYFUNCTION("""COMPUTED_VALUE"""),"High")</f>
        <v>High</v>
      </c>
      <c r="J822" s="185" t="str">
        <f>IFERROR(__xludf.DUMMYFUNCTION("""COMPUTED_VALUE"""),"Yes - priority")</f>
        <v>Yes - priority</v>
      </c>
      <c r="K822" s="185" t="str">
        <f>IFERROR(__xludf.DUMMYFUNCTION("""COMPUTED_VALUE"""),"Unknown")</f>
        <v>Unknown</v>
      </c>
      <c r="L822" s="187">
        <f>IFERROR(__xludf.DUMMYFUNCTION("""COMPUTED_VALUE"""),1.0)</f>
        <v>1</v>
      </c>
      <c r="M822" s="188">
        <f>IFERROR(__xludf.DUMMYFUNCTION("""COMPUTED_VALUE"""),0.0)</f>
        <v>0</v>
      </c>
      <c r="N822" s="188">
        <f>IFERROR(__xludf.DUMMYFUNCTION("""COMPUTED_VALUE"""),1.0)</f>
        <v>1</v>
      </c>
      <c r="O822" s="208"/>
      <c r="P822" s="208"/>
      <c r="Q822" s="208"/>
      <c r="R822" s="208"/>
    </row>
    <row r="823">
      <c r="A823" s="185" t="str">
        <f>IFERROR(__xludf.DUMMYFUNCTION("""COMPUTED_VALUE"""),"Official partner / certification ecosystem")</f>
        <v>Official partner / certification ecosystem</v>
      </c>
      <c r="B823" s="186" t="str">
        <f>IFERROR(__xludf.DUMMYFUNCTION("""COMPUTED_VALUE"""),"https://www.google.com/searchviewer/10?svid=CAwSHRIbCgNwdnESFENnMHZaeTh4TVdnelluUjJkekJ0GAo")</f>
        <v>https://www.google.com/searchviewer/10?svid=CAwSHRIbCgNwdnESFENnMHZaeTh4TVdnelluUjJkekJ0GAo</v>
      </c>
      <c r="C823" s="185"/>
      <c r="D823" s="185" t="str">
        <f>IFERROR(__xludf.DUMMYFUNCTION("""COMPUTED_VALUE"""),"UK")</f>
        <v>UK</v>
      </c>
      <c r="E823" s="185" t="str">
        <f>IFERROR(__xludf.DUMMYFUNCTION("""COMPUTED_VALUE"""),"google.com")</f>
        <v>google.com</v>
      </c>
      <c r="F823" s="185" t="str">
        <f>IFERROR(__xludf.DUMMYFUNCTION("""COMPUTED_VALUE"""),"Other")</f>
        <v>Other</v>
      </c>
      <c r="G823" s="185" t="str">
        <f>IFERROR(__xludf.DUMMYFUNCTION("""COMPUTED_VALUE"""),"OTHER")</f>
        <v>OTHER</v>
      </c>
      <c r="H823" s="185" t="str">
        <f>IFERROR(__xludf.DUMMYFUNCTION("""COMPUTED_VALUE"""),"No")</f>
        <v>No</v>
      </c>
      <c r="I823" s="185" t="str">
        <f>IFERROR(__xludf.DUMMYFUNCTION("""COMPUTED_VALUE"""),"High")</f>
        <v>High</v>
      </c>
      <c r="J823" s="185" t="str">
        <f>IFERROR(__xludf.DUMMYFUNCTION("""COMPUTED_VALUE"""),"Yes - priority")</f>
        <v>Yes - priority</v>
      </c>
      <c r="K823" s="185" t="str">
        <f>IFERROR(__xludf.DUMMYFUNCTION("""COMPUTED_VALUE"""),"Unknown")</f>
        <v>Unknown</v>
      </c>
      <c r="L823" s="187">
        <f>IFERROR(__xludf.DUMMYFUNCTION("""COMPUTED_VALUE"""),1.0)</f>
        <v>1</v>
      </c>
      <c r="M823" s="188">
        <f>IFERROR(__xludf.DUMMYFUNCTION("""COMPUTED_VALUE"""),0.0)</f>
        <v>0</v>
      </c>
      <c r="N823" s="188">
        <f>IFERROR(__xludf.DUMMYFUNCTION("""COMPUTED_VALUE"""),0.0)</f>
        <v>0</v>
      </c>
      <c r="O823" s="208"/>
      <c r="P823" s="208"/>
      <c r="Q823" s="208"/>
      <c r="R823" s="208"/>
    </row>
    <row r="824">
      <c r="A824" s="185" t="str">
        <f>IFERROR(__xludf.DUMMYFUNCTION("""COMPUTED_VALUE"""),"Official partner / certification ecosystem")</f>
        <v>Official partner / certification ecosystem</v>
      </c>
      <c r="B824" s="186" t="str">
        <f>IFERROR(__xludf.DUMMYFUNCTION("""COMPUTED_VALUE"""),"https://www.google.com/searchviewer/10?svid=CAwSHRIbCgNwdnESFENnMHZaeTh4TVdoMGVuTTBObmt3GAo")</f>
        <v>https://www.google.com/searchviewer/10?svid=CAwSHRIbCgNwdnESFENnMHZaeTh4TVdoMGVuTTBObmt3GAo</v>
      </c>
      <c r="C824" s="185"/>
      <c r="D824" s="185" t="str">
        <f>IFERROR(__xludf.DUMMYFUNCTION("""COMPUTED_VALUE"""),"UK")</f>
        <v>UK</v>
      </c>
      <c r="E824" s="185" t="str">
        <f>IFERROR(__xludf.DUMMYFUNCTION("""COMPUTED_VALUE"""),"google.com")</f>
        <v>google.com</v>
      </c>
      <c r="F824" s="185" t="str">
        <f>IFERROR(__xludf.DUMMYFUNCTION("""COMPUTED_VALUE"""),"Other")</f>
        <v>Other</v>
      </c>
      <c r="G824" s="185" t="str">
        <f>IFERROR(__xludf.DUMMYFUNCTION("""COMPUTED_VALUE"""),"OTHER")</f>
        <v>OTHER</v>
      </c>
      <c r="H824" s="185" t="str">
        <f>IFERROR(__xludf.DUMMYFUNCTION("""COMPUTED_VALUE"""),"No")</f>
        <v>No</v>
      </c>
      <c r="I824" s="185" t="str">
        <f>IFERROR(__xludf.DUMMYFUNCTION("""COMPUTED_VALUE"""),"High")</f>
        <v>High</v>
      </c>
      <c r="J824" s="185" t="str">
        <f>IFERROR(__xludf.DUMMYFUNCTION("""COMPUTED_VALUE"""),"Yes - priority")</f>
        <v>Yes - priority</v>
      </c>
      <c r="K824" s="185" t="str">
        <f>IFERROR(__xludf.DUMMYFUNCTION("""COMPUTED_VALUE"""),"Unknown")</f>
        <v>Unknown</v>
      </c>
      <c r="L824" s="187">
        <f>IFERROR(__xludf.DUMMYFUNCTION("""COMPUTED_VALUE"""),1.0)</f>
        <v>1</v>
      </c>
      <c r="M824" s="188">
        <f>IFERROR(__xludf.DUMMYFUNCTION("""COMPUTED_VALUE"""),0.0)</f>
        <v>0</v>
      </c>
      <c r="N824" s="188">
        <f>IFERROR(__xludf.DUMMYFUNCTION("""COMPUTED_VALUE"""),0.0)</f>
        <v>0</v>
      </c>
      <c r="O824" s="208"/>
      <c r="P824" s="208"/>
      <c r="Q824" s="208"/>
      <c r="R824" s="208"/>
    </row>
    <row r="825">
      <c r="A825" s="185" t="str">
        <f>IFERROR(__xludf.DUMMYFUNCTION("""COMPUTED_VALUE"""),"Official partner / certification ecosystem")</f>
        <v>Official partner / certification ecosystem</v>
      </c>
      <c r="B825" s="186" t="str">
        <f>IFERROR(__xludf.DUMMYFUNCTION("""COMPUTED_VALUE"""),"https://www.google.com/searchviewer/10?svid=CAwSHRIbCgNwdnESFENnMHZaeTh4TVdoa05uZDZkRFJuGAo")</f>
        <v>https://www.google.com/searchviewer/10?svid=CAwSHRIbCgNwdnESFENnMHZaeTh4TVdoa05uZDZkRFJuGAo</v>
      </c>
      <c r="C825" s="185"/>
      <c r="D825" s="185" t="str">
        <f>IFERROR(__xludf.DUMMYFUNCTION("""COMPUTED_VALUE"""),"UK")</f>
        <v>UK</v>
      </c>
      <c r="E825" s="185" t="str">
        <f>IFERROR(__xludf.DUMMYFUNCTION("""COMPUTED_VALUE"""),"google.com")</f>
        <v>google.com</v>
      </c>
      <c r="F825" s="185" t="str">
        <f>IFERROR(__xludf.DUMMYFUNCTION("""COMPUTED_VALUE"""),"Other")</f>
        <v>Other</v>
      </c>
      <c r="G825" s="185" t="str">
        <f>IFERROR(__xludf.DUMMYFUNCTION("""COMPUTED_VALUE"""),"OTHER")</f>
        <v>OTHER</v>
      </c>
      <c r="H825" s="185" t="str">
        <f>IFERROR(__xludf.DUMMYFUNCTION("""COMPUTED_VALUE"""),"No")</f>
        <v>No</v>
      </c>
      <c r="I825" s="185" t="str">
        <f>IFERROR(__xludf.DUMMYFUNCTION("""COMPUTED_VALUE"""),"High")</f>
        <v>High</v>
      </c>
      <c r="J825" s="185" t="str">
        <f>IFERROR(__xludf.DUMMYFUNCTION("""COMPUTED_VALUE"""),"Yes - priority")</f>
        <v>Yes - priority</v>
      </c>
      <c r="K825" s="185" t="str">
        <f>IFERROR(__xludf.DUMMYFUNCTION("""COMPUTED_VALUE"""),"Unknown")</f>
        <v>Unknown</v>
      </c>
      <c r="L825" s="187">
        <f>IFERROR(__xludf.DUMMYFUNCTION("""COMPUTED_VALUE"""),1.0)</f>
        <v>1</v>
      </c>
      <c r="M825" s="188">
        <f>IFERROR(__xludf.DUMMYFUNCTION("""COMPUTED_VALUE"""),0.0)</f>
        <v>0</v>
      </c>
      <c r="N825" s="188">
        <f>IFERROR(__xludf.DUMMYFUNCTION("""COMPUTED_VALUE"""),0.0)</f>
        <v>0</v>
      </c>
      <c r="O825" s="208"/>
      <c r="P825" s="208"/>
      <c r="Q825" s="208"/>
      <c r="R825" s="208"/>
    </row>
    <row r="826">
      <c r="A826" s="185" t="str">
        <f>IFERROR(__xludf.DUMMYFUNCTION("""COMPUTED_VALUE"""),"Official partner / certification ecosystem")</f>
        <v>Official partner / certification ecosystem</v>
      </c>
      <c r="B826" s="186" t="str">
        <f>IFERROR(__xludf.DUMMYFUNCTION("""COMPUTED_VALUE"""),"https://www.google.com/searchviewer/10?svid=CAwSHRIbCgNwdnESFENnMHZaeTh4TVdveWMyMXVPVEprGAo")</f>
        <v>https://www.google.com/searchviewer/10?svid=CAwSHRIbCgNwdnESFENnMHZaeTh4TVdveWMyMXVPVEprGAo</v>
      </c>
      <c r="C826" s="185"/>
      <c r="D826" s="185" t="str">
        <f>IFERROR(__xludf.DUMMYFUNCTION("""COMPUTED_VALUE"""),"UK")</f>
        <v>UK</v>
      </c>
      <c r="E826" s="185" t="str">
        <f>IFERROR(__xludf.DUMMYFUNCTION("""COMPUTED_VALUE"""),"google.com")</f>
        <v>google.com</v>
      </c>
      <c r="F826" s="185" t="str">
        <f>IFERROR(__xludf.DUMMYFUNCTION("""COMPUTED_VALUE"""),"Other")</f>
        <v>Other</v>
      </c>
      <c r="G826" s="185" t="str">
        <f>IFERROR(__xludf.DUMMYFUNCTION("""COMPUTED_VALUE"""),"OTHER")</f>
        <v>OTHER</v>
      </c>
      <c r="H826" s="185" t="str">
        <f>IFERROR(__xludf.DUMMYFUNCTION("""COMPUTED_VALUE"""),"No")</f>
        <v>No</v>
      </c>
      <c r="I826" s="185" t="str">
        <f>IFERROR(__xludf.DUMMYFUNCTION("""COMPUTED_VALUE"""),"High")</f>
        <v>High</v>
      </c>
      <c r="J826" s="185" t="str">
        <f>IFERROR(__xludf.DUMMYFUNCTION("""COMPUTED_VALUE"""),"Yes - priority")</f>
        <v>Yes - priority</v>
      </c>
      <c r="K826" s="185" t="str">
        <f>IFERROR(__xludf.DUMMYFUNCTION("""COMPUTED_VALUE"""),"Unknown")</f>
        <v>Unknown</v>
      </c>
      <c r="L826" s="187">
        <f>IFERROR(__xludf.DUMMYFUNCTION("""COMPUTED_VALUE"""),1.0)</f>
        <v>1</v>
      </c>
      <c r="M826" s="188">
        <f>IFERROR(__xludf.DUMMYFUNCTION("""COMPUTED_VALUE"""),0.0)</f>
        <v>0</v>
      </c>
      <c r="N826" s="188">
        <f>IFERROR(__xludf.DUMMYFUNCTION("""COMPUTED_VALUE"""),0.0)</f>
        <v>0</v>
      </c>
      <c r="O826" s="208"/>
      <c r="P826" s="208"/>
      <c r="Q826" s="208"/>
      <c r="R826" s="208"/>
    </row>
    <row r="827">
      <c r="A827" s="185" t="str">
        <f>IFERROR(__xludf.DUMMYFUNCTION("""COMPUTED_VALUE"""),"Official partner / certification ecosystem")</f>
        <v>Official partner / certification ecosystem</v>
      </c>
      <c r="B827" s="186" t="str">
        <f>IFERROR(__xludf.DUMMYFUNCTION("""COMPUTED_VALUE"""),"https://www.google.com/searchviewer/10?svid=CAwSHRIbCgNwdnESFENnMHZaeTh4TVdzd05qZG9lRGx1GAo")</f>
        <v>https://www.google.com/searchviewer/10?svid=CAwSHRIbCgNwdnESFENnMHZaeTh4TVdzd05qZG9lRGx1GAo</v>
      </c>
      <c r="C827" s="185"/>
      <c r="D827" s="185" t="str">
        <f>IFERROR(__xludf.DUMMYFUNCTION("""COMPUTED_VALUE"""),"UK")</f>
        <v>UK</v>
      </c>
      <c r="E827" s="185" t="str">
        <f>IFERROR(__xludf.DUMMYFUNCTION("""COMPUTED_VALUE"""),"google.com")</f>
        <v>google.com</v>
      </c>
      <c r="F827" s="185" t="str">
        <f>IFERROR(__xludf.DUMMYFUNCTION("""COMPUTED_VALUE"""),"Other")</f>
        <v>Other</v>
      </c>
      <c r="G827" s="185" t="str">
        <f>IFERROR(__xludf.DUMMYFUNCTION("""COMPUTED_VALUE"""),"OTHER")</f>
        <v>OTHER</v>
      </c>
      <c r="H827" s="185" t="str">
        <f>IFERROR(__xludf.DUMMYFUNCTION("""COMPUTED_VALUE"""),"No")</f>
        <v>No</v>
      </c>
      <c r="I827" s="185" t="str">
        <f>IFERROR(__xludf.DUMMYFUNCTION("""COMPUTED_VALUE"""),"High")</f>
        <v>High</v>
      </c>
      <c r="J827" s="185" t="str">
        <f>IFERROR(__xludf.DUMMYFUNCTION("""COMPUTED_VALUE"""),"Yes - priority")</f>
        <v>Yes - priority</v>
      </c>
      <c r="K827" s="185" t="str">
        <f>IFERROR(__xludf.DUMMYFUNCTION("""COMPUTED_VALUE"""),"Unknown")</f>
        <v>Unknown</v>
      </c>
      <c r="L827" s="187">
        <f>IFERROR(__xludf.DUMMYFUNCTION("""COMPUTED_VALUE"""),1.0)</f>
        <v>1</v>
      </c>
      <c r="M827" s="188">
        <f>IFERROR(__xludf.DUMMYFUNCTION("""COMPUTED_VALUE"""),0.0)</f>
        <v>0</v>
      </c>
      <c r="N827" s="188">
        <f>IFERROR(__xludf.DUMMYFUNCTION("""COMPUTED_VALUE"""),0.0)</f>
        <v>0</v>
      </c>
      <c r="O827" s="208"/>
      <c r="P827" s="208"/>
      <c r="Q827" s="208"/>
      <c r="R827" s="208"/>
    </row>
    <row r="828">
      <c r="A828" s="185" t="str">
        <f>IFERROR(__xludf.DUMMYFUNCTION("""COMPUTED_VALUE"""),"Official partner / certification ecosystem")</f>
        <v>Official partner / certification ecosystem</v>
      </c>
      <c r="B828" s="186" t="str">
        <f>IFERROR(__xludf.DUMMYFUNCTION("""COMPUTED_VALUE"""),"https://www.google.com/searchviewer/10?svid=CAwSHRIbCgNwdnESFENnMHZaeTh4TVhGaWRqVnRNSEZzGAo")</f>
        <v>https://www.google.com/searchviewer/10?svid=CAwSHRIbCgNwdnESFENnMHZaeTh4TVhGaWRqVnRNSEZzGAo</v>
      </c>
      <c r="C828" s="185"/>
      <c r="D828" s="185" t="str">
        <f>IFERROR(__xludf.DUMMYFUNCTION("""COMPUTED_VALUE"""),"UK")</f>
        <v>UK</v>
      </c>
      <c r="E828" s="185" t="str">
        <f>IFERROR(__xludf.DUMMYFUNCTION("""COMPUTED_VALUE"""),"google.com")</f>
        <v>google.com</v>
      </c>
      <c r="F828" s="185" t="str">
        <f>IFERROR(__xludf.DUMMYFUNCTION("""COMPUTED_VALUE"""),"Other")</f>
        <v>Other</v>
      </c>
      <c r="G828" s="185" t="str">
        <f>IFERROR(__xludf.DUMMYFUNCTION("""COMPUTED_VALUE"""),"OTHER")</f>
        <v>OTHER</v>
      </c>
      <c r="H828" s="185" t="str">
        <f>IFERROR(__xludf.DUMMYFUNCTION("""COMPUTED_VALUE"""),"No")</f>
        <v>No</v>
      </c>
      <c r="I828" s="185" t="str">
        <f>IFERROR(__xludf.DUMMYFUNCTION("""COMPUTED_VALUE"""),"High")</f>
        <v>High</v>
      </c>
      <c r="J828" s="185" t="str">
        <f>IFERROR(__xludf.DUMMYFUNCTION("""COMPUTED_VALUE"""),"Yes - priority")</f>
        <v>Yes - priority</v>
      </c>
      <c r="K828" s="185" t="str">
        <f>IFERROR(__xludf.DUMMYFUNCTION("""COMPUTED_VALUE"""),"Unknown")</f>
        <v>Unknown</v>
      </c>
      <c r="L828" s="187">
        <f>IFERROR(__xludf.DUMMYFUNCTION("""COMPUTED_VALUE"""),1.0)</f>
        <v>1</v>
      </c>
      <c r="M828" s="188">
        <f>IFERROR(__xludf.DUMMYFUNCTION("""COMPUTED_VALUE"""),0.0)</f>
        <v>0</v>
      </c>
      <c r="N828" s="188">
        <f>IFERROR(__xludf.DUMMYFUNCTION("""COMPUTED_VALUE"""),0.0)</f>
        <v>0</v>
      </c>
      <c r="O828" s="208"/>
      <c r="P828" s="208"/>
      <c r="Q828" s="208"/>
      <c r="R828" s="208"/>
    </row>
    <row r="829">
      <c r="A829" s="185" t="str">
        <f>IFERROR(__xludf.DUMMYFUNCTION("""COMPUTED_VALUE"""),"Official partner / certification ecosystem")</f>
        <v>Official partner / certification ecosystem</v>
      </c>
      <c r="B829" s="186" t="str">
        <f>IFERROR(__xludf.DUMMYFUNCTION("""COMPUTED_VALUE"""),"https://www.google.com/searchviewer/10?svid=CAwSHRIbCgNwdnESFENnMHZaeTh4TVhGbk1EQnJNV0pqGAo")</f>
        <v>https://www.google.com/searchviewer/10?svid=CAwSHRIbCgNwdnESFENnMHZaeTh4TVhGbk1EQnJNV0pqGAo</v>
      </c>
      <c r="C829" s="185"/>
      <c r="D829" s="185" t="str">
        <f>IFERROR(__xludf.DUMMYFUNCTION("""COMPUTED_VALUE"""),"UK")</f>
        <v>UK</v>
      </c>
      <c r="E829" s="185" t="str">
        <f>IFERROR(__xludf.DUMMYFUNCTION("""COMPUTED_VALUE"""),"google.com")</f>
        <v>google.com</v>
      </c>
      <c r="F829" s="185" t="str">
        <f>IFERROR(__xludf.DUMMYFUNCTION("""COMPUTED_VALUE"""),"Other")</f>
        <v>Other</v>
      </c>
      <c r="G829" s="185" t="str">
        <f>IFERROR(__xludf.DUMMYFUNCTION("""COMPUTED_VALUE"""),"OTHER")</f>
        <v>OTHER</v>
      </c>
      <c r="H829" s="185" t="str">
        <f>IFERROR(__xludf.DUMMYFUNCTION("""COMPUTED_VALUE"""),"No")</f>
        <v>No</v>
      </c>
      <c r="I829" s="185" t="str">
        <f>IFERROR(__xludf.DUMMYFUNCTION("""COMPUTED_VALUE"""),"High")</f>
        <v>High</v>
      </c>
      <c r="J829" s="185" t="str">
        <f>IFERROR(__xludf.DUMMYFUNCTION("""COMPUTED_VALUE"""),"Yes - priority")</f>
        <v>Yes - priority</v>
      </c>
      <c r="K829" s="185" t="str">
        <f>IFERROR(__xludf.DUMMYFUNCTION("""COMPUTED_VALUE"""),"Unknown")</f>
        <v>Unknown</v>
      </c>
      <c r="L829" s="187">
        <f>IFERROR(__xludf.DUMMYFUNCTION("""COMPUTED_VALUE"""),1.0)</f>
        <v>1</v>
      </c>
      <c r="M829" s="188">
        <f>IFERROR(__xludf.DUMMYFUNCTION("""COMPUTED_VALUE"""),0.0)</f>
        <v>0</v>
      </c>
      <c r="N829" s="188">
        <f>IFERROR(__xludf.DUMMYFUNCTION("""COMPUTED_VALUE"""),0.0)</f>
        <v>0</v>
      </c>
      <c r="O829" s="208"/>
      <c r="P829" s="208"/>
      <c r="Q829" s="208"/>
      <c r="R829" s="208"/>
    </row>
    <row r="830">
      <c r="A830" s="185" t="str">
        <f>IFERROR(__xludf.DUMMYFUNCTION("""COMPUTED_VALUE"""),"Official partner / certification ecosystem")</f>
        <v>Official partner / certification ecosystem</v>
      </c>
      <c r="B830" s="186" t="str">
        <f>IFERROR(__xludf.DUMMYFUNCTION("""COMPUTED_VALUE"""),"https://www.google.com/searchviewer/10?svid=CAwSHRIbCgNwdnESFENnMHZaeTh4TVhNM1puYzNjRE56GAo")</f>
        <v>https://www.google.com/searchviewer/10?svid=CAwSHRIbCgNwdnESFENnMHZaeTh4TVhNM1puYzNjRE56GAo</v>
      </c>
      <c r="C830" s="185"/>
      <c r="D830" s="185" t="str">
        <f>IFERROR(__xludf.DUMMYFUNCTION("""COMPUTED_VALUE"""),"UK")</f>
        <v>UK</v>
      </c>
      <c r="E830" s="185" t="str">
        <f>IFERROR(__xludf.DUMMYFUNCTION("""COMPUTED_VALUE"""),"google.com")</f>
        <v>google.com</v>
      </c>
      <c r="F830" s="185" t="str">
        <f>IFERROR(__xludf.DUMMYFUNCTION("""COMPUTED_VALUE"""),"Other")</f>
        <v>Other</v>
      </c>
      <c r="G830" s="185" t="str">
        <f>IFERROR(__xludf.DUMMYFUNCTION("""COMPUTED_VALUE"""),"OTHER")</f>
        <v>OTHER</v>
      </c>
      <c r="H830" s="185" t="str">
        <f>IFERROR(__xludf.DUMMYFUNCTION("""COMPUTED_VALUE"""),"No")</f>
        <v>No</v>
      </c>
      <c r="I830" s="185" t="str">
        <f>IFERROR(__xludf.DUMMYFUNCTION("""COMPUTED_VALUE"""),"High")</f>
        <v>High</v>
      </c>
      <c r="J830" s="185" t="str">
        <f>IFERROR(__xludf.DUMMYFUNCTION("""COMPUTED_VALUE"""),"Yes - priority")</f>
        <v>Yes - priority</v>
      </c>
      <c r="K830" s="185" t="str">
        <f>IFERROR(__xludf.DUMMYFUNCTION("""COMPUTED_VALUE"""),"Unknown")</f>
        <v>Unknown</v>
      </c>
      <c r="L830" s="187">
        <f>IFERROR(__xludf.DUMMYFUNCTION("""COMPUTED_VALUE"""),1.0)</f>
        <v>1</v>
      </c>
      <c r="M830" s="188">
        <f>IFERROR(__xludf.DUMMYFUNCTION("""COMPUTED_VALUE"""),0.0)</f>
        <v>0</v>
      </c>
      <c r="N830" s="188">
        <f>IFERROR(__xludf.DUMMYFUNCTION("""COMPUTED_VALUE"""),0.0)</f>
        <v>0</v>
      </c>
      <c r="O830" s="208"/>
      <c r="P830" s="208"/>
      <c r="Q830" s="208"/>
      <c r="R830" s="208"/>
    </row>
    <row r="831">
      <c r="A831" s="185" t="str">
        <f>IFERROR(__xludf.DUMMYFUNCTION("""COMPUTED_VALUE"""),"Official partner / certification ecosystem")</f>
        <v>Official partner / certification ecosystem</v>
      </c>
      <c r="B831" s="186" t="str">
        <f>IFERROR(__xludf.DUMMYFUNCTION("""COMPUTED_VALUE"""),"https://www.google.com/searchviewer/10?svid=CAwSHRIbCgNwdnESFENnMHZaeTh4TVhONVl6RnFlR2RzGAo")</f>
        <v>https://www.google.com/searchviewer/10?svid=CAwSHRIbCgNwdnESFENnMHZaeTh4TVhONVl6RnFlR2RzGAo</v>
      </c>
      <c r="C831" s="185"/>
      <c r="D831" s="185" t="str">
        <f>IFERROR(__xludf.DUMMYFUNCTION("""COMPUTED_VALUE"""),"UK")</f>
        <v>UK</v>
      </c>
      <c r="E831" s="185" t="str">
        <f>IFERROR(__xludf.DUMMYFUNCTION("""COMPUTED_VALUE"""),"google.com")</f>
        <v>google.com</v>
      </c>
      <c r="F831" s="185" t="str">
        <f>IFERROR(__xludf.DUMMYFUNCTION("""COMPUTED_VALUE"""),"Other")</f>
        <v>Other</v>
      </c>
      <c r="G831" s="185" t="str">
        <f>IFERROR(__xludf.DUMMYFUNCTION("""COMPUTED_VALUE"""),"OTHER")</f>
        <v>OTHER</v>
      </c>
      <c r="H831" s="185" t="str">
        <f>IFERROR(__xludf.DUMMYFUNCTION("""COMPUTED_VALUE"""),"No")</f>
        <v>No</v>
      </c>
      <c r="I831" s="185" t="str">
        <f>IFERROR(__xludf.DUMMYFUNCTION("""COMPUTED_VALUE"""),"High")</f>
        <v>High</v>
      </c>
      <c r="J831" s="185" t="str">
        <f>IFERROR(__xludf.DUMMYFUNCTION("""COMPUTED_VALUE"""),"Yes - priority")</f>
        <v>Yes - priority</v>
      </c>
      <c r="K831" s="185" t="str">
        <f>IFERROR(__xludf.DUMMYFUNCTION("""COMPUTED_VALUE"""),"Unknown")</f>
        <v>Unknown</v>
      </c>
      <c r="L831" s="187">
        <f>IFERROR(__xludf.DUMMYFUNCTION("""COMPUTED_VALUE"""),1.0)</f>
        <v>1</v>
      </c>
      <c r="M831" s="188">
        <f>IFERROR(__xludf.DUMMYFUNCTION("""COMPUTED_VALUE"""),0.0)</f>
        <v>0</v>
      </c>
      <c r="N831" s="188">
        <f>IFERROR(__xludf.DUMMYFUNCTION("""COMPUTED_VALUE"""),0.0)</f>
        <v>0</v>
      </c>
      <c r="O831" s="208"/>
      <c r="P831" s="208"/>
      <c r="Q831" s="208"/>
      <c r="R831" s="208"/>
    </row>
    <row r="832">
      <c r="A832" s="185" t="str">
        <f>IFERROR(__xludf.DUMMYFUNCTION("""COMPUTED_VALUE"""),"Official partner / certification ecosystem")</f>
        <v>Official partner / certification ecosystem</v>
      </c>
      <c r="B832" s="186" t="str">
        <f>IFERROR(__xludf.DUMMYFUNCTION("""COMPUTED_VALUE"""),"https://www.google.com/searchviewer/10?svid=CAwSHRIbCgNwdnESFENnMHZaeTh4TVhScVp6aHRjM0o2GAo")</f>
        <v>https://www.google.com/searchviewer/10?svid=CAwSHRIbCgNwdnESFENnMHZaeTh4TVhScVp6aHRjM0o2GAo</v>
      </c>
      <c r="C832" s="185"/>
      <c r="D832" s="185" t="str">
        <f>IFERROR(__xludf.DUMMYFUNCTION("""COMPUTED_VALUE"""),"UK")</f>
        <v>UK</v>
      </c>
      <c r="E832" s="185" t="str">
        <f>IFERROR(__xludf.DUMMYFUNCTION("""COMPUTED_VALUE"""),"google.com")</f>
        <v>google.com</v>
      </c>
      <c r="F832" s="185" t="str">
        <f>IFERROR(__xludf.DUMMYFUNCTION("""COMPUTED_VALUE"""),"Other")</f>
        <v>Other</v>
      </c>
      <c r="G832" s="185" t="str">
        <f>IFERROR(__xludf.DUMMYFUNCTION("""COMPUTED_VALUE"""),"OTHER")</f>
        <v>OTHER</v>
      </c>
      <c r="H832" s="185" t="str">
        <f>IFERROR(__xludf.DUMMYFUNCTION("""COMPUTED_VALUE"""),"No")</f>
        <v>No</v>
      </c>
      <c r="I832" s="185" t="str">
        <f>IFERROR(__xludf.DUMMYFUNCTION("""COMPUTED_VALUE"""),"High")</f>
        <v>High</v>
      </c>
      <c r="J832" s="185" t="str">
        <f>IFERROR(__xludf.DUMMYFUNCTION("""COMPUTED_VALUE"""),"Yes - priority")</f>
        <v>Yes - priority</v>
      </c>
      <c r="K832" s="185" t="str">
        <f>IFERROR(__xludf.DUMMYFUNCTION("""COMPUTED_VALUE"""),"Unknown")</f>
        <v>Unknown</v>
      </c>
      <c r="L832" s="187">
        <f>IFERROR(__xludf.DUMMYFUNCTION("""COMPUTED_VALUE"""),1.0)</f>
        <v>1</v>
      </c>
      <c r="M832" s="188">
        <f>IFERROR(__xludf.DUMMYFUNCTION("""COMPUTED_VALUE"""),0.0)</f>
        <v>0</v>
      </c>
      <c r="N832" s="188">
        <f>IFERROR(__xludf.DUMMYFUNCTION("""COMPUTED_VALUE"""),0.0)</f>
        <v>0</v>
      </c>
      <c r="O832" s="208"/>
      <c r="P832" s="208"/>
      <c r="Q832" s="208"/>
      <c r="R832" s="208"/>
    </row>
    <row r="833">
      <c r="A833" s="185" t="str">
        <f>IFERROR(__xludf.DUMMYFUNCTION("""COMPUTED_VALUE"""),"Official partner / certification ecosystem")</f>
        <v>Official partner / certification ecosystem</v>
      </c>
      <c r="B833" s="186" t="str">
        <f>IFERROR(__xludf.DUMMYFUNCTION("""COMPUTED_VALUE"""),"https://www.google.com/searchviewer/10?svid=CAwSHRIbCgNwdnESFENnMHZaeTh4TVhaa05teDNjVGQzGAo")</f>
        <v>https://www.google.com/searchviewer/10?svid=CAwSHRIbCgNwdnESFENnMHZaeTh4TVhaa05teDNjVGQzGAo</v>
      </c>
      <c r="C833" s="185"/>
      <c r="D833" s="185" t="str">
        <f>IFERROR(__xludf.DUMMYFUNCTION("""COMPUTED_VALUE"""),"UK")</f>
        <v>UK</v>
      </c>
      <c r="E833" s="185" t="str">
        <f>IFERROR(__xludf.DUMMYFUNCTION("""COMPUTED_VALUE"""),"google.com")</f>
        <v>google.com</v>
      </c>
      <c r="F833" s="185" t="str">
        <f>IFERROR(__xludf.DUMMYFUNCTION("""COMPUTED_VALUE"""),"Other")</f>
        <v>Other</v>
      </c>
      <c r="G833" s="185" t="str">
        <f>IFERROR(__xludf.DUMMYFUNCTION("""COMPUTED_VALUE"""),"OTHER")</f>
        <v>OTHER</v>
      </c>
      <c r="H833" s="185" t="str">
        <f>IFERROR(__xludf.DUMMYFUNCTION("""COMPUTED_VALUE"""),"No")</f>
        <v>No</v>
      </c>
      <c r="I833" s="185" t="str">
        <f>IFERROR(__xludf.DUMMYFUNCTION("""COMPUTED_VALUE"""),"High")</f>
        <v>High</v>
      </c>
      <c r="J833" s="185" t="str">
        <f>IFERROR(__xludf.DUMMYFUNCTION("""COMPUTED_VALUE"""),"Yes - priority")</f>
        <v>Yes - priority</v>
      </c>
      <c r="K833" s="185" t="str">
        <f>IFERROR(__xludf.DUMMYFUNCTION("""COMPUTED_VALUE"""),"Unknown")</f>
        <v>Unknown</v>
      </c>
      <c r="L833" s="187">
        <f>IFERROR(__xludf.DUMMYFUNCTION("""COMPUTED_VALUE"""),1.0)</f>
        <v>1</v>
      </c>
      <c r="M833" s="188">
        <f>IFERROR(__xludf.DUMMYFUNCTION("""COMPUTED_VALUE"""),0.0)</f>
        <v>0</v>
      </c>
      <c r="N833" s="188">
        <f>IFERROR(__xludf.DUMMYFUNCTION("""COMPUTED_VALUE"""),0.0)</f>
        <v>0</v>
      </c>
      <c r="O833" s="208"/>
      <c r="P833" s="208"/>
      <c r="Q833" s="208"/>
      <c r="R833" s="208"/>
    </row>
    <row r="834">
      <c r="A834" s="185" t="str">
        <f>IFERROR(__xludf.DUMMYFUNCTION("""COMPUTED_VALUE"""),"Official partner / certification ecosystem")</f>
        <v>Official partner / certification ecosystem</v>
      </c>
      <c r="B834" s="186" t="str">
        <f>IFERROR(__xludf.DUMMYFUNCTION("""COMPUTED_VALUE"""),"https://www.google.com/searchviewer/10?svid=CAwSHRIbCgNwdnESFENnMHZaeTh4TVhkM2VqSnpjMmh3GAo")</f>
        <v>https://www.google.com/searchviewer/10?svid=CAwSHRIbCgNwdnESFENnMHZaeTh4TVhkM2VqSnpjMmh3GAo</v>
      </c>
      <c r="C834" s="185"/>
      <c r="D834" s="185" t="str">
        <f>IFERROR(__xludf.DUMMYFUNCTION("""COMPUTED_VALUE"""),"UK")</f>
        <v>UK</v>
      </c>
      <c r="E834" s="185" t="str">
        <f>IFERROR(__xludf.DUMMYFUNCTION("""COMPUTED_VALUE"""),"google.com")</f>
        <v>google.com</v>
      </c>
      <c r="F834" s="185" t="str">
        <f>IFERROR(__xludf.DUMMYFUNCTION("""COMPUTED_VALUE"""),"Other")</f>
        <v>Other</v>
      </c>
      <c r="G834" s="185" t="str">
        <f>IFERROR(__xludf.DUMMYFUNCTION("""COMPUTED_VALUE"""),"OTHER")</f>
        <v>OTHER</v>
      </c>
      <c r="H834" s="185" t="str">
        <f>IFERROR(__xludf.DUMMYFUNCTION("""COMPUTED_VALUE"""),"No")</f>
        <v>No</v>
      </c>
      <c r="I834" s="185" t="str">
        <f>IFERROR(__xludf.DUMMYFUNCTION("""COMPUTED_VALUE"""),"High")</f>
        <v>High</v>
      </c>
      <c r="J834" s="185" t="str">
        <f>IFERROR(__xludf.DUMMYFUNCTION("""COMPUTED_VALUE"""),"Yes - priority")</f>
        <v>Yes - priority</v>
      </c>
      <c r="K834" s="185" t="str">
        <f>IFERROR(__xludf.DUMMYFUNCTION("""COMPUTED_VALUE"""),"Unknown")</f>
        <v>Unknown</v>
      </c>
      <c r="L834" s="187">
        <f>IFERROR(__xludf.DUMMYFUNCTION("""COMPUTED_VALUE"""),1.0)</f>
        <v>1</v>
      </c>
      <c r="M834" s="188">
        <f>IFERROR(__xludf.DUMMYFUNCTION("""COMPUTED_VALUE"""),0.0)</f>
        <v>0</v>
      </c>
      <c r="N834" s="188">
        <f>IFERROR(__xludf.DUMMYFUNCTION("""COMPUTED_VALUE"""),0.0)</f>
        <v>0</v>
      </c>
      <c r="O834" s="208"/>
      <c r="P834" s="208"/>
      <c r="Q834" s="208"/>
      <c r="R834" s="208"/>
    </row>
    <row r="835">
      <c r="A835" s="185" t="str">
        <f>IFERROR(__xludf.DUMMYFUNCTION("""COMPUTED_VALUE"""),"Official partner / certification ecosystem")</f>
        <v>Official partner / certification ecosystem</v>
      </c>
      <c r="B835" s="186" t="str">
        <f>IFERROR(__xludf.DUMMYFUNCTION("""COMPUTED_VALUE"""),"https://www.google.com/searchviewer/10?svid=CAwSHRIbCgNwdnESFENnMHZaeTh4TVhkcU5XUndiVEUxGAo")</f>
        <v>https://www.google.com/searchviewer/10?svid=CAwSHRIbCgNwdnESFENnMHZaeTh4TVhkcU5XUndiVEUxGAo</v>
      </c>
      <c r="C835" s="185"/>
      <c r="D835" s="185" t="str">
        <f>IFERROR(__xludf.DUMMYFUNCTION("""COMPUTED_VALUE"""),"UK")</f>
        <v>UK</v>
      </c>
      <c r="E835" s="185" t="str">
        <f>IFERROR(__xludf.DUMMYFUNCTION("""COMPUTED_VALUE"""),"google.com")</f>
        <v>google.com</v>
      </c>
      <c r="F835" s="185" t="str">
        <f>IFERROR(__xludf.DUMMYFUNCTION("""COMPUTED_VALUE"""),"Other")</f>
        <v>Other</v>
      </c>
      <c r="G835" s="185" t="str">
        <f>IFERROR(__xludf.DUMMYFUNCTION("""COMPUTED_VALUE"""),"OTHER")</f>
        <v>OTHER</v>
      </c>
      <c r="H835" s="185" t="str">
        <f>IFERROR(__xludf.DUMMYFUNCTION("""COMPUTED_VALUE"""),"No")</f>
        <v>No</v>
      </c>
      <c r="I835" s="185" t="str">
        <f>IFERROR(__xludf.DUMMYFUNCTION("""COMPUTED_VALUE"""),"High")</f>
        <v>High</v>
      </c>
      <c r="J835" s="185" t="str">
        <f>IFERROR(__xludf.DUMMYFUNCTION("""COMPUTED_VALUE"""),"Yes - priority")</f>
        <v>Yes - priority</v>
      </c>
      <c r="K835" s="185" t="str">
        <f>IFERROR(__xludf.DUMMYFUNCTION("""COMPUTED_VALUE"""),"Unknown")</f>
        <v>Unknown</v>
      </c>
      <c r="L835" s="187">
        <f>IFERROR(__xludf.DUMMYFUNCTION("""COMPUTED_VALUE"""),1.0)</f>
        <v>1</v>
      </c>
      <c r="M835" s="188">
        <f>IFERROR(__xludf.DUMMYFUNCTION("""COMPUTED_VALUE"""),0.0)</f>
        <v>0</v>
      </c>
      <c r="N835" s="188">
        <f>IFERROR(__xludf.DUMMYFUNCTION("""COMPUTED_VALUE"""),0.0)</f>
        <v>0</v>
      </c>
      <c r="O835" s="208"/>
      <c r="P835" s="208"/>
      <c r="Q835" s="208"/>
      <c r="R835" s="208"/>
    </row>
    <row r="836">
      <c r="A836" s="185" t="str">
        <f>IFERROR(__xludf.DUMMYFUNCTION("""COMPUTED_VALUE"""),"Trade media / editorial publication")</f>
        <v>Trade media / editorial publication</v>
      </c>
      <c r="B836" s="186" t="str">
        <f>IFERROR(__xludf.DUMMYFUNCTION("""COMPUTED_VALUE"""),"https://influencermarketinghub.com/geo-agencies/")</f>
        <v>https://influencermarketinghub.com/geo-agencies/</v>
      </c>
      <c r="C836" s="185" t="str">
        <f>IFERROR(__xludf.DUMMYFUNCTION("""COMPUTED_VALUE"""),"6 Best GEO Agencies Driving AI Search Visibility")</f>
        <v>6 Best GEO Agencies Driving AI Search Visibility</v>
      </c>
      <c r="D836" s="185" t="str">
        <f>IFERROR(__xludf.DUMMYFUNCTION("""COMPUTED_VALUE"""),"UK")</f>
        <v>UK</v>
      </c>
      <c r="E836" s="185" t="str">
        <f>IFERROR(__xludf.DUMMYFUNCTION("""COMPUTED_VALUE"""),"influencermarketinghub.com")</f>
        <v>influencermarketinghub.com</v>
      </c>
      <c r="F836" s="185" t="str">
        <f>IFERROR(__xludf.DUMMYFUNCTION("""COMPUTED_VALUE"""),"Listicle")</f>
        <v>Listicle</v>
      </c>
      <c r="G836" s="185" t="str">
        <f>IFERROR(__xludf.DUMMYFUNCTION("""COMPUTED_VALUE"""),"REFERENCE")</f>
        <v>REFERENCE</v>
      </c>
      <c r="H836" s="185" t="str">
        <f>IFERROR(__xludf.DUMMYFUNCTION("""COMPUTED_VALUE"""),"No")</f>
        <v>No</v>
      </c>
      <c r="I836" s="185" t="str">
        <f>IFERROR(__xludf.DUMMYFUNCTION("""COMPUTED_VALUE"""),"Medium")</f>
        <v>Medium</v>
      </c>
      <c r="J836" s="185" t="str">
        <f>IFERROR(__xludf.DUMMYFUNCTION("""COMPUTED_VALUE"""),"Yes")</f>
        <v>Yes</v>
      </c>
      <c r="K836" s="185" t="str">
        <f>IFERROR(__xludf.DUMMYFUNCTION("""COMPUTED_VALUE"""),"Bird Marketing, McKinsey &amp; Company, Directive Consulting")</f>
        <v>Bird Marketing, McKinsey &amp; Company, Directive Consulting</v>
      </c>
      <c r="L836" s="187">
        <f>IFERROR(__xludf.DUMMYFUNCTION("""COMPUTED_VALUE"""),1.0)</f>
        <v>1</v>
      </c>
      <c r="M836" s="188">
        <f>IFERROR(__xludf.DUMMYFUNCTION("""COMPUTED_VALUE"""),0.0)</f>
        <v>0</v>
      </c>
      <c r="N836" s="188">
        <f>IFERROR(__xludf.DUMMYFUNCTION("""COMPUTED_VALUE"""),3.0)</f>
        <v>3</v>
      </c>
      <c r="O836" s="208"/>
      <c r="P836" s="208"/>
      <c r="Q836" s="208"/>
      <c r="R836" s="208"/>
    </row>
    <row r="837">
      <c r="A837" s="185" t="str">
        <f>IFERROR(__xludf.DUMMYFUNCTION("""COMPUTED_VALUE"""),"Trade media / editorial publication")</f>
        <v>Trade media / editorial publication</v>
      </c>
      <c r="B837" s="186" t="str">
        <f>IFERROR(__xludf.DUMMYFUNCTION("""COMPUTED_VALUE"""),"https://influencermarketinghub.com/performance-marketing-agencies/")</f>
        <v>https://influencermarketinghub.com/performance-marketing-agencies/</v>
      </c>
      <c r="C837" s="185" t="str">
        <f>IFERROR(__xludf.DUMMYFUNCTION("""COMPUTED_VALUE"""),"Top 54 Performance Marketing Agencies to Boost Your ROI in 2026")</f>
        <v>Top 54 Performance Marketing Agencies to Boost Your ROI in 2026</v>
      </c>
      <c r="D837" s="185" t="str">
        <f>IFERROR(__xludf.DUMMYFUNCTION("""COMPUTED_VALUE"""),"UK")</f>
        <v>UK</v>
      </c>
      <c r="E837" s="185" t="str">
        <f>IFERROR(__xludf.DUMMYFUNCTION("""COMPUTED_VALUE"""),"influencermarketinghub.com")</f>
        <v>influencermarketinghub.com</v>
      </c>
      <c r="F837" s="185" t="str">
        <f>IFERROR(__xludf.DUMMYFUNCTION("""COMPUTED_VALUE"""),"Listicle")</f>
        <v>Listicle</v>
      </c>
      <c r="G837" s="185" t="str">
        <f>IFERROR(__xludf.DUMMYFUNCTION("""COMPUTED_VALUE"""),"REFERENCE")</f>
        <v>REFERENCE</v>
      </c>
      <c r="H837" s="185" t="str">
        <f>IFERROR(__xludf.DUMMYFUNCTION("""COMPUTED_VALUE"""),"Yes")</f>
        <v>Yes</v>
      </c>
      <c r="I837" s="185" t="str">
        <f>IFERROR(__xludf.DUMMYFUNCTION("""COMPUTED_VALUE"""),"Medium")</f>
        <v>Medium</v>
      </c>
      <c r="J837" s="185" t="str">
        <f>IFERROR(__xludf.DUMMYFUNCTION("""COMPUTED_VALUE"""),"Yes")</f>
        <v>Yes</v>
      </c>
      <c r="K837" s="185" t="str">
        <f>IFERROR(__xludf.DUMMYFUNCTION("""COMPUTED_VALUE"""),"McKinsey &amp; Company, Momentum, 9AM, Measured, WebFX, Ignite Visibility, Tinuiti, GroupM, Wpromote, Dept, Dentsu, iCrossing, Merkle, Power Digital, Croud, The Brains, Incubeta, NoGood, Disruptive Advertising, Directive Consulting")</f>
        <v>McKinsey &amp; Company, Momentum, 9AM, Measured, WebFX, Ignite Visibility, Tinuiti, GroupM, Wpromote, Dept, Dentsu, iCrossing, Merkle, Power Digital, Croud, The Brains, Incubeta, NoGood, Disruptive Advertising, Directive Consulting</v>
      </c>
      <c r="L837" s="187">
        <f>IFERROR(__xludf.DUMMYFUNCTION("""COMPUTED_VALUE"""),1.0)</f>
        <v>1</v>
      </c>
      <c r="M837" s="188">
        <f>IFERROR(__xludf.DUMMYFUNCTION("""COMPUTED_VALUE"""),0.0)</f>
        <v>0</v>
      </c>
      <c r="N837" s="188">
        <f>IFERROR(__xludf.DUMMYFUNCTION("""COMPUTED_VALUE"""),0.0)</f>
        <v>0</v>
      </c>
      <c r="O837" s="208"/>
      <c r="P837" s="208"/>
      <c r="Q837" s="208"/>
      <c r="R837" s="208"/>
    </row>
    <row r="838">
      <c r="A838" s="185" t="str">
        <f>IFERROR(__xludf.DUMMYFUNCTION("""COMPUTED_VALUE"""),"Official partner / certification ecosystem")</f>
        <v>Official partner / certification ecosystem</v>
      </c>
      <c r="B838" s="186" t="str">
        <f>IFERROR(__xludf.DUMMYFUNCTION("""COMPUTED_VALUE"""),"https://marketingplatform.google.com/about/partners/find-a-partner?category=206&amp;geo=united+kingdom&amp;q=&amp;region=EU")</f>
        <v>https://marketingplatform.google.com/about/partners/find-a-partner?category=206&amp;geo=united+kingdom&amp;q=&amp;region=EU</v>
      </c>
      <c r="C838" s="185"/>
      <c r="D838" s="185" t="str">
        <f>IFERROR(__xludf.DUMMYFUNCTION("""COMPUTED_VALUE"""),"UK")</f>
        <v>UK</v>
      </c>
      <c r="E838" s="185" t="str">
        <f>IFERROR(__xludf.DUMMYFUNCTION("""COMPUTED_VALUE"""),"google.com")</f>
        <v>google.com</v>
      </c>
      <c r="F838" s="185" t="str">
        <f>IFERROR(__xludf.DUMMYFUNCTION("""COMPUTED_VALUE"""),"Other")</f>
        <v>Other</v>
      </c>
      <c r="G838" s="185" t="str">
        <f>IFERROR(__xludf.DUMMYFUNCTION("""COMPUTED_VALUE"""),"OTHER")</f>
        <v>OTHER</v>
      </c>
      <c r="H838" s="185" t="str">
        <f>IFERROR(__xludf.DUMMYFUNCTION("""COMPUTED_VALUE"""),"No")</f>
        <v>No</v>
      </c>
      <c r="I838" s="185" t="str">
        <f>IFERROR(__xludf.DUMMYFUNCTION("""COMPUTED_VALUE"""),"High")</f>
        <v>High</v>
      </c>
      <c r="J838" s="185" t="str">
        <f>IFERROR(__xludf.DUMMYFUNCTION("""COMPUTED_VALUE"""),"Yes - priority")</f>
        <v>Yes - priority</v>
      </c>
      <c r="K838" s="185" t="str">
        <f>IFERROR(__xludf.DUMMYFUNCTION("""COMPUTED_VALUE"""),"Unknown")</f>
        <v>Unknown</v>
      </c>
      <c r="L838" s="187">
        <f>IFERROR(__xludf.DUMMYFUNCTION("""COMPUTED_VALUE"""),1.0)</f>
        <v>1</v>
      </c>
      <c r="M838" s="188">
        <f>IFERROR(__xludf.DUMMYFUNCTION("""COMPUTED_VALUE"""),0.0)</f>
        <v>0</v>
      </c>
      <c r="N838" s="188">
        <f>IFERROR(__xludf.DUMMYFUNCTION("""COMPUTED_VALUE"""),3.0)</f>
        <v>3</v>
      </c>
      <c r="O838" s="208"/>
      <c r="P838" s="208"/>
      <c r="Q838" s="208"/>
      <c r="R838" s="208"/>
    </row>
    <row r="839">
      <c r="A839" s="185" t="str">
        <f>IFERROR(__xludf.DUMMYFUNCTION("""COMPUTED_VALUE"""),"Industry association / institutional authority")</f>
        <v>Industry association / institutional authority</v>
      </c>
      <c r="B839" s="186" t="str">
        <f>IFERROR(__xludf.DUMMYFUNCTION("""COMPUTED_VALUE"""),"https://www.oneclub.org/awards/theoneshow/-agency/Droga5%20%5Bs%5D%20London/2025")</f>
        <v>https://www.oneclub.org/awards/theoneshow/-agency/Droga5%20%5Bs%5D%20London/2025</v>
      </c>
      <c r="C839" s="185"/>
      <c r="D839" s="185" t="str">
        <f>IFERROR(__xludf.DUMMYFUNCTION("""COMPUTED_VALUE"""),"UK")</f>
        <v>UK</v>
      </c>
      <c r="E839" s="185" t="str">
        <f>IFERROR(__xludf.DUMMYFUNCTION("""COMPUTED_VALUE"""),"oneclub.org")</f>
        <v>oneclub.org</v>
      </c>
      <c r="F839" s="185" t="str">
        <f>IFERROR(__xludf.DUMMYFUNCTION("""COMPUTED_VALUE"""),"Other")</f>
        <v>Other</v>
      </c>
      <c r="G839" s="185" t="str">
        <f>IFERROR(__xludf.DUMMYFUNCTION("""COMPUTED_VALUE"""),"OTHER")</f>
        <v>OTHER</v>
      </c>
      <c r="H839" s="185" t="str">
        <f>IFERROR(__xludf.DUMMYFUNCTION("""COMPUTED_VALUE"""),"No")</f>
        <v>No</v>
      </c>
      <c r="I839" s="185" t="str">
        <f>IFERROR(__xludf.DUMMYFUNCTION("""COMPUTED_VALUE"""),"High")</f>
        <v>High</v>
      </c>
      <c r="J839" s="185" t="str">
        <f>IFERROR(__xludf.DUMMYFUNCTION("""COMPUTED_VALUE"""),"Yes - priority")</f>
        <v>Yes - priority</v>
      </c>
      <c r="K839" s="185" t="str">
        <f>IFERROR(__xludf.DUMMYFUNCTION("""COMPUTED_VALUE"""),"Unknown")</f>
        <v>Unknown</v>
      </c>
      <c r="L839" s="187">
        <f>IFERROR(__xludf.DUMMYFUNCTION("""COMPUTED_VALUE"""),1.0)</f>
        <v>1</v>
      </c>
      <c r="M839" s="188">
        <f>IFERROR(__xludf.DUMMYFUNCTION("""COMPUTED_VALUE"""),0.0)</f>
        <v>0</v>
      </c>
      <c r="N839" s="188">
        <f>IFERROR(__xludf.DUMMYFUNCTION("""COMPUTED_VALUE"""),0.0)</f>
        <v>0</v>
      </c>
      <c r="O839" s="208"/>
      <c r="P839" s="208"/>
      <c r="Q839" s="208"/>
      <c r="R839" s="208"/>
    </row>
    <row r="840">
      <c r="A840" s="185" t="str">
        <f>IFERROR(__xludf.DUMMYFUNCTION("""COMPUTED_VALUE"""),"Lower-priority competitor/vendor roundup")</f>
        <v>Lower-priority competitor/vendor roundup</v>
      </c>
      <c r="B840" s="186" t="str">
        <f>IFERROR(__xludf.DUMMYFUNCTION("""COMPUTED_VALUE"""),"https://oski.site/blog/sales-and-marketing-analytics-companies-europe/#:~:text=Brainlabs%20focuses%20on%20scientific%20marketing,rely%20on%20modeling%20and%20testing.")</f>
        <v>https://oski.site/blog/sales-and-marketing-analytics-companies-europe/#:~:text=Brainlabs%20focuses%20on%20scientific%20marketing,rely%20on%20modeling%20and%20testing.</v>
      </c>
      <c r="C840" s="185" t="str">
        <f>IFERROR(__xludf.DUMMYFUNCTION("""COMPUTED_VALUE"""),"Top Sales and Marketing Analytics Companies in Europe")</f>
        <v>Top Sales and Marketing Analytics Companies in Europe</v>
      </c>
      <c r="D840" s="185" t="str">
        <f>IFERROR(__xludf.DUMMYFUNCTION("""COMPUTED_VALUE"""),"UK")</f>
        <v>UK</v>
      </c>
      <c r="E840" s="185" t="str">
        <f>IFERROR(__xludf.DUMMYFUNCTION("""COMPUTED_VALUE"""),"oski.site")</f>
        <v>oski.site</v>
      </c>
      <c r="F840" s="185" t="str">
        <f>IFERROR(__xludf.DUMMYFUNCTION("""COMPUTED_VALUE"""),"Listicle")</f>
        <v>Listicle</v>
      </c>
      <c r="G840" s="185" t="str">
        <f>IFERROR(__xludf.DUMMYFUNCTION("""COMPUTED_VALUE"""),"OTHER")</f>
        <v>OTHER</v>
      </c>
      <c r="H840" s="185" t="str">
        <f>IFERROR(__xludf.DUMMYFUNCTION("""COMPUTED_VALUE"""),"No")</f>
        <v>No</v>
      </c>
      <c r="I840" s="185" t="str">
        <f>IFERROR(__xludf.DUMMYFUNCTION("""COMPUTED_VALUE"""),"Low")</f>
        <v>Low</v>
      </c>
      <c r="J840" s="185" t="str">
        <f>IFERROR(__xludf.DUMMYFUNCTION("""COMPUTED_VALUE"""),"Secondary")</f>
        <v>Secondary</v>
      </c>
      <c r="K840" s="185" t="str">
        <f>IFERROR(__xludf.DUMMYFUNCTION("""COMPUTED_VALUE"""),"Oski Solutions, Push, Dept, Brainlabs, Croud, Impression, Artefact")</f>
        <v>Oski Solutions, Push, Dept, Brainlabs, Croud, Impression, Artefact</v>
      </c>
      <c r="L840" s="187">
        <f>IFERROR(__xludf.DUMMYFUNCTION("""COMPUTED_VALUE"""),1.0)</f>
        <v>1</v>
      </c>
      <c r="M840" s="188">
        <f>IFERROR(__xludf.DUMMYFUNCTION("""COMPUTED_VALUE"""),0.0)</f>
        <v>0</v>
      </c>
      <c r="N840" s="188">
        <f>IFERROR(__xludf.DUMMYFUNCTION("""COMPUTED_VALUE"""),2.0)</f>
        <v>2</v>
      </c>
      <c r="O840" s="208"/>
      <c r="P840" s="208"/>
      <c r="Q840" s="208"/>
      <c r="R840" s="208"/>
    </row>
    <row r="841">
      <c r="A841" s="185" t="str">
        <f>IFERROR(__xludf.DUMMYFUNCTION("""COMPUTED_VALUE"""),"Official partner / certification ecosystem")</f>
        <v>Official partner / certification ecosystem</v>
      </c>
      <c r="B841" s="186"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C841" s="185"/>
      <c r="D841" s="185" t="str">
        <f>IFERROR(__xludf.DUMMYFUNCTION("""COMPUTED_VALUE"""),"UK")</f>
        <v>UK</v>
      </c>
      <c r="E841" s="185" t="str">
        <f>IFERROR(__xludf.DUMMYFUNCTION("""COMPUTED_VALUE"""),"withgoogle.com")</f>
        <v>withgoogle.com</v>
      </c>
      <c r="F841" s="185" t="str">
        <f>IFERROR(__xludf.DUMMYFUNCTION("""COMPUTED_VALUE"""),"Other")</f>
        <v>Other</v>
      </c>
      <c r="G841" s="185" t="str">
        <f>IFERROR(__xludf.DUMMYFUNCTION("""COMPUTED_VALUE"""),"OTHER")</f>
        <v>OTHER</v>
      </c>
      <c r="H841" s="185" t="str">
        <f>IFERROR(__xludf.DUMMYFUNCTION("""COMPUTED_VALUE"""),"No")</f>
        <v>No</v>
      </c>
      <c r="I841" s="185" t="str">
        <f>IFERROR(__xludf.DUMMYFUNCTION("""COMPUTED_VALUE"""),"High")</f>
        <v>High</v>
      </c>
      <c r="J841" s="185" t="str">
        <f>IFERROR(__xludf.DUMMYFUNCTION("""COMPUTED_VALUE"""),"Yes - priority")</f>
        <v>Yes - priority</v>
      </c>
      <c r="K841" s="185" t="str">
        <f>IFERROR(__xludf.DUMMYFUNCTION("""COMPUTED_VALUE"""),"Unknown")</f>
        <v>Unknown</v>
      </c>
      <c r="L841" s="187">
        <f>IFERROR(__xludf.DUMMYFUNCTION("""COMPUTED_VALUE"""),1.0)</f>
        <v>1</v>
      </c>
      <c r="M841" s="188">
        <f>IFERROR(__xludf.DUMMYFUNCTION("""COMPUTED_VALUE"""),0.0)</f>
        <v>0</v>
      </c>
      <c r="N841" s="188">
        <f>IFERROR(__xludf.DUMMYFUNCTION("""COMPUTED_VALUE"""),0.0)</f>
        <v>0</v>
      </c>
      <c r="O841" s="208"/>
      <c r="P841" s="208"/>
      <c r="Q841" s="208"/>
      <c r="R841" s="208"/>
    </row>
    <row r="842">
      <c r="A842" s="185" t="str">
        <f>IFERROR(__xludf.DUMMYFUNCTION("""COMPUTED_VALUE"""),"Official partner / certification ecosystem")</f>
        <v>Official partner / certification ecosystem</v>
      </c>
      <c r="B842" s="186"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C842" s="185"/>
      <c r="D842" s="185" t="str">
        <f>IFERROR(__xludf.DUMMYFUNCTION("""COMPUTED_VALUE"""),"UK")</f>
        <v>UK</v>
      </c>
      <c r="E842" s="185" t="str">
        <f>IFERROR(__xludf.DUMMYFUNCTION("""COMPUTED_VALUE"""),"withgoogle.com")</f>
        <v>withgoogle.com</v>
      </c>
      <c r="F842" s="185" t="str">
        <f>IFERROR(__xludf.DUMMYFUNCTION("""COMPUTED_VALUE"""),"Other")</f>
        <v>Other</v>
      </c>
      <c r="G842" s="185" t="str">
        <f>IFERROR(__xludf.DUMMYFUNCTION("""COMPUTED_VALUE"""),"CORPORATE")</f>
        <v>CORPORATE</v>
      </c>
      <c r="H842" s="185" t="str">
        <f>IFERROR(__xludf.DUMMYFUNCTION("""COMPUTED_VALUE"""),"No")</f>
        <v>No</v>
      </c>
      <c r="I842" s="185" t="str">
        <f>IFERROR(__xludf.DUMMYFUNCTION("""COMPUTED_VALUE"""),"High")</f>
        <v>High</v>
      </c>
      <c r="J842" s="185" t="str">
        <f>IFERROR(__xludf.DUMMYFUNCTION("""COMPUTED_VALUE"""),"Yes - priority")</f>
        <v>Yes - priority</v>
      </c>
      <c r="K842" s="185" t="str">
        <f>IFERROR(__xludf.DUMMYFUNCTION("""COMPUTED_VALUE"""),"Unknown")</f>
        <v>Unknown</v>
      </c>
      <c r="L842" s="187">
        <f>IFERROR(__xludf.DUMMYFUNCTION("""COMPUTED_VALUE"""),1.0)</f>
        <v>1</v>
      </c>
      <c r="M842" s="188">
        <f>IFERROR(__xludf.DUMMYFUNCTION("""COMPUTED_VALUE"""),0.0)</f>
        <v>0</v>
      </c>
      <c r="N842" s="188">
        <f>IFERROR(__xludf.DUMMYFUNCTION("""COMPUTED_VALUE"""),0.0)</f>
        <v>0</v>
      </c>
      <c r="O842" s="208"/>
      <c r="P842" s="208"/>
      <c r="Q842" s="208"/>
      <c r="R842" s="208"/>
    </row>
    <row r="843">
      <c r="A843" s="185" t="str">
        <f>IFERROR(__xludf.DUMMYFUNCTION("""COMPUTED_VALUE"""),"Official partner / certification ecosystem")</f>
        <v>Official partner / certification ecosystem</v>
      </c>
      <c r="B843" s="186" t="str">
        <f>IFERROR(__xludf.DUMMYFUNCTION("""COMPUTED_VALUE"""),"https://partnersdirectory.withgoogle.com/?authuser=0&amp;gad_source=1&amp;mcsubid=gb-en-max-mc-pr-c-max%21o3&amp;premier=true&amp;subid=uk-en-awhp-g-aw-m-par-w-hero-bgc%21o2")</f>
        <v>https://partnersdirectory.withgoogle.com/?authuser=0&amp;gad_source=1&amp;mcsubid=gb-en-max-mc-pr-c-max%21o3&amp;premier=true&amp;subid=uk-en-awhp-g-aw-m-par-w-hero-bgc%21o2</v>
      </c>
      <c r="C843" s="185"/>
      <c r="D843" s="185" t="str">
        <f>IFERROR(__xludf.DUMMYFUNCTION("""COMPUTED_VALUE"""),"UK")</f>
        <v>UK</v>
      </c>
      <c r="E843" s="185" t="str">
        <f>IFERROR(__xludf.DUMMYFUNCTION("""COMPUTED_VALUE"""),"withgoogle.com")</f>
        <v>withgoogle.com</v>
      </c>
      <c r="F843" s="185" t="str">
        <f>IFERROR(__xludf.DUMMYFUNCTION("""COMPUTED_VALUE"""),"Other")</f>
        <v>Other</v>
      </c>
      <c r="G843" s="185" t="str">
        <f>IFERROR(__xludf.DUMMYFUNCTION("""COMPUTED_VALUE"""),"CORPORATE")</f>
        <v>CORPORATE</v>
      </c>
      <c r="H843" s="185" t="str">
        <f>IFERROR(__xludf.DUMMYFUNCTION("""COMPUTED_VALUE"""),"No")</f>
        <v>No</v>
      </c>
      <c r="I843" s="185" t="str">
        <f>IFERROR(__xludf.DUMMYFUNCTION("""COMPUTED_VALUE"""),"High")</f>
        <v>High</v>
      </c>
      <c r="J843" s="185" t="str">
        <f>IFERROR(__xludf.DUMMYFUNCTION("""COMPUTED_VALUE"""),"Yes - priority")</f>
        <v>Yes - priority</v>
      </c>
      <c r="K843" s="185" t="str">
        <f>IFERROR(__xludf.DUMMYFUNCTION("""COMPUTED_VALUE"""),"Unknown")</f>
        <v>Unknown</v>
      </c>
      <c r="L843" s="187">
        <f>IFERROR(__xludf.DUMMYFUNCTION("""COMPUTED_VALUE"""),1.0)</f>
        <v>1</v>
      </c>
      <c r="M843" s="188">
        <f>IFERROR(__xludf.DUMMYFUNCTION("""COMPUTED_VALUE"""),0.0)</f>
        <v>0</v>
      </c>
      <c r="N843" s="188">
        <f>IFERROR(__xludf.DUMMYFUNCTION("""COMPUTED_VALUE"""),0.0)</f>
        <v>0</v>
      </c>
      <c r="O843" s="208"/>
      <c r="P843" s="208"/>
      <c r="Q843" s="208"/>
      <c r="R843" s="208"/>
    </row>
    <row r="844">
      <c r="A844" s="185" t="str">
        <f>IFERROR(__xludf.DUMMYFUNCTION("""COMPUTED_VALUE"""),"Agency directory / review marketplace")</f>
        <v>Agency directory / review marketplace</v>
      </c>
      <c r="B844" s="186" t="str">
        <f>IFERROR(__xludf.DUMMYFUNCTION("""COMPUTED_VALUE"""),"https://www.sortlist.co.uk/advertising/england-england-gb")</f>
        <v>https://www.sortlist.co.uk/advertising/england-england-gb</v>
      </c>
      <c r="C844" s="185" t="str">
        <f>IFERROR(__xludf.DUMMYFUNCTION("""COMPUTED_VALUE"""),"The 10 Best Advertising Agencies in England - 2026 Reviews")</f>
        <v>The 10 Best Advertising Agencies in England - 2026 Reviews</v>
      </c>
      <c r="D844" s="185" t="str">
        <f>IFERROR(__xludf.DUMMYFUNCTION("""COMPUTED_VALUE"""),"UK")</f>
        <v>UK</v>
      </c>
      <c r="E844" s="185" t="str">
        <f>IFERROR(__xludf.DUMMYFUNCTION("""COMPUTED_VALUE"""),"sortlist.co.uk")</f>
        <v>sortlist.co.uk</v>
      </c>
      <c r="F844" s="185" t="str">
        <f>IFERROR(__xludf.DUMMYFUNCTION("""COMPUTED_VALUE"""),"Profile")</f>
        <v>Profile</v>
      </c>
      <c r="G844" s="185" t="str">
        <f>IFERROR(__xludf.DUMMYFUNCTION("""COMPUTED_VALUE"""),"REFERENCE")</f>
        <v>REFERENCE</v>
      </c>
      <c r="H844" s="185" t="str">
        <f>IFERROR(__xludf.DUMMYFUNCTION("""COMPUTED_VALUE"""),"No")</f>
        <v>No</v>
      </c>
      <c r="I844" s="185" t="str">
        <f>IFERROR(__xludf.DUMMYFUNCTION("""COMPUTED_VALUE"""),"Medium")</f>
        <v>Medium</v>
      </c>
      <c r="J844" s="185" t="str">
        <f>IFERROR(__xludf.DUMMYFUNCTION("""COMPUTED_VALUE"""),"Yes")</f>
        <v>Yes</v>
      </c>
      <c r="K844" s="185" t="str">
        <f>IFERROR(__xludf.DUMMYFUNCTION("""COMPUTED_VALUE"""),"Momentum, M3.agency, McKinsey &amp; Company, Ninja Promo")</f>
        <v>Momentum, M3.agency, McKinsey &amp; Company, Ninja Promo</v>
      </c>
      <c r="L844" s="187">
        <f>IFERROR(__xludf.DUMMYFUNCTION("""COMPUTED_VALUE"""),1.0)</f>
        <v>1</v>
      </c>
      <c r="M844" s="188">
        <f>IFERROR(__xludf.DUMMYFUNCTION("""COMPUTED_VALUE"""),0.0)</f>
        <v>0</v>
      </c>
      <c r="N844" s="188">
        <f>IFERROR(__xludf.DUMMYFUNCTION("""COMPUTED_VALUE"""),1.0)</f>
        <v>1</v>
      </c>
      <c r="O844" s="208"/>
      <c r="P844" s="208"/>
      <c r="Q844" s="208"/>
      <c r="R844" s="208"/>
    </row>
    <row r="845">
      <c r="A845" s="185" t="str">
        <f>IFERROR(__xludf.DUMMYFUNCTION("""COMPUTED_VALUE"""),"Agency directory / review marketplace")</f>
        <v>Agency directory / review marketplace</v>
      </c>
      <c r="B845" s="186" t="str">
        <f>IFERROR(__xludf.DUMMYFUNCTION("""COMPUTED_VALUE"""),"https://www.sortlist.co.uk/s/attribution-marketing/greater-london-england-gb")</f>
        <v>https://www.sortlist.co.uk/s/attribution-marketing/greater-london-england-gb</v>
      </c>
      <c r="C845" s="185" t="str">
        <f>IFERROR(__xludf.DUMMYFUNCTION("""COMPUTED_VALUE"""),"The 10 Best Attribution Marketing Agencies in Greater London - 2026 Reviews")</f>
        <v>The 10 Best Attribution Marketing Agencies in Greater London - 2026 Reviews</v>
      </c>
      <c r="D845" s="185" t="str">
        <f>IFERROR(__xludf.DUMMYFUNCTION("""COMPUTED_VALUE"""),"UK")</f>
        <v>UK</v>
      </c>
      <c r="E845" s="185" t="str">
        <f>IFERROR(__xludf.DUMMYFUNCTION("""COMPUTED_VALUE"""),"sortlist.co.uk")</f>
        <v>sortlist.co.uk</v>
      </c>
      <c r="F845" s="185" t="str">
        <f>IFERROR(__xludf.DUMMYFUNCTION("""COMPUTED_VALUE"""),"Category Page")</f>
        <v>Category Page</v>
      </c>
      <c r="G845" s="185" t="str">
        <f>IFERROR(__xludf.DUMMYFUNCTION("""COMPUTED_VALUE"""),"REFERENCE")</f>
        <v>REFERENCE</v>
      </c>
      <c r="H845" s="185" t="str">
        <f>IFERROR(__xludf.DUMMYFUNCTION("""COMPUTED_VALUE"""),"No")</f>
        <v>No</v>
      </c>
      <c r="I845" s="185" t="str">
        <f>IFERROR(__xludf.DUMMYFUNCTION("""COMPUTED_VALUE"""),"Medium")</f>
        <v>Medium</v>
      </c>
      <c r="J845" s="185" t="str">
        <f>IFERROR(__xludf.DUMMYFUNCTION("""COMPUTED_VALUE"""),"Yes")</f>
        <v>Yes</v>
      </c>
      <c r="K845" s="185" t="str">
        <f>IFERROR(__xludf.DUMMYFUNCTION("""COMPUTED_VALUE"""),"GA Agency")</f>
        <v>GA Agency</v>
      </c>
      <c r="L845" s="187">
        <f>IFERROR(__xludf.DUMMYFUNCTION("""COMPUTED_VALUE"""),1.0)</f>
        <v>1</v>
      </c>
      <c r="M845" s="188">
        <f>IFERROR(__xludf.DUMMYFUNCTION("""COMPUTED_VALUE"""),0.0)</f>
        <v>0</v>
      </c>
      <c r="N845" s="188">
        <f>IFERROR(__xludf.DUMMYFUNCTION("""COMPUTED_VALUE"""),0.0)</f>
        <v>0</v>
      </c>
      <c r="O845" s="208"/>
      <c r="P845" s="208"/>
      <c r="Q845" s="208"/>
      <c r="R845" s="208"/>
    </row>
    <row r="846">
      <c r="A846" s="185" t="str">
        <f>IFERROR(__xludf.DUMMYFUNCTION("""COMPUTED_VALUE"""),"Agency directory / review marketplace")</f>
        <v>Agency directory / review marketplace</v>
      </c>
      <c r="B846" s="186" t="str">
        <f>IFERROR(__xludf.DUMMYFUNCTION("""COMPUTED_VALUE"""),"https://www.sortlist.co.uk/s/creative/united-kingdom-gb?custom=creative")</f>
        <v>https://www.sortlist.co.uk/s/creative/united-kingdom-gb?custom=creative</v>
      </c>
      <c r="C846" s="185" t="str">
        <f>IFERROR(__xludf.DUMMYFUNCTION("""COMPUTED_VALUE"""),"The 10 Best Creative Agencies in The United Kingdom - 2026 Reviews")</f>
        <v>The 10 Best Creative Agencies in The United Kingdom - 2026 Reviews</v>
      </c>
      <c r="D846" s="185" t="str">
        <f>IFERROR(__xludf.DUMMYFUNCTION("""COMPUTED_VALUE"""),"UK")</f>
        <v>UK</v>
      </c>
      <c r="E846" s="185" t="str">
        <f>IFERROR(__xludf.DUMMYFUNCTION("""COMPUTED_VALUE"""),"sortlist.co.uk")</f>
        <v>sortlist.co.uk</v>
      </c>
      <c r="F846" s="185" t="str">
        <f>IFERROR(__xludf.DUMMYFUNCTION("""COMPUTED_VALUE"""),"Category Page")</f>
        <v>Category Page</v>
      </c>
      <c r="G846" s="185" t="str">
        <f>IFERROR(__xludf.DUMMYFUNCTION("""COMPUTED_VALUE"""),"REFERENCE")</f>
        <v>REFERENCE</v>
      </c>
      <c r="H846" s="185" t="str">
        <f>IFERROR(__xludf.DUMMYFUNCTION("""COMPUTED_VALUE"""),"No")</f>
        <v>No</v>
      </c>
      <c r="I846" s="185" t="str">
        <f>IFERROR(__xludf.DUMMYFUNCTION("""COMPUTED_VALUE"""),"Medium")</f>
        <v>Medium</v>
      </c>
      <c r="J846" s="185" t="str">
        <f>IFERROR(__xludf.DUMMYFUNCTION("""COMPUTED_VALUE"""),"Yes")</f>
        <v>Yes</v>
      </c>
      <c r="K846" s="185" t="str">
        <f>IFERROR(__xludf.DUMMYFUNCTION("""COMPUTED_VALUE"""),"Ninja Promo, Whitehat, Momentum")</f>
        <v>Ninja Promo, Whitehat, Momentum</v>
      </c>
      <c r="L846" s="187">
        <f>IFERROR(__xludf.DUMMYFUNCTION("""COMPUTED_VALUE"""),1.0)</f>
        <v>1</v>
      </c>
      <c r="M846" s="188">
        <f>IFERROR(__xludf.DUMMYFUNCTION("""COMPUTED_VALUE"""),0.0)</f>
        <v>0</v>
      </c>
      <c r="N846" s="188">
        <f>IFERROR(__xludf.DUMMYFUNCTION("""COMPUTED_VALUE"""),0.0)</f>
        <v>0</v>
      </c>
      <c r="O846" s="208"/>
      <c r="P846" s="208"/>
      <c r="Q846" s="208"/>
      <c r="R846" s="208"/>
    </row>
    <row r="847">
      <c r="A847" s="185" t="str">
        <f>IFERROR(__xludf.DUMMYFUNCTION("""COMPUTED_VALUE"""),"Agency directory / review marketplace")</f>
        <v>Agency directory / review marketplace</v>
      </c>
      <c r="B847" s="186" t="str">
        <f>IFERROR(__xludf.DUMMYFUNCTION("""COMPUTED_VALUE"""),"https://www.sortlist.co.uk/s/display-advertising/birmingham-england-gb")</f>
        <v>https://www.sortlist.co.uk/s/display-advertising/birmingham-england-gb</v>
      </c>
      <c r="C847" s="185" t="str">
        <f>IFERROR(__xludf.DUMMYFUNCTION("""COMPUTED_VALUE"""),"The 10 Best Display Advertising Agencies in Birmingham - 2026 Reviews")</f>
        <v>The 10 Best Display Advertising Agencies in Birmingham - 2026 Reviews</v>
      </c>
      <c r="D847" s="185" t="str">
        <f>IFERROR(__xludf.DUMMYFUNCTION("""COMPUTED_VALUE"""),"UK")</f>
        <v>UK</v>
      </c>
      <c r="E847" s="185" t="str">
        <f>IFERROR(__xludf.DUMMYFUNCTION("""COMPUTED_VALUE"""),"sortlist.co.uk")</f>
        <v>sortlist.co.uk</v>
      </c>
      <c r="F847" s="185" t="str">
        <f>IFERROR(__xludf.DUMMYFUNCTION("""COMPUTED_VALUE"""),"Category Page")</f>
        <v>Category Page</v>
      </c>
      <c r="G847" s="185" t="str">
        <f>IFERROR(__xludf.DUMMYFUNCTION("""COMPUTED_VALUE"""),"REFERENCE")</f>
        <v>REFERENCE</v>
      </c>
      <c r="H847" s="185" t="str">
        <f>IFERROR(__xludf.DUMMYFUNCTION("""COMPUTED_VALUE"""),"No")</f>
        <v>No</v>
      </c>
      <c r="I847" s="185" t="str">
        <f>IFERROR(__xludf.DUMMYFUNCTION("""COMPUTED_VALUE"""),"Medium")</f>
        <v>Medium</v>
      </c>
      <c r="J847" s="185" t="str">
        <f>IFERROR(__xludf.DUMMYFUNCTION("""COMPUTED_VALUE"""),"Yes")</f>
        <v>Yes</v>
      </c>
      <c r="K847" s="185" t="str">
        <f>IFERROR(__xludf.DUMMYFUNCTION("""COMPUTED_VALUE"""),"Push, Triple Whale, Northbeam, Momentum, M3.agency, Ninja Promo")</f>
        <v>Push, Triple Whale, Northbeam, Momentum, M3.agency, Ninja Promo</v>
      </c>
      <c r="L847" s="187">
        <f>IFERROR(__xludf.DUMMYFUNCTION("""COMPUTED_VALUE"""),1.0)</f>
        <v>1</v>
      </c>
      <c r="M847" s="188">
        <f>IFERROR(__xludf.DUMMYFUNCTION("""COMPUTED_VALUE"""),0.0)</f>
        <v>0</v>
      </c>
      <c r="N847" s="188">
        <f>IFERROR(__xludf.DUMMYFUNCTION("""COMPUTED_VALUE"""),0.0)</f>
        <v>0</v>
      </c>
      <c r="O847" s="208"/>
      <c r="P847" s="208"/>
      <c r="Q847" s="208"/>
      <c r="R847" s="208"/>
    </row>
    <row r="848">
      <c r="A848" s="185" t="str">
        <f>IFERROR(__xludf.DUMMYFUNCTION("""COMPUTED_VALUE"""),"Agency directory / review marketplace")</f>
        <v>Agency directory / review marketplace</v>
      </c>
      <c r="B848" s="186" t="str">
        <f>IFERROR(__xludf.DUMMYFUNCTION("""COMPUTED_VALUE"""),"https://www.sortlist.co.uk/s/display-advertising/greater-london-england-gb")</f>
        <v>https://www.sortlist.co.uk/s/display-advertising/greater-london-england-gb</v>
      </c>
      <c r="C848" s="185" t="str">
        <f>IFERROR(__xludf.DUMMYFUNCTION("""COMPUTED_VALUE"""),"The 10 Best Display Advertising Agencies in Greater London - 2026 Reviews")</f>
        <v>The 10 Best Display Advertising Agencies in Greater London - 2026 Reviews</v>
      </c>
      <c r="D848" s="185" t="str">
        <f>IFERROR(__xludf.DUMMYFUNCTION("""COMPUTED_VALUE"""),"UK")</f>
        <v>UK</v>
      </c>
      <c r="E848" s="185" t="str">
        <f>IFERROR(__xludf.DUMMYFUNCTION("""COMPUTED_VALUE"""),"sortlist.co.uk")</f>
        <v>sortlist.co.uk</v>
      </c>
      <c r="F848" s="185" t="str">
        <f>IFERROR(__xludf.DUMMYFUNCTION("""COMPUTED_VALUE"""),"Category Page")</f>
        <v>Category Page</v>
      </c>
      <c r="G848" s="185" t="str">
        <f>IFERROR(__xludf.DUMMYFUNCTION("""COMPUTED_VALUE"""),"REFERENCE")</f>
        <v>REFERENCE</v>
      </c>
      <c r="H848" s="185" t="str">
        <f>IFERROR(__xludf.DUMMYFUNCTION("""COMPUTED_VALUE"""),"No")</f>
        <v>No</v>
      </c>
      <c r="I848" s="185" t="str">
        <f>IFERROR(__xludf.DUMMYFUNCTION("""COMPUTED_VALUE"""),"Medium")</f>
        <v>Medium</v>
      </c>
      <c r="J848" s="185" t="str">
        <f>IFERROR(__xludf.DUMMYFUNCTION("""COMPUTED_VALUE"""),"Yes")</f>
        <v>Yes</v>
      </c>
      <c r="K848" s="185" t="str">
        <f>IFERROR(__xludf.DUMMYFUNCTION("""COMPUTED_VALUE"""),"Push, Triple Whale, Northbeam, Ninja Promo, Momentum, M3.agency")</f>
        <v>Push, Triple Whale, Northbeam, Ninja Promo, Momentum, M3.agency</v>
      </c>
      <c r="L848" s="187">
        <f>IFERROR(__xludf.DUMMYFUNCTION("""COMPUTED_VALUE"""),1.0)</f>
        <v>1</v>
      </c>
      <c r="M848" s="188">
        <f>IFERROR(__xludf.DUMMYFUNCTION("""COMPUTED_VALUE"""),0.0)</f>
        <v>0</v>
      </c>
      <c r="N848" s="188">
        <f>IFERROR(__xludf.DUMMYFUNCTION("""COMPUTED_VALUE"""),0.0)</f>
        <v>0</v>
      </c>
      <c r="O848" s="208"/>
      <c r="P848" s="208"/>
      <c r="Q848" s="208"/>
      <c r="R848" s="208"/>
    </row>
    <row r="849">
      <c r="A849" s="185" t="str">
        <f>IFERROR(__xludf.DUMMYFUNCTION("""COMPUTED_VALUE"""),"Agency directory / review marketplace")</f>
        <v>Agency directory / review marketplace</v>
      </c>
      <c r="B849" s="186" t="str">
        <f>IFERROR(__xludf.DUMMYFUNCTION("""COMPUTED_VALUE"""),"https://www.sortlist.co.uk/s/display-advertising/luton-england-gb")</f>
        <v>https://www.sortlist.co.uk/s/display-advertising/luton-england-gb</v>
      </c>
      <c r="C849" s="185" t="str">
        <f>IFERROR(__xludf.DUMMYFUNCTION("""COMPUTED_VALUE"""),"The 10 Best Display Advertising Agencies in Luton - 2026 Reviews")</f>
        <v>The 10 Best Display Advertising Agencies in Luton - 2026 Reviews</v>
      </c>
      <c r="D849" s="185" t="str">
        <f>IFERROR(__xludf.DUMMYFUNCTION("""COMPUTED_VALUE"""),"UK")</f>
        <v>UK</v>
      </c>
      <c r="E849" s="185" t="str">
        <f>IFERROR(__xludf.DUMMYFUNCTION("""COMPUTED_VALUE"""),"sortlist.co.uk")</f>
        <v>sortlist.co.uk</v>
      </c>
      <c r="F849" s="185" t="str">
        <f>IFERROR(__xludf.DUMMYFUNCTION("""COMPUTED_VALUE"""),"Category Page")</f>
        <v>Category Page</v>
      </c>
      <c r="G849" s="185" t="str">
        <f>IFERROR(__xludf.DUMMYFUNCTION("""COMPUTED_VALUE"""),"REFERENCE")</f>
        <v>REFERENCE</v>
      </c>
      <c r="H849" s="185" t="str">
        <f>IFERROR(__xludf.DUMMYFUNCTION("""COMPUTED_VALUE"""),"No")</f>
        <v>No</v>
      </c>
      <c r="I849" s="185" t="str">
        <f>IFERROR(__xludf.DUMMYFUNCTION("""COMPUTED_VALUE"""),"Medium")</f>
        <v>Medium</v>
      </c>
      <c r="J849" s="185" t="str">
        <f>IFERROR(__xludf.DUMMYFUNCTION("""COMPUTED_VALUE"""),"Yes")</f>
        <v>Yes</v>
      </c>
      <c r="K849" s="185" t="str">
        <f>IFERROR(__xludf.DUMMYFUNCTION("""COMPUTED_VALUE"""),"Push, Triple Whale, Northbeam, Found, Ninja Promo")</f>
        <v>Push, Triple Whale, Northbeam, Found, Ninja Promo</v>
      </c>
      <c r="L849" s="187">
        <f>IFERROR(__xludf.DUMMYFUNCTION("""COMPUTED_VALUE"""),1.0)</f>
        <v>1</v>
      </c>
      <c r="M849" s="188">
        <f>IFERROR(__xludf.DUMMYFUNCTION("""COMPUTED_VALUE"""),0.0)</f>
        <v>0</v>
      </c>
      <c r="N849" s="188">
        <f>IFERROR(__xludf.DUMMYFUNCTION("""COMPUTED_VALUE"""),0.0)</f>
        <v>0</v>
      </c>
      <c r="O849" s="208"/>
      <c r="P849" s="208"/>
      <c r="Q849" s="208"/>
      <c r="R849" s="208"/>
    </row>
    <row r="850">
      <c r="A850" s="185" t="str">
        <f>IFERROR(__xludf.DUMMYFUNCTION("""COMPUTED_VALUE"""),"Agency directory / review marketplace")</f>
        <v>Agency directory / review marketplace</v>
      </c>
      <c r="B850" s="186" t="str">
        <f>IFERROR(__xludf.DUMMYFUNCTION("""COMPUTED_VALUE"""),"https://www.sortlist.co.uk/s/display-advertising/manchester-england-gb")</f>
        <v>https://www.sortlist.co.uk/s/display-advertising/manchester-england-gb</v>
      </c>
      <c r="C850" s="185" t="str">
        <f>IFERROR(__xludf.DUMMYFUNCTION("""COMPUTED_VALUE"""),"The 10 Best Display Advertising Agencies in Manchester - 2026 Reviews")</f>
        <v>The 10 Best Display Advertising Agencies in Manchester - 2026 Reviews</v>
      </c>
      <c r="D850" s="185" t="str">
        <f>IFERROR(__xludf.DUMMYFUNCTION("""COMPUTED_VALUE"""),"UK")</f>
        <v>UK</v>
      </c>
      <c r="E850" s="185" t="str">
        <f>IFERROR(__xludf.DUMMYFUNCTION("""COMPUTED_VALUE"""),"sortlist.co.uk")</f>
        <v>sortlist.co.uk</v>
      </c>
      <c r="F850" s="185" t="str">
        <f>IFERROR(__xludf.DUMMYFUNCTION("""COMPUTED_VALUE"""),"Category Page")</f>
        <v>Category Page</v>
      </c>
      <c r="G850" s="185" t="str">
        <f>IFERROR(__xludf.DUMMYFUNCTION("""COMPUTED_VALUE"""),"REFERENCE")</f>
        <v>REFERENCE</v>
      </c>
      <c r="H850" s="185" t="str">
        <f>IFERROR(__xludf.DUMMYFUNCTION("""COMPUTED_VALUE"""),"No")</f>
        <v>No</v>
      </c>
      <c r="I850" s="185" t="str">
        <f>IFERROR(__xludf.DUMMYFUNCTION("""COMPUTED_VALUE"""),"Medium")</f>
        <v>Medium</v>
      </c>
      <c r="J850" s="185" t="str">
        <f>IFERROR(__xludf.DUMMYFUNCTION("""COMPUTED_VALUE"""),"Yes")</f>
        <v>Yes</v>
      </c>
      <c r="K850" s="185" t="str">
        <f>IFERROR(__xludf.DUMMYFUNCTION("""COMPUTED_VALUE"""),"Push, Triple Whale, Northbeam, Ninja Promo")</f>
        <v>Push, Triple Whale, Northbeam, Ninja Promo</v>
      </c>
      <c r="L850" s="187">
        <f>IFERROR(__xludf.DUMMYFUNCTION("""COMPUTED_VALUE"""),1.0)</f>
        <v>1</v>
      </c>
      <c r="M850" s="188">
        <f>IFERROR(__xludf.DUMMYFUNCTION("""COMPUTED_VALUE"""),0.0)</f>
        <v>0</v>
      </c>
      <c r="N850" s="188">
        <f>IFERROR(__xludf.DUMMYFUNCTION("""COMPUTED_VALUE"""),0.0)</f>
        <v>0</v>
      </c>
      <c r="O850" s="208"/>
      <c r="P850" s="208"/>
      <c r="Q850" s="208"/>
      <c r="R850" s="208"/>
    </row>
    <row r="851">
      <c r="A851" s="185" t="str">
        <f>IFERROR(__xludf.DUMMYFUNCTION("""COMPUTED_VALUE"""),"Agency directory / review marketplace")</f>
        <v>Agency directory / review marketplace</v>
      </c>
      <c r="B851" s="186" t="str">
        <f>IFERROR(__xludf.DUMMYFUNCTION("""COMPUTED_VALUE"""),"https://www.sortlist.co.uk/s/google-ads/united-kingdom-gb")</f>
        <v>https://www.sortlist.co.uk/s/google-ads/united-kingdom-gb</v>
      </c>
      <c r="C851" s="185" t="str">
        <f>IFERROR(__xludf.DUMMYFUNCTION("""COMPUTED_VALUE"""),"The 10 Best Google Ads Agencies in The United Kingdom - 2026 Reviews")</f>
        <v>The 10 Best Google Ads Agencies in The United Kingdom - 2026 Reviews</v>
      </c>
      <c r="D851" s="185" t="str">
        <f>IFERROR(__xludf.DUMMYFUNCTION("""COMPUTED_VALUE"""),"UK")</f>
        <v>UK</v>
      </c>
      <c r="E851" s="185" t="str">
        <f>IFERROR(__xludf.DUMMYFUNCTION("""COMPUTED_VALUE"""),"sortlist.co.uk")</f>
        <v>sortlist.co.uk</v>
      </c>
      <c r="F851" s="185" t="str">
        <f>IFERROR(__xludf.DUMMYFUNCTION("""COMPUTED_VALUE"""),"Listicle")</f>
        <v>Listicle</v>
      </c>
      <c r="G851" s="185" t="str">
        <f>IFERROR(__xludf.DUMMYFUNCTION("""COMPUTED_VALUE"""),"REFERENCE")</f>
        <v>REFERENCE</v>
      </c>
      <c r="H851" s="185" t="str">
        <f>IFERROR(__xludf.DUMMYFUNCTION("""COMPUTED_VALUE"""),"No")</f>
        <v>No</v>
      </c>
      <c r="I851" s="185" t="str">
        <f>IFERROR(__xludf.DUMMYFUNCTION("""COMPUTED_VALUE"""),"Medium")</f>
        <v>Medium</v>
      </c>
      <c r="J851" s="185" t="str">
        <f>IFERROR(__xludf.DUMMYFUNCTION("""COMPUTED_VALUE"""),"Yes")</f>
        <v>Yes</v>
      </c>
      <c r="K851" s="185" t="str">
        <f>IFERROR(__xludf.DUMMYFUNCTION("""COMPUTED_VALUE"""),"Push, Triple Whale, Northbeam, Found, Ninja Promo")</f>
        <v>Push, Triple Whale, Northbeam, Found, Ninja Promo</v>
      </c>
      <c r="L851" s="187">
        <f>IFERROR(__xludf.DUMMYFUNCTION("""COMPUTED_VALUE"""),1.0)</f>
        <v>1</v>
      </c>
      <c r="M851" s="188">
        <f>IFERROR(__xludf.DUMMYFUNCTION("""COMPUTED_VALUE"""),0.0)</f>
        <v>0</v>
      </c>
      <c r="N851" s="188">
        <f>IFERROR(__xludf.DUMMYFUNCTION("""COMPUTED_VALUE"""),1.0)</f>
        <v>1</v>
      </c>
      <c r="O851" s="208"/>
      <c r="P851" s="208"/>
      <c r="Q851" s="208"/>
      <c r="R851" s="208"/>
    </row>
    <row r="852">
      <c r="A852" s="185" t="str">
        <f>IFERROR(__xludf.DUMMYFUNCTION("""COMPUTED_VALUE"""),"Agency directory / review marketplace")</f>
        <v>Agency directory / review marketplace</v>
      </c>
      <c r="B852" s="186" t="str">
        <f>IFERROR(__xludf.DUMMYFUNCTION("""COMPUTED_VALUE"""),"https://www.sortlist.co.uk/s/international-branding/united-kingdom-gb")</f>
        <v>https://www.sortlist.co.uk/s/international-branding/united-kingdom-gb</v>
      </c>
      <c r="C852" s="185" t="str">
        <f>IFERROR(__xludf.DUMMYFUNCTION("""COMPUTED_VALUE"""),"The 10 Best International Branding Agencies in The United Kingdom - 2026 Reviews")</f>
        <v>The 10 Best International Branding Agencies in The United Kingdom - 2026 Reviews</v>
      </c>
      <c r="D852" s="185" t="str">
        <f>IFERROR(__xludf.DUMMYFUNCTION("""COMPUTED_VALUE"""),"UK")</f>
        <v>UK</v>
      </c>
      <c r="E852" s="185" t="str">
        <f>IFERROR(__xludf.DUMMYFUNCTION("""COMPUTED_VALUE"""),"sortlist.co.uk")</f>
        <v>sortlist.co.uk</v>
      </c>
      <c r="F852" s="185" t="str">
        <f>IFERROR(__xludf.DUMMYFUNCTION("""COMPUTED_VALUE"""),"Category Page")</f>
        <v>Category Page</v>
      </c>
      <c r="G852" s="185" t="str">
        <f>IFERROR(__xludf.DUMMYFUNCTION("""COMPUTED_VALUE"""),"REFERENCE")</f>
        <v>REFERENCE</v>
      </c>
      <c r="H852" s="185" t="str">
        <f>IFERROR(__xludf.DUMMYFUNCTION("""COMPUTED_VALUE"""),"No")</f>
        <v>No</v>
      </c>
      <c r="I852" s="185" t="str">
        <f>IFERROR(__xludf.DUMMYFUNCTION("""COMPUTED_VALUE"""),"Medium")</f>
        <v>Medium</v>
      </c>
      <c r="J852" s="185" t="str">
        <f>IFERROR(__xludf.DUMMYFUNCTION("""COMPUTED_VALUE"""),"Yes")</f>
        <v>Yes</v>
      </c>
      <c r="K852" s="185" t="str">
        <f>IFERROR(__xludf.DUMMYFUNCTION("""COMPUTED_VALUE"""),"Momentum, M3.agency")</f>
        <v>Momentum, M3.agency</v>
      </c>
      <c r="L852" s="187">
        <f>IFERROR(__xludf.DUMMYFUNCTION("""COMPUTED_VALUE"""),1.0)</f>
        <v>1</v>
      </c>
      <c r="M852" s="188">
        <f>IFERROR(__xludf.DUMMYFUNCTION("""COMPUTED_VALUE"""),0.0)</f>
        <v>0</v>
      </c>
      <c r="N852" s="188">
        <f>IFERROR(__xludf.DUMMYFUNCTION("""COMPUTED_VALUE"""),0.0)</f>
        <v>0</v>
      </c>
      <c r="O852" s="208"/>
      <c r="P852" s="208"/>
      <c r="Q852" s="208"/>
      <c r="R852" s="208"/>
    </row>
    <row r="853">
      <c r="A853" s="185" t="str">
        <f>IFERROR(__xludf.DUMMYFUNCTION("""COMPUTED_VALUE"""),"Agency directory / review marketplace")</f>
        <v>Agency directory / review marketplace</v>
      </c>
      <c r="B853" s="186" t="str">
        <f>IFERROR(__xludf.DUMMYFUNCTION("""COMPUTED_VALUE"""),"https://www.sortlist.co.uk/s/paid-media/united-kingdom-gb?page=4")</f>
        <v>https://www.sortlist.co.uk/s/paid-media/united-kingdom-gb?page=4</v>
      </c>
      <c r="C853" s="185"/>
      <c r="D853" s="185" t="str">
        <f>IFERROR(__xludf.DUMMYFUNCTION("""COMPUTED_VALUE"""),"UK")</f>
        <v>UK</v>
      </c>
      <c r="E853" s="185" t="str">
        <f>IFERROR(__xludf.DUMMYFUNCTION("""COMPUTED_VALUE"""),"sortlist.co.uk")</f>
        <v>sortlist.co.uk</v>
      </c>
      <c r="F853" s="185" t="str">
        <f>IFERROR(__xludf.DUMMYFUNCTION("""COMPUTED_VALUE"""),"Other")</f>
        <v>Other</v>
      </c>
      <c r="G853" s="185" t="str">
        <f>IFERROR(__xludf.DUMMYFUNCTION("""COMPUTED_VALUE"""),"OTHER")</f>
        <v>OTHER</v>
      </c>
      <c r="H853" s="185" t="str">
        <f>IFERROR(__xludf.DUMMYFUNCTION("""COMPUTED_VALUE"""),"No")</f>
        <v>No</v>
      </c>
      <c r="I853" s="185" t="str">
        <f>IFERROR(__xludf.DUMMYFUNCTION("""COMPUTED_VALUE"""),"Medium")</f>
        <v>Medium</v>
      </c>
      <c r="J853" s="185" t="str">
        <f>IFERROR(__xludf.DUMMYFUNCTION("""COMPUTED_VALUE"""),"Yes")</f>
        <v>Yes</v>
      </c>
      <c r="K853" s="185" t="str">
        <f>IFERROR(__xludf.DUMMYFUNCTION("""COMPUTED_VALUE"""),"Unknown")</f>
        <v>Unknown</v>
      </c>
      <c r="L853" s="187">
        <f>IFERROR(__xludf.DUMMYFUNCTION("""COMPUTED_VALUE"""),1.0)</f>
        <v>1</v>
      </c>
      <c r="M853" s="188">
        <f>IFERROR(__xludf.DUMMYFUNCTION("""COMPUTED_VALUE"""),0.0)</f>
        <v>0</v>
      </c>
      <c r="N853" s="188">
        <f>IFERROR(__xludf.DUMMYFUNCTION("""COMPUTED_VALUE"""),0.0)</f>
        <v>0</v>
      </c>
      <c r="O853" s="208"/>
      <c r="P853" s="208"/>
      <c r="Q853" s="208"/>
      <c r="R853" s="208"/>
    </row>
    <row r="854">
      <c r="A854" s="185" t="str">
        <f>IFERROR(__xludf.DUMMYFUNCTION("""COMPUTED_VALUE"""),"Agency directory / review marketplace")</f>
        <v>Agency directory / review marketplace</v>
      </c>
      <c r="B854" s="186" t="str">
        <f>IFERROR(__xludf.DUMMYFUNCTION("""COMPUTED_VALUE"""),"https://www.sortlist.co.uk/s/performance-marketing/greater-london-england-gb")</f>
        <v>https://www.sortlist.co.uk/s/performance-marketing/greater-london-england-gb</v>
      </c>
      <c r="C854" s="185" t="str">
        <f>IFERROR(__xludf.DUMMYFUNCTION("""COMPUTED_VALUE"""),"The 10 Best Performance Marketing Agencies in Greater London - 2026 Reviews")</f>
        <v>The 10 Best Performance Marketing Agencies in Greater London - 2026 Reviews</v>
      </c>
      <c r="D854" s="185" t="str">
        <f>IFERROR(__xludf.DUMMYFUNCTION("""COMPUTED_VALUE"""),"UK")</f>
        <v>UK</v>
      </c>
      <c r="E854" s="185" t="str">
        <f>IFERROR(__xludf.DUMMYFUNCTION("""COMPUTED_VALUE"""),"sortlist.co.uk")</f>
        <v>sortlist.co.uk</v>
      </c>
      <c r="F854" s="185" t="str">
        <f>IFERROR(__xludf.DUMMYFUNCTION("""COMPUTED_VALUE"""),"Category Page")</f>
        <v>Category Page</v>
      </c>
      <c r="G854" s="185" t="str">
        <f>IFERROR(__xludf.DUMMYFUNCTION("""COMPUTED_VALUE"""),"REFERENCE")</f>
        <v>REFERENCE</v>
      </c>
      <c r="H854" s="185" t="str">
        <f>IFERROR(__xludf.DUMMYFUNCTION("""COMPUTED_VALUE"""),"No")</f>
        <v>No</v>
      </c>
      <c r="I854" s="185" t="str">
        <f>IFERROR(__xludf.DUMMYFUNCTION("""COMPUTED_VALUE"""),"Medium")</f>
        <v>Medium</v>
      </c>
      <c r="J854" s="185" t="str">
        <f>IFERROR(__xludf.DUMMYFUNCTION("""COMPUTED_VALUE"""),"Yes")</f>
        <v>Yes</v>
      </c>
      <c r="K854" s="185" t="str">
        <f>IFERROR(__xludf.DUMMYFUNCTION("""COMPUTED_VALUE"""),"Push, Triple Whale, Northbeam, McKinsey &amp; Company, Momentum, M3.agency, Whitehat")</f>
        <v>Push, Triple Whale, Northbeam, McKinsey &amp; Company, Momentum, M3.agency, Whitehat</v>
      </c>
      <c r="L854" s="187">
        <f>IFERROR(__xludf.DUMMYFUNCTION("""COMPUTED_VALUE"""),1.0)</f>
        <v>1</v>
      </c>
      <c r="M854" s="188">
        <f>IFERROR(__xludf.DUMMYFUNCTION("""COMPUTED_VALUE"""),0.0)</f>
        <v>0</v>
      </c>
      <c r="N854" s="188">
        <f>IFERROR(__xludf.DUMMYFUNCTION("""COMPUTED_VALUE"""),0.0)</f>
        <v>0</v>
      </c>
      <c r="O854" s="208"/>
      <c r="P854" s="208"/>
      <c r="Q854" s="208"/>
      <c r="R854" s="208"/>
    </row>
    <row r="855">
      <c r="A855" s="185" t="str">
        <f>IFERROR(__xludf.DUMMYFUNCTION("""COMPUTED_VALUE"""),"Agency directory / review marketplace")</f>
        <v>Agency directory / review marketplace</v>
      </c>
      <c r="B855" s="186" t="str">
        <f>IFERROR(__xludf.DUMMYFUNCTION("""COMPUTED_VALUE"""),"https://www.sortlist.co.uk/s/programmatic-advertising/london-england-gb")</f>
        <v>https://www.sortlist.co.uk/s/programmatic-advertising/london-england-gb</v>
      </c>
      <c r="C855" s="185" t="str">
        <f>IFERROR(__xludf.DUMMYFUNCTION("""COMPUTED_VALUE"""),"The 10 Best Programmatic Advertising Companies in London - 2026 Reviews")</f>
        <v>The 10 Best Programmatic Advertising Companies in London - 2026 Reviews</v>
      </c>
      <c r="D855" s="185" t="str">
        <f>IFERROR(__xludf.DUMMYFUNCTION("""COMPUTED_VALUE"""),"UK")</f>
        <v>UK</v>
      </c>
      <c r="E855" s="185" t="str">
        <f>IFERROR(__xludf.DUMMYFUNCTION("""COMPUTED_VALUE"""),"sortlist.co.uk")</f>
        <v>sortlist.co.uk</v>
      </c>
      <c r="F855" s="185" t="str">
        <f>IFERROR(__xludf.DUMMYFUNCTION("""COMPUTED_VALUE"""),"Category Page")</f>
        <v>Category Page</v>
      </c>
      <c r="G855" s="185" t="str">
        <f>IFERROR(__xludf.DUMMYFUNCTION("""COMPUTED_VALUE"""),"REFERENCE")</f>
        <v>REFERENCE</v>
      </c>
      <c r="H855" s="185" t="str">
        <f>IFERROR(__xludf.DUMMYFUNCTION("""COMPUTED_VALUE"""),"No")</f>
        <v>No</v>
      </c>
      <c r="I855" s="185" t="str">
        <f>IFERROR(__xludf.DUMMYFUNCTION("""COMPUTED_VALUE"""),"Medium")</f>
        <v>Medium</v>
      </c>
      <c r="J855" s="185" t="str">
        <f>IFERROR(__xludf.DUMMYFUNCTION("""COMPUTED_VALUE"""),"Yes")</f>
        <v>Yes</v>
      </c>
      <c r="K855" s="185" t="str">
        <f>IFERROR(__xludf.DUMMYFUNCTION("""COMPUTED_VALUE"""),"Momentum, M3.agency")</f>
        <v>Momentum, M3.agency</v>
      </c>
      <c r="L855" s="187">
        <f>IFERROR(__xludf.DUMMYFUNCTION("""COMPUTED_VALUE"""),1.0)</f>
        <v>1</v>
      </c>
      <c r="M855" s="188">
        <f>IFERROR(__xludf.DUMMYFUNCTION("""COMPUTED_VALUE"""),0.0)</f>
        <v>0</v>
      </c>
      <c r="N855" s="188">
        <f>IFERROR(__xludf.DUMMYFUNCTION("""COMPUTED_VALUE"""),0.0)</f>
        <v>0</v>
      </c>
      <c r="O855" s="208"/>
      <c r="P855" s="208"/>
      <c r="Q855" s="208"/>
      <c r="R855" s="208"/>
    </row>
    <row r="856">
      <c r="A856" s="185" t="str">
        <f>IFERROR(__xludf.DUMMYFUNCTION("""COMPUTED_VALUE"""),"Agency directory / review marketplace")</f>
        <v>Agency directory / review marketplace</v>
      </c>
      <c r="B856" s="186" t="str">
        <f>IFERROR(__xludf.DUMMYFUNCTION("""COMPUTED_VALUE"""),"https://www.sortlist.co.uk/s/storytelling/london-england-gb")</f>
        <v>https://www.sortlist.co.uk/s/storytelling/london-england-gb</v>
      </c>
      <c r="C856" s="185" t="str">
        <f>IFERROR(__xludf.DUMMYFUNCTION("""COMPUTED_VALUE"""),"The 10 Best Storytelling Agencies in London - 2026 Reviews")</f>
        <v>The 10 Best Storytelling Agencies in London - 2026 Reviews</v>
      </c>
      <c r="D856" s="185" t="str">
        <f>IFERROR(__xludf.DUMMYFUNCTION("""COMPUTED_VALUE"""),"UK")</f>
        <v>UK</v>
      </c>
      <c r="E856" s="185" t="str">
        <f>IFERROR(__xludf.DUMMYFUNCTION("""COMPUTED_VALUE"""),"sortlist.co.uk")</f>
        <v>sortlist.co.uk</v>
      </c>
      <c r="F856" s="185" t="str">
        <f>IFERROR(__xludf.DUMMYFUNCTION("""COMPUTED_VALUE"""),"Category Page")</f>
        <v>Category Page</v>
      </c>
      <c r="G856" s="185" t="str">
        <f>IFERROR(__xludf.DUMMYFUNCTION("""COMPUTED_VALUE"""),"REFERENCE")</f>
        <v>REFERENCE</v>
      </c>
      <c r="H856" s="185" t="str">
        <f>IFERROR(__xludf.DUMMYFUNCTION("""COMPUTED_VALUE"""),"No")</f>
        <v>No</v>
      </c>
      <c r="I856" s="185" t="str">
        <f>IFERROR(__xludf.DUMMYFUNCTION("""COMPUTED_VALUE"""),"Medium")</f>
        <v>Medium</v>
      </c>
      <c r="J856" s="185" t="str">
        <f>IFERROR(__xludf.DUMMYFUNCTION("""COMPUTED_VALUE"""),"Yes")</f>
        <v>Yes</v>
      </c>
      <c r="K856" s="185" t="str">
        <f>IFERROR(__xludf.DUMMYFUNCTION("""COMPUTED_VALUE"""),"Push, Ninja Promo, McKinsey &amp; Company")</f>
        <v>Push, Ninja Promo, McKinsey &amp; Company</v>
      </c>
      <c r="L856" s="187">
        <f>IFERROR(__xludf.DUMMYFUNCTION("""COMPUTED_VALUE"""),1.0)</f>
        <v>1</v>
      </c>
      <c r="M856" s="188">
        <f>IFERROR(__xludf.DUMMYFUNCTION("""COMPUTED_VALUE"""),0.0)</f>
        <v>0</v>
      </c>
      <c r="N856" s="188">
        <f>IFERROR(__xludf.DUMMYFUNCTION("""COMPUTED_VALUE"""),0.0)</f>
        <v>0</v>
      </c>
      <c r="O856" s="208"/>
      <c r="P856" s="208"/>
      <c r="Q856" s="208"/>
      <c r="R856" s="208"/>
    </row>
    <row r="857">
      <c r="A857" s="185" t="str">
        <f>IFERROR(__xludf.DUMMYFUNCTION("""COMPUTED_VALUE"""),"Agency directory / review marketplace")</f>
        <v>Agency directory / review marketplace</v>
      </c>
      <c r="B857" s="186" t="str">
        <f>IFERROR(__xludf.DUMMYFUNCTION("""COMPUTED_VALUE"""),"https://www.sortlist.co.uk/s/testing-services/united-kingdom-gb")</f>
        <v>https://www.sortlist.co.uk/s/testing-services/united-kingdom-gb</v>
      </c>
      <c r="C857" s="185" t="str">
        <f>IFERROR(__xludf.DUMMYFUNCTION("""COMPUTED_VALUE"""),"The 10 Best Testing Services Companies in The United Kingdom - 2026 Reviews")</f>
        <v>The 10 Best Testing Services Companies in The United Kingdom - 2026 Reviews</v>
      </c>
      <c r="D857" s="185" t="str">
        <f>IFERROR(__xludf.DUMMYFUNCTION("""COMPUTED_VALUE"""),"UK")</f>
        <v>UK</v>
      </c>
      <c r="E857" s="185" t="str">
        <f>IFERROR(__xludf.DUMMYFUNCTION("""COMPUTED_VALUE"""),"sortlist.co.uk")</f>
        <v>sortlist.co.uk</v>
      </c>
      <c r="F857" s="185" t="str">
        <f>IFERROR(__xludf.DUMMYFUNCTION("""COMPUTED_VALUE"""),"Category Page")</f>
        <v>Category Page</v>
      </c>
      <c r="G857" s="185" t="str">
        <f>IFERROR(__xludf.DUMMYFUNCTION("""COMPUTED_VALUE"""),"REFERENCE")</f>
        <v>REFERENCE</v>
      </c>
      <c r="H857" s="185" t="str">
        <f>IFERROR(__xludf.DUMMYFUNCTION("""COMPUTED_VALUE"""),"No")</f>
        <v>No</v>
      </c>
      <c r="I857" s="185" t="str">
        <f>IFERROR(__xludf.DUMMYFUNCTION("""COMPUTED_VALUE"""),"Medium")</f>
        <v>Medium</v>
      </c>
      <c r="J857" s="185" t="str">
        <f>IFERROR(__xludf.DUMMYFUNCTION("""COMPUTED_VALUE"""),"Yes")</f>
        <v>Yes</v>
      </c>
      <c r="K857" s="185" t="str">
        <f>IFERROR(__xludf.DUMMYFUNCTION("""COMPUTED_VALUE"""),"Momentum, M3.agency, Whitehat")</f>
        <v>Momentum, M3.agency, Whitehat</v>
      </c>
      <c r="L857" s="187">
        <f>IFERROR(__xludf.DUMMYFUNCTION("""COMPUTED_VALUE"""),1.0)</f>
        <v>1</v>
      </c>
      <c r="M857" s="188">
        <f>IFERROR(__xludf.DUMMYFUNCTION("""COMPUTED_VALUE"""),0.0)</f>
        <v>0</v>
      </c>
      <c r="N857" s="188">
        <f>IFERROR(__xludf.DUMMYFUNCTION("""COMPUTED_VALUE"""),1.0)</f>
        <v>1</v>
      </c>
      <c r="O857" s="208"/>
      <c r="P857" s="208"/>
      <c r="Q857" s="208"/>
      <c r="R857" s="208"/>
    </row>
    <row r="858">
      <c r="A858" s="185" t="str">
        <f>IFERROR(__xludf.DUMMYFUNCTION("""COMPUTED_VALUE"""),"Agency directory / review marketplace")</f>
        <v>Agency directory / review marketplace</v>
      </c>
      <c r="B858" s="186" t="str">
        <f>IFERROR(__xludf.DUMMYFUNCTION("""COMPUTED_VALUE"""),"https://www.sortlist.co.uk/web-analytics/london-england-gb")</f>
        <v>https://www.sortlist.co.uk/web-analytics/london-england-gb</v>
      </c>
      <c r="C858" s="185" t="str">
        <f>IFERROR(__xludf.DUMMYFUNCTION("""COMPUTED_VALUE"""),"The 10 Best Web Analytics Agencies in London - 2026 Reviews")</f>
        <v>The 10 Best Web Analytics Agencies in London - 2026 Reviews</v>
      </c>
      <c r="D858" s="185" t="str">
        <f>IFERROR(__xludf.DUMMYFUNCTION("""COMPUTED_VALUE"""),"UK")</f>
        <v>UK</v>
      </c>
      <c r="E858" s="185" t="str">
        <f>IFERROR(__xludf.DUMMYFUNCTION("""COMPUTED_VALUE"""),"sortlist.co.uk")</f>
        <v>sortlist.co.uk</v>
      </c>
      <c r="F858" s="185" t="str">
        <f>IFERROR(__xludf.DUMMYFUNCTION("""COMPUTED_VALUE"""),"Category Page")</f>
        <v>Category Page</v>
      </c>
      <c r="G858" s="185" t="str">
        <f>IFERROR(__xludf.DUMMYFUNCTION("""COMPUTED_VALUE"""),"REFERENCE")</f>
        <v>REFERENCE</v>
      </c>
      <c r="H858" s="185" t="str">
        <f>IFERROR(__xludf.DUMMYFUNCTION("""COMPUTED_VALUE"""),"No")</f>
        <v>No</v>
      </c>
      <c r="I858" s="185" t="str">
        <f>IFERROR(__xludf.DUMMYFUNCTION("""COMPUTED_VALUE"""),"Medium")</f>
        <v>Medium</v>
      </c>
      <c r="J858" s="185" t="str">
        <f>IFERROR(__xludf.DUMMYFUNCTION("""COMPUTED_VALUE"""),"Yes")</f>
        <v>Yes</v>
      </c>
      <c r="K858" s="185" t="str">
        <f>IFERROR(__xludf.DUMMYFUNCTION("""COMPUTED_VALUE"""),"Whitehat, Found")</f>
        <v>Whitehat, Found</v>
      </c>
      <c r="L858" s="187">
        <f>IFERROR(__xludf.DUMMYFUNCTION("""COMPUTED_VALUE"""),1.0)</f>
        <v>1</v>
      </c>
      <c r="M858" s="188">
        <f>IFERROR(__xludf.DUMMYFUNCTION("""COMPUTED_VALUE"""),0.0)</f>
        <v>0</v>
      </c>
      <c r="N858" s="188">
        <f>IFERROR(__xludf.DUMMYFUNCTION("""COMPUTED_VALUE"""),0.0)</f>
        <v>0</v>
      </c>
      <c r="O858" s="208"/>
      <c r="P858" s="208"/>
      <c r="Q858" s="208"/>
      <c r="R858" s="208"/>
    </row>
    <row r="859">
      <c r="A859" s="185" t="str">
        <f>IFERROR(__xludf.DUMMYFUNCTION("""COMPUTED_VALUE"""),"Agency directory / review marketplace")</f>
        <v>Agency directory / review marketplace</v>
      </c>
      <c r="B859" s="186" t="str">
        <f>IFERROR(__xludf.DUMMYFUNCTION("""COMPUTED_VALUE"""),"https://www.sortlist.com/l/dubai-ae")</f>
        <v>https://www.sortlist.com/l/dubai-ae</v>
      </c>
      <c r="C859" s="185" t="str">
        <f>IFERROR(__xludf.DUMMYFUNCTION("""COMPUTED_VALUE"""),"Sortlist")</f>
        <v>Sortlist</v>
      </c>
      <c r="D859" s="185" t="str">
        <f>IFERROR(__xludf.DUMMYFUNCTION("""COMPUTED_VALUE"""),"UK")</f>
        <v>UK</v>
      </c>
      <c r="E859" s="185" t="str">
        <f>IFERROR(__xludf.DUMMYFUNCTION("""COMPUTED_VALUE"""),"sortlist.com")</f>
        <v>sortlist.com</v>
      </c>
      <c r="F859" s="185" t="str">
        <f>IFERROR(__xludf.DUMMYFUNCTION("""COMPUTED_VALUE"""),"Category Page")</f>
        <v>Category Page</v>
      </c>
      <c r="G859" s="185" t="str">
        <f>IFERROR(__xludf.DUMMYFUNCTION("""COMPUTED_VALUE"""),"CORPORATE")</f>
        <v>CORPORATE</v>
      </c>
      <c r="H859" s="185" t="str">
        <f>IFERROR(__xludf.DUMMYFUNCTION("""COMPUTED_VALUE"""),"No")</f>
        <v>No</v>
      </c>
      <c r="I859" s="185" t="str">
        <f>IFERROR(__xludf.DUMMYFUNCTION("""COMPUTED_VALUE"""),"Medium")</f>
        <v>Medium</v>
      </c>
      <c r="J859" s="185" t="str">
        <f>IFERROR(__xludf.DUMMYFUNCTION("""COMPUTED_VALUE"""),"Yes")</f>
        <v>Yes</v>
      </c>
      <c r="K859" s="185" t="str">
        <f>IFERROR(__xludf.DUMMYFUNCTION("""COMPUTED_VALUE"""),"Impression, Momentum, M3.agency, Ninja Promo, Push")</f>
        <v>Impression, Momentum, M3.agency, Ninja Promo, Push</v>
      </c>
      <c r="L859" s="187">
        <f>IFERROR(__xludf.DUMMYFUNCTION("""COMPUTED_VALUE"""),1.0)</f>
        <v>1</v>
      </c>
      <c r="M859" s="188">
        <f>IFERROR(__xludf.DUMMYFUNCTION("""COMPUTED_VALUE"""),0.0)</f>
        <v>0</v>
      </c>
      <c r="N859" s="188">
        <f>IFERROR(__xludf.DUMMYFUNCTION("""COMPUTED_VALUE"""),1.0)</f>
        <v>1</v>
      </c>
      <c r="O859" s="208"/>
      <c r="P859" s="208"/>
      <c r="Q859" s="208"/>
      <c r="R859" s="208"/>
    </row>
    <row r="860">
      <c r="A860" s="185" t="str">
        <f>IFERROR(__xludf.DUMMYFUNCTION("""COMPUTED_VALUE"""),"Agency directory / review marketplace")</f>
        <v>Agency directory / review marketplace</v>
      </c>
      <c r="B860" s="186" t="str">
        <f>IFERROR(__xludf.DUMMYFUNCTION("""COMPUTED_VALUE"""),"https://www.sortlist.com/marketing-communication")</f>
        <v>https://www.sortlist.com/marketing-communication</v>
      </c>
      <c r="C860" s="185" t="str">
        <f>IFERROR(__xludf.DUMMYFUNCTION("""COMPUTED_VALUE"""),"The 100 Best Marketing Communication Agencies - 2026 Reviews")</f>
        <v>The 100 Best Marketing Communication Agencies - 2026 Reviews</v>
      </c>
      <c r="D860" s="185" t="str">
        <f>IFERROR(__xludf.DUMMYFUNCTION("""COMPUTED_VALUE"""),"UK")</f>
        <v>UK</v>
      </c>
      <c r="E860" s="185" t="str">
        <f>IFERROR(__xludf.DUMMYFUNCTION("""COMPUTED_VALUE"""),"sortlist.com")</f>
        <v>sortlist.com</v>
      </c>
      <c r="F860" s="185" t="str">
        <f>IFERROR(__xludf.DUMMYFUNCTION("""COMPUTED_VALUE"""),"Category Page")</f>
        <v>Category Page</v>
      </c>
      <c r="G860" s="185" t="str">
        <f>IFERROR(__xludf.DUMMYFUNCTION("""COMPUTED_VALUE"""),"CORPORATE")</f>
        <v>CORPORATE</v>
      </c>
      <c r="H860" s="185" t="str">
        <f>IFERROR(__xludf.DUMMYFUNCTION("""COMPUTED_VALUE"""),"No")</f>
        <v>No</v>
      </c>
      <c r="I860" s="185" t="str">
        <f>IFERROR(__xludf.DUMMYFUNCTION("""COMPUTED_VALUE"""),"Medium")</f>
        <v>Medium</v>
      </c>
      <c r="J860" s="185" t="str">
        <f>IFERROR(__xludf.DUMMYFUNCTION("""COMPUTED_VALUE"""),"Yes")</f>
        <v>Yes</v>
      </c>
      <c r="K860" s="185" t="str">
        <f>IFERROR(__xludf.DUMMYFUNCTION("""COMPUTED_VALUE"""),"Push")</f>
        <v>Push</v>
      </c>
      <c r="L860" s="187">
        <f>IFERROR(__xludf.DUMMYFUNCTION("""COMPUTED_VALUE"""),1.0)</f>
        <v>1</v>
      </c>
      <c r="M860" s="188">
        <f>IFERROR(__xludf.DUMMYFUNCTION("""COMPUTED_VALUE"""),0.0)</f>
        <v>0</v>
      </c>
      <c r="N860" s="188">
        <f>IFERROR(__xludf.DUMMYFUNCTION("""COMPUTED_VALUE"""),1.0)</f>
        <v>1</v>
      </c>
      <c r="O860" s="208"/>
      <c r="P860" s="208"/>
      <c r="Q860" s="208"/>
      <c r="R860" s="208"/>
    </row>
    <row r="861">
      <c r="A861" s="185" t="str">
        <f>IFERROR(__xludf.DUMMYFUNCTION("""COMPUTED_VALUE"""),"Agency directory / review marketplace")</f>
        <v>Agency directory / review marketplace</v>
      </c>
      <c r="B861" s="186" t="str">
        <f>IFERROR(__xludf.DUMMYFUNCTION("""COMPUTED_VALUE"""),"https://www.sortlist.com/performance-marketing")</f>
        <v>https://www.sortlist.com/performance-marketing</v>
      </c>
      <c r="C861" s="185" t="str">
        <f>IFERROR(__xludf.DUMMYFUNCTION("""COMPUTED_VALUE"""),"The 100 Best Performance Marketing Agencies - 2026 Reviews")</f>
        <v>The 100 Best Performance Marketing Agencies - 2026 Reviews</v>
      </c>
      <c r="D861" s="185" t="str">
        <f>IFERROR(__xludf.DUMMYFUNCTION("""COMPUTED_VALUE"""),"UK")</f>
        <v>UK</v>
      </c>
      <c r="E861" s="185" t="str">
        <f>IFERROR(__xludf.DUMMYFUNCTION("""COMPUTED_VALUE"""),"sortlist.com")</f>
        <v>sortlist.com</v>
      </c>
      <c r="F861" s="185" t="str">
        <f>IFERROR(__xludf.DUMMYFUNCTION("""COMPUTED_VALUE"""),"Category Page")</f>
        <v>Category Page</v>
      </c>
      <c r="G861" s="185" t="str">
        <f>IFERROR(__xludf.DUMMYFUNCTION("""COMPUTED_VALUE"""),"CORPORATE")</f>
        <v>CORPORATE</v>
      </c>
      <c r="H861" s="185" t="str">
        <f>IFERROR(__xludf.DUMMYFUNCTION("""COMPUTED_VALUE"""),"No")</f>
        <v>No</v>
      </c>
      <c r="I861" s="185" t="str">
        <f>IFERROR(__xludf.DUMMYFUNCTION("""COMPUTED_VALUE"""),"Medium")</f>
        <v>Medium</v>
      </c>
      <c r="J861" s="185" t="str">
        <f>IFERROR(__xludf.DUMMYFUNCTION("""COMPUTED_VALUE"""),"Yes")</f>
        <v>Yes</v>
      </c>
      <c r="K861" s="185" t="str">
        <f>IFERROR(__xludf.DUMMYFUNCTION("""COMPUTED_VALUE"""),"Push, Triple Whale, Northbeam, Measured, Found")</f>
        <v>Push, Triple Whale, Northbeam, Measured, Found</v>
      </c>
      <c r="L861" s="187">
        <f>IFERROR(__xludf.DUMMYFUNCTION("""COMPUTED_VALUE"""),1.0)</f>
        <v>1</v>
      </c>
      <c r="M861" s="188">
        <f>IFERROR(__xludf.DUMMYFUNCTION("""COMPUTED_VALUE"""),0.0)</f>
        <v>0</v>
      </c>
      <c r="N861" s="188">
        <f>IFERROR(__xludf.DUMMYFUNCTION("""COMPUTED_VALUE"""),0.0)</f>
        <v>0</v>
      </c>
      <c r="O861" s="208"/>
      <c r="P861" s="208"/>
      <c r="Q861" s="208"/>
      <c r="R861" s="208"/>
    </row>
    <row r="862">
      <c r="A862" s="185" t="str">
        <f>IFERROR(__xludf.DUMMYFUNCTION("""COMPUTED_VALUE"""),"Agency directory / review marketplace")</f>
        <v>Agency directory / review marketplace</v>
      </c>
      <c r="B862" s="186" t="str">
        <f>IFERROR(__xludf.DUMMYFUNCTION("""COMPUTED_VALUE"""),"https://www.sortlist.com/social-media-optimization")</f>
        <v>https://www.sortlist.com/social-media-optimization</v>
      </c>
      <c r="C862" s="185" t="str">
        <f>IFERROR(__xludf.DUMMYFUNCTION("""COMPUTED_VALUE"""),"The 100 Best Social Media Optimization Agencies - 2026 Reviews")</f>
        <v>The 100 Best Social Media Optimization Agencies - 2026 Reviews</v>
      </c>
      <c r="D862" s="185" t="str">
        <f>IFERROR(__xludf.DUMMYFUNCTION("""COMPUTED_VALUE"""),"UK")</f>
        <v>UK</v>
      </c>
      <c r="E862" s="185" t="str">
        <f>IFERROR(__xludf.DUMMYFUNCTION("""COMPUTED_VALUE"""),"sortlist.com")</f>
        <v>sortlist.com</v>
      </c>
      <c r="F862" s="185" t="str">
        <f>IFERROR(__xludf.DUMMYFUNCTION("""COMPUTED_VALUE"""),"Category Page")</f>
        <v>Category Page</v>
      </c>
      <c r="G862" s="185" t="str">
        <f>IFERROR(__xludf.DUMMYFUNCTION("""COMPUTED_VALUE"""),"CORPORATE")</f>
        <v>CORPORATE</v>
      </c>
      <c r="H862" s="185" t="str">
        <f>IFERROR(__xludf.DUMMYFUNCTION("""COMPUTED_VALUE"""),"No")</f>
        <v>No</v>
      </c>
      <c r="I862" s="185" t="str">
        <f>IFERROR(__xludf.DUMMYFUNCTION("""COMPUTED_VALUE"""),"Medium")</f>
        <v>Medium</v>
      </c>
      <c r="J862" s="185" t="str">
        <f>IFERROR(__xludf.DUMMYFUNCTION("""COMPUTED_VALUE"""),"Yes")</f>
        <v>Yes</v>
      </c>
      <c r="K862" s="185"/>
      <c r="L862" s="187">
        <f>IFERROR(__xludf.DUMMYFUNCTION("""COMPUTED_VALUE"""),1.0)</f>
        <v>1</v>
      </c>
      <c r="M862" s="188">
        <f>IFERROR(__xludf.DUMMYFUNCTION("""COMPUTED_VALUE"""),0.0)</f>
        <v>0</v>
      </c>
      <c r="N862" s="188">
        <f>IFERROR(__xludf.DUMMYFUNCTION("""COMPUTED_VALUE"""),0.0)</f>
        <v>0</v>
      </c>
      <c r="O862" s="208"/>
      <c r="P862" s="208"/>
      <c r="Q862" s="208"/>
      <c r="R862" s="208"/>
    </row>
    <row r="863">
      <c r="A863" s="185" t="str">
        <f>IFERROR(__xludf.DUMMYFUNCTION("""COMPUTED_VALUE"""),"Official partner / certification ecosystem")</f>
        <v>Official partner / certification ecosystem</v>
      </c>
      <c r="B863" s="186" t="str">
        <f>IFERROR(__xludf.DUMMYFUNCTION("""COMPUTED_VALUE"""),"https://support.google.com/analytics/answer/7237700?hl=en-AU")</f>
        <v>https://support.google.com/analytics/answer/7237700?hl=en-AU</v>
      </c>
      <c r="C863" s="185" t="str">
        <f>IFERROR(__xludf.DUMMYFUNCTION("""COMPUTED_VALUE"""),"Google Marketing Platform Partners - Analytics Help")</f>
        <v>Google Marketing Platform Partners - Analytics Help</v>
      </c>
      <c r="D863" s="185" t="str">
        <f>IFERROR(__xludf.DUMMYFUNCTION("""COMPUTED_VALUE"""),"UK")</f>
        <v>UK</v>
      </c>
      <c r="E863" s="185" t="str">
        <f>IFERROR(__xludf.DUMMYFUNCTION("""COMPUTED_VALUE"""),"google.com")</f>
        <v>google.com</v>
      </c>
      <c r="F863" s="185" t="str">
        <f>IFERROR(__xludf.DUMMYFUNCTION("""COMPUTED_VALUE"""),"Other")</f>
        <v>Other</v>
      </c>
      <c r="G863" s="185" t="str">
        <f>IFERROR(__xludf.DUMMYFUNCTION("""COMPUTED_VALUE"""),"OTHER")</f>
        <v>OTHER</v>
      </c>
      <c r="H863" s="185" t="str">
        <f>IFERROR(__xludf.DUMMYFUNCTION("""COMPUTED_VALUE"""),"No")</f>
        <v>No</v>
      </c>
      <c r="I863" s="185" t="str">
        <f>IFERROR(__xludf.DUMMYFUNCTION("""COMPUTED_VALUE"""),"High")</f>
        <v>High</v>
      </c>
      <c r="J863" s="185" t="str">
        <f>IFERROR(__xludf.DUMMYFUNCTION("""COMPUTED_VALUE"""),"Yes - priority")</f>
        <v>Yes - priority</v>
      </c>
      <c r="K863" s="185"/>
      <c r="L863" s="187">
        <f>IFERROR(__xludf.DUMMYFUNCTION("""COMPUTED_VALUE"""),1.0)</f>
        <v>1</v>
      </c>
      <c r="M863" s="188">
        <f>IFERROR(__xludf.DUMMYFUNCTION("""COMPUTED_VALUE"""),0.0)</f>
        <v>0</v>
      </c>
      <c r="N863" s="188">
        <f>IFERROR(__xludf.DUMMYFUNCTION("""COMPUTED_VALUE"""),0.0)</f>
        <v>0</v>
      </c>
      <c r="O863" s="208"/>
      <c r="P863" s="208"/>
      <c r="Q863" s="208"/>
      <c r="R863" s="208"/>
    </row>
    <row r="864">
      <c r="A864" s="185" t="str">
        <f>IFERROR(__xludf.DUMMYFUNCTION("""COMPUTED_VALUE"""),"Official partner / certification ecosystem")</f>
        <v>Official partner / certification ecosystem</v>
      </c>
      <c r="B864" s="186" t="str">
        <f>IFERROR(__xludf.DUMMYFUNCTION("""COMPUTED_VALUE"""),"https://support.google.com/analytics/answer/7237700?hl=en-uk")</f>
        <v>https://support.google.com/analytics/answer/7237700?hl=en-uk</v>
      </c>
      <c r="C864" s="185"/>
      <c r="D864" s="185" t="str">
        <f>IFERROR(__xludf.DUMMYFUNCTION("""COMPUTED_VALUE"""),"UK")</f>
        <v>UK</v>
      </c>
      <c r="E864" s="185" t="str">
        <f>IFERROR(__xludf.DUMMYFUNCTION("""COMPUTED_VALUE"""),"google.com")</f>
        <v>google.com</v>
      </c>
      <c r="F864" s="185" t="str">
        <f>IFERROR(__xludf.DUMMYFUNCTION("""COMPUTED_VALUE"""),"Other")</f>
        <v>Other</v>
      </c>
      <c r="G864" s="185" t="str">
        <f>IFERROR(__xludf.DUMMYFUNCTION("""COMPUTED_VALUE"""),"OTHER")</f>
        <v>OTHER</v>
      </c>
      <c r="H864" s="185" t="str">
        <f>IFERROR(__xludf.DUMMYFUNCTION("""COMPUTED_VALUE"""),"No")</f>
        <v>No</v>
      </c>
      <c r="I864" s="185" t="str">
        <f>IFERROR(__xludf.DUMMYFUNCTION("""COMPUTED_VALUE"""),"High")</f>
        <v>High</v>
      </c>
      <c r="J864" s="185" t="str">
        <f>IFERROR(__xludf.DUMMYFUNCTION("""COMPUTED_VALUE"""),"Yes - priority")</f>
        <v>Yes - priority</v>
      </c>
      <c r="K864" s="185" t="str">
        <f>IFERROR(__xludf.DUMMYFUNCTION("""COMPUTED_VALUE"""),"Unknown")</f>
        <v>Unknown</v>
      </c>
      <c r="L864" s="187">
        <f>IFERROR(__xludf.DUMMYFUNCTION("""COMPUTED_VALUE"""),1.0)</f>
        <v>1</v>
      </c>
      <c r="M864" s="188">
        <f>IFERROR(__xludf.DUMMYFUNCTION("""COMPUTED_VALUE"""),0.0)</f>
        <v>0</v>
      </c>
      <c r="N864" s="188">
        <f>IFERROR(__xludf.DUMMYFUNCTION("""COMPUTED_VALUE"""),0.0)</f>
        <v>0</v>
      </c>
      <c r="O864" s="208"/>
      <c r="P864" s="208"/>
      <c r="Q864" s="208"/>
      <c r="R864" s="208"/>
    </row>
    <row r="865">
      <c r="A865" s="185" t="str">
        <f>IFERROR(__xludf.DUMMYFUNCTION("""COMPUTED_VALUE"""),"Official partner / certification ecosystem")</f>
        <v>Official partner / certification ecosystem</v>
      </c>
      <c r="B865" s="186" t="str">
        <f>IFERROR(__xludf.DUMMYFUNCTION("""COMPUTED_VALUE"""),"https://support.google.com/displayvideo/answer/9030625?hl=en-GB")</f>
        <v>https://support.google.com/displayvideo/answer/9030625?hl=en-GB</v>
      </c>
      <c r="C865" s="185" t="str">
        <f>IFERROR(__xludf.DUMMYFUNCTION("""COMPUTED_VALUE"""),"Ad technology providers - Display &amp; Video 360 Help")</f>
        <v>Ad technology providers - Display &amp; Video 360 Help</v>
      </c>
      <c r="D865" s="185" t="str">
        <f>IFERROR(__xludf.DUMMYFUNCTION("""COMPUTED_VALUE"""),"UK")</f>
        <v>UK</v>
      </c>
      <c r="E865" s="185" t="str">
        <f>IFERROR(__xludf.DUMMYFUNCTION("""COMPUTED_VALUE"""),"google.com")</f>
        <v>google.com</v>
      </c>
      <c r="F865" s="185" t="str">
        <f>IFERROR(__xludf.DUMMYFUNCTION("""COMPUTED_VALUE"""),"Category Page")</f>
        <v>Category Page</v>
      </c>
      <c r="G865" s="185" t="str">
        <f>IFERROR(__xludf.DUMMYFUNCTION("""COMPUTED_VALUE"""),"OTHER")</f>
        <v>OTHER</v>
      </c>
      <c r="H865" s="185" t="str">
        <f>IFERROR(__xludf.DUMMYFUNCTION("""COMPUTED_VALUE"""),"No")</f>
        <v>No</v>
      </c>
      <c r="I865" s="185" t="str">
        <f>IFERROR(__xludf.DUMMYFUNCTION("""COMPUTED_VALUE"""),"High")</f>
        <v>High</v>
      </c>
      <c r="J865" s="185" t="str">
        <f>IFERROR(__xludf.DUMMYFUNCTION("""COMPUTED_VALUE"""),"Yes - priority")</f>
        <v>Yes - priority</v>
      </c>
      <c r="K865" s="185" t="str">
        <f>IFERROR(__xludf.DUMMYFUNCTION("""COMPUTED_VALUE"""),"Epsilon, GroupM, Kantar, Neustar, Nielsen, Rockerbox, Accenture Song, Dentsu, Monks, Merkle, Momentum, Omnicom, YouGov")</f>
        <v>Epsilon, GroupM, Kantar, Neustar, Nielsen, Rockerbox, Accenture Song, Dentsu, Monks, Merkle, Momentum, Omnicom, YouGov</v>
      </c>
      <c r="L865" s="187">
        <f>IFERROR(__xludf.DUMMYFUNCTION("""COMPUTED_VALUE"""),1.0)</f>
        <v>1</v>
      </c>
      <c r="M865" s="188">
        <f>IFERROR(__xludf.DUMMYFUNCTION("""COMPUTED_VALUE"""),0.0)</f>
        <v>0</v>
      </c>
      <c r="N865" s="188">
        <f>IFERROR(__xludf.DUMMYFUNCTION("""COMPUTED_VALUE"""),0.0)</f>
        <v>0</v>
      </c>
      <c r="O865" s="208"/>
      <c r="P865" s="208"/>
      <c r="Q865" s="208"/>
      <c r="R865" s="208"/>
    </row>
    <row r="866">
      <c r="A866" s="185" t="str">
        <f>IFERROR(__xludf.DUMMYFUNCTION("""COMPUTED_VALUE"""),"Official partner / certification ecosystem")</f>
        <v>Official partner / certification ecosystem</v>
      </c>
      <c r="B866" s="186" t="str">
        <f>IFERROR(__xludf.DUMMYFUNCTION("""COMPUTED_VALUE"""),"https://support.google.com/google-ads/answer/9702452?hl=en-GB")</f>
        <v>https://support.google.com/google-ads/answer/9702452?hl=en-GB</v>
      </c>
      <c r="C866" s="185" t="str">
        <f>IFERROR(__xludf.DUMMYFUNCTION("""COMPUTED_VALUE"""),"How to become a Google Partner or Premier Partner")</f>
        <v>How to become a Google Partner or Premier Partner</v>
      </c>
      <c r="D866" s="185" t="str">
        <f>IFERROR(__xludf.DUMMYFUNCTION("""COMPUTED_VALUE"""),"UK")</f>
        <v>UK</v>
      </c>
      <c r="E866" s="185" t="str">
        <f>IFERROR(__xludf.DUMMYFUNCTION("""COMPUTED_VALUE"""),"google.com")</f>
        <v>google.com</v>
      </c>
      <c r="F866" s="185" t="str">
        <f>IFERROR(__xludf.DUMMYFUNCTION("""COMPUTED_VALUE"""),"How-To Guide")</f>
        <v>How-To Guide</v>
      </c>
      <c r="G866" s="185" t="str">
        <f>IFERROR(__xludf.DUMMYFUNCTION("""COMPUTED_VALUE"""),"OTHER")</f>
        <v>OTHER</v>
      </c>
      <c r="H866" s="185" t="str">
        <f>IFERROR(__xludf.DUMMYFUNCTION("""COMPUTED_VALUE"""),"No")</f>
        <v>No</v>
      </c>
      <c r="I866" s="185" t="str">
        <f>IFERROR(__xludf.DUMMYFUNCTION("""COMPUTED_VALUE"""),"High")</f>
        <v>High</v>
      </c>
      <c r="J866" s="185" t="str">
        <f>IFERROR(__xludf.DUMMYFUNCTION("""COMPUTED_VALUE"""),"Yes - priority")</f>
        <v>Yes - priority</v>
      </c>
      <c r="K866" s="185" t="str">
        <f>IFERROR(__xludf.DUMMYFUNCTION("""COMPUTED_VALUE"""),"Measured")</f>
        <v>Measured</v>
      </c>
      <c r="L866" s="187">
        <f>IFERROR(__xludf.DUMMYFUNCTION("""COMPUTED_VALUE"""),1.0)</f>
        <v>1</v>
      </c>
      <c r="M866" s="188">
        <f>IFERROR(__xludf.DUMMYFUNCTION("""COMPUTED_VALUE"""),0.0)</f>
        <v>0</v>
      </c>
      <c r="N866" s="188">
        <f>IFERROR(__xludf.DUMMYFUNCTION("""COMPUTED_VALUE"""),0.0)</f>
        <v>0</v>
      </c>
      <c r="O866" s="208"/>
      <c r="P866" s="208"/>
      <c r="Q866" s="208"/>
      <c r="R866" s="208"/>
    </row>
    <row r="867">
      <c r="A867" s="185" t="str">
        <f>IFERROR(__xludf.DUMMYFUNCTION("""COMPUTED_VALUE"""),"Official partner / certification ecosystem")</f>
        <v>Official partner / certification ecosystem</v>
      </c>
      <c r="B867" s="186" t="str">
        <f>IFERROR(__xludf.DUMMYFUNCTION("""COMPUTED_VALUE"""),"https://support.google.com/tagmanager/answer/7237700?hl=en-au")</f>
        <v>https://support.google.com/tagmanager/answer/7237700?hl=en-au</v>
      </c>
      <c r="C867" s="185" t="str">
        <f>IFERROR(__xludf.DUMMYFUNCTION("""COMPUTED_VALUE"""),"Google Marketing Platform Partners - Tag Manager Help")</f>
        <v>Google Marketing Platform Partners - Tag Manager Help</v>
      </c>
      <c r="D867" s="185" t="str">
        <f>IFERROR(__xludf.DUMMYFUNCTION("""COMPUTED_VALUE"""),"UK")</f>
        <v>UK</v>
      </c>
      <c r="E867" s="185" t="str">
        <f>IFERROR(__xludf.DUMMYFUNCTION("""COMPUTED_VALUE"""),"google.com")</f>
        <v>google.com</v>
      </c>
      <c r="F867" s="185" t="str">
        <f>IFERROR(__xludf.DUMMYFUNCTION("""COMPUTED_VALUE"""),"Other")</f>
        <v>Other</v>
      </c>
      <c r="G867" s="185" t="str">
        <f>IFERROR(__xludf.DUMMYFUNCTION("""COMPUTED_VALUE"""),"OTHER")</f>
        <v>OTHER</v>
      </c>
      <c r="H867" s="185" t="str">
        <f>IFERROR(__xludf.DUMMYFUNCTION("""COMPUTED_VALUE"""),"No")</f>
        <v>No</v>
      </c>
      <c r="I867" s="185" t="str">
        <f>IFERROR(__xludf.DUMMYFUNCTION("""COMPUTED_VALUE"""),"High")</f>
        <v>High</v>
      </c>
      <c r="J867" s="185" t="str">
        <f>IFERROR(__xludf.DUMMYFUNCTION("""COMPUTED_VALUE"""),"Yes - priority")</f>
        <v>Yes - priority</v>
      </c>
      <c r="K867" s="185"/>
      <c r="L867" s="187">
        <f>IFERROR(__xludf.DUMMYFUNCTION("""COMPUTED_VALUE"""),1.0)</f>
        <v>1</v>
      </c>
      <c r="M867" s="188">
        <f>IFERROR(__xludf.DUMMYFUNCTION("""COMPUTED_VALUE"""),0.0)</f>
        <v>0</v>
      </c>
      <c r="N867" s="188">
        <f>IFERROR(__xludf.DUMMYFUNCTION("""COMPUTED_VALUE"""),0.0)</f>
        <v>0</v>
      </c>
      <c r="O867" s="208"/>
      <c r="P867" s="208"/>
      <c r="Q867" s="208"/>
      <c r="R867" s="208"/>
    </row>
    <row r="868">
      <c r="A868" s="185" t="str">
        <f>IFERROR(__xludf.DUMMYFUNCTION("""COMPUTED_VALUE"""),"Agency directory / review marketplace")</f>
        <v>Agency directory / review marketplace</v>
      </c>
      <c r="B868" s="186" t="str">
        <f>IFERROR(__xludf.DUMMYFUNCTION("""COMPUTED_VALUE"""),"https://techbehemoths.com/companies/advertising/united-kingdom")</f>
        <v>https://techbehemoths.com/companies/advertising/united-kingdom</v>
      </c>
      <c r="C868" s="185" t="str">
        <f>IFERROR(__xludf.DUMMYFUNCTION("""COMPUTED_VALUE"""),"Top 20+ Advertising Agencies in United Kingdom (2026) - TechBehemoths")</f>
        <v>Top 20+ Advertising Agencies in United Kingdom (2026) - TechBehemoths</v>
      </c>
      <c r="D868" s="185" t="str">
        <f>IFERROR(__xludf.DUMMYFUNCTION("""COMPUTED_VALUE"""),"UK")</f>
        <v>UK</v>
      </c>
      <c r="E868" s="185" t="str">
        <f>IFERROR(__xludf.DUMMYFUNCTION("""COMPUTED_VALUE"""),"techbehemoths.com")</f>
        <v>techbehemoths.com</v>
      </c>
      <c r="F868" s="185" t="str">
        <f>IFERROR(__xludf.DUMMYFUNCTION("""COMPUTED_VALUE"""),"Profile")</f>
        <v>Profile</v>
      </c>
      <c r="G868" s="185" t="str">
        <f>IFERROR(__xludf.DUMMYFUNCTION("""COMPUTED_VALUE"""),"REFERENCE")</f>
        <v>REFERENCE</v>
      </c>
      <c r="H868" s="185" t="str">
        <f>IFERROR(__xludf.DUMMYFUNCTION("""COMPUTED_VALUE"""),"No")</f>
        <v>No</v>
      </c>
      <c r="I868" s="185" t="str">
        <f>IFERROR(__xludf.DUMMYFUNCTION("""COMPUTED_VALUE"""),"Medium")</f>
        <v>Medium</v>
      </c>
      <c r="J868" s="185" t="str">
        <f>IFERROR(__xludf.DUMMYFUNCTION("""COMPUTED_VALUE"""),"Yes")</f>
        <v>Yes</v>
      </c>
      <c r="K868" s="185" t="str">
        <f>IFERROR(__xludf.DUMMYFUNCTION("""COMPUTED_VALUE"""),"Found, The SEO Works")</f>
        <v>Found, The SEO Works</v>
      </c>
      <c r="L868" s="187">
        <f>IFERROR(__xludf.DUMMYFUNCTION("""COMPUTED_VALUE"""),1.0)</f>
        <v>1</v>
      </c>
      <c r="M868" s="188">
        <f>IFERROR(__xludf.DUMMYFUNCTION("""COMPUTED_VALUE"""),0.0)</f>
        <v>0</v>
      </c>
      <c r="N868" s="188">
        <f>IFERROR(__xludf.DUMMYFUNCTION("""COMPUTED_VALUE"""),1.0)</f>
        <v>1</v>
      </c>
      <c r="O868" s="208"/>
      <c r="P868" s="208"/>
      <c r="Q868" s="208"/>
      <c r="R868" s="208"/>
    </row>
    <row r="869">
      <c r="A869" s="185" t="str">
        <f>IFERROR(__xludf.DUMMYFUNCTION("""COMPUTED_VALUE"""),"Trade media / editorial publication")</f>
        <v>Trade media / editorial publication</v>
      </c>
      <c r="B869" s="186" t="str">
        <f>IFERROR(__xludf.DUMMYFUNCTION("""COMPUTED_VALUE"""),"https://www.theaustralian.com.au/business/growth-agenda/marketers-trapped-in-roi-death-spiral-need-to-think-like-investors/news-story/4103c5b9879892d34bcaee3dc85a71fa")</f>
        <v>https://www.theaustralian.com.au/business/growth-agenda/marketers-trapped-in-roi-death-spiral-need-to-think-like-investors/news-story/4103c5b9879892d34bcaee3dc85a71fa</v>
      </c>
      <c r="C869" s="185" t="str">
        <f>IFERROR(__xludf.DUMMYFUNCTION("""COMPUTED_VALUE"""),"Subscribe to The Australian \| Newspaper home delivery, website, iPad, iPhone &amp; Android apps")</f>
        <v>Subscribe to The Australian \| Newspaper home delivery, website, iPad, iPhone &amp; Android apps</v>
      </c>
      <c r="D869" s="185" t="str">
        <f>IFERROR(__xludf.DUMMYFUNCTION("""COMPUTED_VALUE"""),"UK")</f>
        <v>UK</v>
      </c>
      <c r="E869" s="185" t="str">
        <f>IFERROR(__xludf.DUMMYFUNCTION("""COMPUTED_VALUE"""),"theaustralian.com.au")</f>
        <v>theaustralian.com.au</v>
      </c>
      <c r="F869" s="185" t="str">
        <f>IFERROR(__xludf.DUMMYFUNCTION("""COMPUTED_VALUE"""),"Article")</f>
        <v>Article</v>
      </c>
      <c r="G869" s="185" t="str">
        <f>IFERROR(__xludf.DUMMYFUNCTION("""COMPUTED_VALUE"""),"EDITORIAL")</f>
        <v>EDITORIAL</v>
      </c>
      <c r="H869" s="185" t="str">
        <f>IFERROR(__xludf.DUMMYFUNCTION("""COMPUTED_VALUE"""),"No")</f>
        <v>No</v>
      </c>
      <c r="I869" s="185" t="str">
        <f>IFERROR(__xludf.DUMMYFUNCTION("""COMPUTED_VALUE"""),"High")</f>
        <v>High</v>
      </c>
      <c r="J869" s="185" t="str">
        <f>IFERROR(__xludf.DUMMYFUNCTION("""COMPUTED_VALUE"""),"Yes - priority")</f>
        <v>Yes - priority</v>
      </c>
      <c r="K869" s="185"/>
      <c r="L869" s="187">
        <f>IFERROR(__xludf.DUMMYFUNCTION("""COMPUTED_VALUE"""),1.0)</f>
        <v>1</v>
      </c>
      <c r="M869" s="188">
        <f>IFERROR(__xludf.DUMMYFUNCTION("""COMPUTED_VALUE"""),0.0)</f>
        <v>0</v>
      </c>
      <c r="N869" s="188">
        <f>IFERROR(__xludf.DUMMYFUNCTION("""COMPUTED_VALUE"""),2.0)</f>
        <v>2</v>
      </c>
      <c r="O869" s="208"/>
      <c r="P869" s="208"/>
      <c r="Q869" s="208"/>
      <c r="R869" s="208"/>
    </row>
    <row r="870">
      <c r="A870" s="185" t="str">
        <f>IFERROR(__xludf.DUMMYFUNCTION("""COMPUTED_VALUE"""),"Trade media / editorial publication")</f>
        <v>Trade media / editorial publication</v>
      </c>
      <c r="B870" s="186" t="str">
        <f>IFERROR(__xludf.DUMMYFUNCTION("""COMPUTED_VALUE"""),"https://www.theaustralian.com.au/business/growth-agenda/reinventing-media-how-accenture-song-plans-to-overhaul-media/news-story/69b59fae5073dde8984e001927f62bfd")</f>
        <v>https://www.theaustralian.com.au/business/growth-agenda/reinventing-media-how-accenture-song-plans-to-overhaul-media/news-story/69b59fae5073dde8984e001927f62bfd</v>
      </c>
      <c r="C870" s="185" t="str">
        <f>IFERROR(__xludf.DUMMYFUNCTION("""COMPUTED_VALUE"""),"Accenture Song to reinvent media \| The Australian")</f>
        <v>Accenture Song to reinvent media \| The Australian</v>
      </c>
      <c r="D870" s="185" t="str">
        <f>IFERROR(__xludf.DUMMYFUNCTION("""COMPUTED_VALUE"""),"UK")</f>
        <v>UK</v>
      </c>
      <c r="E870" s="185" t="str">
        <f>IFERROR(__xludf.DUMMYFUNCTION("""COMPUTED_VALUE"""),"theaustralian.com.au")</f>
        <v>theaustralian.com.au</v>
      </c>
      <c r="F870" s="185" t="str">
        <f>IFERROR(__xludf.DUMMYFUNCTION("""COMPUTED_VALUE"""),"Article")</f>
        <v>Article</v>
      </c>
      <c r="G870" s="185" t="str">
        <f>IFERROR(__xludf.DUMMYFUNCTION("""COMPUTED_VALUE"""),"EDITORIAL")</f>
        <v>EDITORIAL</v>
      </c>
      <c r="H870" s="185" t="str">
        <f>IFERROR(__xludf.DUMMYFUNCTION("""COMPUTED_VALUE"""),"No")</f>
        <v>No</v>
      </c>
      <c r="I870" s="185" t="str">
        <f>IFERROR(__xludf.DUMMYFUNCTION("""COMPUTED_VALUE"""),"High")</f>
        <v>High</v>
      </c>
      <c r="J870" s="185" t="str">
        <f>IFERROR(__xludf.DUMMYFUNCTION("""COMPUTED_VALUE"""),"Yes - priority")</f>
        <v>Yes - priority</v>
      </c>
      <c r="K870" s="185" t="str">
        <f>IFERROR(__xludf.DUMMYFUNCTION("""COMPUTED_VALUE"""),"Accenture Song, Huge, Momentum")</f>
        <v>Accenture Song, Huge, Momentum</v>
      </c>
      <c r="L870" s="187">
        <f>IFERROR(__xludf.DUMMYFUNCTION("""COMPUTED_VALUE"""),1.0)</f>
        <v>1</v>
      </c>
      <c r="M870" s="188">
        <f>IFERROR(__xludf.DUMMYFUNCTION("""COMPUTED_VALUE"""),0.0)</f>
        <v>0</v>
      </c>
      <c r="N870" s="188">
        <f>IFERROR(__xludf.DUMMYFUNCTION("""COMPUTED_VALUE"""),3.0)</f>
        <v>3</v>
      </c>
      <c r="O870" s="208"/>
      <c r="P870" s="208"/>
      <c r="Q870" s="208"/>
      <c r="R870" s="208"/>
    </row>
    <row r="871">
      <c r="A871" s="185" t="str">
        <f>IFERROR(__xludf.DUMMYFUNCTION("""COMPUTED_VALUE"""),"Lower-priority competitor/vendor roundup")</f>
        <v>Lower-priority competitor/vendor roundup</v>
      </c>
      <c r="B871" s="186" t="str">
        <f>IFERROR(__xludf.DUMMYFUNCTION("""COMPUTED_VALUE"""),"https://www.thegrowthsyndicate.com/agencies/chatgpt-ads-agencies-uk")</f>
        <v>https://www.thegrowthsyndicate.com/agencies/chatgpt-ads-agencies-uk</v>
      </c>
      <c r="C871" s="185" t="str">
        <f>IFERROR(__xludf.DUMMYFUNCTION("""COMPUTED_VALUE"""),"Top 11 ChatGPT Ads Agencies in the UK (2026)")</f>
        <v>Top 11 ChatGPT Ads Agencies in the UK (2026)</v>
      </c>
      <c r="D871" s="185" t="str">
        <f>IFERROR(__xludf.DUMMYFUNCTION("""COMPUTED_VALUE"""),"UK")</f>
        <v>UK</v>
      </c>
      <c r="E871" s="185" t="str">
        <f>IFERROR(__xludf.DUMMYFUNCTION("""COMPUTED_VALUE"""),"thegrowthsyndicate.com")</f>
        <v>thegrowthsyndicate.com</v>
      </c>
      <c r="F871" s="185" t="str">
        <f>IFERROR(__xludf.DUMMYFUNCTION("""COMPUTED_VALUE"""),"Listicle")</f>
        <v>Listicle</v>
      </c>
      <c r="G871" s="185" t="str">
        <f>IFERROR(__xludf.DUMMYFUNCTION("""COMPUTED_VALUE"""),"CORPORATE")</f>
        <v>CORPORATE</v>
      </c>
      <c r="H871" s="185" t="str">
        <f>IFERROR(__xludf.DUMMYFUNCTION("""COMPUTED_VALUE"""),"No")</f>
        <v>No</v>
      </c>
      <c r="I871" s="185" t="str">
        <f>IFERROR(__xludf.DUMMYFUNCTION("""COMPUTED_VALUE"""),"Low")</f>
        <v>Low</v>
      </c>
      <c r="J871" s="185" t="str">
        <f>IFERROR(__xludf.DUMMYFUNCTION("""COMPUTED_VALUE"""),"Secondary")</f>
        <v>Secondary</v>
      </c>
      <c r="K871" s="185" t="str">
        <f>IFERROR(__xludf.DUMMYFUNCTION("""COMPUTED_VALUE"""),"Blue Array, The SEO Works, Found, Passion Digital, Push, Push Group, Screaming Frog, Measured")</f>
        <v>Blue Array, The SEO Works, Found, Passion Digital, Push, Push Group, Screaming Frog, Measured</v>
      </c>
      <c r="L871" s="187">
        <f>IFERROR(__xludf.DUMMYFUNCTION("""COMPUTED_VALUE"""),1.0)</f>
        <v>1</v>
      </c>
      <c r="M871" s="188">
        <f>IFERROR(__xludf.DUMMYFUNCTION("""COMPUTED_VALUE"""),0.0)</f>
        <v>0</v>
      </c>
      <c r="N871" s="188">
        <f>IFERROR(__xludf.DUMMYFUNCTION("""COMPUTED_VALUE"""),0.0)</f>
        <v>0</v>
      </c>
      <c r="O871" s="208"/>
      <c r="P871" s="208"/>
      <c r="Q871" s="208"/>
      <c r="R871" s="208"/>
    </row>
    <row r="872">
      <c r="A872" s="185" t="str">
        <f>IFERROR(__xludf.DUMMYFUNCTION("""COMPUTED_VALUE"""),"Agency directory / review marketplace")</f>
        <v>Agency directory / review marketplace</v>
      </c>
      <c r="B872" s="186" t="str">
        <f>IFERROR(__xludf.DUMMYFUNCTION("""COMPUTED_VALUE"""),"https://themanifest.com/programmatic/agencies/uk?page=1")</f>
        <v>https://themanifest.com/programmatic/agencies/uk?page=1</v>
      </c>
      <c r="C872" s="185" t="str">
        <f>IFERROR(__xludf.DUMMYFUNCTION("""COMPUTED_VALUE"""),"The Best Programmatic Advertising Companies in United Kingdom - Jun 2026 \| The Manifest")</f>
        <v>The Best Programmatic Advertising Companies in United Kingdom - Jun 2026 \| The Manifest</v>
      </c>
      <c r="D872" s="185" t="str">
        <f>IFERROR(__xludf.DUMMYFUNCTION("""COMPUTED_VALUE"""),"UK")</f>
        <v>UK</v>
      </c>
      <c r="E872" s="185" t="str">
        <f>IFERROR(__xludf.DUMMYFUNCTION("""COMPUTED_VALUE"""),"themanifest.com")</f>
        <v>themanifest.com</v>
      </c>
      <c r="F872" s="185" t="str">
        <f>IFERROR(__xludf.DUMMYFUNCTION("""COMPUTED_VALUE"""),"Other")</f>
        <v>Other</v>
      </c>
      <c r="G872" s="185" t="str">
        <f>IFERROR(__xludf.DUMMYFUNCTION("""COMPUTED_VALUE"""),"REFERENCE")</f>
        <v>REFERENCE</v>
      </c>
      <c r="H872" s="185" t="str">
        <f>IFERROR(__xludf.DUMMYFUNCTION("""COMPUTED_VALUE"""),"No")</f>
        <v>No</v>
      </c>
      <c r="I872" s="185" t="str">
        <f>IFERROR(__xludf.DUMMYFUNCTION("""COMPUTED_VALUE"""),"Medium")</f>
        <v>Medium</v>
      </c>
      <c r="J872" s="185" t="str">
        <f>IFERROR(__xludf.DUMMYFUNCTION("""COMPUTED_VALUE"""),"Yes")</f>
        <v>Yes</v>
      </c>
      <c r="K872" s="185"/>
      <c r="L872" s="187">
        <f>IFERROR(__xludf.DUMMYFUNCTION("""COMPUTED_VALUE"""),1.0)</f>
        <v>1</v>
      </c>
      <c r="M872" s="188">
        <f>IFERROR(__xludf.DUMMYFUNCTION("""COMPUTED_VALUE"""),0.0)</f>
        <v>0</v>
      </c>
      <c r="N872" s="188">
        <f>IFERROR(__xludf.DUMMYFUNCTION("""COMPUTED_VALUE"""),0.0)</f>
        <v>0</v>
      </c>
      <c r="O872" s="208"/>
      <c r="P872" s="208"/>
      <c r="Q872" s="208"/>
      <c r="R872" s="208"/>
    </row>
    <row r="873">
      <c r="A873" s="185" t="str">
        <f>IFERROR(__xludf.DUMMYFUNCTION("""COMPUTED_VALUE"""),"Lower-priority competitor/vendor roundup")</f>
        <v>Lower-priority competitor/vendor roundup</v>
      </c>
      <c r="B873" s="186" t="str">
        <f>IFERROR(__xludf.DUMMYFUNCTION("""COMPUTED_VALUE"""),"https://www.webtonic.io/blog/top-creative-performance-agencies")</f>
        <v>https://www.webtonic.io/blog/top-creative-performance-agencies</v>
      </c>
      <c r="C873" s="185" t="str">
        <f>IFERROR(__xludf.DUMMYFUNCTION("""COMPUTED_VALUE"""),"37 Top Creative Performance Agencies for 2026")</f>
        <v>37 Top Creative Performance Agencies for 2026</v>
      </c>
      <c r="D873" s="185" t="str">
        <f>IFERROR(__xludf.DUMMYFUNCTION("""COMPUTED_VALUE"""),"UK")</f>
        <v>UK</v>
      </c>
      <c r="E873" s="185" t="str">
        <f>IFERROR(__xludf.DUMMYFUNCTION("""COMPUTED_VALUE"""),"webtonic.io")</f>
        <v>webtonic.io</v>
      </c>
      <c r="F873" s="185" t="str">
        <f>IFERROR(__xludf.DUMMYFUNCTION("""COMPUTED_VALUE"""),"Listicle")</f>
        <v>Listicle</v>
      </c>
      <c r="G873" s="185" t="str">
        <f>IFERROR(__xludf.DUMMYFUNCTION("""COMPUTED_VALUE"""),"CORPORATE")</f>
        <v>CORPORATE</v>
      </c>
      <c r="H873" s="185" t="str">
        <f>IFERROR(__xludf.DUMMYFUNCTION("""COMPUTED_VALUE"""),"No")</f>
        <v>No</v>
      </c>
      <c r="I873" s="185" t="str">
        <f>IFERROR(__xludf.DUMMYFUNCTION("""COMPUTED_VALUE"""),"Low")</f>
        <v>Low</v>
      </c>
      <c r="J873" s="185" t="str">
        <f>IFERROR(__xludf.DUMMYFUNCTION("""COMPUTED_VALUE"""),"Secondary")</f>
        <v>Secondary</v>
      </c>
      <c r="K873" s="185" t="str">
        <f>IFERROR(__xludf.DUMMYFUNCTION("""COMPUTED_VALUE"""),"Tinuiti, Wpromote, WPP, Hawke Media, AKQA, Accenture Song, Superside, Impression")</f>
        <v>Tinuiti, Wpromote, WPP, Hawke Media, AKQA, Accenture Song, Superside, Impression</v>
      </c>
      <c r="L873" s="187">
        <f>IFERROR(__xludf.DUMMYFUNCTION("""COMPUTED_VALUE"""),1.0)</f>
        <v>1</v>
      </c>
      <c r="M873" s="188">
        <f>IFERROR(__xludf.DUMMYFUNCTION("""COMPUTED_VALUE"""),0.0)</f>
        <v>0</v>
      </c>
      <c r="N873" s="188">
        <f>IFERROR(__xludf.DUMMYFUNCTION("""COMPUTED_VALUE"""),4.0)</f>
        <v>4</v>
      </c>
      <c r="O873" s="208"/>
      <c r="P873" s="208"/>
      <c r="Q873" s="208"/>
      <c r="R873" s="208"/>
    </row>
    <row r="874">
      <c r="A874" s="185" t="str">
        <f>IFERROR(__xludf.DUMMYFUNCTION("""COMPUTED_VALUE"""),"Agency directory / review marketplace")</f>
        <v>Agency directory / review marketplace</v>
      </c>
      <c r="B874" s="186" t="str">
        <f>IFERROR(__xludf.DUMMYFUNCTION("""COMPUTED_VALUE"""),"https://clutch.co/de/agencies/digital-marketing")</f>
        <v>https://clutch.co/de/agencies/digital-marketing</v>
      </c>
      <c r="C874" s="185" t="str">
        <f>IFERROR(__xludf.DUMMYFUNCTION("""COMPUTED_VALUE"""),"Top Digital Marketing Agencies in Germany - Jul 2026 Rankings | Clutch.co")</f>
        <v>Top Digital Marketing Agencies in Germany - Jul 2026 Rankings | Clutch.co</v>
      </c>
      <c r="D874" s="185" t="str">
        <f>IFERROR(__xludf.DUMMYFUNCTION("""COMPUTED_VALUE"""),"DE")</f>
        <v>DE</v>
      </c>
      <c r="E874" s="185" t="str">
        <f>IFERROR(__xludf.DUMMYFUNCTION("""COMPUTED_VALUE"""),"clutch.co")</f>
        <v>clutch.co</v>
      </c>
      <c r="F874" s="185" t="str">
        <f>IFERROR(__xludf.DUMMYFUNCTION("""COMPUTED_VALUE"""),"Category Page")</f>
        <v>Category Page</v>
      </c>
      <c r="G874" s="185" t="str">
        <f>IFERROR(__xludf.DUMMYFUNCTION("""COMPUTED_VALUE"""),"CORPORATE")</f>
        <v>CORPORATE</v>
      </c>
      <c r="H874" s="185" t="str">
        <f>IFERROR(__xludf.DUMMYFUNCTION("""COMPUTED_VALUE"""),"No")</f>
        <v>No</v>
      </c>
      <c r="I874" s="185" t="str">
        <f>IFERROR(__xludf.DUMMYFUNCTION("""COMPUTED_VALUE"""),"Medium")</f>
        <v>Medium</v>
      </c>
      <c r="J874" s="185" t="str">
        <f>IFERROR(__xludf.DUMMYFUNCTION("""COMPUTED_VALUE"""),"Yes")</f>
        <v>Yes</v>
      </c>
      <c r="K874" s="185" t="str">
        <f>IFERROR(__xludf.DUMMYFUNCTION("""COMPUTED_VALUE"""),"MONSOON, Mediacharge, REPLUG, Claneo, Huge, Phiture, PANORAMA3000, Seeders, Admiral Media, HECHT INS GEFECHT")</f>
        <v>MONSOON, Mediacharge, REPLUG, Claneo, Huge, Phiture, PANORAMA3000, Seeders, Admiral Media, HECHT INS GEFECHT</v>
      </c>
      <c r="L874" s="187">
        <f>IFERROR(__xludf.DUMMYFUNCTION("""COMPUTED_VALUE"""),111.0)</f>
        <v>111</v>
      </c>
      <c r="M874" s="188">
        <f>IFERROR(__xludf.DUMMYFUNCTION("""COMPUTED_VALUE"""),0.12)</f>
        <v>0.12</v>
      </c>
      <c r="N874" s="188">
        <f>IFERROR(__xludf.DUMMYFUNCTION("""COMPUTED_VALUE"""),0.92)</f>
        <v>0.92</v>
      </c>
      <c r="O874" s="208"/>
      <c r="P874" s="208"/>
      <c r="Q874" s="208"/>
      <c r="R874" s="208"/>
    </row>
    <row r="875">
      <c r="A875" s="185" t="str">
        <f>IFERROR(__xludf.DUMMYFUNCTION("""COMPUTED_VALUE"""),"Industry data / software authority")</f>
        <v>Industry data / software authority</v>
      </c>
      <c r="B875" s="186" t="str">
        <f>IFERROR(__xludf.DUMMYFUNCTION("""COMPUTED_VALUE"""),"https://agencies.semrush.com/list/germany/")</f>
        <v>https://agencies.semrush.com/list/germany/</v>
      </c>
      <c r="C875" s="185" t="str">
        <f>IFERROR(__xludf.DUMMYFUNCTION("""COMPUTED_VALUE"""),"Best Digital Marketing Agencies in Germany 2026 | Semrush")</f>
        <v>Best Digital Marketing Agencies in Germany 2026 | Semrush</v>
      </c>
      <c r="D875" s="185" t="str">
        <f>IFERROR(__xludf.DUMMYFUNCTION("""COMPUTED_VALUE"""),"DE")</f>
        <v>DE</v>
      </c>
      <c r="E875" s="185" t="str">
        <f>IFERROR(__xludf.DUMMYFUNCTION("""COMPUTED_VALUE"""),"semrush.com")</f>
        <v>semrush.com</v>
      </c>
      <c r="F875" s="185" t="str">
        <f>IFERROR(__xludf.DUMMYFUNCTION("""COMPUTED_VALUE"""),"Profile")</f>
        <v>Profile</v>
      </c>
      <c r="G875" s="185" t="str">
        <f>IFERROR(__xludf.DUMMYFUNCTION("""COMPUTED_VALUE"""),"CORPORATE")</f>
        <v>CORPORATE</v>
      </c>
      <c r="H875" s="185" t="str">
        <f>IFERROR(__xludf.DUMMYFUNCTION("""COMPUTED_VALUE"""),"No")</f>
        <v>No</v>
      </c>
      <c r="I875" s="185" t="str">
        <f>IFERROR(__xludf.DUMMYFUNCTION("""COMPUTED_VALUE"""),"Medium")</f>
        <v>Medium</v>
      </c>
      <c r="J875" s="185" t="str">
        <f>IFERROR(__xludf.DUMMYFUNCTION("""COMPUTED_VALUE"""),"Yes")</f>
        <v>Yes</v>
      </c>
      <c r="K875" s="185" t="str">
        <f>IFERROR(__xludf.DUMMYFUNCTION("""COMPUTED_VALUE"""),"HECHT INS GEFECHT, Baseplus DIGITAL MEDIA GmbH, morefire, Mediaplus Performance, MONSOON, Mediacharge, KlickPiloten")</f>
        <v>HECHT INS GEFECHT, Baseplus DIGITAL MEDIA GmbH, morefire, Mediaplus Performance, MONSOON, Mediacharge, KlickPiloten</v>
      </c>
      <c r="L875" s="187">
        <f>IFERROR(__xludf.DUMMYFUNCTION("""COMPUTED_VALUE"""),92.0)</f>
        <v>92</v>
      </c>
      <c r="M875" s="188">
        <f>IFERROR(__xludf.DUMMYFUNCTION("""COMPUTED_VALUE"""),0.1)</f>
        <v>0.1</v>
      </c>
      <c r="N875" s="188">
        <f>IFERROR(__xludf.DUMMYFUNCTION("""COMPUTED_VALUE"""),0.55)</f>
        <v>0.55</v>
      </c>
      <c r="O875" s="208"/>
      <c r="P875" s="208"/>
      <c r="Q875" s="208"/>
      <c r="R875" s="208"/>
    </row>
    <row r="876">
      <c r="A876" s="185" t="str">
        <f>IFERROR(__xludf.DUMMYFUNCTION("""COMPUTED_VALUE"""),"Agency directory / review marketplace")</f>
        <v>Agency directory / review marketplace</v>
      </c>
      <c r="B876" s="186" t="str">
        <f>IFERROR(__xludf.DUMMYFUNCTION("""COMPUTED_VALUE"""),"https://clutch.co/de/agencies")</f>
        <v>https://clutch.co/de/agencies</v>
      </c>
      <c r="C876" s="185" t="str">
        <f>IFERROR(__xludf.DUMMYFUNCTION("""COMPUTED_VALUE"""),"Top Advertising Agencies in Germany - Jul 2026 Rankings \| Clutch.co")</f>
        <v>Top Advertising Agencies in Germany - Jul 2026 Rankings \| Clutch.co</v>
      </c>
      <c r="D876" s="185" t="str">
        <f>IFERROR(__xludf.DUMMYFUNCTION("""COMPUTED_VALUE"""),"DE")</f>
        <v>DE</v>
      </c>
      <c r="E876" s="185" t="str">
        <f>IFERROR(__xludf.DUMMYFUNCTION("""COMPUTED_VALUE"""),"clutch.co")</f>
        <v>clutch.co</v>
      </c>
      <c r="F876" s="185" t="str">
        <f>IFERROR(__xludf.DUMMYFUNCTION("""COMPUTED_VALUE"""),"Category Page")</f>
        <v>Category Page</v>
      </c>
      <c r="G876" s="185" t="str">
        <f>IFERROR(__xludf.DUMMYFUNCTION("""COMPUTED_VALUE"""),"CORPORATE")</f>
        <v>CORPORATE</v>
      </c>
      <c r="H876" s="185" t="str">
        <f>IFERROR(__xludf.DUMMYFUNCTION("""COMPUTED_VALUE"""),"No")</f>
        <v>No</v>
      </c>
      <c r="I876" s="185" t="str">
        <f>IFERROR(__xludf.DUMMYFUNCTION("""COMPUTED_VALUE"""),"Medium")</f>
        <v>Medium</v>
      </c>
      <c r="J876" s="185" t="str">
        <f>IFERROR(__xludf.DUMMYFUNCTION("""COMPUTED_VALUE"""),"Yes")</f>
        <v>Yes</v>
      </c>
      <c r="K876" s="185" t="str">
        <f>IFERROR(__xludf.DUMMYFUNCTION("""COMPUTED_VALUE"""),"MONSOON, Phiture, PANORAMA3000, Seeders, Mediacharge, Digitalyze, morefire, Scholz &amp; Friends, Haus")</f>
        <v>MONSOON, Phiture, PANORAMA3000, Seeders, Mediacharge, Digitalyze, morefire, Scholz &amp; Friends, Haus</v>
      </c>
      <c r="L876" s="187">
        <f>IFERROR(__xludf.DUMMYFUNCTION("""COMPUTED_VALUE"""),87.0)</f>
        <v>87</v>
      </c>
      <c r="M876" s="188">
        <f>IFERROR(__xludf.DUMMYFUNCTION("""COMPUTED_VALUE"""),0.09)</f>
        <v>0.09</v>
      </c>
      <c r="N876" s="188">
        <f>IFERROR(__xludf.DUMMYFUNCTION("""COMPUTED_VALUE"""),1.1)</f>
        <v>1.1</v>
      </c>
      <c r="O876" s="208"/>
      <c r="P876" s="208"/>
      <c r="Q876" s="208"/>
      <c r="R876" s="208"/>
    </row>
    <row r="877">
      <c r="A877" s="185" t="str">
        <f>IFERROR(__xludf.DUMMYFUNCTION("""COMPUTED_VALUE"""),"Agency directory / review marketplace")</f>
        <v>Agency directory / review marketplace</v>
      </c>
      <c r="B877" s="186" t="str">
        <f>IFERROR(__xludf.DUMMYFUNCTION("""COMPUTED_VALUE"""),"https://www.sortlist.com/s/marketing/germany-de")</f>
        <v>https://www.sortlist.com/s/marketing/germany-de</v>
      </c>
      <c r="C877" s="185" t="str">
        <f>IFERROR(__xludf.DUMMYFUNCTION("""COMPUTED_VALUE"""),"The 10 Best Marketing Agencies in Germany - 2026 Reviews")</f>
        <v>The 10 Best Marketing Agencies in Germany - 2026 Reviews</v>
      </c>
      <c r="D877" s="185" t="str">
        <f>IFERROR(__xludf.DUMMYFUNCTION("""COMPUTED_VALUE"""),"DE")</f>
        <v>DE</v>
      </c>
      <c r="E877" s="185" t="str">
        <f>IFERROR(__xludf.DUMMYFUNCTION("""COMPUTED_VALUE"""),"sortlist.com")</f>
        <v>sortlist.com</v>
      </c>
      <c r="F877" s="185" t="str">
        <f>IFERROR(__xludf.DUMMYFUNCTION("""COMPUTED_VALUE"""),"Category Page")</f>
        <v>Category Page</v>
      </c>
      <c r="G877" s="185" t="str">
        <f>IFERROR(__xludf.DUMMYFUNCTION("""COMPUTED_VALUE"""),"CORPORATE")</f>
        <v>CORPORATE</v>
      </c>
      <c r="H877" s="185" t="str">
        <f>IFERROR(__xludf.DUMMYFUNCTION("""COMPUTED_VALUE"""),"No")</f>
        <v>No</v>
      </c>
      <c r="I877" s="185" t="str">
        <f>IFERROR(__xludf.DUMMYFUNCTION("""COMPUTED_VALUE"""),"Medium")</f>
        <v>Medium</v>
      </c>
      <c r="J877" s="185" t="str">
        <f>IFERROR(__xludf.DUMMYFUNCTION("""COMPUTED_VALUE"""),"Yes")</f>
        <v>Yes</v>
      </c>
      <c r="K877" s="185" t="str">
        <f>IFERROR(__xludf.DUMMYFUNCTION("""COMPUTED_VALUE"""),"MONSOON, lehof")</f>
        <v>MONSOON, lehof</v>
      </c>
      <c r="L877" s="187">
        <f>IFERROR(__xludf.DUMMYFUNCTION("""COMPUTED_VALUE"""),75.0)</f>
        <v>75</v>
      </c>
      <c r="M877" s="188">
        <f>IFERROR(__xludf.DUMMYFUNCTION("""COMPUTED_VALUE"""),0.08)</f>
        <v>0.08</v>
      </c>
      <c r="N877" s="188">
        <f>IFERROR(__xludf.DUMMYFUNCTION("""COMPUTED_VALUE"""),0.96)</f>
        <v>0.96</v>
      </c>
      <c r="O877" s="208"/>
      <c r="P877" s="208"/>
      <c r="Q877" s="208"/>
      <c r="R877" s="208"/>
    </row>
    <row r="878">
      <c r="A878" s="185" t="str">
        <f>IFERROR(__xludf.DUMMYFUNCTION("""COMPUTED_VALUE"""),"Agency directory / review marketplace")</f>
        <v>Agency directory / review marketplace</v>
      </c>
      <c r="B878" s="186" t="str">
        <f>IFERROR(__xludf.DUMMYFUNCTION("""COMPUTED_VALUE"""),"https://www.designrush.com/agency/digital-marketing/de")</f>
        <v>https://www.designrush.com/agency/digital-marketing/de</v>
      </c>
      <c r="C878" s="185" t="str">
        <f>IFERROR(__xludf.DUMMYFUNCTION("""COMPUTED_VALUE"""),"Top Digital Marketing Agencies in Germany | 2026")</f>
        <v>Top Digital Marketing Agencies in Germany | 2026</v>
      </c>
      <c r="D878" s="185" t="str">
        <f>IFERROR(__xludf.DUMMYFUNCTION("""COMPUTED_VALUE"""),"DE")</f>
        <v>DE</v>
      </c>
      <c r="E878" s="185" t="str">
        <f>IFERROR(__xludf.DUMMYFUNCTION("""COMPUTED_VALUE"""),"designrush.com")</f>
        <v>designrush.com</v>
      </c>
      <c r="F878" s="185" t="str">
        <f>IFERROR(__xludf.DUMMYFUNCTION("""COMPUTED_VALUE"""),"Category Page")</f>
        <v>Category Page</v>
      </c>
      <c r="G878" s="185" t="str">
        <f>IFERROR(__xludf.DUMMYFUNCTION("""COMPUTED_VALUE"""),"CORPORATE")</f>
        <v>CORPORATE</v>
      </c>
      <c r="H878" s="185" t="str">
        <f>IFERROR(__xludf.DUMMYFUNCTION("""COMPUTED_VALUE"""),"No")</f>
        <v>No</v>
      </c>
      <c r="I878" s="185" t="str">
        <f>IFERROR(__xludf.DUMMYFUNCTION("""COMPUTED_VALUE"""),"Medium")</f>
        <v>Medium</v>
      </c>
      <c r="J878" s="185" t="str">
        <f>IFERROR(__xludf.DUMMYFUNCTION("""COMPUTED_VALUE"""),"Yes")</f>
        <v>Yes</v>
      </c>
      <c r="K878" s="185" t="str">
        <f>IFERROR(__xludf.DUMMYFUNCTION("""COMPUTED_VALUE"""),"MONSOON, REPLUG, Admiral Media, Phiture")</f>
        <v>MONSOON, REPLUG, Admiral Media, Phiture</v>
      </c>
      <c r="L878" s="187">
        <f>IFERROR(__xludf.DUMMYFUNCTION("""COMPUTED_VALUE"""),66.0)</f>
        <v>66</v>
      </c>
      <c r="M878" s="188">
        <f>IFERROR(__xludf.DUMMYFUNCTION("""COMPUTED_VALUE"""),0.07)</f>
        <v>0.07</v>
      </c>
      <c r="N878" s="188">
        <f>IFERROR(__xludf.DUMMYFUNCTION("""COMPUTED_VALUE"""),0.68)</f>
        <v>0.68</v>
      </c>
      <c r="O878" s="208"/>
      <c r="P878" s="208"/>
      <c r="Q878" s="208"/>
      <c r="R878" s="208"/>
    </row>
    <row r="879">
      <c r="A879" s="185" t="str">
        <f>IFERROR(__xludf.DUMMYFUNCTION("""COMPUTED_VALUE"""),"Agency directory / review marketplace")</f>
        <v>Agency directory / review marketplace</v>
      </c>
      <c r="B879" s="186" t="str">
        <f>IFERROR(__xludf.DUMMYFUNCTION("""COMPUTED_VALUE"""),"https://www.sortlist.com/s/performance-marketing/germany-de")</f>
        <v>https://www.sortlist.com/s/performance-marketing/germany-de</v>
      </c>
      <c r="C879" s="185" t="str">
        <f>IFERROR(__xludf.DUMMYFUNCTION("""COMPUTED_VALUE"""),"The 10 Best Performance Marketing Agencies in Germany - 2026 Reviews")</f>
        <v>The 10 Best Performance Marketing Agencies in Germany - 2026 Reviews</v>
      </c>
      <c r="D879" s="185" t="str">
        <f>IFERROR(__xludf.DUMMYFUNCTION("""COMPUTED_VALUE"""),"DE")</f>
        <v>DE</v>
      </c>
      <c r="E879" s="185" t="str">
        <f>IFERROR(__xludf.DUMMYFUNCTION("""COMPUTED_VALUE"""),"sortlist.com")</f>
        <v>sortlist.com</v>
      </c>
      <c r="F879" s="185" t="str">
        <f>IFERROR(__xludf.DUMMYFUNCTION("""COMPUTED_VALUE"""),"Listicle")</f>
        <v>Listicle</v>
      </c>
      <c r="G879" s="185" t="str">
        <f>IFERROR(__xludf.DUMMYFUNCTION("""COMPUTED_VALUE"""),"CORPORATE")</f>
        <v>CORPORATE</v>
      </c>
      <c r="H879" s="185" t="str">
        <f>IFERROR(__xludf.DUMMYFUNCTION("""COMPUTED_VALUE"""),"No")</f>
        <v>No</v>
      </c>
      <c r="I879" s="185" t="str">
        <f>IFERROR(__xludf.DUMMYFUNCTION("""COMPUTED_VALUE"""),"Medium")</f>
        <v>Medium</v>
      </c>
      <c r="J879" s="185" t="str">
        <f>IFERROR(__xludf.DUMMYFUNCTION("""COMPUTED_VALUE"""),"Yes")</f>
        <v>Yes</v>
      </c>
      <c r="K879" s="185" t="str">
        <f>IFERROR(__xludf.DUMMYFUNCTION("""COMPUTED_VALUE"""),"MONSOON, lehof, Triple Whale, Northbeam, Dreamdata, Mediacharge")</f>
        <v>MONSOON, lehof, Triple Whale, Northbeam, Dreamdata, Mediacharge</v>
      </c>
      <c r="L879" s="187">
        <f>IFERROR(__xludf.DUMMYFUNCTION("""COMPUTED_VALUE"""),62.0)</f>
        <v>62</v>
      </c>
      <c r="M879" s="188">
        <f>IFERROR(__xludf.DUMMYFUNCTION("""COMPUTED_VALUE"""),0.06)</f>
        <v>0.06</v>
      </c>
      <c r="N879" s="188">
        <f>IFERROR(__xludf.DUMMYFUNCTION("""COMPUTED_VALUE"""),1.35)</f>
        <v>1.35</v>
      </c>
      <c r="O879" s="208"/>
      <c r="P879" s="208"/>
      <c r="Q879" s="208"/>
      <c r="R879" s="208"/>
    </row>
    <row r="880">
      <c r="A880" s="185" t="str">
        <f>IFERROR(__xludf.DUMMYFUNCTION("""COMPUTED_VALUE"""),"Trade media / editorial publication")</f>
        <v>Trade media / editorial publication</v>
      </c>
      <c r="B880" s="186" t="str">
        <f>IFERROR(__xludf.DUMMYFUNCTION("""COMPUTED_VALUE"""),"https://www.ibusiness.de/performance-ranking/")</f>
        <v>https://www.ibusiness.de/performance-ranking/</v>
      </c>
      <c r="C880" s="185" t="str">
        <f>IFERROR(__xludf.DUMMYFUNCTION("""COMPUTED_VALUE"""),"Das Ranking der gr��ten deutschen Performance-Marketing-Agenturen")</f>
        <v>Das Ranking der gr��ten deutschen Performance-Marketing-Agenturen</v>
      </c>
      <c r="D880" s="185" t="str">
        <f>IFERROR(__xludf.DUMMYFUNCTION("""COMPUTED_VALUE"""),"DE")</f>
        <v>DE</v>
      </c>
      <c r="E880" s="185" t="str">
        <f>IFERROR(__xludf.DUMMYFUNCTION("""COMPUTED_VALUE"""),"ibusiness.de")</f>
        <v>ibusiness.de</v>
      </c>
      <c r="F880" s="185" t="str">
        <f>IFERROR(__xludf.DUMMYFUNCTION("""COMPUTED_VALUE"""),"Listicle")</f>
        <v>Listicle</v>
      </c>
      <c r="G880" s="185" t="str">
        <f>IFERROR(__xludf.DUMMYFUNCTION("""COMPUTED_VALUE"""),"EDITORIAL")</f>
        <v>EDITORIAL</v>
      </c>
      <c r="H880" s="185" t="str">
        <f>IFERROR(__xludf.DUMMYFUNCTION("""COMPUTED_VALUE"""),"No")</f>
        <v>No</v>
      </c>
      <c r="I880" s="185" t="str">
        <f>IFERROR(__xludf.DUMMYFUNCTION("""COMPUTED_VALUE"""),"Medium")</f>
        <v>Medium</v>
      </c>
      <c r="J880" s="185" t="str">
        <f>IFERROR(__xludf.DUMMYFUNCTION("""COMPUTED_VALUE"""),"Yes")</f>
        <v>Yes</v>
      </c>
      <c r="K880" s="185" t="str">
        <f>IFERROR(__xludf.DUMMYFUNCTION("""COMPUTED_VALUE"""),"iProspect, Smarketer, e-dialog, morefire, Artefact, The Boutique Agency, 42DIGITAL, DREIKON, Aufgesang, eMinded GmbH")</f>
        <v>iProspect, Smarketer, e-dialog, morefire, Artefact, The Boutique Agency, 42DIGITAL, DREIKON, Aufgesang, eMinded GmbH</v>
      </c>
      <c r="L880" s="187">
        <f>IFERROR(__xludf.DUMMYFUNCTION("""COMPUTED_VALUE"""),56.0)</f>
        <v>56</v>
      </c>
      <c r="M880" s="188">
        <f>IFERROR(__xludf.DUMMYFUNCTION("""COMPUTED_VALUE"""),0.06)</f>
        <v>0.06</v>
      </c>
      <c r="N880" s="188">
        <f>IFERROR(__xludf.DUMMYFUNCTION("""COMPUTED_VALUE"""),0.45)</f>
        <v>0.45</v>
      </c>
      <c r="O880" s="208"/>
      <c r="P880" s="208"/>
      <c r="Q880" s="208"/>
      <c r="R880" s="208"/>
    </row>
    <row r="881">
      <c r="A881" s="185" t="str">
        <f>IFERROR(__xludf.DUMMYFUNCTION("""COMPUTED_VALUE"""),"Agency directory / review marketplace")</f>
        <v>Agency directory / review marketplace</v>
      </c>
      <c r="B881" s="186" t="str">
        <f>IFERROR(__xludf.DUMMYFUNCTION("""COMPUTED_VALUE"""),"https://www.sortlist.com/s/artificial-intelligence/germany-de#:~:text=Adastra%20achieved%20Elite%20Partner%20Status,Worked%20in%20Retail%20(%2B10)")</f>
        <v>https://www.sortlist.com/s/artificial-intelligence/germany-de#:~:text=Adastra%20achieved%20Elite%20Partner%20Status,Worked%20in%20Retail%20(%2B10)</v>
      </c>
      <c r="C881" s="185" t="str">
        <f>IFERROR(__xludf.DUMMYFUNCTION("""COMPUTED_VALUE"""),"The 10 Best Artificial Intelligence Agencies in Germany - 2026 Reviews")</f>
        <v>The 10 Best Artificial Intelligence Agencies in Germany - 2026 Reviews</v>
      </c>
      <c r="D881" s="185" t="str">
        <f>IFERROR(__xludf.DUMMYFUNCTION("""COMPUTED_VALUE"""),"DE")</f>
        <v>DE</v>
      </c>
      <c r="E881" s="185" t="str">
        <f>IFERROR(__xludf.DUMMYFUNCTION("""COMPUTED_VALUE"""),"sortlist.com")</f>
        <v>sortlist.com</v>
      </c>
      <c r="F881" s="185" t="str">
        <f>IFERROR(__xludf.DUMMYFUNCTION("""COMPUTED_VALUE"""),"Category Page")</f>
        <v>Category Page</v>
      </c>
      <c r="G881" s="185" t="str">
        <f>IFERROR(__xludf.DUMMYFUNCTION("""COMPUTED_VALUE"""),"CORPORATE")</f>
        <v>CORPORATE</v>
      </c>
      <c r="H881" s="185" t="str">
        <f>IFERROR(__xludf.DUMMYFUNCTION("""COMPUTED_VALUE"""),"No")</f>
        <v>No</v>
      </c>
      <c r="I881" s="185" t="str">
        <f>IFERROR(__xludf.DUMMYFUNCTION("""COMPUTED_VALUE"""),"Medium")</f>
        <v>Medium</v>
      </c>
      <c r="J881" s="185" t="str">
        <f>IFERROR(__xludf.DUMMYFUNCTION("""COMPUTED_VALUE"""),"Yes")</f>
        <v>Yes</v>
      </c>
      <c r="K881" s="185" t="str">
        <f>IFERROR(__xludf.DUMMYFUNCTION("""COMPUTED_VALUE"""),"Momentum")</f>
        <v>Momentum</v>
      </c>
      <c r="L881" s="187">
        <f>IFERROR(__xludf.DUMMYFUNCTION("""COMPUTED_VALUE"""),50.0)</f>
        <v>50</v>
      </c>
      <c r="M881" s="188">
        <f>IFERROR(__xludf.DUMMYFUNCTION("""COMPUTED_VALUE"""),0.05)</f>
        <v>0.05</v>
      </c>
      <c r="N881" s="188">
        <f>IFERROR(__xludf.DUMMYFUNCTION("""COMPUTED_VALUE"""),0.62)</f>
        <v>0.62</v>
      </c>
      <c r="O881" s="208"/>
      <c r="P881" s="208"/>
      <c r="Q881" s="208"/>
      <c r="R881" s="208"/>
    </row>
    <row r="882">
      <c r="A882" s="185" t="str">
        <f>IFERROR(__xludf.DUMMYFUNCTION("""COMPUTED_VALUE"""),"Industry data / software authority")</f>
        <v>Industry data / software authority</v>
      </c>
      <c r="B882" s="186" t="str">
        <f>IFERROR(__xludf.DUMMYFUNCTION("""COMPUTED_VALUE"""),"https://agencies.semrush.com/list/ai-optimization/germany/")</f>
        <v>https://agencies.semrush.com/list/ai-optimization/germany/</v>
      </c>
      <c r="C882" s="185" t="str">
        <f>IFERROR(__xludf.DUMMYFUNCTION("""COMPUTED_VALUE"""),"Best AI Search Optimization Agencies in Germany 2026 | Semrush")</f>
        <v>Best AI Search Optimization Agencies in Germany 2026 | Semrush</v>
      </c>
      <c r="D882" s="185" t="str">
        <f>IFERROR(__xludf.DUMMYFUNCTION("""COMPUTED_VALUE"""),"DE")</f>
        <v>DE</v>
      </c>
      <c r="E882" s="185" t="str">
        <f>IFERROR(__xludf.DUMMYFUNCTION("""COMPUTED_VALUE"""),"semrush.com")</f>
        <v>semrush.com</v>
      </c>
      <c r="F882" s="185" t="str">
        <f>IFERROR(__xludf.DUMMYFUNCTION("""COMPUTED_VALUE"""),"Category Page")</f>
        <v>Category Page</v>
      </c>
      <c r="G882" s="185" t="str">
        <f>IFERROR(__xludf.DUMMYFUNCTION("""COMPUTED_VALUE"""),"CORPORATE")</f>
        <v>CORPORATE</v>
      </c>
      <c r="H882" s="185" t="str">
        <f>IFERROR(__xludf.DUMMYFUNCTION("""COMPUTED_VALUE"""),"No")</f>
        <v>No</v>
      </c>
      <c r="I882" s="185" t="str">
        <f>IFERROR(__xludf.DUMMYFUNCTION("""COMPUTED_VALUE"""),"Medium")</f>
        <v>Medium</v>
      </c>
      <c r="J882" s="185" t="str">
        <f>IFERROR(__xludf.DUMMYFUNCTION("""COMPUTED_VALUE"""),"Yes")</f>
        <v>Yes</v>
      </c>
      <c r="K882" s="185" t="str">
        <f>IFERROR(__xludf.DUMMYFUNCTION("""COMPUTED_VALUE"""),"HECHT INS GEFECHT, morefire, Mediaplus Performance")</f>
        <v>HECHT INS GEFECHT, morefire, Mediaplus Performance</v>
      </c>
      <c r="L882" s="187">
        <f>IFERROR(__xludf.DUMMYFUNCTION("""COMPUTED_VALUE"""),48.0)</f>
        <v>48</v>
      </c>
      <c r="M882" s="188">
        <f>IFERROR(__xludf.DUMMYFUNCTION("""COMPUTED_VALUE"""),0.05)</f>
        <v>0.05</v>
      </c>
      <c r="N882" s="188">
        <f>IFERROR(__xludf.DUMMYFUNCTION("""COMPUTED_VALUE"""),0.98)</f>
        <v>0.98</v>
      </c>
      <c r="O882" s="208"/>
      <c r="P882" s="208"/>
      <c r="Q882" s="208"/>
      <c r="R882" s="208"/>
    </row>
    <row r="883">
      <c r="A883" s="185" t="str">
        <f>IFERROR(__xludf.DUMMYFUNCTION("""COMPUTED_VALUE"""),"Agency directory / review marketplace")</f>
        <v>Agency directory / review marketplace</v>
      </c>
      <c r="B883" s="186" t="str">
        <f>IFERROR(__xludf.DUMMYFUNCTION("""COMPUTED_VALUE"""),"https://www.sortlist.com/s/display-advertising/germany-de")</f>
        <v>https://www.sortlist.com/s/display-advertising/germany-de</v>
      </c>
      <c r="C883" s="185" t="str">
        <f>IFERROR(__xludf.DUMMYFUNCTION("""COMPUTED_VALUE"""),"The 10 Best Display Advertising Agencies in Germany - 2026 Reviews")</f>
        <v>The 10 Best Display Advertising Agencies in Germany - 2026 Reviews</v>
      </c>
      <c r="D883" s="185" t="str">
        <f>IFERROR(__xludf.DUMMYFUNCTION("""COMPUTED_VALUE"""),"DE")</f>
        <v>DE</v>
      </c>
      <c r="E883" s="185" t="str">
        <f>IFERROR(__xludf.DUMMYFUNCTION("""COMPUTED_VALUE"""),"sortlist.com")</f>
        <v>sortlist.com</v>
      </c>
      <c r="F883" s="185" t="str">
        <f>IFERROR(__xludf.DUMMYFUNCTION("""COMPUTED_VALUE"""),"Category Page")</f>
        <v>Category Page</v>
      </c>
      <c r="G883" s="185" t="str">
        <f>IFERROR(__xludf.DUMMYFUNCTION("""COMPUTED_VALUE"""),"CORPORATE")</f>
        <v>CORPORATE</v>
      </c>
      <c r="H883" s="185" t="str">
        <f>IFERROR(__xludf.DUMMYFUNCTION("""COMPUTED_VALUE"""),"No")</f>
        <v>No</v>
      </c>
      <c r="I883" s="185" t="str">
        <f>IFERROR(__xludf.DUMMYFUNCTION("""COMPUTED_VALUE"""),"Medium")</f>
        <v>Medium</v>
      </c>
      <c r="J883" s="185" t="str">
        <f>IFERROR(__xludf.DUMMYFUNCTION("""COMPUTED_VALUE"""),"Yes")</f>
        <v>Yes</v>
      </c>
      <c r="K883" s="185" t="str">
        <f>IFERROR(__xludf.DUMMYFUNCTION("""COMPUTED_VALUE"""),"MONSOON, Triple Whale, Northbeam, Dreamdata, Mediacharge, PANORAMA3000")</f>
        <v>MONSOON, Triple Whale, Northbeam, Dreamdata, Mediacharge, PANORAMA3000</v>
      </c>
      <c r="L883" s="187">
        <f>IFERROR(__xludf.DUMMYFUNCTION("""COMPUTED_VALUE"""),47.0)</f>
        <v>47</v>
      </c>
      <c r="M883" s="188">
        <f>IFERROR(__xludf.DUMMYFUNCTION("""COMPUTED_VALUE"""),0.05)</f>
        <v>0.05</v>
      </c>
      <c r="N883" s="188">
        <f>IFERROR(__xludf.DUMMYFUNCTION("""COMPUTED_VALUE"""),1.49)</f>
        <v>1.49</v>
      </c>
      <c r="O883" s="208"/>
      <c r="P883" s="208"/>
      <c r="Q883" s="208"/>
      <c r="R883" s="208"/>
    </row>
    <row r="884">
      <c r="A884" s="185" t="str">
        <f>IFERROR(__xludf.DUMMYFUNCTION("""COMPUTED_VALUE"""),"Agency directory / review marketplace")</f>
        <v>Agency directory / review marketplace</v>
      </c>
      <c r="B884" s="186" t="str">
        <f>IFERROR(__xludf.DUMMYFUNCTION("""COMPUTED_VALUE"""),"https://www.goodfirms.co/directory/country/top-digital-marketing-companies/de")</f>
        <v>https://www.goodfirms.co/directory/country/top-digital-marketing-companies/de</v>
      </c>
      <c r="C884" s="185" t="str">
        <f>IFERROR(__xludf.DUMMYFUNCTION("""COMPUTED_VALUE"""),"Top 10+ Digital Marketing Agencies in Germany - 2026 Reviews | Goodfirms")</f>
        <v>Top 10+ Digital Marketing Agencies in Germany - 2026 Reviews | Goodfirms</v>
      </c>
      <c r="D884" s="185" t="str">
        <f>IFERROR(__xludf.DUMMYFUNCTION("""COMPUTED_VALUE"""),"DE")</f>
        <v>DE</v>
      </c>
      <c r="E884" s="185" t="str">
        <f>IFERROR(__xludf.DUMMYFUNCTION("""COMPUTED_VALUE"""),"goodfirms.co")</f>
        <v>goodfirms.co</v>
      </c>
      <c r="F884" s="185" t="str">
        <f>IFERROR(__xludf.DUMMYFUNCTION("""COMPUTED_VALUE"""),"Category Page")</f>
        <v>Category Page</v>
      </c>
      <c r="G884" s="185" t="str">
        <f>IFERROR(__xludf.DUMMYFUNCTION("""COMPUTED_VALUE"""),"UGC")</f>
        <v>UGC</v>
      </c>
      <c r="H884" s="185" t="str">
        <f>IFERROR(__xludf.DUMMYFUNCTION("""COMPUTED_VALUE"""),"No")</f>
        <v>No</v>
      </c>
      <c r="I884" s="185" t="str">
        <f>IFERROR(__xludf.DUMMYFUNCTION("""COMPUTED_VALUE"""),"Medium")</f>
        <v>Medium</v>
      </c>
      <c r="J884" s="185" t="str">
        <f>IFERROR(__xludf.DUMMYFUNCTION("""COMPUTED_VALUE"""),"Yes")</f>
        <v>Yes</v>
      </c>
      <c r="K884" s="185" t="str">
        <f>IFERROR(__xludf.DUMMYFUNCTION("""COMPUTED_VALUE"""),"WebFX, Mediacharge, HECHT INS GEFECHT, Momentum")</f>
        <v>WebFX, Mediacharge, HECHT INS GEFECHT, Momentum</v>
      </c>
      <c r="L884" s="187">
        <f>IFERROR(__xludf.DUMMYFUNCTION("""COMPUTED_VALUE"""),43.0)</f>
        <v>43</v>
      </c>
      <c r="M884" s="188">
        <f>IFERROR(__xludf.DUMMYFUNCTION("""COMPUTED_VALUE"""),0.04)</f>
        <v>0.04</v>
      </c>
      <c r="N884" s="188">
        <f>IFERROR(__xludf.DUMMYFUNCTION("""COMPUTED_VALUE"""),0.09)</f>
        <v>0.09</v>
      </c>
      <c r="O884" s="208"/>
      <c r="P884" s="208"/>
      <c r="Q884" s="208"/>
      <c r="R884" s="208"/>
    </row>
    <row r="885">
      <c r="A885" s="185" t="str">
        <f>IFERROR(__xludf.DUMMYFUNCTION("""COMPUTED_VALUE"""),"Agency directory / review marketplace")</f>
        <v>Agency directory / review marketplace</v>
      </c>
      <c r="B885" s="186" t="str">
        <f>IFERROR(__xludf.DUMMYFUNCTION("""COMPUTED_VALUE"""),"https://techbehemoths.com/companies/marketing-analytics/germany")</f>
        <v>https://techbehemoths.com/companies/marketing-analytics/germany</v>
      </c>
      <c r="C885" s="185" t="str">
        <f>IFERROR(__xludf.DUMMYFUNCTION("""COMPUTED_VALUE"""),"Top 20+ Marketing analytics Companies in Germany (2026) - TechBehemoths")</f>
        <v>Top 20+ Marketing analytics Companies in Germany (2026) - TechBehemoths</v>
      </c>
      <c r="D885" s="185" t="str">
        <f>IFERROR(__xludf.DUMMYFUNCTION("""COMPUTED_VALUE"""),"DE")</f>
        <v>DE</v>
      </c>
      <c r="E885" s="185" t="str">
        <f>IFERROR(__xludf.DUMMYFUNCTION("""COMPUTED_VALUE"""),"techbehemoths.com")</f>
        <v>techbehemoths.com</v>
      </c>
      <c r="F885" s="185" t="str">
        <f>IFERROR(__xludf.DUMMYFUNCTION("""COMPUTED_VALUE"""),"Category Page")</f>
        <v>Category Page</v>
      </c>
      <c r="G885" s="185" t="str">
        <f>IFERROR(__xludf.DUMMYFUNCTION("""COMPUTED_VALUE"""),"REFERENCE")</f>
        <v>REFERENCE</v>
      </c>
      <c r="H885" s="185" t="str">
        <f>IFERROR(__xludf.DUMMYFUNCTION("""COMPUTED_VALUE"""),"No")</f>
        <v>No</v>
      </c>
      <c r="I885" s="185" t="str">
        <f>IFERROR(__xludf.DUMMYFUNCTION("""COMPUTED_VALUE"""),"Medium")</f>
        <v>Medium</v>
      </c>
      <c r="J885" s="185" t="str">
        <f>IFERROR(__xludf.DUMMYFUNCTION("""COMPUTED_VALUE"""),"Yes")</f>
        <v>Yes</v>
      </c>
      <c r="K885" s="185" t="str">
        <f>IFERROR(__xludf.DUMMYFUNCTION("""COMPUTED_VALUE"""),"KlickPiloten, Huge")</f>
        <v>KlickPiloten, Huge</v>
      </c>
      <c r="L885" s="187">
        <f>IFERROR(__xludf.DUMMYFUNCTION("""COMPUTED_VALUE"""),39.0)</f>
        <v>39</v>
      </c>
      <c r="M885" s="188">
        <f>IFERROR(__xludf.DUMMYFUNCTION("""COMPUTED_VALUE"""),0.04)</f>
        <v>0.04</v>
      </c>
      <c r="N885" s="188">
        <f>IFERROR(__xludf.DUMMYFUNCTION("""COMPUTED_VALUE"""),1.33)</f>
        <v>1.33</v>
      </c>
      <c r="O885" s="208"/>
      <c r="P885" s="208"/>
      <c r="Q885" s="208"/>
      <c r="R885" s="208"/>
    </row>
    <row r="886">
      <c r="A886" s="185" t="str">
        <f>IFERROR(__xludf.DUMMYFUNCTION("""COMPUTED_VALUE"""),"Agency directory / review marketplace")</f>
        <v>Agency directory / review marketplace</v>
      </c>
      <c r="B886" s="186" t="str">
        <f>IFERROR(__xludf.DUMMYFUNCTION("""COMPUTED_VALUE"""),"https://www.sortlist.com/i/digital-marketing/germany-de")</f>
        <v>https://www.sortlist.com/i/digital-marketing/germany-de</v>
      </c>
      <c r="C886" s="185" t="str">
        <f>IFERROR(__xludf.DUMMYFUNCTION("""COMPUTED_VALUE"""),"The 10 Best Digital Marketing Agencies in Germany - 2026 Reviews")</f>
        <v>The 10 Best Digital Marketing Agencies in Germany - 2026 Reviews</v>
      </c>
      <c r="D886" s="185" t="str">
        <f>IFERROR(__xludf.DUMMYFUNCTION("""COMPUTED_VALUE"""),"DE")</f>
        <v>DE</v>
      </c>
      <c r="E886" s="185" t="str">
        <f>IFERROR(__xludf.DUMMYFUNCTION("""COMPUTED_VALUE"""),"sortlist.com")</f>
        <v>sortlist.com</v>
      </c>
      <c r="F886" s="185" t="str">
        <f>IFERROR(__xludf.DUMMYFUNCTION("""COMPUTED_VALUE"""),"Category Page")</f>
        <v>Category Page</v>
      </c>
      <c r="G886" s="185" t="str">
        <f>IFERROR(__xludf.DUMMYFUNCTION("""COMPUTED_VALUE"""),"CORPORATE")</f>
        <v>CORPORATE</v>
      </c>
      <c r="H886" s="185" t="str">
        <f>IFERROR(__xludf.DUMMYFUNCTION("""COMPUTED_VALUE"""),"No")</f>
        <v>No</v>
      </c>
      <c r="I886" s="185" t="str">
        <f>IFERROR(__xludf.DUMMYFUNCTION("""COMPUTED_VALUE"""),"Medium")</f>
        <v>Medium</v>
      </c>
      <c r="J886" s="185" t="str">
        <f>IFERROR(__xludf.DUMMYFUNCTION("""COMPUTED_VALUE"""),"Yes")</f>
        <v>Yes</v>
      </c>
      <c r="K886" s="185" t="str">
        <f>IFERROR(__xludf.DUMMYFUNCTION("""COMPUTED_VALUE"""),"PANORAMA3000, MONSOON")</f>
        <v>PANORAMA3000, MONSOON</v>
      </c>
      <c r="L886" s="187">
        <f>IFERROR(__xludf.DUMMYFUNCTION("""COMPUTED_VALUE"""),37.0)</f>
        <v>37</v>
      </c>
      <c r="M886" s="188">
        <f>IFERROR(__xludf.DUMMYFUNCTION("""COMPUTED_VALUE"""),0.04)</f>
        <v>0.04</v>
      </c>
      <c r="N886" s="188">
        <f>IFERROR(__xludf.DUMMYFUNCTION("""COMPUTED_VALUE"""),0.57)</f>
        <v>0.57</v>
      </c>
      <c r="O886" s="208"/>
      <c r="P886" s="208"/>
      <c r="Q886" s="208"/>
      <c r="R886" s="208"/>
    </row>
    <row r="887">
      <c r="A887" s="185" t="str">
        <f>IFERROR(__xludf.DUMMYFUNCTION("""COMPUTED_VALUE"""),"Agency directory / review marketplace")</f>
        <v>Agency directory / review marketplace</v>
      </c>
      <c r="B887" s="186" t="str">
        <f>IFERROR(__xludf.DUMMYFUNCTION("""COMPUTED_VALUE"""),"https://www.sortlist.com/s/marketing-analytics/germany-de")</f>
        <v>https://www.sortlist.com/s/marketing-analytics/germany-de</v>
      </c>
      <c r="C887" s="185" t="str">
        <f>IFERROR(__xludf.DUMMYFUNCTION("""COMPUTED_VALUE"""),"The 10 Best Marketing Analytics Companies in Germany - 2026 Reviews")</f>
        <v>The 10 Best Marketing Analytics Companies in Germany - 2026 Reviews</v>
      </c>
      <c r="D887" s="185" t="str">
        <f>IFERROR(__xludf.DUMMYFUNCTION("""COMPUTED_VALUE"""),"DE")</f>
        <v>DE</v>
      </c>
      <c r="E887" s="185" t="str">
        <f>IFERROR(__xludf.DUMMYFUNCTION("""COMPUTED_VALUE"""),"sortlist.com")</f>
        <v>sortlist.com</v>
      </c>
      <c r="F887" s="185" t="str">
        <f>IFERROR(__xludf.DUMMYFUNCTION("""COMPUTED_VALUE"""),"Category Page")</f>
        <v>Category Page</v>
      </c>
      <c r="G887" s="185" t="str">
        <f>IFERROR(__xludf.DUMMYFUNCTION("""COMPUTED_VALUE"""),"CORPORATE")</f>
        <v>CORPORATE</v>
      </c>
      <c r="H887" s="185" t="str">
        <f>IFERROR(__xludf.DUMMYFUNCTION("""COMPUTED_VALUE"""),"No")</f>
        <v>No</v>
      </c>
      <c r="I887" s="185" t="str">
        <f>IFERROR(__xludf.DUMMYFUNCTION("""COMPUTED_VALUE"""),"Medium")</f>
        <v>Medium</v>
      </c>
      <c r="J887" s="185" t="str">
        <f>IFERROR(__xludf.DUMMYFUNCTION("""COMPUTED_VALUE"""),"Yes")</f>
        <v>Yes</v>
      </c>
      <c r="K887" s="185" t="str">
        <f>IFERROR(__xludf.DUMMYFUNCTION("""COMPUTED_VALUE"""),"lehof, MONSOON, Measured")</f>
        <v>lehof, MONSOON, Measured</v>
      </c>
      <c r="L887" s="187">
        <f>IFERROR(__xludf.DUMMYFUNCTION("""COMPUTED_VALUE"""),36.0)</f>
        <v>36</v>
      </c>
      <c r="M887" s="188">
        <f>IFERROR(__xludf.DUMMYFUNCTION("""COMPUTED_VALUE"""),0.04)</f>
        <v>0.04</v>
      </c>
      <c r="N887" s="188">
        <f>IFERROR(__xludf.DUMMYFUNCTION("""COMPUTED_VALUE"""),1.14)</f>
        <v>1.14</v>
      </c>
      <c r="O887" s="208"/>
      <c r="P887" s="208"/>
      <c r="Q887" s="208"/>
      <c r="R887" s="208"/>
    </row>
    <row r="888">
      <c r="A888" s="185" t="str">
        <f>IFERROR(__xludf.DUMMYFUNCTION("""COMPUTED_VALUE"""),"Agency directory / review marketplace")</f>
        <v>Agency directory / review marketplace</v>
      </c>
      <c r="B888" s="186" t="str">
        <f>IFERROR(__xludf.DUMMYFUNCTION("""COMPUTED_VALUE"""),"https://clutch.co/de/agencies/social-media-marketing")</f>
        <v>https://clutch.co/de/agencies/social-media-marketing</v>
      </c>
      <c r="C888" s="185" t="str">
        <f>IFERROR(__xludf.DUMMYFUNCTION("""COMPUTED_VALUE"""),"Top Social Media Marketing Companies in Germany - Jul 2026 Rankings \| Clutch.co")</f>
        <v>Top Social Media Marketing Companies in Germany - Jul 2026 Rankings \| Clutch.co</v>
      </c>
      <c r="D888" s="185" t="str">
        <f>IFERROR(__xludf.DUMMYFUNCTION("""COMPUTED_VALUE"""),"DE")</f>
        <v>DE</v>
      </c>
      <c r="E888" s="185" t="str">
        <f>IFERROR(__xludf.DUMMYFUNCTION("""COMPUTED_VALUE"""),"clutch.co")</f>
        <v>clutch.co</v>
      </c>
      <c r="F888" s="185" t="str">
        <f>IFERROR(__xludf.DUMMYFUNCTION("""COMPUTED_VALUE"""),"Category Page")</f>
        <v>Category Page</v>
      </c>
      <c r="G888" s="185" t="str">
        <f>IFERROR(__xludf.DUMMYFUNCTION("""COMPUTED_VALUE"""),"CORPORATE")</f>
        <v>CORPORATE</v>
      </c>
      <c r="H888" s="185" t="str">
        <f>IFERROR(__xludf.DUMMYFUNCTION("""COMPUTED_VALUE"""),"No")</f>
        <v>No</v>
      </c>
      <c r="I888" s="185" t="str">
        <f>IFERROR(__xludf.DUMMYFUNCTION("""COMPUTED_VALUE"""),"Medium")</f>
        <v>Medium</v>
      </c>
      <c r="J888" s="185" t="str">
        <f>IFERROR(__xludf.DUMMYFUNCTION("""COMPUTED_VALUE"""),"Yes")</f>
        <v>Yes</v>
      </c>
      <c r="K888" s="185" t="str">
        <f>IFERROR(__xludf.DUMMYFUNCTION("""COMPUTED_VALUE"""),"MONSOON, Mediacharge, PwC, PANORAMA3000, HY.AM STUDIOS, Digitalyze, KlickPiloten, Pulse Advertising, DREIKON")</f>
        <v>MONSOON, Mediacharge, PwC, PANORAMA3000, HY.AM STUDIOS, Digitalyze, KlickPiloten, Pulse Advertising, DREIKON</v>
      </c>
      <c r="L888" s="187">
        <f>IFERROR(__xludf.DUMMYFUNCTION("""COMPUTED_VALUE"""),34.0)</f>
        <v>34</v>
      </c>
      <c r="M888" s="188">
        <f>IFERROR(__xludf.DUMMYFUNCTION("""COMPUTED_VALUE"""),0.04)</f>
        <v>0.04</v>
      </c>
      <c r="N888" s="188">
        <f>IFERROR(__xludf.DUMMYFUNCTION("""COMPUTED_VALUE"""),0.79)</f>
        <v>0.79</v>
      </c>
      <c r="O888" s="208"/>
      <c r="P888" s="208"/>
      <c r="Q888" s="208"/>
      <c r="R888" s="208"/>
    </row>
    <row r="889">
      <c r="A889" s="185" t="str">
        <f>IFERROR(__xludf.DUMMYFUNCTION("""COMPUTED_VALUE"""),"Agency directory / review marketplace")</f>
        <v>Agency directory / review marketplace</v>
      </c>
      <c r="B889" s="186" t="str">
        <f>IFERROR(__xludf.DUMMYFUNCTION("""COMPUTED_VALUE"""),"https://www.sortlist.com/i/social-media/germany-de")</f>
        <v>https://www.sortlist.com/i/social-media/germany-de</v>
      </c>
      <c r="C889" s="185" t="str">
        <f>IFERROR(__xludf.DUMMYFUNCTION("""COMPUTED_VALUE"""),"The 10 Best Social Media Agencies in Germany - 2026 Reviews")</f>
        <v>The 10 Best Social Media Agencies in Germany - 2026 Reviews</v>
      </c>
      <c r="D889" s="185" t="str">
        <f>IFERROR(__xludf.DUMMYFUNCTION("""COMPUTED_VALUE"""),"DE")</f>
        <v>DE</v>
      </c>
      <c r="E889" s="185" t="str">
        <f>IFERROR(__xludf.DUMMYFUNCTION("""COMPUTED_VALUE"""),"sortlist.com")</f>
        <v>sortlist.com</v>
      </c>
      <c r="F889" s="185" t="str">
        <f>IFERROR(__xludf.DUMMYFUNCTION("""COMPUTED_VALUE"""),"Category Page")</f>
        <v>Category Page</v>
      </c>
      <c r="G889" s="185" t="str">
        <f>IFERROR(__xludf.DUMMYFUNCTION("""COMPUTED_VALUE"""),"CORPORATE")</f>
        <v>CORPORATE</v>
      </c>
      <c r="H889" s="185" t="str">
        <f>IFERROR(__xludf.DUMMYFUNCTION("""COMPUTED_VALUE"""),"No")</f>
        <v>No</v>
      </c>
      <c r="I889" s="185" t="str">
        <f>IFERROR(__xludf.DUMMYFUNCTION("""COMPUTED_VALUE"""),"Medium")</f>
        <v>Medium</v>
      </c>
      <c r="J889" s="185" t="str">
        <f>IFERROR(__xludf.DUMMYFUNCTION("""COMPUTED_VALUE"""),"Yes")</f>
        <v>Yes</v>
      </c>
      <c r="K889" s="185" t="str">
        <f>IFERROR(__xludf.DUMMYFUNCTION("""COMPUTED_VALUE"""),"lehof, Momentum, PANORAMA3000")</f>
        <v>lehof, Momentum, PANORAMA3000</v>
      </c>
      <c r="L889" s="187">
        <f>IFERROR(__xludf.DUMMYFUNCTION("""COMPUTED_VALUE"""),34.0)</f>
        <v>34</v>
      </c>
      <c r="M889" s="188">
        <f>IFERROR(__xludf.DUMMYFUNCTION("""COMPUTED_VALUE"""),0.04)</f>
        <v>0.04</v>
      </c>
      <c r="N889" s="188">
        <f>IFERROR(__xludf.DUMMYFUNCTION("""COMPUTED_VALUE"""),1.09)</f>
        <v>1.09</v>
      </c>
      <c r="O889" s="208"/>
      <c r="P889" s="208"/>
      <c r="Q889" s="208"/>
      <c r="R889" s="208"/>
    </row>
    <row r="890">
      <c r="A890" s="185" t="str">
        <f>IFERROR(__xludf.DUMMYFUNCTION("""COMPUTED_VALUE"""),"Agency directory / review marketplace")</f>
        <v>Agency directory / review marketplace</v>
      </c>
      <c r="B890" s="186" t="str">
        <f>IFERROR(__xludf.DUMMYFUNCTION("""COMPUTED_VALUE"""),"https://www.sortlist.com/s/paid-media/germany-de")</f>
        <v>https://www.sortlist.com/s/paid-media/germany-de</v>
      </c>
      <c r="C890" s="185" t="str">
        <f>IFERROR(__xludf.DUMMYFUNCTION("""COMPUTED_VALUE"""),"The 10 Best Paid Media Agencies in Germany - 2026 Reviews")</f>
        <v>The 10 Best Paid Media Agencies in Germany - 2026 Reviews</v>
      </c>
      <c r="D890" s="185" t="str">
        <f>IFERROR(__xludf.DUMMYFUNCTION("""COMPUTED_VALUE"""),"DE")</f>
        <v>DE</v>
      </c>
      <c r="E890" s="185" t="str">
        <f>IFERROR(__xludf.DUMMYFUNCTION("""COMPUTED_VALUE"""),"sortlist.com")</f>
        <v>sortlist.com</v>
      </c>
      <c r="F890" s="185" t="str">
        <f>IFERROR(__xludf.DUMMYFUNCTION("""COMPUTED_VALUE"""),"Category Page")</f>
        <v>Category Page</v>
      </c>
      <c r="G890" s="185" t="str">
        <f>IFERROR(__xludf.DUMMYFUNCTION("""COMPUTED_VALUE"""),"CORPORATE")</f>
        <v>CORPORATE</v>
      </c>
      <c r="H890" s="185" t="str">
        <f>IFERROR(__xludf.DUMMYFUNCTION("""COMPUTED_VALUE"""),"No")</f>
        <v>No</v>
      </c>
      <c r="I890" s="185" t="str">
        <f>IFERROR(__xludf.DUMMYFUNCTION("""COMPUTED_VALUE"""),"Medium")</f>
        <v>Medium</v>
      </c>
      <c r="J890" s="185" t="str">
        <f>IFERROR(__xludf.DUMMYFUNCTION("""COMPUTED_VALUE"""),"Yes")</f>
        <v>Yes</v>
      </c>
      <c r="K890" s="185" t="str">
        <f>IFERROR(__xludf.DUMMYFUNCTION("""COMPUTED_VALUE"""),"Triple Whale, Northbeam, Dreamdata, MONSOON, lehof, Mediacharge, PANORAMA3000")</f>
        <v>Triple Whale, Northbeam, Dreamdata, MONSOON, lehof, Mediacharge, PANORAMA3000</v>
      </c>
      <c r="L890" s="187">
        <f>IFERROR(__xludf.DUMMYFUNCTION("""COMPUTED_VALUE"""),34.0)</f>
        <v>34</v>
      </c>
      <c r="M890" s="188">
        <f>IFERROR(__xludf.DUMMYFUNCTION("""COMPUTED_VALUE"""),0.04)</f>
        <v>0.04</v>
      </c>
      <c r="N890" s="188">
        <f>IFERROR(__xludf.DUMMYFUNCTION("""COMPUTED_VALUE"""),2.32)</f>
        <v>2.32</v>
      </c>
      <c r="O890" s="208"/>
      <c r="P890" s="208"/>
      <c r="Q890" s="208"/>
      <c r="R890" s="208"/>
    </row>
    <row r="891">
      <c r="A891" s="185" t="str">
        <f>IFERROR(__xludf.DUMMYFUNCTION("""COMPUTED_VALUE"""),"Agency directory / review marketplace")</f>
        <v>Agency directory / review marketplace</v>
      </c>
      <c r="B891" s="186" t="str">
        <f>IFERROR(__xludf.DUMMYFUNCTION("""COMPUTED_VALUE"""),"https://clutch.co/de/agencies/creative")</f>
        <v>https://clutch.co/de/agencies/creative</v>
      </c>
      <c r="C891" s="185" t="str">
        <f>IFERROR(__xludf.DUMMYFUNCTION("""COMPUTED_VALUE"""),"Top Creative Agencies in Germany - Jul 2026 Rankings \| Clutch.co")</f>
        <v>Top Creative Agencies in Germany - Jul 2026 Rankings \| Clutch.co</v>
      </c>
      <c r="D891" s="185" t="str">
        <f>IFERROR(__xludf.DUMMYFUNCTION("""COMPUTED_VALUE"""),"DE")</f>
        <v>DE</v>
      </c>
      <c r="E891" s="185" t="str">
        <f>IFERROR(__xludf.DUMMYFUNCTION("""COMPUTED_VALUE"""),"clutch.co")</f>
        <v>clutch.co</v>
      </c>
      <c r="F891" s="185" t="str">
        <f>IFERROR(__xludf.DUMMYFUNCTION("""COMPUTED_VALUE"""),"Category Page")</f>
        <v>Category Page</v>
      </c>
      <c r="G891" s="185" t="str">
        <f>IFERROR(__xludf.DUMMYFUNCTION("""COMPUTED_VALUE"""),"CORPORATE")</f>
        <v>CORPORATE</v>
      </c>
      <c r="H891" s="185" t="str">
        <f>IFERROR(__xludf.DUMMYFUNCTION("""COMPUTED_VALUE"""),"No")</f>
        <v>No</v>
      </c>
      <c r="I891" s="185" t="str">
        <f>IFERROR(__xludf.DUMMYFUNCTION("""COMPUTED_VALUE"""),"Medium")</f>
        <v>Medium</v>
      </c>
      <c r="J891" s="185" t="str">
        <f>IFERROR(__xludf.DUMMYFUNCTION("""COMPUTED_VALUE"""),"Yes")</f>
        <v>Yes</v>
      </c>
      <c r="K891" s="185" t="str">
        <f>IFERROR(__xludf.DUMMYFUNCTION("""COMPUTED_VALUE"""),"PANORAMA3000, Digitalyze, morefire, Haus")</f>
        <v>PANORAMA3000, Digitalyze, morefire, Haus</v>
      </c>
      <c r="L891" s="187">
        <f>IFERROR(__xludf.DUMMYFUNCTION("""COMPUTED_VALUE"""),33.0)</f>
        <v>33</v>
      </c>
      <c r="M891" s="188">
        <f>IFERROR(__xludf.DUMMYFUNCTION("""COMPUTED_VALUE"""),0.03)</f>
        <v>0.03</v>
      </c>
      <c r="N891" s="188">
        <f>IFERROR(__xludf.DUMMYFUNCTION("""COMPUTED_VALUE"""),0.36)</f>
        <v>0.36</v>
      </c>
      <c r="O891" s="208"/>
      <c r="P891" s="208"/>
      <c r="Q891" s="208"/>
      <c r="R891" s="208"/>
    </row>
    <row r="892">
      <c r="A892" s="185" t="str">
        <f>IFERROR(__xludf.DUMMYFUNCTION("""COMPUTED_VALUE"""),"Agency directory / review marketplace")</f>
        <v>Agency directory / review marketplace</v>
      </c>
      <c r="B892" s="186" t="str">
        <f>IFERROR(__xludf.DUMMYFUNCTION("""COMPUTED_VALUE"""),"https://www.sortlist.com/i/s/creative/germany-de")</f>
        <v>https://www.sortlist.com/i/s/creative/germany-de</v>
      </c>
      <c r="C892" s="185" t="str">
        <f>IFERROR(__xludf.DUMMYFUNCTION("""COMPUTED_VALUE"""),"The 10 Best Creative Agencies in Germany - 2026 Reviews")</f>
        <v>The 10 Best Creative Agencies in Germany - 2026 Reviews</v>
      </c>
      <c r="D892" s="185" t="str">
        <f>IFERROR(__xludf.DUMMYFUNCTION("""COMPUTED_VALUE"""),"DE")</f>
        <v>DE</v>
      </c>
      <c r="E892" s="185" t="str">
        <f>IFERROR(__xludf.DUMMYFUNCTION("""COMPUTED_VALUE"""),"sortlist.com")</f>
        <v>sortlist.com</v>
      </c>
      <c r="F892" s="185" t="str">
        <f>IFERROR(__xludf.DUMMYFUNCTION("""COMPUTED_VALUE"""),"Category Page")</f>
        <v>Category Page</v>
      </c>
      <c r="G892" s="185" t="str">
        <f>IFERROR(__xludf.DUMMYFUNCTION("""COMPUTED_VALUE"""),"CORPORATE")</f>
        <v>CORPORATE</v>
      </c>
      <c r="H892" s="185" t="str">
        <f>IFERROR(__xludf.DUMMYFUNCTION("""COMPUTED_VALUE"""),"No")</f>
        <v>No</v>
      </c>
      <c r="I892" s="185" t="str">
        <f>IFERROR(__xludf.DUMMYFUNCTION("""COMPUTED_VALUE"""),"Medium")</f>
        <v>Medium</v>
      </c>
      <c r="J892" s="185" t="str">
        <f>IFERROR(__xludf.DUMMYFUNCTION("""COMPUTED_VALUE"""),"Yes")</f>
        <v>Yes</v>
      </c>
      <c r="K892" s="185" t="str">
        <f>IFERROR(__xludf.DUMMYFUNCTION("""COMPUTED_VALUE"""),"PANORAMA3000, Measured")</f>
        <v>PANORAMA3000, Measured</v>
      </c>
      <c r="L892" s="187">
        <f>IFERROR(__xludf.DUMMYFUNCTION("""COMPUTED_VALUE"""),32.0)</f>
        <v>32</v>
      </c>
      <c r="M892" s="188">
        <f>IFERROR(__xludf.DUMMYFUNCTION("""COMPUTED_VALUE"""),0.03)</f>
        <v>0.03</v>
      </c>
      <c r="N892" s="188">
        <f>IFERROR(__xludf.DUMMYFUNCTION("""COMPUTED_VALUE"""),0.56)</f>
        <v>0.56</v>
      </c>
      <c r="O892" s="208"/>
      <c r="P892" s="208"/>
      <c r="Q892" s="208"/>
      <c r="R892" s="208"/>
    </row>
    <row r="893">
      <c r="A893" s="185" t="str">
        <f>IFERROR(__xludf.DUMMYFUNCTION("""COMPUTED_VALUE"""),"Agency directory / review marketplace")</f>
        <v>Agency directory / review marketplace</v>
      </c>
      <c r="B893" s="186" t="str">
        <f>IFERROR(__xludf.DUMMYFUNCTION("""COMPUTED_VALUE"""),"https://www.sortlist.com/s/ai-marketing/germany-de")</f>
        <v>https://www.sortlist.com/s/ai-marketing/germany-de</v>
      </c>
      <c r="C893" s="185" t="str">
        <f>IFERROR(__xludf.DUMMYFUNCTION("""COMPUTED_VALUE"""),"The 10 Best AI Marketing Companies in Germany - 2026 Reviews")</f>
        <v>The 10 Best AI Marketing Companies in Germany - 2026 Reviews</v>
      </c>
      <c r="D893" s="185" t="str">
        <f>IFERROR(__xludf.DUMMYFUNCTION("""COMPUTED_VALUE"""),"DE")</f>
        <v>DE</v>
      </c>
      <c r="E893" s="185" t="str">
        <f>IFERROR(__xludf.DUMMYFUNCTION("""COMPUTED_VALUE"""),"sortlist.com")</f>
        <v>sortlist.com</v>
      </c>
      <c r="F893" s="185" t="str">
        <f>IFERROR(__xludf.DUMMYFUNCTION("""COMPUTED_VALUE"""),"Category Page")</f>
        <v>Category Page</v>
      </c>
      <c r="G893" s="185" t="str">
        <f>IFERROR(__xludf.DUMMYFUNCTION("""COMPUTED_VALUE"""),"CORPORATE")</f>
        <v>CORPORATE</v>
      </c>
      <c r="H893" s="185" t="str">
        <f>IFERROR(__xludf.DUMMYFUNCTION("""COMPUTED_VALUE"""),"No")</f>
        <v>No</v>
      </c>
      <c r="I893" s="185" t="str">
        <f>IFERROR(__xludf.DUMMYFUNCTION("""COMPUTED_VALUE"""),"Medium")</f>
        <v>Medium</v>
      </c>
      <c r="J893" s="185" t="str">
        <f>IFERROR(__xludf.DUMMYFUNCTION("""COMPUTED_VALUE"""),"Yes")</f>
        <v>Yes</v>
      </c>
      <c r="K893" s="185"/>
      <c r="L893" s="187">
        <f>IFERROR(__xludf.DUMMYFUNCTION("""COMPUTED_VALUE"""),32.0)</f>
        <v>32</v>
      </c>
      <c r="M893" s="188">
        <f>IFERROR(__xludf.DUMMYFUNCTION("""COMPUTED_VALUE"""),0.03)</f>
        <v>0.03</v>
      </c>
      <c r="N893" s="188">
        <f>IFERROR(__xludf.DUMMYFUNCTION("""COMPUTED_VALUE"""),0.84)</f>
        <v>0.84</v>
      </c>
      <c r="O893" s="208"/>
      <c r="P893" s="208"/>
      <c r="Q893" s="208"/>
      <c r="R893" s="208"/>
    </row>
    <row r="894">
      <c r="A894" s="185" t="str">
        <f>IFERROR(__xludf.DUMMYFUNCTION("""COMPUTED_VALUE"""),"Agency directory / review marketplace")</f>
        <v>Agency directory / review marketplace</v>
      </c>
      <c r="B894" s="186" t="str">
        <f>IFERROR(__xludf.DUMMYFUNCTION("""COMPUTED_VALUE"""),"https://clutch.co/de/consulting/ai")</f>
        <v>https://clutch.co/de/consulting/ai</v>
      </c>
      <c r="C894" s="185" t="str">
        <f>IFERROR(__xludf.DUMMYFUNCTION("""COMPUTED_VALUE"""),"Top AI Consultants in Germany - Jul 2026 Rankings \| Clutch.co")</f>
        <v>Top AI Consultants in Germany - Jul 2026 Rankings \| Clutch.co</v>
      </c>
      <c r="D894" s="185" t="str">
        <f>IFERROR(__xludf.DUMMYFUNCTION("""COMPUTED_VALUE"""),"DE")</f>
        <v>DE</v>
      </c>
      <c r="E894" s="185" t="str">
        <f>IFERROR(__xludf.DUMMYFUNCTION("""COMPUTED_VALUE"""),"clutch.co")</f>
        <v>clutch.co</v>
      </c>
      <c r="F894" s="185" t="str">
        <f>IFERROR(__xludf.DUMMYFUNCTION("""COMPUTED_VALUE"""),"Category Page")</f>
        <v>Category Page</v>
      </c>
      <c r="G894" s="185" t="str">
        <f>IFERROR(__xludf.DUMMYFUNCTION("""COMPUTED_VALUE"""),"CORPORATE")</f>
        <v>CORPORATE</v>
      </c>
      <c r="H894" s="185" t="str">
        <f>IFERROR(__xludf.DUMMYFUNCTION("""COMPUTED_VALUE"""),"No")</f>
        <v>No</v>
      </c>
      <c r="I894" s="185" t="str">
        <f>IFERROR(__xludf.DUMMYFUNCTION("""COMPUTED_VALUE"""),"Medium")</f>
        <v>Medium</v>
      </c>
      <c r="J894" s="185" t="str">
        <f>IFERROR(__xludf.DUMMYFUNCTION("""COMPUTED_VALUE"""),"Yes")</f>
        <v>Yes</v>
      </c>
      <c r="K894" s="185"/>
      <c r="L894" s="187">
        <f>IFERROR(__xludf.DUMMYFUNCTION("""COMPUTED_VALUE"""),31.0)</f>
        <v>31</v>
      </c>
      <c r="M894" s="188">
        <f>IFERROR(__xludf.DUMMYFUNCTION("""COMPUTED_VALUE"""),0.03)</f>
        <v>0.03</v>
      </c>
      <c r="N894" s="188">
        <f>IFERROR(__xludf.DUMMYFUNCTION("""COMPUTED_VALUE"""),0.19)</f>
        <v>0.19</v>
      </c>
      <c r="O894" s="208"/>
      <c r="P894" s="208"/>
      <c r="Q894" s="208"/>
      <c r="R894" s="208"/>
    </row>
    <row r="895">
      <c r="A895" s="185" t="str">
        <f>IFERROR(__xludf.DUMMYFUNCTION("""COMPUTED_VALUE"""),"Industry data / software authority")</f>
        <v>Industry data / software authority</v>
      </c>
      <c r="B895" s="186" t="str">
        <f>IFERROR(__xludf.DUMMYFUNCTION("""COMPUTED_VALUE"""),"https://agencies.semrush.com/list/smm/germany/")</f>
        <v>https://agencies.semrush.com/list/smm/germany/</v>
      </c>
      <c r="C895" s="185" t="str">
        <f>IFERROR(__xludf.DUMMYFUNCTION("""COMPUTED_VALUE"""),"Best Social Media Marketing Agencies in Germany 2026 | Semrush")</f>
        <v>Best Social Media Marketing Agencies in Germany 2026 | Semrush</v>
      </c>
      <c r="D895" s="185" t="str">
        <f>IFERROR(__xludf.DUMMYFUNCTION("""COMPUTED_VALUE"""),"DE")</f>
        <v>DE</v>
      </c>
      <c r="E895" s="185" t="str">
        <f>IFERROR(__xludf.DUMMYFUNCTION("""COMPUTED_VALUE"""),"semrush.com")</f>
        <v>semrush.com</v>
      </c>
      <c r="F895" s="185" t="str">
        <f>IFERROR(__xludf.DUMMYFUNCTION("""COMPUTED_VALUE"""),"Category Page")</f>
        <v>Category Page</v>
      </c>
      <c r="G895" s="185" t="str">
        <f>IFERROR(__xludf.DUMMYFUNCTION("""COMPUTED_VALUE"""),"CORPORATE")</f>
        <v>CORPORATE</v>
      </c>
      <c r="H895" s="185" t="str">
        <f>IFERROR(__xludf.DUMMYFUNCTION("""COMPUTED_VALUE"""),"No")</f>
        <v>No</v>
      </c>
      <c r="I895" s="185" t="str">
        <f>IFERROR(__xludf.DUMMYFUNCTION("""COMPUTED_VALUE"""),"Medium")</f>
        <v>Medium</v>
      </c>
      <c r="J895" s="185" t="str">
        <f>IFERROR(__xludf.DUMMYFUNCTION("""COMPUTED_VALUE"""),"Yes")</f>
        <v>Yes</v>
      </c>
      <c r="K895" s="185" t="str">
        <f>IFERROR(__xludf.DUMMYFUNCTION("""COMPUTED_VALUE"""),"Baseplus DIGITAL MEDIA GmbH, morefire, Mediaplus Performance, MONSOON, KlickPiloten")</f>
        <v>Baseplus DIGITAL MEDIA GmbH, morefire, Mediaplus Performance, MONSOON, KlickPiloten</v>
      </c>
      <c r="L895" s="187">
        <f>IFERROR(__xludf.DUMMYFUNCTION("""COMPUTED_VALUE"""),29.0)</f>
        <v>29</v>
      </c>
      <c r="M895" s="188">
        <f>IFERROR(__xludf.DUMMYFUNCTION("""COMPUTED_VALUE"""),0.03)</f>
        <v>0.03</v>
      </c>
      <c r="N895" s="188">
        <f>IFERROR(__xludf.DUMMYFUNCTION("""COMPUTED_VALUE"""),1.07)</f>
        <v>1.07</v>
      </c>
      <c r="O895" s="208"/>
      <c r="P895" s="208"/>
      <c r="Q895" s="208"/>
      <c r="R895" s="208"/>
    </row>
    <row r="896">
      <c r="A896" s="185" t="str">
        <f>IFERROR(__xludf.DUMMYFUNCTION("""COMPUTED_VALUE"""),"Lower-priority competitor/vendor roundup")</f>
        <v>Lower-priority competitor/vendor roundup</v>
      </c>
      <c r="B896" s="186" t="str">
        <f>IFERROR(__xludf.DUMMYFUNCTION("""COMPUTED_VALUE"""),"https://www.cometly.com/post/best-marketing-attribution-agencies-in-europe")</f>
        <v>https://www.cometly.com/post/best-marketing-attribution-agencies-in-europe</v>
      </c>
      <c r="C896" s="185" t="str">
        <f>IFERROR(__xludf.DUMMYFUNCTION("""COMPUTED_VALUE"""),"Best Marketing Attribution Agencies In Europe 2026")</f>
        <v>Best Marketing Attribution Agencies In Europe 2026</v>
      </c>
      <c r="D896" s="185" t="str">
        <f>IFERROR(__xludf.DUMMYFUNCTION("""COMPUTED_VALUE"""),"DE")</f>
        <v>DE</v>
      </c>
      <c r="E896" s="185" t="str">
        <f>IFERROR(__xludf.DUMMYFUNCTION("""COMPUTED_VALUE"""),"cometly.com")</f>
        <v>cometly.com</v>
      </c>
      <c r="F896" s="185" t="str">
        <f>IFERROR(__xludf.DUMMYFUNCTION("""COMPUTED_VALUE"""),"Listicle")</f>
        <v>Listicle</v>
      </c>
      <c r="G896" s="185" t="str">
        <f>IFERROR(__xludf.DUMMYFUNCTION("""COMPUTED_VALUE"""),"COMPETITOR")</f>
        <v>COMPETITOR</v>
      </c>
      <c r="H896" s="185" t="str">
        <f>IFERROR(__xludf.DUMMYFUNCTION("""COMPUTED_VALUE"""),"Yes")</f>
        <v>Yes</v>
      </c>
      <c r="I896" s="185" t="str">
        <f>IFERROR(__xludf.DUMMYFUNCTION("""COMPUTED_VALUE"""),"Low")</f>
        <v>Low</v>
      </c>
      <c r="J896" s="185" t="str">
        <f>IFERROR(__xludf.DUMMYFUNCTION("""COMPUTED_VALUE"""),"Secondary")</f>
        <v>Secondary</v>
      </c>
      <c r="K896" s="185" t="str">
        <f>IFERROR(__xludf.DUMMYFUNCTION("""COMPUTED_VALUE"""),"Cometly, Incubeta, Artefact, Convertiv, Jellyfish, Making Science")</f>
        <v>Cometly, Incubeta, Artefact, Convertiv, Jellyfish, Making Science</v>
      </c>
      <c r="L896" s="187">
        <f>IFERROR(__xludf.DUMMYFUNCTION("""COMPUTED_VALUE"""),28.0)</f>
        <v>28</v>
      </c>
      <c r="M896" s="188">
        <f>IFERROR(__xludf.DUMMYFUNCTION("""COMPUTED_VALUE"""),0.03)</f>
        <v>0.03</v>
      </c>
      <c r="N896" s="188">
        <f>IFERROR(__xludf.DUMMYFUNCTION("""COMPUTED_VALUE"""),1.71)</f>
        <v>1.71</v>
      </c>
      <c r="O896" s="208"/>
      <c r="P896" s="208"/>
      <c r="Q896" s="208"/>
      <c r="R896" s="208"/>
    </row>
    <row r="897">
      <c r="A897" s="185" t="str">
        <f>IFERROR(__xludf.DUMMYFUNCTION("""COMPUTED_VALUE"""),"Agency directory / review marketplace")</f>
        <v>Agency directory / review marketplace</v>
      </c>
      <c r="B897" s="186" t="str">
        <f>IFERROR(__xludf.DUMMYFUNCTION("""COMPUTED_VALUE"""),"https://www.designrush.com/agency/creative-agencies/de")</f>
        <v>https://www.designrush.com/agency/creative-agencies/de</v>
      </c>
      <c r="C897" s="185" t="str">
        <f>IFERROR(__xludf.DUMMYFUNCTION("""COMPUTED_VALUE"""),"Top Creative Agencies in Germany | 2026")</f>
        <v>Top Creative Agencies in Germany | 2026</v>
      </c>
      <c r="D897" s="185" t="str">
        <f>IFERROR(__xludf.DUMMYFUNCTION("""COMPUTED_VALUE"""),"DE")</f>
        <v>DE</v>
      </c>
      <c r="E897" s="185" t="str">
        <f>IFERROR(__xludf.DUMMYFUNCTION("""COMPUTED_VALUE"""),"designrush.com")</f>
        <v>designrush.com</v>
      </c>
      <c r="F897" s="185" t="str">
        <f>IFERROR(__xludf.DUMMYFUNCTION("""COMPUTED_VALUE"""),"Category Page")</f>
        <v>Category Page</v>
      </c>
      <c r="G897" s="185" t="str">
        <f>IFERROR(__xludf.DUMMYFUNCTION("""COMPUTED_VALUE"""),"CORPORATE")</f>
        <v>CORPORATE</v>
      </c>
      <c r="H897" s="185" t="str">
        <f>IFERROR(__xludf.DUMMYFUNCTION("""COMPUTED_VALUE"""),"No")</f>
        <v>No</v>
      </c>
      <c r="I897" s="185" t="str">
        <f>IFERROR(__xludf.DUMMYFUNCTION("""COMPUTED_VALUE"""),"Medium")</f>
        <v>Medium</v>
      </c>
      <c r="J897" s="185" t="str">
        <f>IFERROR(__xludf.DUMMYFUNCTION("""COMPUTED_VALUE"""),"Yes")</f>
        <v>Yes</v>
      </c>
      <c r="K897" s="185" t="str">
        <f>IFERROR(__xludf.DUMMYFUNCTION("""COMPUTED_VALUE"""),"REPLUG, EY")</f>
        <v>REPLUG, EY</v>
      </c>
      <c r="L897" s="187">
        <f>IFERROR(__xludf.DUMMYFUNCTION("""COMPUTED_VALUE"""),28.0)</f>
        <v>28</v>
      </c>
      <c r="M897" s="188">
        <f>IFERROR(__xludf.DUMMYFUNCTION("""COMPUTED_VALUE"""),0.03)</f>
        <v>0.03</v>
      </c>
      <c r="N897" s="188">
        <f>IFERROR(__xludf.DUMMYFUNCTION("""COMPUTED_VALUE"""),0.57)</f>
        <v>0.57</v>
      </c>
      <c r="O897" s="208"/>
      <c r="P897" s="208"/>
      <c r="Q897" s="208"/>
      <c r="R897" s="208"/>
    </row>
    <row r="898">
      <c r="A898" s="185" t="str">
        <f>IFERROR(__xludf.DUMMYFUNCTION("""COMPUTED_VALUE"""),"Industry data / software authority")</f>
        <v>Industry data / software authority</v>
      </c>
      <c r="B898" s="186" t="str">
        <f>IFERROR(__xludf.DUMMYFUNCTION("""COMPUTED_VALUE"""),"https://agencies.semrush.com/list/advertising/germany/")</f>
        <v>https://agencies.semrush.com/list/advertising/germany/</v>
      </c>
      <c r="C898" s="185" t="str">
        <f>IFERROR(__xludf.DUMMYFUNCTION("""COMPUTED_VALUE"""),"Best Advertising Agencies in Germany 2026 | Semrush")</f>
        <v>Best Advertising Agencies in Germany 2026 | Semrush</v>
      </c>
      <c r="D898" s="185" t="str">
        <f>IFERROR(__xludf.DUMMYFUNCTION("""COMPUTED_VALUE"""),"DE")</f>
        <v>DE</v>
      </c>
      <c r="E898" s="185" t="str">
        <f>IFERROR(__xludf.DUMMYFUNCTION("""COMPUTED_VALUE"""),"semrush.com")</f>
        <v>semrush.com</v>
      </c>
      <c r="F898" s="185" t="str">
        <f>IFERROR(__xludf.DUMMYFUNCTION("""COMPUTED_VALUE"""),"Category Page")</f>
        <v>Category Page</v>
      </c>
      <c r="G898" s="185" t="str">
        <f>IFERROR(__xludf.DUMMYFUNCTION("""COMPUTED_VALUE"""),"CORPORATE")</f>
        <v>CORPORATE</v>
      </c>
      <c r="H898" s="185" t="str">
        <f>IFERROR(__xludf.DUMMYFUNCTION("""COMPUTED_VALUE"""),"No")</f>
        <v>No</v>
      </c>
      <c r="I898" s="185" t="str">
        <f>IFERROR(__xludf.DUMMYFUNCTION("""COMPUTED_VALUE"""),"Medium")</f>
        <v>Medium</v>
      </c>
      <c r="J898" s="185" t="str">
        <f>IFERROR(__xludf.DUMMYFUNCTION("""COMPUTED_VALUE"""),"Yes")</f>
        <v>Yes</v>
      </c>
      <c r="K898" s="185" t="str">
        <f>IFERROR(__xludf.DUMMYFUNCTION("""COMPUTED_VALUE"""),"Baseplus DIGITAL MEDIA GmbH, morefire, Mediaplus Performance, MONSOON, Mediacharge, KlickPiloten, Huge")</f>
        <v>Baseplus DIGITAL MEDIA GmbH, morefire, Mediaplus Performance, MONSOON, Mediacharge, KlickPiloten, Huge</v>
      </c>
      <c r="L898" s="187">
        <f>IFERROR(__xludf.DUMMYFUNCTION("""COMPUTED_VALUE"""),27.0)</f>
        <v>27</v>
      </c>
      <c r="M898" s="188">
        <f>IFERROR(__xludf.DUMMYFUNCTION("""COMPUTED_VALUE"""),0.03)</f>
        <v>0.03</v>
      </c>
      <c r="N898" s="188">
        <f>IFERROR(__xludf.DUMMYFUNCTION("""COMPUTED_VALUE"""),0.67)</f>
        <v>0.67</v>
      </c>
      <c r="O898" s="208"/>
      <c r="P898" s="208"/>
      <c r="Q898" s="208"/>
      <c r="R898" s="208"/>
    </row>
    <row r="899">
      <c r="A899" s="185" t="str">
        <f>IFERROR(__xludf.DUMMYFUNCTION("""COMPUTED_VALUE"""),"Agency directory / review marketplace")</f>
        <v>Agency directory / review marketplace</v>
      </c>
      <c r="B899" s="186" t="str">
        <f>IFERROR(__xludf.DUMMYFUNCTION("""COMPUTED_VALUE"""),"https://clutch.co/de/agencies/market-research")</f>
        <v>https://clutch.co/de/agencies/market-research</v>
      </c>
      <c r="C899" s="185" t="str">
        <f>IFERROR(__xludf.DUMMYFUNCTION("""COMPUTED_VALUE"""),"Top Market Research Companies in Germany - Jul 2026 Rankings | Clutch.co")</f>
        <v>Top Market Research Companies in Germany - Jul 2026 Rankings | Clutch.co</v>
      </c>
      <c r="D899" s="185" t="str">
        <f>IFERROR(__xludf.DUMMYFUNCTION("""COMPUTED_VALUE"""),"DE")</f>
        <v>DE</v>
      </c>
      <c r="E899" s="185" t="str">
        <f>IFERROR(__xludf.DUMMYFUNCTION("""COMPUTED_VALUE"""),"clutch.co")</f>
        <v>clutch.co</v>
      </c>
      <c r="F899" s="185" t="str">
        <f>IFERROR(__xludf.DUMMYFUNCTION("""COMPUTED_VALUE"""),"Category Page")</f>
        <v>Category Page</v>
      </c>
      <c r="G899" s="185" t="str">
        <f>IFERROR(__xludf.DUMMYFUNCTION("""COMPUTED_VALUE"""),"CORPORATE")</f>
        <v>CORPORATE</v>
      </c>
      <c r="H899" s="185" t="str">
        <f>IFERROR(__xludf.DUMMYFUNCTION("""COMPUTED_VALUE"""),"No")</f>
        <v>No</v>
      </c>
      <c r="I899" s="185" t="str">
        <f>IFERROR(__xludf.DUMMYFUNCTION("""COMPUTED_VALUE"""),"Medium")</f>
        <v>Medium</v>
      </c>
      <c r="J899" s="185" t="str">
        <f>IFERROR(__xludf.DUMMYFUNCTION("""COMPUTED_VALUE"""),"Yes")</f>
        <v>Yes</v>
      </c>
      <c r="K899" s="185" t="str">
        <f>IFERROR(__xludf.DUMMYFUNCTION("""COMPUTED_VALUE"""),"LNQP GmbH, Merkle")</f>
        <v>LNQP GmbH, Merkle</v>
      </c>
      <c r="L899" s="187">
        <f>IFERROR(__xludf.DUMMYFUNCTION("""COMPUTED_VALUE"""),26.0)</f>
        <v>26</v>
      </c>
      <c r="M899" s="188">
        <f>IFERROR(__xludf.DUMMYFUNCTION("""COMPUTED_VALUE"""),0.03)</f>
        <v>0.03</v>
      </c>
      <c r="N899" s="188">
        <f>IFERROR(__xludf.DUMMYFUNCTION("""COMPUTED_VALUE"""),2.23)</f>
        <v>2.23</v>
      </c>
      <c r="O899" s="208"/>
      <c r="P899" s="208"/>
      <c r="Q899" s="208"/>
      <c r="R899" s="208"/>
    </row>
    <row r="900">
      <c r="A900" s="185" t="str">
        <f>IFERROR(__xludf.DUMMYFUNCTION("""COMPUTED_VALUE"""),"Agency directory / review marketplace")</f>
        <v>Agency directory / review marketplace</v>
      </c>
      <c r="B900" s="186" t="str">
        <f>IFERROR(__xludf.DUMMYFUNCTION("""COMPUTED_VALUE"""),"https://www.goodfirms.co/advertising-companies/creative/germany")</f>
        <v>https://www.goodfirms.co/advertising-companies/creative/germany</v>
      </c>
      <c r="C900" s="185" t="str">
        <f>IFERROR(__xludf.DUMMYFUNCTION("""COMPUTED_VALUE"""),"Top Creative Agencies in Germany - 2026 Reviews | Goodfirms")</f>
        <v>Top Creative Agencies in Germany - 2026 Reviews | Goodfirms</v>
      </c>
      <c r="D900" s="185" t="str">
        <f>IFERROR(__xludf.DUMMYFUNCTION("""COMPUTED_VALUE"""),"DE")</f>
        <v>DE</v>
      </c>
      <c r="E900" s="185" t="str">
        <f>IFERROR(__xludf.DUMMYFUNCTION("""COMPUTED_VALUE"""),"goodfirms.co")</f>
        <v>goodfirms.co</v>
      </c>
      <c r="F900" s="185" t="str">
        <f>IFERROR(__xludf.DUMMYFUNCTION("""COMPUTED_VALUE"""),"Category Page")</f>
        <v>Category Page</v>
      </c>
      <c r="G900" s="185" t="str">
        <f>IFERROR(__xludf.DUMMYFUNCTION("""COMPUTED_VALUE"""),"UGC")</f>
        <v>UGC</v>
      </c>
      <c r="H900" s="185" t="str">
        <f>IFERROR(__xludf.DUMMYFUNCTION("""COMPUTED_VALUE"""),"No")</f>
        <v>No</v>
      </c>
      <c r="I900" s="185" t="str">
        <f>IFERROR(__xludf.DUMMYFUNCTION("""COMPUTED_VALUE"""),"Medium")</f>
        <v>Medium</v>
      </c>
      <c r="J900" s="185" t="str">
        <f>IFERROR(__xludf.DUMMYFUNCTION("""COMPUTED_VALUE"""),"Yes")</f>
        <v>Yes</v>
      </c>
      <c r="K900" s="185" t="str">
        <f>IFERROR(__xludf.DUMMYFUNCTION("""COMPUTED_VALUE"""),"Mediacharge, Scholz &amp; Friends, Publicis Groupe")</f>
        <v>Mediacharge, Scholz &amp; Friends, Publicis Groupe</v>
      </c>
      <c r="L900" s="187">
        <f>IFERROR(__xludf.DUMMYFUNCTION("""COMPUTED_VALUE"""),26.0)</f>
        <v>26</v>
      </c>
      <c r="M900" s="188">
        <f>IFERROR(__xludf.DUMMYFUNCTION("""COMPUTED_VALUE"""),0.03)</f>
        <v>0.03</v>
      </c>
      <c r="N900" s="188">
        <f>IFERROR(__xludf.DUMMYFUNCTION("""COMPUTED_VALUE"""),0.58)</f>
        <v>0.58</v>
      </c>
      <c r="O900" s="208"/>
      <c r="P900" s="208"/>
      <c r="Q900" s="208"/>
      <c r="R900" s="208"/>
    </row>
    <row r="901">
      <c r="A901" s="185" t="str">
        <f>IFERROR(__xludf.DUMMYFUNCTION("""COMPUTED_VALUE"""),"Agency directory / review marketplace")</f>
        <v>Agency directory / review marketplace</v>
      </c>
      <c r="B901" s="186" t="str">
        <f>IFERROR(__xludf.DUMMYFUNCTION("""COMPUTED_VALUE"""),"https://digitalagencynetwork.com/agencies/berlin/")</f>
        <v>https://digitalagencynetwork.com/agencies/berlin/</v>
      </c>
      <c r="C901" s="185" t="str">
        <f>IFERROR(__xludf.DUMMYFUNCTION("""COMPUTED_VALUE"""),"Top Digital Marketing Agencies in Berlin, Germany (2026)")</f>
        <v>Top Digital Marketing Agencies in Berlin, Germany (2026)</v>
      </c>
      <c r="D901" s="185" t="str">
        <f>IFERROR(__xludf.DUMMYFUNCTION("""COMPUTED_VALUE"""),"DE")</f>
        <v>DE</v>
      </c>
      <c r="E901" s="185" t="str">
        <f>IFERROR(__xludf.DUMMYFUNCTION("""COMPUTED_VALUE"""),"digitalagencynetwork.com")</f>
        <v>digitalagencynetwork.com</v>
      </c>
      <c r="F901" s="185" t="str">
        <f>IFERROR(__xludf.DUMMYFUNCTION("""COMPUTED_VALUE"""),"Profile")</f>
        <v>Profile</v>
      </c>
      <c r="G901" s="185" t="str">
        <f>IFERROR(__xludf.DUMMYFUNCTION("""COMPUTED_VALUE"""),"REFERENCE")</f>
        <v>REFERENCE</v>
      </c>
      <c r="H901" s="185" t="str">
        <f>IFERROR(__xludf.DUMMYFUNCTION("""COMPUTED_VALUE"""),"No")</f>
        <v>No</v>
      </c>
      <c r="I901" s="185" t="str">
        <f>IFERROR(__xludf.DUMMYFUNCTION("""COMPUTED_VALUE"""),"Medium")</f>
        <v>Medium</v>
      </c>
      <c r="J901" s="185" t="str">
        <f>IFERROR(__xludf.DUMMYFUNCTION("""COMPUTED_VALUE"""),"Yes")</f>
        <v>Yes</v>
      </c>
      <c r="K901" s="185" t="str">
        <f>IFERROR(__xludf.DUMMYFUNCTION("""COMPUTED_VALUE"""),"MONSOON, PANORAMA3000, HY.AM STUDIOS")</f>
        <v>MONSOON, PANORAMA3000, HY.AM STUDIOS</v>
      </c>
      <c r="L901" s="187">
        <f>IFERROR(__xludf.DUMMYFUNCTION("""COMPUTED_VALUE"""),24.0)</f>
        <v>24</v>
      </c>
      <c r="M901" s="188">
        <f>IFERROR(__xludf.DUMMYFUNCTION("""COMPUTED_VALUE"""),0.02)</f>
        <v>0.02</v>
      </c>
      <c r="N901" s="188">
        <f>IFERROR(__xludf.DUMMYFUNCTION("""COMPUTED_VALUE"""),0.33)</f>
        <v>0.33</v>
      </c>
      <c r="O901" s="208"/>
      <c r="P901" s="208"/>
      <c r="Q901" s="208"/>
      <c r="R901" s="208"/>
    </row>
    <row r="902">
      <c r="A902" s="185" t="str">
        <f>IFERROR(__xludf.DUMMYFUNCTION("""COMPUTED_VALUE"""),"Agency directory / review marketplace")</f>
        <v>Agency directory / review marketplace</v>
      </c>
      <c r="B902" s="186" t="str">
        <f>IFERROR(__xludf.DUMMYFUNCTION("""COMPUTED_VALUE"""),"https://feedbax.ai/performance-marketing/germany")</f>
        <v>https://feedbax.ai/performance-marketing/germany</v>
      </c>
      <c r="C902" s="185" t="str">
        <f>IFERROR(__xludf.DUMMYFUNCTION("""COMPUTED_VALUE"""),"Top 20 Performance Marketing Agencies in Germany - 2026 Reviews")</f>
        <v>Top 20 Performance Marketing Agencies in Germany - 2026 Reviews</v>
      </c>
      <c r="D902" s="185" t="str">
        <f>IFERROR(__xludf.DUMMYFUNCTION("""COMPUTED_VALUE"""),"DE")</f>
        <v>DE</v>
      </c>
      <c r="E902" s="185" t="str">
        <f>IFERROR(__xludf.DUMMYFUNCTION("""COMPUTED_VALUE"""),"feedbax.ai")</f>
        <v>feedbax.ai</v>
      </c>
      <c r="F902" s="185" t="str">
        <f>IFERROR(__xludf.DUMMYFUNCTION("""COMPUTED_VALUE"""),"Profile")</f>
        <v>Profile</v>
      </c>
      <c r="G902" s="185" t="str">
        <f>IFERROR(__xludf.DUMMYFUNCTION("""COMPUTED_VALUE"""),"UGC")</f>
        <v>UGC</v>
      </c>
      <c r="H902" s="185" t="str">
        <f>IFERROR(__xludf.DUMMYFUNCTION("""COMPUTED_VALUE"""),"No")</f>
        <v>No</v>
      </c>
      <c r="I902" s="185" t="str">
        <f>IFERROR(__xludf.DUMMYFUNCTION("""COMPUTED_VALUE"""),"Medium")</f>
        <v>Medium</v>
      </c>
      <c r="J902" s="185" t="str">
        <f>IFERROR(__xludf.DUMMYFUNCTION("""COMPUTED_VALUE"""),"Yes")</f>
        <v>Yes</v>
      </c>
      <c r="K902" s="185" t="str">
        <f>IFERROR(__xludf.DUMMYFUNCTION("""COMPUTED_VALUE"""),"PANORAMA3000, KlickPiloten, Mediacharge, Smarketer, DREIKON, Suchhelden")</f>
        <v>PANORAMA3000, KlickPiloten, Mediacharge, Smarketer, DREIKON, Suchhelden</v>
      </c>
      <c r="L902" s="187">
        <f>IFERROR(__xludf.DUMMYFUNCTION("""COMPUTED_VALUE"""),24.0)</f>
        <v>24</v>
      </c>
      <c r="M902" s="188">
        <f>IFERROR(__xludf.DUMMYFUNCTION("""COMPUTED_VALUE"""),0.02)</f>
        <v>0.02</v>
      </c>
      <c r="N902" s="188">
        <f>IFERROR(__xludf.DUMMYFUNCTION("""COMPUTED_VALUE"""),0.54)</f>
        <v>0.54</v>
      </c>
      <c r="O902" s="208"/>
      <c r="P902" s="208"/>
      <c r="Q902" s="208"/>
      <c r="R902" s="208"/>
    </row>
    <row r="903">
      <c r="A903" s="185" t="str">
        <f>IFERROR(__xludf.DUMMYFUNCTION("""COMPUTED_VALUE"""),"Agency directory / review marketplace")</f>
        <v>Agency directory / review marketplace</v>
      </c>
      <c r="B903" s="186" t="str">
        <f>IFERROR(__xludf.DUMMYFUNCTION("""COMPUTED_VALUE"""),"https://www.sortlist.de/s/bezahlte-media/deutschland-de")</f>
        <v>https://www.sortlist.de/s/bezahlte-media/deutschland-de</v>
      </c>
      <c r="C903" s="185" t="str">
        <f>IFERROR(__xludf.DUMMYFUNCTION("""COMPUTED_VALUE"""),"Unsere 10 Besten Bezahlte Media Agenturen in Deutschland - 2026 Bewertungen")</f>
        <v>Unsere 10 Besten Bezahlte Media Agenturen in Deutschland - 2026 Bewertungen</v>
      </c>
      <c r="D903" s="185" t="str">
        <f>IFERROR(__xludf.DUMMYFUNCTION("""COMPUTED_VALUE"""),"DE")</f>
        <v>DE</v>
      </c>
      <c r="E903" s="185" t="str">
        <f>IFERROR(__xludf.DUMMYFUNCTION("""COMPUTED_VALUE"""),"sortlist.de")</f>
        <v>sortlist.de</v>
      </c>
      <c r="F903" s="185" t="str">
        <f>IFERROR(__xludf.DUMMYFUNCTION("""COMPUTED_VALUE"""),"How-To Guide")</f>
        <v>How-To Guide</v>
      </c>
      <c r="G903" s="185" t="str">
        <f>IFERROR(__xludf.DUMMYFUNCTION("""COMPUTED_VALUE"""),"CORPORATE")</f>
        <v>CORPORATE</v>
      </c>
      <c r="H903" s="185" t="str">
        <f>IFERROR(__xludf.DUMMYFUNCTION("""COMPUTED_VALUE"""),"No")</f>
        <v>No</v>
      </c>
      <c r="I903" s="185" t="str">
        <f>IFERROR(__xludf.DUMMYFUNCTION("""COMPUTED_VALUE"""),"Medium")</f>
        <v>Medium</v>
      </c>
      <c r="J903" s="185" t="str">
        <f>IFERROR(__xludf.DUMMYFUNCTION("""COMPUTED_VALUE"""),"Yes")</f>
        <v>Yes</v>
      </c>
      <c r="K903" s="185" t="str">
        <f>IFERROR(__xludf.DUMMYFUNCTION("""COMPUTED_VALUE"""),"lehof, MONSOON, KlickPiloten, Mediacharge")</f>
        <v>lehof, MONSOON, KlickPiloten, Mediacharge</v>
      </c>
      <c r="L903" s="187">
        <f>IFERROR(__xludf.DUMMYFUNCTION("""COMPUTED_VALUE"""),24.0)</f>
        <v>24</v>
      </c>
      <c r="M903" s="188">
        <f>IFERROR(__xludf.DUMMYFUNCTION("""COMPUTED_VALUE"""),0.02)</f>
        <v>0.02</v>
      </c>
      <c r="N903" s="188">
        <f>IFERROR(__xludf.DUMMYFUNCTION("""COMPUTED_VALUE"""),3.75)</f>
        <v>3.75</v>
      </c>
      <c r="O903" s="208"/>
      <c r="P903" s="208"/>
      <c r="Q903" s="208"/>
      <c r="R903" s="208"/>
    </row>
    <row r="904">
      <c r="A904" s="185" t="str">
        <f>IFERROR(__xludf.DUMMYFUNCTION("""COMPUTED_VALUE"""),"Agency directory / review marketplace")</f>
        <v>Agency directory / review marketplace</v>
      </c>
      <c r="B904" s="186" t="str">
        <f>IFERROR(__xludf.DUMMYFUNCTION("""COMPUTED_VALUE"""),"https://techbehemoths.com/companies/google-marketing-platform/germany")</f>
        <v>https://techbehemoths.com/companies/google-marketing-platform/germany</v>
      </c>
      <c r="C904" s="185" t="str">
        <f>IFERROR(__xludf.DUMMYFUNCTION("""COMPUTED_VALUE"""),"Top 20+ Google Marketing Platform Companies in Germany (2026) - TechBehemoths")</f>
        <v>Top 20+ Google Marketing Platform Companies in Germany (2026) - TechBehemoths</v>
      </c>
      <c r="D904" s="185" t="str">
        <f>IFERROR(__xludf.DUMMYFUNCTION("""COMPUTED_VALUE"""),"DE")</f>
        <v>DE</v>
      </c>
      <c r="E904" s="185" t="str">
        <f>IFERROR(__xludf.DUMMYFUNCTION("""COMPUTED_VALUE"""),"techbehemoths.com")</f>
        <v>techbehemoths.com</v>
      </c>
      <c r="F904" s="185" t="str">
        <f>IFERROR(__xludf.DUMMYFUNCTION("""COMPUTED_VALUE"""),"Profile")</f>
        <v>Profile</v>
      </c>
      <c r="G904" s="185" t="str">
        <f>IFERROR(__xludf.DUMMYFUNCTION("""COMPUTED_VALUE"""),"REFERENCE")</f>
        <v>REFERENCE</v>
      </c>
      <c r="H904" s="185" t="str">
        <f>IFERROR(__xludf.DUMMYFUNCTION("""COMPUTED_VALUE"""),"No")</f>
        <v>No</v>
      </c>
      <c r="I904" s="185" t="str">
        <f>IFERROR(__xludf.DUMMYFUNCTION("""COMPUTED_VALUE"""),"Medium")</f>
        <v>Medium</v>
      </c>
      <c r="J904" s="185" t="str">
        <f>IFERROR(__xludf.DUMMYFUNCTION("""COMPUTED_VALUE"""),"Yes")</f>
        <v>Yes</v>
      </c>
      <c r="K904" s="185" t="str">
        <f>IFERROR(__xludf.DUMMYFUNCTION("""COMPUTED_VALUE"""),"Peak Ace, Huge")</f>
        <v>Peak Ace, Huge</v>
      </c>
      <c r="L904" s="187">
        <f>IFERROR(__xludf.DUMMYFUNCTION("""COMPUTED_VALUE"""),24.0)</f>
        <v>24</v>
      </c>
      <c r="M904" s="188">
        <f>IFERROR(__xludf.DUMMYFUNCTION("""COMPUTED_VALUE"""),0.02)</f>
        <v>0.02</v>
      </c>
      <c r="N904" s="188">
        <f>IFERROR(__xludf.DUMMYFUNCTION("""COMPUTED_VALUE"""),0.29)</f>
        <v>0.29</v>
      </c>
      <c r="O904" s="208"/>
      <c r="P904" s="208"/>
      <c r="Q904" s="208"/>
      <c r="R904" s="208"/>
    </row>
    <row r="905">
      <c r="A905" s="185" t="str">
        <f>IFERROR(__xludf.DUMMYFUNCTION("""COMPUTED_VALUE"""),"Agency directory / review marketplace")</f>
        <v>Agency directory / review marketplace</v>
      </c>
      <c r="B905" s="186" t="str">
        <f>IFERROR(__xludf.DUMMYFUNCTION("""COMPUTED_VALUE"""),"https://techbehemoths.com/companies/media-planning-buying/germany")</f>
        <v>https://techbehemoths.com/companies/media-planning-buying/germany</v>
      </c>
      <c r="C905" s="185" t="str">
        <f>IFERROR(__xludf.DUMMYFUNCTION("""COMPUTED_VALUE"""),"Top 20+ Media Planning &amp;amp; Buying Agencies in Germany (2026) - TechBehemoths")</f>
        <v>Top 20+ Media Planning &amp;amp; Buying Agencies in Germany (2026) - TechBehemoths</v>
      </c>
      <c r="D905" s="185" t="str">
        <f>IFERROR(__xludf.DUMMYFUNCTION("""COMPUTED_VALUE"""),"DE")</f>
        <v>DE</v>
      </c>
      <c r="E905" s="185" t="str">
        <f>IFERROR(__xludf.DUMMYFUNCTION("""COMPUTED_VALUE"""),"techbehemoths.com")</f>
        <v>techbehemoths.com</v>
      </c>
      <c r="F905" s="185" t="str">
        <f>IFERROR(__xludf.DUMMYFUNCTION("""COMPUTED_VALUE"""),"Profile")</f>
        <v>Profile</v>
      </c>
      <c r="G905" s="185" t="str">
        <f>IFERROR(__xludf.DUMMYFUNCTION("""COMPUTED_VALUE"""),"REFERENCE")</f>
        <v>REFERENCE</v>
      </c>
      <c r="H905" s="185" t="str">
        <f>IFERROR(__xludf.DUMMYFUNCTION("""COMPUTED_VALUE"""),"No")</f>
        <v>No</v>
      </c>
      <c r="I905" s="185" t="str">
        <f>IFERROR(__xludf.DUMMYFUNCTION("""COMPUTED_VALUE"""),"Medium")</f>
        <v>Medium</v>
      </c>
      <c r="J905" s="185" t="str">
        <f>IFERROR(__xludf.DUMMYFUNCTION("""COMPUTED_VALUE"""),"Yes")</f>
        <v>Yes</v>
      </c>
      <c r="K905" s="185" t="str">
        <f>IFERROR(__xludf.DUMMYFUNCTION("""COMPUTED_VALUE"""),"Admiral Media, Pilot, Huge")</f>
        <v>Admiral Media, Pilot, Huge</v>
      </c>
      <c r="L905" s="187">
        <f>IFERROR(__xludf.DUMMYFUNCTION("""COMPUTED_VALUE"""),23.0)</f>
        <v>23</v>
      </c>
      <c r="M905" s="188">
        <f>IFERROR(__xludf.DUMMYFUNCTION("""COMPUTED_VALUE"""),0.02)</f>
        <v>0.02</v>
      </c>
      <c r="N905" s="188">
        <f>IFERROR(__xludf.DUMMYFUNCTION("""COMPUTED_VALUE"""),0.48)</f>
        <v>0.48</v>
      </c>
      <c r="O905" s="208"/>
      <c r="P905" s="208"/>
      <c r="Q905" s="208"/>
      <c r="R905" s="208"/>
    </row>
    <row r="906">
      <c r="A906" s="185" t="str">
        <f>IFERROR(__xludf.DUMMYFUNCTION("""COMPUTED_VALUE"""),"Industry data / software authority")</f>
        <v>Industry data / software authority</v>
      </c>
      <c r="B906" s="186" t="str">
        <f>IFERROR(__xludf.DUMMYFUNCTION("""COMPUTED_VALUE"""),"https://agencies.semrush.com/list/display-advertising/germany/small-business/")</f>
        <v>https://agencies.semrush.com/list/display-advertising/germany/small-business/</v>
      </c>
      <c r="C906" s="185" t="str">
        <f>IFERROR(__xludf.DUMMYFUNCTION("""COMPUTED_VALUE"""),"Best Display Ads Agencies for Small Business in Germany 2026 | Semrush")</f>
        <v>Best Display Ads Agencies for Small Business in Germany 2026 | Semrush</v>
      </c>
      <c r="D906" s="185" t="str">
        <f>IFERROR(__xludf.DUMMYFUNCTION("""COMPUTED_VALUE"""),"DE")</f>
        <v>DE</v>
      </c>
      <c r="E906" s="185" t="str">
        <f>IFERROR(__xludf.DUMMYFUNCTION("""COMPUTED_VALUE"""),"semrush.com")</f>
        <v>semrush.com</v>
      </c>
      <c r="F906" s="185" t="str">
        <f>IFERROR(__xludf.DUMMYFUNCTION("""COMPUTED_VALUE"""),"Other")</f>
        <v>Other</v>
      </c>
      <c r="G906" s="185" t="str">
        <f>IFERROR(__xludf.DUMMYFUNCTION("""COMPUTED_VALUE"""),"CORPORATE")</f>
        <v>CORPORATE</v>
      </c>
      <c r="H906" s="185" t="str">
        <f>IFERROR(__xludf.DUMMYFUNCTION("""COMPUTED_VALUE"""),"No")</f>
        <v>No</v>
      </c>
      <c r="I906" s="185" t="str">
        <f>IFERROR(__xludf.DUMMYFUNCTION("""COMPUTED_VALUE"""),"Medium")</f>
        <v>Medium</v>
      </c>
      <c r="J906" s="185" t="str">
        <f>IFERROR(__xludf.DUMMYFUNCTION("""COMPUTED_VALUE"""),"Yes")</f>
        <v>Yes</v>
      </c>
      <c r="K906" s="185" t="str">
        <f>IFERROR(__xludf.DUMMYFUNCTION("""COMPUTED_VALUE"""),"Baseplus DIGITAL MEDIA GmbH, Mediaplus Performance, MONSOON, KlickPiloten")</f>
        <v>Baseplus DIGITAL MEDIA GmbH, Mediaplus Performance, MONSOON, KlickPiloten</v>
      </c>
      <c r="L906" s="187">
        <f>IFERROR(__xludf.DUMMYFUNCTION("""COMPUTED_VALUE"""),22.0)</f>
        <v>22</v>
      </c>
      <c r="M906" s="188">
        <f>IFERROR(__xludf.DUMMYFUNCTION("""COMPUTED_VALUE"""),0.02)</f>
        <v>0.02</v>
      </c>
      <c r="N906" s="188">
        <f>IFERROR(__xludf.DUMMYFUNCTION("""COMPUTED_VALUE"""),0.41)</f>
        <v>0.41</v>
      </c>
      <c r="O906" s="208"/>
      <c r="P906" s="208"/>
      <c r="Q906" s="208"/>
      <c r="R906" s="208"/>
    </row>
    <row r="907">
      <c r="A907" s="185" t="str">
        <f>IFERROR(__xludf.DUMMYFUNCTION("""COMPUTED_VALUE"""),"Lower-priority competitor/vendor roundup")</f>
        <v>Lower-priority competitor/vendor roundup</v>
      </c>
      <c r="B907" s="186" t="str">
        <f>IFERROR(__xludf.DUMMYFUNCTION("""COMPUTED_VALUE"""),"https://www.cometly.com/post/marketing-incrementality-testing-tools")</f>
        <v>https://www.cometly.com/post/marketing-incrementality-testing-tools</v>
      </c>
      <c r="C907" s="185" t="str">
        <f>IFERROR(__xludf.DUMMYFUNCTION("""COMPUTED_VALUE"""),"9 Best Marketing Incrementality Testing Tools 2026")</f>
        <v>9 Best Marketing Incrementality Testing Tools 2026</v>
      </c>
      <c r="D907" s="185" t="str">
        <f>IFERROR(__xludf.DUMMYFUNCTION("""COMPUTED_VALUE"""),"DE")</f>
        <v>DE</v>
      </c>
      <c r="E907" s="185" t="str">
        <f>IFERROR(__xludf.DUMMYFUNCTION("""COMPUTED_VALUE"""),"cometly.com")</f>
        <v>cometly.com</v>
      </c>
      <c r="F907" s="185" t="str">
        <f>IFERROR(__xludf.DUMMYFUNCTION("""COMPUTED_VALUE"""),"Listicle")</f>
        <v>Listicle</v>
      </c>
      <c r="G907" s="185" t="str">
        <f>IFERROR(__xludf.DUMMYFUNCTION("""COMPUTED_VALUE"""),"COMPETITOR")</f>
        <v>COMPETITOR</v>
      </c>
      <c r="H907" s="185" t="str">
        <f>IFERROR(__xludf.DUMMYFUNCTION("""COMPUTED_VALUE"""),"No")</f>
        <v>No</v>
      </c>
      <c r="I907" s="185" t="str">
        <f>IFERROR(__xludf.DUMMYFUNCTION("""COMPUTED_VALUE"""),"Low")</f>
        <v>Low</v>
      </c>
      <c r="J907" s="185" t="str">
        <f>IFERROR(__xludf.DUMMYFUNCTION("""COMPUTED_VALUE"""),"Secondary")</f>
        <v>Secondary</v>
      </c>
      <c r="K907" s="185" t="str">
        <f>IFERROR(__xludf.DUMMYFUNCTION("""COMPUTED_VALUE"""),"Cometly, Measured, Rockerbox, Northbeam, LifeSight, Haus, Recast")</f>
        <v>Cometly, Measured, Rockerbox, Northbeam, LifeSight, Haus, Recast</v>
      </c>
      <c r="L907" s="187">
        <f>IFERROR(__xludf.DUMMYFUNCTION("""COMPUTED_VALUE"""),22.0)</f>
        <v>22</v>
      </c>
      <c r="M907" s="188">
        <f>IFERROR(__xludf.DUMMYFUNCTION("""COMPUTED_VALUE"""),0.02)</f>
        <v>0.02</v>
      </c>
      <c r="N907" s="188">
        <f>IFERROR(__xludf.DUMMYFUNCTION("""COMPUTED_VALUE"""),0.5)</f>
        <v>0.5</v>
      </c>
      <c r="O907" s="208"/>
      <c r="P907" s="208"/>
      <c r="Q907" s="208"/>
      <c r="R907" s="208"/>
    </row>
    <row r="908">
      <c r="A908" s="185" t="str">
        <f>IFERROR(__xludf.DUMMYFUNCTION("""COMPUTED_VALUE"""),"Industry data / software authority")</f>
        <v>Industry data / software authority</v>
      </c>
      <c r="B908" s="186" t="str">
        <f>IFERROR(__xludf.DUMMYFUNCTION("""COMPUTED_VALUE"""),"https://agencies.semrush.com/list/market-analysis/germany/")</f>
        <v>https://agencies.semrush.com/list/market-analysis/germany/</v>
      </c>
      <c r="C908" s="185" t="str">
        <f>IFERROR(__xludf.DUMMYFUNCTION("""COMPUTED_VALUE"""),"Best Market Research Companies in Germany 2026 | Semrush")</f>
        <v>Best Market Research Companies in Germany 2026 | Semrush</v>
      </c>
      <c r="D908" s="185" t="str">
        <f>IFERROR(__xludf.DUMMYFUNCTION("""COMPUTED_VALUE"""),"DE")</f>
        <v>DE</v>
      </c>
      <c r="E908" s="185" t="str">
        <f>IFERROR(__xludf.DUMMYFUNCTION("""COMPUTED_VALUE"""),"semrush.com")</f>
        <v>semrush.com</v>
      </c>
      <c r="F908" s="185" t="str">
        <f>IFERROR(__xludf.DUMMYFUNCTION("""COMPUTED_VALUE"""),"Category Page")</f>
        <v>Category Page</v>
      </c>
      <c r="G908" s="185" t="str">
        <f>IFERROR(__xludf.DUMMYFUNCTION("""COMPUTED_VALUE"""),"CORPORATE")</f>
        <v>CORPORATE</v>
      </c>
      <c r="H908" s="185" t="str">
        <f>IFERROR(__xludf.DUMMYFUNCTION("""COMPUTED_VALUE"""),"No")</f>
        <v>No</v>
      </c>
      <c r="I908" s="185" t="str">
        <f>IFERROR(__xludf.DUMMYFUNCTION("""COMPUTED_VALUE"""),"Medium")</f>
        <v>Medium</v>
      </c>
      <c r="J908" s="185" t="str">
        <f>IFERROR(__xludf.DUMMYFUNCTION("""COMPUTED_VALUE"""),"Yes")</f>
        <v>Yes</v>
      </c>
      <c r="K908" s="185" t="str">
        <f>IFERROR(__xludf.DUMMYFUNCTION("""COMPUTED_VALUE"""),"Baseplus DIGITAL MEDIA GmbH, Mediaplus Performance, KlickPiloten")</f>
        <v>Baseplus DIGITAL MEDIA GmbH, Mediaplus Performance, KlickPiloten</v>
      </c>
      <c r="L908" s="187">
        <f>IFERROR(__xludf.DUMMYFUNCTION("""COMPUTED_VALUE"""),21.0)</f>
        <v>21</v>
      </c>
      <c r="M908" s="188">
        <f>IFERROR(__xludf.DUMMYFUNCTION("""COMPUTED_VALUE"""),0.02)</f>
        <v>0.02</v>
      </c>
      <c r="N908" s="188">
        <f>IFERROR(__xludf.DUMMYFUNCTION("""COMPUTED_VALUE"""),0.76)</f>
        <v>0.76</v>
      </c>
      <c r="O908" s="208"/>
      <c r="P908" s="208"/>
      <c r="Q908" s="208"/>
      <c r="R908" s="208"/>
    </row>
    <row r="909">
      <c r="A909" s="185" t="str">
        <f>IFERROR(__xludf.DUMMYFUNCTION("""COMPUTED_VALUE"""),"Agency directory / review marketplace")</f>
        <v>Agency directory / review marketplace</v>
      </c>
      <c r="B909" s="186" t="str">
        <f>IFERROR(__xludf.DUMMYFUNCTION("""COMPUTED_VALUE"""),"https://digitalagencynetwork.com/agencies/berlin/ai-marketing/")</f>
        <v>https://digitalagencynetwork.com/agencies/berlin/ai-marketing/</v>
      </c>
      <c r="C909" s="185" t="str">
        <f>IFERROR(__xludf.DUMMYFUNCTION("""COMPUTED_VALUE"""),"Top AI Marketing Agencies in Berlin (2026)")</f>
        <v>Top AI Marketing Agencies in Berlin (2026)</v>
      </c>
      <c r="D909" s="185" t="str">
        <f>IFERROR(__xludf.DUMMYFUNCTION("""COMPUTED_VALUE"""),"DE")</f>
        <v>DE</v>
      </c>
      <c r="E909" s="185" t="str">
        <f>IFERROR(__xludf.DUMMYFUNCTION("""COMPUTED_VALUE"""),"digitalagencynetwork.com")</f>
        <v>digitalagencynetwork.com</v>
      </c>
      <c r="F909" s="185" t="str">
        <f>IFERROR(__xludf.DUMMYFUNCTION("""COMPUTED_VALUE"""),"Category Page")</f>
        <v>Category Page</v>
      </c>
      <c r="G909" s="185" t="str">
        <f>IFERROR(__xludf.DUMMYFUNCTION("""COMPUTED_VALUE"""),"REFERENCE")</f>
        <v>REFERENCE</v>
      </c>
      <c r="H909" s="185" t="str">
        <f>IFERROR(__xludf.DUMMYFUNCTION("""COMPUTED_VALUE"""),"No")</f>
        <v>No</v>
      </c>
      <c r="I909" s="185" t="str">
        <f>IFERROR(__xludf.DUMMYFUNCTION("""COMPUTED_VALUE"""),"Medium")</f>
        <v>Medium</v>
      </c>
      <c r="J909" s="185" t="str">
        <f>IFERROR(__xludf.DUMMYFUNCTION("""COMPUTED_VALUE"""),"Yes")</f>
        <v>Yes</v>
      </c>
      <c r="K909" s="185"/>
      <c r="L909" s="187">
        <f>IFERROR(__xludf.DUMMYFUNCTION("""COMPUTED_VALUE"""),21.0)</f>
        <v>21</v>
      </c>
      <c r="M909" s="188">
        <f>IFERROR(__xludf.DUMMYFUNCTION("""COMPUTED_VALUE"""),0.02)</f>
        <v>0.02</v>
      </c>
      <c r="N909" s="188">
        <f>IFERROR(__xludf.DUMMYFUNCTION("""COMPUTED_VALUE"""),0.9)</f>
        <v>0.9</v>
      </c>
      <c r="O909" s="208"/>
      <c r="P909" s="208"/>
      <c r="Q909" s="208"/>
      <c r="R909" s="208"/>
    </row>
    <row r="910">
      <c r="A910" s="185" t="str">
        <f>IFERROR(__xludf.DUMMYFUNCTION("""COMPUTED_VALUE"""),"Trade media / editorial publication")</f>
        <v>Trade media / editorial publication</v>
      </c>
      <c r="B910" s="186" t="str">
        <f>IFERROR(__xludf.DUMMYFUNCTION("""COMPUTED_VALUE"""),"https://www.neuhandeln.de/performance-ranking/performance_2024")</f>
        <v>https://www.neuhandeln.de/performance-ranking/performance_2024</v>
      </c>
      <c r="C910" s="185" t="str">
        <f>IFERROR(__xludf.DUMMYFUNCTION("""COMPUTED_VALUE"""),"Das Ranking der gr��ten deutschsprachigen Performance-Marketing-Agenturen")</f>
        <v>Das Ranking der gr��ten deutschsprachigen Performance-Marketing-Agenturen</v>
      </c>
      <c r="D910" s="185" t="str">
        <f>IFERROR(__xludf.DUMMYFUNCTION("""COMPUTED_VALUE"""),"DE")</f>
        <v>DE</v>
      </c>
      <c r="E910" s="185" t="str">
        <f>IFERROR(__xludf.DUMMYFUNCTION("""COMPUTED_VALUE"""),"neuhandeln.de")</f>
        <v>neuhandeln.de</v>
      </c>
      <c r="F910" s="185" t="str">
        <f>IFERROR(__xludf.DUMMYFUNCTION("""COMPUTED_VALUE"""),"Listicle")</f>
        <v>Listicle</v>
      </c>
      <c r="G910" s="185" t="str">
        <f>IFERROR(__xludf.DUMMYFUNCTION("""COMPUTED_VALUE"""),"EDITORIAL")</f>
        <v>EDITORIAL</v>
      </c>
      <c r="H910" s="185" t="str">
        <f>IFERROR(__xludf.DUMMYFUNCTION("""COMPUTED_VALUE"""),"No")</f>
        <v>No</v>
      </c>
      <c r="I910" s="185" t="str">
        <f>IFERROR(__xludf.DUMMYFUNCTION("""COMPUTED_VALUE"""),"Medium")</f>
        <v>Medium</v>
      </c>
      <c r="J910" s="185" t="str">
        <f>IFERROR(__xludf.DUMMYFUNCTION("""COMPUTED_VALUE"""),"Yes")</f>
        <v>Yes</v>
      </c>
      <c r="K910" s="185" t="str">
        <f>IFERROR(__xludf.DUMMYFUNCTION("""COMPUTED_VALUE"""),"iProspect, Smarketer, Peak Ace, e-dialog, morefire, The Boutique Agency, 42DIGITAL, Aufgesang, eMinded GmbH")</f>
        <v>iProspect, Smarketer, Peak Ace, e-dialog, morefire, The Boutique Agency, 42DIGITAL, Aufgesang, eMinded GmbH</v>
      </c>
      <c r="L910" s="187">
        <f>IFERROR(__xludf.DUMMYFUNCTION("""COMPUTED_VALUE"""),21.0)</f>
        <v>21</v>
      </c>
      <c r="M910" s="188">
        <f>IFERROR(__xludf.DUMMYFUNCTION("""COMPUTED_VALUE"""),0.02)</f>
        <v>0.02</v>
      </c>
      <c r="N910" s="188">
        <f>IFERROR(__xludf.DUMMYFUNCTION("""COMPUTED_VALUE"""),0.29)</f>
        <v>0.29</v>
      </c>
      <c r="O910" s="208"/>
      <c r="P910" s="208"/>
      <c r="Q910" s="208"/>
      <c r="R910" s="208"/>
    </row>
    <row r="911">
      <c r="A911" s="185" t="str">
        <f>IFERROR(__xludf.DUMMYFUNCTION("""COMPUTED_VALUE"""),"Lower-priority competitor/vendor roundup")</f>
        <v>Lower-priority competitor/vendor roundup</v>
      </c>
      <c r="B911" s="186" t="str">
        <f>IFERROR(__xludf.DUMMYFUNCTION("""COMPUTED_VALUE"""),"https://www.thegrowthsyndicate.com/agencies/best-b2b-performance-marketing-agencies-europe")</f>
        <v>https://www.thegrowthsyndicate.com/agencies/best-b2b-performance-marketing-agencies-europe</v>
      </c>
      <c r="C911" s="185" t="str">
        <f>IFERROR(__xludf.DUMMYFUNCTION("""COMPUTED_VALUE"""),"The 12 Best B2B Performance Marketing Agencies in Europe")</f>
        <v>The 12 Best B2B Performance Marketing Agencies in Europe</v>
      </c>
      <c r="D911" s="185" t="str">
        <f>IFERROR(__xludf.DUMMYFUNCTION("""COMPUTED_VALUE"""),"DE")</f>
        <v>DE</v>
      </c>
      <c r="E911" s="185" t="str">
        <f>IFERROR(__xludf.DUMMYFUNCTION("""COMPUTED_VALUE"""),"thegrowthsyndicate.com")</f>
        <v>thegrowthsyndicate.com</v>
      </c>
      <c r="F911" s="185" t="str">
        <f>IFERROR(__xludf.DUMMYFUNCTION("""COMPUTED_VALUE"""),"Listicle")</f>
        <v>Listicle</v>
      </c>
      <c r="G911" s="185" t="str">
        <f>IFERROR(__xludf.DUMMYFUNCTION("""COMPUTED_VALUE"""),"CORPORATE")</f>
        <v>CORPORATE</v>
      </c>
      <c r="H911" s="185" t="str">
        <f>IFERROR(__xludf.DUMMYFUNCTION("""COMPUTED_VALUE"""),"Yes")</f>
        <v>Yes</v>
      </c>
      <c r="I911" s="185" t="str">
        <f>IFERROR(__xludf.DUMMYFUNCTION("""COMPUTED_VALUE"""),"Low")</f>
        <v>Low</v>
      </c>
      <c r="J911" s="185" t="str">
        <f>IFERROR(__xludf.DUMMYFUNCTION("""COMPUTED_VALUE"""),"Secondary")</f>
        <v>Secondary</v>
      </c>
      <c r="K911" s="185" t="str">
        <f>IFERROR(__xludf.DUMMYFUNCTION("""COMPUTED_VALUE"""),"Brainlabs, WPP, GroupM, s360, Incubeta, Croud, iProspect, Measured, Huge, Mindshare, Publicis Groupe, Omnicom, Dentsu, Merkle")</f>
        <v>Brainlabs, WPP, GroupM, s360, Incubeta, Croud, iProspect, Measured, Huge, Mindshare, Publicis Groupe, Omnicom, Dentsu, Merkle</v>
      </c>
      <c r="L911" s="187">
        <f>IFERROR(__xludf.DUMMYFUNCTION("""COMPUTED_VALUE"""),21.0)</f>
        <v>21</v>
      </c>
      <c r="M911" s="188">
        <f>IFERROR(__xludf.DUMMYFUNCTION("""COMPUTED_VALUE"""),0.02)</f>
        <v>0.02</v>
      </c>
      <c r="N911" s="188">
        <f>IFERROR(__xludf.DUMMYFUNCTION("""COMPUTED_VALUE"""),1.0)</f>
        <v>1</v>
      </c>
      <c r="O911" s="208"/>
      <c r="P911" s="208"/>
      <c r="Q911" s="208"/>
      <c r="R911" s="208"/>
    </row>
    <row r="912">
      <c r="A912" s="185" t="str">
        <f>IFERROR(__xludf.DUMMYFUNCTION("""COMPUTED_VALUE"""),"Agency directory / review marketplace")</f>
        <v>Agency directory / review marketplace</v>
      </c>
      <c r="B912" s="186" t="str">
        <f>IFERROR(__xludf.DUMMYFUNCTION("""COMPUTED_VALUE"""),"https://clutch.co/de/agencies/business-services-industry")</f>
        <v>https://clutch.co/de/agencies/business-services-industry</v>
      </c>
      <c r="C912" s="185" t="str">
        <f>IFERROR(__xludf.DUMMYFUNCTION("""COMPUTED_VALUE"""),"Top Advertising Agencies for B2B in Germany - Jul 2026 Rankings | Clutch.co")</f>
        <v>Top Advertising Agencies for B2B in Germany - Jul 2026 Rankings | Clutch.co</v>
      </c>
      <c r="D912" s="185" t="str">
        <f>IFERROR(__xludf.DUMMYFUNCTION("""COMPUTED_VALUE"""),"DE")</f>
        <v>DE</v>
      </c>
      <c r="E912" s="185" t="str">
        <f>IFERROR(__xludf.DUMMYFUNCTION("""COMPUTED_VALUE"""),"clutch.co")</f>
        <v>clutch.co</v>
      </c>
      <c r="F912" s="185" t="str">
        <f>IFERROR(__xludf.DUMMYFUNCTION("""COMPUTED_VALUE"""),"Category Page")</f>
        <v>Category Page</v>
      </c>
      <c r="G912" s="185" t="str">
        <f>IFERROR(__xludf.DUMMYFUNCTION("""COMPUTED_VALUE"""),"CORPORATE")</f>
        <v>CORPORATE</v>
      </c>
      <c r="H912" s="185" t="str">
        <f>IFERROR(__xludf.DUMMYFUNCTION("""COMPUTED_VALUE"""),"No")</f>
        <v>No</v>
      </c>
      <c r="I912" s="185" t="str">
        <f>IFERROR(__xludf.DUMMYFUNCTION("""COMPUTED_VALUE"""),"Medium")</f>
        <v>Medium</v>
      </c>
      <c r="J912" s="185" t="str">
        <f>IFERROR(__xludf.DUMMYFUNCTION("""COMPUTED_VALUE"""),"Yes")</f>
        <v>Yes</v>
      </c>
      <c r="K912" s="185" t="str">
        <f>IFERROR(__xludf.DUMMYFUNCTION("""COMPUTED_VALUE"""),"MONSOON, Mediacharge, Digitalyze, morefire, WeLikeWeb GmbH")</f>
        <v>MONSOON, Mediacharge, Digitalyze, morefire, WeLikeWeb GmbH</v>
      </c>
      <c r="L912" s="187">
        <f>IFERROR(__xludf.DUMMYFUNCTION("""COMPUTED_VALUE"""),20.0)</f>
        <v>20</v>
      </c>
      <c r="M912" s="188">
        <f>IFERROR(__xludf.DUMMYFUNCTION("""COMPUTED_VALUE"""),0.02)</f>
        <v>0.02</v>
      </c>
      <c r="N912" s="188">
        <f>IFERROR(__xludf.DUMMYFUNCTION("""COMPUTED_VALUE"""),0.05)</f>
        <v>0.05</v>
      </c>
      <c r="O912" s="208"/>
      <c r="P912" s="208"/>
      <c r="Q912" s="208"/>
      <c r="R912" s="208"/>
    </row>
    <row r="913">
      <c r="A913" s="185" t="str">
        <f>IFERROR(__xludf.DUMMYFUNCTION("""COMPUTED_VALUE"""),"Agency directory / review marketplace")</f>
        <v>Agency directory / review marketplace</v>
      </c>
      <c r="B913" s="186" t="str">
        <f>IFERROR(__xludf.DUMMYFUNCTION("""COMPUTED_VALUE"""),"https://clutch.co/de/agencies/ppc/advertising-industry")</f>
        <v>https://clutch.co/de/agencies/ppc/advertising-industry</v>
      </c>
      <c r="C913" s="185" t="str">
        <f>IFERROR(__xludf.DUMMYFUNCTION("""COMPUTED_VALUE"""),"Top PPC Agencies for Ad Agencies in Germany - Jul 2026 Rankings \| Clutch.co")</f>
        <v>Top PPC Agencies for Ad Agencies in Germany - Jul 2026 Rankings \| Clutch.co</v>
      </c>
      <c r="D913" s="185" t="str">
        <f>IFERROR(__xludf.DUMMYFUNCTION("""COMPUTED_VALUE"""),"DE")</f>
        <v>DE</v>
      </c>
      <c r="E913" s="185" t="str">
        <f>IFERROR(__xludf.DUMMYFUNCTION("""COMPUTED_VALUE"""),"clutch.co")</f>
        <v>clutch.co</v>
      </c>
      <c r="F913" s="185" t="str">
        <f>IFERROR(__xludf.DUMMYFUNCTION("""COMPUTED_VALUE"""),"Category Page")</f>
        <v>Category Page</v>
      </c>
      <c r="G913" s="185" t="str">
        <f>IFERROR(__xludf.DUMMYFUNCTION("""COMPUTED_VALUE"""),"CORPORATE")</f>
        <v>CORPORATE</v>
      </c>
      <c r="H913" s="185" t="str">
        <f>IFERROR(__xludf.DUMMYFUNCTION("""COMPUTED_VALUE"""),"No")</f>
        <v>No</v>
      </c>
      <c r="I913" s="185" t="str">
        <f>IFERROR(__xludf.DUMMYFUNCTION("""COMPUTED_VALUE"""),"Medium")</f>
        <v>Medium</v>
      </c>
      <c r="J913" s="185" t="str">
        <f>IFERROR(__xludf.DUMMYFUNCTION("""COMPUTED_VALUE"""),"Yes")</f>
        <v>Yes</v>
      </c>
      <c r="K913" s="185" t="str">
        <f>IFERROR(__xludf.DUMMYFUNCTION("""COMPUTED_VALUE"""),"Mediacharge, Seeders, Medialabel")</f>
        <v>Mediacharge, Seeders, Medialabel</v>
      </c>
      <c r="L913" s="187">
        <f>IFERROR(__xludf.DUMMYFUNCTION("""COMPUTED_VALUE"""),20.0)</f>
        <v>20</v>
      </c>
      <c r="M913" s="188">
        <f>IFERROR(__xludf.DUMMYFUNCTION("""COMPUTED_VALUE"""),0.02)</f>
        <v>0.02</v>
      </c>
      <c r="N913" s="188">
        <f>IFERROR(__xludf.DUMMYFUNCTION("""COMPUTED_VALUE"""),1.35)</f>
        <v>1.35</v>
      </c>
      <c r="O913" s="208"/>
      <c r="P913" s="208"/>
      <c r="Q913" s="208"/>
      <c r="R913" s="208"/>
    </row>
    <row r="914">
      <c r="A914" s="185" t="str">
        <f>IFERROR(__xludf.DUMMYFUNCTION("""COMPUTED_VALUE"""),"Trade media / editorial publication")</f>
        <v>Trade media / editorial publication</v>
      </c>
      <c r="B914" s="186" t="str">
        <f>IFERROR(__xludf.DUMMYFUNCTION("""COMPUTED_VALUE"""),"https://www.ibusiness.de/performance-ranking/performance_2025")</f>
        <v>https://www.ibusiness.de/performance-ranking/performance_2025</v>
      </c>
      <c r="C914" s="185" t="str">
        <f>IFERROR(__xludf.DUMMYFUNCTION("""COMPUTED_VALUE"""),"Das Ranking der gr��ten deutschen Performance-Marketing-Agenturen")</f>
        <v>Das Ranking der gr��ten deutschen Performance-Marketing-Agenturen</v>
      </c>
      <c r="D914" s="185" t="str">
        <f>IFERROR(__xludf.DUMMYFUNCTION("""COMPUTED_VALUE"""),"DE")</f>
        <v>DE</v>
      </c>
      <c r="E914" s="185" t="str">
        <f>IFERROR(__xludf.DUMMYFUNCTION("""COMPUTED_VALUE"""),"ibusiness.de")</f>
        <v>ibusiness.de</v>
      </c>
      <c r="F914" s="185" t="str">
        <f>IFERROR(__xludf.DUMMYFUNCTION("""COMPUTED_VALUE"""),"Listicle")</f>
        <v>Listicle</v>
      </c>
      <c r="G914" s="185" t="str">
        <f>IFERROR(__xludf.DUMMYFUNCTION("""COMPUTED_VALUE"""),"EDITORIAL")</f>
        <v>EDITORIAL</v>
      </c>
      <c r="H914" s="185" t="str">
        <f>IFERROR(__xludf.DUMMYFUNCTION("""COMPUTED_VALUE"""),"No")</f>
        <v>No</v>
      </c>
      <c r="I914" s="185" t="str">
        <f>IFERROR(__xludf.DUMMYFUNCTION("""COMPUTED_VALUE"""),"Medium")</f>
        <v>Medium</v>
      </c>
      <c r="J914" s="185" t="str">
        <f>IFERROR(__xludf.DUMMYFUNCTION("""COMPUTED_VALUE"""),"Yes")</f>
        <v>Yes</v>
      </c>
      <c r="K914" s="185" t="str">
        <f>IFERROR(__xludf.DUMMYFUNCTION("""COMPUTED_VALUE"""),"iProspect, Smarketer, e-dialog, morefire, Artefact, The Boutique Agency, 42DIGITAL, DREIKON, Aufgesang, eMinded GmbH")</f>
        <v>iProspect, Smarketer, e-dialog, morefire, Artefact, The Boutique Agency, 42DIGITAL, DREIKON, Aufgesang, eMinded GmbH</v>
      </c>
      <c r="L914" s="187">
        <f>IFERROR(__xludf.DUMMYFUNCTION("""COMPUTED_VALUE"""),20.0)</f>
        <v>20</v>
      </c>
      <c r="M914" s="188">
        <f>IFERROR(__xludf.DUMMYFUNCTION("""COMPUTED_VALUE"""),0.02)</f>
        <v>0.02</v>
      </c>
      <c r="N914" s="188">
        <f>IFERROR(__xludf.DUMMYFUNCTION("""COMPUTED_VALUE"""),1.2)</f>
        <v>1.2</v>
      </c>
      <c r="O914" s="208"/>
      <c r="P914" s="208"/>
      <c r="Q914" s="208"/>
      <c r="R914" s="208"/>
    </row>
    <row r="915">
      <c r="A915" s="185" t="str">
        <f>IFERROR(__xludf.DUMMYFUNCTION("""COMPUTED_VALUE"""),"Lower-priority competitor/vendor roundup")</f>
        <v>Lower-priority competitor/vendor roundup</v>
      </c>
      <c r="B915" s="186" t="str">
        <f>IFERROR(__xludf.DUMMYFUNCTION("""COMPUTED_VALUE"""),"https://oski.site/blog/sales-and-marketing-analytics-companies-germany/")</f>
        <v>https://oski.site/blog/sales-and-marketing-analytics-companies-germany/</v>
      </c>
      <c r="C915" s="185" t="str">
        <f>IFERROR(__xludf.DUMMYFUNCTION("""COMPUTED_VALUE"""),"Best 14 Sales and Marketing Analytics Companies in Germany")</f>
        <v>Best 14 Sales and Marketing Analytics Companies in Germany</v>
      </c>
      <c r="D915" s="185" t="str">
        <f>IFERROR(__xludf.DUMMYFUNCTION("""COMPUTED_VALUE"""),"DE")</f>
        <v>DE</v>
      </c>
      <c r="E915" s="185" t="str">
        <f>IFERROR(__xludf.DUMMYFUNCTION("""COMPUTED_VALUE"""),"oski.site")</f>
        <v>oski.site</v>
      </c>
      <c r="F915" s="185" t="str">
        <f>IFERROR(__xludf.DUMMYFUNCTION("""COMPUTED_VALUE"""),"Listicle")</f>
        <v>Listicle</v>
      </c>
      <c r="G915" s="185" t="str">
        <f>IFERROR(__xludf.DUMMYFUNCTION("""COMPUTED_VALUE"""),"OTHER")</f>
        <v>OTHER</v>
      </c>
      <c r="H915" s="185" t="str">
        <f>IFERROR(__xludf.DUMMYFUNCTION("""COMPUTED_VALUE"""),"No")</f>
        <v>No</v>
      </c>
      <c r="I915" s="185" t="str">
        <f>IFERROR(__xludf.DUMMYFUNCTION("""COMPUTED_VALUE"""),"Low")</f>
        <v>Low</v>
      </c>
      <c r="J915" s="185" t="str">
        <f>IFERROR(__xludf.DUMMYFUNCTION("""COMPUTED_VALUE"""),"Secondary")</f>
        <v>Secondary</v>
      </c>
      <c r="K915" s="185" t="str">
        <f>IFERROR(__xludf.DUMMYFUNCTION("""COMPUTED_VALUE"""),"b.telligent, Kantar, Nielsen, MONSOON, Artefact")</f>
        <v>b.telligent, Kantar, Nielsen, MONSOON, Artefact</v>
      </c>
      <c r="L915" s="187">
        <f>IFERROR(__xludf.DUMMYFUNCTION("""COMPUTED_VALUE"""),20.0)</f>
        <v>20</v>
      </c>
      <c r="M915" s="188">
        <f>IFERROR(__xludf.DUMMYFUNCTION("""COMPUTED_VALUE"""),0.02)</f>
        <v>0.02</v>
      </c>
      <c r="N915" s="188">
        <f>IFERROR(__xludf.DUMMYFUNCTION("""COMPUTED_VALUE"""),1.0)</f>
        <v>1</v>
      </c>
      <c r="O915" s="208"/>
      <c r="P915" s="208"/>
      <c r="Q915" s="208"/>
      <c r="R915" s="208"/>
    </row>
    <row r="916">
      <c r="A916" s="185" t="str">
        <f>IFERROR(__xludf.DUMMYFUNCTION("""COMPUTED_VALUE"""),"Official partner / certification ecosystem")</f>
        <v>Official partner / certification ecosystem</v>
      </c>
      <c r="B916" s="186" t="str">
        <f>IFERROR(__xludf.DUMMYFUNCTION("""COMPUTED_VALUE"""),"https://partnersdirectory.withgoogle.com/")</f>
        <v>https://partnersdirectory.withgoogle.com/</v>
      </c>
      <c r="C916" s="185" t="str">
        <f>IFERROR(__xludf.DUMMYFUNCTION("""COMPUTED_VALUE"""),"Google Partners Directory - Find a Partner for Business Growth")</f>
        <v>Google Partners Directory - Find a Partner for Business Growth</v>
      </c>
      <c r="D916" s="185" t="str">
        <f>IFERROR(__xludf.DUMMYFUNCTION("""COMPUTED_VALUE"""),"DE")</f>
        <v>DE</v>
      </c>
      <c r="E916" s="185" t="str">
        <f>IFERROR(__xludf.DUMMYFUNCTION("""COMPUTED_VALUE"""),"withgoogle.com")</f>
        <v>withgoogle.com</v>
      </c>
      <c r="F916" s="185" t="str">
        <f>IFERROR(__xludf.DUMMYFUNCTION("""COMPUTED_VALUE"""),"Homepage")</f>
        <v>Homepage</v>
      </c>
      <c r="G916" s="185" t="str">
        <f>IFERROR(__xludf.DUMMYFUNCTION("""COMPUTED_VALUE"""),"CORPORATE")</f>
        <v>CORPORATE</v>
      </c>
      <c r="H916" s="185" t="str">
        <f>IFERROR(__xludf.DUMMYFUNCTION("""COMPUTED_VALUE"""),"No")</f>
        <v>No</v>
      </c>
      <c r="I916" s="185" t="str">
        <f>IFERROR(__xludf.DUMMYFUNCTION("""COMPUTED_VALUE"""),"High")</f>
        <v>High</v>
      </c>
      <c r="J916" s="185" t="str">
        <f>IFERROR(__xludf.DUMMYFUNCTION("""COMPUTED_VALUE"""),"Yes - priority")</f>
        <v>Yes - priority</v>
      </c>
      <c r="K916" s="185" t="str">
        <f>IFERROR(__xludf.DUMMYFUNCTION("""COMPUTED_VALUE"""),"Acadia")</f>
        <v>Acadia</v>
      </c>
      <c r="L916" s="187">
        <f>IFERROR(__xludf.DUMMYFUNCTION("""COMPUTED_VALUE"""),20.0)</f>
        <v>20</v>
      </c>
      <c r="M916" s="188">
        <f>IFERROR(__xludf.DUMMYFUNCTION("""COMPUTED_VALUE"""),0.02)</f>
        <v>0.02</v>
      </c>
      <c r="N916" s="188">
        <f>IFERROR(__xludf.DUMMYFUNCTION("""COMPUTED_VALUE"""),1.15)</f>
        <v>1.15</v>
      </c>
      <c r="O916" s="208"/>
      <c r="P916" s="208"/>
      <c r="Q916" s="208"/>
      <c r="R916" s="208"/>
    </row>
    <row r="917">
      <c r="A917" s="185" t="str">
        <f>IFERROR(__xludf.DUMMYFUNCTION("""COMPUTED_VALUE"""),"Agency directory / review marketplace")</f>
        <v>Agency directory / review marketplace</v>
      </c>
      <c r="B917" s="186" t="str">
        <f>IFERROR(__xludf.DUMMYFUNCTION("""COMPUTED_VALUE"""),"https://clutch.co/de/agencies/media-buying")</f>
        <v>https://clutch.co/de/agencies/media-buying</v>
      </c>
      <c r="C917" s="185" t="str">
        <f>IFERROR(__xludf.DUMMYFUNCTION("""COMPUTED_VALUE"""),"Top Media Buying Agencies in Germany - Jul 2026 Rankings \| Clutch.co")</f>
        <v>Top Media Buying Agencies in Germany - Jul 2026 Rankings \| Clutch.co</v>
      </c>
      <c r="D917" s="185" t="str">
        <f>IFERROR(__xludf.DUMMYFUNCTION("""COMPUTED_VALUE"""),"DE")</f>
        <v>DE</v>
      </c>
      <c r="E917" s="185" t="str">
        <f>IFERROR(__xludf.DUMMYFUNCTION("""COMPUTED_VALUE"""),"clutch.co")</f>
        <v>clutch.co</v>
      </c>
      <c r="F917" s="185" t="str">
        <f>IFERROR(__xludf.DUMMYFUNCTION("""COMPUTED_VALUE"""),"Category Page")</f>
        <v>Category Page</v>
      </c>
      <c r="G917" s="185" t="str">
        <f>IFERROR(__xludf.DUMMYFUNCTION("""COMPUTED_VALUE"""),"CORPORATE")</f>
        <v>CORPORATE</v>
      </c>
      <c r="H917" s="185" t="str">
        <f>IFERROR(__xludf.DUMMYFUNCTION("""COMPUTED_VALUE"""),"No")</f>
        <v>No</v>
      </c>
      <c r="I917" s="185" t="str">
        <f>IFERROR(__xludf.DUMMYFUNCTION("""COMPUTED_VALUE"""),"Medium")</f>
        <v>Medium</v>
      </c>
      <c r="J917" s="185" t="str">
        <f>IFERROR(__xludf.DUMMYFUNCTION("""COMPUTED_VALUE"""),"Yes")</f>
        <v>Yes</v>
      </c>
      <c r="K917" s="185" t="str">
        <f>IFERROR(__xludf.DUMMYFUNCTION("""COMPUTED_VALUE"""),"REPLUG, Phiture, Measured, Haus, GroupM, Publicis Media, Mediaplus Group")</f>
        <v>REPLUG, Phiture, Measured, Haus, GroupM, Publicis Media, Mediaplus Group</v>
      </c>
      <c r="L917" s="187">
        <f>IFERROR(__xludf.DUMMYFUNCTION("""COMPUTED_VALUE"""),19.0)</f>
        <v>19</v>
      </c>
      <c r="M917" s="188">
        <f>IFERROR(__xludf.DUMMYFUNCTION("""COMPUTED_VALUE"""),0.02)</f>
        <v>0.02</v>
      </c>
      <c r="N917" s="188">
        <f>IFERROR(__xludf.DUMMYFUNCTION("""COMPUTED_VALUE"""),1.11)</f>
        <v>1.11</v>
      </c>
      <c r="O917" s="208"/>
      <c r="P917" s="208"/>
      <c r="Q917" s="208"/>
      <c r="R917" s="208"/>
    </row>
    <row r="918">
      <c r="A918" s="185" t="str">
        <f>IFERROR(__xludf.DUMMYFUNCTION("""COMPUTED_VALUE"""),"Agency directory / review marketplace")</f>
        <v>Agency directory / review marketplace</v>
      </c>
      <c r="B918" s="186" t="str">
        <f>IFERROR(__xludf.DUMMYFUNCTION("""COMPUTED_VALUE"""),"https://techbehemoths.com/companies/digital-marketing/germany")</f>
        <v>https://techbehemoths.com/companies/digital-marketing/germany</v>
      </c>
      <c r="C918" s="185" t="str">
        <f>IFERROR(__xludf.DUMMYFUNCTION("""COMPUTED_VALUE"""),"Top 20+ Digital Marketing Agencies in Germany (2026) - TechBehemoths")</f>
        <v>Top 20+ Digital Marketing Agencies in Germany (2026) - TechBehemoths</v>
      </c>
      <c r="D918" s="185" t="str">
        <f>IFERROR(__xludf.DUMMYFUNCTION("""COMPUTED_VALUE"""),"DE")</f>
        <v>DE</v>
      </c>
      <c r="E918" s="185" t="str">
        <f>IFERROR(__xludf.DUMMYFUNCTION("""COMPUTED_VALUE"""),"techbehemoths.com")</f>
        <v>techbehemoths.com</v>
      </c>
      <c r="F918" s="185" t="str">
        <f>IFERROR(__xludf.DUMMYFUNCTION("""COMPUTED_VALUE"""),"Category Page")</f>
        <v>Category Page</v>
      </c>
      <c r="G918" s="185" t="str">
        <f>IFERROR(__xludf.DUMMYFUNCTION("""COMPUTED_VALUE"""),"REFERENCE")</f>
        <v>REFERENCE</v>
      </c>
      <c r="H918" s="185" t="str">
        <f>IFERROR(__xludf.DUMMYFUNCTION("""COMPUTED_VALUE"""),"No")</f>
        <v>No</v>
      </c>
      <c r="I918" s="185" t="str">
        <f>IFERROR(__xludf.DUMMYFUNCTION("""COMPUTED_VALUE"""),"Medium")</f>
        <v>Medium</v>
      </c>
      <c r="J918" s="185" t="str">
        <f>IFERROR(__xludf.DUMMYFUNCTION("""COMPUTED_VALUE"""),"Yes")</f>
        <v>Yes</v>
      </c>
      <c r="K918" s="185" t="str">
        <f>IFERROR(__xludf.DUMMYFUNCTION("""COMPUTED_VALUE"""),"Huge")</f>
        <v>Huge</v>
      </c>
      <c r="L918" s="187">
        <f>IFERROR(__xludf.DUMMYFUNCTION("""COMPUTED_VALUE"""),19.0)</f>
        <v>19</v>
      </c>
      <c r="M918" s="188">
        <f>IFERROR(__xludf.DUMMYFUNCTION("""COMPUTED_VALUE"""),0.02)</f>
        <v>0.02</v>
      </c>
      <c r="N918" s="188">
        <f>IFERROR(__xludf.DUMMYFUNCTION("""COMPUTED_VALUE"""),0.05)</f>
        <v>0.05</v>
      </c>
      <c r="O918" s="208"/>
      <c r="P918" s="208"/>
      <c r="Q918" s="208"/>
      <c r="R918" s="208"/>
    </row>
    <row r="919">
      <c r="A919" s="185" t="str">
        <f>IFERROR(__xludf.DUMMYFUNCTION("""COMPUTED_VALUE"""),"Agency directory / review marketplace")</f>
        <v>Agency directory / review marketplace</v>
      </c>
      <c r="B919" s="186" t="str">
        <f>IFERROR(__xludf.DUMMYFUNCTION("""COMPUTED_VALUE"""),"https://clutch.co/de/agencies/ppc/display")</f>
        <v>https://clutch.co/de/agencies/ppc/display</v>
      </c>
      <c r="C919" s="185" t="str">
        <f>IFERROR(__xludf.DUMMYFUNCTION("""COMPUTED_VALUE"""),"Top Display Advertising Services in Germany - Jul 2026 Rankings \| Clutch.co")</f>
        <v>Top Display Advertising Services in Germany - Jul 2026 Rankings \| Clutch.co</v>
      </c>
      <c r="D919" s="185" t="str">
        <f>IFERROR(__xludf.DUMMYFUNCTION("""COMPUTED_VALUE"""),"DE")</f>
        <v>DE</v>
      </c>
      <c r="E919" s="185" t="str">
        <f>IFERROR(__xludf.DUMMYFUNCTION("""COMPUTED_VALUE"""),"clutch.co")</f>
        <v>clutch.co</v>
      </c>
      <c r="F919" s="185" t="str">
        <f>IFERROR(__xludf.DUMMYFUNCTION("""COMPUTED_VALUE"""),"Other")</f>
        <v>Other</v>
      </c>
      <c r="G919" s="185" t="str">
        <f>IFERROR(__xludf.DUMMYFUNCTION("""COMPUTED_VALUE"""),"CORPORATE")</f>
        <v>CORPORATE</v>
      </c>
      <c r="H919" s="185" t="str">
        <f>IFERROR(__xludf.DUMMYFUNCTION("""COMPUTED_VALUE"""),"No")</f>
        <v>No</v>
      </c>
      <c r="I919" s="185" t="str">
        <f>IFERROR(__xludf.DUMMYFUNCTION("""COMPUTED_VALUE"""),"Medium")</f>
        <v>Medium</v>
      </c>
      <c r="J919" s="185" t="str">
        <f>IFERROR(__xludf.DUMMYFUNCTION("""COMPUTED_VALUE"""),"Yes")</f>
        <v>Yes</v>
      </c>
      <c r="K919" s="185" t="str">
        <f>IFERROR(__xludf.DUMMYFUNCTION("""COMPUTED_VALUE"""),"Seeders, GroupM, Aufgesang")</f>
        <v>Seeders, GroupM, Aufgesang</v>
      </c>
      <c r="L919" s="187">
        <f>IFERROR(__xludf.DUMMYFUNCTION("""COMPUTED_VALUE"""),18.0)</f>
        <v>18</v>
      </c>
      <c r="M919" s="188">
        <f>IFERROR(__xludf.DUMMYFUNCTION("""COMPUTED_VALUE"""),0.02)</f>
        <v>0.02</v>
      </c>
      <c r="N919" s="188">
        <f>IFERROR(__xludf.DUMMYFUNCTION("""COMPUTED_VALUE"""),0.67)</f>
        <v>0.67</v>
      </c>
      <c r="O919" s="208"/>
      <c r="P919" s="208"/>
      <c r="Q919" s="208"/>
      <c r="R919" s="208"/>
    </row>
    <row r="920">
      <c r="A920" s="185" t="str">
        <f>IFERROR(__xludf.DUMMYFUNCTION("""COMPUTED_VALUE"""),"Industry data / software authority")</f>
        <v>Industry data / software authority</v>
      </c>
      <c r="B920" s="186" t="str">
        <f>IFERROR(__xludf.DUMMYFUNCTION("""COMPUTED_VALUE"""),"https://agencies.semrush.com/list/analytics-data-science/germany/")</f>
        <v>https://agencies.semrush.com/list/analytics-data-science/germany/</v>
      </c>
      <c r="C920" s="185" t="str">
        <f>IFERROR(__xludf.DUMMYFUNCTION("""COMPUTED_VALUE"""),"Best Data Analytics Services in Germany 2026 | Semrush")</f>
        <v>Best Data Analytics Services in Germany 2026 | Semrush</v>
      </c>
      <c r="D920" s="185" t="str">
        <f>IFERROR(__xludf.DUMMYFUNCTION("""COMPUTED_VALUE"""),"DE")</f>
        <v>DE</v>
      </c>
      <c r="E920" s="185" t="str">
        <f>IFERROR(__xludf.DUMMYFUNCTION("""COMPUTED_VALUE"""),"semrush.com")</f>
        <v>semrush.com</v>
      </c>
      <c r="F920" s="185" t="str">
        <f>IFERROR(__xludf.DUMMYFUNCTION("""COMPUTED_VALUE"""),"Category Page")</f>
        <v>Category Page</v>
      </c>
      <c r="G920" s="185" t="str">
        <f>IFERROR(__xludf.DUMMYFUNCTION("""COMPUTED_VALUE"""),"CORPORATE")</f>
        <v>CORPORATE</v>
      </c>
      <c r="H920" s="185" t="str">
        <f>IFERROR(__xludf.DUMMYFUNCTION("""COMPUTED_VALUE"""),"No")</f>
        <v>No</v>
      </c>
      <c r="I920" s="185" t="str">
        <f>IFERROR(__xludf.DUMMYFUNCTION("""COMPUTED_VALUE"""),"Medium")</f>
        <v>Medium</v>
      </c>
      <c r="J920" s="185" t="str">
        <f>IFERROR(__xludf.DUMMYFUNCTION("""COMPUTED_VALUE"""),"Yes")</f>
        <v>Yes</v>
      </c>
      <c r="K920" s="185" t="str">
        <f>IFERROR(__xludf.DUMMYFUNCTION("""COMPUTED_VALUE"""),"HECHT INS GEFECHT, Baseplus DIGITAL MEDIA GmbH, morefire, Mediaplus Performance, KlickPiloten")</f>
        <v>HECHT INS GEFECHT, Baseplus DIGITAL MEDIA GmbH, morefire, Mediaplus Performance, KlickPiloten</v>
      </c>
      <c r="L920" s="187">
        <f>IFERROR(__xludf.DUMMYFUNCTION("""COMPUTED_VALUE"""),17.0)</f>
        <v>17</v>
      </c>
      <c r="M920" s="188">
        <f>IFERROR(__xludf.DUMMYFUNCTION("""COMPUTED_VALUE"""),0.02)</f>
        <v>0.02</v>
      </c>
      <c r="N920" s="188">
        <f>IFERROR(__xludf.DUMMYFUNCTION("""COMPUTED_VALUE"""),0.0)</f>
        <v>0</v>
      </c>
      <c r="O920" s="208"/>
      <c r="P920" s="208"/>
      <c r="Q920" s="208"/>
      <c r="R920" s="208"/>
    </row>
    <row r="921">
      <c r="A921" s="185" t="str">
        <f>IFERROR(__xludf.DUMMYFUNCTION("""COMPUTED_VALUE"""),"Agency directory / review marketplace")</f>
        <v>Agency directory / review marketplace</v>
      </c>
      <c r="B921" s="186" t="str">
        <f>IFERROR(__xludf.DUMMYFUNCTION("""COMPUTED_VALUE"""),"https://clutch.co/de/consulting/ai/strategy")</f>
        <v>https://clutch.co/de/consulting/ai/strategy</v>
      </c>
      <c r="C921" s="185" t="str">
        <f>IFERROR(__xludf.DUMMYFUNCTION("""COMPUTED_VALUE"""),"Top AI Strategy Companies in Germany - Jul 2026 Rankings \| Clutch.co")</f>
        <v>Top AI Strategy Companies in Germany - Jul 2026 Rankings \| Clutch.co</v>
      </c>
      <c r="D921" s="185" t="str">
        <f>IFERROR(__xludf.DUMMYFUNCTION("""COMPUTED_VALUE"""),"DE")</f>
        <v>DE</v>
      </c>
      <c r="E921" s="185" t="str">
        <f>IFERROR(__xludf.DUMMYFUNCTION("""COMPUTED_VALUE"""),"clutch.co")</f>
        <v>clutch.co</v>
      </c>
      <c r="F921" s="185" t="str">
        <f>IFERROR(__xludf.DUMMYFUNCTION("""COMPUTED_VALUE"""),"Category Page")</f>
        <v>Category Page</v>
      </c>
      <c r="G921" s="185" t="str">
        <f>IFERROR(__xludf.DUMMYFUNCTION("""COMPUTED_VALUE"""),"CORPORATE")</f>
        <v>CORPORATE</v>
      </c>
      <c r="H921" s="185" t="str">
        <f>IFERROR(__xludf.DUMMYFUNCTION("""COMPUTED_VALUE"""),"No")</f>
        <v>No</v>
      </c>
      <c r="I921" s="185" t="str">
        <f>IFERROR(__xludf.DUMMYFUNCTION("""COMPUTED_VALUE"""),"Medium")</f>
        <v>Medium</v>
      </c>
      <c r="J921" s="185" t="str">
        <f>IFERROR(__xludf.DUMMYFUNCTION("""COMPUTED_VALUE"""),"Yes")</f>
        <v>Yes</v>
      </c>
      <c r="K921" s="185" t="str">
        <f>IFERROR(__xludf.DUMMYFUNCTION("""COMPUTED_VALUE"""),"HECHT INS GEFECHT")</f>
        <v>HECHT INS GEFECHT</v>
      </c>
      <c r="L921" s="187">
        <f>IFERROR(__xludf.DUMMYFUNCTION("""COMPUTED_VALUE"""),17.0)</f>
        <v>17</v>
      </c>
      <c r="M921" s="188">
        <f>IFERROR(__xludf.DUMMYFUNCTION("""COMPUTED_VALUE"""),0.02)</f>
        <v>0.02</v>
      </c>
      <c r="N921" s="188">
        <f>IFERROR(__xludf.DUMMYFUNCTION("""COMPUTED_VALUE"""),0.06)</f>
        <v>0.06</v>
      </c>
      <c r="O921" s="208"/>
      <c r="P921" s="208"/>
      <c r="Q921" s="208"/>
      <c r="R921" s="208"/>
    </row>
    <row r="922">
      <c r="A922" s="185" t="str">
        <f>IFERROR(__xludf.DUMMYFUNCTION("""COMPUTED_VALUE"""),"Agency directory / review marketplace")</f>
        <v>Agency directory / review marketplace</v>
      </c>
      <c r="B922" s="186" t="str">
        <f>IFERROR(__xludf.DUMMYFUNCTION("""COMPUTED_VALUE"""),"https://www.sortlist.com/s/digital-advertising/germany-de")</f>
        <v>https://www.sortlist.com/s/digital-advertising/germany-de</v>
      </c>
      <c r="C922" s="185" t="str">
        <f>IFERROR(__xludf.DUMMYFUNCTION("""COMPUTED_VALUE"""),"The 10 Best Digital Advertising Agencies in Germany - 2026 Reviews")</f>
        <v>The 10 Best Digital Advertising Agencies in Germany - 2026 Reviews</v>
      </c>
      <c r="D922" s="185" t="str">
        <f>IFERROR(__xludf.DUMMYFUNCTION("""COMPUTED_VALUE"""),"DE")</f>
        <v>DE</v>
      </c>
      <c r="E922" s="185" t="str">
        <f>IFERROR(__xludf.DUMMYFUNCTION("""COMPUTED_VALUE"""),"sortlist.com")</f>
        <v>sortlist.com</v>
      </c>
      <c r="F922" s="185" t="str">
        <f>IFERROR(__xludf.DUMMYFUNCTION("""COMPUTED_VALUE"""),"Category Page")</f>
        <v>Category Page</v>
      </c>
      <c r="G922" s="185" t="str">
        <f>IFERROR(__xludf.DUMMYFUNCTION("""COMPUTED_VALUE"""),"CORPORATE")</f>
        <v>CORPORATE</v>
      </c>
      <c r="H922" s="185" t="str">
        <f>IFERROR(__xludf.DUMMYFUNCTION("""COMPUTED_VALUE"""),"No")</f>
        <v>No</v>
      </c>
      <c r="I922" s="185" t="str">
        <f>IFERROR(__xludf.DUMMYFUNCTION("""COMPUTED_VALUE"""),"Medium")</f>
        <v>Medium</v>
      </c>
      <c r="J922" s="185" t="str">
        <f>IFERROR(__xludf.DUMMYFUNCTION("""COMPUTED_VALUE"""),"Yes")</f>
        <v>Yes</v>
      </c>
      <c r="K922" s="185" t="str">
        <f>IFERROR(__xludf.DUMMYFUNCTION("""COMPUTED_VALUE"""),"MONSOON, Triple Whale, Northbeam, Dreamdata, Momentum, Mediacharge")</f>
        <v>MONSOON, Triple Whale, Northbeam, Dreamdata, Momentum, Mediacharge</v>
      </c>
      <c r="L922" s="187">
        <f>IFERROR(__xludf.DUMMYFUNCTION("""COMPUTED_VALUE"""),17.0)</f>
        <v>17</v>
      </c>
      <c r="M922" s="188">
        <f>IFERROR(__xludf.DUMMYFUNCTION("""COMPUTED_VALUE"""),0.02)</f>
        <v>0.02</v>
      </c>
      <c r="N922" s="188">
        <f>IFERROR(__xludf.DUMMYFUNCTION("""COMPUTED_VALUE"""),1.0)</f>
        <v>1</v>
      </c>
      <c r="O922" s="208"/>
      <c r="P922" s="208"/>
      <c r="Q922" s="208"/>
      <c r="R922" s="208"/>
    </row>
    <row r="923">
      <c r="A923" s="185" t="str">
        <f>IFERROR(__xludf.DUMMYFUNCTION("""COMPUTED_VALUE"""),"Agency directory / review marketplace")</f>
        <v>Agency directory / review marketplace</v>
      </c>
      <c r="B923" s="186" t="str">
        <f>IFERROR(__xludf.DUMMYFUNCTION("""COMPUTED_VALUE"""),"https://www.sortlist.com/s/media-planning/germany-de")</f>
        <v>https://www.sortlist.com/s/media-planning/germany-de</v>
      </c>
      <c r="C923" s="185" t="str">
        <f>IFERROR(__xludf.DUMMYFUNCTION("""COMPUTED_VALUE"""),"The 10 Best Media Agencies in Germany - 2026 Reviews")</f>
        <v>The 10 Best Media Agencies in Germany - 2026 Reviews</v>
      </c>
      <c r="D923" s="185" t="str">
        <f>IFERROR(__xludf.DUMMYFUNCTION("""COMPUTED_VALUE"""),"DE")</f>
        <v>DE</v>
      </c>
      <c r="E923" s="185" t="str">
        <f>IFERROR(__xludf.DUMMYFUNCTION("""COMPUTED_VALUE"""),"sortlist.com")</f>
        <v>sortlist.com</v>
      </c>
      <c r="F923" s="185" t="str">
        <f>IFERROR(__xludf.DUMMYFUNCTION("""COMPUTED_VALUE"""),"Category Page")</f>
        <v>Category Page</v>
      </c>
      <c r="G923" s="185" t="str">
        <f>IFERROR(__xludf.DUMMYFUNCTION("""COMPUTED_VALUE"""),"CORPORATE")</f>
        <v>CORPORATE</v>
      </c>
      <c r="H923" s="185" t="str">
        <f>IFERROR(__xludf.DUMMYFUNCTION("""COMPUTED_VALUE"""),"No")</f>
        <v>No</v>
      </c>
      <c r="I923" s="185" t="str">
        <f>IFERROR(__xludf.DUMMYFUNCTION("""COMPUTED_VALUE"""),"Medium")</f>
        <v>Medium</v>
      </c>
      <c r="J923" s="185" t="str">
        <f>IFERROR(__xludf.DUMMYFUNCTION("""COMPUTED_VALUE"""),"Yes")</f>
        <v>Yes</v>
      </c>
      <c r="K923" s="185" t="str">
        <f>IFERROR(__xludf.DUMMYFUNCTION("""COMPUTED_VALUE"""),"lehof, Momentum, Triple Whale, Northbeam, Dreamdata, Kantar")</f>
        <v>lehof, Momentum, Triple Whale, Northbeam, Dreamdata, Kantar</v>
      </c>
      <c r="L923" s="187">
        <f>IFERROR(__xludf.DUMMYFUNCTION("""COMPUTED_VALUE"""),17.0)</f>
        <v>17</v>
      </c>
      <c r="M923" s="188">
        <f>IFERROR(__xludf.DUMMYFUNCTION("""COMPUTED_VALUE"""),0.02)</f>
        <v>0.02</v>
      </c>
      <c r="N923" s="188">
        <f>IFERROR(__xludf.DUMMYFUNCTION("""COMPUTED_VALUE"""),0.24)</f>
        <v>0.24</v>
      </c>
      <c r="O923" s="208"/>
      <c r="P923" s="208"/>
      <c r="Q923" s="208"/>
      <c r="R923" s="208"/>
    </row>
    <row r="924">
      <c r="A924" s="185" t="str">
        <f>IFERROR(__xludf.DUMMYFUNCTION("""COMPUTED_VALUE"""),"Agency directory / review marketplace")</f>
        <v>Agency directory / review marketplace</v>
      </c>
      <c r="B924" s="186" t="str">
        <f>IFERROR(__xludf.DUMMYFUNCTION("""COMPUTED_VALUE"""),"https://www.sortlist.de/s/marketing-analytik/deutschland-de")</f>
        <v>https://www.sortlist.de/s/marketing-analytik/deutschland-de</v>
      </c>
      <c r="C924" s="185" t="str">
        <f>IFERROR(__xludf.DUMMYFUNCTION("""COMPUTED_VALUE"""),"Marketing-Analytik Agenturen Deutschland vergleichen")</f>
        <v>Marketing-Analytik Agenturen Deutschland vergleichen</v>
      </c>
      <c r="D924" s="185" t="str">
        <f>IFERROR(__xludf.DUMMYFUNCTION("""COMPUTED_VALUE"""),"DE")</f>
        <v>DE</v>
      </c>
      <c r="E924" s="185" t="str">
        <f>IFERROR(__xludf.DUMMYFUNCTION("""COMPUTED_VALUE"""),"sortlist.de")</f>
        <v>sortlist.de</v>
      </c>
      <c r="F924" s="185" t="str">
        <f>IFERROR(__xludf.DUMMYFUNCTION("""COMPUTED_VALUE"""),"Category Page")</f>
        <v>Category Page</v>
      </c>
      <c r="G924" s="185" t="str">
        <f>IFERROR(__xludf.DUMMYFUNCTION("""COMPUTED_VALUE"""),"CORPORATE")</f>
        <v>CORPORATE</v>
      </c>
      <c r="H924" s="185" t="str">
        <f>IFERROR(__xludf.DUMMYFUNCTION("""COMPUTED_VALUE"""),"No")</f>
        <v>No</v>
      </c>
      <c r="I924" s="185" t="str">
        <f>IFERROR(__xludf.DUMMYFUNCTION("""COMPUTED_VALUE"""),"Medium")</f>
        <v>Medium</v>
      </c>
      <c r="J924" s="185" t="str">
        <f>IFERROR(__xludf.DUMMYFUNCTION("""COMPUTED_VALUE"""),"Yes")</f>
        <v>Yes</v>
      </c>
      <c r="K924" s="185" t="str">
        <f>IFERROR(__xludf.DUMMYFUNCTION("""COMPUTED_VALUE"""),"lehof, MONSOON")</f>
        <v>lehof, MONSOON</v>
      </c>
      <c r="L924" s="187">
        <f>IFERROR(__xludf.DUMMYFUNCTION("""COMPUTED_VALUE"""),17.0)</f>
        <v>17</v>
      </c>
      <c r="M924" s="188">
        <f>IFERROR(__xludf.DUMMYFUNCTION("""COMPUTED_VALUE"""),0.02)</f>
        <v>0.02</v>
      </c>
      <c r="N924" s="188">
        <f>IFERROR(__xludf.DUMMYFUNCTION("""COMPUTED_VALUE"""),1.47)</f>
        <v>1.47</v>
      </c>
      <c r="O924" s="208"/>
      <c r="P924" s="208"/>
      <c r="Q924" s="208"/>
      <c r="R924" s="208"/>
    </row>
    <row r="925">
      <c r="A925" s="185" t="str">
        <f>IFERROR(__xludf.DUMMYFUNCTION("""COMPUTED_VALUE"""),"Official partner / certification ecosystem")</f>
        <v>Official partner / certification ecosystem</v>
      </c>
      <c r="B925" s="186" t="str">
        <f>IFERROR(__xludf.DUMMYFUNCTION("""COMPUTED_VALUE"""),"https://support.google.com/analytics/answer/7237700?hl=en")</f>
        <v>https://support.google.com/analytics/answer/7237700?hl=en</v>
      </c>
      <c r="C925" s="185" t="str">
        <f>IFERROR(__xludf.DUMMYFUNCTION("""COMPUTED_VALUE"""),"Google Marketing Platform Partners - Analytics Help")</f>
        <v>Google Marketing Platform Partners - Analytics Help</v>
      </c>
      <c r="D925" s="185" t="str">
        <f>IFERROR(__xludf.DUMMYFUNCTION("""COMPUTED_VALUE"""),"DE")</f>
        <v>DE</v>
      </c>
      <c r="E925" s="185" t="str">
        <f>IFERROR(__xludf.DUMMYFUNCTION("""COMPUTED_VALUE"""),"google.com")</f>
        <v>google.com</v>
      </c>
      <c r="F925" s="185" t="str">
        <f>IFERROR(__xludf.DUMMYFUNCTION("""COMPUTED_VALUE"""),"Other")</f>
        <v>Other</v>
      </c>
      <c r="G925" s="185" t="str">
        <f>IFERROR(__xludf.DUMMYFUNCTION("""COMPUTED_VALUE"""),"OTHER")</f>
        <v>OTHER</v>
      </c>
      <c r="H925" s="185" t="str">
        <f>IFERROR(__xludf.DUMMYFUNCTION("""COMPUTED_VALUE"""),"No")</f>
        <v>No</v>
      </c>
      <c r="I925" s="185" t="str">
        <f>IFERROR(__xludf.DUMMYFUNCTION("""COMPUTED_VALUE"""),"High")</f>
        <v>High</v>
      </c>
      <c r="J925" s="185" t="str">
        <f>IFERROR(__xludf.DUMMYFUNCTION("""COMPUTED_VALUE"""),"Yes - priority")</f>
        <v>Yes - priority</v>
      </c>
      <c r="K925" s="185"/>
      <c r="L925" s="187">
        <f>IFERROR(__xludf.DUMMYFUNCTION("""COMPUTED_VALUE"""),17.0)</f>
        <v>17</v>
      </c>
      <c r="M925" s="188">
        <f>IFERROR(__xludf.DUMMYFUNCTION("""COMPUTED_VALUE"""),0.02)</f>
        <v>0.02</v>
      </c>
      <c r="N925" s="188">
        <f>IFERROR(__xludf.DUMMYFUNCTION("""COMPUTED_VALUE"""),1.65)</f>
        <v>1.65</v>
      </c>
      <c r="O925" s="208"/>
      <c r="P925" s="208"/>
      <c r="Q925" s="208"/>
      <c r="R925" s="208"/>
    </row>
    <row r="926">
      <c r="A926" s="185" t="str">
        <f>IFERROR(__xludf.DUMMYFUNCTION("""COMPUTED_VALUE"""),"Agency directory / review marketplace")</f>
        <v>Agency directory / review marketplace</v>
      </c>
      <c r="B926" s="186" t="str">
        <f>IFERROR(__xludf.DUMMYFUNCTION("""COMPUTED_VALUE"""),"https://themanifest.com/de/social-media/agencies")</f>
        <v>https://themanifest.com/de/social-media/agencies</v>
      </c>
      <c r="C926" s="185" t="str">
        <f>IFERROR(__xludf.DUMMYFUNCTION("""COMPUTED_VALUE"""),"The Best Social Media Marketing Companies in Germany - Jun 2026 \| The Manifest")</f>
        <v>The Best Social Media Marketing Companies in Germany - Jun 2026 \| The Manifest</v>
      </c>
      <c r="D926" s="185" t="str">
        <f>IFERROR(__xludf.DUMMYFUNCTION("""COMPUTED_VALUE"""),"DE")</f>
        <v>DE</v>
      </c>
      <c r="E926" s="185" t="str">
        <f>IFERROR(__xludf.DUMMYFUNCTION("""COMPUTED_VALUE"""),"themanifest.com")</f>
        <v>themanifest.com</v>
      </c>
      <c r="F926" s="185" t="str">
        <f>IFERROR(__xludf.DUMMYFUNCTION("""COMPUTED_VALUE"""),"Listicle")</f>
        <v>Listicle</v>
      </c>
      <c r="G926" s="185" t="str">
        <f>IFERROR(__xludf.DUMMYFUNCTION("""COMPUTED_VALUE"""),"REFERENCE")</f>
        <v>REFERENCE</v>
      </c>
      <c r="H926" s="185" t="str">
        <f>IFERROR(__xludf.DUMMYFUNCTION("""COMPUTED_VALUE"""),"No")</f>
        <v>No</v>
      </c>
      <c r="I926" s="185" t="str">
        <f>IFERROR(__xludf.DUMMYFUNCTION("""COMPUTED_VALUE"""),"Medium")</f>
        <v>Medium</v>
      </c>
      <c r="J926" s="185" t="str">
        <f>IFERROR(__xludf.DUMMYFUNCTION("""COMPUTED_VALUE"""),"Yes")</f>
        <v>Yes</v>
      </c>
      <c r="K926" s="185" t="str">
        <f>IFERROR(__xludf.DUMMYFUNCTION("""COMPUTED_VALUE"""),"MONSOON, Mediacharge, HY.AM STUDIOS, PANORAMA3000, DREIKON")</f>
        <v>MONSOON, Mediacharge, HY.AM STUDIOS, PANORAMA3000, DREIKON</v>
      </c>
      <c r="L926" s="187">
        <f>IFERROR(__xludf.DUMMYFUNCTION("""COMPUTED_VALUE"""),17.0)</f>
        <v>17</v>
      </c>
      <c r="M926" s="188">
        <f>IFERROR(__xludf.DUMMYFUNCTION("""COMPUTED_VALUE"""),0.02)</f>
        <v>0.02</v>
      </c>
      <c r="N926" s="188">
        <f>IFERROR(__xludf.DUMMYFUNCTION("""COMPUTED_VALUE"""),0.41)</f>
        <v>0.41</v>
      </c>
      <c r="O926" s="208"/>
      <c r="P926" s="208"/>
      <c r="Q926" s="208"/>
      <c r="R926" s="208"/>
    </row>
    <row r="927">
      <c r="A927" s="185" t="str">
        <f>IFERROR(__xludf.DUMMYFUNCTION("""COMPUTED_VALUE"""),"Agency directory / review marketplace")</f>
        <v>Agency directory / review marketplace</v>
      </c>
      <c r="B927" s="186" t="str">
        <f>IFERROR(__xludf.DUMMYFUNCTION("""COMPUTED_VALUE"""),"https://clutch.co/de/agencies/digital")</f>
        <v>https://clutch.co/de/agencies/digital</v>
      </c>
      <c r="C927" s="185" t="str">
        <f>IFERROR(__xludf.DUMMYFUNCTION("""COMPUTED_VALUE"""),"Top Full-Service Digital Agencies in Germany - Jul 2026 Rankings \| Clutch.co")</f>
        <v>Top Full-Service Digital Agencies in Germany - Jul 2026 Rankings \| Clutch.co</v>
      </c>
      <c r="D927" s="185" t="str">
        <f>IFERROR(__xludf.DUMMYFUNCTION("""COMPUTED_VALUE"""),"DE")</f>
        <v>DE</v>
      </c>
      <c r="E927" s="185" t="str">
        <f>IFERROR(__xludf.DUMMYFUNCTION("""COMPUTED_VALUE"""),"clutch.co")</f>
        <v>clutch.co</v>
      </c>
      <c r="F927" s="185" t="str">
        <f>IFERROR(__xludf.DUMMYFUNCTION("""COMPUTED_VALUE"""),"Category Page")</f>
        <v>Category Page</v>
      </c>
      <c r="G927" s="185" t="str">
        <f>IFERROR(__xludf.DUMMYFUNCTION("""COMPUTED_VALUE"""),"CORPORATE")</f>
        <v>CORPORATE</v>
      </c>
      <c r="H927" s="185" t="str">
        <f>IFERROR(__xludf.DUMMYFUNCTION("""COMPUTED_VALUE"""),"No")</f>
        <v>No</v>
      </c>
      <c r="I927" s="185" t="str">
        <f>IFERROR(__xludf.DUMMYFUNCTION("""COMPUTED_VALUE"""),"Medium")</f>
        <v>Medium</v>
      </c>
      <c r="J927" s="185" t="str">
        <f>IFERROR(__xludf.DUMMYFUNCTION("""COMPUTED_VALUE"""),"Yes")</f>
        <v>Yes</v>
      </c>
      <c r="K927" s="185" t="str">
        <f>IFERROR(__xludf.DUMMYFUNCTION("""COMPUTED_VALUE"""),"HY.AM STUDIOS, Huge, Digitalyze, DREIKON, morefire, Löwenstark")</f>
        <v>HY.AM STUDIOS, Huge, Digitalyze, DREIKON, morefire, Löwenstark</v>
      </c>
      <c r="L927" s="187">
        <f>IFERROR(__xludf.DUMMYFUNCTION("""COMPUTED_VALUE"""),16.0)</f>
        <v>16</v>
      </c>
      <c r="M927" s="188">
        <f>IFERROR(__xludf.DUMMYFUNCTION("""COMPUTED_VALUE"""),0.02)</f>
        <v>0.02</v>
      </c>
      <c r="N927" s="188">
        <f>IFERROR(__xludf.DUMMYFUNCTION("""COMPUTED_VALUE"""),0.25)</f>
        <v>0.25</v>
      </c>
      <c r="O927" s="208"/>
      <c r="P927" s="208"/>
      <c r="Q927" s="208"/>
      <c r="R927" s="208"/>
    </row>
    <row r="928">
      <c r="A928" s="185" t="str">
        <f>IFERROR(__xludf.DUMMYFUNCTION("""COMPUTED_VALUE"""),"Agency directory / review marketplace")</f>
        <v>Agency directory / review marketplace</v>
      </c>
      <c r="B928" s="186" t="str">
        <f>IFERROR(__xludf.DUMMYFUNCTION("""COMPUTED_VALUE"""),"https://feedbax.ai/digital-marketing/germany#:~:text=from%20on...-,Read%20More,100%25%20relevance%20%E2%9C%93%20Inform%20now")</f>
        <v>https://feedbax.ai/digital-marketing/germany#:~:text=from%20on...-,Read%20More,100%25%20relevance%20%E2%9C%93%20Inform%20now</v>
      </c>
      <c r="C928" s="185" t="str">
        <f>IFERROR(__xludf.DUMMYFUNCTION("""COMPUTED_VALUE"""),"Top 20 Digital Marketing Agencies in Germany - 2026 Reviews")</f>
        <v>Top 20 Digital Marketing Agencies in Germany - 2026 Reviews</v>
      </c>
      <c r="D928" s="185" t="str">
        <f>IFERROR(__xludf.DUMMYFUNCTION("""COMPUTED_VALUE"""),"DE")</f>
        <v>DE</v>
      </c>
      <c r="E928" s="185" t="str">
        <f>IFERROR(__xludf.DUMMYFUNCTION("""COMPUTED_VALUE"""),"feedbax.ai")</f>
        <v>feedbax.ai</v>
      </c>
      <c r="F928" s="185" t="str">
        <f>IFERROR(__xludf.DUMMYFUNCTION("""COMPUTED_VALUE"""),"Other")</f>
        <v>Other</v>
      </c>
      <c r="G928" s="185" t="str">
        <f>IFERROR(__xludf.DUMMYFUNCTION("""COMPUTED_VALUE"""),"UGC")</f>
        <v>UGC</v>
      </c>
      <c r="H928" s="185" t="str">
        <f>IFERROR(__xludf.DUMMYFUNCTION("""COMPUTED_VALUE"""),"No")</f>
        <v>No</v>
      </c>
      <c r="I928" s="185" t="str">
        <f>IFERROR(__xludf.DUMMYFUNCTION("""COMPUTED_VALUE"""),"Medium")</f>
        <v>Medium</v>
      </c>
      <c r="J928" s="185" t="str">
        <f>IFERROR(__xludf.DUMMYFUNCTION("""COMPUTED_VALUE"""),"Yes")</f>
        <v>Yes</v>
      </c>
      <c r="K928" s="185" t="str">
        <f>IFERROR(__xludf.DUMMYFUNCTION("""COMPUTED_VALUE"""),"PANORAMA3000, KlickPiloten, Mediacharge, Smarketer, DREIKON, Suchhelden")</f>
        <v>PANORAMA3000, KlickPiloten, Mediacharge, Smarketer, DREIKON, Suchhelden</v>
      </c>
      <c r="L928" s="187">
        <f>IFERROR(__xludf.DUMMYFUNCTION("""COMPUTED_VALUE"""),16.0)</f>
        <v>16</v>
      </c>
      <c r="M928" s="188">
        <f>IFERROR(__xludf.DUMMYFUNCTION("""COMPUTED_VALUE"""),0.02)</f>
        <v>0.02</v>
      </c>
      <c r="N928" s="188">
        <f>IFERROR(__xludf.DUMMYFUNCTION("""COMPUTED_VALUE"""),0.88)</f>
        <v>0.88</v>
      </c>
      <c r="O928" s="208"/>
      <c r="P928" s="208"/>
      <c r="Q928" s="208"/>
      <c r="R928" s="208"/>
    </row>
    <row r="929">
      <c r="A929" s="185" t="str">
        <f>IFERROR(__xludf.DUMMYFUNCTION("""COMPUTED_VALUE"""),"Official partner / certification ecosystem")</f>
        <v>Official partner / certification ecosystem</v>
      </c>
      <c r="B929" s="186" t="str">
        <f>IFERROR(__xludf.DUMMYFUNCTION("""COMPUTED_VALUE"""),"https://enterprisemarketingportal.google/work-with-partners")</f>
        <v>https://enterprisemarketingportal.google/work-with-partners</v>
      </c>
      <c r="C929" s="185" t="str">
        <f>IFERROR(__xludf.DUMMYFUNCTION("""COMPUTED_VALUE"""),"Work with Partners")</f>
        <v>Work with Partners</v>
      </c>
      <c r="D929" s="185" t="str">
        <f>IFERROR(__xludf.DUMMYFUNCTION("""COMPUTED_VALUE"""),"DE")</f>
        <v>DE</v>
      </c>
      <c r="E929" s="185" t="str">
        <f>IFERROR(__xludf.DUMMYFUNCTION("""COMPUTED_VALUE"""),"enterprisemarketingportal.google")</f>
        <v>enterprisemarketingportal.google</v>
      </c>
      <c r="F929" s="185" t="str">
        <f>IFERROR(__xludf.DUMMYFUNCTION("""COMPUTED_VALUE"""),"Category Page")</f>
        <v>Category Page</v>
      </c>
      <c r="G929" s="185" t="str">
        <f>IFERROR(__xludf.DUMMYFUNCTION("""COMPUTED_VALUE"""),"CORPORATE")</f>
        <v>CORPORATE</v>
      </c>
      <c r="H929" s="185" t="str">
        <f>IFERROR(__xludf.DUMMYFUNCTION("""COMPUTED_VALUE"""),"No")</f>
        <v>No</v>
      </c>
      <c r="I929" s="185" t="str">
        <f>IFERROR(__xludf.DUMMYFUNCTION("""COMPUTED_VALUE"""),"High")</f>
        <v>High</v>
      </c>
      <c r="J929" s="185" t="str">
        <f>IFERROR(__xludf.DUMMYFUNCTION("""COMPUTED_VALUE"""),"Yes - priority")</f>
        <v>Yes - priority</v>
      </c>
      <c r="K929" s="185"/>
      <c r="L929" s="187">
        <f>IFERROR(__xludf.DUMMYFUNCTION("""COMPUTED_VALUE"""),15.0)</f>
        <v>15</v>
      </c>
      <c r="M929" s="188">
        <f>IFERROR(__xludf.DUMMYFUNCTION("""COMPUTED_VALUE"""),0.02)</f>
        <v>0.02</v>
      </c>
      <c r="N929" s="188">
        <f>IFERROR(__xludf.DUMMYFUNCTION("""COMPUTED_VALUE"""),0.53)</f>
        <v>0.53</v>
      </c>
      <c r="O929" s="208"/>
      <c r="P929" s="208"/>
      <c r="Q929" s="208"/>
      <c r="R929" s="208"/>
    </row>
    <row r="930">
      <c r="A930" s="185" t="str">
        <f>IFERROR(__xludf.DUMMYFUNCTION("""COMPUTED_VALUE"""),"Agency directory / review marketplace")</f>
        <v>Agency directory / review marketplace</v>
      </c>
      <c r="B930" s="186" t="str">
        <f>IFERROR(__xludf.DUMMYFUNCTION("""COMPUTED_VALUE"""),"https://feedbax.ai/advertising/germany")</f>
        <v>https://feedbax.ai/advertising/germany</v>
      </c>
      <c r="C930" s="185" t="str">
        <f>IFERROR(__xludf.DUMMYFUNCTION("""COMPUTED_VALUE"""),"Top 20 Advertising Agencies in Germany - 2026 Reviews")</f>
        <v>Top 20 Advertising Agencies in Germany - 2026 Reviews</v>
      </c>
      <c r="D930" s="185" t="str">
        <f>IFERROR(__xludf.DUMMYFUNCTION("""COMPUTED_VALUE"""),"DE")</f>
        <v>DE</v>
      </c>
      <c r="E930" s="185" t="str">
        <f>IFERROR(__xludf.DUMMYFUNCTION("""COMPUTED_VALUE"""),"feedbax.ai")</f>
        <v>feedbax.ai</v>
      </c>
      <c r="F930" s="185" t="str">
        <f>IFERROR(__xludf.DUMMYFUNCTION("""COMPUTED_VALUE"""),"Profile")</f>
        <v>Profile</v>
      </c>
      <c r="G930" s="185" t="str">
        <f>IFERROR(__xludf.DUMMYFUNCTION("""COMPUTED_VALUE"""),"UGC")</f>
        <v>UGC</v>
      </c>
      <c r="H930" s="185" t="str">
        <f>IFERROR(__xludf.DUMMYFUNCTION("""COMPUTED_VALUE"""),"No")</f>
        <v>No</v>
      </c>
      <c r="I930" s="185" t="str">
        <f>IFERROR(__xludf.DUMMYFUNCTION("""COMPUTED_VALUE"""),"Medium")</f>
        <v>Medium</v>
      </c>
      <c r="J930" s="185" t="str">
        <f>IFERROR(__xludf.DUMMYFUNCTION("""COMPUTED_VALUE"""),"Yes")</f>
        <v>Yes</v>
      </c>
      <c r="K930" s="185" t="str">
        <f>IFERROR(__xludf.DUMMYFUNCTION("""COMPUTED_VALUE"""),"Smarketer, DREIKON")</f>
        <v>Smarketer, DREIKON</v>
      </c>
      <c r="L930" s="187">
        <f>IFERROR(__xludf.DUMMYFUNCTION("""COMPUTED_VALUE"""),15.0)</f>
        <v>15</v>
      </c>
      <c r="M930" s="188">
        <f>IFERROR(__xludf.DUMMYFUNCTION("""COMPUTED_VALUE"""),0.02)</f>
        <v>0.02</v>
      </c>
      <c r="N930" s="188">
        <f>IFERROR(__xludf.DUMMYFUNCTION("""COMPUTED_VALUE"""),0.93)</f>
        <v>0.93</v>
      </c>
      <c r="O930" s="208"/>
      <c r="P930" s="208"/>
      <c r="Q930" s="208"/>
      <c r="R930" s="208"/>
    </row>
    <row r="931">
      <c r="A931" s="185" t="str">
        <f>IFERROR(__xludf.DUMMYFUNCTION("""COMPUTED_VALUE"""),"Agency directory / review marketplace")</f>
        <v>Agency directory / review marketplace</v>
      </c>
      <c r="B931" s="186" t="str">
        <f>IFERROR(__xludf.DUMMYFUNCTION("""COMPUTED_VALUE"""),"https://feedbax.ai/geo-agencies/germany")</f>
        <v>https://feedbax.ai/geo-agencies/germany</v>
      </c>
      <c r="C931" s="185" t="str">
        <f>IFERROR(__xludf.DUMMYFUNCTION("""COMPUTED_VALUE"""),"Top 20 GEO Agencies in Germany - 2026 Reviews")</f>
        <v>Top 20 GEO Agencies in Germany - 2026 Reviews</v>
      </c>
      <c r="D931" s="185" t="str">
        <f>IFERROR(__xludf.DUMMYFUNCTION("""COMPUTED_VALUE"""),"DE")</f>
        <v>DE</v>
      </c>
      <c r="E931" s="185" t="str">
        <f>IFERROR(__xludf.DUMMYFUNCTION("""COMPUTED_VALUE"""),"feedbax.ai")</f>
        <v>feedbax.ai</v>
      </c>
      <c r="F931" s="185" t="str">
        <f>IFERROR(__xludf.DUMMYFUNCTION("""COMPUTED_VALUE"""),"Profile")</f>
        <v>Profile</v>
      </c>
      <c r="G931" s="185" t="str">
        <f>IFERROR(__xludf.DUMMYFUNCTION("""COMPUTED_VALUE"""),"UGC")</f>
        <v>UGC</v>
      </c>
      <c r="H931" s="185" t="str">
        <f>IFERROR(__xludf.DUMMYFUNCTION("""COMPUTED_VALUE"""),"No")</f>
        <v>No</v>
      </c>
      <c r="I931" s="185" t="str">
        <f>IFERROR(__xludf.DUMMYFUNCTION("""COMPUTED_VALUE"""),"Medium")</f>
        <v>Medium</v>
      </c>
      <c r="J931" s="185" t="str">
        <f>IFERROR(__xludf.DUMMYFUNCTION("""COMPUTED_VALUE"""),"Yes")</f>
        <v>Yes</v>
      </c>
      <c r="K931" s="185" t="str">
        <f>IFERROR(__xludf.DUMMYFUNCTION("""COMPUTED_VALUE"""),"DREIKON, HECHT INS GEFECHT")</f>
        <v>DREIKON, HECHT INS GEFECHT</v>
      </c>
      <c r="L931" s="187">
        <f>IFERROR(__xludf.DUMMYFUNCTION("""COMPUTED_VALUE"""),15.0)</f>
        <v>15</v>
      </c>
      <c r="M931" s="188">
        <f>IFERROR(__xludf.DUMMYFUNCTION("""COMPUTED_VALUE"""),0.02)</f>
        <v>0.02</v>
      </c>
      <c r="N931" s="188">
        <f>IFERROR(__xludf.DUMMYFUNCTION("""COMPUTED_VALUE"""),0.33)</f>
        <v>0.33</v>
      </c>
      <c r="O931" s="208"/>
      <c r="P931" s="208"/>
      <c r="Q931" s="208"/>
      <c r="R931" s="208"/>
    </row>
    <row r="932">
      <c r="A932" s="185" t="str">
        <f>IFERROR(__xludf.DUMMYFUNCTION("""COMPUTED_VALUE"""),"Analyst / research authority")</f>
        <v>Analyst / research authority</v>
      </c>
      <c r="B932" s="186" t="str">
        <f>IFERROR(__xludf.DUMMYFUNCTION("""COMPUTED_VALUE"""),"https://www.gartner.com/reviews/market/incrementality-measurement-platforms")</f>
        <v>https://www.gartner.com/reviews/market/incrementality-measurement-platforms</v>
      </c>
      <c r="C932" s="185" t="str">
        <f>IFERROR(__xludf.DUMMYFUNCTION("""COMPUTED_VALUE"""),"Best Incrementality Measurement Platforms Reviews 2026 \| Gartner Peer Insights")</f>
        <v>Best Incrementality Measurement Platforms Reviews 2026 \| Gartner Peer Insights</v>
      </c>
      <c r="D932" s="185" t="str">
        <f>IFERROR(__xludf.DUMMYFUNCTION("""COMPUTED_VALUE"""),"DE")</f>
        <v>DE</v>
      </c>
      <c r="E932" s="185" t="str">
        <f>IFERROR(__xludf.DUMMYFUNCTION("""COMPUTED_VALUE"""),"gartner.com")</f>
        <v>gartner.com</v>
      </c>
      <c r="F932" s="185" t="str">
        <f>IFERROR(__xludf.DUMMYFUNCTION("""COMPUTED_VALUE"""),"Category Page")</f>
        <v>Category Page</v>
      </c>
      <c r="G932" s="185" t="str">
        <f>IFERROR(__xludf.DUMMYFUNCTION("""COMPUTED_VALUE"""),"CORPORATE")</f>
        <v>CORPORATE</v>
      </c>
      <c r="H932" s="185" t="str">
        <f>IFERROR(__xludf.DUMMYFUNCTION("""COMPUTED_VALUE"""),"No")</f>
        <v>No</v>
      </c>
      <c r="I932" s="185" t="str">
        <f>IFERROR(__xludf.DUMMYFUNCTION("""COMPUTED_VALUE"""),"High")</f>
        <v>High</v>
      </c>
      <c r="J932" s="185" t="str">
        <f>IFERROR(__xludf.DUMMYFUNCTION("""COMPUTED_VALUE"""),"Yes - priority")</f>
        <v>Yes - priority</v>
      </c>
      <c r="K932" s="185" t="str">
        <f>IFERROR(__xludf.DUMMYFUNCTION("""COMPUTED_VALUE"""),"Haus, SegmentStream, Measured, INCRMNTAL, LifeSight, Recast")</f>
        <v>Haus, SegmentStream, Measured, INCRMNTAL, LifeSight, Recast</v>
      </c>
      <c r="L932" s="187">
        <f>IFERROR(__xludf.DUMMYFUNCTION("""COMPUTED_VALUE"""),15.0)</f>
        <v>15</v>
      </c>
      <c r="M932" s="188">
        <f>IFERROR(__xludf.DUMMYFUNCTION("""COMPUTED_VALUE"""),0.02)</f>
        <v>0.02</v>
      </c>
      <c r="N932" s="188">
        <f>IFERROR(__xludf.DUMMYFUNCTION("""COMPUTED_VALUE"""),0.47)</f>
        <v>0.47</v>
      </c>
      <c r="O932" s="208"/>
      <c r="P932" s="208"/>
      <c r="Q932" s="208"/>
      <c r="R932" s="208"/>
    </row>
    <row r="933">
      <c r="A933" s="185" t="str">
        <f>IFERROR(__xludf.DUMMYFUNCTION("""COMPUTED_VALUE"""),"Agency directory / review marketplace")</f>
        <v>Agency directory / review marketplace</v>
      </c>
      <c r="B933" s="186" t="str">
        <f>IFERROR(__xludf.DUMMYFUNCTION("""COMPUTED_VALUE"""),"https://www.sortlist.de/s/ai-marketing/deutschland-de")</f>
        <v>https://www.sortlist.de/s/ai-marketing/deutschland-de</v>
      </c>
      <c r="C933" s="185" t="str">
        <f>IFERROR(__xludf.DUMMYFUNCTION("""COMPUTED_VALUE"""),"Unsere 10 Besten AI Marketing Agenturen in Deutschland - 2026 Bewertungen")</f>
        <v>Unsere 10 Besten AI Marketing Agenturen in Deutschland - 2026 Bewertungen</v>
      </c>
      <c r="D933" s="185" t="str">
        <f>IFERROR(__xludf.DUMMYFUNCTION("""COMPUTED_VALUE"""),"DE")</f>
        <v>DE</v>
      </c>
      <c r="E933" s="185" t="str">
        <f>IFERROR(__xludf.DUMMYFUNCTION("""COMPUTED_VALUE"""),"sortlist.de")</f>
        <v>sortlist.de</v>
      </c>
      <c r="F933" s="185" t="str">
        <f>IFERROR(__xludf.DUMMYFUNCTION("""COMPUTED_VALUE"""),"Profile")</f>
        <v>Profile</v>
      </c>
      <c r="G933" s="185" t="str">
        <f>IFERROR(__xludf.DUMMYFUNCTION("""COMPUTED_VALUE"""),"CORPORATE")</f>
        <v>CORPORATE</v>
      </c>
      <c r="H933" s="185" t="str">
        <f>IFERROR(__xludf.DUMMYFUNCTION("""COMPUTED_VALUE"""),"No")</f>
        <v>No</v>
      </c>
      <c r="I933" s="185" t="str">
        <f>IFERROR(__xludf.DUMMYFUNCTION("""COMPUTED_VALUE"""),"Medium")</f>
        <v>Medium</v>
      </c>
      <c r="J933" s="185" t="str">
        <f>IFERROR(__xludf.DUMMYFUNCTION("""COMPUTED_VALUE"""),"Yes")</f>
        <v>Yes</v>
      </c>
      <c r="K933" s="185"/>
      <c r="L933" s="187">
        <f>IFERROR(__xludf.DUMMYFUNCTION("""COMPUTED_VALUE"""),15.0)</f>
        <v>15</v>
      </c>
      <c r="M933" s="188">
        <f>IFERROR(__xludf.DUMMYFUNCTION("""COMPUTED_VALUE"""),0.02)</f>
        <v>0.02</v>
      </c>
      <c r="N933" s="188">
        <f>IFERROR(__xludf.DUMMYFUNCTION("""COMPUTED_VALUE"""),2.87)</f>
        <v>2.87</v>
      </c>
      <c r="O933" s="208"/>
      <c r="P933" s="208"/>
      <c r="Q933" s="208"/>
      <c r="R933" s="208"/>
    </row>
    <row r="934">
      <c r="A934" s="185" t="str">
        <f>IFERROR(__xludf.DUMMYFUNCTION("""COMPUTED_VALUE"""),"Industry data / software authority")</f>
        <v>Industry data / software authority</v>
      </c>
      <c r="B934" s="186" t="str">
        <f>IFERROR(__xludf.DUMMYFUNCTION("""COMPUTED_VALUE"""),"https://agencies.semrush.com/list/display-advertising/germany/")</f>
        <v>https://agencies.semrush.com/list/display-advertising/germany/</v>
      </c>
      <c r="C934" s="185" t="str">
        <f>IFERROR(__xludf.DUMMYFUNCTION("""COMPUTED_VALUE"""),"Best Display Ads Agencies in Germany 2026 | Semrush")</f>
        <v>Best Display Ads Agencies in Germany 2026 | Semrush</v>
      </c>
      <c r="D934" s="185" t="str">
        <f>IFERROR(__xludf.DUMMYFUNCTION("""COMPUTED_VALUE"""),"DE")</f>
        <v>DE</v>
      </c>
      <c r="E934" s="185" t="str">
        <f>IFERROR(__xludf.DUMMYFUNCTION("""COMPUTED_VALUE"""),"semrush.com")</f>
        <v>semrush.com</v>
      </c>
      <c r="F934" s="185" t="str">
        <f>IFERROR(__xludf.DUMMYFUNCTION("""COMPUTED_VALUE"""),"Other")</f>
        <v>Other</v>
      </c>
      <c r="G934" s="185" t="str">
        <f>IFERROR(__xludf.DUMMYFUNCTION("""COMPUTED_VALUE"""),"CORPORATE")</f>
        <v>CORPORATE</v>
      </c>
      <c r="H934" s="185" t="str">
        <f>IFERROR(__xludf.DUMMYFUNCTION("""COMPUTED_VALUE"""),"No")</f>
        <v>No</v>
      </c>
      <c r="I934" s="185" t="str">
        <f>IFERROR(__xludf.DUMMYFUNCTION("""COMPUTED_VALUE"""),"Medium")</f>
        <v>Medium</v>
      </c>
      <c r="J934" s="185" t="str">
        <f>IFERROR(__xludf.DUMMYFUNCTION("""COMPUTED_VALUE"""),"Yes")</f>
        <v>Yes</v>
      </c>
      <c r="K934" s="185" t="str">
        <f>IFERROR(__xludf.DUMMYFUNCTION("""COMPUTED_VALUE"""),"Baseplus DIGITAL MEDIA GmbH, morefire, Mediaplus Performance, MONSOON, KlickPiloten")</f>
        <v>Baseplus DIGITAL MEDIA GmbH, morefire, Mediaplus Performance, MONSOON, KlickPiloten</v>
      </c>
      <c r="L934" s="187">
        <f>IFERROR(__xludf.DUMMYFUNCTION("""COMPUTED_VALUE"""),14.0)</f>
        <v>14</v>
      </c>
      <c r="M934" s="188">
        <f>IFERROR(__xludf.DUMMYFUNCTION("""COMPUTED_VALUE"""),0.01)</f>
        <v>0.01</v>
      </c>
      <c r="N934" s="188">
        <f>IFERROR(__xludf.DUMMYFUNCTION("""COMPUTED_VALUE"""),0.14)</f>
        <v>0.14</v>
      </c>
      <c r="O934" s="208"/>
      <c r="P934" s="208"/>
      <c r="Q934" s="208"/>
      <c r="R934" s="208"/>
    </row>
    <row r="935">
      <c r="A935" s="185" t="str">
        <f>IFERROR(__xludf.DUMMYFUNCTION("""COMPUTED_VALUE"""),"Lower-priority competitor/vendor roundup")</f>
        <v>Lower-priority competitor/vendor roundup</v>
      </c>
      <c r="B935" s="186" t="str">
        <f>IFERROR(__xludf.DUMMYFUNCTION("""COMPUTED_VALUE"""),"https://oski.site/blog/ai-consulting-companies-germany/")</f>
        <v>https://oski.site/blog/ai-consulting-companies-germany/</v>
      </c>
      <c r="C935" s="185" t="str">
        <f>IFERROR(__xludf.DUMMYFUNCTION("""COMPUTED_VALUE"""),"Top AI Consulting Companies in Germany 2026")</f>
        <v>Top AI Consulting Companies in Germany 2026</v>
      </c>
      <c r="D935" s="185" t="str">
        <f>IFERROR(__xludf.DUMMYFUNCTION("""COMPUTED_VALUE"""),"DE")</f>
        <v>DE</v>
      </c>
      <c r="E935" s="185" t="str">
        <f>IFERROR(__xludf.DUMMYFUNCTION("""COMPUTED_VALUE"""),"oski.site")</f>
        <v>oski.site</v>
      </c>
      <c r="F935" s="185" t="str">
        <f>IFERROR(__xludf.DUMMYFUNCTION("""COMPUTED_VALUE"""),"Listicle")</f>
        <v>Listicle</v>
      </c>
      <c r="G935" s="185" t="str">
        <f>IFERROR(__xludf.DUMMYFUNCTION("""COMPUTED_VALUE"""),"OTHER")</f>
        <v>OTHER</v>
      </c>
      <c r="H935" s="185" t="str">
        <f>IFERROR(__xludf.DUMMYFUNCTION("""COMPUTED_VALUE"""),"No")</f>
        <v>No</v>
      </c>
      <c r="I935" s="185" t="str">
        <f>IFERROR(__xludf.DUMMYFUNCTION("""COMPUTED_VALUE"""),"Low")</f>
        <v>Low</v>
      </c>
      <c r="J935" s="185" t="str">
        <f>IFERROR(__xludf.DUMMYFUNCTION("""COMPUTED_VALUE"""),"Secondary")</f>
        <v>Secondary</v>
      </c>
      <c r="K935" s="185" t="str">
        <f>IFERROR(__xludf.DUMMYFUNCTION("""COMPUTED_VALUE"""),"Opinosis Analytics, MaibornWolff, statworx, Capgemini, PwC, Momentum")</f>
        <v>Opinosis Analytics, MaibornWolff, statworx, Capgemini, PwC, Momentum</v>
      </c>
      <c r="L935" s="187">
        <f>IFERROR(__xludf.DUMMYFUNCTION("""COMPUTED_VALUE"""),14.0)</f>
        <v>14</v>
      </c>
      <c r="M935" s="188">
        <f>IFERROR(__xludf.DUMMYFUNCTION("""COMPUTED_VALUE"""),0.01)</f>
        <v>0.01</v>
      </c>
      <c r="N935" s="188">
        <f>IFERROR(__xludf.DUMMYFUNCTION("""COMPUTED_VALUE"""),1.21)</f>
        <v>1.21</v>
      </c>
      <c r="O935" s="208"/>
      <c r="P935" s="208"/>
      <c r="Q935" s="208"/>
      <c r="R935" s="208"/>
    </row>
    <row r="936">
      <c r="A936" s="185" t="str">
        <f>IFERROR(__xludf.DUMMYFUNCTION("""COMPUTED_VALUE"""),"Trade media / editorial publication")</f>
        <v>Trade media / editorial publication</v>
      </c>
      <c r="B936" s="186" t="str">
        <f>IFERROR(__xludf.DUMMYFUNCTION("""COMPUTED_VALUE"""),"https://www.silicon.de/41722409/geo-agentur-vergleich-empfehlungen-beste-15-geo-agenturen-2026")</f>
        <v>https://www.silicon.de/41722409/geo-agentur-vergleich-empfehlungen-beste-15-geo-agenturen-2026</v>
      </c>
      <c r="C936" s="185" t="str">
        <f>IFERROR(__xludf.DUMMYFUNCTION("""COMPUTED_VALUE"""),"GEO Agentur Vergleich: TOP 15 GEO-Agenturen 2026 - silicon.de")</f>
        <v>GEO Agentur Vergleich: TOP 15 GEO-Agenturen 2026 - silicon.de</v>
      </c>
      <c r="D936" s="185" t="str">
        <f>IFERROR(__xludf.DUMMYFUNCTION("""COMPUTED_VALUE"""),"DE")</f>
        <v>DE</v>
      </c>
      <c r="E936" s="185" t="str">
        <f>IFERROR(__xludf.DUMMYFUNCTION("""COMPUTED_VALUE"""),"silicon.de")</f>
        <v>silicon.de</v>
      </c>
      <c r="F936" s="185" t="str">
        <f>IFERROR(__xludf.DUMMYFUNCTION("""COMPUTED_VALUE"""),"Comparison")</f>
        <v>Comparison</v>
      </c>
      <c r="G936" s="185" t="str">
        <f>IFERROR(__xludf.DUMMYFUNCTION("""COMPUTED_VALUE"""),"EDITORIAL")</f>
        <v>EDITORIAL</v>
      </c>
      <c r="H936" s="185" t="str">
        <f>IFERROR(__xludf.DUMMYFUNCTION("""COMPUTED_VALUE"""),"No")</f>
        <v>No</v>
      </c>
      <c r="I936" s="185" t="str">
        <f>IFERROR(__xludf.DUMMYFUNCTION("""COMPUTED_VALUE"""),"Medium")</f>
        <v>Medium</v>
      </c>
      <c r="J936" s="185" t="str">
        <f>IFERROR(__xludf.DUMMYFUNCTION("""COMPUTED_VALUE"""),"Yes")</f>
        <v>Yes</v>
      </c>
      <c r="K936" s="185" t="str">
        <f>IFERROR(__xludf.DUMMYFUNCTION("""COMPUTED_VALUE"""),"Aufgesang, Claneo, Suchhelden, iPullRank, WebFX, Omnius, DREIKON")</f>
        <v>Aufgesang, Claneo, Suchhelden, iPullRank, WebFX, Omnius, DREIKON</v>
      </c>
      <c r="L936" s="187">
        <f>IFERROR(__xludf.DUMMYFUNCTION("""COMPUTED_VALUE"""),14.0)</f>
        <v>14</v>
      </c>
      <c r="M936" s="188">
        <f>IFERROR(__xludf.DUMMYFUNCTION("""COMPUTED_VALUE"""),0.01)</f>
        <v>0.01</v>
      </c>
      <c r="N936" s="188">
        <f>IFERROR(__xludf.DUMMYFUNCTION("""COMPUTED_VALUE"""),1.07)</f>
        <v>1.07</v>
      </c>
      <c r="O936" s="208"/>
      <c r="P936" s="208"/>
      <c r="Q936" s="208"/>
      <c r="R936" s="208"/>
    </row>
    <row r="937">
      <c r="A937" s="185" t="str">
        <f>IFERROR(__xludf.DUMMYFUNCTION("""COMPUTED_VALUE"""),"Agency directory / review marketplace")</f>
        <v>Agency directory / review marketplace</v>
      </c>
      <c r="B937" s="186" t="str">
        <f>IFERROR(__xludf.DUMMYFUNCTION("""COMPUTED_VALUE"""),"https://www.sortlist.de/s/display-werbung/deutschland-de")</f>
        <v>https://www.sortlist.de/s/display-werbung/deutschland-de</v>
      </c>
      <c r="C937" s="185" t="str">
        <f>IFERROR(__xludf.DUMMYFUNCTION("""COMPUTED_VALUE"""),"Unsere 10 Besten Display Anzeigen Agenturen in Deutschland - 2026 Bewertungen")</f>
        <v>Unsere 10 Besten Display Anzeigen Agenturen in Deutschland - 2026 Bewertungen</v>
      </c>
      <c r="D937" s="185" t="str">
        <f>IFERROR(__xludf.DUMMYFUNCTION("""COMPUTED_VALUE"""),"DE")</f>
        <v>DE</v>
      </c>
      <c r="E937" s="185" t="str">
        <f>IFERROR(__xludf.DUMMYFUNCTION("""COMPUTED_VALUE"""),"sortlist.de")</f>
        <v>sortlist.de</v>
      </c>
      <c r="F937" s="185" t="str">
        <f>IFERROR(__xludf.DUMMYFUNCTION("""COMPUTED_VALUE"""),"Category Page")</f>
        <v>Category Page</v>
      </c>
      <c r="G937" s="185" t="str">
        <f>IFERROR(__xludf.DUMMYFUNCTION("""COMPUTED_VALUE"""),"CORPORATE")</f>
        <v>CORPORATE</v>
      </c>
      <c r="H937" s="185" t="str">
        <f>IFERROR(__xludf.DUMMYFUNCTION("""COMPUTED_VALUE"""),"No")</f>
        <v>No</v>
      </c>
      <c r="I937" s="185" t="str">
        <f>IFERROR(__xludf.DUMMYFUNCTION("""COMPUTED_VALUE"""),"Medium")</f>
        <v>Medium</v>
      </c>
      <c r="J937" s="185" t="str">
        <f>IFERROR(__xludf.DUMMYFUNCTION("""COMPUTED_VALUE"""),"Yes")</f>
        <v>Yes</v>
      </c>
      <c r="K937" s="185" t="str">
        <f>IFERROR(__xludf.DUMMYFUNCTION("""COMPUTED_VALUE"""),"MONSOON, Triple Whale, Northbeam, Dreamdata, KlickPiloten, Mediacharge")</f>
        <v>MONSOON, Triple Whale, Northbeam, Dreamdata, KlickPiloten, Mediacharge</v>
      </c>
      <c r="L937" s="187">
        <f>IFERROR(__xludf.DUMMYFUNCTION("""COMPUTED_VALUE"""),14.0)</f>
        <v>14</v>
      </c>
      <c r="M937" s="188">
        <f>IFERROR(__xludf.DUMMYFUNCTION("""COMPUTED_VALUE"""),0.01)</f>
        <v>0.01</v>
      </c>
      <c r="N937" s="188">
        <f>IFERROR(__xludf.DUMMYFUNCTION("""COMPUTED_VALUE"""),2.86)</f>
        <v>2.86</v>
      </c>
      <c r="O937" s="208"/>
      <c r="P937" s="208"/>
      <c r="Q937" s="208"/>
      <c r="R937" s="208"/>
    </row>
    <row r="938">
      <c r="A938" s="185" t="str">
        <f>IFERROR(__xludf.DUMMYFUNCTION("""COMPUTED_VALUE"""),"Agency directory / review marketplace")</f>
        <v>Agency directory / review marketplace</v>
      </c>
      <c r="B938" s="186" t="str">
        <f>IFERROR(__xludf.DUMMYFUNCTION("""COMPUTED_VALUE"""),"https://themanifest.com/de/creative/agencies")</f>
        <v>https://themanifest.com/de/creative/agencies</v>
      </c>
      <c r="C938" s="185" t="str">
        <f>IFERROR(__xludf.DUMMYFUNCTION("""COMPUTED_VALUE"""),"The Best Creative Companies in Germany - Jul 2026 | The Manifest")</f>
        <v>The Best Creative Companies in Germany - Jul 2026 | The Manifest</v>
      </c>
      <c r="D938" s="185" t="str">
        <f>IFERROR(__xludf.DUMMYFUNCTION("""COMPUTED_VALUE"""),"DE")</f>
        <v>DE</v>
      </c>
      <c r="E938" s="185" t="str">
        <f>IFERROR(__xludf.DUMMYFUNCTION("""COMPUTED_VALUE"""),"themanifest.com")</f>
        <v>themanifest.com</v>
      </c>
      <c r="F938" s="185" t="str">
        <f>IFERROR(__xludf.DUMMYFUNCTION("""COMPUTED_VALUE"""),"Profile")</f>
        <v>Profile</v>
      </c>
      <c r="G938" s="185" t="str">
        <f>IFERROR(__xludf.DUMMYFUNCTION("""COMPUTED_VALUE"""),"REFERENCE")</f>
        <v>REFERENCE</v>
      </c>
      <c r="H938" s="185" t="str">
        <f>IFERROR(__xludf.DUMMYFUNCTION("""COMPUTED_VALUE"""),"No")</f>
        <v>No</v>
      </c>
      <c r="I938" s="185" t="str">
        <f>IFERROR(__xludf.DUMMYFUNCTION("""COMPUTED_VALUE"""),"Medium")</f>
        <v>Medium</v>
      </c>
      <c r="J938" s="185" t="str">
        <f>IFERROR(__xludf.DUMMYFUNCTION("""COMPUTED_VALUE"""),"Yes")</f>
        <v>Yes</v>
      </c>
      <c r="K938" s="185" t="str">
        <f>IFERROR(__xludf.DUMMYFUNCTION("""COMPUTED_VALUE"""),"PANORAMA3000, Digitalyze, morefire")</f>
        <v>PANORAMA3000, Digitalyze, morefire</v>
      </c>
      <c r="L938" s="187">
        <f>IFERROR(__xludf.DUMMYFUNCTION("""COMPUTED_VALUE"""),14.0)</f>
        <v>14</v>
      </c>
      <c r="M938" s="188">
        <f>IFERROR(__xludf.DUMMYFUNCTION("""COMPUTED_VALUE"""),0.01)</f>
        <v>0.01</v>
      </c>
      <c r="N938" s="188">
        <f>IFERROR(__xludf.DUMMYFUNCTION("""COMPUTED_VALUE"""),0.0)</f>
        <v>0</v>
      </c>
      <c r="O938" s="208"/>
      <c r="P938" s="208"/>
      <c r="Q938" s="208"/>
      <c r="R938" s="208"/>
    </row>
    <row r="939">
      <c r="A939" s="185" t="str">
        <f>IFERROR(__xludf.DUMMYFUNCTION("""COMPUTED_VALUE"""),"Industry data / software authority")</f>
        <v>Industry data / software authority</v>
      </c>
      <c r="B939" s="186" t="str">
        <f>IFERROR(__xludf.DUMMYFUNCTION("""COMPUTED_VALUE"""),"https://agencies.semrush.com/list/display-advertising/ecommerce/germany/small-business/")</f>
        <v>https://agencies.semrush.com/list/display-advertising/ecommerce/germany/small-business/</v>
      </c>
      <c r="C939" s="185" t="str">
        <f>IFERROR(__xludf.DUMMYFUNCTION("""COMPUTED_VALUE"""),"Best Ecommerce Display Ads Agencies for Small Business in Germany 2026 | Semrush")</f>
        <v>Best Ecommerce Display Ads Agencies for Small Business in Germany 2026 | Semrush</v>
      </c>
      <c r="D939" s="185" t="str">
        <f>IFERROR(__xludf.DUMMYFUNCTION("""COMPUTED_VALUE"""),"DE")</f>
        <v>DE</v>
      </c>
      <c r="E939" s="185" t="str">
        <f>IFERROR(__xludf.DUMMYFUNCTION("""COMPUTED_VALUE"""),"semrush.com")</f>
        <v>semrush.com</v>
      </c>
      <c r="F939" s="185" t="str">
        <f>IFERROR(__xludf.DUMMYFUNCTION("""COMPUTED_VALUE"""),"Other")</f>
        <v>Other</v>
      </c>
      <c r="G939" s="185" t="str">
        <f>IFERROR(__xludf.DUMMYFUNCTION("""COMPUTED_VALUE"""),"CORPORATE")</f>
        <v>CORPORATE</v>
      </c>
      <c r="H939" s="185" t="str">
        <f>IFERROR(__xludf.DUMMYFUNCTION("""COMPUTED_VALUE"""),"No")</f>
        <v>No</v>
      </c>
      <c r="I939" s="185" t="str">
        <f>IFERROR(__xludf.DUMMYFUNCTION("""COMPUTED_VALUE"""),"Medium")</f>
        <v>Medium</v>
      </c>
      <c r="J939" s="185" t="str">
        <f>IFERROR(__xludf.DUMMYFUNCTION("""COMPUTED_VALUE"""),"Yes")</f>
        <v>Yes</v>
      </c>
      <c r="K939" s="185" t="str">
        <f>IFERROR(__xludf.DUMMYFUNCTION("""COMPUTED_VALUE"""),"Baseplus DIGITAL MEDIA GmbH, Mediaplus Performance, MONSOON")</f>
        <v>Baseplus DIGITAL MEDIA GmbH, Mediaplus Performance, MONSOON</v>
      </c>
      <c r="L939" s="187">
        <f>IFERROR(__xludf.DUMMYFUNCTION("""COMPUTED_VALUE"""),13.0)</f>
        <v>13</v>
      </c>
      <c r="M939" s="188">
        <f>IFERROR(__xludf.DUMMYFUNCTION("""COMPUTED_VALUE"""),0.01)</f>
        <v>0.01</v>
      </c>
      <c r="N939" s="188">
        <f>IFERROR(__xludf.DUMMYFUNCTION("""COMPUTED_VALUE"""),0.08)</f>
        <v>0.08</v>
      </c>
      <c r="O939" s="208"/>
      <c r="P939" s="208"/>
      <c r="Q939" s="208"/>
      <c r="R939" s="208"/>
    </row>
    <row r="940">
      <c r="A940" s="185" t="str">
        <f>IFERROR(__xludf.DUMMYFUNCTION("""COMPUTED_VALUE"""),"Agency directory / review marketplace")</f>
        <v>Agency directory / review marketplace</v>
      </c>
      <c r="B940" s="186" t="str">
        <f>IFERROR(__xludf.DUMMYFUNCTION("""COMPUTED_VALUE"""),"https://clutch.co/de/agencies/branding")</f>
        <v>https://clutch.co/de/agencies/branding</v>
      </c>
      <c r="C940" s="185" t="str">
        <f>IFERROR(__xludf.DUMMYFUNCTION("""COMPUTED_VALUE"""),"Top Branding Agencies in Germany - Jul 2026 Rankings \| Clutch.co")</f>
        <v>Top Branding Agencies in Germany - Jul 2026 Rankings \| Clutch.co</v>
      </c>
      <c r="D940" s="185" t="str">
        <f>IFERROR(__xludf.DUMMYFUNCTION("""COMPUTED_VALUE"""),"DE")</f>
        <v>DE</v>
      </c>
      <c r="E940" s="185" t="str">
        <f>IFERROR(__xludf.DUMMYFUNCTION("""COMPUTED_VALUE"""),"clutch.co")</f>
        <v>clutch.co</v>
      </c>
      <c r="F940" s="185" t="str">
        <f>IFERROR(__xludf.DUMMYFUNCTION("""COMPUTED_VALUE"""),"Category Page")</f>
        <v>Category Page</v>
      </c>
      <c r="G940" s="185" t="str">
        <f>IFERROR(__xludf.DUMMYFUNCTION("""COMPUTED_VALUE"""),"CORPORATE")</f>
        <v>CORPORATE</v>
      </c>
      <c r="H940" s="185" t="str">
        <f>IFERROR(__xludf.DUMMYFUNCTION("""COMPUTED_VALUE"""),"No")</f>
        <v>No</v>
      </c>
      <c r="I940" s="185" t="str">
        <f>IFERROR(__xludf.DUMMYFUNCTION("""COMPUTED_VALUE"""),"Medium")</f>
        <v>Medium</v>
      </c>
      <c r="J940" s="185" t="str">
        <f>IFERROR(__xludf.DUMMYFUNCTION("""COMPUTED_VALUE"""),"Yes")</f>
        <v>Yes</v>
      </c>
      <c r="K940" s="185" t="str">
        <f>IFERROR(__xludf.DUMMYFUNCTION("""COMPUTED_VALUE"""),"PANORAMA3000, HY.AM STUDIOS")</f>
        <v>PANORAMA3000, HY.AM STUDIOS</v>
      </c>
      <c r="L940" s="187">
        <f>IFERROR(__xludf.DUMMYFUNCTION("""COMPUTED_VALUE"""),13.0)</f>
        <v>13</v>
      </c>
      <c r="M940" s="188">
        <f>IFERROR(__xludf.DUMMYFUNCTION("""COMPUTED_VALUE"""),0.01)</f>
        <v>0.01</v>
      </c>
      <c r="N940" s="188">
        <f>IFERROR(__xludf.DUMMYFUNCTION("""COMPUTED_VALUE"""),0.0)</f>
        <v>0</v>
      </c>
      <c r="O940" s="208"/>
      <c r="P940" s="208"/>
      <c r="Q940" s="208"/>
      <c r="R940" s="208"/>
    </row>
    <row r="941">
      <c r="A941" s="185" t="str">
        <f>IFERROR(__xludf.DUMMYFUNCTION("""COMPUTED_VALUE"""),"Agency directory / review marketplace")</f>
        <v>Agency directory / review marketplace</v>
      </c>
      <c r="B941" s="186" t="str">
        <f>IFERROR(__xludf.DUMMYFUNCTION("""COMPUTED_VALUE"""),"https://clutch.co/de/agencies/ppc")</f>
        <v>https://clutch.co/de/agencies/ppc</v>
      </c>
      <c r="C941" s="185" t="str">
        <f>IFERROR(__xludf.DUMMYFUNCTION("""COMPUTED_VALUE"""),"Top PPC Agencies in Germany - Jul 2026 Rankings \| Clutch.co")</f>
        <v>Top PPC Agencies in Germany - Jul 2026 Rankings \| Clutch.co</v>
      </c>
      <c r="D941" s="185" t="str">
        <f>IFERROR(__xludf.DUMMYFUNCTION("""COMPUTED_VALUE"""),"DE")</f>
        <v>DE</v>
      </c>
      <c r="E941" s="185" t="str">
        <f>IFERROR(__xludf.DUMMYFUNCTION("""COMPUTED_VALUE"""),"clutch.co")</f>
        <v>clutch.co</v>
      </c>
      <c r="F941" s="185" t="str">
        <f>IFERROR(__xludf.DUMMYFUNCTION("""COMPUTED_VALUE"""),"Category Page")</f>
        <v>Category Page</v>
      </c>
      <c r="G941" s="185" t="str">
        <f>IFERROR(__xludf.DUMMYFUNCTION("""COMPUTED_VALUE"""),"CORPORATE")</f>
        <v>CORPORATE</v>
      </c>
      <c r="H941" s="185" t="str">
        <f>IFERROR(__xludf.DUMMYFUNCTION("""COMPUTED_VALUE"""),"No")</f>
        <v>No</v>
      </c>
      <c r="I941" s="185" t="str">
        <f>IFERROR(__xludf.DUMMYFUNCTION("""COMPUTED_VALUE"""),"Medium")</f>
        <v>Medium</v>
      </c>
      <c r="J941" s="185" t="str">
        <f>IFERROR(__xludf.DUMMYFUNCTION("""COMPUTED_VALUE"""),"Yes")</f>
        <v>Yes</v>
      </c>
      <c r="K941" s="185" t="str">
        <f>IFERROR(__xludf.DUMMYFUNCTION("""COMPUTED_VALUE"""),"Mediacharge, MONSOON, REPLUG, Seeders, KlickPiloten, Smarketer, eMinded GmbH, Peak Ace, Think11")</f>
        <v>Mediacharge, MONSOON, REPLUG, Seeders, KlickPiloten, Smarketer, eMinded GmbH, Peak Ace, Think11</v>
      </c>
      <c r="L941" s="187">
        <f>IFERROR(__xludf.DUMMYFUNCTION("""COMPUTED_VALUE"""),13.0)</f>
        <v>13</v>
      </c>
      <c r="M941" s="188">
        <f>IFERROR(__xludf.DUMMYFUNCTION("""COMPUTED_VALUE"""),0.01)</f>
        <v>0.01</v>
      </c>
      <c r="N941" s="188">
        <f>IFERROR(__xludf.DUMMYFUNCTION("""COMPUTED_VALUE"""),0.54)</f>
        <v>0.54</v>
      </c>
      <c r="O941" s="208"/>
      <c r="P941" s="208"/>
      <c r="Q941" s="208"/>
      <c r="R941" s="208"/>
    </row>
    <row r="942">
      <c r="A942" s="185" t="str">
        <f>IFERROR(__xludf.DUMMYFUNCTION("""COMPUTED_VALUE"""),"Agency directory / review marketplace")</f>
        <v>Agency directory / review marketplace</v>
      </c>
      <c r="B942" s="186" t="str">
        <f>IFERROR(__xludf.DUMMYFUNCTION("""COMPUTED_VALUE"""),"https://feedbax.de/performance-marketing-agentur/deutschland")</f>
        <v>https://feedbax.de/performance-marketing-agentur/deutschland</v>
      </c>
      <c r="C942" s="185" t="str">
        <f>IFERROR(__xludf.DUMMYFUNCTION("""COMPUTED_VALUE"""),"Die 20 besten Performance Marketing Agenturen in Deutschland 🥇 2026 Ranking")</f>
        <v>Die 20 besten Performance Marketing Agenturen in Deutschland 🥇 2026 Ranking</v>
      </c>
      <c r="D942" s="185" t="str">
        <f>IFERROR(__xludf.DUMMYFUNCTION("""COMPUTED_VALUE"""),"DE")</f>
        <v>DE</v>
      </c>
      <c r="E942" s="185" t="str">
        <f>IFERROR(__xludf.DUMMYFUNCTION("""COMPUTED_VALUE"""),"feedbax.de")</f>
        <v>feedbax.de</v>
      </c>
      <c r="F942" s="185" t="str">
        <f>IFERROR(__xludf.DUMMYFUNCTION("""COMPUTED_VALUE"""),"Category Page")</f>
        <v>Category Page</v>
      </c>
      <c r="G942" s="185" t="str">
        <f>IFERROR(__xludf.DUMMYFUNCTION("""COMPUTED_VALUE"""),"REFERENCE")</f>
        <v>REFERENCE</v>
      </c>
      <c r="H942" s="185" t="str">
        <f>IFERROR(__xludf.DUMMYFUNCTION("""COMPUTED_VALUE"""),"No")</f>
        <v>No</v>
      </c>
      <c r="I942" s="185" t="str">
        <f>IFERROR(__xludf.DUMMYFUNCTION("""COMPUTED_VALUE"""),"Medium")</f>
        <v>Medium</v>
      </c>
      <c r="J942" s="185" t="str">
        <f>IFERROR(__xludf.DUMMYFUNCTION("""COMPUTED_VALUE"""),"Yes")</f>
        <v>Yes</v>
      </c>
      <c r="K942" s="185" t="str">
        <f>IFERROR(__xludf.DUMMYFUNCTION("""COMPUTED_VALUE"""),"PANORAMA3000, KlickPiloten, Mediacharge, Smarketer, DREIKON, Suchhelden")</f>
        <v>PANORAMA3000, KlickPiloten, Mediacharge, Smarketer, DREIKON, Suchhelden</v>
      </c>
      <c r="L942" s="187">
        <f>IFERROR(__xludf.DUMMYFUNCTION("""COMPUTED_VALUE"""),13.0)</f>
        <v>13</v>
      </c>
      <c r="M942" s="188">
        <f>IFERROR(__xludf.DUMMYFUNCTION("""COMPUTED_VALUE"""),0.01)</f>
        <v>0.01</v>
      </c>
      <c r="N942" s="188">
        <f>IFERROR(__xludf.DUMMYFUNCTION("""COMPUTED_VALUE"""),0.23)</f>
        <v>0.23</v>
      </c>
      <c r="O942" s="208"/>
      <c r="P942" s="208"/>
      <c r="Q942" s="208"/>
      <c r="R942" s="208"/>
    </row>
    <row r="943">
      <c r="A943" s="185" t="str">
        <f>IFERROR(__xludf.DUMMYFUNCTION("""COMPUTED_VALUE"""),"Agency directory / review marketplace")</f>
        <v>Agency directory / review marketplace</v>
      </c>
      <c r="B943" s="186" t="str">
        <f>IFERROR(__xludf.DUMMYFUNCTION("""COMPUTED_VALUE"""),"https://www.sortlist.com/s/attribution-marketing/berlin-de")</f>
        <v>https://www.sortlist.com/s/attribution-marketing/berlin-de</v>
      </c>
      <c r="C943" s="185" t="str">
        <f>IFERROR(__xludf.DUMMYFUNCTION("""COMPUTED_VALUE"""),"The 10 Best Attribution Marketing Agencies in Berlin - 2026 Reviews")</f>
        <v>The 10 Best Attribution Marketing Agencies in Berlin - 2026 Reviews</v>
      </c>
      <c r="D943" s="185" t="str">
        <f>IFERROR(__xludf.DUMMYFUNCTION("""COMPUTED_VALUE"""),"DE")</f>
        <v>DE</v>
      </c>
      <c r="E943" s="185" t="str">
        <f>IFERROR(__xludf.DUMMYFUNCTION("""COMPUTED_VALUE"""),"sortlist.com")</f>
        <v>sortlist.com</v>
      </c>
      <c r="F943" s="185" t="str">
        <f>IFERROR(__xludf.DUMMYFUNCTION("""COMPUTED_VALUE"""),"Category Page")</f>
        <v>Category Page</v>
      </c>
      <c r="G943" s="185" t="str">
        <f>IFERROR(__xludf.DUMMYFUNCTION("""COMPUTED_VALUE"""),"CORPORATE")</f>
        <v>CORPORATE</v>
      </c>
      <c r="H943" s="185" t="str">
        <f>IFERROR(__xludf.DUMMYFUNCTION("""COMPUTED_VALUE"""),"No")</f>
        <v>No</v>
      </c>
      <c r="I943" s="185" t="str">
        <f>IFERROR(__xludf.DUMMYFUNCTION("""COMPUTED_VALUE"""),"Medium")</f>
        <v>Medium</v>
      </c>
      <c r="J943" s="185" t="str">
        <f>IFERROR(__xludf.DUMMYFUNCTION("""COMPUTED_VALUE"""),"Yes")</f>
        <v>Yes</v>
      </c>
      <c r="K943" s="185" t="str">
        <f>IFERROR(__xludf.DUMMYFUNCTION("""COMPUTED_VALUE"""),"Triple Whale, Northbeam, Dreamdata, Customlytics")</f>
        <v>Triple Whale, Northbeam, Dreamdata, Customlytics</v>
      </c>
      <c r="L943" s="187">
        <f>IFERROR(__xludf.DUMMYFUNCTION("""COMPUTED_VALUE"""),13.0)</f>
        <v>13</v>
      </c>
      <c r="M943" s="188">
        <f>IFERROR(__xludf.DUMMYFUNCTION("""COMPUTED_VALUE"""),0.01)</f>
        <v>0.01</v>
      </c>
      <c r="N943" s="188">
        <f>IFERROR(__xludf.DUMMYFUNCTION("""COMPUTED_VALUE"""),0.85)</f>
        <v>0.85</v>
      </c>
      <c r="O943" s="208"/>
      <c r="P943" s="208"/>
      <c r="Q943" s="208"/>
      <c r="R943" s="208"/>
    </row>
    <row r="944">
      <c r="A944" s="185" t="str">
        <f>IFERROR(__xludf.DUMMYFUNCTION("""COMPUTED_VALUE"""),"Agency directory / review marketplace")</f>
        <v>Agency directory / review marketplace</v>
      </c>
      <c r="B944" s="186" t="str">
        <f>IFERROR(__xludf.DUMMYFUNCTION("""COMPUTED_VALUE"""),"https://www.sortlist.com/s/attribution-marketing/germany-de")</f>
        <v>https://www.sortlist.com/s/attribution-marketing/germany-de</v>
      </c>
      <c r="C944" s="185" t="str">
        <f>IFERROR(__xludf.DUMMYFUNCTION("""COMPUTED_VALUE"""),"The 10 Best Attribution Marketing Agencies in Germany - 2026 Reviews")</f>
        <v>The 10 Best Attribution Marketing Agencies in Germany - 2026 Reviews</v>
      </c>
      <c r="D944" s="185" t="str">
        <f>IFERROR(__xludf.DUMMYFUNCTION("""COMPUTED_VALUE"""),"DE")</f>
        <v>DE</v>
      </c>
      <c r="E944" s="185" t="str">
        <f>IFERROR(__xludf.DUMMYFUNCTION("""COMPUTED_VALUE"""),"sortlist.com")</f>
        <v>sortlist.com</v>
      </c>
      <c r="F944" s="185" t="str">
        <f>IFERROR(__xludf.DUMMYFUNCTION("""COMPUTED_VALUE"""),"Category Page")</f>
        <v>Category Page</v>
      </c>
      <c r="G944" s="185" t="str">
        <f>IFERROR(__xludf.DUMMYFUNCTION("""COMPUTED_VALUE"""),"CORPORATE")</f>
        <v>CORPORATE</v>
      </c>
      <c r="H944" s="185" t="str">
        <f>IFERROR(__xludf.DUMMYFUNCTION("""COMPUTED_VALUE"""),"No")</f>
        <v>No</v>
      </c>
      <c r="I944" s="185" t="str">
        <f>IFERROR(__xludf.DUMMYFUNCTION("""COMPUTED_VALUE"""),"Medium")</f>
        <v>Medium</v>
      </c>
      <c r="J944" s="185" t="str">
        <f>IFERROR(__xludf.DUMMYFUNCTION("""COMPUTED_VALUE"""),"Yes")</f>
        <v>Yes</v>
      </c>
      <c r="K944" s="185" t="str">
        <f>IFERROR(__xludf.DUMMYFUNCTION("""COMPUTED_VALUE"""),"Triple Whale, Northbeam, Dreamdata, Customlytics")</f>
        <v>Triple Whale, Northbeam, Dreamdata, Customlytics</v>
      </c>
      <c r="L944" s="187">
        <f>IFERROR(__xludf.DUMMYFUNCTION("""COMPUTED_VALUE"""),13.0)</f>
        <v>13</v>
      </c>
      <c r="M944" s="188">
        <f>IFERROR(__xludf.DUMMYFUNCTION("""COMPUTED_VALUE"""),0.01)</f>
        <v>0.01</v>
      </c>
      <c r="N944" s="188">
        <f>IFERROR(__xludf.DUMMYFUNCTION("""COMPUTED_VALUE"""),1.77)</f>
        <v>1.77</v>
      </c>
      <c r="O944" s="208"/>
      <c r="P944" s="208"/>
      <c r="Q944" s="208"/>
      <c r="R944" s="208"/>
    </row>
    <row r="945">
      <c r="A945" s="185" t="str">
        <f>IFERROR(__xludf.DUMMYFUNCTION("""COMPUTED_VALUE"""),"Agency directory / review marketplace")</f>
        <v>Agency directory / review marketplace</v>
      </c>
      <c r="B945" s="186" t="str">
        <f>IFERROR(__xludf.DUMMYFUNCTION("""COMPUTED_VALUE"""),"https://themanifest.com/de/digital-marketing/agencies")</f>
        <v>https://themanifest.com/de/digital-marketing/agencies</v>
      </c>
      <c r="C945" s="185" t="str">
        <f>IFERROR(__xludf.DUMMYFUNCTION("""COMPUTED_VALUE"""),"The Best Digital Marketing Companies in Germany - Jul 2026 | The Manifest")</f>
        <v>The Best Digital Marketing Companies in Germany - Jul 2026 | The Manifest</v>
      </c>
      <c r="D945" s="185" t="str">
        <f>IFERROR(__xludf.DUMMYFUNCTION("""COMPUTED_VALUE"""),"DE")</f>
        <v>DE</v>
      </c>
      <c r="E945" s="185" t="str">
        <f>IFERROR(__xludf.DUMMYFUNCTION("""COMPUTED_VALUE"""),"themanifest.com")</f>
        <v>themanifest.com</v>
      </c>
      <c r="F945" s="185" t="str">
        <f>IFERROR(__xludf.DUMMYFUNCTION("""COMPUTED_VALUE"""),"Category Page")</f>
        <v>Category Page</v>
      </c>
      <c r="G945" s="185" t="str">
        <f>IFERROR(__xludf.DUMMYFUNCTION("""COMPUTED_VALUE"""),"REFERENCE")</f>
        <v>REFERENCE</v>
      </c>
      <c r="H945" s="185" t="str">
        <f>IFERROR(__xludf.DUMMYFUNCTION("""COMPUTED_VALUE"""),"No")</f>
        <v>No</v>
      </c>
      <c r="I945" s="185" t="str">
        <f>IFERROR(__xludf.DUMMYFUNCTION("""COMPUTED_VALUE"""),"Medium")</f>
        <v>Medium</v>
      </c>
      <c r="J945" s="185" t="str">
        <f>IFERROR(__xludf.DUMMYFUNCTION("""COMPUTED_VALUE"""),"Yes")</f>
        <v>Yes</v>
      </c>
      <c r="K945" s="185" t="str">
        <f>IFERROR(__xludf.DUMMYFUNCTION("""COMPUTED_VALUE"""),"MONSOON, Admiral Media, Phiture, REPLUG, Mediacharge, HECHT INS GEFECHT, Claneo, HY.AM STUDIOS, Seeders")</f>
        <v>MONSOON, Admiral Media, Phiture, REPLUG, Mediacharge, HECHT INS GEFECHT, Claneo, HY.AM STUDIOS, Seeders</v>
      </c>
      <c r="L945" s="187">
        <f>IFERROR(__xludf.DUMMYFUNCTION("""COMPUTED_VALUE"""),13.0)</f>
        <v>13</v>
      </c>
      <c r="M945" s="188">
        <f>IFERROR(__xludf.DUMMYFUNCTION("""COMPUTED_VALUE"""),0.01)</f>
        <v>0.01</v>
      </c>
      <c r="N945" s="188">
        <f>IFERROR(__xludf.DUMMYFUNCTION("""COMPUTED_VALUE"""),0.0)</f>
        <v>0</v>
      </c>
      <c r="O945" s="208"/>
      <c r="P945" s="208"/>
      <c r="Q945" s="208"/>
      <c r="R945" s="208"/>
    </row>
    <row r="946">
      <c r="A946" s="185" t="str">
        <f>IFERROR(__xludf.DUMMYFUNCTION("""COMPUTED_VALUE"""),"Industry data / software authority")</f>
        <v>Industry data / software authority</v>
      </c>
      <c r="B946" s="186" t="str">
        <f>IFERROR(__xludf.DUMMYFUNCTION("""COMPUTED_VALUE"""),"https://agencies.semrush.com/list/machine-learning-and-ai/germany/")</f>
        <v>https://agencies.semrush.com/list/machine-learning-and-ai/germany/</v>
      </c>
      <c r="C946" s="185" t="str">
        <f>IFERROR(__xludf.DUMMYFUNCTION("""COMPUTED_VALUE"""),"Best Machine Learning and AI Services in Germany 2026 | Semrush")</f>
        <v>Best Machine Learning and AI Services in Germany 2026 | Semrush</v>
      </c>
      <c r="D946" s="185" t="str">
        <f>IFERROR(__xludf.DUMMYFUNCTION("""COMPUTED_VALUE"""),"DE")</f>
        <v>DE</v>
      </c>
      <c r="E946" s="185" t="str">
        <f>IFERROR(__xludf.DUMMYFUNCTION("""COMPUTED_VALUE"""),"semrush.com")</f>
        <v>semrush.com</v>
      </c>
      <c r="F946" s="185" t="str">
        <f>IFERROR(__xludf.DUMMYFUNCTION("""COMPUTED_VALUE"""),"Category Page")</f>
        <v>Category Page</v>
      </c>
      <c r="G946" s="185" t="str">
        <f>IFERROR(__xludf.DUMMYFUNCTION("""COMPUTED_VALUE"""),"CORPORATE")</f>
        <v>CORPORATE</v>
      </c>
      <c r="H946" s="185" t="str">
        <f>IFERROR(__xludf.DUMMYFUNCTION("""COMPUTED_VALUE"""),"No")</f>
        <v>No</v>
      </c>
      <c r="I946" s="185" t="str">
        <f>IFERROR(__xludf.DUMMYFUNCTION("""COMPUTED_VALUE"""),"Medium")</f>
        <v>Medium</v>
      </c>
      <c r="J946" s="185" t="str">
        <f>IFERROR(__xludf.DUMMYFUNCTION("""COMPUTED_VALUE"""),"Yes")</f>
        <v>Yes</v>
      </c>
      <c r="K946" s="185" t="str">
        <f>IFERROR(__xludf.DUMMYFUNCTION("""COMPUTED_VALUE"""),"HECHT INS GEFECHT, Baseplus DIGITAL MEDIA GmbH, morefire, Mediaplus Performance")</f>
        <v>HECHT INS GEFECHT, Baseplus DIGITAL MEDIA GmbH, morefire, Mediaplus Performance</v>
      </c>
      <c r="L946" s="187">
        <f>IFERROR(__xludf.DUMMYFUNCTION("""COMPUTED_VALUE"""),12.0)</f>
        <v>12</v>
      </c>
      <c r="M946" s="188">
        <f>IFERROR(__xludf.DUMMYFUNCTION("""COMPUTED_VALUE"""),0.01)</f>
        <v>0.01</v>
      </c>
      <c r="N946" s="188">
        <f>IFERROR(__xludf.DUMMYFUNCTION("""COMPUTED_VALUE"""),0.25)</f>
        <v>0.25</v>
      </c>
      <c r="O946" s="208"/>
      <c r="P946" s="208"/>
      <c r="Q946" s="208"/>
      <c r="R946" s="208"/>
    </row>
    <row r="947">
      <c r="A947" s="185" t="str">
        <f>IFERROR(__xludf.DUMMYFUNCTION("""COMPUTED_VALUE"""),"Agency directory / review marketplace")</f>
        <v>Agency directory / review marketplace</v>
      </c>
      <c r="B947" s="186" t="str">
        <f>IFERROR(__xludf.DUMMYFUNCTION("""COMPUTED_VALUE"""),"https://clutch.co/de/agencies/conversion-optimization")</f>
        <v>https://clutch.co/de/agencies/conversion-optimization</v>
      </c>
      <c r="C947" s="185" t="str">
        <f>IFERROR(__xludf.DUMMYFUNCTION("""COMPUTED_VALUE"""),"Top Conversion Rate Optimization Services in Germany - Jul 2026 Rankings \| Clutch.co")</f>
        <v>Top Conversion Rate Optimization Services in Germany - Jul 2026 Rankings \| Clutch.co</v>
      </c>
      <c r="D947" s="185" t="str">
        <f>IFERROR(__xludf.DUMMYFUNCTION("""COMPUTED_VALUE"""),"DE")</f>
        <v>DE</v>
      </c>
      <c r="E947" s="185" t="str">
        <f>IFERROR(__xludf.DUMMYFUNCTION("""COMPUTED_VALUE"""),"clutch.co")</f>
        <v>clutch.co</v>
      </c>
      <c r="F947" s="185" t="str">
        <f>IFERROR(__xludf.DUMMYFUNCTION("""COMPUTED_VALUE"""),"Category Page")</f>
        <v>Category Page</v>
      </c>
      <c r="G947" s="185" t="str">
        <f>IFERROR(__xludf.DUMMYFUNCTION("""COMPUTED_VALUE"""),"CORPORATE")</f>
        <v>CORPORATE</v>
      </c>
      <c r="H947" s="185" t="str">
        <f>IFERROR(__xludf.DUMMYFUNCTION("""COMPUTED_VALUE"""),"No")</f>
        <v>No</v>
      </c>
      <c r="I947" s="185" t="str">
        <f>IFERROR(__xludf.DUMMYFUNCTION("""COMPUTED_VALUE"""),"Medium")</f>
        <v>Medium</v>
      </c>
      <c r="J947" s="185" t="str">
        <f>IFERROR(__xludf.DUMMYFUNCTION("""COMPUTED_VALUE"""),"Yes")</f>
        <v>Yes</v>
      </c>
      <c r="K947" s="185" t="str">
        <f>IFERROR(__xludf.DUMMYFUNCTION("""COMPUTED_VALUE"""),"REPLUG, morefire, The Boutique Agency, Peak Ace")</f>
        <v>REPLUG, morefire, The Boutique Agency, Peak Ace</v>
      </c>
      <c r="L947" s="187">
        <f>IFERROR(__xludf.DUMMYFUNCTION("""COMPUTED_VALUE"""),12.0)</f>
        <v>12</v>
      </c>
      <c r="M947" s="188">
        <f>IFERROR(__xludf.DUMMYFUNCTION("""COMPUTED_VALUE"""),0.01)</f>
        <v>0.01</v>
      </c>
      <c r="N947" s="188">
        <f>IFERROR(__xludf.DUMMYFUNCTION("""COMPUTED_VALUE"""),1.83)</f>
        <v>1.83</v>
      </c>
      <c r="O947" s="208"/>
      <c r="P947" s="208"/>
      <c r="Q947" s="208"/>
      <c r="R947" s="208"/>
    </row>
    <row r="948">
      <c r="A948" s="185" t="str">
        <f>IFERROR(__xludf.DUMMYFUNCTION("""COMPUTED_VALUE"""),"Agency directory / review marketplace")</f>
        <v>Agency directory / review marketplace</v>
      </c>
      <c r="B948" s="186" t="str">
        <f>IFERROR(__xludf.DUMMYFUNCTION("""COMPUTED_VALUE"""),"https://clutch.co/de/consulting/ai/deployment")</f>
        <v>https://clutch.co/de/consulting/ai/deployment</v>
      </c>
      <c r="C948" s="185" t="str">
        <f>IFERROR(__xludf.DUMMYFUNCTION("""COMPUTED_VALUE"""),"Top Artificial Intelligence as a Service Companies in Germany - Jul 2026 Rankings \| Clutch.co")</f>
        <v>Top Artificial Intelligence as a Service Companies in Germany - Jul 2026 Rankings \| Clutch.co</v>
      </c>
      <c r="D948" s="185" t="str">
        <f>IFERROR(__xludf.DUMMYFUNCTION("""COMPUTED_VALUE"""),"DE")</f>
        <v>DE</v>
      </c>
      <c r="E948" s="185" t="str">
        <f>IFERROR(__xludf.DUMMYFUNCTION("""COMPUTED_VALUE"""),"clutch.co")</f>
        <v>clutch.co</v>
      </c>
      <c r="F948" s="185" t="str">
        <f>IFERROR(__xludf.DUMMYFUNCTION("""COMPUTED_VALUE"""),"Category Page")</f>
        <v>Category Page</v>
      </c>
      <c r="G948" s="185" t="str">
        <f>IFERROR(__xludf.DUMMYFUNCTION("""COMPUTED_VALUE"""),"CORPORATE")</f>
        <v>CORPORATE</v>
      </c>
      <c r="H948" s="185" t="str">
        <f>IFERROR(__xludf.DUMMYFUNCTION("""COMPUTED_VALUE"""),"No")</f>
        <v>No</v>
      </c>
      <c r="I948" s="185" t="str">
        <f>IFERROR(__xludf.DUMMYFUNCTION("""COMPUTED_VALUE"""),"Medium")</f>
        <v>Medium</v>
      </c>
      <c r="J948" s="185" t="str">
        <f>IFERROR(__xludf.DUMMYFUNCTION("""COMPUTED_VALUE"""),"Yes")</f>
        <v>Yes</v>
      </c>
      <c r="K948" s="185"/>
      <c r="L948" s="187">
        <f>IFERROR(__xludf.DUMMYFUNCTION("""COMPUTED_VALUE"""),12.0)</f>
        <v>12</v>
      </c>
      <c r="M948" s="188">
        <f>IFERROR(__xludf.DUMMYFUNCTION("""COMPUTED_VALUE"""),0.01)</f>
        <v>0.01</v>
      </c>
      <c r="N948" s="188">
        <f>IFERROR(__xludf.DUMMYFUNCTION("""COMPUTED_VALUE"""),0.17)</f>
        <v>0.17</v>
      </c>
      <c r="O948" s="208"/>
      <c r="P948" s="208"/>
      <c r="Q948" s="208"/>
      <c r="R948" s="208"/>
    </row>
    <row r="949">
      <c r="A949" s="185" t="str">
        <f>IFERROR(__xludf.DUMMYFUNCTION("""COMPUTED_VALUE"""),"Agency directory / review marketplace")</f>
        <v>Agency directory / review marketplace</v>
      </c>
      <c r="B949" s="186" t="str">
        <f>IFERROR(__xludf.DUMMYFUNCTION("""COMPUTED_VALUE"""),"https://feedbax.ai/advertising")</f>
        <v>https://feedbax.ai/advertising</v>
      </c>
      <c r="C949" s="185" t="str">
        <f>IFERROR(__xludf.DUMMYFUNCTION("""COMPUTED_VALUE"""),"Top 20 Advertising Agencies - 2026 Reviews")</f>
        <v>Top 20 Advertising Agencies - 2026 Reviews</v>
      </c>
      <c r="D949" s="185" t="str">
        <f>IFERROR(__xludf.DUMMYFUNCTION("""COMPUTED_VALUE"""),"DE")</f>
        <v>DE</v>
      </c>
      <c r="E949" s="185" t="str">
        <f>IFERROR(__xludf.DUMMYFUNCTION("""COMPUTED_VALUE"""),"feedbax.ai")</f>
        <v>feedbax.ai</v>
      </c>
      <c r="F949" s="185" t="str">
        <f>IFERROR(__xludf.DUMMYFUNCTION("""COMPUTED_VALUE"""),"Category Page")</f>
        <v>Category Page</v>
      </c>
      <c r="G949" s="185" t="str">
        <f>IFERROR(__xludf.DUMMYFUNCTION("""COMPUTED_VALUE"""),"UGC")</f>
        <v>UGC</v>
      </c>
      <c r="H949" s="185" t="str">
        <f>IFERROR(__xludf.DUMMYFUNCTION("""COMPUTED_VALUE"""),"No")</f>
        <v>No</v>
      </c>
      <c r="I949" s="185" t="str">
        <f>IFERROR(__xludf.DUMMYFUNCTION("""COMPUTED_VALUE"""),"Medium")</f>
        <v>Medium</v>
      </c>
      <c r="J949" s="185" t="str">
        <f>IFERROR(__xludf.DUMMYFUNCTION("""COMPUTED_VALUE"""),"Yes")</f>
        <v>Yes</v>
      </c>
      <c r="K949" s="185" t="str">
        <f>IFERROR(__xludf.DUMMYFUNCTION("""COMPUTED_VALUE"""),"Smarketer, DREIKON")</f>
        <v>Smarketer, DREIKON</v>
      </c>
      <c r="L949" s="187">
        <f>IFERROR(__xludf.DUMMYFUNCTION("""COMPUTED_VALUE"""),12.0)</f>
        <v>12</v>
      </c>
      <c r="M949" s="188">
        <f>IFERROR(__xludf.DUMMYFUNCTION("""COMPUTED_VALUE"""),0.01)</f>
        <v>0.01</v>
      </c>
      <c r="N949" s="188">
        <f>IFERROR(__xludf.DUMMYFUNCTION("""COMPUTED_VALUE"""),0.33)</f>
        <v>0.33</v>
      </c>
      <c r="O949" s="208"/>
      <c r="P949" s="208"/>
      <c r="Q949" s="208"/>
      <c r="R949" s="208"/>
    </row>
    <row r="950">
      <c r="A950" s="185" t="str">
        <f>IFERROR(__xludf.DUMMYFUNCTION("""COMPUTED_VALUE"""),"Trade media / editorial publication")</f>
        <v>Trade media / editorial publication</v>
      </c>
      <c r="B950" s="186" t="str">
        <f>IFERROR(__xludf.DUMMYFUNCTION("""COMPUTED_VALUE"""),"https://www.onetoone.de/performance-ranking/performance_2024")</f>
        <v>https://www.onetoone.de/performance-ranking/performance_2024</v>
      </c>
      <c r="C950" s="185" t="str">
        <f>IFERROR(__xludf.DUMMYFUNCTION("""COMPUTED_VALUE"""),"Performance-Agentur-Ranking")</f>
        <v>Performance-Agentur-Ranking</v>
      </c>
      <c r="D950" s="185" t="str">
        <f>IFERROR(__xludf.DUMMYFUNCTION("""COMPUTED_VALUE"""),"DE")</f>
        <v>DE</v>
      </c>
      <c r="E950" s="185" t="str">
        <f>IFERROR(__xludf.DUMMYFUNCTION("""COMPUTED_VALUE"""),"onetoone.de")</f>
        <v>onetoone.de</v>
      </c>
      <c r="F950" s="185" t="str">
        <f>IFERROR(__xludf.DUMMYFUNCTION("""COMPUTED_VALUE"""),"Profile")</f>
        <v>Profile</v>
      </c>
      <c r="G950" s="185" t="str">
        <f>IFERROR(__xludf.DUMMYFUNCTION("""COMPUTED_VALUE"""),"OTHER")</f>
        <v>OTHER</v>
      </c>
      <c r="H950" s="185" t="str">
        <f>IFERROR(__xludf.DUMMYFUNCTION("""COMPUTED_VALUE"""),"No")</f>
        <v>No</v>
      </c>
      <c r="I950" s="185" t="str">
        <f>IFERROR(__xludf.DUMMYFUNCTION("""COMPUTED_VALUE"""),"Medium")</f>
        <v>Medium</v>
      </c>
      <c r="J950" s="185" t="str">
        <f>IFERROR(__xludf.DUMMYFUNCTION("""COMPUTED_VALUE"""),"Yes")</f>
        <v>Yes</v>
      </c>
      <c r="K950" s="185" t="str">
        <f>IFERROR(__xludf.DUMMYFUNCTION("""COMPUTED_VALUE"""),"iProspect, Smarketer, Peak Ace, e-dialog, morefire, The Boutique Agency, 42DIGITAL, Aufgesang, eMinded GmbH")</f>
        <v>iProspect, Smarketer, Peak Ace, e-dialog, morefire, The Boutique Agency, 42DIGITAL, Aufgesang, eMinded GmbH</v>
      </c>
      <c r="L950" s="187">
        <f>IFERROR(__xludf.DUMMYFUNCTION("""COMPUTED_VALUE"""),12.0)</f>
        <v>12</v>
      </c>
      <c r="M950" s="188">
        <f>IFERROR(__xludf.DUMMYFUNCTION("""COMPUTED_VALUE"""),0.01)</f>
        <v>0.01</v>
      </c>
      <c r="N950" s="188">
        <f>IFERROR(__xludf.DUMMYFUNCTION("""COMPUTED_VALUE"""),0.0)</f>
        <v>0</v>
      </c>
      <c r="O950" s="208"/>
      <c r="P950" s="208"/>
      <c r="Q950" s="208"/>
      <c r="R950" s="208"/>
    </row>
    <row r="951">
      <c r="A951" s="185" t="str">
        <f>IFERROR(__xludf.DUMMYFUNCTION("""COMPUTED_VALUE"""),"Agency directory / review marketplace")</f>
        <v>Agency directory / review marketplace</v>
      </c>
      <c r="B951" s="186" t="str">
        <f>IFERROR(__xludf.DUMMYFUNCTION("""COMPUTED_VALUE"""),"https://www.sortlist.com/s/performance-marketing/berlin-de")</f>
        <v>https://www.sortlist.com/s/performance-marketing/berlin-de</v>
      </c>
      <c r="C951" s="185" t="str">
        <f>IFERROR(__xludf.DUMMYFUNCTION("""COMPUTED_VALUE"""),"The 10 Best Performance Marketing Agencies in Berlin - 2026 Reviews")</f>
        <v>The 10 Best Performance Marketing Agencies in Berlin - 2026 Reviews</v>
      </c>
      <c r="D951" s="185" t="str">
        <f>IFERROR(__xludf.DUMMYFUNCTION("""COMPUTED_VALUE"""),"DE")</f>
        <v>DE</v>
      </c>
      <c r="E951" s="185" t="str">
        <f>IFERROR(__xludf.DUMMYFUNCTION("""COMPUTED_VALUE"""),"sortlist.com")</f>
        <v>sortlist.com</v>
      </c>
      <c r="F951" s="185" t="str">
        <f>IFERROR(__xludf.DUMMYFUNCTION("""COMPUTED_VALUE"""),"Category Page")</f>
        <v>Category Page</v>
      </c>
      <c r="G951" s="185" t="str">
        <f>IFERROR(__xludf.DUMMYFUNCTION("""COMPUTED_VALUE"""),"CORPORATE")</f>
        <v>CORPORATE</v>
      </c>
      <c r="H951" s="185" t="str">
        <f>IFERROR(__xludf.DUMMYFUNCTION("""COMPUTED_VALUE"""),"No")</f>
        <v>No</v>
      </c>
      <c r="I951" s="185" t="str">
        <f>IFERROR(__xludf.DUMMYFUNCTION("""COMPUTED_VALUE"""),"Medium")</f>
        <v>Medium</v>
      </c>
      <c r="J951" s="185" t="str">
        <f>IFERROR(__xludf.DUMMYFUNCTION("""COMPUTED_VALUE"""),"Yes")</f>
        <v>Yes</v>
      </c>
      <c r="K951" s="185" t="str">
        <f>IFERROR(__xludf.DUMMYFUNCTION("""COMPUTED_VALUE"""),"lehof, MONSOON, Triple Whale, Northbeam, Dreamdata, KlickPiloten, PANORAMA3000, Pilot")</f>
        <v>lehof, MONSOON, Triple Whale, Northbeam, Dreamdata, KlickPiloten, PANORAMA3000, Pilot</v>
      </c>
      <c r="L951" s="187">
        <f>IFERROR(__xludf.DUMMYFUNCTION("""COMPUTED_VALUE"""),12.0)</f>
        <v>12</v>
      </c>
      <c r="M951" s="188">
        <f>IFERROR(__xludf.DUMMYFUNCTION("""COMPUTED_VALUE"""),0.01)</f>
        <v>0.01</v>
      </c>
      <c r="N951" s="188">
        <f>IFERROR(__xludf.DUMMYFUNCTION("""COMPUTED_VALUE"""),0.08)</f>
        <v>0.08</v>
      </c>
      <c r="O951" s="208"/>
      <c r="P951" s="208"/>
      <c r="Q951" s="208"/>
      <c r="R951" s="208"/>
    </row>
    <row r="952">
      <c r="A952" s="185" t="str">
        <f>IFERROR(__xludf.DUMMYFUNCTION("""COMPUTED_VALUE"""),"Industry data / software authority")</f>
        <v>Industry data / software authority</v>
      </c>
      <c r="B952" s="186" t="str">
        <f>IFERROR(__xludf.DUMMYFUNCTION("""COMPUTED_VALUE"""),"https://agencies.semrush.com/list/display-advertising/berlin/small-business/")</f>
        <v>https://agencies.semrush.com/list/display-advertising/berlin/small-business/</v>
      </c>
      <c r="C952" s="185" t="str">
        <f>IFERROR(__xludf.DUMMYFUNCTION("""COMPUTED_VALUE"""),"Best Display Ads Agencies for Small Business in Berlin 2026 | Semrush")</f>
        <v>Best Display Ads Agencies for Small Business in Berlin 2026 | Semrush</v>
      </c>
      <c r="D952" s="185" t="str">
        <f>IFERROR(__xludf.DUMMYFUNCTION("""COMPUTED_VALUE"""),"DE")</f>
        <v>DE</v>
      </c>
      <c r="E952" s="185" t="str">
        <f>IFERROR(__xludf.DUMMYFUNCTION("""COMPUTED_VALUE"""),"semrush.com")</f>
        <v>semrush.com</v>
      </c>
      <c r="F952" s="185" t="str">
        <f>IFERROR(__xludf.DUMMYFUNCTION("""COMPUTED_VALUE"""),"Category Page")</f>
        <v>Category Page</v>
      </c>
      <c r="G952" s="185" t="str">
        <f>IFERROR(__xludf.DUMMYFUNCTION("""COMPUTED_VALUE"""),"CORPORATE")</f>
        <v>CORPORATE</v>
      </c>
      <c r="H952" s="185" t="str">
        <f>IFERROR(__xludf.DUMMYFUNCTION("""COMPUTED_VALUE"""),"No")</f>
        <v>No</v>
      </c>
      <c r="I952" s="185" t="str">
        <f>IFERROR(__xludf.DUMMYFUNCTION("""COMPUTED_VALUE"""),"Medium")</f>
        <v>Medium</v>
      </c>
      <c r="J952" s="185" t="str">
        <f>IFERROR(__xludf.DUMMYFUNCTION("""COMPUTED_VALUE"""),"Yes")</f>
        <v>Yes</v>
      </c>
      <c r="K952" s="185" t="str">
        <f>IFERROR(__xludf.DUMMYFUNCTION("""COMPUTED_VALUE"""),"MONSOON, KlickPiloten, Baseplus DIGITAL MEDIA GmbH, Mediaplus Performance")</f>
        <v>MONSOON, KlickPiloten, Baseplus DIGITAL MEDIA GmbH, Mediaplus Performance</v>
      </c>
      <c r="L952" s="187">
        <f>IFERROR(__xludf.DUMMYFUNCTION("""COMPUTED_VALUE"""),11.0)</f>
        <v>11</v>
      </c>
      <c r="M952" s="188">
        <f>IFERROR(__xludf.DUMMYFUNCTION("""COMPUTED_VALUE"""),0.01)</f>
        <v>0.01</v>
      </c>
      <c r="N952" s="188">
        <f>IFERROR(__xludf.DUMMYFUNCTION("""COMPUTED_VALUE"""),0.0)</f>
        <v>0</v>
      </c>
      <c r="O952" s="208"/>
      <c r="P952" s="208"/>
      <c r="Q952" s="208"/>
      <c r="R952" s="208"/>
    </row>
    <row r="953">
      <c r="A953" s="185" t="str">
        <f>IFERROR(__xludf.DUMMYFUNCTION("""COMPUTED_VALUE"""),"Industry association / institutional authority")</f>
        <v>Industry association / institutional authority</v>
      </c>
      <c r="B953" s="186" t="str">
        <f>IFERROR(__xludf.DUMMYFUNCTION("""COMPUTED_VALUE"""),"https://www.bvdw.org/rankings/kreativranking-rankings/")</f>
        <v>https://www.bvdw.org/rankings/kreativranking-rankings/</v>
      </c>
      <c r="C953" s="185" t="str">
        <f>IFERROR(__xludf.DUMMYFUNCTION("""COMPUTED_VALUE"""),"Die größten, besten und kreativsten Digital-Agenturen - Bundesverband Digitale Wirtschaft (BVDW) e.V.")</f>
        <v>Die größten, besten und kreativsten Digital-Agenturen - Bundesverband Digitale Wirtschaft (BVDW) e.V.</v>
      </c>
      <c r="D953" s="185" t="str">
        <f>IFERROR(__xludf.DUMMYFUNCTION("""COMPUTED_VALUE"""),"DE")</f>
        <v>DE</v>
      </c>
      <c r="E953" s="185" t="str">
        <f>IFERROR(__xludf.DUMMYFUNCTION("""COMPUTED_VALUE"""),"bvdw.org")</f>
        <v>bvdw.org</v>
      </c>
      <c r="F953" s="185" t="str">
        <f>IFERROR(__xludf.DUMMYFUNCTION("""COMPUTED_VALUE"""),"Category Page")</f>
        <v>Category Page</v>
      </c>
      <c r="G953" s="185" t="str">
        <f>IFERROR(__xludf.DUMMYFUNCTION("""COMPUTED_VALUE"""),"INSTITUTIONAL")</f>
        <v>INSTITUTIONAL</v>
      </c>
      <c r="H953" s="185" t="str">
        <f>IFERROR(__xludf.DUMMYFUNCTION("""COMPUTED_VALUE"""),"No")</f>
        <v>No</v>
      </c>
      <c r="I953" s="185" t="str">
        <f>IFERROR(__xludf.DUMMYFUNCTION("""COMPUTED_VALUE"""),"High")</f>
        <v>High</v>
      </c>
      <c r="J953" s="185" t="str">
        <f>IFERROR(__xludf.DUMMYFUNCTION("""COMPUTED_VALUE"""),"Yes - priority")</f>
        <v>Yes - priority</v>
      </c>
      <c r="K953" s="185" t="str">
        <f>IFERROR(__xludf.DUMMYFUNCTION("""COMPUTED_VALUE"""),"Serviceplan Group, Publicis Groupe, Accenture Song, Ogilvy, Scholz &amp; Friends, OMD, AKQA, Jung von Matt, MetaDesign, Publicis Media, Monks, Deloitte Digital, Havas Media, Omnicom, Omnicom Media Group, DEPT, DDB Germany")</f>
        <v>Serviceplan Group, Publicis Groupe, Accenture Song, Ogilvy, Scholz &amp; Friends, OMD, AKQA, Jung von Matt, MetaDesign, Publicis Media, Monks, Deloitte Digital, Havas Media, Omnicom, Omnicom Media Group, DEPT, DDB Germany</v>
      </c>
      <c r="L953" s="187">
        <f>IFERROR(__xludf.DUMMYFUNCTION("""COMPUTED_VALUE"""),11.0)</f>
        <v>11</v>
      </c>
      <c r="M953" s="188">
        <f>IFERROR(__xludf.DUMMYFUNCTION("""COMPUTED_VALUE"""),0.01)</f>
        <v>0.01</v>
      </c>
      <c r="N953" s="188">
        <f>IFERROR(__xludf.DUMMYFUNCTION("""COMPUTED_VALUE"""),1.36)</f>
        <v>1.36</v>
      </c>
      <c r="O953" s="208"/>
      <c r="P953" s="208"/>
      <c r="Q953" s="208"/>
      <c r="R953" s="208"/>
    </row>
    <row r="954">
      <c r="A954" s="185" t="str">
        <f>IFERROR(__xludf.DUMMYFUNCTION("""COMPUTED_VALUE"""),"Official partner / certification ecosystem")</f>
        <v>Official partner / certification ecosystem</v>
      </c>
      <c r="B954" s="186" t="str">
        <f>IFERROR(__xludf.DUMMYFUNCTION("""COMPUTED_VALUE"""),"https://www.google.com/ads/publisher/partners/find-a-partner/")</f>
        <v>https://www.google.com/ads/publisher/partners/find-a-partner/</v>
      </c>
      <c r="C954" s="185" t="str">
        <f>IFERROR(__xludf.DUMMYFUNCTION("""COMPUTED_VALUE"""),"Find a Publishing Partner \| Certified Publishing Partner – Google")</f>
        <v>Find a Publishing Partner \| Certified Publishing Partner – Google</v>
      </c>
      <c r="D954" s="185" t="str">
        <f>IFERROR(__xludf.DUMMYFUNCTION("""COMPUTED_VALUE"""),"DE")</f>
        <v>DE</v>
      </c>
      <c r="E954" s="185" t="str">
        <f>IFERROR(__xludf.DUMMYFUNCTION("""COMPUTED_VALUE"""),"google.com")</f>
        <v>google.com</v>
      </c>
      <c r="F954" s="185" t="str">
        <f>IFERROR(__xludf.DUMMYFUNCTION("""COMPUTED_VALUE"""),"Category Page")</f>
        <v>Category Page</v>
      </c>
      <c r="G954" s="185" t="str">
        <f>IFERROR(__xludf.DUMMYFUNCTION("""COMPUTED_VALUE"""),"OTHER")</f>
        <v>OTHER</v>
      </c>
      <c r="H954" s="185" t="str">
        <f>IFERROR(__xludf.DUMMYFUNCTION("""COMPUTED_VALUE"""),"No")</f>
        <v>No</v>
      </c>
      <c r="I954" s="185" t="str">
        <f>IFERROR(__xludf.DUMMYFUNCTION("""COMPUTED_VALUE"""),"High")</f>
        <v>High</v>
      </c>
      <c r="J954" s="185" t="str">
        <f>IFERROR(__xludf.DUMMYFUNCTION("""COMPUTED_VALUE"""),"Yes - priority")</f>
        <v>Yes - priority</v>
      </c>
      <c r="K954" s="185"/>
      <c r="L954" s="187">
        <f>IFERROR(__xludf.DUMMYFUNCTION("""COMPUTED_VALUE"""),11.0)</f>
        <v>11</v>
      </c>
      <c r="M954" s="188">
        <f>IFERROR(__xludf.DUMMYFUNCTION("""COMPUTED_VALUE"""),0.01)</f>
        <v>0.01</v>
      </c>
      <c r="N954" s="188">
        <f>IFERROR(__xludf.DUMMYFUNCTION("""COMPUTED_VALUE"""),0.0)</f>
        <v>0</v>
      </c>
      <c r="O954" s="208"/>
      <c r="P954" s="208"/>
      <c r="Q954" s="208"/>
      <c r="R954" s="208"/>
    </row>
    <row r="955">
      <c r="A955" s="185" t="str">
        <f>IFERROR(__xludf.DUMMYFUNCTION("""COMPUTED_VALUE"""),"Agency directory / review marketplace")</f>
        <v>Agency directory / review marketplace</v>
      </c>
      <c r="B955" s="186" t="str">
        <f>IFERROR(__xludf.DUMMYFUNCTION("""COMPUTED_VALUE"""),"https://www.sortlist.com/i/advertising/germany-de")</f>
        <v>https://www.sortlist.com/i/advertising/germany-de</v>
      </c>
      <c r="C955" s="185" t="str">
        <f>IFERROR(__xludf.DUMMYFUNCTION("""COMPUTED_VALUE"""),"The 10 Best Advertising Agencies in Germany - 2026 Reviews")</f>
        <v>The 10 Best Advertising Agencies in Germany - 2026 Reviews</v>
      </c>
      <c r="D955" s="185" t="str">
        <f>IFERROR(__xludf.DUMMYFUNCTION("""COMPUTED_VALUE"""),"DE")</f>
        <v>DE</v>
      </c>
      <c r="E955" s="185" t="str">
        <f>IFERROR(__xludf.DUMMYFUNCTION("""COMPUTED_VALUE"""),"sortlist.com")</f>
        <v>sortlist.com</v>
      </c>
      <c r="F955" s="185" t="str">
        <f>IFERROR(__xludf.DUMMYFUNCTION("""COMPUTED_VALUE"""),"Category Page")</f>
        <v>Category Page</v>
      </c>
      <c r="G955" s="185" t="str">
        <f>IFERROR(__xludf.DUMMYFUNCTION("""COMPUTED_VALUE"""),"CORPORATE")</f>
        <v>CORPORATE</v>
      </c>
      <c r="H955" s="185" t="str">
        <f>IFERROR(__xludf.DUMMYFUNCTION("""COMPUTED_VALUE"""),"No")</f>
        <v>No</v>
      </c>
      <c r="I955" s="185" t="str">
        <f>IFERROR(__xludf.DUMMYFUNCTION("""COMPUTED_VALUE"""),"Medium")</f>
        <v>Medium</v>
      </c>
      <c r="J955" s="185" t="str">
        <f>IFERROR(__xludf.DUMMYFUNCTION("""COMPUTED_VALUE"""),"Yes")</f>
        <v>Yes</v>
      </c>
      <c r="K955" s="185" t="str">
        <f>IFERROR(__xludf.DUMMYFUNCTION("""COMPUTED_VALUE"""),"MONSOON")</f>
        <v>MONSOON</v>
      </c>
      <c r="L955" s="187">
        <f>IFERROR(__xludf.DUMMYFUNCTION("""COMPUTED_VALUE"""),11.0)</f>
        <v>11</v>
      </c>
      <c r="M955" s="188">
        <f>IFERROR(__xludf.DUMMYFUNCTION("""COMPUTED_VALUE"""),0.01)</f>
        <v>0.01</v>
      </c>
      <c r="N955" s="188">
        <f>IFERROR(__xludf.DUMMYFUNCTION("""COMPUTED_VALUE"""),0.0)</f>
        <v>0</v>
      </c>
      <c r="O955" s="208"/>
      <c r="P955" s="208"/>
      <c r="Q955" s="208"/>
      <c r="R955" s="208"/>
    </row>
    <row r="956">
      <c r="A956" s="185" t="str">
        <f>IFERROR(__xludf.DUMMYFUNCTION("""COMPUTED_VALUE"""),"Agency directory / review marketplace")</f>
        <v>Agency directory / review marketplace</v>
      </c>
      <c r="B956" s="186" t="str">
        <f>IFERROR(__xludf.DUMMYFUNCTION("""COMPUTED_VALUE"""),"https://www.sortlist.de/s/performance-marketing/deutschland-de")</f>
        <v>https://www.sortlist.de/s/performance-marketing/deutschland-de</v>
      </c>
      <c r="C956" s="185" t="str">
        <f>IFERROR(__xludf.DUMMYFUNCTION("""COMPUTED_VALUE"""),"Performance Marketing Agentur - Unsere 100+ Besten Marketing Agenturen in Deutschland - 2026 Bewertungen")</f>
        <v>Performance Marketing Agentur - Unsere 100+ Besten Marketing Agenturen in Deutschland - 2026 Bewertungen</v>
      </c>
      <c r="D956" s="185" t="str">
        <f>IFERROR(__xludf.DUMMYFUNCTION("""COMPUTED_VALUE"""),"DE")</f>
        <v>DE</v>
      </c>
      <c r="E956" s="185" t="str">
        <f>IFERROR(__xludf.DUMMYFUNCTION("""COMPUTED_VALUE"""),"sortlist.de")</f>
        <v>sortlist.de</v>
      </c>
      <c r="F956" s="185" t="str">
        <f>IFERROR(__xludf.DUMMYFUNCTION("""COMPUTED_VALUE"""),"Profile")</f>
        <v>Profile</v>
      </c>
      <c r="G956" s="185" t="str">
        <f>IFERROR(__xludf.DUMMYFUNCTION("""COMPUTED_VALUE"""),"CORPORATE")</f>
        <v>CORPORATE</v>
      </c>
      <c r="H956" s="185" t="str">
        <f>IFERROR(__xludf.DUMMYFUNCTION("""COMPUTED_VALUE"""),"No")</f>
        <v>No</v>
      </c>
      <c r="I956" s="185" t="str">
        <f>IFERROR(__xludf.DUMMYFUNCTION("""COMPUTED_VALUE"""),"Medium")</f>
        <v>Medium</v>
      </c>
      <c r="J956" s="185" t="str">
        <f>IFERROR(__xludf.DUMMYFUNCTION("""COMPUTED_VALUE"""),"Yes")</f>
        <v>Yes</v>
      </c>
      <c r="K956" s="185" t="str">
        <f>IFERROR(__xludf.DUMMYFUNCTION("""COMPUTED_VALUE"""),"KlickPiloten, MONSOON, lehof, Triple Whale, Northbeam, Dreamdata, Mediacharge")</f>
        <v>KlickPiloten, MONSOON, lehof, Triple Whale, Northbeam, Dreamdata, Mediacharge</v>
      </c>
      <c r="L956" s="187">
        <f>IFERROR(__xludf.DUMMYFUNCTION("""COMPUTED_VALUE"""),11.0)</f>
        <v>11</v>
      </c>
      <c r="M956" s="188">
        <f>IFERROR(__xludf.DUMMYFUNCTION("""COMPUTED_VALUE"""),0.01)</f>
        <v>0.01</v>
      </c>
      <c r="N956" s="188">
        <f>IFERROR(__xludf.DUMMYFUNCTION("""COMPUTED_VALUE"""),0.18)</f>
        <v>0.18</v>
      </c>
      <c r="O956" s="208"/>
      <c r="P956" s="208"/>
      <c r="Q956" s="208"/>
      <c r="R956" s="208"/>
    </row>
    <row r="957">
      <c r="A957" s="185" t="str">
        <f>IFERROR(__xludf.DUMMYFUNCTION("""COMPUTED_VALUE"""),"Industry data / software authority")</f>
        <v>Industry data / software authority</v>
      </c>
      <c r="B957" s="186" t="str">
        <f>IFERROR(__xludf.DUMMYFUNCTION("""COMPUTED_VALUE"""),"https://agencies.semrush.com/de/list/display-advertising/germany/")</f>
        <v>https://agencies.semrush.com/de/list/display-advertising/germany/</v>
      </c>
      <c r="C957" s="185" t="str">
        <f>IFERROR(__xludf.DUMMYFUNCTION("""COMPUTED_VALUE"""),"Beste Display-Werbung-Agenturen für , Germany 2026 | Semrush")</f>
        <v>Beste Display-Werbung-Agenturen für , Germany 2026 | Semrush</v>
      </c>
      <c r="D957" s="185" t="str">
        <f>IFERROR(__xludf.DUMMYFUNCTION("""COMPUTED_VALUE"""),"DE")</f>
        <v>DE</v>
      </c>
      <c r="E957" s="185" t="str">
        <f>IFERROR(__xludf.DUMMYFUNCTION("""COMPUTED_VALUE"""),"semrush.com")</f>
        <v>semrush.com</v>
      </c>
      <c r="F957" s="185" t="str">
        <f>IFERROR(__xludf.DUMMYFUNCTION("""COMPUTED_VALUE"""),"Other")</f>
        <v>Other</v>
      </c>
      <c r="G957" s="185" t="str">
        <f>IFERROR(__xludf.DUMMYFUNCTION("""COMPUTED_VALUE"""),"CORPORATE")</f>
        <v>CORPORATE</v>
      </c>
      <c r="H957" s="185" t="str">
        <f>IFERROR(__xludf.DUMMYFUNCTION("""COMPUTED_VALUE"""),"No")</f>
        <v>No</v>
      </c>
      <c r="I957" s="185" t="str">
        <f>IFERROR(__xludf.DUMMYFUNCTION("""COMPUTED_VALUE"""),"Medium")</f>
        <v>Medium</v>
      </c>
      <c r="J957" s="185" t="str">
        <f>IFERROR(__xludf.DUMMYFUNCTION("""COMPUTED_VALUE"""),"Yes")</f>
        <v>Yes</v>
      </c>
      <c r="K957" s="185" t="str">
        <f>IFERROR(__xludf.DUMMYFUNCTION("""COMPUTED_VALUE"""),"Baseplus DIGITAL MEDIA GmbH, morefire, Mediaplus Performance, MONSOON, KlickPiloten")</f>
        <v>Baseplus DIGITAL MEDIA GmbH, morefire, Mediaplus Performance, MONSOON, KlickPiloten</v>
      </c>
      <c r="L957" s="187">
        <f>IFERROR(__xludf.DUMMYFUNCTION("""COMPUTED_VALUE"""),10.0)</f>
        <v>10</v>
      </c>
      <c r="M957" s="188">
        <f>IFERROR(__xludf.DUMMYFUNCTION("""COMPUTED_VALUE"""),0.01)</f>
        <v>0.01</v>
      </c>
      <c r="N957" s="188">
        <f>IFERROR(__xludf.DUMMYFUNCTION("""COMPUTED_VALUE"""),0.2)</f>
        <v>0.2</v>
      </c>
      <c r="O957" s="208"/>
      <c r="P957" s="208"/>
      <c r="Q957" s="208"/>
      <c r="R957" s="208"/>
    </row>
    <row r="958">
      <c r="A958" s="185" t="str">
        <f>IFERROR(__xludf.DUMMYFUNCTION("""COMPUTED_VALUE"""),"Industry data / software authority")</f>
        <v>Industry data / software authority</v>
      </c>
      <c r="B958" s="186" t="str">
        <f>IFERROR(__xludf.DUMMYFUNCTION("""COMPUTED_VALUE"""),"https://agencies.semrush.com/list/ai-optimization/germany/mid-business/")</f>
        <v>https://agencies.semrush.com/list/ai-optimization/germany/mid-business/</v>
      </c>
      <c r="C958" s="185" t="str">
        <f>IFERROR(__xludf.DUMMYFUNCTION("""COMPUTED_VALUE"""),"Best AI Search Optimization Agencies for Mid Business in Germany 2026 | Semrush")</f>
        <v>Best AI Search Optimization Agencies for Mid Business in Germany 2026 | Semrush</v>
      </c>
      <c r="D958" s="185" t="str">
        <f>IFERROR(__xludf.DUMMYFUNCTION("""COMPUTED_VALUE"""),"DE")</f>
        <v>DE</v>
      </c>
      <c r="E958" s="185" t="str">
        <f>IFERROR(__xludf.DUMMYFUNCTION("""COMPUTED_VALUE"""),"semrush.com")</f>
        <v>semrush.com</v>
      </c>
      <c r="F958" s="185" t="str">
        <f>IFERROR(__xludf.DUMMYFUNCTION("""COMPUTED_VALUE"""),"Category Page")</f>
        <v>Category Page</v>
      </c>
      <c r="G958" s="185" t="str">
        <f>IFERROR(__xludf.DUMMYFUNCTION("""COMPUTED_VALUE"""),"CORPORATE")</f>
        <v>CORPORATE</v>
      </c>
      <c r="H958" s="185" t="str">
        <f>IFERROR(__xludf.DUMMYFUNCTION("""COMPUTED_VALUE"""),"No")</f>
        <v>No</v>
      </c>
      <c r="I958" s="185" t="str">
        <f>IFERROR(__xludf.DUMMYFUNCTION("""COMPUTED_VALUE"""),"Medium")</f>
        <v>Medium</v>
      </c>
      <c r="J958" s="185" t="str">
        <f>IFERROR(__xludf.DUMMYFUNCTION("""COMPUTED_VALUE"""),"Yes")</f>
        <v>Yes</v>
      </c>
      <c r="K958" s="185" t="str">
        <f>IFERROR(__xludf.DUMMYFUNCTION("""COMPUTED_VALUE"""),"HECHT INS GEFECHT, morefire, Mediaplus Performance")</f>
        <v>HECHT INS GEFECHT, morefire, Mediaplus Performance</v>
      </c>
      <c r="L958" s="187">
        <f>IFERROR(__xludf.DUMMYFUNCTION("""COMPUTED_VALUE"""),10.0)</f>
        <v>10</v>
      </c>
      <c r="M958" s="188">
        <f>IFERROR(__xludf.DUMMYFUNCTION("""COMPUTED_VALUE"""),0.01)</f>
        <v>0.01</v>
      </c>
      <c r="N958" s="188">
        <f>IFERROR(__xludf.DUMMYFUNCTION("""COMPUTED_VALUE"""),0.5)</f>
        <v>0.5</v>
      </c>
      <c r="O958" s="208"/>
      <c r="P958" s="208"/>
      <c r="Q958" s="208"/>
      <c r="R958" s="208"/>
    </row>
    <row r="959">
      <c r="A959" s="185" t="str">
        <f>IFERROR(__xludf.DUMMYFUNCTION("""COMPUTED_VALUE"""),"Agency directory / review marketplace")</f>
        <v>Agency directory / review marketplace</v>
      </c>
      <c r="B959" s="186" t="str">
        <f>IFERROR(__xludf.DUMMYFUNCTION("""COMPUTED_VALUE"""),"https://clutch.co/de/consulting/ai?page=1")</f>
        <v>https://clutch.co/de/consulting/ai?page=1</v>
      </c>
      <c r="C959" s="185" t="str">
        <f>IFERROR(__xludf.DUMMYFUNCTION("""COMPUTED_VALUE"""),"Page 2 - Top AI Consultants in Germany - Jul 2026 Rankings \| Clutch.co")</f>
        <v>Page 2 - Top AI Consultants in Germany - Jul 2026 Rankings \| Clutch.co</v>
      </c>
      <c r="D959" s="185" t="str">
        <f>IFERROR(__xludf.DUMMYFUNCTION("""COMPUTED_VALUE"""),"DE")</f>
        <v>DE</v>
      </c>
      <c r="E959" s="185" t="str">
        <f>IFERROR(__xludf.DUMMYFUNCTION("""COMPUTED_VALUE"""),"clutch.co")</f>
        <v>clutch.co</v>
      </c>
      <c r="F959" s="185" t="str">
        <f>IFERROR(__xludf.DUMMYFUNCTION("""COMPUTED_VALUE"""),"Category Page")</f>
        <v>Category Page</v>
      </c>
      <c r="G959" s="185" t="str">
        <f>IFERROR(__xludf.DUMMYFUNCTION("""COMPUTED_VALUE"""),"CORPORATE")</f>
        <v>CORPORATE</v>
      </c>
      <c r="H959" s="185" t="str">
        <f>IFERROR(__xludf.DUMMYFUNCTION("""COMPUTED_VALUE"""),"No")</f>
        <v>No</v>
      </c>
      <c r="I959" s="185" t="str">
        <f>IFERROR(__xludf.DUMMYFUNCTION("""COMPUTED_VALUE"""),"Medium")</f>
        <v>Medium</v>
      </c>
      <c r="J959" s="185" t="str">
        <f>IFERROR(__xludf.DUMMYFUNCTION("""COMPUTED_VALUE"""),"Yes")</f>
        <v>Yes</v>
      </c>
      <c r="K959" s="185"/>
      <c r="L959" s="187">
        <f>IFERROR(__xludf.DUMMYFUNCTION("""COMPUTED_VALUE"""),10.0)</f>
        <v>10</v>
      </c>
      <c r="M959" s="188">
        <f>IFERROR(__xludf.DUMMYFUNCTION("""COMPUTED_VALUE"""),0.01)</f>
        <v>0.01</v>
      </c>
      <c r="N959" s="188">
        <f>IFERROR(__xludf.DUMMYFUNCTION("""COMPUTED_VALUE"""),0.0)</f>
        <v>0</v>
      </c>
      <c r="O959" s="208"/>
      <c r="P959" s="208"/>
      <c r="Q959" s="208"/>
      <c r="R959" s="208"/>
    </row>
    <row r="960">
      <c r="A960" s="185" t="str">
        <f>IFERROR(__xludf.DUMMYFUNCTION("""COMPUTED_VALUE"""),"Official partner / certification ecosystem")</f>
        <v>Official partner / certification ecosystem</v>
      </c>
      <c r="B960" s="186" t="str">
        <f>IFERROR(__xludf.DUMMYFUNCTION("""COMPUTED_VALUE"""),"https://www.google.com/intl/en_GB/ads/publisher/partners/find-a-partner/")</f>
        <v>https://www.google.com/intl/en_GB/ads/publisher/partners/find-a-partner/</v>
      </c>
      <c r="C960" s="185" t="str">
        <f>IFERROR(__xludf.DUMMYFUNCTION("""COMPUTED_VALUE"""),"Find a Publishing Partner")</f>
        <v>Find a Publishing Partner</v>
      </c>
      <c r="D960" s="185" t="str">
        <f>IFERROR(__xludf.DUMMYFUNCTION("""COMPUTED_VALUE"""),"DE")</f>
        <v>DE</v>
      </c>
      <c r="E960" s="185" t="str">
        <f>IFERROR(__xludf.DUMMYFUNCTION("""COMPUTED_VALUE"""),"google.com")</f>
        <v>google.com</v>
      </c>
      <c r="F960" s="185" t="str">
        <f>IFERROR(__xludf.DUMMYFUNCTION("""COMPUTED_VALUE"""),"Profile")</f>
        <v>Profile</v>
      </c>
      <c r="G960" s="185" t="str">
        <f>IFERROR(__xludf.DUMMYFUNCTION("""COMPUTED_VALUE"""),"OTHER")</f>
        <v>OTHER</v>
      </c>
      <c r="H960" s="185" t="str">
        <f>IFERROR(__xludf.DUMMYFUNCTION("""COMPUTED_VALUE"""),"No")</f>
        <v>No</v>
      </c>
      <c r="I960" s="185" t="str">
        <f>IFERROR(__xludf.DUMMYFUNCTION("""COMPUTED_VALUE"""),"High")</f>
        <v>High</v>
      </c>
      <c r="J960" s="185" t="str">
        <f>IFERROR(__xludf.DUMMYFUNCTION("""COMPUTED_VALUE"""),"Yes - priority")</f>
        <v>Yes - priority</v>
      </c>
      <c r="K960" s="185"/>
      <c r="L960" s="187">
        <f>IFERROR(__xludf.DUMMYFUNCTION("""COMPUTED_VALUE"""),10.0)</f>
        <v>10</v>
      </c>
      <c r="M960" s="188">
        <f>IFERROR(__xludf.DUMMYFUNCTION("""COMPUTED_VALUE"""),0.01)</f>
        <v>0.01</v>
      </c>
      <c r="N960" s="188">
        <f>IFERROR(__xludf.DUMMYFUNCTION("""COMPUTED_VALUE"""),0.0)</f>
        <v>0</v>
      </c>
      <c r="O960" s="208"/>
      <c r="P960" s="208"/>
      <c r="Q960" s="208"/>
      <c r="R960" s="208"/>
    </row>
    <row r="961">
      <c r="A961" s="185" t="str">
        <f>IFERROR(__xludf.DUMMYFUNCTION("""COMPUTED_VALUE"""),"Trade media / editorial publication")</f>
        <v>Trade media / editorial publication</v>
      </c>
      <c r="B961" s="186" t="str">
        <f>IFERROR(__xludf.DUMMYFUNCTION("""COMPUTED_VALUE"""),"https://www.ibusiness.de/performance-ranking/performance_2022.html")</f>
        <v>https://www.ibusiness.de/performance-ranking/performance_2022.html</v>
      </c>
      <c r="C961" s="185" t="str">
        <f>IFERROR(__xludf.DUMMYFUNCTION("""COMPUTED_VALUE"""),"Das Ranking der gr��ten deutschen Performance-Marketing-Agenturen")</f>
        <v>Das Ranking der gr��ten deutschen Performance-Marketing-Agenturen</v>
      </c>
      <c r="D961" s="185" t="str">
        <f>IFERROR(__xludf.DUMMYFUNCTION("""COMPUTED_VALUE"""),"DE")</f>
        <v>DE</v>
      </c>
      <c r="E961" s="185" t="str">
        <f>IFERROR(__xludf.DUMMYFUNCTION("""COMPUTED_VALUE"""),"ibusiness.de")</f>
        <v>ibusiness.de</v>
      </c>
      <c r="F961" s="185" t="str">
        <f>IFERROR(__xludf.DUMMYFUNCTION("""COMPUTED_VALUE"""),"Listicle")</f>
        <v>Listicle</v>
      </c>
      <c r="G961" s="185" t="str">
        <f>IFERROR(__xludf.DUMMYFUNCTION("""COMPUTED_VALUE"""),"EDITORIAL")</f>
        <v>EDITORIAL</v>
      </c>
      <c r="H961" s="185" t="str">
        <f>IFERROR(__xludf.DUMMYFUNCTION("""COMPUTED_VALUE"""),"No")</f>
        <v>No</v>
      </c>
      <c r="I961" s="185" t="str">
        <f>IFERROR(__xludf.DUMMYFUNCTION("""COMPUTED_VALUE"""),"Medium")</f>
        <v>Medium</v>
      </c>
      <c r="J961" s="185" t="str">
        <f>IFERROR(__xludf.DUMMYFUNCTION("""COMPUTED_VALUE"""),"Yes")</f>
        <v>Yes</v>
      </c>
      <c r="K961" s="185"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L961" s="187">
        <f>IFERROR(__xludf.DUMMYFUNCTION("""COMPUTED_VALUE"""),10.0)</f>
        <v>10</v>
      </c>
      <c r="M961" s="188">
        <f>IFERROR(__xludf.DUMMYFUNCTION("""COMPUTED_VALUE"""),0.01)</f>
        <v>0.01</v>
      </c>
      <c r="N961" s="188">
        <f>IFERROR(__xludf.DUMMYFUNCTION("""COMPUTED_VALUE"""),0.0)</f>
        <v>0</v>
      </c>
      <c r="O961" s="208"/>
      <c r="P961" s="208"/>
      <c r="Q961" s="208"/>
      <c r="R961" s="208"/>
    </row>
    <row r="962">
      <c r="A962" s="185" t="str">
        <f>IFERROR(__xludf.DUMMYFUNCTION("""COMPUTED_VALUE"""),"Trade media / editorial publication")</f>
        <v>Trade media / editorial publication</v>
      </c>
      <c r="B962" s="186" t="str">
        <f>IFERROR(__xludf.DUMMYFUNCTION("""COMPUTED_VALUE"""),"https://www.ibusiness.de/performance-ranking/performance_2024.html?sub=2")</f>
        <v>https://www.ibusiness.de/performance-ranking/performance_2024.html?sub=2</v>
      </c>
      <c r="C962" s="185" t="str">
        <f>IFERROR(__xludf.DUMMYFUNCTION("""COMPUTED_VALUE"""),"Das Ranking der gr��ten deutschen Performance-Marketing-Agenturen")</f>
        <v>Das Ranking der gr��ten deutschen Performance-Marketing-Agenturen</v>
      </c>
      <c r="D962" s="185" t="str">
        <f>IFERROR(__xludf.DUMMYFUNCTION("""COMPUTED_VALUE"""),"DE")</f>
        <v>DE</v>
      </c>
      <c r="E962" s="185" t="str">
        <f>IFERROR(__xludf.DUMMYFUNCTION("""COMPUTED_VALUE"""),"ibusiness.de")</f>
        <v>ibusiness.de</v>
      </c>
      <c r="F962" s="185" t="str">
        <f>IFERROR(__xludf.DUMMYFUNCTION("""COMPUTED_VALUE"""),"Other")</f>
        <v>Other</v>
      </c>
      <c r="G962" s="185" t="str">
        <f>IFERROR(__xludf.DUMMYFUNCTION("""COMPUTED_VALUE"""),"EDITORIAL")</f>
        <v>EDITORIAL</v>
      </c>
      <c r="H962" s="185" t="str">
        <f>IFERROR(__xludf.DUMMYFUNCTION("""COMPUTED_VALUE"""),"No")</f>
        <v>No</v>
      </c>
      <c r="I962" s="185" t="str">
        <f>IFERROR(__xludf.DUMMYFUNCTION("""COMPUTED_VALUE"""),"Medium")</f>
        <v>Medium</v>
      </c>
      <c r="J962" s="185" t="str">
        <f>IFERROR(__xludf.DUMMYFUNCTION("""COMPUTED_VALUE"""),"Yes")</f>
        <v>Yes</v>
      </c>
      <c r="K962" s="185" t="str">
        <f>IFERROR(__xludf.DUMMYFUNCTION("""COMPUTED_VALUE"""),"iProspect, e-dialog, 42DIGITAL, Aufgesang")</f>
        <v>iProspect, e-dialog, 42DIGITAL, Aufgesang</v>
      </c>
      <c r="L962" s="187">
        <f>IFERROR(__xludf.DUMMYFUNCTION("""COMPUTED_VALUE"""),10.0)</f>
        <v>10</v>
      </c>
      <c r="M962" s="188">
        <f>IFERROR(__xludf.DUMMYFUNCTION("""COMPUTED_VALUE"""),0.01)</f>
        <v>0.01</v>
      </c>
      <c r="N962" s="188">
        <f>IFERROR(__xludf.DUMMYFUNCTION("""COMPUTED_VALUE"""),0.0)</f>
        <v>0</v>
      </c>
      <c r="O962" s="208"/>
      <c r="P962" s="208"/>
      <c r="Q962" s="208"/>
      <c r="R962" s="208"/>
    </row>
    <row r="963">
      <c r="A963" s="185" t="str">
        <f>IFERROR(__xludf.DUMMYFUNCTION("""COMPUTED_VALUE"""),"Trade media / editorial publication")</f>
        <v>Trade media / editorial publication</v>
      </c>
      <c r="B963" s="186" t="str">
        <f>IFERROR(__xludf.DUMMYFUNCTION("""COMPUTED_VALUE"""),"https://www.ibusiness.de/performance-ranking/performance_2025.html?sub=11")</f>
        <v>https://www.ibusiness.de/performance-ranking/performance_2025.html?sub=11</v>
      </c>
      <c r="C963" s="185" t="str">
        <f>IFERROR(__xludf.DUMMYFUNCTION("""COMPUTED_VALUE"""),"Das Ranking der gr��ten deutschen Performance-Marketing-Agenturen")</f>
        <v>Das Ranking der gr��ten deutschen Performance-Marketing-Agenturen</v>
      </c>
      <c r="D963" s="185" t="str">
        <f>IFERROR(__xludf.DUMMYFUNCTION("""COMPUTED_VALUE"""),"DE")</f>
        <v>DE</v>
      </c>
      <c r="E963" s="185" t="str">
        <f>IFERROR(__xludf.DUMMYFUNCTION("""COMPUTED_VALUE"""),"ibusiness.de")</f>
        <v>ibusiness.de</v>
      </c>
      <c r="F963" s="185" t="str">
        <f>IFERROR(__xludf.DUMMYFUNCTION("""COMPUTED_VALUE"""),"Other")</f>
        <v>Other</v>
      </c>
      <c r="G963" s="185" t="str">
        <f>IFERROR(__xludf.DUMMYFUNCTION("""COMPUTED_VALUE"""),"EDITORIAL")</f>
        <v>EDITORIAL</v>
      </c>
      <c r="H963" s="185" t="str">
        <f>IFERROR(__xludf.DUMMYFUNCTION("""COMPUTED_VALUE"""),"No")</f>
        <v>No</v>
      </c>
      <c r="I963" s="185" t="str">
        <f>IFERROR(__xludf.DUMMYFUNCTION("""COMPUTED_VALUE"""),"Medium")</f>
        <v>Medium</v>
      </c>
      <c r="J963" s="185" t="str">
        <f>IFERROR(__xludf.DUMMYFUNCTION("""COMPUTED_VALUE"""),"Yes")</f>
        <v>Yes</v>
      </c>
      <c r="K963" s="185" t="str">
        <f>IFERROR(__xludf.DUMMYFUNCTION("""COMPUTED_VALUE"""),"morefire, 42DIGITAL, Aufgesang")</f>
        <v>morefire, 42DIGITAL, Aufgesang</v>
      </c>
      <c r="L963" s="187">
        <f>IFERROR(__xludf.DUMMYFUNCTION("""COMPUTED_VALUE"""),10.0)</f>
        <v>10</v>
      </c>
      <c r="M963" s="188">
        <f>IFERROR(__xludf.DUMMYFUNCTION("""COMPUTED_VALUE"""),0.01)</f>
        <v>0.01</v>
      </c>
      <c r="N963" s="188">
        <f>IFERROR(__xludf.DUMMYFUNCTION("""COMPUTED_VALUE"""),0.8)</f>
        <v>0.8</v>
      </c>
      <c r="O963" s="208"/>
      <c r="P963" s="208"/>
      <c r="Q963" s="208"/>
      <c r="R963" s="208"/>
    </row>
    <row r="964">
      <c r="A964" s="185" t="str">
        <f>IFERROR(__xludf.DUMMYFUNCTION("""COMPUTED_VALUE"""),"Industry association / institutional authority")</f>
        <v>Industry association / institutional authority</v>
      </c>
      <c r="B964" s="186" t="str">
        <f>IFERROR(__xludf.DUMMYFUNCTION("""COMPUTED_VALUE"""),"https://www.oneclub.org/awards/adcawards/-archive/agency/2024/38/all/all/276")</f>
        <v>https://www.oneclub.org/awards/adcawards/-archive/agency/2024/38/all/all/276</v>
      </c>
      <c r="C964" s="185" t="str">
        <f>IFERROR(__xludf.DUMMYFUNCTION("""COMPUTED_VALUE"""),"ADC Awards | Agency Rankings | 2024 | Advertising | Germany")</f>
        <v>ADC Awards | Agency Rankings | 2024 | Advertising | Germany</v>
      </c>
      <c r="D964" s="185" t="str">
        <f>IFERROR(__xludf.DUMMYFUNCTION("""COMPUTED_VALUE"""),"DE")</f>
        <v>DE</v>
      </c>
      <c r="E964" s="185" t="str">
        <f>IFERROR(__xludf.DUMMYFUNCTION("""COMPUTED_VALUE"""),"oneclub.org")</f>
        <v>oneclub.org</v>
      </c>
      <c r="F964" s="185" t="str">
        <f>IFERROR(__xludf.DUMMYFUNCTION("""COMPUTED_VALUE"""),"Profile")</f>
        <v>Profile</v>
      </c>
      <c r="G964" s="185" t="str">
        <f>IFERROR(__xludf.DUMMYFUNCTION("""COMPUTED_VALUE"""),"INSTITUTIONAL")</f>
        <v>INSTITUTIONAL</v>
      </c>
      <c r="H964" s="185" t="str">
        <f>IFERROR(__xludf.DUMMYFUNCTION("""COMPUTED_VALUE"""),"No")</f>
        <v>No</v>
      </c>
      <c r="I964" s="185" t="str">
        <f>IFERROR(__xludf.DUMMYFUNCTION("""COMPUTED_VALUE"""),"High")</f>
        <v>High</v>
      </c>
      <c r="J964" s="185" t="str">
        <f>IFERROR(__xludf.DUMMYFUNCTION("""COMPUTED_VALUE"""),"Yes - priority")</f>
        <v>Yes - priority</v>
      </c>
      <c r="K964" s="185" t="str">
        <f>IFERROR(__xludf.DUMMYFUNCTION("""COMPUTED_VALUE"""),"Ogilvy, Havas Media, Jung von Matt")</f>
        <v>Ogilvy, Havas Media, Jung von Matt</v>
      </c>
      <c r="L964" s="187">
        <f>IFERROR(__xludf.DUMMYFUNCTION("""COMPUTED_VALUE"""),10.0)</f>
        <v>10</v>
      </c>
      <c r="M964" s="188">
        <f>IFERROR(__xludf.DUMMYFUNCTION("""COMPUTED_VALUE"""),0.01)</f>
        <v>0.01</v>
      </c>
      <c r="N964" s="188">
        <f>IFERROR(__xludf.DUMMYFUNCTION("""COMPUTED_VALUE"""),0.0)</f>
        <v>0</v>
      </c>
      <c r="O964" s="208"/>
      <c r="P964" s="208"/>
      <c r="Q964" s="208"/>
      <c r="R964" s="208"/>
    </row>
    <row r="965">
      <c r="A965" s="185" t="str">
        <f>IFERROR(__xludf.DUMMYFUNCTION("""COMPUTED_VALUE"""),"Agency directory / review marketplace")</f>
        <v>Agency directory / review marketplace</v>
      </c>
      <c r="B965" s="186" t="str">
        <f>IFERROR(__xludf.DUMMYFUNCTION("""COMPUTED_VALUE"""),"https://www.sortlist.com/marketing-analytics")</f>
        <v>https://www.sortlist.com/marketing-analytics</v>
      </c>
      <c r="C965" s="185" t="str">
        <f>IFERROR(__xludf.DUMMYFUNCTION("""COMPUTED_VALUE"""),"The 100 Best Marketing Analytics Companies - 2026 Reviews")</f>
        <v>The 100 Best Marketing Analytics Companies - 2026 Reviews</v>
      </c>
      <c r="D965" s="185" t="str">
        <f>IFERROR(__xludf.DUMMYFUNCTION("""COMPUTED_VALUE"""),"DE")</f>
        <v>DE</v>
      </c>
      <c r="E965" s="185" t="str">
        <f>IFERROR(__xludf.DUMMYFUNCTION("""COMPUTED_VALUE"""),"sortlist.com")</f>
        <v>sortlist.com</v>
      </c>
      <c r="F965" s="185" t="str">
        <f>IFERROR(__xludf.DUMMYFUNCTION("""COMPUTED_VALUE"""),"Category Page")</f>
        <v>Category Page</v>
      </c>
      <c r="G965" s="185" t="str">
        <f>IFERROR(__xludf.DUMMYFUNCTION("""COMPUTED_VALUE"""),"CORPORATE")</f>
        <v>CORPORATE</v>
      </c>
      <c r="H965" s="185" t="str">
        <f>IFERROR(__xludf.DUMMYFUNCTION("""COMPUTED_VALUE"""),"No")</f>
        <v>No</v>
      </c>
      <c r="I965" s="185" t="str">
        <f>IFERROR(__xludf.DUMMYFUNCTION("""COMPUTED_VALUE"""),"Medium")</f>
        <v>Medium</v>
      </c>
      <c r="J965" s="185" t="str">
        <f>IFERROR(__xludf.DUMMYFUNCTION("""COMPUTED_VALUE"""),"Yes")</f>
        <v>Yes</v>
      </c>
      <c r="K965" s="185" t="str">
        <f>IFERROR(__xludf.DUMMYFUNCTION("""COMPUTED_VALUE"""),"lehof, MONSOON")</f>
        <v>lehof, MONSOON</v>
      </c>
      <c r="L965" s="187">
        <f>IFERROR(__xludf.DUMMYFUNCTION("""COMPUTED_VALUE"""),10.0)</f>
        <v>10</v>
      </c>
      <c r="M965" s="188">
        <f>IFERROR(__xludf.DUMMYFUNCTION("""COMPUTED_VALUE"""),0.01)</f>
        <v>0.01</v>
      </c>
      <c r="N965" s="188">
        <f>IFERROR(__xludf.DUMMYFUNCTION("""COMPUTED_VALUE"""),0.0)</f>
        <v>0</v>
      </c>
      <c r="O965" s="208"/>
      <c r="P965" s="208"/>
      <c r="Q965" s="208"/>
      <c r="R965" s="208"/>
    </row>
    <row r="966">
      <c r="A966" s="185" t="str">
        <f>IFERROR(__xludf.DUMMYFUNCTION("""COMPUTED_VALUE"""),"Agency directory / review marketplace")</f>
        <v>Agency directory / review marketplace</v>
      </c>
      <c r="B966" s="186" t="str">
        <f>IFERROR(__xludf.DUMMYFUNCTION("""COMPUTED_VALUE"""),"https://www.sortlist.com/paid-media")</f>
        <v>https://www.sortlist.com/paid-media</v>
      </c>
      <c r="C966" s="185" t="str">
        <f>IFERROR(__xludf.DUMMYFUNCTION("""COMPUTED_VALUE"""),"The 100 Best Paid Media Agencies - 2026 Reviews")</f>
        <v>The 100 Best Paid Media Agencies - 2026 Reviews</v>
      </c>
      <c r="D966" s="185" t="str">
        <f>IFERROR(__xludf.DUMMYFUNCTION("""COMPUTED_VALUE"""),"DE")</f>
        <v>DE</v>
      </c>
      <c r="E966" s="185" t="str">
        <f>IFERROR(__xludf.DUMMYFUNCTION("""COMPUTED_VALUE"""),"sortlist.com")</f>
        <v>sortlist.com</v>
      </c>
      <c r="F966" s="185" t="str">
        <f>IFERROR(__xludf.DUMMYFUNCTION("""COMPUTED_VALUE"""),"Category Page")</f>
        <v>Category Page</v>
      </c>
      <c r="G966" s="185" t="str">
        <f>IFERROR(__xludf.DUMMYFUNCTION("""COMPUTED_VALUE"""),"CORPORATE")</f>
        <v>CORPORATE</v>
      </c>
      <c r="H966" s="185" t="str">
        <f>IFERROR(__xludf.DUMMYFUNCTION("""COMPUTED_VALUE"""),"No")</f>
        <v>No</v>
      </c>
      <c r="I966" s="185" t="str">
        <f>IFERROR(__xludf.DUMMYFUNCTION("""COMPUTED_VALUE"""),"Medium")</f>
        <v>Medium</v>
      </c>
      <c r="J966" s="185" t="str">
        <f>IFERROR(__xludf.DUMMYFUNCTION("""COMPUTED_VALUE"""),"Yes")</f>
        <v>Yes</v>
      </c>
      <c r="K966" s="185" t="str">
        <f>IFERROR(__xludf.DUMMYFUNCTION("""COMPUTED_VALUE"""),"lehof, Measured, MONSOON, Triple Whale, Northbeam, Dreamdata")</f>
        <v>lehof, Measured, MONSOON, Triple Whale, Northbeam, Dreamdata</v>
      </c>
      <c r="L966" s="187">
        <f>IFERROR(__xludf.DUMMYFUNCTION("""COMPUTED_VALUE"""),10.0)</f>
        <v>10</v>
      </c>
      <c r="M966" s="188">
        <f>IFERROR(__xludf.DUMMYFUNCTION("""COMPUTED_VALUE"""),0.01)</f>
        <v>0.01</v>
      </c>
      <c r="N966" s="188">
        <f>IFERROR(__xludf.DUMMYFUNCTION("""COMPUTED_VALUE"""),0.0)</f>
        <v>0</v>
      </c>
      <c r="O966" s="208"/>
      <c r="P966" s="208"/>
      <c r="Q966" s="208"/>
      <c r="R966" s="208"/>
    </row>
    <row r="967">
      <c r="A967" s="185" t="str">
        <f>IFERROR(__xludf.DUMMYFUNCTION("""COMPUTED_VALUE"""),"Industry data / software authority")</f>
        <v>Industry data / software authority</v>
      </c>
      <c r="B967" s="186" t="str">
        <f>IFERROR(__xludf.DUMMYFUNCTION("""COMPUTED_VALUE"""),"https://agencies.semrush.com/list/ai-optimization/germany/small-business/")</f>
        <v>https://agencies.semrush.com/list/ai-optimization/germany/small-business/</v>
      </c>
      <c r="C967" s="185" t="str">
        <f>IFERROR(__xludf.DUMMYFUNCTION("""COMPUTED_VALUE"""),"Best AI Search Optimization Agencies for Small Business in Germany 2026 | Semrush")</f>
        <v>Best AI Search Optimization Agencies for Small Business in Germany 2026 | Semrush</v>
      </c>
      <c r="D967" s="185" t="str">
        <f>IFERROR(__xludf.DUMMYFUNCTION("""COMPUTED_VALUE"""),"DE")</f>
        <v>DE</v>
      </c>
      <c r="E967" s="185" t="str">
        <f>IFERROR(__xludf.DUMMYFUNCTION("""COMPUTED_VALUE"""),"semrush.com")</f>
        <v>semrush.com</v>
      </c>
      <c r="F967" s="185" t="str">
        <f>IFERROR(__xludf.DUMMYFUNCTION("""COMPUTED_VALUE"""),"Category Page")</f>
        <v>Category Page</v>
      </c>
      <c r="G967" s="185" t="str">
        <f>IFERROR(__xludf.DUMMYFUNCTION("""COMPUTED_VALUE"""),"CORPORATE")</f>
        <v>CORPORATE</v>
      </c>
      <c r="H967" s="185" t="str">
        <f>IFERROR(__xludf.DUMMYFUNCTION("""COMPUTED_VALUE"""),"No")</f>
        <v>No</v>
      </c>
      <c r="I967" s="185" t="str">
        <f>IFERROR(__xludf.DUMMYFUNCTION("""COMPUTED_VALUE"""),"Medium")</f>
        <v>Medium</v>
      </c>
      <c r="J967" s="185" t="str">
        <f>IFERROR(__xludf.DUMMYFUNCTION("""COMPUTED_VALUE"""),"Yes")</f>
        <v>Yes</v>
      </c>
      <c r="K967" s="185" t="str">
        <f>IFERROR(__xludf.DUMMYFUNCTION("""COMPUTED_VALUE"""),"HECHT INS GEFECHT, Mediaplus Performance")</f>
        <v>HECHT INS GEFECHT, Mediaplus Performance</v>
      </c>
      <c r="L967" s="187">
        <f>IFERROR(__xludf.DUMMYFUNCTION("""COMPUTED_VALUE"""),9.0)</f>
        <v>9</v>
      </c>
      <c r="M967" s="188">
        <f>IFERROR(__xludf.DUMMYFUNCTION("""COMPUTED_VALUE"""),0.01)</f>
        <v>0.01</v>
      </c>
      <c r="N967" s="188">
        <f>IFERROR(__xludf.DUMMYFUNCTION("""COMPUTED_VALUE"""),0.33)</f>
        <v>0.33</v>
      </c>
      <c r="O967" s="208"/>
      <c r="P967" s="208"/>
      <c r="Q967" s="208"/>
      <c r="R967" s="208"/>
    </row>
    <row r="968">
      <c r="A968" s="185" t="str">
        <f>IFERROR(__xludf.DUMMYFUNCTION("""COMPUTED_VALUE"""),"Official partner / certification ecosystem")</f>
        <v>Official partner / certification ecosystem</v>
      </c>
      <c r="B968" s="186" t="str">
        <f>IFERROR(__xludf.DUMMYFUNCTION("""COMPUTED_VALUE"""),"https://enterprisemarketingportal.google/find-a-partner")</f>
        <v>https://enterprisemarketingportal.google/find-a-partner</v>
      </c>
      <c r="C968" s="185" t="str">
        <f>IFERROR(__xludf.DUMMYFUNCTION("""COMPUTED_VALUE"""),"Find a Partner Gallery")</f>
        <v>Find a Partner Gallery</v>
      </c>
      <c r="D968" s="185" t="str">
        <f>IFERROR(__xludf.DUMMYFUNCTION("""COMPUTED_VALUE"""),"DE")</f>
        <v>DE</v>
      </c>
      <c r="E968" s="185" t="str">
        <f>IFERROR(__xludf.DUMMYFUNCTION("""COMPUTED_VALUE"""),"enterprisemarketingportal.google")</f>
        <v>enterprisemarketingportal.google</v>
      </c>
      <c r="F968" s="185" t="str">
        <f>IFERROR(__xludf.DUMMYFUNCTION("""COMPUTED_VALUE"""),"Category Page")</f>
        <v>Category Page</v>
      </c>
      <c r="G968" s="185" t="str">
        <f>IFERROR(__xludf.DUMMYFUNCTION("""COMPUTED_VALUE"""),"CORPORATE")</f>
        <v>CORPORATE</v>
      </c>
      <c r="H968" s="185" t="str">
        <f>IFERROR(__xludf.DUMMYFUNCTION("""COMPUTED_VALUE"""),"Yes")</f>
        <v>Yes</v>
      </c>
      <c r="I968" s="185" t="str">
        <f>IFERROR(__xludf.DUMMYFUNCTION("""COMPUTED_VALUE"""),"High")</f>
        <v>High</v>
      </c>
      <c r="J968" s="185" t="str">
        <f>IFERROR(__xludf.DUMMYFUNCTION("""COMPUTED_VALUE"""),"Yes - priority")</f>
        <v>Yes - priority</v>
      </c>
      <c r="K968" s="185" t="str">
        <f>IFERROR(__xludf.DUMMYFUNCTION("""COMPUTED_VALUE"""),"Making Science, Jellyfish, Incubeta, Brainlabs, Monks, Adswerve, Merkle, DEPT, Wpromote, PMG, Mindshare, OMD, Tinuiti")</f>
        <v>Making Science, Jellyfish, Incubeta, Brainlabs, Monks, Adswerve, Merkle, DEPT, Wpromote, PMG, Mindshare, OMD, Tinuiti</v>
      </c>
      <c r="L968" s="187">
        <f>IFERROR(__xludf.DUMMYFUNCTION("""COMPUTED_VALUE"""),9.0)</f>
        <v>9</v>
      </c>
      <c r="M968" s="188">
        <f>IFERROR(__xludf.DUMMYFUNCTION("""COMPUTED_VALUE"""),0.01)</f>
        <v>0.01</v>
      </c>
      <c r="N968" s="188">
        <f>IFERROR(__xludf.DUMMYFUNCTION("""COMPUTED_VALUE"""),0.22)</f>
        <v>0.22</v>
      </c>
      <c r="O968" s="208"/>
      <c r="P968" s="208"/>
      <c r="Q968" s="208"/>
      <c r="R968" s="208"/>
    </row>
    <row r="969">
      <c r="A969" s="185" t="str">
        <f>IFERROR(__xludf.DUMMYFUNCTION("""COMPUTED_VALUE"""),"Agency directory / review marketplace")</f>
        <v>Agency directory / review marketplace</v>
      </c>
      <c r="B969" s="186" t="str">
        <f>IFERROR(__xludf.DUMMYFUNCTION("""COMPUTED_VALUE"""),"https://feedbax.de/ki/deutschland")</f>
        <v>https://feedbax.de/ki/deutschland</v>
      </c>
      <c r="C969" s="185" t="str">
        <f>IFERROR(__xludf.DUMMYFUNCTION("""COMPUTED_VALUE"""),"Die 20 besten KI Agenturen in Deutschland 🥇 2026 Ranking")</f>
        <v>Die 20 besten KI Agenturen in Deutschland 🥇 2026 Ranking</v>
      </c>
      <c r="D969" s="185" t="str">
        <f>IFERROR(__xludf.DUMMYFUNCTION("""COMPUTED_VALUE"""),"DE")</f>
        <v>DE</v>
      </c>
      <c r="E969" s="185" t="str">
        <f>IFERROR(__xludf.DUMMYFUNCTION("""COMPUTED_VALUE"""),"feedbax.de")</f>
        <v>feedbax.de</v>
      </c>
      <c r="F969" s="185" t="str">
        <f>IFERROR(__xludf.DUMMYFUNCTION("""COMPUTED_VALUE"""),"Category Page")</f>
        <v>Category Page</v>
      </c>
      <c r="G969" s="185" t="str">
        <f>IFERROR(__xludf.DUMMYFUNCTION("""COMPUTED_VALUE"""),"REFERENCE")</f>
        <v>REFERENCE</v>
      </c>
      <c r="H969" s="185" t="str">
        <f>IFERROR(__xludf.DUMMYFUNCTION("""COMPUTED_VALUE"""),"No")</f>
        <v>No</v>
      </c>
      <c r="I969" s="185" t="str">
        <f>IFERROR(__xludf.DUMMYFUNCTION("""COMPUTED_VALUE"""),"Medium")</f>
        <v>Medium</v>
      </c>
      <c r="J969" s="185" t="str">
        <f>IFERROR(__xludf.DUMMYFUNCTION("""COMPUTED_VALUE"""),"Yes")</f>
        <v>Yes</v>
      </c>
      <c r="K969" s="185"/>
      <c r="L969" s="187">
        <f>IFERROR(__xludf.DUMMYFUNCTION("""COMPUTED_VALUE"""),9.0)</f>
        <v>9</v>
      </c>
      <c r="M969" s="188">
        <f>IFERROR(__xludf.DUMMYFUNCTION("""COMPUTED_VALUE"""),0.01)</f>
        <v>0.01</v>
      </c>
      <c r="N969" s="188">
        <f>IFERROR(__xludf.DUMMYFUNCTION("""COMPUTED_VALUE"""),0.0)</f>
        <v>0</v>
      </c>
      <c r="O969" s="208"/>
      <c r="P969" s="208"/>
      <c r="Q969" s="208"/>
      <c r="R969" s="208"/>
    </row>
    <row r="970">
      <c r="A970" s="185" t="str">
        <f>IFERROR(__xludf.DUMMYFUNCTION("""COMPUTED_VALUE"""),"Agency directory / review marketplace")</f>
        <v>Agency directory / review marketplace</v>
      </c>
      <c r="B970" s="186" t="str">
        <f>IFERROR(__xludf.DUMMYFUNCTION("""COMPUTED_VALUE"""),"https://www.goodfirms.co/directory/country/top-digital-marketing-companies/market-research/germany")</f>
        <v>https://www.goodfirms.co/directory/country/top-digital-marketing-companies/market-research/germany</v>
      </c>
      <c r="C970" s="185" t="str">
        <f>IFERROR(__xludf.DUMMYFUNCTION("""COMPUTED_VALUE"""),"Market Research Companies in Germany - 2026 Reviews | Goodfirms")</f>
        <v>Market Research Companies in Germany - 2026 Reviews | Goodfirms</v>
      </c>
      <c r="D970" s="185" t="str">
        <f>IFERROR(__xludf.DUMMYFUNCTION("""COMPUTED_VALUE"""),"DE")</f>
        <v>DE</v>
      </c>
      <c r="E970" s="185" t="str">
        <f>IFERROR(__xludf.DUMMYFUNCTION("""COMPUTED_VALUE"""),"goodfirms.co")</f>
        <v>goodfirms.co</v>
      </c>
      <c r="F970" s="185" t="str">
        <f>IFERROR(__xludf.DUMMYFUNCTION("""COMPUTED_VALUE"""),"Category Page")</f>
        <v>Category Page</v>
      </c>
      <c r="G970" s="185" t="str">
        <f>IFERROR(__xludf.DUMMYFUNCTION("""COMPUTED_VALUE"""),"UGC")</f>
        <v>UGC</v>
      </c>
      <c r="H970" s="185" t="str">
        <f>IFERROR(__xludf.DUMMYFUNCTION("""COMPUTED_VALUE"""),"No")</f>
        <v>No</v>
      </c>
      <c r="I970" s="185" t="str">
        <f>IFERROR(__xludf.DUMMYFUNCTION("""COMPUTED_VALUE"""),"Medium")</f>
        <v>Medium</v>
      </c>
      <c r="J970" s="185" t="str">
        <f>IFERROR(__xludf.DUMMYFUNCTION("""COMPUTED_VALUE"""),"Yes")</f>
        <v>Yes</v>
      </c>
      <c r="K970" s="185" t="str">
        <f>IFERROR(__xludf.DUMMYFUNCTION("""COMPUTED_VALUE"""),"Mediacharge, REPLUG, Momentum")</f>
        <v>Mediacharge, REPLUG, Momentum</v>
      </c>
      <c r="L970" s="187">
        <f>IFERROR(__xludf.DUMMYFUNCTION("""COMPUTED_VALUE"""),9.0)</f>
        <v>9</v>
      </c>
      <c r="M970" s="188">
        <f>IFERROR(__xludf.DUMMYFUNCTION("""COMPUTED_VALUE"""),0.01)</f>
        <v>0.01</v>
      </c>
      <c r="N970" s="188">
        <f>IFERROR(__xludf.DUMMYFUNCTION("""COMPUTED_VALUE"""),0.0)</f>
        <v>0</v>
      </c>
      <c r="O970" s="208"/>
      <c r="P970" s="208"/>
      <c r="Q970" s="208"/>
      <c r="R970" s="208"/>
    </row>
    <row r="971">
      <c r="A971" s="185" t="str">
        <f>IFERROR(__xludf.DUMMYFUNCTION("""COMPUTED_VALUE"""),"Trade media / editorial publication")</f>
        <v>Trade media / editorial publication</v>
      </c>
      <c r="B971" s="186" t="str">
        <f>IFERROR(__xludf.DUMMYFUNCTION("""COMPUTED_VALUE"""),"https://www.ibusiness.de/performance-ranking/performance_2022")</f>
        <v>https://www.ibusiness.de/performance-ranking/performance_2022</v>
      </c>
      <c r="C971" s="185" t="str">
        <f>IFERROR(__xludf.DUMMYFUNCTION("""COMPUTED_VALUE"""),"Das Ranking der gr��ten deutschen Performance-Marketing-Agenturen")</f>
        <v>Das Ranking der gr��ten deutschen Performance-Marketing-Agenturen</v>
      </c>
      <c r="D971" s="185" t="str">
        <f>IFERROR(__xludf.DUMMYFUNCTION("""COMPUTED_VALUE"""),"DE")</f>
        <v>DE</v>
      </c>
      <c r="E971" s="185" t="str">
        <f>IFERROR(__xludf.DUMMYFUNCTION("""COMPUTED_VALUE"""),"ibusiness.de")</f>
        <v>ibusiness.de</v>
      </c>
      <c r="F971" s="185" t="str">
        <f>IFERROR(__xludf.DUMMYFUNCTION("""COMPUTED_VALUE"""),"Listicle")</f>
        <v>Listicle</v>
      </c>
      <c r="G971" s="185" t="str">
        <f>IFERROR(__xludf.DUMMYFUNCTION("""COMPUTED_VALUE"""),"EDITORIAL")</f>
        <v>EDITORIAL</v>
      </c>
      <c r="H971" s="185" t="str">
        <f>IFERROR(__xludf.DUMMYFUNCTION("""COMPUTED_VALUE"""),"No")</f>
        <v>No</v>
      </c>
      <c r="I971" s="185" t="str">
        <f>IFERROR(__xludf.DUMMYFUNCTION("""COMPUTED_VALUE"""),"Medium")</f>
        <v>Medium</v>
      </c>
      <c r="J971" s="185" t="str">
        <f>IFERROR(__xludf.DUMMYFUNCTION("""COMPUTED_VALUE"""),"Yes")</f>
        <v>Yes</v>
      </c>
      <c r="K971" s="185"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L971" s="187">
        <f>IFERROR(__xludf.DUMMYFUNCTION("""COMPUTED_VALUE"""),9.0)</f>
        <v>9</v>
      </c>
      <c r="M971" s="188">
        <f>IFERROR(__xludf.DUMMYFUNCTION("""COMPUTED_VALUE"""),0.01)</f>
        <v>0.01</v>
      </c>
      <c r="N971" s="188">
        <f>IFERROR(__xludf.DUMMYFUNCTION("""COMPUTED_VALUE"""),0.0)</f>
        <v>0</v>
      </c>
      <c r="O971" s="208"/>
      <c r="P971" s="208"/>
      <c r="Q971" s="208"/>
      <c r="R971" s="208"/>
    </row>
    <row r="972">
      <c r="A972" s="185" t="str">
        <f>IFERROR(__xludf.DUMMYFUNCTION("""COMPUTED_VALUE"""),"Trade media / editorial publication")</f>
        <v>Trade media / editorial publication</v>
      </c>
      <c r="B972" s="186" t="str">
        <f>IFERROR(__xludf.DUMMYFUNCTION("""COMPUTED_VALUE"""),"https://www.ibusiness.de/performance-ranking/performance_2025.html?sub=30")</f>
        <v>https://www.ibusiness.de/performance-ranking/performance_2025.html?sub=30</v>
      </c>
      <c r="C972" s="185" t="str">
        <f>IFERROR(__xludf.DUMMYFUNCTION("""COMPUTED_VALUE"""),"Das Ranking der gr��ten deutschen Performance-Marketing-Agenturen")</f>
        <v>Das Ranking der gr��ten deutschen Performance-Marketing-Agenturen</v>
      </c>
      <c r="D972" s="185" t="str">
        <f>IFERROR(__xludf.DUMMYFUNCTION("""COMPUTED_VALUE"""),"DE")</f>
        <v>DE</v>
      </c>
      <c r="E972" s="185" t="str">
        <f>IFERROR(__xludf.DUMMYFUNCTION("""COMPUTED_VALUE"""),"ibusiness.de")</f>
        <v>ibusiness.de</v>
      </c>
      <c r="F972" s="185" t="str">
        <f>IFERROR(__xludf.DUMMYFUNCTION("""COMPUTED_VALUE"""),"Other")</f>
        <v>Other</v>
      </c>
      <c r="G972" s="185" t="str">
        <f>IFERROR(__xludf.DUMMYFUNCTION("""COMPUTED_VALUE"""),"EDITORIAL")</f>
        <v>EDITORIAL</v>
      </c>
      <c r="H972" s="185" t="str">
        <f>IFERROR(__xludf.DUMMYFUNCTION("""COMPUTED_VALUE"""),"No")</f>
        <v>No</v>
      </c>
      <c r="I972" s="185" t="str">
        <f>IFERROR(__xludf.DUMMYFUNCTION("""COMPUTED_VALUE"""),"Medium")</f>
        <v>Medium</v>
      </c>
      <c r="J972" s="185" t="str">
        <f>IFERROR(__xludf.DUMMYFUNCTION("""COMPUTED_VALUE"""),"Yes")</f>
        <v>Yes</v>
      </c>
      <c r="K972" s="185" t="str">
        <f>IFERROR(__xludf.DUMMYFUNCTION("""COMPUTED_VALUE"""),"Smarketer, iProspect, DREIKON, Artefact")</f>
        <v>Smarketer, iProspect, DREIKON, Artefact</v>
      </c>
      <c r="L972" s="187">
        <f>IFERROR(__xludf.DUMMYFUNCTION("""COMPUTED_VALUE"""),9.0)</f>
        <v>9</v>
      </c>
      <c r="M972" s="188">
        <f>IFERROR(__xludf.DUMMYFUNCTION("""COMPUTED_VALUE"""),0.01)</f>
        <v>0.01</v>
      </c>
      <c r="N972" s="188">
        <f>IFERROR(__xludf.DUMMYFUNCTION("""COMPUTED_VALUE"""),0.22)</f>
        <v>0.22</v>
      </c>
      <c r="O972" s="208"/>
      <c r="P972" s="208"/>
      <c r="Q972" s="208"/>
      <c r="R972" s="208"/>
    </row>
    <row r="973">
      <c r="A973" s="185" t="str">
        <f>IFERROR(__xludf.DUMMYFUNCTION("""COMPUTED_VALUE"""),"Trade media / editorial publication")</f>
        <v>Trade media / editorial publication</v>
      </c>
      <c r="B973" s="186" t="str">
        <f>IFERROR(__xludf.DUMMYFUNCTION("""COMPUTED_VALUE"""),"https://www.onetoone.de/performance-ranking/performance_2025.html?sub=11")</f>
        <v>https://www.onetoone.de/performance-ranking/performance_2025.html?sub=11</v>
      </c>
      <c r="C973" s="185" t="str">
        <f>IFERROR(__xludf.DUMMYFUNCTION("""COMPUTED_VALUE"""),"Performance-Agentur-Ranking")</f>
        <v>Performance-Agentur-Ranking</v>
      </c>
      <c r="D973" s="185" t="str">
        <f>IFERROR(__xludf.DUMMYFUNCTION("""COMPUTED_VALUE"""),"DE")</f>
        <v>DE</v>
      </c>
      <c r="E973" s="185" t="str">
        <f>IFERROR(__xludf.DUMMYFUNCTION("""COMPUTED_VALUE"""),"onetoone.de")</f>
        <v>onetoone.de</v>
      </c>
      <c r="F973" s="185" t="str">
        <f>IFERROR(__xludf.DUMMYFUNCTION("""COMPUTED_VALUE"""),"Other")</f>
        <v>Other</v>
      </c>
      <c r="G973" s="185" t="str">
        <f>IFERROR(__xludf.DUMMYFUNCTION("""COMPUTED_VALUE"""),"OTHER")</f>
        <v>OTHER</v>
      </c>
      <c r="H973" s="185" t="str">
        <f>IFERROR(__xludf.DUMMYFUNCTION("""COMPUTED_VALUE"""),"No")</f>
        <v>No</v>
      </c>
      <c r="I973" s="185" t="str">
        <f>IFERROR(__xludf.DUMMYFUNCTION("""COMPUTED_VALUE"""),"Medium")</f>
        <v>Medium</v>
      </c>
      <c r="J973" s="185" t="str">
        <f>IFERROR(__xludf.DUMMYFUNCTION("""COMPUTED_VALUE"""),"Yes")</f>
        <v>Yes</v>
      </c>
      <c r="K973" s="185" t="str">
        <f>IFERROR(__xludf.DUMMYFUNCTION("""COMPUTED_VALUE"""),"morefire, 42DIGITAL, Aufgesang")</f>
        <v>morefire, 42DIGITAL, Aufgesang</v>
      </c>
      <c r="L973" s="187">
        <f>IFERROR(__xludf.DUMMYFUNCTION("""COMPUTED_VALUE"""),9.0)</f>
        <v>9</v>
      </c>
      <c r="M973" s="188">
        <f>IFERROR(__xludf.DUMMYFUNCTION("""COMPUTED_VALUE"""),0.01)</f>
        <v>0.01</v>
      </c>
      <c r="N973" s="188">
        <f>IFERROR(__xludf.DUMMYFUNCTION("""COMPUTED_VALUE"""),0.0)</f>
        <v>0</v>
      </c>
      <c r="O973" s="208"/>
      <c r="P973" s="208"/>
      <c r="Q973" s="208"/>
      <c r="R973" s="208"/>
    </row>
    <row r="974">
      <c r="A974" s="185" t="str">
        <f>IFERROR(__xludf.DUMMYFUNCTION("""COMPUTED_VALUE"""),"Industry data / software authority")</f>
        <v>Industry data / software authority</v>
      </c>
      <c r="B974" s="186" t="str">
        <f>IFERROR(__xludf.DUMMYFUNCTION("""COMPUTED_VALUE"""),"https://www.semrush.com/agencies/list/display-advertising/ecommerce/germany/")</f>
        <v>https://www.semrush.com/agencies/list/display-advertising/ecommerce/germany/</v>
      </c>
      <c r="C974" s="185" t="str">
        <f>IFERROR(__xludf.DUMMYFUNCTION("""COMPUTED_VALUE"""),"Best Ecommerce Display Ads Agencies in Germany 2026 \| Semrush")</f>
        <v>Best Ecommerce Display Ads Agencies in Germany 2026 \| Semrush</v>
      </c>
      <c r="D974" s="185" t="str">
        <f>IFERROR(__xludf.DUMMYFUNCTION("""COMPUTED_VALUE"""),"DE")</f>
        <v>DE</v>
      </c>
      <c r="E974" s="185" t="str">
        <f>IFERROR(__xludf.DUMMYFUNCTION("""COMPUTED_VALUE"""),"semrush.com")</f>
        <v>semrush.com</v>
      </c>
      <c r="F974" s="185" t="str">
        <f>IFERROR(__xludf.DUMMYFUNCTION("""COMPUTED_VALUE"""),"Profile")</f>
        <v>Profile</v>
      </c>
      <c r="G974" s="185" t="str">
        <f>IFERROR(__xludf.DUMMYFUNCTION("""COMPUTED_VALUE"""),"CORPORATE")</f>
        <v>CORPORATE</v>
      </c>
      <c r="H974" s="185" t="str">
        <f>IFERROR(__xludf.DUMMYFUNCTION("""COMPUTED_VALUE"""),"No")</f>
        <v>No</v>
      </c>
      <c r="I974" s="185" t="str">
        <f>IFERROR(__xludf.DUMMYFUNCTION("""COMPUTED_VALUE"""),"Medium")</f>
        <v>Medium</v>
      </c>
      <c r="J974" s="185" t="str">
        <f>IFERROR(__xludf.DUMMYFUNCTION("""COMPUTED_VALUE"""),"Yes")</f>
        <v>Yes</v>
      </c>
      <c r="K974" s="185" t="str">
        <f>IFERROR(__xludf.DUMMYFUNCTION("""COMPUTED_VALUE"""),"Baseplus DIGITAL MEDIA GmbH, morefire, Mediaplus Performance, MONSOON")</f>
        <v>Baseplus DIGITAL MEDIA GmbH, morefire, Mediaplus Performance, MONSOON</v>
      </c>
      <c r="L974" s="187">
        <f>IFERROR(__xludf.DUMMYFUNCTION("""COMPUTED_VALUE"""),9.0)</f>
        <v>9</v>
      </c>
      <c r="M974" s="188">
        <f>IFERROR(__xludf.DUMMYFUNCTION("""COMPUTED_VALUE"""),0.01)</f>
        <v>0.01</v>
      </c>
      <c r="N974" s="188">
        <f>IFERROR(__xludf.DUMMYFUNCTION("""COMPUTED_VALUE"""),0.0)</f>
        <v>0</v>
      </c>
      <c r="O974" s="208"/>
      <c r="P974" s="208"/>
      <c r="Q974" s="208"/>
      <c r="R974" s="208"/>
    </row>
    <row r="975">
      <c r="A975" s="185" t="str">
        <f>IFERROR(__xludf.DUMMYFUNCTION("""COMPUTED_VALUE"""),"Trade media / editorial publication")</f>
        <v>Trade media / editorial publication</v>
      </c>
      <c r="B975" s="186" t="str">
        <f>IFERROR(__xludf.DUMMYFUNCTION("""COMPUTED_VALUE"""),"https://www.silicon.de/41722409/geo-agentur-vergleich-empfehlungen-beste-15-geo-agenturen-2026/amp")</f>
        <v>https://www.silicon.de/41722409/geo-agentur-vergleich-empfehlungen-beste-15-geo-agenturen-2026/amp</v>
      </c>
      <c r="C975" s="185" t="str">
        <f>IFERROR(__xludf.DUMMYFUNCTION("""COMPUTED_VALUE"""),"GEO Agentur Vergleich: TOP 15 GEO-Agenturen 2026 - silicon.de")</f>
        <v>GEO Agentur Vergleich: TOP 15 GEO-Agenturen 2026 - silicon.de</v>
      </c>
      <c r="D975" s="185" t="str">
        <f>IFERROR(__xludf.DUMMYFUNCTION("""COMPUTED_VALUE"""),"DE")</f>
        <v>DE</v>
      </c>
      <c r="E975" s="185" t="str">
        <f>IFERROR(__xludf.DUMMYFUNCTION("""COMPUTED_VALUE"""),"silicon.de")</f>
        <v>silicon.de</v>
      </c>
      <c r="F975" s="185" t="str">
        <f>IFERROR(__xludf.DUMMYFUNCTION("""COMPUTED_VALUE"""),"Comparison")</f>
        <v>Comparison</v>
      </c>
      <c r="G975" s="185" t="str">
        <f>IFERROR(__xludf.DUMMYFUNCTION("""COMPUTED_VALUE"""),"EDITORIAL")</f>
        <v>EDITORIAL</v>
      </c>
      <c r="H975" s="185" t="str">
        <f>IFERROR(__xludf.DUMMYFUNCTION("""COMPUTED_VALUE"""),"No")</f>
        <v>No</v>
      </c>
      <c r="I975" s="185" t="str">
        <f>IFERROR(__xludf.DUMMYFUNCTION("""COMPUTED_VALUE"""),"Medium")</f>
        <v>Medium</v>
      </c>
      <c r="J975" s="185" t="str">
        <f>IFERROR(__xludf.DUMMYFUNCTION("""COMPUTED_VALUE"""),"Yes")</f>
        <v>Yes</v>
      </c>
      <c r="K975" s="185" t="str">
        <f>IFERROR(__xludf.DUMMYFUNCTION("""COMPUTED_VALUE"""),"Aufgesang, Claneo, Suchhelden, iPullRank, WebFX, Omnius, DREIKON")</f>
        <v>Aufgesang, Claneo, Suchhelden, iPullRank, WebFX, Omnius, DREIKON</v>
      </c>
      <c r="L975" s="187">
        <f>IFERROR(__xludf.DUMMYFUNCTION("""COMPUTED_VALUE"""),9.0)</f>
        <v>9</v>
      </c>
      <c r="M975" s="188">
        <f>IFERROR(__xludf.DUMMYFUNCTION("""COMPUTED_VALUE"""),0.01)</f>
        <v>0.01</v>
      </c>
      <c r="N975" s="188">
        <f>IFERROR(__xludf.DUMMYFUNCTION("""COMPUTED_VALUE"""),0.0)</f>
        <v>0</v>
      </c>
      <c r="O975" s="208"/>
      <c r="P975" s="208"/>
      <c r="Q975" s="208"/>
      <c r="R975" s="208"/>
    </row>
    <row r="976">
      <c r="A976" s="185" t="str">
        <f>IFERROR(__xludf.DUMMYFUNCTION("""COMPUTED_VALUE"""),"Agency directory / review marketplace")</f>
        <v>Agency directory / review marketplace</v>
      </c>
      <c r="B976" s="186" t="str">
        <f>IFERROR(__xludf.DUMMYFUNCTION("""COMPUTED_VALUE"""),"https://www.sortlist.com/display-advertising")</f>
        <v>https://www.sortlist.com/display-advertising</v>
      </c>
      <c r="C976" s="185" t="str">
        <f>IFERROR(__xludf.DUMMYFUNCTION("""COMPUTED_VALUE"""),"The 100 Best Display Advertising Agencies - 2026 Reviews")</f>
        <v>The 100 Best Display Advertising Agencies - 2026 Reviews</v>
      </c>
      <c r="D976" s="185" t="str">
        <f>IFERROR(__xludf.DUMMYFUNCTION("""COMPUTED_VALUE"""),"DE")</f>
        <v>DE</v>
      </c>
      <c r="E976" s="185" t="str">
        <f>IFERROR(__xludf.DUMMYFUNCTION("""COMPUTED_VALUE"""),"sortlist.com")</f>
        <v>sortlist.com</v>
      </c>
      <c r="F976" s="185" t="str">
        <f>IFERROR(__xludf.DUMMYFUNCTION("""COMPUTED_VALUE"""),"Listicle")</f>
        <v>Listicle</v>
      </c>
      <c r="G976" s="185" t="str">
        <f>IFERROR(__xludf.DUMMYFUNCTION("""COMPUTED_VALUE"""),"CORPORATE")</f>
        <v>CORPORATE</v>
      </c>
      <c r="H976" s="185" t="str">
        <f>IFERROR(__xludf.DUMMYFUNCTION("""COMPUTED_VALUE"""),"No")</f>
        <v>No</v>
      </c>
      <c r="I976" s="185" t="str">
        <f>IFERROR(__xludf.DUMMYFUNCTION("""COMPUTED_VALUE"""),"Medium")</f>
        <v>Medium</v>
      </c>
      <c r="J976" s="185" t="str">
        <f>IFERROR(__xludf.DUMMYFUNCTION("""COMPUTED_VALUE"""),"Yes")</f>
        <v>Yes</v>
      </c>
      <c r="K976" s="185" t="str">
        <f>IFERROR(__xludf.DUMMYFUNCTION("""COMPUTED_VALUE"""),"MONSOON")</f>
        <v>MONSOON</v>
      </c>
      <c r="L976" s="187">
        <f>IFERROR(__xludf.DUMMYFUNCTION("""COMPUTED_VALUE"""),9.0)</f>
        <v>9</v>
      </c>
      <c r="M976" s="188">
        <f>IFERROR(__xludf.DUMMYFUNCTION("""COMPUTED_VALUE"""),0.01)</f>
        <v>0.01</v>
      </c>
      <c r="N976" s="188">
        <f>IFERROR(__xludf.DUMMYFUNCTION("""COMPUTED_VALUE"""),0.0)</f>
        <v>0</v>
      </c>
      <c r="O976" s="208"/>
      <c r="P976" s="208"/>
      <c r="Q976" s="208"/>
      <c r="R976" s="208"/>
    </row>
    <row r="977">
      <c r="A977" s="185" t="str">
        <f>IFERROR(__xludf.DUMMYFUNCTION("""COMPUTED_VALUE"""),"Agency directory / review marketplace")</f>
        <v>Agency directory / review marketplace</v>
      </c>
      <c r="B977" s="186" t="str">
        <f>IFERROR(__xludf.DUMMYFUNCTION("""COMPUTED_VALUE"""),"https://www.sortlist.com/s/marketing-automation/germany-de")</f>
        <v>https://www.sortlist.com/s/marketing-automation/germany-de</v>
      </c>
      <c r="C977" s="185" t="str">
        <f>IFERROR(__xludf.DUMMYFUNCTION("""COMPUTED_VALUE"""),"The 10 Best Marketing Automation Agencies in Germany - 2026 Reviews")</f>
        <v>The 10 Best Marketing Automation Agencies in Germany - 2026 Reviews</v>
      </c>
      <c r="D977" s="185" t="str">
        <f>IFERROR(__xludf.DUMMYFUNCTION("""COMPUTED_VALUE"""),"DE")</f>
        <v>DE</v>
      </c>
      <c r="E977" s="185" t="str">
        <f>IFERROR(__xludf.DUMMYFUNCTION("""COMPUTED_VALUE"""),"sortlist.com")</f>
        <v>sortlist.com</v>
      </c>
      <c r="F977" s="185" t="str">
        <f>IFERROR(__xludf.DUMMYFUNCTION("""COMPUTED_VALUE"""),"Category Page")</f>
        <v>Category Page</v>
      </c>
      <c r="G977" s="185" t="str">
        <f>IFERROR(__xludf.DUMMYFUNCTION("""COMPUTED_VALUE"""),"CORPORATE")</f>
        <v>CORPORATE</v>
      </c>
      <c r="H977" s="185" t="str">
        <f>IFERROR(__xludf.DUMMYFUNCTION("""COMPUTED_VALUE"""),"No")</f>
        <v>No</v>
      </c>
      <c r="I977" s="185" t="str">
        <f>IFERROR(__xludf.DUMMYFUNCTION("""COMPUTED_VALUE"""),"Medium")</f>
        <v>Medium</v>
      </c>
      <c r="J977" s="185" t="str">
        <f>IFERROR(__xludf.DUMMYFUNCTION("""COMPUTED_VALUE"""),"Yes")</f>
        <v>Yes</v>
      </c>
      <c r="K977" s="185" t="str">
        <f>IFERROR(__xludf.DUMMYFUNCTION("""COMPUTED_VALUE"""),"MONSOON, Measured")</f>
        <v>MONSOON, Measured</v>
      </c>
      <c r="L977" s="187">
        <f>IFERROR(__xludf.DUMMYFUNCTION("""COMPUTED_VALUE"""),9.0)</f>
        <v>9</v>
      </c>
      <c r="M977" s="188">
        <f>IFERROR(__xludf.DUMMYFUNCTION("""COMPUTED_VALUE"""),0.01)</f>
        <v>0.01</v>
      </c>
      <c r="N977" s="188">
        <f>IFERROR(__xludf.DUMMYFUNCTION("""COMPUTED_VALUE"""),0.44)</f>
        <v>0.44</v>
      </c>
      <c r="O977" s="208"/>
      <c r="P977" s="208"/>
      <c r="Q977" s="208"/>
      <c r="R977" s="208"/>
    </row>
    <row r="978">
      <c r="A978" s="185" t="str">
        <f>IFERROR(__xludf.DUMMYFUNCTION("""COMPUTED_VALUE"""),"Agency directory / review marketplace")</f>
        <v>Agency directory / review marketplace</v>
      </c>
      <c r="B978" s="186" t="str">
        <f>IFERROR(__xludf.DUMMYFUNCTION("""COMPUTED_VALUE"""),"https://clutch.co/de/agencies/ppc/advertising-industry?page=2")</f>
        <v>https://clutch.co/de/agencies/ppc/advertising-industry?page=2</v>
      </c>
      <c r="C978" s="185" t="str">
        <f>IFERROR(__xludf.DUMMYFUNCTION("""COMPUTED_VALUE"""),"Page 2 - Top PPC Agencies for Ad Agencies in Germany - Jul 2026 Rankings \| Clutch.co")</f>
        <v>Page 2 - Top PPC Agencies for Ad Agencies in Germany - Jul 2026 Rankings \| Clutch.co</v>
      </c>
      <c r="D978" s="185" t="str">
        <f>IFERROR(__xludf.DUMMYFUNCTION("""COMPUTED_VALUE"""),"DE")</f>
        <v>DE</v>
      </c>
      <c r="E978" s="185" t="str">
        <f>IFERROR(__xludf.DUMMYFUNCTION("""COMPUTED_VALUE"""),"clutch.co")</f>
        <v>clutch.co</v>
      </c>
      <c r="F978" s="185" t="str">
        <f>IFERROR(__xludf.DUMMYFUNCTION("""COMPUTED_VALUE"""),"Category Page")</f>
        <v>Category Page</v>
      </c>
      <c r="G978" s="185" t="str">
        <f>IFERROR(__xludf.DUMMYFUNCTION("""COMPUTED_VALUE"""),"CORPORATE")</f>
        <v>CORPORATE</v>
      </c>
      <c r="H978" s="185" t="str">
        <f>IFERROR(__xludf.DUMMYFUNCTION("""COMPUTED_VALUE"""),"No")</f>
        <v>No</v>
      </c>
      <c r="I978" s="185" t="str">
        <f>IFERROR(__xludf.DUMMYFUNCTION("""COMPUTED_VALUE"""),"Medium")</f>
        <v>Medium</v>
      </c>
      <c r="J978" s="185" t="str">
        <f>IFERROR(__xludf.DUMMYFUNCTION("""COMPUTED_VALUE"""),"Yes")</f>
        <v>Yes</v>
      </c>
      <c r="K978" s="185" t="str">
        <f>IFERROR(__xludf.DUMMYFUNCTION("""COMPUTED_VALUE"""),"Mediacharge, Medialabel")</f>
        <v>Mediacharge, Medialabel</v>
      </c>
      <c r="L978" s="187">
        <f>IFERROR(__xludf.DUMMYFUNCTION("""COMPUTED_VALUE"""),8.0)</f>
        <v>8</v>
      </c>
      <c r="M978" s="188">
        <f>IFERROR(__xludf.DUMMYFUNCTION("""COMPUTED_VALUE"""),0.01)</f>
        <v>0.01</v>
      </c>
      <c r="N978" s="188">
        <f>IFERROR(__xludf.DUMMYFUNCTION("""COMPUTED_VALUE"""),0.0)</f>
        <v>0</v>
      </c>
      <c r="O978" s="208"/>
      <c r="P978" s="208"/>
      <c r="Q978" s="208"/>
      <c r="R978" s="208"/>
    </row>
    <row r="979">
      <c r="A979" s="185" t="str">
        <f>IFERROR(__xludf.DUMMYFUNCTION("""COMPUTED_VALUE"""),"Agency directory / review marketplace")</f>
        <v>Agency directory / review marketplace</v>
      </c>
      <c r="B979" s="186" t="str">
        <f>IFERROR(__xludf.DUMMYFUNCTION("""COMPUTED_VALUE"""),"https://www.designrush.com/agency/social-media-marketing/de")</f>
        <v>https://www.designrush.com/agency/social-media-marketing/de</v>
      </c>
      <c r="C979" s="185" t="str">
        <f>IFERROR(__xludf.DUMMYFUNCTION("""COMPUTED_VALUE"""),"Top Social Media Marketing Agencies in Germany | 2026")</f>
        <v>Top Social Media Marketing Agencies in Germany | 2026</v>
      </c>
      <c r="D979" s="185" t="str">
        <f>IFERROR(__xludf.DUMMYFUNCTION("""COMPUTED_VALUE"""),"DE")</f>
        <v>DE</v>
      </c>
      <c r="E979" s="185" t="str">
        <f>IFERROR(__xludf.DUMMYFUNCTION("""COMPUTED_VALUE"""),"designrush.com")</f>
        <v>designrush.com</v>
      </c>
      <c r="F979" s="185" t="str">
        <f>IFERROR(__xludf.DUMMYFUNCTION("""COMPUTED_VALUE"""),"Category Page")</f>
        <v>Category Page</v>
      </c>
      <c r="G979" s="185" t="str">
        <f>IFERROR(__xludf.DUMMYFUNCTION("""COMPUTED_VALUE"""),"CORPORATE")</f>
        <v>CORPORATE</v>
      </c>
      <c r="H979" s="185" t="str">
        <f>IFERROR(__xludf.DUMMYFUNCTION("""COMPUTED_VALUE"""),"No")</f>
        <v>No</v>
      </c>
      <c r="I979" s="185" t="str">
        <f>IFERROR(__xludf.DUMMYFUNCTION("""COMPUTED_VALUE"""),"Medium")</f>
        <v>Medium</v>
      </c>
      <c r="J979" s="185" t="str">
        <f>IFERROR(__xludf.DUMMYFUNCTION("""COMPUTED_VALUE"""),"Yes")</f>
        <v>Yes</v>
      </c>
      <c r="K979" s="185" t="str">
        <f>IFERROR(__xludf.DUMMYFUNCTION("""COMPUTED_VALUE"""),"MONSOON, REPLUG, Pulse Advertising, PANORAMA3000")</f>
        <v>MONSOON, REPLUG, Pulse Advertising, PANORAMA3000</v>
      </c>
      <c r="L979" s="187">
        <f>IFERROR(__xludf.DUMMYFUNCTION("""COMPUTED_VALUE"""),8.0)</f>
        <v>8</v>
      </c>
      <c r="M979" s="188">
        <f>IFERROR(__xludf.DUMMYFUNCTION("""COMPUTED_VALUE"""),0.01)</f>
        <v>0.01</v>
      </c>
      <c r="N979" s="188">
        <f>IFERROR(__xludf.DUMMYFUNCTION("""COMPUTED_VALUE"""),0.25)</f>
        <v>0.25</v>
      </c>
      <c r="O979" s="208"/>
      <c r="P979" s="208"/>
      <c r="Q979" s="208"/>
      <c r="R979" s="208"/>
    </row>
    <row r="980">
      <c r="A980" s="185" t="str">
        <f>IFERROR(__xludf.DUMMYFUNCTION("""COMPUTED_VALUE"""),"Agency directory / review marketplace")</f>
        <v>Agency directory / review marketplace</v>
      </c>
      <c r="B980" s="186" t="str">
        <f>IFERROR(__xludf.DUMMYFUNCTION("""COMPUTED_VALUE"""),"https://feedbax.ai/creative-agencies/germany")</f>
        <v>https://feedbax.ai/creative-agencies/germany</v>
      </c>
      <c r="C980" s="185" t="str">
        <f>IFERROR(__xludf.DUMMYFUNCTION("""COMPUTED_VALUE"""),"Top 20 Creative Agencies in Germany - 2026 Reviews")</f>
        <v>Top 20 Creative Agencies in Germany - 2026 Reviews</v>
      </c>
      <c r="D980" s="185" t="str">
        <f>IFERROR(__xludf.DUMMYFUNCTION("""COMPUTED_VALUE"""),"DE")</f>
        <v>DE</v>
      </c>
      <c r="E980" s="185" t="str">
        <f>IFERROR(__xludf.DUMMYFUNCTION("""COMPUTED_VALUE"""),"feedbax.ai")</f>
        <v>feedbax.ai</v>
      </c>
      <c r="F980" s="185" t="str">
        <f>IFERROR(__xludf.DUMMYFUNCTION("""COMPUTED_VALUE"""),"Profile")</f>
        <v>Profile</v>
      </c>
      <c r="G980" s="185" t="str">
        <f>IFERROR(__xludf.DUMMYFUNCTION("""COMPUTED_VALUE"""),"UGC")</f>
        <v>UGC</v>
      </c>
      <c r="H980" s="185" t="str">
        <f>IFERROR(__xludf.DUMMYFUNCTION("""COMPUTED_VALUE"""),"No")</f>
        <v>No</v>
      </c>
      <c r="I980" s="185" t="str">
        <f>IFERROR(__xludf.DUMMYFUNCTION("""COMPUTED_VALUE"""),"Medium")</f>
        <v>Medium</v>
      </c>
      <c r="J980" s="185" t="str">
        <f>IFERROR(__xludf.DUMMYFUNCTION("""COMPUTED_VALUE"""),"Yes")</f>
        <v>Yes</v>
      </c>
      <c r="K980" s="185" t="str">
        <f>IFERROR(__xludf.DUMMYFUNCTION("""COMPUTED_VALUE"""),"PANORAMA3000, Mediacharge, Smarketer, KlickPiloten, DREIKON")</f>
        <v>PANORAMA3000, Mediacharge, Smarketer, KlickPiloten, DREIKON</v>
      </c>
      <c r="L980" s="187">
        <f>IFERROR(__xludf.DUMMYFUNCTION("""COMPUTED_VALUE"""),8.0)</f>
        <v>8</v>
      </c>
      <c r="M980" s="188">
        <f>IFERROR(__xludf.DUMMYFUNCTION("""COMPUTED_VALUE"""),0.01)</f>
        <v>0.01</v>
      </c>
      <c r="N980" s="188">
        <f>IFERROR(__xludf.DUMMYFUNCTION("""COMPUTED_VALUE"""),0.0)</f>
        <v>0</v>
      </c>
      <c r="O980" s="208"/>
      <c r="P980" s="208"/>
      <c r="Q980" s="208"/>
      <c r="R980" s="208"/>
    </row>
    <row r="981">
      <c r="A981" s="185" t="str">
        <f>IFERROR(__xludf.DUMMYFUNCTION("""COMPUTED_VALUE"""),"Trade media / editorial publication")</f>
        <v>Trade media / editorial publication</v>
      </c>
      <c r="B981" s="186" t="str">
        <f>IFERROR(__xludf.DUMMYFUNCTION("""COMPUTED_VALUE"""),"https://www.ibusiness.de/performance-ranking/performance_2023.html?sub=2")</f>
        <v>https://www.ibusiness.de/performance-ranking/performance_2023.html?sub=2</v>
      </c>
      <c r="C981" s="185" t="str">
        <f>IFERROR(__xludf.DUMMYFUNCTION("""COMPUTED_VALUE"""),"Das Ranking der gr��ten deutschen Performance-Marketing-Agenturen")</f>
        <v>Das Ranking der gr��ten deutschen Performance-Marketing-Agenturen</v>
      </c>
      <c r="D981" s="185" t="str">
        <f>IFERROR(__xludf.DUMMYFUNCTION("""COMPUTED_VALUE"""),"DE")</f>
        <v>DE</v>
      </c>
      <c r="E981" s="185" t="str">
        <f>IFERROR(__xludf.DUMMYFUNCTION("""COMPUTED_VALUE"""),"ibusiness.de")</f>
        <v>ibusiness.de</v>
      </c>
      <c r="F981" s="185" t="str">
        <f>IFERROR(__xludf.DUMMYFUNCTION("""COMPUTED_VALUE"""),"Profile")</f>
        <v>Profile</v>
      </c>
      <c r="G981" s="185" t="str">
        <f>IFERROR(__xludf.DUMMYFUNCTION("""COMPUTED_VALUE"""),"EDITORIAL")</f>
        <v>EDITORIAL</v>
      </c>
      <c r="H981" s="185" t="str">
        <f>IFERROR(__xludf.DUMMYFUNCTION("""COMPUTED_VALUE"""),"No")</f>
        <v>No</v>
      </c>
      <c r="I981" s="185" t="str">
        <f>IFERROR(__xludf.DUMMYFUNCTION("""COMPUTED_VALUE"""),"Medium")</f>
        <v>Medium</v>
      </c>
      <c r="J981" s="185" t="str">
        <f>IFERROR(__xludf.DUMMYFUNCTION("""COMPUTED_VALUE"""),"Yes")</f>
        <v>Yes</v>
      </c>
      <c r="K981" s="185" t="str">
        <f>IFERROR(__xludf.DUMMYFUNCTION("""COMPUTED_VALUE"""),"Serviceplan Group, e-dialog, 42DIGITAL")</f>
        <v>Serviceplan Group, e-dialog, 42DIGITAL</v>
      </c>
      <c r="L981" s="187">
        <f>IFERROR(__xludf.DUMMYFUNCTION("""COMPUTED_VALUE"""),8.0)</f>
        <v>8</v>
      </c>
      <c r="M981" s="188">
        <f>IFERROR(__xludf.DUMMYFUNCTION("""COMPUTED_VALUE"""),0.01)</f>
        <v>0.01</v>
      </c>
      <c r="N981" s="188">
        <f>IFERROR(__xludf.DUMMYFUNCTION("""COMPUTED_VALUE"""),0.0)</f>
        <v>0</v>
      </c>
      <c r="O981" s="208"/>
      <c r="P981" s="208"/>
      <c r="Q981" s="208"/>
      <c r="R981" s="208"/>
    </row>
    <row r="982">
      <c r="A982" s="185" t="str">
        <f>IFERROR(__xludf.DUMMYFUNCTION("""COMPUTED_VALUE"""),"Trade media / editorial publication")</f>
        <v>Trade media / editorial publication</v>
      </c>
      <c r="B982" s="186" t="str">
        <f>IFERROR(__xludf.DUMMYFUNCTION("""COMPUTED_VALUE"""),"https://www.onetoone.de/performance-ranking/performance_2024.html?sub=2")</f>
        <v>https://www.onetoone.de/performance-ranking/performance_2024.html?sub=2</v>
      </c>
      <c r="C982" s="185" t="str">
        <f>IFERROR(__xludf.DUMMYFUNCTION("""COMPUTED_VALUE"""),"Performance-Agentur-Ranking")</f>
        <v>Performance-Agentur-Ranking</v>
      </c>
      <c r="D982" s="185" t="str">
        <f>IFERROR(__xludf.DUMMYFUNCTION("""COMPUTED_VALUE"""),"DE")</f>
        <v>DE</v>
      </c>
      <c r="E982" s="185" t="str">
        <f>IFERROR(__xludf.DUMMYFUNCTION("""COMPUTED_VALUE"""),"onetoone.de")</f>
        <v>onetoone.de</v>
      </c>
      <c r="F982" s="185" t="str">
        <f>IFERROR(__xludf.DUMMYFUNCTION("""COMPUTED_VALUE"""),"Other")</f>
        <v>Other</v>
      </c>
      <c r="G982" s="185" t="str">
        <f>IFERROR(__xludf.DUMMYFUNCTION("""COMPUTED_VALUE"""),"OTHER")</f>
        <v>OTHER</v>
      </c>
      <c r="H982" s="185" t="str">
        <f>IFERROR(__xludf.DUMMYFUNCTION("""COMPUTED_VALUE"""),"No")</f>
        <v>No</v>
      </c>
      <c r="I982" s="185" t="str">
        <f>IFERROR(__xludf.DUMMYFUNCTION("""COMPUTED_VALUE"""),"Medium")</f>
        <v>Medium</v>
      </c>
      <c r="J982" s="185" t="str">
        <f>IFERROR(__xludf.DUMMYFUNCTION("""COMPUTED_VALUE"""),"Yes")</f>
        <v>Yes</v>
      </c>
      <c r="K982" s="185" t="str">
        <f>IFERROR(__xludf.DUMMYFUNCTION("""COMPUTED_VALUE"""),"iProspect, e-dialog, 42DIGITAL, Aufgesang")</f>
        <v>iProspect, e-dialog, 42DIGITAL, Aufgesang</v>
      </c>
      <c r="L982" s="187">
        <f>IFERROR(__xludf.DUMMYFUNCTION("""COMPUTED_VALUE"""),8.0)</f>
        <v>8</v>
      </c>
      <c r="M982" s="188">
        <f>IFERROR(__xludf.DUMMYFUNCTION("""COMPUTED_VALUE"""),0.01)</f>
        <v>0.01</v>
      </c>
      <c r="N982" s="188">
        <f>IFERROR(__xludf.DUMMYFUNCTION("""COMPUTED_VALUE"""),0.0)</f>
        <v>0</v>
      </c>
      <c r="O982" s="208"/>
      <c r="P982" s="208"/>
      <c r="Q982" s="208"/>
      <c r="R982" s="208"/>
    </row>
    <row r="983">
      <c r="A983" s="185" t="str">
        <f>IFERROR(__xludf.DUMMYFUNCTION("""COMPUTED_VALUE"""),"Trade media / editorial publication")</f>
        <v>Trade media / editorial publication</v>
      </c>
      <c r="B983" s="186" t="str">
        <f>IFERROR(__xludf.DUMMYFUNCTION("""COMPUTED_VALUE"""),"https://www.onetoone.de/performance-ranking/performance_2024.html?sub=5")</f>
        <v>https://www.onetoone.de/performance-ranking/performance_2024.html?sub=5</v>
      </c>
      <c r="C983" s="185" t="str">
        <f>IFERROR(__xludf.DUMMYFUNCTION("""COMPUTED_VALUE"""),"Performance-Agentur-Ranking")</f>
        <v>Performance-Agentur-Ranking</v>
      </c>
      <c r="D983" s="185" t="str">
        <f>IFERROR(__xludf.DUMMYFUNCTION("""COMPUTED_VALUE"""),"DE")</f>
        <v>DE</v>
      </c>
      <c r="E983" s="185" t="str">
        <f>IFERROR(__xludf.DUMMYFUNCTION("""COMPUTED_VALUE"""),"onetoone.de")</f>
        <v>onetoone.de</v>
      </c>
      <c r="F983" s="185" t="str">
        <f>IFERROR(__xludf.DUMMYFUNCTION("""COMPUTED_VALUE"""),"Other")</f>
        <v>Other</v>
      </c>
      <c r="G983" s="185" t="str">
        <f>IFERROR(__xludf.DUMMYFUNCTION("""COMPUTED_VALUE"""),"OTHER")</f>
        <v>OTHER</v>
      </c>
      <c r="H983" s="185" t="str">
        <f>IFERROR(__xludf.DUMMYFUNCTION("""COMPUTED_VALUE"""),"No")</f>
        <v>No</v>
      </c>
      <c r="I983" s="185" t="str">
        <f>IFERROR(__xludf.DUMMYFUNCTION("""COMPUTED_VALUE"""),"Medium")</f>
        <v>Medium</v>
      </c>
      <c r="J983" s="185" t="str">
        <f>IFERROR(__xludf.DUMMYFUNCTION("""COMPUTED_VALUE"""),"Yes")</f>
        <v>Yes</v>
      </c>
      <c r="K983" s="185" t="str">
        <f>IFERROR(__xludf.DUMMYFUNCTION("""COMPUTED_VALUE"""),"morefire, 42DIGITAL, Aufgesang")</f>
        <v>morefire, 42DIGITAL, Aufgesang</v>
      </c>
      <c r="L983" s="187">
        <f>IFERROR(__xludf.DUMMYFUNCTION("""COMPUTED_VALUE"""),8.0)</f>
        <v>8</v>
      </c>
      <c r="M983" s="188">
        <f>IFERROR(__xludf.DUMMYFUNCTION("""COMPUTED_VALUE"""),0.01)</f>
        <v>0.01</v>
      </c>
      <c r="N983" s="188">
        <f>IFERROR(__xludf.DUMMYFUNCTION("""COMPUTED_VALUE"""),0.0)</f>
        <v>0</v>
      </c>
      <c r="O983" s="208"/>
      <c r="P983" s="208"/>
      <c r="Q983" s="208"/>
      <c r="R983" s="208"/>
    </row>
    <row r="984">
      <c r="A984" s="185" t="str">
        <f>IFERROR(__xludf.DUMMYFUNCTION("""COMPUTED_VALUE"""),"Agency directory / review marketplace")</f>
        <v>Agency directory / review marketplace</v>
      </c>
      <c r="B984" s="186" t="str">
        <f>IFERROR(__xludf.DUMMYFUNCTION("""COMPUTED_VALUE"""),"https://www.sortlist.com/i/web-analytics/germany-de")</f>
        <v>https://www.sortlist.com/i/web-analytics/germany-de</v>
      </c>
      <c r="C984" s="185" t="str">
        <f>IFERROR(__xludf.DUMMYFUNCTION("""COMPUTED_VALUE"""),"The 10 Best Web Analytics Agencies in Germany - 2026 Reviews")</f>
        <v>The 10 Best Web Analytics Agencies in Germany - 2026 Reviews</v>
      </c>
      <c r="D984" s="185" t="str">
        <f>IFERROR(__xludf.DUMMYFUNCTION("""COMPUTED_VALUE"""),"DE")</f>
        <v>DE</v>
      </c>
      <c r="E984" s="185" t="str">
        <f>IFERROR(__xludf.DUMMYFUNCTION("""COMPUTED_VALUE"""),"sortlist.com")</f>
        <v>sortlist.com</v>
      </c>
      <c r="F984" s="185" t="str">
        <f>IFERROR(__xludf.DUMMYFUNCTION("""COMPUTED_VALUE"""),"Profile")</f>
        <v>Profile</v>
      </c>
      <c r="G984" s="185" t="str">
        <f>IFERROR(__xludf.DUMMYFUNCTION("""COMPUTED_VALUE"""),"CORPORATE")</f>
        <v>CORPORATE</v>
      </c>
      <c r="H984" s="185" t="str">
        <f>IFERROR(__xludf.DUMMYFUNCTION("""COMPUTED_VALUE"""),"No")</f>
        <v>No</v>
      </c>
      <c r="I984" s="185" t="str">
        <f>IFERROR(__xludf.DUMMYFUNCTION("""COMPUTED_VALUE"""),"Medium")</f>
        <v>Medium</v>
      </c>
      <c r="J984" s="185" t="str">
        <f>IFERROR(__xludf.DUMMYFUNCTION("""COMPUTED_VALUE"""),"Yes")</f>
        <v>Yes</v>
      </c>
      <c r="K984" s="185" t="str">
        <f>IFERROR(__xludf.DUMMYFUNCTION("""COMPUTED_VALUE"""),"KlickPiloten, Baseplus DIGITAL MEDIA GmbH")</f>
        <v>KlickPiloten, Baseplus DIGITAL MEDIA GmbH</v>
      </c>
      <c r="L984" s="187">
        <f>IFERROR(__xludf.DUMMYFUNCTION("""COMPUTED_VALUE"""),8.0)</f>
        <v>8</v>
      </c>
      <c r="M984" s="188">
        <f>IFERROR(__xludf.DUMMYFUNCTION("""COMPUTED_VALUE"""),0.01)</f>
        <v>0.01</v>
      </c>
      <c r="N984" s="188">
        <f>IFERROR(__xludf.DUMMYFUNCTION("""COMPUTED_VALUE"""),0.25)</f>
        <v>0.25</v>
      </c>
      <c r="O984" s="208"/>
      <c r="P984" s="208"/>
      <c r="Q984" s="208"/>
      <c r="R984" s="208"/>
    </row>
    <row r="985">
      <c r="A985" s="185" t="str">
        <f>IFERROR(__xludf.DUMMYFUNCTION("""COMPUTED_VALUE"""),"Agency directory / review marketplace")</f>
        <v>Agency directory / review marketplace</v>
      </c>
      <c r="B985" s="186" t="str">
        <f>IFERROR(__xludf.DUMMYFUNCTION("""COMPUTED_VALUE"""),"https://www.sortlist.com/s/international-marketing/germany-de")</f>
        <v>https://www.sortlist.com/s/international-marketing/germany-de</v>
      </c>
      <c r="C985" s="185" t="str">
        <f>IFERROR(__xludf.DUMMYFUNCTION("""COMPUTED_VALUE"""),"The 10 Best International Marketing Agencies in Germany - 2026 Reviews")</f>
        <v>The 10 Best International Marketing Agencies in Germany - 2026 Reviews</v>
      </c>
      <c r="D985" s="185" t="str">
        <f>IFERROR(__xludf.DUMMYFUNCTION("""COMPUTED_VALUE"""),"DE")</f>
        <v>DE</v>
      </c>
      <c r="E985" s="185" t="str">
        <f>IFERROR(__xludf.DUMMYFUNCTION("""COMPUTED_VALUE"""),"sortlist.com")</f>
        <v>sortlist.com</v>
      </c>
      <c r="F985" s="185" t="str">
        <f>IFERROR(__xludf.DUMMYFUNCTION("""COMPUTED_VALUE"""),"Category Page")</f>
        <v>Category Page</v>
      </c>
      <c r="G985" s="185" t="str">
        <f>IFERROR(__xludf.DUMMYFUNCTION("""COMPUTED_VALUE"""),"CORPORATE")</f>
        <v>CORPORATE</v>
      </c>
      <c r="H985" s="185" t="str">
        <f>IFERROR(__xludf.DUMMYFUNCTION("""COMPUTED_VALUE"""),"No")</f>
        <v>No</v>
      </c>
      <c r="I985" s="185" t="str">
        <f>IFERROR(__xludf.DUMMYFUNCTION("""COMPUTED_VALUE"""),"Medium")</f>
        <v>Medium</v>
      </c>
      <c r="J985" s="185" t="str">
        <f>IFERROR(__xludf.DUMMYFUNCTION("""COMPUTED_VALUE"""),"Yes")</f>
        <v>Yes</v>
      </c>
      <c r="K985" s="185" t="str">
        <f>IFERROR(__xludf.DUMMYFUNCTION("""COMPUTED_VALUE"""),"MONSOON, Measured")</f>
        <v>MONSOON, Measured</v>
      </c>
      <c r="L985" s="187">
        <f>IFERROR(__xludf.DUMMYFUNCTION("""COMPUTED_VALUE"""),8.0)</f>
        <v>8</v>
      </c>
      <c r="M985" s="188">
        <f>IFERROR(__xludf.DUMMYFUNCTION("""COMPUTED_VALUE"""),0.01)</f>
        <v>0.01</v>
      </c>
      <c r="N985" s="188">
        <f>IFERROR(__xludf.DUMMYFUNCTION("""COMPUTED_VALUE"""),0.38)</f>
        <v>0.38</v>
      </c>
      <c r="O985" s="208"/>
      <c r="P985" s="208"/>
      <c r="Q985" s="208"/>
      <c r="R985" s="208"/>
    </row>
    <row r="986">
      <c r="A986" s="185" t="str">
        <f>IFERROR(__xludf.DUMMYFUNCTION("""COMPUTED_VALUE"""),"Agency directory / review marketplace")</f>
        <v>Agency directory / review marketplace</v>
      </c>
      <c r="B986" s="186" t="str">
        <f>IFERROR(__xludf.DUMMYFUNCTION("""COMPUTED_VALUE"""),"https://www.sortlist.com/s/marketing-analytics/frankfurt-he-de")</f>
        <v>https://www.sortlist.com/s/marketing-analytics/frankfurt-he-de</v>
      </c>
      <c r="C986" s="185" t="str">
        <f>IFERROR(__xludf.DUMMYFUNCTION("""COMPUTED_VALUE"""),"The 10 Best Marketing Analytics Companies in Germany - 2026 Reviews")</f>
        <v>The 10 Best Marketing Analytics Companies in Germany - 2026 Reviews</v>
      </c>
      <c r="D986" s="185" t="str">
        <f>IFERROR(__xludf.DUMMYFUNCTION("""COMPUTED_VALUE"""),"DE")</f>
        <v>DE</v>
      </c>
      <c r="E986" s="185" t="str">
        <f>IFERROR(__xludf.DUMMYFUNCTION("""COMPUTED_VALUE"""),"sortlist.com")</f>
        <v>sortlist.com</v>
      </c>
      <c r="F986" s="185" t="str">
        <f>IFERROR(__xludf.DUMMYFUNCTION("""COMPUTED_VALUE"""),"Category Page")</f>
        <v>Category Page</v>
      </c>
      <c r="G986" s="185" t="str">
        <f>IFERROR(__xludf.DUMMYFUNCTION("""COMPUTED_VALUE"""),"CORPORATE")</f>
        <v>CORPORATE</v>
      </c>
      <c r="H986" s="185" t="str">
        <f>IFERROR(__xludf.DUMMYFUNCTION("""COMPUTED_VALUE"""),"No")</f>
        <v>No</v>
      </c>
      <c r="I986" s="185" t="str">
        <f>IFERROR(__xludf.DUMMYFUNCTION("""COMPUTED_VALUE"""),"Medium")</f>
        <v>Medium</v>
      </c>
      <c r="J986" s="185" t="str">
        <f>IFERROR(__xludf.DUMMYFUNCTION("""COMPUTED_VALUE"""),"Yes")</f>
        <v>Yes</v>
      </c>
      <c r="K986" s="185" t="str">
        <f>IFERROR(__xludf.DUMMYFUNCTION("""COMPUTED_VALUE"""),"Digital Masters GmbH, lehof, MONSOON, Measured")</f>
        <v>Digital Masters GmbH, lehof, MONSOON, Measured</v>
      </c>
      <c r="L986" s="187">
        <f>IFERROR(__xludf.DUMMYFUNCTION("""COMPUTED_VALUE"""),8.0)</f>
        <v>8</v>
      </c>
      <c r="M986" s="188">
        <f>IFERROR(__xludf.DUMMYFUNCTION("""COMPUTED_VALUE"""),0.01)</f>
        <v>0.01</v>
      </c>
      <c r="N986" s="188">
        <f>IFERROR(__xludf.DUMMYFUNCTION("""COMPUTED_VALUE"""),0.5)</f>
        <v>0.5</v>
      </c>
      <c r="O986" s="208"/>
      <c r="P986" s="208"/>
      <c r="Q986" s="208"/>
      <c r="R986" s="208"/>
    </row>
    <row r="987">
      <c r="A987" s="185" t="str">
        <f>IFERROR(__xludf.DUMMYFUNCTION("""COMPUTED_VALUE"""),"Agency directory / review marketplace")</f>
        <v>Agency directory / review marketplace</v>
      </c>
      <c r="B987" s="186" t="str">
        <f>IFERROR(__xludf.DUMMYFUNCTION("""COMPUTED_VALUE"""),"https://www.sortlist.com/s/sm-analytics/germany-de")</f>
        <v>https://www.sortlist.com/s/sm-analytics/germany-de</v>
      </c>
      <c r="C987" s="185" t="str">
        <f>IFERROR(__xludf.DUMMYFUNCTION("""COMPUTED_VALUE"""),"The 10 Best SM Analytics Consultants in Germany - 2026 Reviews")</f>
        <v>The 10 Best SM Analytics Consultants in Germany - 2026 Reviews</v>
      </c>
      <c r="D987" s="185" t="str">
        <f>IFERROR(__xludf.DUMMYFUNCTION("""COMPUTED_VALUE"""),"DE")</f>
        <v>DE</v>
      </c>
      <c r="E987" s="185" t="str">
        <f>IFERROR(__xludf.DUMMYFUNCTION("""COMPUTED_VALUE"""),"sortlist.com")</f>
        <v>sortlist.com</v>
      </c>
      <c r="F987" s="185" t="str">
        <f>IFERROR(__xludf.DUMMYFUNCTION("""COMPUTED_VALUE"""),"Category Page")</f>
        <v>Category Page</v>
      </c>
      <c r="G987" s="185" t="str">
        <f>IFERROR(__xludf.DUMMYFUNCTION("""COMPUTED_VALUE"""),"CORPORATE")</f>
        <v>CORPORATE</v>
      </c>
      <c r="H987" s="185" t="str">
        <f>IFERROR(__xludf.DUMMYFUNCTION("""COMPUTED_VALUE"""),"No")</f>
        <v>No</v>
      </c>
      <c r="I987" s="185" t="str">
        <f>IFERROR(__xludf.DUMMYFUNCTION("""COMPUTED_VALUE"""),"Medium")</f>
        <v>Medium</v>
      </c>
      <c r="J987" s="185" t="str">
        <f>IFERROR(__xludf.DUMMYFUNCTION("""COMPUTED_VALUE"""),"Yes")</f>
        <v>Yes</v>
      </c>
      <c r="K987" s="185" t="str">
        <f>IFERROR(__xludf.DUMMYFUNCTION("""COMPUTED_VALUE"""),"PANORAMA3000, Momentum, ZweiDigital GmbH")</f>
        <v>PANORAMA3000, Momentum, ZweiDigital GmbH</v>
      </c>
      <c r="L987" s="187">
        <f>IFERROR(__xludf.DUMMYFUNCTION("""COMPUTED_VALUE"""),8.0)</f>
        <v>8</v>
      </c>
      <c r="M987" s="188">
        <f>IFERROR(__xludf.DUMMYFUNCTION("""COMPUTED_VALUE"""),0.01)</f>
        <v>0.01</v>
      </c>
      <c r="N987" s="188">
        <f>IFERROR(__xludf.DUMMYFUNCTION("""COMPUTED_VALUE"""),0.0)</f>
        <v>0</v>
      </c>
      <c r="O987" s="208"/>
      <c r="P987" s="208"/>
      <c r="Q987" s="208"/>
      <c r="R987" s="208"/>
    </row>
    <row r="988">
      <c r="A988" s="185" t="str">
        <f>IFERROR(__xludf.DUMMYFUNCTION("""COMPUTED_VALUE"""),"Official partner / certification ecosystem")</f>
        <v>Official partner / certification ecosystem</v>
      </c>
      <c r="B988" s="186" t="str">
        <f>IFERROR(__xludf.DUMMYFUNCTION("""COMPUTED_VALUE"""),"https://support.google.com/analytics/answer/7237700?hl=de")</f>
        <v>https://support.google.com/analytics/answer/7237700?hl=de</v>
      </c>
      <c r="C988" s="185"/>
      <c r="D988" s="185" t="str">
        <f>IFERROR(__xludf.DUMMYFUNCTION("""COMPUTED_VALUE"""),"DE")</f>
        <v>DE</v>
      </c>
      <c r="E988" s="185" t="str">
        <f>IFERROR(__xludf.DUMMYFUNCTION("""COMPUTED_VALUE"""),"google.com")</f>
        <v>google.com</v>
      </c>
      <c r="F988" s="185" t="str">
        <f>IFERROR(__xludf.DUMMYFUNCTION("""COMPUTED_VALUE"""),"Other")</f>
        <v>Other</v>
      </c>
      <c r="G988" s="185" t="str">
        <f>IFERROR(__xludf.DUMMYFUNCTION("""COMPUTED_VALUE"""),"OTHER")</f>
        <v>OTHER</v>
      </c>
      <c r="H988" s="185" t="str">
        <f>IFERROR(__xludf.DUMMYFUNCTION("""COMPUTED_VALUE"""),"No")</f>
        <v>No</v>
      </c>
      <c r="I988" s="185" t="str">
        <f>IFERROR(__xludf.DUMMYFUNCTION("""COMPUTED_VALUE"""),"High")</f>
        <v>High</v>
      </c>
      <c r="J988" s="185" t="str">
        <f>IFERROR(__xludf.DUMMYFUNCTION("""COMPUTED_VALUE"""),"Yes - priority")</f>
        <v>Yes - priority</v>
      </c>
      <c r="K988" s="185" t="str">
        <f>IFERROR(__xludf.DUMMYFUNCTION("""COMPUTED_VALUE"""),"Unknown")</f>
        <v>Unknown</v>
      </c>
      <c r="L988" s="187">
        <f>IFERROR(__xludf.DUMMYFUNCTION("""COMPUTED_VALUE"""),8.0)</f>
        <v>8</v>
      </c>
      <c r="M988" s="188">
        <f>IFERROR(__xludf.DUMMYFUNCTION("""COMPUTED_VALUE"""),0.01)</f>
        <v>0.01</v>
      </c>
      <c r="N988" s="188">
        <f>IFERROR(__xludf.DUMMYFUNCTION("""COMPUTED_VALUE"""),1.5)</f>
        <v>1.5</v>
      </c>
      <c r="O988" s="208"/>
      <c r="P988" s="208"/>
      <c r="Q988" s="208"/>
      <c r="R988" s="208"/>
    </row>
    <row r="989">
      <c r="A989" s="185" t="str">
        <f>IFERROR(__xludf.DUMMYFUNCTION("""COMPUTED_VALUE"""),"Industry data / software authority")</f>
        <v>Industry data / software authority</v>
      </c>
      <c r="B989" s="186" t="str">
        <f>IFERROR(__xludf.DUMMYFUNCTION("""COMPUTED_VALUE"""),"https://agencies.semrush.com/list/display-advertising/germany/mid-business/")</f>
        <v>https://agencies.semrush.com/list/display-advertising/germany/mid-business/</v>
      </c>
      <c r="C989" s="185" t="str">
        <f>IFERROR(__xludf.DUMMYFUNCTION("""COMPUTED_VALUE"""),"Best Display Ads Agencies for Mid Business in Germany 2026 | Semrush")</f>
        <v>Best Display Ads Agencies for Mid Business in Germany 2026 | Semrush</v>
      </c>
      <c r="D989" s="185" t="str">
        <f>IFERROR(__xludf.DUMMYFUNCTION("""COMPUTED_VALUE"""),"DE")</f>
        <v>DE</v>
      </c>
      <c r="E989" s="185" t="str">
        <f>IFERROR(__xludf.DUMMYFUNCTION("""COMPUTED_VALUE"""),"semrush.com")</f>
        <v>semrush.com</v>
      </c>
      <c r="F989" s="185" t="str">
        <f>IFERROR(__xludf.DUMMYFUNCTION("""COMPUTED_VALUE"""),"Other")</f>
        <v>Other</v>
      </c>
      <c r="G989" s="185" t="str">
        <f>IFERROR(__xludf.DUMMYFUNCTION("""COMPUTED_VALUE"""),"CORPORATE")</f>
        <v>CORPORATE</v>
      </c>
      <c r="H989" s="185" t="str">
        <f>IFERROR(__xludf.DUMMYFUNCTION("""COMPUTED_VALUE"""),"No")</f>
        <v>No</v>
      </c>
      <c r="I989" s="185" t="str">
        <f>IFERROR(__xludf.DUMMYFUNCTION("""COMPUTED_VALUE"""),"Medium")</f>
        <v>Medium</v>
      </c>
      <c r="J989" s="185" t="str">
        <f>IFERROR(__xludf.DUMMYFUNCTION("""COMPUTED_VALUE"""),"Yes")</f>
        <v>Yes</v>
      </c>
      <c r="K989" s="185" t="str">
        <f>IFERROR(__xludf.DUMMYFUNCTION("""COMPUTED_VALUE"""),"Baseplus DIGITAL MEDIA GmbH, morefire, Mediaplus Performance, MONSOON, KlickPiloten")</f>
        <v>Baseplus DIGITAL MEDIA GmbH, morefire, Mediaplus Performance, MONSOON, KlickPiloten</v>
      </c>
      <c r="L989" s="187">
        <f>IFERROR(__xludf.DUMMYFUNCTION("""COMPUTED_VALUE"""),7.0)</f>
        <v>7</v>
      </c>
      <c r="M989" s="188">
        <f>IFERROR(__xludf.DUMMYFUNCTION("""COMPUTED_VALUE"""),0.01)</f>
        <v>0.01</v>
      </c>
      <c r="N989" s="188">
        <f>IFERROR(__xludf.DUMMYFUNCTION("""COMPUTED_VALUE"""),1.71)</f>
        <v>1.71</v>
      </c>
      <c r="O989" s="208"/>
      <c r="P989" s="208"/>
      <c r="Q989" s="208"/>
      <c r="R989" s="208"/>
    </row>
    <row r="990">
      <c r="A990" s="185" t="str">
        <f>IFERROR(__xludf.DUMMYFUNCTION("""COMPUTED_VALUE"""),"Industry data / software authority")</f>
        <v>Industry data / software authority</v>
      </c>
      <c r="B990" s="186" t="str">
        <f>IFERROR(__xludf.DUMMYFUNCTION("""COMPUTED_VALUE"""),"https://agencies.semrush.com/list/seo/germany/")</f>
        <v>https://agencies.semrush.com/list/seo/germany/</v>
      </c>
      <c r="C990" s="185" t="str">
        <f>IFERROR(__xludf.DUMMYFUNCTION("""COMPUTED_VALUE"""),"Best SEO Companies in Germany 2026 | Semrush")</f>
        <v>Best SEO Companies in Germany 2026 | Semrush</v>
      </c>
      <c r="D990" s="185" t="str">
        <f>IFERROR(__xludf.DUMMYFUNCTION("""COMPUTED_VALUE"""),"DE")</f>
        <v>DE</v>
      </c>
      <c r="E990" s="185" t="str">
        <f>IFERROR(__xludf.DUMMYFUNCTION("""COMPUTED_VALUE"""),"semrush.com")</f>
        <v>semrush.com</v>
      </c>
      <c r="F990" s="185" t="str">
        <f>IFERROR(__xludf.DUMMYFUNCTION("""COMPUTED_VALUE"""),"Category Page")</f>
        <v>Category Page</v>
      </c>
      <c r="G990" s="185" t="str">
        <f>IFERROR(__xludf.DUMMYFUNCTION("""COMPUTED_VALUE"""),"CORPORATE")</f>
        <v>CORPORATE</v>
      </c>
      <c r="H990" s="185" t="str">
        <f>IFERROR(__xludf.DUMMYFUNCTION("""COMPUTED_VALUE"""),"No")</f>
        <v>No</v>
      </c>
      <c r="I990" s="185" t="str">
        <f>IFERROR(__xludf.DUMMYFUNCTION("""COMPUTED_VALUE"""),"Medium")</f>
        <v>Medium</v>
      </c>
      <c r="J990" s="185" t="str">
        <f>IFERROR(__xludf.DUMMYFUNCTION("""COMPUTED_VALUE"""),"Yes")</f>
        <v>Yes</v>
      </c>
      <c r="K990" s="185" t="str">
        <f>IFERROR(__xludf.DUMMYFUNCTION("""COMPUTED_VALUE"""),"HECHT INS GEFECHT, Baseplus DIGITAL MEDIA GmbH, morefire, Mediaplus Performance, MONSOON, Mediacharge, KlickPiloten")</f>
        <v>HECHT INS GEFECHT, Baseplus DIGITAL MEDIA GmbH, morefire, Mediaplus Performance, MONSOON, Mediacharge, KlickPiloten</v>
      </c>
      <c r="L990" s="187">
        <f>IFERROR(__xludf.DUMMYFUNCTION("""COMPUTED_VALUE"""),7.0)</f>
        <v>7</v>
      </c>
      <c r="M990" s="188">
        <f>IFERROR(__xludf.DUMMYFUNCTION("""COMPUTED_VALUE"""),0.01)</f>
        <v>0.01</v>
      </c>
      <c r="N990" s="188">
        <f>IFERROR(__xludf.DUMMYFUNCTION("""COMPUTED_VALUE"""),0.14)</f>
        <v>0.14</v>
      </c>
      <c r="O990" s="208"/>
      <c r="P990" s="208"/>
      <c r="Q990" s="208"/>
      <c r="R990" s="208"/>
    </row>
    <row r="991">
      <c r="A991" s="185" t="str">
        <f>IFERROR(__xludf.DUMMYFUNCTION("""COMPUTED_VALUE"""),"Agency directory / review marketplace")</f>
        <v>Agency directory / review marketplace</v>
      </c>
      <c r="B991" s="186" t="str">
        <f>IFERROR(__xludf.DUMMYFUNCTION("""COMPUTED_VALUE"""),"https://clutch.co/de/consulting/ai/strategy?page=1")</f>
        <v>https://clutch.co/de/consulting/ai/strategy?page=1</v>
      </c>
      <c r="C991" s="185" t="str">
        <f>IFERROR(__xludf.DUMMYFUNCTION("""COMPUTED_VALUE"""),"Page 2 - Top AI Strategy Companies in Germany - Jul 2026 Rankings \| Clutch.co")</f>
        <v>Page 2 - Top AI Strategy Companies in Germany - Jul 2026 Rankings \| Clutch.co</v>
      </c>
      <c r="D991" s="185" t="str">
        <f>IFERROR(__xludf.DUMMYFUNCTION("""COMPUTED_VALUE"""),"DE")</f>
        <v>DE</v>
      </c>
      <c r="E991" s="185" t="str">
        <f>IFERROR(__xludf.DUMMYFUNCTION("""COMPUTED_VALUE"""),"clutch.co")</f>
        <v>clutch.co</v>
      </c>
      <c r="F991" s="185" t="str">
        <f>IFERROR(__xludf.DUMMYFUNCTION("""COMPUTED_VALUE"""),"Category Page")</f>
        <v>Category Page</v>
      </c>
      <c r="G991" s="185" t="str">
        <f>IFERROR(__xludf.DUMMYFUNCTION("""COMPUTED_VALUE"""),"CORPORATE")</f>
        <v>CORPORATE</v>
      </c>
      <c r="H991" s="185" t="str">
        <f>IFERROR(__xludf.DUMMYFUNCTION("""COMPUTED_VALUE"""),"No")</f>
        <v>No</v>
      </c>
      <c r="I991" s="185" t="str">
        <f>IFERROR(__xludf.DUMMYFUNCTION("""COMPUTED_VALUE"""),"Medium")</f>
        <v>Medium</v>
      </c>
      <c r="J991" s="185" t="str">
        <f>IFERROR(__xludf.DUMMYFUNCTION("""COMPUTED_VALUE"""),"Yes")</f>
        <v>Yes</v>
      </c>
      <c r="K991" s="185"/>
      <c r="L991" s="187">
        <f>IFERROR(__xludf.DUMMYFUNCTION("""COMPUTED_VALUE"""),7.0)</f>
        <v>7</v>
      </c>
      <c r="M991" s="188">
        <f>IFERROR(__xludf.DUMMYFUNCTION("""COMPUTED_VALUE"""),0.01)</f>
        <v>0.01</v>
      </c>
      <c r="N991" s="188">
        <f>IFERROR(__xludf.DUMMYFUNCTION("""COMPUTED_VALUE"""),0.0)</f>
        <v>0</v>
      </c>
      <c r="O991" s="208"/>
      <c r="P991" s="208"/>
      <c r="Q991" s="208"/>
      <c r="R991" s="208"/>
    </row>
    <row r="992">
      <c r="A992" s="185" t="str">
        <f>IFERROR(__xludf.DUMMYFUNCTION("""COMPUTED_VALUE"""),"Agency directory / review marketplace")</f>
        <v>Agency directory / review marketplace</v>
      </c>
      <c r="B992" s="186" t="str">
        <f>IFERROR(__xludf.DUMMYFUNCTION("""COMPUTED_VALUE"""),"https://feedbax.ai/geo-agencies/dach")</f>
        <v>https://feedbax.ai/geo-agencies/dach</v>
      </c>
      <c r="C992" s="185" t="str">
        <f>IFERROR(__xludf.DUMMYFUNCTION("""COMPUTED_VALUE"""),"Top 20 GEO Agencies in DACH - 2026 Reviews")</f>
        <v>Top 20 GEO Agencies in DACH - 2026 Reviews</v>
      </c>
      <c r="D992" s="185" t="str">
        <f>IFERROR(__xludf.DUMMYFUNCTION("""COMPUTED_VALUE"""),"DE")</f>
        <v>DE</v>
      </c>
      <c r="E992" s="185" t="str">
        <f>IFERROR(__xludf.DUMMYFUNCTION("""COMPUTED_VALUE"""),"feedbax.ai")</f>
        <v>feedbax.ai</v>
      </c>
      <c r="F992" s="185" t="str">
        <f>IFERROR(__xludf.DUMMYFUNCTION("""COMPUTED_VALUE"""),"Category Page")</f>
        <v>Category Page</v>
      </c>
      <c r="G992" s="185" t="str">
        <f>IFERROR(__xludf.DUMMYFUNCTION("""COMPUTED_VALUE"""),"UGC")</f>
        <v>UGC</v>
      </c>
      <c r="H992" s="185" t="str">
        <f>IFERROR(__xludf.DUMMYFUNCTION("""COMPUTED_VALUE"""),"No")</f>
        <v>No</v>
      </c>
      <c r="I992" s="185" t="str">
        <f>IFERROR(__xludf.DUMMYFUNCTION("""COMPUTED_VALUE"""),"Medium")</f>
        <v>Medium</v>
      </c>
      <c r="J992" s="185" t="str">
        <f>IFERROR(__xludf.DUMMYFUNCTION("""COMPUTED_VALUE"""),"Yes")</f>
        <v>Yes</v>
      </c>
      <c r="K992" s="185" t="str">
        <f>IFERROR(__xludf.DUMMYFUNCTION("""COMPUTED_VALUE"""),"DREIKON, HECHT INS GEFECHT")</f>
        <v>DREIKON, HECHT INS GEFECHT</v>
      </c>
      <c r="L992" s="187">
        <f>IFERROR(__xludf.DUMMYFUNCTION("""COMPUTED_VALUE"""),7.0)</f>
        <v>7</v>
      </c>
      <c r="M992" s="188">
        <f>IFERROR(__xludf.DUMMYFUNCTION("""COMPUTED_VALUE"""),0.01)</f>
        <v>0.01</v>
      </c>
      <c r="N992" s="188">
        <f>IFERROR(__xludf.DUMMYFUNCTION("""COMPUTED_VALUE"""),0.43)</f>
        <v>0.43</v>
      </c>
      <c r="O992" s="208"/>
      <c r="P992" s="208"/>
      <c r="Q992" s="208"/>
      <c r="R992" s="208"/>
    </row>
    <row r="993">
      <c r="A993" s="185" t="str">
        <f>IFERROR(__xludf.DUMMYFUNCTION("""COMPUTED_VALUE"""),"Agency directory / review marketplace")</f>
        <v>Agency directory / review marketplace</v>
      </c>
      <c r="B993" s="186" t="str">
        <f>IFERROR(__xludf.DUMMYFUNCTION("""COMPUTED_VALUE"""),"https://feedbax.ai/google-ads/western-europe")</f>
        <v>https://feedbax.ai/google-ads/western-europe</v>
      </c>
      <c r="C993" s="185" t="str">
        <f>IFERROR(__xludf.DUMMYFUNCTION("""COMPUTED_VALUE"""),"Top 20 Google Ads Agencies in Western Europe - 2026 Reviews")</f>
        <v>Top 20 Google Ads Agencies in Western Europe - 2026 Reviews</v>
      </c>
      <c r="D993" s="185" t="str">
        <f>IFERROR(__xludf.DUMMYFUNCTION("""COMPUTED_VALUE"""),"DE")</f>
        <v>DE</v>
      </c>
      <c r="E993" s="185" t="str">
        <f>IFERROR(__xludf.DUMMYFUNCTION("""COMPUTED_VALUE"""),"feedbax.ai")</f>
        <v>feedbax.ai</v>
      </c>
      <c r="F993" s="185" t="str">
        <f>IFERROR(__xludf.DUMMYFUNCTION("""COMPUTED_VALUE"""),"Profile")</f>
        <v>Profile</v>
      </c>
      <c r="G993" s="185" t="str">
        <f>IFERROR(__xludf.DUMMYFUNCTION("""COMPUTED_VALUE"""),"UGC")</f>
        <v>UGC</v>
      </c>
      <c r="H993" s="185" t="str">
        <f>IFERROR(__xludf.DUMMYFUNCTION("""COMPUTED_VALUE"""),"No")</f>
        <v>No</v>
      </c>
      <c r="I993" s="185" t="str">
        <f>IFERROR(__xludf.DUMMYFUNCTION("""COMPUTED_VALUE"""),"Medium")</f>
        <v>Medium</v>
      </c>
      <c r="J993" s="185" t="str">
        <f>IFERROR(__xludf.DUMMYFUNCTION("""COMPUTED_VALUE"""),"Yes")</f>
        <v>Yes</v>
      </c>
      <c r="K993" s="185" t="str">
        <f>IFERROR(__xludf.DUMMYFUNCTION("""COMPUTED_VALUE"""),"Mediacharge, Smarketer, DREIKON, Suchhelden")</f>
        <v>Mediacharge, Smarketer, DREIKON, Suchhelden</v>
      </c>
      <c r="L993" s="187">
        <f>IFERROR(__xludf.DUMMYFUNCTION("""COMPUTED_VALUE"""),7.0)</f>
        <v>7</v>
      </c>
      <c r="M993" s="188">
        <f>IFERROR(__xludf.DUMMYFUNCTION("""COMPUTED_VALUE"""),0.01)</f>
        <v>0.01</v>
      </c>
      <c r="N993" s="188">
        <f>IFERROR(__xludf.DUMMYFUNCTION("""COMPUTED_VALUE"""),1.29)</f>
        <v>1.29</v>
      </c>
      <c r="O993" s="208"/>
      <c r="P993" s="208"/>
      <c r="Q993" s="208"/>
      <c r="R993" s="208"/>
    </row>
    <row r="994">
      <c r="A994" s="185" t="str">
        <f>IFERROR(__xludf.DUMMYFUNCTION("""COMPUTED_VALUE"""),"Agency directory / review marketplace")</f>
        <v>Agency directory / review marketplace</v>
      </c>
      <c r="B994" s="186" t="str">
        <f>IFERROR(__xludf.DUMMYFUNCTION("""COMPUTED_VALUE"""),"https://www.goodfirms.co/directory/country/top-digital-marketing-companies/advertising-ppc/germany")</f>
        <v>https://www.goodfirms.co/directory/country/top-digital-marketing-companies/advertising-ppc/germany</v>
      </c>
      <c r="C994" s="185" t="str">
        <f>IFERROR(__xludf.DUMMYFUNCTION("""COMPUTED_VALUE"""),"Top PPC Agencies in Germany - 2026 Reviews | Goodfirms")</f>
        <v>Top PPC Agencies in Germany - 2026 Reviews | Goodfirms</v>
      </c>
      <c r="D994" s="185" t="str">
        <f>IFERROR(__xludf.DUMMYFUNCTION("""COMPUTED_VALUE"""),"DE")</f>
        <v>DE</v>
      </c>
      <c r="E994" s="185" t="str">
        <f>IFERROR(__xludf.DUMMYFUNCTION("""COMPUTED_VALUE"""),"goodfirms.co")</f>
        <v>goodfirms.co</v>
      </c>
      <c r="F994" s="185" t="str">
        <f>IFERROR(__xludf.DUMMYFUNCTION("""COMPUTED_VALUE"""),"Category Page")</f>
        <v>Category Page</v>
      </c>
      <c r="G994" s="185" t="str">
        <f>IFERROR(__xludf.DUMMYFUNCTION("""COMPUTED_VALUE"""),"UGC")</f>
        <v>UGC</v>
      </c>
      <c r="H994" s="185" t="str">
        <f>IFERROR(__xludf.DUMMYFUNCTION("""COMPUTED_VALUE"""),"No")</f>
        <v>No</v>
      </c>
      <c r="I994" s="185" t="str">
        <f>IFERROR(__xludf.DUMMYFUNCTION("""COMPUTED_VALUE"""),"Medium")</f>
        <v>Medium</v>
      </c>
      <c r="J994" s="185" t="str">
        <f>IFERROR(__xludf.DUMMYFUNCTION("""COMPUTED_VALUE"""),"Yes")</f>
        <v>Yes</v>
      </c>
      <c r="K994" s="185" t="str">
        <f>IFERROR(__xludf.DUMMYFUNCTION("""COMPUTED_VALUE"""),"WebFX, Mediacharge, Smarketer, Aufgesang")</f>
        <v>WebFX, Mediacharge, Smarketer, Aufgesang</v>
      </c>
      <c r="L994" s="187">
        <f>IFERROR(__xludf.DUMMYFUNCTION("""COMPUTED_VALUE"""),7.0)</f>
        <v>7</v>
      </c>
      <c r="M994" s="188">
        <f>IFERROR(__xludf.DUMMYFUNCTION("""COMPUTED_VALUE"""),0.01)</f>
        <v>0.01</v>
      </c>
      <c r="N994" s="188">
        <f>IFERROR(__xludf.DUMMYFUNCTION("""COMPUTED_VALUE"""),0.0)</f>
        <v>0</v>
      </c>
      <c r="O994" s="208"/>
      <c r="P994" s="208"/>
      <c r="Q994" s="208"/>
      <c r="R994" s="208"/>
    </row>
    <row r="995">
      <c r="A995" s="185" t="str">
        <f>IFERROR(__xludf.DUMMYFUNCTION("""COMPUTED_VALUE"""),"Trade media / editorial publication")</f>
        <v>Trade media / editorial publication</v>
      </c>
      <c r="B995" s="186" t="str">
        <f>IFERROR(__xludf.DUMMYFUNCTION("""COMPUTED_VALUE"""),"https://www.ibusiness.de/performance-ranking/performance_2023.html?sub=5")</f>
        <v>https://www.ibusiness.de/performance-ranking/performance_2023.html?sub=5</v>
      </c>
      <c r="C995" s="185" t="str">
        <f>IFERROR(__xludf.DUMMYFUNCTION("""COMPUTED_VALUE"""),"Das Ranking der gr��ten deutschen Performance-Marketing-Agenturen")</f>
        <v>Das Ranking der gr��ten deutschen Performance-Marketing-Agenturen</v>
      </c>
      <c r="D995" s="185" t="str">
        <f>IFERROR(__xludf.DUMMYFUNCTION("""COMPUTED_VALUE"""),"DE")</f>
        <v>DE</v>
      </c>
      <c r="E995" s="185" t="str">
        <f>IFERROR(__xludf.DUMMYFUNCTION("""COMPUTED_VALUE"""),"ibusiness.de")</f>
        <v>ibusiness.de</v>
      </c>
      <c r="F995" s="185" t="str">
        <f>IFERROR(__xludf.DUMMYFUNCTION("""COMPUTED_VALUE"""),"Other")</f>
        <v>Other</v>
      </c>
      <c r="G995" s="185" t="str">
        <f>IFERROR(__xludf.DUMMYFUNCTION("""COMPUTED_VALUE"""),"EDITORIAL")</f>
        <v>EDITORIAL</v>
      </c>
      <c r="H995" s="185" t="str">
        <f>IFERROR(__xludf.DUMMYFUNCTION("""COMPUTED_VALUE"""),"No")</f>
        <v>No</v>
      </c>
      <c r="I995" s="185" t="str">
        <f>IFERROR(__xludf.DUMMYFUNCTION("""COMPUTED_VALUE"""),"Medium")</f>
        <v>Medium</v>
      </c>
      <c r="J995" s="185" t="str">
        <f>IFERROR(__xludf.DUMMYFUNCTION("""COMPUTED_VALUE"""),"Yes")</f>
        <v>Yes</v>
      </c>
      <c r="K995" s="185" t="str">
        <f>IFERROR(__xludf.DUMMYFUNCTION("""COMPUTED_VALUE"""),"Serviceplan Group, morefire, 42DIGITAL, Aufgesang")</f>
        <v>Serviceplan Group, morefire, 42DIGITAL, Aufgesang</v>
      </c>
      <c r="L995" s="187">
        <f>IFERROR(__xludf.DUMMYFUNCTION("""COMPUTED_VALUE"""),7.0)</f>
        <v>7</v>
      </c>
      <c r="M995" s="188">
        <f>IFERROR(__xludf.DUMMYFUNCTION("""COMPUTED_VALUE"""),0.01)</f>
        <v>0.01</v>
      </c>
      <c r="N995" s="188">
        <f>IFERROR(__xludf.DUMMYFUNCTION("""COMPUTED_VALUE"""),0.0)</f>
        <v>0</v>
      </c>
      <c r="O995" s="208"/>
      <c r="P995" s="208"/>
      <c r="Q995" s="208"/>
      <c r="R995" s="208"/>
    </row>
    <row r="996">
      <c r="A996" s="185" t="str">
        <f>IFERROR(__xludf.DUMMYFUNCTION("""COMPUTED_VALUE"""),"Official partner / certification ecosystem")</f>
        <v>Official partner / certification ecosystem</v>
      </c>
      <c r="B996" s="186" t="str">
        <f>IFERROR(__xludf.DUMMYFUNCTION("""COMPUTED_VALUE"""),"https://partnersdirectory.withgoogle.com/intl/en-GB/")</f>
        <v>https://partnersdirectory.withgoogle.com/intl/en-GB/</v>
      </c>
      <c r="C996" s="185" t="str">
        <f>IFERROR(__xludf.DUMMYFUNCTION("""COMPUTED_VALUE"""),"Google Partners directory – Find a Partner for business growth")</f>
        <v>Google Partners directory – Find a Partner for business growth</v>
      </c>
      <c r="D996" s="185" t="str">
        <f>IFERROR(__xludf.DUMMYFUNCTION("""COMPUTED_VALUE"""),"DE")</f>
        <v>DE</v>
      </c>
      <c r="E996" s="185" t="str">
        <f>IFERROR(__xludf.DUMMYFUNCTION("""COMPUTED_VALUE"""),"withgoogle.com")</f>
        <v>withgoogle.com</v>
      </c>
      <c r="F996" s="185" t="str">
        <f>IFERROR(__xludf.DUMMYFUNCTION("""COMPUTED_VALUE"""),"Other")</f>
        <v>Other</v>
      </c>
      <c r="G996" s="185" t="str">
        <f>IFERROR(__xludf.DUMMYFUNCTION("""COMPUTED_VALUE"""),"CORPORATE")</f>
        <v>CORPORATE</v>
      </c>
      <c r="H996" s="185" t="str">
        <f>IFERROR(__xludf.DUMMYFUNCTION("""COMPUTED_VALUE"""),"No")</f>
        <v>No</v>
      </c>
      <c r="I996" s="185" t="str">
        <f>IFERROR(__xludf.DUMMYFUNCTION("""COMPUTED_VALUE"""),"High")</f>
        <v>High</v>
      </c>
      <c r="J996" s="185" t="str">
        <f>IFERROR(__xludf.DUMMYFUNCTION("""COMPUTED_VALUE"""),"Yes - priority")</f>
        <v>Yes - priority</v>
      </c>
      <c r="K996" s="185" t="str">
        <f>IFERROR(__xludf.DUMMYFUNCTION("""COMPUTED_VALUE"""),"Acadia")</f>
        <v>Acadia</v>
      </c>
      <c r="L996" s="187">
        <f>IFERROR(__xludf.DUMMYFUNCTION("""COMPUTED_VALUE"""),7.0)</f>
        <v>7</v>
      </c>
      <c r="M996" s="188">
        <f>IFERROR(__xludf.DUMMYFUNCTION("""COMPUTED_VALUE"""),0.01)</f>
        <v>0.01</v>
      </c>
      <c r="N996" s="188">
        <f>IFERROR(__xludf.DUMMYFUNCTION("""COMPUTED_VALUE"""),0.0)</f>
        <v>0</v>
      </c>
      <c r="O996" s="208"/>
      <c r="P996" s="208"/>
      <c r="Q996" s="208"/>
      <c r="R996" s="208"/>
    </row>
    <row r="997">
      <c r="A997" s="185" t="str">
        <f>IFERROR(__xludf.DUMMYFUNCTION("""COMPUTED_VALUE"""),"Agency directory / review marketplace")</f>
        <v>Agency directory / review marketplace</v>
      </c>
      <c r="B997" s="186" t="str">
        <f>IFERROR(__xludf.DUMMYFUNCTION("""COMPUTED_VALUE"""),"https://www.sortlist.de/s/bezahlte-media/deutschland-de?page=2")</f>
        <v>https://www.sortlist.de/s/bezahlte-media/deutschland-de?page=2</v>
      </c>
      <c r="C997" s="185" t="str">
        <f>IFERROR(__xludf.DUMMYFUNCTION("""COMPUTED_VALUE"""),"Unsere 10 Besten Bezahlte Media Agenturen in Deutschland - 2026 Bewertungen – Seite 2")</f>
        <v>Unsere 10 Besten Bezahlte Media Agenturen in Deutschland - 2026 Bewertungen – Seite 2</v>
      </c>
      <c r="D997" s="185" t="str">
        <f>IFERROR(__xludf.DUMMYFUNCTION("""COMPUTED_VALUE"""),"DE")</f>
        <v>DE</v>
      </c>
      <c r="E997" s="185" t="str">
        <f>IFERROR(__xludf.DUMMYFUNCTION("""COMPUTED_VALUE"""),"sortlist.de")</f>
        <v>sortlist.de</v>
      </c>
      <c r="F997" s="185" t="str">
        <f>IFERROR(__xludf.DUMMYFUNCTION("""COMPUTED_VALUE"""),"Category Page")</f>
        <v>Category Page</v>
      </c>
      <c r="G997" s="185" t="str">
        <f>IFERROR(__xludf.DUMMYFUNCTION("""COMPUTED_VALUE"""),"CORPORATE")</f>
        <v>CORPORATE</v>
      </c>
      <c r="H997" s="185" t="str">
        <f>IFERROR(__xludf.DUMMYFUNCTION("""COMPUTED_VALUE"""),"No")</f>
        <v>No</v>
      </c>
      <c r="I997" s="185" t="str">
        <f>IFERROR(__xludf.DUMMYFUNCTION("""COMPUTED_VALUE"""),"Medium")</f>
        <v>Medium</v>
      </c>
      <c r="J997" s="185" t="str">
        <f>IFERROR(__xludf.DUMMYFUNCTION("""COMPUTED_VALUE"""),"Yes")</f>
        <v>Yes</v>
      </c>
      <c r="K997" s="185" t="str">
        <f>IFERROR(__xludf.DUMMYFUNCTION("""COMPUTED_VALUE"""),"Digital Masters GmbH, lehof, MONSOON, PANORAMA3000, eMinded GmbH, Loyamo, Medialabel, morefire, WeLikeWeb GmbH")</f>
        <v>Digital Masters GmbH, lehof, MONSOON, PANORAMA3000, eMinded GmbH, Loyamo, Medialabel, morefire, WeLikeWeb GmbH</v>
      </c>
      <c r="L997" s="187">
        <f>IFERROR(__xludf.DUMMYFUNCTION("""COMPUTED_VALUE"""),7.0)</f>
        <v>7</v>
      </c>
      <c r="M997" s="188">
        <f>IFERROR(__xludf.DUMMYFUNCTION("""COMPUTED_VALUE"""),0.01)</f>
        <v>0.01</v>
      </c>
      <c r="N997" s="188">
        <f>IFERROR(__xludf.DUMMYFUNCTION("""COMPUTED_VALUE"""),0.0)</f>
        <v>0</v>
      </c>
      <c r="O997" s="208"/>
      <c r="P997" s="208"/>
      <c r="Q997" s="208"/>
      <c r="R997" s="208"/>
    </row>
    <row r="998">
      <c r="A998" s="185" t="str">
        <f>IFERROR(__xludf.DUMMYFUNCTION("""COMPUTED_VALUE"""),"Industry data / software authority")</f>
        <v>Industry data / software authority</v>
      </c>
      <c r="B998" s="186" t="str">
        <f>IFERROR(__xludf.DUMMYFUNCTION("""COMPUTED_VALUE"""),"https://agencies.semrush.com/list/ai-optimization/germany/enterprise-business/")</f>
        <v>https://agencies.semrush.com/list/ai-optimization/germany/enterprise-business/</v>
      </c>
      <c r="C998" s="185" t="str">
        <f>IFERROR(__xludf.DUMMYFUNCTION("""COMPUTED_VALUE"""),"Best AI Search Optimization Agencies for Enterprise Business in Germany 2026 | Semrush")</f>
        <v>Best AI Search Optimization Agencies for Enterprise Business in Germany 2026 | Semrush</v>
      </c>
      <c r="D998" s="185" t="str">
        <f>IFERROR(__xludf.DUMMYFUNCTION("""COMPUTED_VALUE"""),"DE")</f>
        <v>DE</v>
      </c>
      <c r="E998" s="185" t="str">
        <f>IFERROR(__xludf.DUMMYFUNCTION("""COMPUTED_VALUE"""),"semrush.com")</f>
        <v>semrush.com</v>
      </c>
      <c r="F998" s="185" t="str">
        <f>IFERROR(__xludf.DUMMYFUNCTION("""COMPUTED_VALUE"""),"Category Page")</f>
        <v>Category Page</v>
      </c>
      <c r="G998" s="185" t="str">
        <f>IFERROR(__xludf.DUMMYFUNCTION("""COMPUTED_VALUE"""),"CORPORATE")</f>
        <v>CORPORATE</v>
      </c>
      <c r="H998" s="185" t="str">
        <f>IFERROR(__xludf.DUMMYFUNCTION("""COMPUTED_VALUE"""),"No")</f>
        <v>No</v>
      </c>
      <c r="I998" s="185" t="str">
        <f>IFERROR(__xludf.DUMMYFUNCTION("""COMPUTED_VALUE"""),"Medium")</f>
        <v>Medium</v>
      </c>
      <c r="J998" s="185" t="str">
        <f>IFERROR(__xludf.DUMMYFUNCTION("""COMPUTED_VALUE"""),"Yes")</f>
        <v>Yes</v>
      </c>
      <c r="K998" s="185" t="str">
        <f>IFERROR(__xludf.DUMMYFUNCTION("""COMPUTED_VALUE"""),"HECHT INS GEFECHT, morefire, Mediaplus Performance")</f>
        <v>HECHT INS GEFECHT, morefire, Mediaplus Performance</v>
      </c>
      <c r="L998" s="187">
        <f>IFERROR(__xludf.DUMMYFUNCTION("""COMPUTED_VALUE"""),6.0)</f>
        <v>6</v>
      </c>
      <c r="M998" s="188">
        <f>IFERROR(__xludf.DUMMYFUNCTION("""COMPUTED_VALUE"""),0.01)</f>
        <v>0.01</v>
      </c>
      <c r="N998" s="188">
        <f>IFERROR(__xludf.DUMMYFUNCTION("""COMPUTED_VALUE"""),0.17)</f>
        <v>0.17</v>
      </c>
      <c r="O998" s="208"/>
      <c r="P998" s="208"/>
      <c r="Q998" s="208"/>
      <c r="R998" s="208"/>
    </row>
    <row r="999">
      <c r="A999" s="185" t="str">
        <f>IFERROR(__xludf.DUMMYFUNCTION("""COMPUTED_VALUE"""),"Agency directory / review marketplace")</f>
        <v>Agency directory / review marketplace</v>
      </c>
      <c r="B999" s="186" t="str">
        <f>IFERROR(__xludf.DUMMYFUNCTION("""COMPUTED_VALUE"""),"https://clutch.co/de/agencies?page=6")</f>
        <v>https://clutch.co/de/agencies?page=6</v>
      </c>
      <c r="C999" s="185" t="str">
        <f>IFERROR(__xludf.DUMMYFUNCTION("""COMPUTED_VALUE"""),"Page 6 - Top Advertising Agencies in Germany - Jul 2026 Rankings \| Clutch.co")</f>
        <v>Page 6 - Top Advertising Agencies in Germany - Jul 2026 Rankings \| Clutch.co</v>
      </c>
      <c r="D999" s="185" t="str">
        <f>IFERROR(__xludf.DUMMYFUNCTION("""COMPUTED_VALUE"""),"DE")</f>
        <v>DE</v>
      </c>
      <c r="E999" s="185" t="str">
        <f>IFERROR(__xludf.DUMMYFUNCTION("""COMPUTED_VALUE"""),"clutch.co")</f>
        <v>clutch.co</v>
      </c>
      <c r="F999" s="185" t="str">
        <f>IFERROR(__xludf.DUMMYFUNCTION("""COMPUTED_VALUE"""),"Category Page")</f>
        <v>Category Page</v>
      </c>
      <c r="G999" s="185" t="str">
        <f>IFERROR(__xludf.DUMMYFUNCTION("""COMPUTED_VALUE"""),"CORPORATE")</f>
        <v>CORPORATE</v>
      </c>
      <c r="H999" s="185" t="str">
        <f>IFERROR(__xludf.DUMMYFUNCTION("""COMPUTED_VALUE"""),"No")</f>
        <v>No</v>
      </c>
      <c r="I999" s="185" t="str">
        <f>IFERROR(__xludf.DUMMYFUNCTION("""COMPUTED_VALUE"""),"Medium")</f>
        <v>Medium</v>
      </c>
      <c r="J999" s="185" t="str">
        <f>IFERROR(__xludf.DUMMYFUNCTION("""COMPUTED_VALUE"""),"Yes")</f>
        <v>Yes</v>
      </c>
      <c r="K999" s="185" t="str">
        <f>IFERROR(__xludf.DUMMYFUNCTION("""COMPUTED_VALUE"""),"MONSOON, Phiture, PANORAMA3000, Seeders, Mediacharge, Digitalyze, morefire, Scholz &amp; Friends")</f>
        <v>MONSOON, Phiture, PANORAMA3000, Seeders, Mediacharge, Digitalyze, morefire, Scholz &amp; Friends</v>
      </c>
      <c r="L999" s="187">
        <f>IFERROR(__xludf.DUMMYFUNCTION("""COMPUTED_VALUE"""),6.0)</f>
        <v>6</v>
      </c>
      <c r="M999" s="188">
        <f>IFERROR(__xludf.DUMMYFUNCTION("""COMPUTED_VALUE"""),0.01)</f>
        <v>0.01</v>
      </c>
      <c r="N999" s="188">
        <f>IFERROR(__xludf.DUMMYFUNCTION("""COMPUTED_VALUE"""),0.0)</f>
        <v>0</v>
      </c>
      <c r="O999" s="208"/>
      <c r="P999" s="208"/>
      <c r="Q999" s="208"/>
      <c r="R999" s="208"/>
    </row>
    <row r="1000">
      <c r="A1000" s="185" t="str">
        <f>IFERROR(__xludf.DUMMYFUNCTION("""COMPUTED_VALUE"""),"Agency directory / review marketplace")</f>
        <v>Agency directory / review marketplace</v>
      </c>
      <c r="B1000" s="186" t="str">
        <f>IFERROR(__xludf.DUMMYFUNCTION("""COMPUTED_VALUE"""),"https://feedbax.ai/creative-agencies")</f>
        <v>https://feedbax.ai/creative-agencies</v>
      </c>
      <c r="C1000" s="185" t="str">
        <f>IFERROR(__xludf.DUMMYFUNCTION("""COMPUTED_VALUE"""),"Top 20 Creative Agencies - 2026 Reviews")</f>
        <v>Top 20 Creative Agencies - 2026 Reviews</v>
      </c>
      <c r="D1000" s="185" t="str">
        <f>IFERROR(__xludf.DUMMYFUNCTION("""COMPUTED_VALUE"""),"DE")</f>
        <v>DE</v>
      </c>
      <c r="E1000" s="185" t="str">
        <f>IFERROR(__xludf.DUMMYFUNCTION("""COMPUTED_VALUE"""),"feedbax.ai")</f>
        <v>feedbax.ai</v>
      </c>
      <c r="F1000" s="185" t="str">
        <f>IFERROR(__xludf.DUMMYFUNCTION("""COMPUTED_VALUE"""),"Category Page")</f>
        <v>Category Page</v>
      </c>
      <c r="G1000" s="185" t="str">
        <f>IFERROR(__xludf.DUMMYFUNCTION("""COMPUTED_VALUE"""),"UGC")</f>
        <v>UGC</v>
      </c>
      <c r="H1000" s="185" t="str">
        <f>IFERROR(__xludf.DUMMYFUNCTION("""COMPUTED_VALUE"""),"No")</f>
        <v>No</v>
      </c>
      <c r="I1000" s="185" t="str">
        <f>IFERROR(__xludf.DUMMYFUNCTION("""COMPUTED_VALUE"""),"Medium")</f>
        <v>Medium</v>
      </c>
      <c r="J1000" s="185" t="str">
        <f>IFERROR(__xludf.DUMMYFUNCTION("""COMPUTED_VALUE"""),"Yes")</f>
        <v>Yes</v>
      </c>
      <c r="K1000" s="185" t="str">
        <f>IFERROR(__xludf.DUMMYFUNCTION("""COMPUTED_VALUE"""),"PANORAMA3000, DREIKON, Mediacharge, Smarketer, KlickPiloten, ZweiDigital GmbH, Measured")</f>
        <v>PANORAMA3000, DREIKON, Mediacharge, Smarketer, KlickPiloten, ZweiDigital GmbH, Measured</v>
      </c>
      <c r="L1000" s="187">
        <f>IFERROR(__xludf.DUMMYFUNCTION("""COMPUTED_VALUE"""),6.0)</f>
        <v>6</v>
      </c>
      <c r="M1000" s="188">
        <f>IFERROR(__xludf.DUMMYFUNCTION("""COMPUTED_VALUE"""),0.01)</f>
        <v>0.01</v>
      </c>
      <c r="N1000" s="188">
        <f>IFERROR(__xludf.DUMMYFUNCTION("""COMPUTED_VALUE"""),0.0)</f>
        <v>0</v>
      </c>
      <c r="O1000" s="208"/>
      <c r="P1000" s="208"/>
      <c r="Q1000" s="208"/>
      <c r="R1000" s="208"/>
    </row>
    <row r="1001">
      <c r="A1001" s="185" t="str">
        <f>IFERROR(__xludf.DUMMYFUNCTION("""COMPUTED_VALUE"""),"Trade media / editorial publication")</f>
        <v>Trade media / editorial publication</v>
      </c>
      <c r="B1001" s="186" t="str">
        <f>IFERROR(__xludf.DUMMYFUNCTION("""COMPUTED_VALUE"""),"https://www.onetoone.de/performance-ranking/performance_2024.html")</f>
        <v>https://www.onetoone.de/performance-ranking/performance_2024.html</v>
      </c>
      <c r="C1001" s="185" t="str">
        <f>IFERROR(__xludf.DUMMYFUNCTION("""COMPUTED_VALUE"""),"Performance-Agentur-Ranking")</f>
        <v>Performance-Agentur-Ranking</v>
      </c>
      <c r="D1001" s="185" t="str">
        <f>IFERROR(__xludf.DUMMYFUNCTION("""COMPUTED_VALUE"""),"DE")</f>
        <v>DE</v>
      </c>
      <c r="E1001" s="185" t="str">
        <f>IFERROR(__xludf.DUMMYFUNCTION("""COMPUTED_VALUE"""),"onetoone.de")</f>
        <v>onetoone.de</v>
      </c>
      <c r="F1001" s="185" t="str">
        <f>IFERROR(__xludf.DUMMYFUNCTION("""COMPUTED_VALUE"""),"Category Page")</f>
        <v>Category Page</v>
      </c>
      <c r="G1001" s="185" t="str">
        <f>IFERROR(__xludf.DUMMYFUNCTION("""COMPUTED_VALUE"""),"OTHER")</f>
        <v>OTHER</v>
      </c>
      <c r="H1001" s="185" t="str">
        <f>IFERROR(__xludf.DUMMYFUNCTION("""COMPUTED_VALUE"""),"No")</f>
        <v>No</v>
      </c>
      <c r="I1001" s="185" t="str">
        <f>IFERROR(__xludf.DUMMYFUNCTION("""COMPUTED_VALUE"""),"Medium")</f>
        <v>Medium</v>
      </c>
      <c r="J1001" s="185" t="str">
        <f>IFERROR(__xludf.DUMMYFUNCTION("""COMPUTED_VALUE"""),"Yes")</f>
        <v>Yes</v>
      </c>
      <c r="K1001" s="185" t="str">
        <f>IFERROR(__xludf.DUMMYFUNCTION("""COMPUTED_VALUE"""),"iProspect, Smarketer, Peak Ace, e-dialog, morefire, The Boutique Agency, 42DIGITAL, Aufgesang, eMinded GmbH")</f>
        <v>iProspect, Smarketer, Peak Ace, e-dialog, morefire, The Boutique Agency, 42DIGITAL, Aufgesang, eMinded GmbH</v>
      </c>
      <c r="L1001" s="187">
        <f>IFERROR(__xludf.DUMMYFUNCTION("""COMPUTED_VALUE"""),6.0)</f>
        <v>6</v>
      </c>
      <c r="M1001" s="188">
        <f>IFERROR(__xludf.DUMMYFUNCTION("""COMPUTED_VALUE"""),0.01)</f>
        <v>0.01</v>
      </c>
      <c r="N1001" s="188">
        <f>IFERROR(__xludf.DUMMYFUNCTION("""COMPUTED_VALUE"""),0.33)</f>
        <v>0.33</v>
      </c>
      <c r="O1001" s="208"/>
      <c r="P1001" s="208"/>
      <c r="Q1001" s="208"/>
      <c r="R1001" s="208"/>
    </row>
    <row r="1002">
      <c r="A1002" s="185" t="str">
        <f>IFERROR(__xludf.DUMMYFUNCTION("""COMPUTED_VALUE"""),"Trade media / editorial publication")</f>
        <v>Trade media / editorial publication</v>
      </c>
      <c r="B1002" s="186" t="str">
        <f>IFERROR(__xludf.DUMMYFUNCTION("""COMPUTED_VALUE"""),"https://www.onetoone.de/performance-ranking/performance_2025.html")</f>
        <v>https://www.onetoone.de/performance-ranking/performance_2025.html</v>
      </c>
      <c r="C1002" s="185" t="str">
        <f>IFERROR(__xludf.DUMMYFUNCTION("""COMPUTED_VALUE"""),"Performance-Agentur-Ranking")</f>
        <v>Performance-Agentur-Ranking</v>
      </c>
      <c r="D1002" s="185" t="str">
        <f>IFERROR(__xludf.DUMMYFUNCTION("""COMPUTED_VALUE"""),"DE")</f>
        <v>DE</v>
      </c>
      <c r="E1002" s="185" t="str">
        <f>IFERROR(__xludf.DUMMYFUNCTION("""COMPUTED_VALUE"""),"onetoone.de")</f>
        <v>onetoone.de</v>
      </c>
      <c r="F1002" s="185" t="str">
        <f>IFERROR(__xludf.DUMMYFUNCTION("""COMPUTED_VALUE"""),"Listicle")</f>
        <v>Listicle</v>
      </c>
      <c r="G1002" s="185" t="str">
        <f>IFERROR(__xludf.DUMMYFUNCTION("""COMPUTED_VALUE"""),"OTHER")</f>
        <v>OTHER</v>
      </c>
      <c r="H1002" s="185" t="str">
        <f>IFERROR(__xludf.DUMMYFUNCTION("""COMPUTED_VALUE"""),"No")</f>
        <v>No</v>
      </c>
      <c r="I1002" s="185" t="str">
        <f>IFERROR(__xludf.DUMMYFUNCTION("""COMPUTED_VALUE"""),"Medium")</f>
        <v>Medium</v>
      </c>
      <c r="J1002" s="185" t="str">
        <f>IFERROR(__xludf.DUMMYFUNCTION("""COMPUTED_VALUE"""),"Yes")</f>
        <v>Yes</v>
      </c>
      <c r="K1002" s="185" t="str">
        <f>IFERROR(__xludf.DUMMYFUNCTION("""COMPUTED_VALUE"""),"iProspect, Smarketer, e-dialog, morefire, Artefact, The Boutique Agency, 42DIGITAL, DREIKON, Aufgesang, eMinded GmbH")</f>
        <v>iProspect, Smarketer, e-dialog, morefire, Artefact, The Boutique Agency, 42DIGITAL, DREIKON, Aufgesang, eMinded GmbH</v>
      </c>
      <c r="L1002" s="187">
        <f>IFERROR(__xludf.DUMMYFUNCTION("""COMPUTED_VALUE"""),6.0)</f>
        <v>6</v>
      </c>
      <c r="M1002" s="188">
        <f>IFERROR(__xludf.DUMMYFUNCTION("""COMPUTED_VALUE"""),0.01)</f>
        <v>0.01</v>
      </c>
      <c r="N1002" s="188">
        <f>IFERROR(__xludf.DUMMYFUNCTION("""COMPUTED_VALUE"""),0.0)</f>
        <v>0</v>
      </c>
      <c r="O1002" s="208"/>
      <c r="P1002" s="208"/>
      <c r="Q1002" s="208"/>
      <c r="R1002" s="208"/>
    </row>
    <row r="1003">
      <c r="A1003" s="185" t="str">
        <f>IFERROR(__xludf.DUMMYFUNCTION("""COMPUTED_VALUE"""),"Official partner / certification ecosystem")</f>
        <v>Official partner / certification ecosystem</v>
      </c>
      <c r="B1003" s="186" t="str">
        <f>IFERROR(__xludf.DUMMYFUNCTION("""COMPUTED_VALUE"""),"https://support.google.com/tagmanager/answer/7237700?hl=de")</f>
        <v>https://support.google.com/tagmanager/answer/7237700?hl=de</v>
      </c>
      <c r="C1003" s="185"/>
      <c r="D1003" s="185" t="str">
        <f>IFERROR(__xludf.DUMMYFUNCTION("""COMPUTED_VALUE"""),"DE")</f>
        <v>DE</v>
      </c>
      <c r="E1003" s="185" t="str">
        <f>IFERROR(__xludf.DUMMYFUNCTION("""COMPUTED_VALUE"""),"google.com")</f>
        <v>google.com</v>
      </c>
      <c r="F1003" s="185" t="str">
        <f>IFERROR(__xludf.DUMMYFUNCTION("""COMPUTED_VALUE"""),"Other")</f>
        <v>Other</v>
      </c>
      <c r="G1003" s="185" t="str">
        <f>IFERROR(__xludf.DUMMYFUNCTION("""COMPUTED_VALUE"""),"OTHER")</f>
        <v>OTHER</v>
      </c>
      <c r="H1003" s="185" t="str">
        <f>IFERROR(__xludf.DUMMYFUNCTION("""COMPUTED_VALUE"""),"No")</f>
        <v>No</v>
      </c>
      <c r="I1003" s="185" t="str">
        <f>IFERROR(__xludf.DUMMYFUNCTION("""COMPUTED_VALUE"""),"High")</f>
        <v>High</v>
      </c>
      <c r="J1003" s="185" t="str">
        <f>IFERROR(__xludf.DUMMYFUNCTION("""COMPUTED_VALUE"""),"Yes - priority")</f>
        <v>Yes - priority</v>
      </c>
      <c r="K1003" s="185" t="str">
        <f>IFERROR(__xludf.DUMMYFUNCTION("""COMPUTED_VALUE"""),"Unknown")</f>
        <v>Unknown</v>
      </c>
      <c r="L1003" s="187">
        <f>IFERROR(__xludf.DUMMYFUNCTION("""COMPUTED_VALUE"""),6.0)</f>
        <v>6</v>
      </c>
      <c r="M1003" s="188">
        <f>IFERROR(__xludf.DUMMYFUNCTION("""COMPUTED_VALUE"""),0.01)</f>
        <v>0.01</v>
      </c>
      <c r="N1003" s="188">
        <f>IFERROR(__xludf.DUMMYFUNCTION("""COMPUTED_VALUE"""),0.5)</f>
        <v>0.5</v>
      </c>
      <c r="O1003" s="208"/>
      <c r="P1003" s="208"/>
      <c r="Q1003" s="208"/>
      <c r="R1003" s="208"/>
    </row>
    <row r="1004">
      <c r="A1004" s="185" t="str">
        <f>IFERROR(__xludf.DUMMYFUNCTION("""COMPUTED_VALUE"""),"Agency directory / review marketplace")</f>
        <v>Agency directory / review marketplace</v>
      </c>
      <c r="B1004" s="186" t="str">
        <f>IFERROR(__xludf.DUMMYFUNCTION("""COMPUTED_VALUE"""),"https://themanifest.com/de/advertising/agencies#:~:text=They%20offer%20Advertising%2C%20Branding%2C%20Event,is%20based%20in%20K%C3%B6ln%2C%20Germany.")</f>
        <v>https://themanifest.com/de/advertising/agencies#:~:text=They%20offer%20Advertising%2C%20Branding%2C%20Event,is%20based%20in%20K%C3%B6ln%2C%20Germany.</v>
      </c>
      <c r="C1004" s="185" t="str">
        <f>IFERROR(__xludf.DUMMYFUNCTION("""COMPUTED_VALUE"""),"The Best Advertising Companies in Germany - Jul 2026 | The Manifest")</f>
        <v>The Best Advertising Companies in Germany - Jul 2026 | The Manifest</v>
      </c>
      <c r="D1004" s="185" t="str">
        <f>IFERROR(__xludf.DUMMYFUNCTION("""COMPUTED_VALUE"""),"DE")</f>
        <v>DE</v>
      </c>
      <c r="E1004" s="185" t="str">
        <f>IFERROR(__xludf.DUMMYFUNCTION("""COMPUTED_VALUE"""),"themanifest.com")</f>
        <v>themanifest.com</v>
      </c>
      <c r="F1004" s="185" t="str">
        <f>IFERROR(__xludf.DUMMYFUNCTION("""COMPUTED_VALUE"""),"Other")</f>
        <v>Other</v>
      </c>
      <c r="G1004" s="185" t="str">
        <f>IFERROR(__xludf.DUMMYFUNCTION("""COMPUTED_VALUE"""),"REFERENCE")</f>
        <v>REFERENCE</v>
      </c>
      <c r="H1004" s="185" t="str">
        <f>IFERROR(__xludf.DUMMYFUNCTION("""COMPUTED_VALUE"""),"No")</f>
        <v>No</v>
      </c>
      <c r="I1004" s="185" t="str">
        <f>IFERROR(__xludf.DUMMYFUNCTION("""COMPUTED_VALUE"""),"Medium")</f>
        <v>Medium</v>
      </c>
      <c r="J1004" s="185" t="str">
        <f>IFERROR(__xludf.DUMMYFUNCTION("""COMPUTED_VALUE"""),"Yes")</f>
        <v>Yes</v>
      </c>
      <c r="K1004" s="185" t="str">
        <f>IFERROR(__xludf.DUMMYFUNCTION("""COMPUTED_VALUE"""),"MONSOON, Phiture, PANORAMA3000, morefire, Digitalyze, Scholz &amp; Friends")</f>
        <v>MONSOON, Phiture, PANORAMA3000, morefire, Digitalyze, Scholz &amp; Friends</v>
      </c>
      <c r="L1004" s="187">
        <f>IFERROR(__xludf.DUMMYFUNCTION("""COMPUTED_VALUE"""),6.0)</f>
        <v>6</v>
      </c>
      <c r="M1004" s="188">
        <f>IFERROR(__xludf.DUMMYFUNCTION("""COMPUTED_VALUE"""),0.01)</f>
        <v>0.01</v>
      </c>
      <c r="N1004" s="188">
        <f>IFERROR(__xludf.DUMMYFUNCTION("""COMPUTED_VALUE"""),1.0)</f>
        <v>1</v>
      </c>
      <c r="O1004" s="208"/>
      <c r="P1004" s="208"/>
      <c r="Q1004" s="208"/>
      <c r="R1004" s="208"/>
    </row>
    <row r="1005">
      <c r="A1005" s="185" t="str">
        <f>IFERROR(__xludf.DUMMYFUNCTION("""COMPUTED_VALUE"""),"Industry data / software authority")</f>
        <v>Industry data / software authority</v>
      </c>
      <c r="B1005" s="186" t="str">
        <f>IFERROR(__xludf.DUMMYFUNCTION("""COMPUTED_VALUE"""),"https://agencies.semrush.com/list/information-technology/germany/")</f>
        <v>https://agencies.semrush.com/list/information-technology/germany/</v>
      </c>
      <c r="C1005" s="185" t="str">
        <f>IFERROR(__xludf.DUMMYFUNCTION("""COMPUTED_VALUE"""),"Best IT Digital Marketing Agencies in Germany 2026 | Semrush")</f>
        <v>Best IT Digital Marketing Agencies in Germany 2026 | Semrush</v>
      </c>
      <c r="D1005" s="185" t="str">
        <f>IFERROR(__xludf.DUMMYFUNCTION("""COMPUTED_VALUE"""),"DE")</f>
        <v>DE</v>
      </c>
      <c r="E1005" s="185" t="str">
        <f>IFERROR(__xludf.DUMMYFUNCTION("""COMPUTED_VALUE"""),"semrush.com")</f>
        <v>semrush.com</v>
      </c>
      <c r="F1005" s="185" t="str">
        <f>IFERROR(__xludf.DUMMYFUNCTION("""COMPUTED_VALUE"""),"Category Page")</f>
        <v>Category Page</v>
      </c>
      <c r="G1005" s="185" t="str">
        <f>IFERROR(__xludf.DUMMYFUNCTION("""COMPUTED_VALUE"""),"CORPORATE")</f>
        <v>CORPORATE</v>
      </c>
      <c r="H1005" s="185" t="str">
        <f>IFERROR(__xludf.DUMMYFUNCTION("""COMPUTED_VALUE"""),"No")</f>
        <v>No</v>
      </c>
      <c r="I1005" s="185" t="str">
        <f>IFERROR(__xludf.DUMMYFUNCTION("""COMPUTED_VALUE"""),"Medium")</f>
        <v>Medium</v>
      </c>
      <c r="J1005" s="185" t="str">
        <f>IFERROR(__xludf.DUMMYFUNCTION("""COMPUTED_VALUE"""),"Yes")</f>
        <v>Yes</v>
      </c>
      <c r="K1005" s="185"/>
      <c r="L1005" s="187">
        <f>IFERROR(__xludf.DUMMYFUNCTION("""COMPUTED_VALUE"""),5.0)</f>
        <v>5</v>
      </c>
      <c r="M1005" s="188">
        <f>IFERROR(__xludf.DUMMYFUNCTION("""COMPUTED_VALUE"""),0.01)</f>
        <v>0.01</v>
      </c>
      <c r="N1005" s="188">
        <f>IFERROR(__xludf.DUMMYFUNCTION("""COMPUTED_VALUE"""),1.0)</f>
        <v>1</v>
      </c>
      <c r="O1005" s="208"/>
      <c r="P1005" s="208"/>
      <c r="Q1005" s="208"/>
      <c r="R1005" s="208"/>
    </row>
    <row r="1006">
      <c r="A1006" s="185" t="str">
        <f>IFERROR(__xludf.DUMMYFUNCTION("""COMPUTED_VALUE"""),"Industry data / software authority")</f>
        <v>Industry data / software authority</v>
      </c>
      <c r="B1006" s="186" t="str">
        <f>IFERROR(__xludf.DUMMYFUNCTION("""COMPUTED_VALUE"""),"https://agencies.semrush.com/list/programmatic-advertising/germany/")</f>
        <v>https://agencies.semrush.com/list/programmatic-advertising/germany/</v>
      </c>
      <c r="C1006" s="185" t="str">
        <f>IFERROR(__xludf.DUMMYFUNCTION("""COMPUTED_VALUE"""),"Best Programmatic Advertising Agencies in Germany 2026 | Semrush")</f>
        <v>Best Programmatic Advertising Agencies in Germany 2026 | Semrush</v>
      </c>
      <c r="D1006" s="185" t="str">
        <f>IFERROR(__xludf.DUMMYFUNCTION("""COMPUTED_VALUE"""),"DE")</f>
        <v>DE</v>
      </c>
      <c r="E1006" s="185" t="str">
        <f>IFERROR(__xludf.DUMMYFUNCTION("""COMPUTED_VALUE"""),"semrush.com")</f>
        <v>semrush.com</v>
      </c>
      <c r="F1006" s="185" t="str">
        <f>IFERROR(__xludf.DUMMYFUNCTION("""COMPUTED_VALUE"""),"Category Page")</f>
        <v>Category Page</v>
      </c>
      <c r="G1006" s="185" t="str">
        <f>IFERROR(__xludf.DUMMYFUNCTION("""COMPUTED_VALUE"""),"CORPORATE")</f>
        <v>CORPORATE</v>
      </c>
      <c r="H1006" s="185" t="str">
        <f>IFERROR(__xludf.DUMMYFUNCTION("""COMPUTED_VALUE"""),"No")</f>
        <v>No</v>
      </c>
      <c r="I1006" s="185" t="str">
        <f>IFERROR(__xludf.DUMMYFUNCTION("""COMPUTED_VALUE"""),"Medium")</f>
        <v>Medium</v>
      </c>
      <c r="J1006" s="185" t="str">
        <f>IFERROR(__xludf.DUMMYFUNCTION("""COMPUTED_VALUE"""),"Yes")</f>
        <v>Yes</v>
      </c>
      <c r="K1006" s="185" t="str">
        <f>IFERROR(__xludf.DUMMYFUNCTION("""COMPUTED_VALUE"""),"morefire, Mediaplus Performance, KlickPiloten")</f>
        <v>morefire, Mediaplus Performance, KlickPiloten</v>
      </c>
      <c r="L1006" s="187">
        <f>IFERROR(__xludf.DUMMYFUNCTION("""COMPUTED_VALUE"""),5.0)</f>
        <v>5</v>
      </c>
      <c r="M1006" s="188">
        <f>IFERROR(__xludf.DUMMYFUNCTION("""COMPUTED_VALUE"""),0.01)</f>
        <v>0.01</v>
      </c>
      <c r="N1006" s="188">
        <f>IFERROR(__xludf.DUMMYFUNCTION("""COMPUTED_VALUE"""),0.8)</f>
        <v>0.8</v>
      </c>
      <c r="O1006" s="208"/>
      <c r="P1006" s="208"/>
      <c r="Q1006" s="208"/>
      <c r="R1006" s="208"/>
    </row>
    <row r="1007">
      <c r="A1007" s="185" t="str">
        <f>IFERROR(__xludf.DUMMYFUNCTION("""COMPUTED_VALUE"""),"Industry association / institutional authority")</f>
        <v>Industry association / institutional authority</v>
      </c>
      <c r="B1007" s="186" t="str">
        <f>IFERROR(__xludf.DUMMYFUNCTION("""COMPUTED_VALUE"""),"https://www.bvdw.org/news-und-publikationen/bvdw-kreativranking-2025/")</f>
        <v>https://www.bvdw.org/news-und-publikationen/bvdw-kreativranking-2025/</v>
      </c>
      <c r="C1007" s="185" t="str">
        <f>IFERROR(__xludf.DUMMYFUNCTION("""COMPUTED_VALUE"""),"BVDW Kreativranking 2025: Serviceplan bleibt Spitzenreiter")</f>
        <v>BVDW Kreativranking 2025: Serviceplan bleibt Spitzenreiter</v>
      </c>
      <c r="D1007" s="185" t="str">
        <f>IFERROR(__xludf.DUMMYFUNCTION("""COMPUTED_VALUE"""),"DE")</f>
        <v>DE</v>
      </c>
      <c r="E1007" s="185" t="str">
        <f>IFERROR(__xludf.DUMMYFUNCTION("""COMPUTED_VALUE"""),"bvdw.org")</f>
        <v>bvdw.org</v>
      </c>
      <c r="F1007" s="185" t="str">
        <f>IFERROR(__xludf.DUMMYFUNCTION("""COMPUTED_VALUE"""),"Listicle")</f>
        <v>Listicle</v>
      </c>
      <c r="G1007" s="185" t="str">
        <f>IFERROR(__xludf.DUMMYFUNCTION("""COMPUTED_VALUE"""),"INSTITUTIONAL")</f>
        <v>INSTITUTIONAL</v>
      </c>
      <c r="H1007" s="185" t="str">
        <f>IFERROR(__xludf.DUMMYFUNCTION("""COMPUTED_VALUE"""),"No")</f>
        <v>No</v>
      </c>
      <c r="I1007" s="185" t="str">
        <f>IFERROR(__xludf.DUMMYFUNCTION("""COMPUTED_VALUE"""),"High")</f>
        <v>High</v>
      </c>
      <c r="J1007" s="185" t="str">
        <f>IFERROR(__xludf.DUMMYFUNCTION("""COMPUTED_VALUE"""),"Yes - priority")</f>
        <v>Yes - priority</v>
      </c>
      <c r="K1007" s="185" t="str">
        <f>IFERROR(__xludf.DUMMYFUNCTION("""COMPUTED_VALUE"""),"Ogilvy, Scholz &amp; Friends")</f>
        <v>Ogilvy, Scholz &amp; Friends</v>
      </c>
      <c r="L1007" s="187">
        <f>IFERROR(__xludf.DUMMYFUNCTION("""COMPUTED_VALUE"""),5.0)</f>
        <v>5</v>
      </c>
      <c r="M1007" s="188">
        <f>IFERROR(__xludf.DUMMYFUNCTION("""COMPUTED_VALUE"""),0.01)</f>
        <v>0.01</v>
      </c>
      <c r="N1007" s="188">
        <f>IFERROR(__xludf.DUMMYFUNCTION("""COMPUTED_VALUE"""),0.0)</f>
        <v>0</v>
      </c>
      <c r="O1007" s="208"/>
      <c r="P1007" s="208"/>
      <c r="Q1007" s="208"/>
      <c r="R1007" s="208"/>
    </row>
    <row r="1008">
      <c r="A1008" s="185" t="str">
        <f>IFERROR(__xludf.DUMMYFUNCTION("""COMPUTED_VALUE"""),"Agency directory / review marketplace")</f>
        <v>Agency directory / review marketplace</v>
      </c>
      <c r="B1008" s="186" t="str">
        <f>IFERROR(__xludf.DUMMYFUNCTION("""COMPUTED_VALUE"""),"https://clutch.co/agencies/ppc/display")</f>
        <v>https://clutch.co/agencies/ppc/display</v>
      </c>
      <c r="C1008" s="185" t="str">
        <f>IFERROR(__xludf.DUMMYFUNCTION("""COMPUTED_VALUE"""),"Top Display Advertising Agencies - Jul 2026 Rankings | Clutch.co")</f>
        <v>Top Display Advertising Agencies - Jul 2026 Rankings | Clutch.co</v>
      </c>
      <c r="D1008" s="185" t="str">
        <f>IFERROR(__xludf.DUMMYFUNCTION("""COMPUTED_VALUE"""),"DE")</f>
        <v>DE</v>
      </c>
      <c r="E1008" s="185" t="str">
        <f>IFERROR(__xludf.DUMMYFUNCTION("""COMPUTED_VALUE"""),"clutch.co")</f>
        <v>clutch.co</v>
      </c>
      <c r="F1008" s="185" t="str">
        <f>IFERROR(__xludf.DUMMYFUNCTION("""COMPUTED_VALUE"""),"Category Page")</f>
        <v>Category Page</v>
      </c>
      <c r="G1008" s="185" t="str">
        <f>IFERROR(__xludf.DUMMYFUNCTION("""COMPUTED_VALUE"""),"CORPORATE")</f>
        <v>CORPORATE</v>
      </c>
      <c r="H1008" s="185" t="str">
        <f>IFERROR(__xludf.DUMMYFUNCTION("""COMPUTED_VALUE"""),"No")</f>
        <v>No</v>
      </c>
      <c r="I1008" s="185" t="str">
        <f>IFERROR(__xludf.DUMMYFUNCTION("""COMPUTED_VALUE"""),"Medium")</f>
        <v>Medium</v>
      </c>
      <c r="J1008" s="185" t="str">
        <f>IFERROR(__xludf.DUMMYFUNCTION("""COMPUTED_VALUE"""),"Yes")</f>
        <v>Yes</v>
      </c>
      <c r="K1008" s="185"/>
      <c r="L1008" s="187">
        <f>IFERROR(__xludf.DUMMYFUNCTION("""COMPUTED_VALUE"""),5.0)</f>
        <v>5</v>
      </c>
      <c r="M1008" s="188">
        <f>IFERROR(__xludf.DUMMYFUNCTION("""COMPUTED_VALUE"""),0.01)</f>
        <v>0.01</v>
      </c>
      <c r="N1008" s="188">
        <f>IFERROR(__xludf.DUMMYFUNCTION("""COMPUTED_VALUE"""),0.0)</f>
        <v>0</v>
      </c>
      <c r="O1008" s="208"/>
      <c r="P1008" s="208"/>
      <c r="Q1008" s="208"/>
      <c r="R1008" s="208"/>
    </row>
    <row r="1009">
      <c r="A1009" s="185" t="str">
        <f>IFERROR(__xludf.DUMMYFUNCTION("""COMPUTED_VALUE"""),"Agency directory / review marketplace")</f>
        <v>Agency directory / review marketplace</v>
      </c>
      <c r="B1009" s="186" t="str">
        <f>IFERROR(__xludf.DUMMYFUNCTION("""COMPUTED_VALUE"""),"https://clutch.co/de/agencies/programmatic")</f>
        <v>https://clutch.co/de/agencies/programmatic</v>
      </c>
      <c r="C1009" s="185" t="str">
        <f>IFERROR(__xludf.DUMMYFUNCTION("""COMPUTED_VALUE"""),"Top Programmatic Advertising Companies in Germany - Jul 2026 Rankings | Clutch.co")</f>
        <v>Top Programmatic Advertising Companies in Germany - Jul 2026 Rankings | Clutch.co</v>
      </c>
      <c r="D1009" s="185" t="str">
        <f>IFERROR(__xludf.DUMMYFUNCTION("""COMPUTED_VALUE"""),"DE")</f>
        <v>DE</v>
      </c>
      <c r="E1009" s="185" t="str">
        <f>IFERROR(__xludf.DUMMYFUNCTION("""COMPUTED_VALUE"""),"clutch.co")</f>
        <v>clutch.co</v>
      </c>
      <c r="F1009" s="185" t="str">
        <f>IFERROR(__xludf.DUMMYFUNCTION("""COMPUTED_VALUE"""),"Category Page")</f>
        <v>Category Page</v>
      </c>
      <c r="G1009" s="185" t="str">
        <f>IFERROR(__xludf.DUMMYFUNCTION("""COMPUTED_VALUE"""),"CORPORATE")</f>
        <v>CORPORATE</v>
      </c>
      <c r="H1009" s="185" t="str">
        <f>IFERROR(__xludf.DUMMYFUNCTION("""COMPUTED_VALUE"""),"No")</f>
        <v>No</v>
      </c>
      <c r="I1009" s="185" t="str">
        <f>IFERROR(__xludf.DUMMYFUNCTION("""COMPUTED_VALUE"""),"Medium")</f>
        <v>Medium</v>
      </c>
      <c r="J1009" s="185" t="str">
        <f>IFERROR(__xludf.DUMMYFUNCTION("""COMPUTED_VALUE"""),"Yes")</f>
        <v>Yes</v>
      </c>
      <c r="K1009" s="185" t="str">
        <f>IFERROR(__xludf.DUMMYFUNCTION("""COMPUTED_VALUE"""),"Phiture, PANORAMA3000, morefire, WeLikeWeb GmbH")</f>
        <v>Phiture, PANORAMA3000, morefire, WeLikeWeb GmbH</v>
      </c>
      <c r="L1009" s="187">
        <f>IFERROR(__xludf.DUMMYFUNCTION("""COMPUTED_VALUE"""),5.0)</f>
        <v>5</v>
      </c>
      <c r="M1009" s="188">
        <f>IFERROR(__xludf.DUMMYFUNCTION("""COMPUTED_VALUE"""),0.01)</f>
        <v>0.01</v>
      </c>
      <c r="N1009" s="188">
        <f>IFERROR(__xludf.DUMMYFUNCTION("""COMPUTED_VALUE"""),1.4)</f>
        <v>1.4</v>
      </c>
      <c r="O1009" s="208"/>
      <c r="P1009" s="208"/>
      <c r="Q1009" s="208"/>
      <c r="R1009" s="208"/>
    </row>
    <row r="1010">
      <c r="A1010" s="185" t="str">
        <f>IFERROR(__xludf.DUMMYFUNCTION("""COMPUTED_VALUE"""),"Agency directory / review marketplace")</f>
        <v>Agency directory / review marketplace</v>
      </c>
      <c r="B1010" s="186" t="str">
        <f>IFERROR(__xludf.DUMMYFUNCTION("""COMPUTED_VALUE"""),"https://clutch.co/de/consulting/ai/maturation")</f>
        <v>https://clutch.co/de/consulting/ai/maturation</v>
      </c>
      <c r="C1010" s="185" t="str">
        <f>IFERROR(__xludf.DUMMYFUNCTION("""COMPUTED_VALUE"""),"Top AI Maturation Services in Germany - Jul 2026 Rankings | Clutch.co")</f>
        <v>Top AI Maturation Services in Germany - Jul 2026 Rankings | Clutch.co</v>
      </c>
      <c r="D1010" s="185" t="str">
        <f>IFERROR(__xludf.DUMMYFUNCTION("""COMPUTED_VALUE"""),"DE")</f>
        <v>DE</v>
      </c>
      <c r="E1010" s="185" t="str">
        <f>IFERROR(__xludf.DUMMYFUNCTION("""COMPUTED_VALUE"""),"clutch.co")</f>
        <v>clutch.co</v>
      </c>
      <c r="F1010" s="185" t="str">
        <f>IFERROR(__xludf.DUMMYFUNCTION("""COMPUTED_VALUE"""),"Other")</f>
        <v>Other</v>
      </c>
      <c r="G1010" s="185" t="str">
        <f>IFERROR(__xludf.DUMMYFUNCTION("""COMPUTED_VALUE"""),"CORPORATE")</f>
        <v>CORPORATE</v>
      </c>
      <c r="H1010" s="185" t="str">
        <f>IFERROR(__xludf.DUMMYFUNCTION("""COMPUTED_VALUE"""),"No")</f>
        <v>No</v>
      </c>
      <c r="I1010" s="185" t="str">
        <f>IFERROR(__xludf.DUMMYFUNCTION("""COMPUTED_VALUE"""),"Medium")</f>
        <v>Medium</v>
      </c>
      <c r="J1010" s="185" t="str">
        <f>IFERROR(__xludf.DUMMYFUNCTION("""COMPUTED_VALUE"""),"Yes")</f>
        <v>Yes</v>
      </c>
      <c r="K1010" s="185"/>
      <c r="L1010" s="187">
        <f>IFERROR(__xludf.DUMMYFUNCTION("""COMPUTED_VALUE"""),5.0)</f>
        <v>5</v>
      </c>
      <c r="M1010" s="188">
        <f>IFERROR(__xludf.DUMMYFUNCTION("""COMPUTED_VALUE"""),0.01)</f>
        <v>0.01</v>
      </c>
      <c r="N1010" s="188">
        <f>IFERROR(__xludf.DUMMYFUNCTION("""COMPUTED_VALUE"""),0.4)</f>
        <v>0.4</v>
      </c>
      <c r="O1010" s="208"/>
      <c r="P1010" s="208"/>
      <c r="Q1010" s="208"/>
      <c r="R1010" s="208"/>
    </row>
    <row r="1011">
      <c r="A1011" s="185" t="str">
        <f>IFERROR(__xludf.DUMMYFUNCTION("""COMPUTED_VALUE"""),"Agency directory / review marketplace")</f>
        <v>Agency directory / review marketplace</v>
      </c>
      <c r="B1011" s="186" t="str">
        <f>IFERROR(__xludf.DUMMYFUNCTION("""COMPUTED_VALUE"""),"https://clutch.co/de/developers/artificial-intelligence")</f>
        <v>https://clutch.co/de/developers/artificial-intelligence</v>
      </c>
      <c r="C1011" s="185" t="str">
        <f>IFERROR(__xludf.DUMMYFUNCTION("""COMPUTED_VALUE"""),"Top Artificial Intelligence Companies in Germany - Jul 2026 Rankings | Clutch.co")</f>
        <v>Top Artificial Intelligence Companies in Germany - Jul 2026 Rankings | Clutch.co</v>
      </c>
      <c r="D1011" s="185" t="str">
        <f>IFERROR(__xludf.DUMMYFUNCTION("""COMPUTED_VALUE"""),"DE")</f>
        <v>DE</v>
      </c>
      <c r="E1011" s="185" t="str">
        <f>IFERROR(__xludf.DUMMYFUNCTION("""COMPUTED_VALUE"""),"clutch.co")</f>
        <v>clutch.co</v>
      </c>
      <c r="F1011" s="185" t="str">
        <f>IFERROR(__xludf.DUMMYFUNCTION("""COMPUTED_VALUE"""),"Category Page")</f>
        <v>Category Page</v>
      </c>
      <c r="G1011" s="185" t="str">
        <f>IFERROR(__xludf.DUMMYFUNCTION("""COMPUTED_VALUE"""),"CORPORATE")</f>
        <v>CORPORATE</v>
      </c>
      <c r="H1011" s="185" t="str">
        <f>IFERROR(__xludf.DUMMYFUNCTION("""COMPUTED_VALUE"""),"No")</f>
        <v>No</v>
      </c>
      <c r="I1011" s="185" t="str">
        <f>IFERROR(__xludf.DUMMYFUNCTION("""COMPUTED_VALUE"""),"Medium")</f>
        <v>Medium</v>
      </c>
      <c r="J1011" s="185" t="str">
        <f>IFERROR(__xludf.DUMMYFUNCTION("""COMPUTED_VALUE"""),"Yes")</f>
        <v>Yes</v>
      </c>
      <c r="K1011" s="185"/>
      <c r="L1011" s="187">
        <f>IFERROR(__xludf.DUMMYFUNCTION("""COMPUTED_VALUE"""),5.0)</f>
        <v>5</v>
      </c>
      <c r="M1011" s="188">
        <f>IFERROR(__xludf.DUMMYFUNCTION("""COMPUTED_VALUE"""),0.01)</f>
        <v>0.01</v>
      </c>
      <c r="N1011" s="188">
        <f>IFERROR(__xludf.DUMMYFUNCTION("""COMPUTED_VALUE"""),0.2)</f>
        <v>0.2</v>
      </c>
      <c r="O1011" s="208"/>
      <c r="P1011" s="208"/>
      <c r="Q1011" s="208"/>
      <c r="R1011" s="208"/>
    </row>
    <row r="1012">
      <c r="A1012" s="185" t="str">
        <f>IFERROR(__xludf.DUMMYFUNCTION("""COMPUTED_VALUE"""),"Agency directory / review marketplace")</f>
        <v>Agency directory / review marketplace</v>
      </c>
      <c r="B1012" s="186" t="str">
        <f>IFERROR(__xludf.DUMMYFUNCTION("""COMPUTED_VALUE"""),"https://clutch.co/de/developers/artificial-intelligence/generative")</f>
        <v>https://clutch.co/de/developers/artificial-intelligence/generative</v>
      </c>
      <c r="C1012" s="185" t="str">
        <f>IFERROR(__xludf.DUMMYFUNCTION("""COMPUTED_VALUE"""),"Top Generative AI Companies in Germany - Jul 2026 Rankings \| Clutch.co")</f>
        <v>Top Generative AI Companies in Germany - Jul 2026 Rankings \| Clutch.co</v>
      </c>
      <c r="D1012" s="185" t="str">
        <f>IFERROR(__xludf.DUMMYFUNCTION("""COMPUTED_VALUE"""),"DE")</f>
        <v>DE</v>
      </c>
      <c r="E1012" s="185" t="str">
        <f>IFERROR(__xludf.DUMMYFUNCTION("""COMPUTED_VALUE"""),"clutch.co")</f>
        <v>clutch.co</v>
      </c>
      <c r="F1012" s="185" t="str">
        <f>IFERROR(__xludf.DUMMYFUNCTION("""COMPUTED_VALUE"""),"Category Page")</f>
        <v>Category Page</v>
      </c>
      <c r="G1012" s="185" t="str">
        <f>IFERROR(__xludf.DUMMYFUNCTION("""COMPUTED_VALUE"""),"CORPORATE")</f>
        <v>CORPORATE</v>
      </c>
      <c r="H1012" s="185" t="str">
        <f>IFERROR(__xludf.DUMMYFUNCTION("""COMPUTED_VALUE"""),"No")</f>
        <v>No</v>
      </c>
      <c r="I1012" s="185" t="str">
        <f>IFERROR(__xludf.DUMMYFUNCTION("""COMPUTED_VALUE"""),"Medium")</f>
        <v>Medium</v>
      </c>
      <c r="J1012" s="185" t="str">
        <f>IFERROR(__xludf.DUMMYFUNCTION("""COMPUTED_VALUE"""),"Yes")</f>
        <v>Yes</v>
      </c>
      <c r="K1012" s="185" t="str">
        <f>IFERROR(__xludf.DUMMYFUNCTION("""COMPUTED_VALUE"""),"Admiral Media, Aufgesang")</f>
        <v>Admiral Media, Aufgesang</v>
      </c>
      <c r="L1012" s="187">
        <f>IFERROR(__xludf.DUMMYFUNCTION("""COMPUTED_VALUE"""),5.0)</f>
        <v>5</v>
      </c>
      <c r="M1012" s="188">
        <f>IFERROR(__xludf.DUMMYFUNCTION("""COMPUTED_VALUE"""),0.01)</f>
        <v>0.01</v>
      </c>
      <c r="N1012" s="188">
        <f>IFERROR(__xludf.DUMMYFUNCTION("""COMPUTED_VALUE"""),0.0)</f>
        <v>0</v>
      </c>
      <c r="O1012" s="208"/>
      <c r="P1012" s="208"/>
      <c r="Q1012" s="208"/>
      <c r="R1012" s="208"/>
    </row>
    <row r="1013">
      <c r="A1013" s="185" t="str">
        <f>IFERROR(__xludf.DUMMYFUNCTION("""COMPUTED_VALUE"""),"Agency directory / review marketplace")</f>
        <v>Agency directory / review marketplace</v>
      </c>
      <c r="B1013" s="186" t="str">
        <f>IFERROR(__xludf.DUMMYFUNCTION("""COMPUTED_VALUE"""),"https://www.designrush.com/agency/ai-companies/de")</f>
        <v>https://www.designrush.com/agency/ai-companies/de</v>
      </c>
      <c r="C1013" s="185" t="str">
        <f>IFERROR(__xludf.DUMMYFUNCTION("""COMPUTED_VALUE"""),"Top AI Companies in Germany | 2026")</f>
        <v>Top AI Companies in Germany | 2026</v>
      </c>
      <c r="D1013" s="185" t="str">
        <f>IFERROR(__xludf.DUMMYFUNCTION("""COMPUTED_VALUE"""),"DE")</f>
        <v>DE</v>
      </c>
      <c r="E1013" s="185" t="str">
        <f>IFERROR(__xludf.DUMMYFUNCTION("""COMPUTED_VALUE"""),"designrush.com")</f>
        <v>designrush.com</v>
      </c>
      <c r="F1013" s="185" t="str">
        <f>IFERROR(__xludf.DUMMYFUNCTION("""COMPUTED_VALUE"""),"Category Page")</f>
        <v>Category Page</v>
      </c>
      <c r="G1013" s="185" t="str">
        <f>IFERROR(__xludf.DUMMYFUNCTION("""COMPUTED_VALUE"""),"CORPORATE")</f>
        <v>CORPORATE</v>
      </c>
      <c r="H1013" s="185" t="str">
        <f>IFERROR(__xludf.DUMMYFUNCTION("""COMPUTED_VALUE"""),"No")</f>
        <v>No</v>
      </c>
      <c r="I1013" s="185" t="str">
        <f>IFERROR(__xludf.DUMMYFUNCTION("""COMPUTED_VALUE"""),"Medium")</f>
        <v>Medium</v>
      </c>
      <c r="J1013" s="185" t="str">
        <f>IFERROR(__xludf.DUMMYFUNCTION("""COMPUTED_VALUE"""),"Yes")</f>
        <v>Yes</v>
      </c>
      <c r="K1013" s="185"/>
      <c r="L1013" s="187">
        <f>IFERROR(__xludf.DUMMYFUNCTION("""COMPUTED_VALUE"""),5.0)</f>
        <v>5</v>
      </c>
      <c r="M1013" s="188">
        <f>IFERROR(__xludf.DUMMYFUNCTION("""COMPUTED_VALUE"""),0.01)</f>
        <v>0.01</v>
      </c>
      <c r="N1013" s="188">
        <f>IFERROR(__xludf.DUMMYFUNCTION("""COMPUTED_VALUE"""),0.0)</f>
        <v>0</v>
      </c>
      <c r="O1013" s="208"/>
      <c r="P1013" s="208"/>
      <c r="Q1013" s="208"/>
      <c r="R1013" s="208"/>
    </row>
    <row r="1014">
      <c r="A1014" s="185" t="str">
        <f>IFERROR(__xludf.DUMMYFUNCTION("""COMPUTED_VALUE"""),"Official partner / certification ecosystem")</f>
        <v>Official partner / certification ecosystem</v>
      </c>
      <c r="B1014" s="186" t="str">
        <f>IFERROR(__xludf.DUMMYFUNCTION("""COMPUTED_VALUE"""),"https://www.google.com/partners/")</f>
        <v>https://www.google.com/partners/</v>
      </c>
      <c r="C1014" s="185"/>
      <c r="D1014" s="185" t="str">
        <f>IFERROR(__xludf.DUMMYFUNCTION("""COMPUTED_VALUE"""),"DE")</f>
        <v>DE</v>
      </c>
      <c r="E1014" s="185" t="str">
        <f>IFERROR(__xludf.DUMMYFUNCTION("""COMPUTED_VALUE"""),"google.com")</f>
        <v>google.com</v>
      </c>
      <c r="F1014" s="185" t="str">
        <f>IFERROR(__xludf.DUMMYFUNCTION("""COMPUTED_VALUE"""),"Other")</f>
        <v>Other</v>
      </c>
      <c r="G1014" s="185" t="str">
        <f>IFERROR(__xludf.DUMMYFUNCTION("""COMPUTED_VALUE"""),"OTHER")</f>
        <v>OTHER</v>
      </c>
      <c r="H1014" s="185" t="str">
        <f>IFERROR(__xludf.DUMMYFUNCTION("""COMPUTED_VALUE"""),"No")</f>
        <v>No</v>
      </c>
      <c r="I1014" s="185" t="str">
        <f>IFERROR(__xludf.DUMMYFUNCTION("""COMPUTED_VALUE"""),"High")</f>
        <v>High</v>
      </c>
      <c r="J1014" s="185" t="str">
        <f>IFERROR(__xludf.DUMMYFUNCTION("""COMPUTED_VALUE"""),"Yes - priority")</f>
        <v>Yes - priority</v>
      </c>
      <c r="K1014" s="185" t="str">
        <f>IFERROR(__xludf.DUMMYFUNCTION("""COMPUTED_VALUE"""),"Unknown")</f>
        <v>Unknown</v>
      </c>
      <c r="L1014" s="187">
        <f>IFERROR(__xludf.DUMMYFUNCTION("""COMPUTED_VALUE"""),5.0)</f>
        <v>5</v>
      </c>
      <c r="M1014" s="188">
        <f>IFERROR(__xludf.DUMMYFUNCTION("""COMPUTED_VALUE"""),0.01)</f>
        <v>0.01</v>
      </c>
      <c r="N1014" s="188">
        <f>IFERROR(__xludf.DUMMYFUNCTION("""COMPUTED_VALUE"""),0.2)</f>
        <v>0.2</v>
      </c>
      <c r="O1014" s="208"/>
      <c r="P1014" s="208"/>
      <c r="Q1014" s="208"/>
      <c r="R1014" s="208"/>
    </row>
    <row r="1015">
      <c r="A1015" s="185" t="str">
        <f>IFERROR(__xludf.DUMMYFUNCTION("""COMPUTED_VALUE"""),"Official partner / certification ecosystem")</f>
        <v>Official partner / certification ecosystem</v>
      </c>
      <c r="B1015" s="186" t="str">
        <f>IFERROR(__xludf.DUMMYFUNCTION("""COMPUTED_VALUE"""),"https://marketingplatform.google.com/about/partners/find-a-partner?category=206&amp;geo=Deutschland&amp;q=&amp;region=EU")</f>
        <v>https://marketingplatform.google.com/about/partners/find-a-partner?category=206&amp;geo=Deutschland&amp;q=&amp;region=EU</v>
      </c>
      <c r="C1015" s="185"/>
      <c r="D1015" s="185" t="str">
        <f>IFERROR(__xludf.DUMMYFUNCTION("""COMPUTED_VALUE"""),"DE")</f>
        <v>DE</v>
      </c>
      <c r="E1015" s="185" t="str">
        <f>IFERROR(__xludf.DUMMYFUNCTION("""COMPUTED_VALUE"""),"google.com")</f>
        <v>google.com</v>
      </c>
      <c r="F1015" s="185" t="str">
        <f>IFERROR(__xludf.DUMMYFUNCTION("""COMPUTED_VALUE"""),"Other")</f>
        <v>Other</v>
      </c>
      <c r="G1015" s="185" t="str">
        <f>IFERROR(__xludf.DUMMYFUNCTION("""COMPUTED_VALUE"""),"OTHER")</f>
        <v>OTHER</v>
      </c>
      <c r="H1015" s="185" t="str">
        <f>IFERROR(__xludf.DUMMYFUNCTION("""COMPUTED_VALUE"""),"No")</f>
        <v>No</v>
      </c>
      <c r="I1015" s="185" t="str">
        <f>IFERROR(__xludf.DUMMYFUNCTION("""COMPUTED_VALUE"""),"High")</f>
        <v>High</v>
      </c>
      <c r="J1015" s="185" t="str">
        <f>IFERROR(__xludf.DUMMYFUNCTION("""COMPUTED_VALUE"""),"Yes - priority")</f>
        <v>Yes - priority</v>
      </c>
      <c r="K1015" s="185" t="str">
        <f>IFERROR(__xludf.DUMMYFUNCTION("""COMPUTED_VALUE"""),"Unknown")</f>
        <v>Unknown</v>
      </c>
      <c r="L1015" s="187">
        <f>IFERROR(__xludf.DUMMYFUNCTION("""COMPUTED_VALUE"""),5.0)</f>
        <v>5</v>
      </c>
      <c r="M1015" s="188">
        <f>IFERROR(__xludf.DUMMYFUNCTION("""COMPUTED_VALUE"""),0.01)</f>
        <v>0.01</v>
      </c>
      <c r="N1015" s="188">
        <f>IFERROR(__xludf.DUMMYFUNCTION("""COMPUTED_VALUE"""),2.4)</f>
        <v>2.4</v>
      </c>
      <c r="O1015" s="208"/>
      <c r="P1015" s="208"/>
      <c r="Q1015" s="208"/>
      <c r="R1015" s="208"/>
    </row>
    <row r="1016">
      <c r="A1016" s="185" t="str">
        <f>IFERROR(__xludf.DUMMYFUNCTION("""COMPUTED_VALUE"""),"Official partner / certification ecosystem")</f>
        <v>Official partner / certification ecosystem</v>
      </c>
      <c r="B1016" s="186" t="str">
        <f>IFERROR(__xludf.DUMMYFUNCTION("""COMPUTED_VALUE"""),"https://marketingplatform.google.com/about/partners/?hl=de")</f>
        <v>https://marketingplatform.google.com/about/partners/?hl=de</v>
      </c>
      <c r="C1016" s="185" t="str">
        <f>IFERROR(__xludf.DUMMYFUNCTION("""COMPUTED_VALUE"""),"Meet Your New Marketing Partner - Google Marketing Platform Partners")</f>
        <v>Meet Your New Marketing Partner - Google Marketing Platform Partners</v>
      </c>
      <c r="D1016" s="185" t="str">
        <f>IFERROR(__xludf.DUMMYFUNCTION("""COMPUTED_VALUE"""),"DE")</f>
        <v>DE</v>
      </c>
      <c r="E1016" s="185" t="str">
        <f>IFERROR(__xludf.DUMMYFUNCTION("""COMPUTED_VALUE"""),"google.com")</f>
        <v>google.com</v>
      </c>
      <c r="F1016" s="185" t="str">
        <f>IFERROR(__xludf.DUMMYFUNCTION("""COMPUTED_VALUE"""),"Category Page")</f>
        <v>Category Page</v>
      </c>
      <c r="G1016" s="185" t="str">
        <f>IFERROR(__xludf.DUMMYFUNCTION("""COMPUTED_VALUE"""),"OTHER")</f>
        <v>OTHER</v>
      </c>
      <c r="H1016" s="185" t="str">
        <f>IFERROR(__xludf.DUMMYFUNCTION("""COMPUTED_VALUE"""),"No")</f>
        <v>No</v>
      </c>
      <c r="I1016" s="185" t="str">
        <f>IFERROR(__xludf.DUMMYFUNCTION("""COMPUTED_VALUE"""),"High")</f>
        <v>High</v>
      </c>
      <c r="J1016" s="185" t="str">
        <f>IFERROR(__xludf.DUMMYFUNCTION("""COMPUTED_VALUE"""),"Yes - priority")</f>
        <v>Yes - priority</v>
      </c>
      <c r="K1016" s="185"/>
      <c r="L1016" s="187">
        <f>IFERROR(__xludf.DUMMYFUNCTION("""COMPUTED_VALUE"""),5.0)</f>
        <v>5</v>
      </c>
      <c r="M1016" s="188">
        <f>IFERROR(__xludf.DUMMYFUNCTION("""COMPUTED_VALUE"""),0.01)</f>
        <v>0.01</v>
      </c>
      <c r="N1016" s="188">
        <f>IFERROR(__xludf.DUMMYFUNCTION("""COMPUTED_VALUE"""),0.8)</f>
        <v>0.8</v>
      </c>
      <c r="O1016" s="208"/>
      <c r="P1016" s="208"/>
      <c r="Q1016" s="208"/>
      <c r="R1016" s="208"/>
    </row>
    <row r="1017">
      <c r="A1017" s="185" t="str">
        <f>IFERROR(__xludf.DUMMYFUNCTION("""COMPUTED_VALUE"""),"Official partner / certification ecosystem")</f>
        <v>Official partner / certification ecosystem</v>
      </c>
      <c r="B1017" s="186" t="str">
        <f>IFERROR(__xludf.DUMMYFUNCTION("""COMPUTED_VALUE"""),"https://partnersdirectory.withgoogle.com/intl/de/")</f>
        <v>https://partnersdirectory.withgoogle.com/intl/de/</v>
      </c>
      <c r="C1017" s="185" t="str">
        <f>IFERROR(__xludf.DUMMYFUNCTION("""COMPUTED_VALUE"""),"Google Partner-Verzeichnis – Unternehmenswachstum mit dem richtigen Partner beschleunigen")</f>
        <v>Google Partner-Verzeichnis – Unternehmenswachstum mit dem richtigen Partner beschleunigen</v>
      </c>
      <c r="D1017" s="185" t="str">
        <f>IFERROR(__xludf.DUMMYFUNCTION("""COMPUTED_VALUE"""),"DE")</f>
        <v>DE</v>
      </c>
      <c r="E1017" s="185" t="str">
        <f>IFERROR(__xludf.DUMMYFUNCTION("""COMPUTED_VALUE"""),"withgoogle.com")</f>
        <v>withgoogle.com</v>
      </c>
      <c r="F1017" s="185" t="str">
        <f>IFERROR(__xludf.DUMMYFUNCTION("""COMPUTED_VALUE"""),"Category Page")</f>
        <v>Category Page</v>
      </c>
      <c r="G1017" s="185" t="str">
        <f>IFERROR(__xludf.DUMMYFUNCTION("""COMPUTED_VALUE"""),"CORPORATE")</f>
        <v>CORPORATE</v>
      </c>
      <c r="H1017" s="185" t="str">
        <f>IFERROR(__xludf.DUMMYFUNCTION("""COMPUTED_VALUE"""),"No")</f>
        <v>No</v>
      </c>
      <c r="I1017" s="185" t="str">
        <f>IFERROR(__xludf.DUMMYFUNCTION("""COMPUTED_VALUE"""),"High")</f>
        <v>High</v>
      </c>
      <c r="J1017" s="185" t="str">
        <f>IFERROR(__xludf.DUMMYFUNCTION("""COMPUTED_VALUE"""),"Yes - priority")</f>
        <v>Yes - priority</v>
      </c>
      <c r="K1017" s="185" t="str">
        <f>IFERROR(__xludf.DUMMYFUNCTION("""COMPUTED_VALUE"""),"Acadia")</f>
        <v>Acadia</v>
      </c>
      <c r="L1017" s="187">
        <f>IFERROR(__xludf.DUMMYFUNCTION("""COMPUTED_VALUE"""),5.0)</f>
        <v>5</v>
      </c>
      <c r="M1017" s="188">
        <f>IFERROR(__xludf.DUMMYFUNCTION("""COMPUTED_VALUE"""),0.01)</f>
        <v>0.01</v>
      </c>
      <c r="N1017" s="188">
        <f>IFERROR(__xludf.DUMMYFUNCTION("""COMPUTED_VALUE"""),0.2)</f>
        <v>0.2</v>
      </c>
      <c r="O1017" s="208"/>
      <c r="P1017" s="208"/>
      <c r="Q1017" s="208"/>
      <c r="R1017" s="208"/>
    </row>
    <row r="1018">
      <c r="A1018" s="185" t="str">
        <f>IFERROR(__xludf.DUMMYFUNCTION("""COMPUTED_VALUE"""),"Agency directory / review marketplace")</f>
        <v>Agency directory / review marketplace</v>
      </c>
      <c r="B1018" s="186" t="str">
        <f>IFERROR(__xludf.DUMMYFUNCTION("""COMPUTED_VALUE"""),"https://www.sortlist.com/s/artificial-intelligence/munich-by-de")</f>
        <v>https://www.sortlist.com/s/artificial-intelligence/munich-by-de</v>
      </c>
      <c r="C1018" s="185" t="str">
        <f>IFERROR(__xludf.DUMMYFUNCTION("""COMPUTED_VALUE"""),"The 10 Best Artificial Intelligence Agencies in Munich - 2026 Reviews")</f>
        <v>The 10 Best Artificial Intelligence Agencies in Munich - 2026 Reviews</v>
      </c>
      <c r="D1018" s="185" t="str">
        <f>IFERROR(__xludf.DUMMYFUNCTION("""COMPUTED_VALUE"""),"DE")</f>
        <v>DE</v>
      </c>
      <c r="E1018" s="185" t="str">
        <f>IFERROR(__xludf.DUMMYFUNCTION("""COMPUTED_VALUE"""),"sortlist.com")</f>
        <v>sortlist.com</v>
      </c>
      <c r="F1018" s="185" t="str">
        <f>IFERROR(__xludf.DUMMYFUNCTION("""COMPUTED_VALUE"""),"Category Page")</f>
        <v>Category Page</v>
      </c>
      <c r="G1018" s="185" t="str">
        <f>IFERROR(__xludf.DUMMYFUNCTION("""COMPUTED_VALUE"""),"CORPORATE")</f>
        <v>CORPORATE</v>
      </c>
      <c r="H1018" s="185" t="str">
        <f>IFERROR(__xludf.DUMMYFUNCTION("""COMPUTED_VALUE"""),"No")</f>
        <v>No</v>
      </c>
      <c r="I1018" s="185" t="str">
        <f>IFERROR(__xludf.DUMMYFUNCTION("""COMPUTED_VALUE"""),"Medium")</f>
        <v>Medium</v>
      </c>
      <c r="J1018" s="185" t="str">
        <f>IFERROR(__xludf.DUMMYFUNCTION("""COMPUTED_VALUE"""),"Yes")</f>
        <v>Yes</v>
      </c>
      <c r="K1018" s="185" t="str">
        <f>IFERROR(__xludf.DUMMYFUNCTION("""COMPUTED_VALUE"""),"Momentum, Pilot")</f>
        <v>Momentum, Pilot</v>
      </c>
      <c r="L1018" s="187">
        <f>IFERROR(__xludf.DUMMYFUNCTION("""COMPUTED_VALUE"""),5.0)</f>
        <v>5</v>
      </c>
      <c r="M1018" s="188">
        <f>IFERROR(__xludf.DUMMYFUNCTION("""COMPUTED_VALUE"""),0.01)</f>
        <v>0.01</v>
      </c>
      <c r="N1018" s="188">
        <f>IFERROR(__xludf.DUMMYFUNCTION("""COMPUTED_VALUE"""),1.4)</f>
        <v>1.4</v>
      </c>
      <c r="O1018" s="208"/>
      <c r="P1018" s="208"/>
      <c r="Q1018" s="208"/>
      <c r="R1018" s="208"/>
    </row>
    <row r="1019">
      <c r="A1019" s="185" t="str">
        <f>IFERROR(__xludf.DUMMYFUNCTION("""COMPUTED_VALUE"""),"Agency directory / review marketplace")</f>
        <v>Agency directory / review marketplace</v>
      </c>
      <c r="B1019" s="186" t="str">
        <f>IFERROR(__xludf.DUMMYFUNCTION("""COMPUTED_VALUE"""),"https://www.sortlist.de/s/attributionsmarketing/deutschland-de")</f>
        <v>https://www.sortlist.de/s/attributionsmarketing/deutschland-de</v>
      </c>
      <c r="C1019" s="185" t="str">
        <f>IFERROR(__xludf.DUMMYFUNCTION("""COMPUTED_VALUE"""),"Attributionsmarketing Agentur Deutschland vergleichen")</f>
        <v>Attributionsmarketing Agentur Deutschland vergleichen</v>
      </c>
      <c r="D1019" s="185" t="str">
        <f>IFERROR(__xludf.DUMMYFUNCTION("""COMPUTED_VALUE"""),"DE")</f>
        <v>DE</v>
      </c>
      <c r="E1019" s="185" t="str">
        <f>IFERROR(__xludf.DUMMYFUNCTION("""COMPUTED_VALUE"""),"sortlist.de")</f>
        <v>sortlist.de</v>
      </c>
      <c r="F1019" s="185" t="str">
        <f>IFERROR(__xludf.DUMMYFUNCTION("""COMPUTED_VALUE"""),"Category Page")</f>
        <v>Category Page</v>
      </c>
      <c r="G1019" s="185" t="str">
        <f>IFERROR(__xludf.DUMMYFUNCTION("""COMPUTED_VALUE"""),"CORPORATE")</f>
        <v>CORPORATE</v>
      </c>
      <c r="H1019" s="185" t="str">
        <f>IFERROR(__xludf.DUMMYFUNCTION("""COMPUTED_VALUE"""),"No")</f>
        <v>No</v>
      </c>
      <c r="I1019" s="185" t="str">
        <f>IFERROR(__xludf.DUMMYFUNCTION("""COMPUTED_VALUE"""),"Medium")</f>
        <v>Medium</v>
      </c>
      <c r="J1019" s="185" t="str">
        <f>IFERROR(__xludf.DUMMYFUNCTION("""COMPUTED_VALUE"""),"Yes")</f>
        <v>Yes</v>
      </c>
      <c r="K1019" s="185" t="str">
        <f>IFERROR(__xludf.DUMMYFUNCTION("""COMPUTED_VALUE"""),"Customlytics")</f>
        <v>Customlytics</v>
      </c>
      <c r="L1019" s="187">
        <f>IFERROR(__xludf.DUMMYFUNCTION("""COMPUTED_VALUE"""),5.0)</f>
        <v>5</v>
      </c>
      <c r="M1019" s="188">
        <f>IFERROR(__xludf.DUMMYFUNCTION("""COMPUTED_VALUE"""),0.01)</f>
        <v>0.01</v>
      </c>
      <c r="N1019" s="188">
        <f>IFERROR(__xludf.DUMMYFUNCTION("""COMPUTED_VALUE"""),2.4)</f>
        <v>2.4</v>
      </c>
      <c r="O1019" s="208"/>
      <c r="P1019" s="208"/>
      <c r="Q1019" s="208"/>
      <c r="R1019" s="208"/>
    </row>
    <row r="1020">
      <c r="A1020" s="185" t="str">
        <f>IFERROR(__xludf.DUMMYFUNCTION("""COMPUTED_VALUE"""),"Agency directory / review marketplace")</f>
        <v>Agency directory / review marketplace</v>
      </c>
      <c r="B1020" s="186" t="str">
        <f>IFERROR(__xludf.DUMMYFUNCTION("""COMPUTED_VALUE"""),"https://www.sortlist.de/s/kunstliche-intelligenz/deutschland-de")</f>
        <v>https://www.sortlist.de/s/kunstliche-intelligenz/deutschland-de</v>
      </c>
      <c r="C1020" s="185" t="str">
        <f>IFERROR(__xludf.DUMMYFUNCTION("""COMPUTED_VALUE"""),"Unsere 10 Besten Künstliche Intelligenz Agenturen in Deutschland - 2026 Bewertungen")</f>
        <v>Unsere 10 Besten Künstliche Intelligenz Agenturen in Deutschland - 2026 Bewertungen</v>
      </c>
      <c r="D1020" s="185" t="str">
        <f>IFERROR(__xludf.DUMMYFUNCTION("""COMPUTED_VALUE"""),"DE")</f>
        <v>DE</v>
      </c>
      <c r="E1020" s="185" t="str">
        <f>IFERROR(__xludf.DUMMYFUNCTION("""COMPUTED_VALUE"""),"sortlist.de")</f>
        <v>sortlist.de</v>
      </c>
      <c r="F1020" s="185" t="str">
        <f>IFERROR(__xludf.DUMMYFUNCTION("""COMPUTED_VALUE"""),"Profile")</f>
        <v>Profile</v>
      </c>
      <c r="G1020" s="185" t="str">
        <f>IFERROR(__xludf.DUMMYFUNCTION("""COMPUTED_VALUE"""),"CORPORATE")</f>
        <v>CORPORATE</v>
      </c>
      <c r="H1020" s="185" t="str">
        <f>IFERROR(__xludf.DUMMYFUNCTION("""COMPUTED_VALUE"""),"No")</f>
        <v>No</v>
      </c>
      <c r="I1020" s="185" t="str">
        <f>IFERROR(__xludf.DUMMYFUNCTION("""COMPUTED_VALUE"""),"Medium")</f>
        <v>Medium</v>
      </c>
      <c r="J1020" s="185" t="str">
        <f>IFERROR(__xludf.DUMMYFUNCTION("""COMPUTED_VALUE"""),"Yes")</f>
        <v>Yes</v>
      </c>
      <c r="K1020" s="185" t="str">
        <f>IFERROR(__xludf.DUMMYFUNCTION("""COMPUTED_VALUE"""),"Pilot")</f>
        <v>Pilot</v>
      </c>
      <c r="L1020" s="187">
        <f>IFERROR(__xludf.DUMMYFUNCTION("""COMPUTED_VALUE"""),5.0)</f>
        <v>5</v>
      </c>
      <c r="M1020" s="188">
        <f>IFERROR(__xludf.DUMMYFUNCTION("""COMPUTED_VALUE"""),0.01)</f>
        <v>0.01</v>
      </c>
      <c r="N1020" s="188">
        <f>IFERROR(__xludf.DUMMYFUNCTION("""COMPUTED_VALUE"""),0.0)</f>
        <v>0</v>
      </c>
      <c r="O1020" s="208"/>
      <c r="P1020" s="208"/>
      <c r="Q1020" s="208"/>
      <c r="R1020" s="208"/>
    </row>
    <row r="1021">
      <c r="A1021" s="185" t="str">
        <f>IFERROR(__xludf.DUMMYFUNCTION("""COMPUTED_VALUE"""),"Agency directory / review marketplace")</f>
        <v>Agency directory / review marketplace</v>
      </c>
      <c r="B1021" s="186" t="str">
        <f>IFERROR(__xludf.DUMMYFUNCTION("""COMPUTED_VALUE"""),"https://www.sortlist.de/web-analytics/deutschland-de")</f>
        <v>https://www.sortlist.de/web-analytics/deutschland-de</v>
      </c>
      <c r="C1021" s="185" t="str">
        <f>IFERROR(__xludf.DUMMYFUNCTION("""COMPUTED_VALUE"""),"Unsere 10 Besten Webanalytics Agenturen in Deutschland - 2026 Bewertungen")</f>
        <v>Unsere 10 Besten Webanalytics Agenturen in Deutschland - 2026 Bewertungen</v>
      </c>
      <c r="D1021" s="185" t="str">
        <f>IFERROR(__xludf.DUMMYFUNCTION("""COMPUTED_VALUE"""),"DE")</f>
        <v>DE</v>
      </c>
      <c r="E1021" s="185" t="str">
        <f>IFERROR(__xludf.DUMMYFUNCTION("""COMPUTED_VALUE"""),"sortlist.de")</f>
        <v>sortlist.de</v>
      </c>
      <c r="F1021" s="185" t="str">
        <f>IFERROR(__xludf.DUMMYFUNCTION("""COMPUTED_VALUE"""),"Category Page")</f>
        <v>Category Page</v>
      </c>
      <c r="G1021" s="185" t="str">
        <f>IFERROR(__xludf.DUMMYFUNCTION("""COMPUTED_VALUE"""),"CORPORATE")</f>
        <v>CORPORATE</v>
      </c>
      <c r="H1021" s="185" t="str">
        <f>IFERROR(__xludf.DUMMYFUNCTION("""COMPUTED_VALUE"""),"No")</f>
        <v>No</v>
      </c>
      <c r="I1021" s="185" t="str">
        <f>IFERROR(__xludf.DUMMYFUNCTION("""COMPUTED_VALUE"""),"Medium")</f>
        <v>Medium</v>
      </c>
      <c r="J1021" s="185" t="str">
        <f>IFERROR(__xludf.DUMMYFUNCTION("""COMPUTED_VALUE"""),"Yes")</f>
        <v>Yes</v>
      </c>
      <c r="K1021" s="185" t="str">
        <f>IFERROR(__xludf.DUMMYFUNCTION("""COMPUTED_VALUE"""),"KlickPiloten, Baseplus DIGITAL MEDIA GmbH")</f>
        <v>KlickPiloten, Baseplus DIGITAL MEDIA GmbH</v>
      </c>
      <c r="L1021" s="187">
        <f>IFERROR(__xludf.DUMMYFUNCTION("""COMPUTED_VALUE"""),5.0)</f>
        <v>5</v>
      </c>
      <c r="M1021" s="188">
        <f>IFERROR(__xludf.DUMMYFUNCTION("""COMPUTED_VALUE"""),0.01)</f>
        <v>0.01</v>
      </c>
      <c r="N1021" s="188">
        <f>IFERROR(__xludf.DUMMYFUNCTION("""COMPUTED_VALUE"""),0.6)</f>
        <v>0.6</v>
      </c>
      <c r="O1021" s="208"/>
      <c r="P1021" s="208"/>
      <c r="Q1021" s="208"/>
      <c r="R1021" s="208"/>
    </row>
    <row r="1022">
      <c r="A1022" s="185" t="str">
        <f>IFERROR(__xludf.DUMMYFUNCTION("""COMPUTED_VALUE"""),"Industry data / software authority")</f>
        <v>Industry data / software authority</v>
      </c>
      <c r="B1022" s="186" t="str">
        <f>IFERROR(__xludf.DUMMYFUNCTION("""COMPUTED_VALUE"""),"https://agencies.semrush.com/list/analytics-data-science/business-professional-services/germany/")</f>
        <v>https://agencies.semrush.com/list/analytics-data-science/business-professional-services/germany/</v>
      </c>
      <c r="C1022" s="185" t="str">
        <f>IFERROR(__xludf.DUMMYFUNCTION("""COMPUTED_VALUE"""),"Best B2B Services Data Analytics Services in Germany 2026 | Semrush")</f>
        <v>Best B2B Services Data Analytics Services in Germany 2026 | Semrush</v>
      </c>
      <c r="D1022" s="185" t="str">
        <f>IFERROR(__xludf.DUMMYFUNCTION("""COMPUTED_VALUE"""),"DE")</f>
        <v>DE</v>
      </c>
      <c r="E1022" s="185" t="str">
        <f>IFERROR(__xludf.DUMMYFUNCTION("""COMPUTED_VALUE"""),"semrush.com")</f>
        <v>semrush.com</v>
      </c>
      <c r="F1022" s="185" t="str">
        <f>IFERROR(__xludf.DUMMYFUNCTION("""COMPUTED_VALUE"""),"Category Page")</f>
        <v>Category Page</v>
      </c>
      <c r="G1022" s="185" t="str">
        <f>IFERROR(__xludf.DUMMYFUNCTION("""COMPUTED_VALUE"""),"CORPORATE")</f>
        <v>CORPORATE</v>
      </c>
      <c r="H1022" s="185" t="str">
        <f>IFERROR(__xludf.DUMMYFUNCTION("""COMPUTED_VALUE"""),"No")</f>
        <v>No</v>
      </c>
      <c r="I1022" s="185" t="str">
        <f>IFERROR(__xludf.DUMMYFUNCTION("""COMPUTED_VALUE"""),"Medium")</f>
        <v>Medium</v>
      </c>
      <c r="J1022" s="185" t="str">
        <f>IFERROR(__xludf.DUMMYFUNCTION("""COMPUTED_VALUE"""),"Yes")</f>
        <v>Yes</v>
      </c>
      <c r="K1022" s="185" t="str">
        <f>IFERROR(__xludf.DUMMYFUNCTION("""COMPUTED_VALUE"""),"HECHT INS GEFECHT, Baseplus DIGITAL MEDIA GmbH, morefire, Mediaplus Performance")</f>
        <v>HECHT INS GEFECHT, Baseplus DIGITAL MEDIA GmbH, morefire, Mediaplus Performance</v>
      </c>
      <c r="L1022" s="187">
        <f>IFERROR(__xludf.DUMMYFUNCTION("""COMPUTED_VALUE"""),4.0)</f>
        <v>4</v>
      </c>
      <c r="M1022" s="188">
        <f>IFERROR(__xludf.DUMMYFUNCTION("""COMPUTED_VALUE"""),0.0)</f>
        <v>0</v>
      </c>
      <c r="N1022" s="188">
        <f>IFERROR(__xludf.DUMMYFUNCTION("""COMPUTED_VALUE"""),0.0)</f>
        <v>0</v>
      </c>
      <c r="O1022" s="208"/>
      <c r="P1022" s="208"/>
      <c r="Q1022" s="208"/>
      <c r="R1022" s="208"/>
    </row>
    <row r="1023">
      <c r="A1023" s="185" t="str">
        <f>IFERROR(__xludf.DUMMYFUNCTION("""COMPUTED_VALUE"""),"Industry data / software authority")</f>
        <v>Industry data / software authority</v>
      </c>
      <c r="B1023" s="186" t="str">
        <f>IFERROR(__xludf.DUMMYFUNCTION("""COMPUTED_VALUE"""),"https://agencies.semrush.com/list/analytics-data-science/germany/small-business/")</f>
        <v>https://agencies.semrush.com/list/analytics-data-science/germany/small-business/</v>
      </c>
      <c r="C1023" s="185" t="str">
        <f>IFERROR(__xludf.DUMMYFUNCTION("""COMPUTED_VALUE"""),"Best Data Analytics Services for Small Business in Germany 2026 | Semrush")</f>
        <v>Best Data Analytics Services for Small Business in Germany 2026 | Semrush</v>
      </c>
      <c r="D1023" s="185" t="str">
        <f>IFERROR(__xludf.DUMMYFUNCTION("""COMPUTED_VALUE"""),"DE")</f>
        <v>DE</v>
      </c>
      <c r="E1023" s="185" t="str">
        <f>IFERROR(__xludf.DUMMYFUNCTION("""COMPUTED_VALUE"""),"semrush.com")</f>
        <v>semrush.com</v>
      </c>
      <c r="F1023" s="185" t="str">
        <f>IFERROR(__xludf.DUMMYFUNCTION("""COMPUTED_VALUE"""),"Other")</f>
        <v>Other</v>
      </c>
      <c r="G1023" s="185" t="str">
        <f>IFERROR(__xludf.DUMMYFUNCTION("""COMPUTED_VALUE"""),"CORPORATE")</f>
        <v>CORPORATE</v>
      </c>
      <c r="H1023" s="185" t="str">
        <f>IFERROR(__xludf.DUMMYFUNCTION("""COMPUTED_VALUE"""),"No")</f>
        <v>No</v>
      </c>
      <c r="I1023" s="185" t="str">
        <f>IFERROR(__xludf.DUMMYFUNCTION("""COMPUTED_VALUE"""),"Medium")</f>
        <v>Medium</v>
      </c>
      <c r="J1023" s="185" t="str">
        <f>IFERROR(__xludf.DUMMYFUNCTION("""COMPUTED_VALUE"""),"Yes")</f>
        <v>Yes</v>
      </c>
      <c r="K1023" s="185" t="str">
        <f>IFERROR(__xludf.DUMMYFUNCTION("""COMPUTED_VALUE"""),"HECHT INS GEFECHT, Baseplus DIGITAL MEDIA GmbH, Mediaplus Performance, KlickPiloten")</f>
        <v>HECHT INS GEFECHT, Baseplus DIGITAL MEDIA GmbH, Mediaplus Performance, KlickPiloten</v>
      </c>
      <c r="L1023" s="187">
        <f>IFERROR(__xludf.DUMMYFUNCTION("""COMPUTED_VALUE"""),4.0)</f>
        <v>4</v>
      </c>
      <c r="M1023" s="188">
        <f>IFERROR(__xludf.DUMMYFUNCTION("""COMPUTED_VALUE"""),0.0)</f>
        <v>0</v>
      </c>
      <c r="N1023" s="188">
        <f>IFERROR(__xludf.DUMMYFUNCTION("""COMPUTED_VALUE"""),0.0)</f>
        <v>0</v>
      </c>
      <c r="O1023" s="208"/>
      <c r="P1023" s="208"/>
      <c r="Q1023" s="208"/>
      <c r="R1023" s="208"/>
    </row>
    <row r="1024">
      <c r="A1024" s="185" t="str">
        <f>IFERROR(__xludf.DUMMYFUNCTION("""COMPUTED_VALUE"""),"Industry data / software authority")</f>
        <v>Industry data / software authority</v>
      </c>
      <c r="B1024" s="186" t="str">
        <f>IFERROR(__xludf.DUMMYFUNCTION("""COMPUTED_VALUE"""),"https://agencies.semrush.com/list/ppc/germany/")</f>
        <v>https://agencies.semrush.com/list/ppc/germany/</v>
      </c>
      <c r="C1024" s="185" t="str">
        <f>IFERROR(__xludf.DUMMYFUNCTION("""COMPUTED_VALUE"""),"Best PPC Agencies in Germany 2026 | Semrush")</f>
        <v>Best PPC Agencies in Germany 2026 | Semrush</v>
      </c>
      <c r="D1024" s="185" t="str">
        <f>IFERROR(__xludf.DUMMYFUNCTION("""COMPUTED_VALUE"""),"DE")</f>
        <v>DE</v>
      </c>
      <c r="E1024" s="185" t="str">
        <f>IFERROR(__xludf.DUMMYFUNCTION("""COMPUTED_VALUE"""),"semrush.com")</f>
        <v>semrush.com</v>
      </c>
      <c r="F1024" s="185" t="str">
        <f>IFERROR(__xludf.DUMMYFUNCTION("""COMPUTED_VALUE"""),"Category Page")</f>
        <v>Category Page</v>
      </c>
      <c r="G1024" s="185" t="str">
        <f>IFERROR(__xludf.DUMMYFUNCTION("""COMPUTED_VALUE"""),"CORPORATE")</f>
        <v>CORPORATE</v>
      </c>
      <c r="H1024" s="185" t="str">
        <f>IFERROR(__xludf.DUMMYFUNCTION("""COMPUTED_VALUE"""),"No")</f>
        <v>No</v>
      </c>
      <c r="I1024" s="185" t="str">
        <f>IFERROR(__xludf.DUMMYFUNCTION("""COMPUTED_VALUE"""),"Medium")</f>
        <v>Medium</v>
      </c>
      <c r="J1024" s="185" t="str">
        <f>IFERROR(__xludf.DUMMYFUNCTION("""COMPUTED_VALUE"""),"Yes")</f>
        <v>Yes</v>
      </c>
      <c r="K1024" s="185" t="str">
        <f>IFERROR(__xludf.DUMMYFUNCTION("""COMPUTED_VALUE"""),"morefire, Mediaplus Performance, MONSOON, Mediacharge, KlickPiloten")</f>
        <v>morefire, Mediaplus Performance, MONSOON, Mediacharge, KlickPiloten</v>
      </c>
      <c r="L1024" s="187">
        <f>IFERROR(__xludf.DUMMYFUNCTION("""COMPUTED_VALUE"""),4.0)</f>
        <v>4</v>
      </c>
      <c r="M1024" s="188">
        <f>IFERROR(__xludf.DUMMYFUNCTION("""COMPUTED_VALUE"""),0.0)</f>
        <v>0</v>
      </c>
      <c r="N1024" s="188">
        <f>IFERROR(__xludf.DUMMYFUNCTION("""COMPUTED_VALUE"""),0.75)</f>
        <v>0.75</v>
      </c>
      <c r="O1024" s="208"/>
      <c r="P1024" s="208"/>
      <c r="Q1024" s="208"/>
      <c r="R1024" s="208"/>
    </row>
    <row r="1025">
      <c r="A1025" s="185" t="str">
        <f>IFERROR(__xludf.DUMMYFUNCTION("""COMPUTED_VALUE"""),"Official partner / certification ecosystem")</f>
        <v>Official partner / certification ecosystem</v>
      </c>
      <c r="B1025" s="186" t="str">
        <f>IFERROR(__xludf.DUMMYFUNCTION("""COMPUTED_VALUE"""),"https://business.google.com/de/support/become-a-partner/")</f>
        <v>https://business.google.com/de/support/become-a-partner/</v>
      </c>
      <c r="C1025" s="185" t="str">
        <f>IFERROR(__xludf.DUMMYFUNCTION("""COMPUTED_VALUE"""),"Google Partners-Programm: Partnerunternehmen werden – Google Ads")</f>
        <v>Google Partners-Programm: Partnerunternehmen werden – Google Ads</v>
      </c>
      <c r="D1025" s="185" t="str">
        <f>IFERROR(__xludf.DUMMYFUNCTION("""COMPUTED_VALUE"""),"DE")</f>
        <v>DE</v>
      </c>
      <c r="E1025" s="185" t="str">
        <f>IFERROR(__xludf.DUMMYFUNCTION("""COMPUTED_VALUE"""),"google.com")</f>
        <v>google.com</v>
      </c>
      <c r="F1025" s="185" t="str">
        <f>IFERROR(__xludf.DUMMYFUNCTION("""COMPUTED_VALUE"""),"Product Page")</f>
        <v>Product Page</v>
      </c>
      <c r="G1025" s="185" t="str">
        <f>IFERROR(__xludf.DUMMYFUNCTION("""COMPUTED_VALUE"""),"OTHER")</f>
        <v>OTHER</v>
      </c>
      <c r="H1025" s="185" t="str">
        <f>IFERROR(__xludf.DUMMYFUNCTION("""COMPUTED_VALUE"""),"No")</f>
        <v>No</v>
      </c>
      <c r="I1025" s="185" t="str">
        <f>IFERROR(__xludf.DUMMYFUNCTION("""COMPUTED_VALUE"""),"High")</f>
        <v>High</v>
      </c>
      <c r="J1025" s="185" t="str">
        <f>IFERROR(__xludf.DUMMYFUNCTION("""COMPUTED_VALUE"""),"Yes - priority")</f>
        <v>Yes - priority</v>
      </c>
      <c r="K1025" s="185" t="str">
        <f>IFERROR(__xludf.DUMMYFUNCTION("""COMPUTED_VALUE"""),"New Engen, Merkle")</f>
        <v>New Engen, Merkle</v>
      </c>
      <c r="L1025" s="187">
        <f>IFERROR(__xludf.DUMMYFUNCTION("""COMPUTED_VALUE"""),4.0)</f>
        <v>4</v>
      </c>
      <c r="M1025" s="188">
        <f>IFERROR(__xludf.DUMMYFUNCTION("""COMPUTED_VALUE"""),0.0)</f>
        <v>0</v>
      </c>
      <c r="N1025" s="188">
        <f>IFERROR(__xludf.DUMMYFUNCTION("""COMPUTED_VALUE"""),0.0)</f>
        <v>0</v>
      </c>
      <c r="O1025" s="208"/>
      <c r="P1025" s="208"/>
      <c r="Q1025" s="208"/>
      <c r="R1025" s="208"/>
    </row>
    <row r="1026">
      <c r="A1026" s="185" t="str">
        <f>IFERROR(__xludf.DUMMYFUNCTION("""COMPUTED_VALUE"""),"Official partner / certification ecosystem")</f>
        <v>Official partner / certification ecosystem</v>
      </c>
      <c r="B1026" s="186" t="str">
        <f>IFERROR(__xludf.DUMMYFUNCTION("""COMPUTED_VALUE"""),"https://business.google.com/en-all/support/become-a-partner/")</f>
        <v>https://business.google.com/en-all/support/become-a-partner/</v>
      </c>
      <c r="C1026" s="185" t="str">
        <f>IFERROR(__xludf.DUMMYFUNCTION("""COMPUTED_VALUE"""),"Google Partners Programme: Become a Partner – Google Ads")</f>
        <v>Google Partners Programme: Become a Partner – Google Ads</v>
      </c>
      <c r="D1026" s="185" t="str">
        <f>IFERROR(__xludf.DUMMYFUNCTION("""COMPUTED_VALUE"""),"DE")</f>
        <v>DE</v>
      </c>
      <c r="E1026" s="185" t="str">
        <f>IFERROR(__xludf.DUMMYFUNCTION("""COMPUTED_VALUE"""),"google.com")</f>
        <v>google.com</v>
      </c>
      <c r="F1026" s="185" t="str">
        <f>IFERROR(__xludf.DUMMYFUNCTION("""COMPUTED_VALUE"""),"Product Page")</f>
        <v>Product Page</v>
      </c>
      <c r="G1026" s="185" t="str">
        <f>IFERROR(__xludf.DUMMYFUNCTION("""COMPUTED_VALUE"""),"OTHER")</f>
        <v>OTHER</v>
      </c>
      <c r="H1026" s="185" t="str">
        <f>IFERROR(__xludf.DUMMYFUNCTION("""COMPUTED_VALUE"""),"No")</f>
        <v>No</v>
      </c>
      <c r="I1026" s="185" t="str">
        <f>IFERROR(__xludf.DUMMYFUNCTION("""COMPUTED_VALUE"""),"High")</f>
        <v>High</v>
      </c>
      <c r="J1026" s="185" t="str">
        <f>IFERROR(__xludf.DUMMYFUNCTION("""COMPUTED_VALUE"""),"Yes - priority")</f>
        <v>Yes - priority</v>
      </c>
      <c r="K1026" s="185" t="str">
        <f>IFERROR(__xludf.DUMMYFUNCTION("""COMPUTED_VALUE"""),"New Engen, Merkle")</f>
        <v>New Engen, Merkle</v>
      </c>
      <c r="L1026" s="187">
        <f>IFERROR(__xludf.DUMMYFUNCTION("""COMPUTED_VALUE"""),4.0)</f>
        <v>4</v>
      </c>
      <c r="M1026" s="188">
        <f>IFERROR(__xludf.DUMMYFUNCTION("""COMPUTED_VALUE"""),0.0)</f>
        <v>0</v>
      </c>
      <c r="N1026" s="188">
        <f>IFERROR(__xludf.DUMMYFUNCTION("""COMPUTED_VALUE"""),1.0)</f>
        <v>1</v>
      </c>
      <c r="O1026" s="208"/>
      <c r="P1026" s="208"/>
      <c r="Q1026" s="208"/>
      <c r="R1026" s="208"/>
    </row>
    <row r="1027">
      <c r="A1027" s="185" t="str">
        <f>IFERROR(__xludf.DUMMYFUNCTION("""COMPUTED_VALUE"""),"Official partner / certification ecosystem")</f>
        <v>Official partner / certification ecosystem</v>
      </c>
      <c r="B1027" s="186" t="str">
        <f>IFERROR(__xludf.DUMMYFUNCTION("""COMPUTED_VALUE"""),"https://business.google.com/in/think/marketing-strategies/incrementality-testing/")</f>
        <v>https://business.google.com/in/think/marketing-strategies/incrementality-testing/</v>
      </c>
      <c r="C1027" s="185" t="str">
        <f>IFERROR(__xludf.DUMMYFUNCTION("""COMPUTED_VALUE"""),"Use incrementality testing for effective marketing measurement")</f>
        <v>Use incrementality testing for effective marketing measurement</v>
      </c>
      <c r="D1027" s="185" t="str">
        <f>IFERROR(__xludf.DUMMYFUNCTION("""COMPUTED_VALUE"""),"DE")</f>
        <v>DE</v>
      </c>
      <c r="E1027" s="185" t="str">
        <f>IFERROR(__xludf.DUMMYFUNCTION("""COMPUTED_VALUE"""),"google.com")</f>
        <v>google.com</v>
      </c>
      <c r="F1027" s="185" t="str">
        <f>IFERROR(__xludf.DUMMYFUNCTION("""COMPUTED_VALUE"""),"Article")</f>
        <v>Article</v>
      </c>
      <c r="G1027" s="185" t="str">
        <f>IFERROR(__xludf.DUMMYFUNCTION("""COMPUTED_VALUE"""),"OTHER")</f>
        <v>OTHER</v>
      </c>
      <c r="H1027" s="185" t="str">
        <f>IFERROR(__xludf.DUMMYFUNCTION("""COMPUTED_VALUE"""),"No")</f>
        <v>No</v>
      </c>
      <c r="I1027" s="185" t="str">
        <f>IFERROR(__xludf.DUMMYFUNCTION("""COMPUTED_VALUE"""),"High")</f>
        <v>High</v>
      </c>
      <c r="J1027" s="185" t="str">
        <f>IFERROR(__xludf.DUMMYFUNCTION("""COMPUTED_VALUE"""),"Yes - priority")</f>
        <v>Yes - priority</v>
      </c>
      <c r="K1027" s="185"/>
      <c r="L1027" s="187">
        <f>IFERROR(__xludf.DUMMYFUNCTION("""COMPUTED_VALUE"""),4.0)</f>
        <v>4</v>
      </c>
      <c r="M1027" s="188">
        <f>IFERROR(__xludf.DUMMYFUNCTION("""COMPUTED_VALUE"""),0.0)</f>
        <v>0</v>
      </c>
      <c r="N1027" s="188">
        <f>IFERROR(__xludf.DUMMYFUNCTION("""COMPUTED_VALUE"""),1.0)</f>
        <v>1</v>
      </c>
      <c r="O1027" s="208"/>
      <c r="P1027" s="208"/>
      <c r="Q1027" s="208"/>
      <c r="R1027" s="208"/>
    </row>
    <row r="1028">
      <c r="A1028" s="185" t="str">
        <f>IFERROR(__xludf.DUMMYFUNCTION("""COMPUTED_VALUE"""),"Agency directory / review marketplace")</f>
        <v>Agency directory / review marketplace</v>
      </c>
      <c r="B1028" s="186" t="str">
        <f>IFERROR(__xludf.DUMMYFUNCTION("""COMPUTED_VALUE"""),"https://clutch.co/de/agencies/social-media-marketing/influencer")</f>
        <v>https://clutch.co/de/agencies/social-media-marketing/influencer</v>
      </c>
      <c r="C1028" s="185" t="str">
        <f>IFERROR(__xludf.DUMMYFUNCTION("""COMPUTED_VALUE"""),"Top Influencer Advertising Agencies in Germany - Jul 2026 Rankings \| Clutch.co")</f>
        <v>Top Influencer Advertising Agencies in Germany - Jul 2026 Rankings \| Clutch.co</v>
      </c>
      <c r="D1028" s="185" t="str">
        <f>IFERROR(__xludf.DUMMYFUNCTION("""COMPUTED_VALUE"""),"DE")</f>
        <v>DE</v>
      </c>
      <c r="E1028" s="185" t="str">
        <f>IFERROR(__xludf.DUMMYFUNCTION("""COMPUTED_VALUE"""),"clutch.co")</f>
        <v>clutch.co</v>
      </c>
      <c r="F1028" s="185" t="str">
        <f>IFERROR(__xludf.DUMMYFUNCTION("""COMPUTED_VALUE"""),"Category Page")</f>
        <v>Category Page</v>
      </c>
      <c r="G1028" s="185" t="str">
        <f>IFERROR(__xludf.DUMMYFUNCTION("""COMPUTED_VALUE"""),"CORPORATE")</f>
        <v>CORPORATE</v>
      </c>
      <c r="H1028" s="185" t="str">
        <f>IFERROR(__xludf.DUMMYFUNCTION("""COMPUTED_VALUE"""),"No")</f>
        <v>No</v>
      </c>
      <c r="I1028" s="185" t="str">
        <f>IFERROR(__xludf.DUMMYFUNCTION("""COMPUTED_VALUE"""),"Medium")</f>
        <v>Medium</v>
      </c>
      <c r="J1028" s="185" t="str">
        <f>IFERROR(__xludf.DUMMYFUNCTION("""COMPUTED_VALUE"""),"Yes")</f>
        <v>Yes</v>
      </c>
      <c r="K1028" s="185" t="str">
        <f>IFERROR(__xludf.DUMMYFUNCTION("""COMPUTED_VALUE"""),"MONSOON, PANORAMA3000, HY.AM STUDIOS, KlickPiloten, Medialabel, GroupM")</f>
        <v>MONSOON, PANORAMA3000, HY.AM STUDIOS, KlickPiloten, Medialabel, GroupM</v>
      </c>
      <c r="L1028" s="187">
        <f>IFERROR(__xludf.DUMMYFUNCTION("""COMPUTED_VALUE"""),4.0)</f>
        <v>4</v>
      </c>
      <c r="M1028" s="188">
        <f>IFERROR(__xludf.DUMMYFUNCTION("""COMPUTED_VALUE"""),0.0)</f>
        <v>0</v>
      </c>
      <c r="N1028" s="188">
        <f>IFERROR(__xludf.DUMMYFUNCTION("""COMPUTED_VALUE"""),0.0)</f>
        <v>0</v>
      </c>
      <c r="O1028" s="208"/>
      <c r="P1028" s="208"/>
      <c r="Q1028" s="208"/>
      <c r="R1028" s="208"/>
    </row>
    <row r="1029">
      <c r="A1029" s="185" t="str">
        <f>IFERROR(__xludf.DUMMYFUNCTION("""COMPUTED_VALUE"""),"Agency directory / review marketplace")</f>
        <v>Agency directory / review marketplace</v>
      </c>
      <c r="B1029" s="186" t="str">
        <f>IFERROR(__xludf.DUMMYFUNCTION("""COMPUTED_VALUE"""),"https://clutch.co/de/seo-firms")</f>
        <v>https://clutch.co/de/seo-firms</v>
      </c>
      <c r="C1029" s="185" t="str">
        <f>IFERROR(__xludf.DUMMYFUNCTION("""COMPUTED_VALUE"""),"Top SEO Companies in Germany - Jul 2026 Rankings \| Clutch.co")</f>
        <v>Top SEO Companies in Germany - Jul 2026 Rankings \| Clutch.co</v>
      </c>
      <c r="D1029" s="185" t="str">
        <f>IFERROR(__xludf.DUMMYFUNCTION("""COMPUTED_VALUE"""),"DE")</f>
        <v>DE</v>
      </c>
      <c r="E1029" s="185" t="str">
        <f>IFERROR(__xludf.DUMMYFUNCTION("""COMPUTED_VALUE"""),"clutch.co")</f>
        <v>clutch.co</v>
      </c>
      <c r="F1029" s="185" t="str">
        <f>IFERROR(__xludf.DUMMYFUNCTION("""COMPUTED_VALUE"""),"Profile")</f>
        <v>Profile</v>
      </c>
      <c r="G1029" s="185" t="str">
        <f>IFERROR(__xludf.DUMMYFUNCTION("""COMPUTED_VALUE"""),"CORPORATE")</f>
        <v>CORPORATE</v>
      </c>
      <c r="H1029" s="185" t="str">
        <f>IFERROR(__xludf.DUMMYFUNCTION("""COMPUTED_VALUE"""),"No")</f>
        <v>No</v>
      </c>
      <c r="I1029" s="185" t="str">
        <f>IFERROR(__xludf.DUMMYFUNCTION("""COMPUTED_VALUE"""),"Medium")</f>
        <v>Medium</v>
      </c>
      <c r="J1029" s="185" t="str">
        <f>IFERROR(__xludf.DUMMYFUNCTION("""COMPUTED_VALUE"""),"Yes")</f>
        <v>Yes</v>
      </c>
      <c r="K1029" s="185" t="str">
        <f>IFERROR(__xludf.DUMMYFUNCTION("""COMPUTED_VALUE"""),"MONSOON, Mediacharge, Claneo, Seeders, HECHT INS GEFECHT, KlickPiloten")</f>
        <v>MONSOON, Mediacharge, Claneo, Seeders, HECHT INS GEFECHT, KlickPiloten</v>
      </c>
      <c r="L1029" s="187">
        <f>IFERROR(__xludf.DUMMYFUNCTION("""COMPUTED_VALUE"""),4.0)</f>
        <v>4</v>
      </c>
      <c r="M1029" s="188">
        <f>IFERROR(__xludf.DUMMYFUNCTION("""COMPUTED_VALUE"""),0.0)</f>
        <v>0</v>
      </c>
      <c r="N1029" s="188">
        <f>IFERROR(__xludf.DUMMYFUNCTION("""COMPUTED_VALUE"""),0.75)</f>
        <v>0.75</v>
      </c>
      <c r="O1029" s="208"/>
      <c r="P1029" s="208"/>
      <c r="Q1029" s="208"/>
      <c r="R1029" s="208"/>
    </row>
    <row r="1030">
      <c r="A1030" s="185" t="str">
        <f>IFERROR(__xludf.DUMMYFUNCTION("""COMPUTED_VALUE"""),"Agency directory / review marketplace")</f>
        <v>Agency directory / review marketplace</v>
      </c>
      <c r="B1030" s="186" t="str">
        <f>IFERROR(__xludf.DUMMYFUNCTION("""COMPUTED_VALUE"""),"https://www.designrush.com/agency/digital-marketing/artificial-intelligence")</f>
        <v>https://www.designrush.com/agency/digital-marketing/artificial-intelligence</v>
      </c>
      <c r="C1030" s="185" t="str">
        <f>IFERROR(__xludf.DUMMYFUNCTION("""COMPUTED_VALUE"""),"Top AI Marketing Companies in 2026")</f>
        <v>Top AI Marketing Companies in 2026</v>
      </c>
      <c r="D1030" s="185" t="str">
        <f>IFERROR(__xludf.DUMMYFUNCTION("""COMPUTED_VALUE"""),"DE")</f>
        <v>DE</v>
      </c>
      <c r="E1030" s="185" t="str">
        <f>IFERROR(__xludf.DUMMYFUNCTION("""COMPUTED_VALUE"""),"designrush.com")</f>
        <v>designrush.com</v>
      </c>
      <c r="F1030" s="185" t="str">
        <f>IFERROR(__xludf.DUMMYFUNCTION("""COMPUTED_VALUE"""),"Listicle")</f>
        <v>Listicle</v>
      </c>
      <c r="G1030" s="185" t="str">
        <f>IFERROR(__xludf.DUMMYFUNCTION("""COMPUTED_VALUE"""),"CORPORATE")</f>
        <v>CORPORATE</v>
      </c>
      <c r="H1030" s="185" t="str">
        <f>IFERROR(__xludf.DUMMYFUNCTION("""COMPUTED_VALUE"""),"No")</f>
        <v>No</v>
      </c>
      <c r="I1030" s="185" t="str">
        <f>IFERROR(__xludf.DUMMYFUNCTION("""COMPUTED_VALUE"""),"Medium")</f>
        <v>Medium</v>
      </c>
      <c r="J1030" s="185" t="str">
        <f>IFERROR(__xludf.DUMMYFUNCTION("""COMPUTED_VALUE"""),"Yes")</f>
        <v>Yes</v>
      </c>
      <c r="K1030" s="185" t="str">
        <f>IFERROR(__xludf.DUMMYFUNCTION("""COMPUTED_VALUE"""),"Single Grain, Jellyfish, SmartSites, Huge, Disruptive Advertising, PwC, WebFX, Capgemini")</f>
        <v>Single Grain, Jellyfish, SmartSites, Huge, Disruptive Advertising, PwC, WebFX, Capgemini</v>
      </c>
      <c r="L1030" s="187">
        <f>IFERROR(__xludf.DUMMYFUNCTION("""COMPUTED_VALUE"""),4.0)</f>
        <v>4</v>
      </c>
      <c r="M1030" s="188">
        <f>IFERROR(__xludf.DUMMYFUNCTION("""COMPUTED_VALUE"""),0.0)</f>
        <v>0</v>
      </c>
      <c r="N1030" s="188">
        <f>IFERROR(__xludf.DUMMYFUNCTION("""COMPUTED_VALUE"""),0.0)</f>
        <v>0</v>
      </c>
      <c r="O1030" s="208"/>
      <c r="P1030" s="208"/>
      <c r="Q1030" s="208"/>
      <c r="R1030" s="208"/>
    </row>
    <row r="1031">
      <c r="A1031" s="185" t="str">
        <f>IFERROR(__xludf.DUMMYFUNCTION("""COMPUTED_VALUE"""),"Agency directory / review marketplace")</f>
        <v>Agency directory / review marketplace</v>
      </c>
      <c r="B1031" s="186" t="str">
        <f>IFERROR(__xludf.DUMMYFUNCTION("""COMPUTED_VALUE"""),"https://feedbax.ai/geo-agencies")</f>
        <v>https://feedbax.ai/geo-agencies</v>
      </c>
      <c r="C1031" s="185" t="str">
        <f>IFERROR(__xludf.DUMMYFUNCTION("""COMPUTED_VALUE"""),"Top 20 GEO Agencies - 2026 Reviews")</f>
        <v>Top 20 GEO Agencies - 2026 Reviews</v>
      </c>
      <c r="D1031" s="185" t="str">
        <f>IFERROR(__xludf.DUMMYFUNCTION("""COMPUTED_VALUE"""),"DE")</f>
        <v>DE</v>
      </c>
      <c r="E1031" s="185" t="str">
        <f>IFERROR(__xludf.DUMMYFUNCTION("""COMPUTED_VALUE"""),"feedbax.ai")</f>
        <v>feedbax.ai</v>
      </c>
      <c r="F1031" s="185" t="str">
        <f>IFERROR(__xludf.DUMMYFUNCTION("""COMPUTED_VALUE"""),"Profile")</f>
        <v>Profile</v>
      </c>
      <c r="G1031" s="185" t="str">
        <f>IFERROR(__xludf.DUMMYFUNCTION("""COMPUTED_VALUE"""),"UGC")</f>
        <v>UGC</v>
      </c>
      <c r="H1031" s="185" t="str">
        <f>IFERROR(__xludf.DUMMYFUNCTION("""COMPUTED_VALUE"""),"No")</f>
        <v>No</v>
      </c>
      <c r="I1031" s="185" t="str">
        <f>IFERROR(__xludf.DUMMYFUNCTION("""COMPUTED_VALUE"""),"Medium")</f>
        <v>Medium</v>
      </c>
      <c r="J1031" s="185" t="str">
        <f>IFERROR(__xludf.DUMMYFUNCTION("""COMPUTED_VALUE"""),"Yes")</f>
        <v>Yes</v>
      </c>
      <c r="K1031" s="185" t="str">
        <f>IFERROR(__xludf.DUMMYFUNCTION("""COMPUTED_VALUE"""),"DREIKON, HECHT INS GEFECHT")</f>
        <v>DREIKON, HECHT INS GEFECHT</v>
      </c>
      <c r="L1031" s="187">
        <f>IFERROR(__xludf.DUMMYFUNCTION("""COMPUTED_VALUE"""),4.0)</f>
        <v>4</v>
      </c>
      <c r="M1031" s="188">
        <f>IFERROR(__xludf.DUMMYFUNCTION("""COMPUTED_VALUE"""),0.0)</f>
        <v>0</v>
      </c>
      <c r="N1031" s="188">
        <f>IFERROR(__xludf.DUMMYFUNCTION("""COMPUTED_VALUE"""),1.0)</f>
        <v>1</v>
      </c>
      <c r="O1031" s="208"/>
      <c r="P1031" s="208"/>
      <c r="Q1031" s="208"/>
      <c r="R1031" s="208"/>
    </row>
    <row r="1032">
      <c r="A1032" s="185" t="str">
        <f>IFERROR(__xludf.DUMMYFUNCTION("""COMPUTED_VALUE"""),"Agency directory / review marketplace")</f>
        <v>Agency directory / review marketplace</v>
      </c>
      <c r="B1032" s="186" t="str">
        <f>IFERROR(__xludf.DUMMYFUNCTION("""COMPUTED_VALUE"""),"https://feedbax.ai/performance-marketing/berlin")</f>
        <v>https://feedbax.ai/performance-marketing/berlin</v>
      </c>
      <c r="C1032" s="185" t="str">
        <f>IFERROR(__xludf.DUMMYFUNCTION("""COMPUTED_VALUE"""),"Top 20 Performance Marketing Agencies in Berlin - 2026 Reviews")</f>
        <v>Top 20 Performance Marketing Agencies in Berlin - 2026 Reviews</v>
      </c>
      <c r="D1032" s="185" t="str">
        <f>IFERROR(__xludf.DUMMYFUNCTION("""COMPUTED_VALUE"""),"DE")</f>
        <v>DE</v>
      </c>
      <c r="E1032" s="185" t="str">
        <f>IFERROR(__xludf.DUMMYFUNCTION("""COMPUTED_VALUE"""),"feedbax.ai")</f>
        <v>feedbax.ai</v>
      </c>
      <c r="F1032" s="185" t="str">
        <f>IFERROR(__xludf.DUMMYFUNCTION("""COMPUTED_VALUE"""),"Category Page")</f>
        <v>Category Page</v>
      </c>
      <c r="G1032" s="185" t="str">
        <f>IFERROR(__xludf.DUMMYFUNCTION("""COMPUTED_VALUE"""),"UGC")</f>
        <v>UGC</v>
      </c>
      <c r="H1032" s="185" t="str">
        <f>IFERROR(__xludf.DUMMYFUNCTION("""COMPUTED_VALUE"""),"No")</f>
        <v>No</v>
      </c>
      <c r="I1032" s="185" t="str">
        <f>IFERROR(__xludf.DUMMYFUNCTION("""COMPUTED_VALUE"""),"Medium")</f>
        <v>Medium</v>
      </c>
      <c r="J1032" s="185" t="str">
        <f>IFERROR(__xludf.DUMMYFUNCTION("""COMPUTED_VALUE"""),"Yes")</f>
        <v>Yes</v>
      </c>
      <c r="K1032" s="185" t="str">
        <f>IFERROR(__xludf.DUMMYFUNCTION("""COMPUTED_VALUE"""),"PANORAMA3000, KlickPiloten, Mediacharge, Smarketer")</f>
        <v>PANORAMA3000, KlickPiloten, Mediacharge, Smarketer</v>
      </c>
      <c r="L1032" s="187">
        <f>IFERROR(__xludf.DUMMYFUNCTION("""COMPUTED_VALUE"""),4.0)</f>
        <v>4</v>
      </c>
      <c r="M1032" s="188">
        <f>IFERROR(__xludf.DUMMYFUNCTION("""COMPUTED_VALUE"""),0.0)</f>
        <v>0</v>
      </c>
      <c r="N1032" s="188">
        <f>IFERROR(__xludf.DUMMYFUNCTION("""COMPUTED_VALUE"""),0.25)</f>
        <v>0.25</v>
      </c>
      <c r="O1032" s="208"/>
      <c r="P1032" s="208"/>
      <c r="Q1032" s="208"/>
      <c r="R1032" s="208"/>
    </row>
    <row r="1033">
      <c r="A1033" s="185" t="str">
        <f>IFERROR(__xludf.DUMMYFUNCTION("""COMPUTED_VALUE"""),"Trade media / editorial publication")</f>
        <v>Trade media / editorial publication</v>
      </c>
      <c r="B1033" s="186" t="str">
        <f>IFERROR(__xludf.DUMMYFUNCTION("""COMPUTED_VALUE"""),"https://www.ibusiness.de/performance-ranking/performance_2023")</f>
        <v>https://www.ibusiness.de/performance-ranking/performance_2023</v>
      </c>
      <c r="C1033" s="185" t="str">
        <f>IFERROR(__xludf.DUMMYFUNCTION("""COMPUTED_VALUE"""),"Das Ranking der gr��ten deutschen Performance-Marketing-Agenturen")</f>
        <v>Das Ranking der gr��ten deutschen Performance-Marketing-Agenturen</v>
      </c>
      <c r="D1033" s="185" t="str">
        <f>IFERROR(__xludf.DUMMYFUNCTION("""COMPUTED_VALUE"""),"DE")</f>
        <v>DE</v>
      </c>
      <c r="E1033" s="185" t="str">
        <f>IFERROR(__xludf.DUMMYFUNCTION("""COMPUTED_VALUE"""),"ibusiness.de")</f>
        <v>ibusiness.de</v>
      </c>
      <c r="F1033" s="185" t="str">
        <f>IFERROR(__xludf.DUMMYFUNCTION("""COMPUTED_VALUE"""),"Profile")</f>
        <v>Profile</v>
      </c>
      <c r="G1033" s="185" t="str">
        <f>IFERROR(__xludf.DUMMYFUNCTION("""COMPUTED_VALUE"""),"EDITORIAL")</f>
        <v>EDITORIAL</v>
      </c>
      <c r="H1033" s="185" t="str">
        <f>IFERROR(__xludf.DUMMYFUNCTION("""COMPUTED_VALUE"""),"No")</f>
        <v>No</v>
      </c>
      <c r="I1033" s="185" t="str">
        <f>IFERROR(__xludf.DUMMYFUNCTION("""COMPUTED_VALUE"""),"Medium")</f>
        <v>Medium</v>
      </c>
      <c r="J1033" s="185" t="str">
        <f>IFERROR(__xludf.DUMMYFUNCTION("""COMPUTED_VALUE"""),"Yes")</f>
        <v>Yes</v>
      </c>
      <c r="K1033" s="185" t="str">
        <f>IFERROR(__xludf.DUMMYFUNCTION("""COMPUTED_VALUE"""),"Serviceplan Group, Smarketer, iProspect, e-dialog, morefire, The Boutique Agency, 42DIGITAL, Aufgesang")</f>
        <v>Serviceplan Group, Smarketer, iProspect, e-dialog, morefire, The Boutique Agency, 42DIGITAL, Aufgesang</v>
      </c>
      <c r="L1033" s="187">
        <f>IFERROR(__xludf.DUMMYFUNCTION("""COMPUTED_VALUE"""),4.0)</f>
        <v>4</v>
      </c>
      <c r="M1033" s="188">
        <f>IFERROR(__xludf.DUMMYFUNCTION("""COMPUTED_VALUE"""),0.0)</f>
        <v>0</v>
      </c>
      <c r="N1033" s="188">
        <f>IFERROR(__xludf.DUMMYFUNCTION("""COMPUTED_VALUE"""),0.0)</f>
        <v>0</v>
      </c>
      <c r="O1033" s="208"/>
      <c r="P1033" s="208"/>
      <c r="Q1033" s="208"/>
      <c r="R1033" s="208"/>
    </row>
    <row r="1034">
      <c r="A1034" s="185" t="str">
        <f>IFERROR(__xludf.DUMMYFUNCTION("""COMPUTED_VALUE"""),"Agency directory / review marketplace")</f>
        <v>Agency directory / review marketplace</v>
      </c>
      <c r="B1034" s="186" t="str">
        <f>IFERROR(__xludf.DUMMYFUNCTION("""COMPUTED_VALUE"""),"https://www.sortlist.com/de/performance-marketing")</f>
        <v>https://www.sortlist.com/de/performance-marketing</v>
      </c>
      <c r="C1034" s="185" t="str">
        <f>IFERROR(__xludf.DUMMYFUNCTION("""COMPUTED_VALUE"""),"Unsere 100 Besten Performance Marketing Agenturen - 2026 Bewertungen")</f>
        <v>Unsere 100 Besten Performance Marketing Agenturen - 2026 Bewertungen</v>
      </c>
      <c r="D1034" s="185" t="str">
        <f>IFERROR(__xludf.DUMMYFUNCTION("""COMPUTED_VALUE"""),"DE")</f>
        <v>DE</v>
      </c>
      <c r="E1034" s="185" t="str">
        <f>IFERROR(__xludf.DUMMYFUNCTION("""COMPUTED_VALUE"""),"sortlist.com")</f>
        <v>sortlist.com</v>
      </c>
      <c r="F1034" s="185" t="str">
        <f>IFERROR(__xludf.DUMMYFUNCTION("""COMPUTED_VALUE"""),"Article")</f>
        <v>Article</v>
      </c>
      <c r="G1034" s="185" t="str">
        <f>IFERROR(__xludf.DUMMYFUNCTION("""COMPUTED_VALUE"""),"CORPORATE")</f>
        <v>CORPORATE</v>
      </c>
      <c r="H1034" s="185" t="str">
        <f>IFERROR(__xludf.DUMMYFUNCTION("""COMPUTED_VALUE"""),"No")</f>
        <v>No</v>
      </c>
      <c r="I1034" s="185" t="str">
        <f>IFERROR(__xludf.DUMMYFUNCTION("""COMPUTED_VALUE"""),"Medium")</f>
        <v>Medium</v>
      </c>
      <c r="J1034" s="185" t="str">
        <f>IFERROR(__xludf.DUMMYFUNCTION("""COMPUTED_VALUE"""),"Yes")</f>
        <v>Yes</v>
      </c>
      <c r="K1034" s="185" t="str">
        <f>IFERROR(__xludf.DUMMYFUNCTION("""COMPUTED_VALUE"""),"KlickPiloten, MONSOON, Triple Whale, Northbeam, Dreamdata, Mediacharge")</f>
        <v>KlickPiloten, MONSOON, Triple Whale, Northbeam, Dreamdata, Mediacharge</v>
      </c>
      <c r="L1034" s="187">
        <f>IFERROR(__xludf.DUMMYFUNCTION("""COMPUTED_VALUE"""),4.0)</f>
        <v>4</v>
      </c>
      <c r="M1034" s="188">
        <f>IFERROR(__xludf.DUMMYFUNCTION("""COMPUTED_VALUE"""),0.0)</f>
        <v>0</v>
      </c>
      <c r="N1034" s="188">
        <f>IFERROR(__xludf.DUMMYFUNCTION("""COMPUTED_VALUE"""),0.0)</f>
        <v>0</v>
      </c>
      <c r="O1034" s="208"/>
      <c r="P1034" s="208"/>
      <c r="Q1034" s="208"/>
      <c r="R1034" s="208"/>
    </row>
    <row r="1035">
      <c r="A1035" s="185" t="str">
        <f>IFERROR(__xludf.DUMMYFUNCTION("""COMPUTED_VALUE"""),"Agency directory / review marketplace")</f>
        <v>Agency directory / review marketplace</v>
      </c>
      <c r="B1035" s="186" t="str">
        <f>IFERROR(__xludf.DUMMYFUNCTION("""COMPUTED_VALUE"""),"https://www.sortlist.com/s/b2b-marketing/germany-de")</f>
        <v>https://www.sortlist.com/s/b2b-marketing/germany-de</v>
      </c>
      <c r="C1035" s="185" t="str">
        <f>IFERROR(__xludf.DUMMYFUNCTION("""COMPUTED_VALUE"""),"The 10 Best B2B Marketing Agencies in Germany - 2026 Reviews")</f>
        <v>The 10 Best B2B Marketing Agencies in Germany - 2026 Reviews</v>
      </c>
      <c r="D1035" s="185" t="str">
        <f>IFERROR(__xludf.DUMMYFUNCTION("""COMPUTED_VALUE"""),"DE")</f>
        <v>DE</v>
      </c>
      <c r="E1035" s="185" t="str">
        <f>IFERROR(__xludf.DUMMYFUNCTION("""COMPUTED_VALUE"""),"sortlist.com")</f>
        <v>sortlist.com</v>
      </c>
      <c r="F1035" s="185" t="str">
        <f>IFERROR(__xludf.DUMMYFUNCTION("""COMPUTED_VALUE"""),"Category Page")</f>
        <v>Category Page</v>
      </c>
      <c r="G1035" s="185" t="str">
        <f>IFERROR(__xludf.DUMMYFUNCTION("""COMPUTED_VALUE"""),"CORPORATE")</f>
        <v>CORPORATE</v>
      </c>
      <c r="H1035" s="185" t="str">
        <f>IFERROR(__xludf.DUMMYFUNCTION("""COMPUTED_VALUE"""),"No")</f>
        <v>No</v>
      </c>
      <c r="I1035" s="185" t="str">
        <f>IFERROR(__xludf.DUMMYFUNCTION("""COMPUTED_VALUE"""),"Medium")</f>
        <v>Medium</v>
      </c>
      <c r="J1035" s="185" t="str">
        <f>IFERROR(__xludf.DUMMYFUNCTION("""COMPUTED_VALUE"""),"Yes")</f>
        <v>Yes</v>
      </c>
      <c r="K1035" s="185" t="str">
        <f>IFERROR(__xludf.DUMMYFUNCTION("""COMPUTED_VALUE"""),"MONSOON, Measured")</f>
        <v>MONSOON, Measured</v>
      </c>
      <c r="L1035" s="187">
        <f>IFERROR(__xludf.DUMMYFUNCTION("""COMPUTED_VALUE"""),4.0)</f>
        <v>4</v>
      </c>
      <c r="M1035" s="188">
        <f>IFERROR(__xludf.DUMMYFUNCTION("""COMPUTED_VALUE"""),0.0)</f>
        <v>0</v>
      </c>
      <c r="N1035" s="188">
        <f>IFERROR(__xludf.DUMMYFUNCTION("""COMPUTED_VALUE"""),1.75)</f>
        <v>1.75</v>
      </c>
      <c r="O1035" s="208"/>
      <c r="P1035" s="208"/>
      <c r="Q1035" s="208"/>
      <c r="R1035" s="208"/>
    </row>
    <row r="1036">
      <c r="A1036" s="185" t="str">
        <f>IFERROR(__xludf.DUMMYFUNCTION("""COMPUTED_VALUE"""),"Agency directory / review marketplace")</f>
        <v>Agency directory / review marketplace</v>
      </c>
      <c r="B1036" s="186" t="str">
        <f>IFERROR(__xludf.DUMMYFUNCTION("""COMPUTED_VALUE"""),"https://www.sortlist.com/s/google-ads/germany-de")</f>
        <v>https://www.sortlist.com/s/google-ads/germany-de</v>
      </c>
      <c r="C1036" s="185" t="str">
        <f>IFERROR(__xludf.DUMMYFUNCTION("""COMPUTED_VALUE"""),"The 10 Best Google Ads Agencies in Germany - 2026 Reviews")</f>
        <v>The 10 Best Google Ads Agencies in Germany - 2026 Reviews</v>
      </c>
      <c r="D1036" s="185" t="str">
        <f>IFERROR(__xludf.DUMMYFUNCTION("""COMPUTED_VALUE"""),"DE")</f>
        <v>DE</v>
      </c>
      <c r="E1036" s="185" t="str">
        <f>IFERROR(__xludf.DUMMYFUNCTION("""COMPUTED_VALUE"""),"sortlist.com")</f>
        <v>sortlist.com</v>
      </c>
      <c r="F1036" s="185" t="str">
        <f>IFERROR(__xludf.DUMMYFUNCTION("""COMPUTED_VALUE"""),"Category Page")</f>
        <v>Category Page</v>
      </c>
      <c r="G1036" s="185" t="str">
        <f>IFERROR(__xludf.DUMMYFUNCTION("""COMPUTED_VALUE"""),"CORPORATE")</f>
        <v>CORPORATE</v>
      </c>
      <c r="H1036" s="185" t="str">
        <f>IFERROR(__xludf.DUMMYFUNCTION("""COMPUTED_VALUE"""),"No")</f>
        <v>No</v>
      </c>
      <c r="I1036" s="185" t="str">
        <f>IFERROR(__xludf.DUMMYFUNCTION("""COMPUTED_VALUE"""),"Medium")</f>
        <v>Medium</v>
      </c>
      <c r="J1036" s="185" t="str">
        <f>IFERROR(__xludf.DUMMYFUNCTION("""COMPUTED_VALUE"""),"Yes")</f>
        <v>Yes</v>
      </c>
      <c r="K1036" s="185" t="str">
        <f>IFERROR(__xludf.DUMMYFUNCTION("""COMPUTED_VALUE"""),"MONSOON, Triple Whale, Northbeam, Dreamdata")</f>
        <v>MONSOON, Triple Whale, Northbeam, Dreamdata</v>
      </c>
      <c r="L1036" s="187">
        <f>IFERROR(__xludf.DUMMYFUNCTION("""COMPUTED_VALUE"""),4.0)</f>
        <v>4</v>
      </c>
      <c r="M1036" s="188">
        <f>IFERROR(__xludf.DUMMYFUNCTION("""COMPUTED_VALUE"""),0.0)</f>
        <v>0</v>
      </c>
      <c r="N1036" s="188">
        <f>IFERROR(__xludf.DUMMYFUNCTION("""COMPUTED_VALUE"""),0.75)</f>
        <v>0.75</v>
      </c>
      <c r="O1036" s="208"/>
      <c r="P1036" s="208"/>
      <c r="Q1036" s="208"/>
      <c r="R1036" s="208"/>
    </row>
    <row r="1037">
      <c r="A1037" s="185" t="str">
        <f>IFERROR(__xludf.DUMMYFUNCTION("""COMPUTED_VALUE"""),"Agency directory / review marketplace")</f>
        <v>Agency directory / review marketplace</v>
      </c>
      <c r="B1037" s="186" t="str">
        <f>IFERROR(__xludf.DUMMYFUNCTION("""COMPUTED_VALUE"""),"https://www.sortlist.com/s/marketing-analytics/berlin-de")</f>
        <v>https://www.sortlist.com/s/marketing-analytics/berlin-de</v>
      </c>
      <c r="C1037" s="185" t="str">
        <f>IFERROR(__xludf.DUMMYFUNCTION("""COMPUTED_VALUE"""),"The 10 Best Marketing Analytics Companies in Berlin - 2026 Reviews")</f>
        <v>The 10 Best Marketing Analytics Companies in Berlin - 2026 Reviews</v>
      </c>
      <c r="D1037" s="185" t="str">
        <f>IFERROR(__xludf.DUMMYFUNCTION("""COMPUTED_VALUE"""),"DE")</f>
        <v>DE</v>
      </c>
      <c r="E1037" s="185" t="str">
        <f>IFERROR(__xludf.DUMMYFUNCTION("""COMPUTED_VALUE"""),"sortlist.com")</f>
        <v>sortlist.com</v>
      </c>
      <c r="F1037" s="185" t="str">
        <f>IFERROR(__xludf.DUMMYFUNCTION("""COMPUTED_VALUE"""),"Category Page")</f>
        <v>Category Page</v>
      </c>
      <c r="G1037" s="185" t="str">
        <f>IFERROR(__xludf.DUMMYFUNCTION("""COMPUTED_VALUE"""),"CORPORATE")</f>
        <v>CORPORATE</v>
      </c>
      <c r="H1037" s="185" t="str">
        <f>IFERROR(__xludf.DUMMYFUNCTION("""COMPUTED_VALUE"""),"No")</f>
        <v>No</v>
      </c>
      <c r="I1037" s="185" t="str">
        <f>IFERROR(__xludf.DUMMYFUNCTION("""COMPUTED_VALUE"""),"Medium")</f>
        <v>Medium</v>
      </c>
      <c r="J1037" s="185" t="str">
        <f>IFERROR(__xludf.DUMMYFUNCTION("""COMPUTED_VALUE"""),"Yes")</f>
        <v>Yes</v>
      </c>
      <c r="K1037" s="185" t="str">
        <f>IFERROR(__xludf.DUMMYFUNCTION("""COMPUTED_VALUE"""),"MONSOON, Triple Whale, Northbeam, Dreamdata, KlickPiloten, lehof")</f>
        <v>MONSOON, Triple Whale, Northbeam, Dreamdata, KlickPiloten, lehof</v>
      </c>
      <c r="L1037" s="187">
        <f>IFERROR(__xludf.DUMMYFUNCTION("""COMPUTED_VALUE"""),4.0)</f>
        <v>4</v>
      </c>
      <c r="M1037" s="188">
        <f>IFERROR(__xludf.DUMMYFUNCTION("""COMPUTED_VALUE"""),0.0)</f>
        <v>0</v>
      </c>
      <c r="N1037" s="188">
        <f>IFERROR(__xludf.DUMMYFUNCTION("""COMPUTED_VALUE"""),0.25)</f>
        <v>0.25</v>
      </c>
      <c r="O1037" s="208"/>
      <c r="P1037" s="208"/>
      <c r="Q1037" s="208"/>
      <c r="R1037" s="208"/>
    </row>
    <row r="1038">
      <c r="A1038" s="185" t="str">
        <f>IFERROR(__xludf.DUMMYFUNCTION("""COMPUTED_VALUE"""),"Agency directory / review marketplace")</f>
        <v>Agency directory / review marketplace</v>
      </c>
      <c r="B1038" s="186" t="str">
        <f>IFERROR(__xludf.DUMMYFUNCTION("""COMPUTED_VALUE"""),"https://www.sortlist.de/s/ai-marketing/baden-wuerttemberg-bw-de")</f>
        <v>https://www.sortlist.de/s/ai-marketing/baden-wuerttemberg-bw-de</v>
      </c>
      <c r="C1038" s="185" t="str">
        <f>IFERROR(__xludf.DUMMYFUNCTION("""COMPUTED_VALUE"""),"AI Marketing Agentur Baden-Württemberg | Vergleich")</f>
        <v>AI Marketing Agentur Baden-Württemberg | Vergleich</v>
      </c>
      <c r="D1038" s="185" t="str">
        <f>IFERROR(__xludf.DUMMYFUNCTION("""COMPUTED_VALUE"""),"DE")</f>
        <v>DE</v>
      </c>
      <c r="E1038" s="185" t="str">
        <f>IFERROR(__xludf.DUMMYFUNCTION("""COMPUTED_VALUE"""),"sortlist.de")</f>
        <v>sortlist.de</v>
      </c>
      <c r="F1038" s="185" t="str">
        <f>IFERROR(__xludf.DUMMYFUNCTION("""COMPUTED_VALUE"""),"Category Page")</f>
        <v>Category Page</v>
      </c>
      <c r="G1038" s="185" t="str">
        <f>IFERROR(__xludf.DUMMYFUNCTION("""COMPUTED_VALUE"""),"CORPORATE")</f>
        <v>CORPORATE</v>
      </c>
      <c r="H1038" s="185" t="str">
        <f>IFERROR(__xludf.DUMMYFUNCTION("""COMPUTED_VALUE"""),"No")</f>
        <v>No</v>
      </c>
      <c r="I1038" s="185" t="str">
        <f>IFERROR(__xludf.DUMMYFUNCTION("""COMPUTED_VALUE"""),"Medium")</f>
        <v>Medium</v>
      </c>
      <c r="J1038" s="185" t="str">
        <f>IFERROR(__xludf.DUMMYFUNCTION("""COMPUTED_VALUE"""),"Yes")</f>
        <v>Yes</v>
      </c>
      <c r="K1038" s="185"/>
      <c r="L1038" s="187">
        <f>IFERROR(__xludf.DUMMYFUNCTION("""COMPUTED_VALUE"""),4.0)</f>
        <v>4</v>
      </c>
      <c r="M1038" s="188">
        <f>IFERROR(__xludf.DUMMYFUNCTION("""COMPUTED_VALUE"""),0.0)</f>
        <v>0</v>
      </c>
      <c r="N1038" s="188">
        <f>IFERROR(__xludf.DUMMYFUNCTION("""COMPUTED_VALUE"""),0.0)</f>
        <v>0</v>
      </c>
      <c r="O1038" s="208"/>
      <c r="P1038" s="208"/>
      <c r="Q1038" s="208"/>
      <c r="R1038" s="208"/>
    </row>
    <row r="1039">
      <c r="A1039" s="185" t="str">
        <f>IFERROR(__xludf.DUMMYFUNCTION("""COMPUTED_VALUE"""),"Agency directory / review marketplace")</f>
        <v>Agency directory / review marketplace</v>
      </c>
      <c r="B1039" s="186" t="str">
        <f>IFERROR(__xludf.DUMMYFUNCTION("""COMPUTED_VALUE"""),"https://www.sortlist.de/s/ai-marketing/muenchen-by-de")</f>
        <v>https://www.sortlist.de/s/ai-marketing/muenchen-by-de</v>
      </c>
      <c r="C1039" s="185" t="str">
        <f>IFERROR(__xludf.DUMMYFUNCTION("""COMPUTED_VALUE"""),"Unsere 10 Besten AI Marketing Agenturen in München - 2026 Bewertungen")</f>
        <v>Unsere 10 Besten AI Marketing Agenturen in München - 2026 Bewertungen</v>
      </c>
      <c r="D1039" s="185" t="str">
        <f>IFERROR(__xludf.DUMMYFUNCTION("""COMPUTED_VALUE"""),"DE")</f>
        <v>DE</v>
      </c>
      <c r="E1039" s="185" t="str">
        <f>IFERROR(__xludf.DUMMYFUNCTION("""COMPUTED_VALUE"""),"sortlist.de")</f>
        <v>sortlist.de</v>
      </c>
      <c r="F1039" s="185" t="str">
        <f>IFERROR(__xludf.DUMMYFUNCTION("""COMPUTED_VALUE"""),"Category Page")</f>
        <v>Category Page</v>
      </c>
      <c r="G1039" s="185" t="str">
        <f>IFERROR(__xludf.DUMMYFUNCTION("""COMPUTED_VALUE"""),"CORPORATE")</f>
        <v>CORPORATE</v>
      </c>
      <c r="H1039" s="185" t="str">
        <f>IFERROR(__xludf.DUMMYFUNCTION("""COMPUTED_VALUE"""),"No")</f>
        <v>No</v>
      </c>
      <c r="I1039" s="185" t="str">
        <f>IFERROR(__xludf.DUMMYFUNCTION("""COMPUTED_VALUE"""),"Medium")</f>
        <v>Medium</v>
      </c>
      <c r="J1039" s="185" t="str">
        <f>IFERROR(__xludf.DUMMYFUNCTION("""COMPUTED_VALUE"""),"Yes")</f>
        <v>Yes</v>
      </c>
      <c r="K1039" s="185" t="str">
        <f>IFERROR(__xludf.DUMMYFUNCTION("""COMPUTED_VALUE"""),"Pilot")</f>
        <v>Pilot</v>
      </c>
      <c r="L1039" s="187">
        <f>IFERROR(__xludf.DUMMYFUNCTION("""COMPUTED_VALUE"""),4.0)</f>
        <v>4</v>
      </c>
      <c r="M1039" s="188">
        <f>IFERROR(__xludf.DUMMYFUNCTION("""COMPUTED_VALUE"""),0.0)</f>
        <v>0</v>
      </c>
      <c r="N1039" s="188">
        <f>IFERROR(__xludf.DUMMYFUNCTION("""COMPUTED_VALUE"""),0.0)</f>
        <v>0</v>
      </c>
      <c r="O1039" s="208"/>
      <c r="P1039" s="208"/>
      <c r="Q1039" s="208"/>
      <c r="R1039" s="208"/>
    </row>
    <row r="1040">
      <c r="A1040" s="185" t="str">
        <f>IFERROR(__xludf.DUMMYFUNCTION("""COMPUTED_VALUE"""),"Agency directory / review marketplace")</f>
        <v>Agency directory / review marketplace</v>
      </c>
      <c r="B1040" s="186" t="str">
        <f>IFERROR(__xludf.DUMMYFUNCTION("""COMPUTED_VALUE"""),"https://www.sortlist.de/s/google-analytics/deutschland-de")</f>
        <v>https://www.sortlist.de/s/google-analytics/deutschland-de</v>
      </c>
      <c r="C1040" s="185" t="str">
        <f>IFERROR(__xludf.DUMMYFUNCTION("""COMPUTED_VALUE"""),"Unsere 10 Besten Google Analytics Beratung Agenturen in Deutschland - 2026 Bewertungen")</f>
        <v>Unsere 10 Besten Google Analytics Beratung Agenturen in Deutschland - 2026 Bewertungen</v>
      </c>
      <c r="D1040" s="185" t="str">
        <f>IFERROR(__xludf.DUMMYFUNCTION("""COMPUTED_VALUE"""),"DE")</f>
        <v>DE</v>
      </c>
      <c r="E1040" s="185" t="str">
        <f>IFERROR(__xludf.DUMMYFUNCTION("""COMPUTED_VALUE"""),"sortlist.de")</f>
        <v>sortlist.de</v>
      </c>
      <c r="F1040" s="185" t="str">
        <f>IFERROR(__xludf.DUMMYFUNCTION("""COMPUTED_VALUE"""),"Category Page")</f>
        <v>Category Page</v>
      </c>
      <c r="G1040" s="185" t="str">
        <f>IFERROR(__xludf.DUMMYFUNCTION("""COMPUTED_VALUE"""),"CORPORATE")</f>
        <v>CORPORATE</v>
      </c>
      <c r="H1040" s="185" t="str">
        <f>IFERROR(__xludf.DUMMYFUNCTION("""COMPUTED_VALUE"""),"No")</f>
        <v>No</v>
      </c>
      <c r="I1040" s="185" t="str">
        <f>IFERROR(__xludf.DUMMYFUNCTION("""COMPUTED_VALUE"""),"Medium")</f>
        <v>Medium</v>
      </c>
      <c r="J1040" s="185" t="str">
        <f>IFERROR(__xludf.DUMMYFUNCTION("""COMPUTED_VALUE"""),"Yes")</f>
        <v>Yes</v>
      </c>
      <c r="K1040" s="185" t="str">
        <f>IFERROR(__xludf.DUMMYFUNCTION("""COMPUTED_VALUE"""),"Mediacharge, Loyamo")</f>
        <v>Mediacharge, Loyamo</v>
      </c>
      <c r="L1040" s="187">
        <f>IFERROR(__xludf.DUMMYFUNCTION("""COMPUTED_VALUE"""),4.0)</f>
        <v>4</v>
      </c>
      <c r="M1040" s="188">
        <f>IFERROR(__xludf.DUMMYFUNCTION("""COMPUTED_VALUE"""),0.0)</f>
        <v>0</v>
      </c>
      <c r="N1040" s="188">
        <f>IFERROR(__xludf.DUMMYFUNCTION("""COMPUTED_VALUE"""),0.0)</f>
        <v>0</v>
      </c>
      <c r="O1040" s="208"/>
      <c r="P1040" s="208"/>
      <c r="Q1040" s="208"/>
      <c r="R1040" s="208"/>
    </row>
    <row r="1041">
      <c r="A1041" s="185" t="str">
        <f>IFERROR(__xludf.DUMMYFUNCTION("""COMPUTED_VALUE"""),"Agency directory / review marketplace")</f>
        <v>Agency directory / review marketplace</v>
      </c>
      <c r="B1041" s="186" t="str">
        <f>IFERROR(__xludf.DUMMYFUNCTION("""COMPUTED_VALUE"""),"https://www.sortlist.de/s/programmatic-advertising/deutschland-de")</f>
        <v>https://www.sortlist.de/s/programmatic-advertising/deutschland-de</v>
      </c>
      <c r="C1041" s="185" t="str">
        <f>IFERROR(__xludf.DUMMYFUNCTION("""COMPUTED_VALUE"""),"Unsere 10 Besten Programmatic Advertising Agenturen in Deutschland - 2026 Bewertungen")</f>
        <v>Unsere 10 Besten Programmatic Advertising Agenturen in Deutschland - 2026 Bewertungen</v>
      </c>
      <c r="D1041" s="185" t="str">
        <f>IFERROR(__xludf.DUMMYFUNCTION("""COMPUTED_VALUE"""),"DE")</f>
        <v>DE</v>
      </c>
      <c r="E1041" s="185" t="str">
        <f>IFERROR(__xludf.DUMMYFUNCTION("""COMPUTED_VALUE"""),"sortlist.de")</f>
        <v>sortlist.de</v>
      </c>
      <c r="F1041" s="185" t="str">
        <f>IFERROR(__xludf.DUMMYFUNCTION("""COMPUTED_VALUE"""),"Category Page")</f>
        <v>Category Page</v>
      </c>
      <c r="G1041" s="185" t="str">
        <f>IFERROR(__xludf.DUMMYFUNCTION("""COMPUTED_VALUE"""),"CORPORATE")</f>
        <v>CORPORATE</v>
      </c>
      <c r="H1041" s="185" t="str">
        <f>IFERROR(__xludf.DUMMYFUNCTION("""COMPUTED_VALUE"""),"No")</f>
        <v>No</v>
      </c>
      <c r="I1041" s="185" t="str">
        <f>IFERROR(__xludf.DUMMYFUNCTION("""COMPUTED_VALUE"""),"Medium")</f>
        <v>Medium</v>
      </c>
      <c r="J1041" s="185" t="str">
        <f>IFERROR(__xludf.DUMMYFUNCTION("""COMPUTED_VALUE"""),"Yes")</f>
        <v>Yes</v>
      </c>
      <c r="K1041" s="185" t="str">
        <f>IFERROR(__xludf.DUMMYFUNCTION("""COMPUTED_VALUE"""),"lehof, MONSOON, Triple Whale, Northbeam, Dreamdata, KlickPiloten")</f>
        <v>lehof, MONSOON, Triple Whale, Northbeam, Dreamdata, KlickPiloten</v>
      </c>
      <c r="L1041" s="187">
        <f>IFERROR(__xludf.DUMMYFUNCTION("""COMPUTED_VALUE"""),4.0)</f>
        <v>4</v>
      </c>
      <c r="M1041" s="188">
        <f>IFERROR(__xludf.DUMMYFUNCTION("""COMPUTED_VALUE"""),0.0)</f>
        <v>0</v>
      </c>
      <c r="N1041" s="188">
        <f>IFERROR(__xludf.DUMMYFUNCTION("""COMPUTED_VALUE"""),1.25)</f>
        <v>1.25</v>
      </c>
      <c r="O1041" s="208"/>
      <c r="P1041" s="208"/>
      <c r="Q1041" s="208"/>
      <c r="R1041" s="208"/>
    </row>
    <row r="1042">
      <c r="A1042" s="185" t="str">
        <f>IFERROR(__xludf.DUMMYFUNCTION("""COMPUTED_VALUE"""),"Official partner / certification ecosystem")</f>
        <v>Official partner / certification ecosystem</v>
      </c>
      <c r="B1042" s="186" t="str">
        <f>IFERROR(__xludf.DUMMYFUNCTION("""COMPUTED_VALUE"""),"https://support.google.com/tagmanager/answer/7237700?hl=en-GB")</f>
        <v>https://support.google.com/tagmanager/answer/7237700?hl=en-GB</v>
      </c>
      <c r="C1042" s="185" t="str">
        <f>IFERROR(__xludf.DUMMYFUNCTION("""COMPUTED_VALUE"""),"Google Marketing Platform Partners - Tag Manager Help")</f>
        <v>Google Marketing Platform Partners - Tag Manager Help</v>
      </c>
      <c r="D1042" s="185" t="str">
        <f>IFERROR(__xludf.DUMMYFUNCTION("""COMPUTED_VALUE"""),"DE")</f>
        <v>DE</v>
      </c>
      <c r="E1042" s="185" t="str">
        <f>IFERROR(__xludf.DUMMYFUNCTION("""COMPUTED_VALUE"""),"google.com")</f>
        <v>google.com</v>
      </c>
      <c r="F1042" s="185" t="str">
        <f>IFERROR(__xludf.DUMMYFUNCTION("""COMPUTED_VALUE"""),"Other")</f>
        <v>Other</v>
      </c>
      <c r="G1042" s="185" t="str">
        <f>IFERROR(__xludf.DUMMYFUNCTION("""COMPUTED_VALUE"""),"OTHER")</f>
        <v>OTHER</v>
      </c>
      <c r="H1042" s="185" t="str">
        <f>IFERROR(__xludf.DUMMYFUNCTION("""COMPUTED_VALUE"""),"No")</f>
        <v>No</v>
      </c>
      <c r="I1042" s="185" t="str">
        <f>IFERROR(__xludf.DUMMYFUNCTION("""COMPUTED_VALUE"""),"High")</f>
        <v>High</v>
      </c>
      <c r="J1042" s="185" t="str">
        <f>IFERROR(__xludf.DUMMYFUNCTION("""COMPUTED_VALUE"""),"Yes - priority")</f>
        <v>Yes - priority</v>
      </c>
      <c r="K1042" s="185"/>
      <c r="L1042" s="187">
        <f>IFERROR(__xludf.DUMMYFUNCTION("""COMPUTED_VALUE"""),4.0)</f>
        <v>4</v>
      </c>
      <c r="M1042" s="188">
        <f>IFERROR(__xludf.DUMMYFUNCTION("""COMPUTED_VALUE"""),0.0)</f>
        <v>0</v>
      </c>
      <c r="N1042" s="188">
        <f>IFERROR(__xludf.DUMMYFUNCTION("""COMPUTED_VALUE"""),0.0)</f>
        <v>0</v>
      </c>
      <c r="O1042" s="208"/>
      <c r="P1042" s="208"/>
      <c r="Q1042" s="208"/>
      <c r="R1042" s="208"/>
    </row>
    <row r="1043">
      <c r="A1043" s="185" t="str">
        <f>IFERROR(__xludf.DUMMYFUNCTION("""COMPUTED_VALUE"""),"Industry data / software authority")</f>
        <v>Industry data / software authority</v>
      </c>
      <c r="B1043" s="186" t="str">
        <f>IFERROR(__xludf.DUMMYFUNCTION("""COMPUTED_VALUE"""),"https://agencies.semrush.com/de/list/display-advertising/ecommerce/germany/")</f>
        <v>https://agencies.semrush.com/de/list/display-advertising/ecommerce/germany/</v>
      </c>
      <c r="C1043" s="185" t="str">
        <f>IFERROR(__xludf.DUMMYFUNCTION("""COMPUTED_VALUE"""),"Beste Display-Werbung-Agenturen für E-Commerce , Germany 2026 | Semrush")</f>
        <v>Beste Display-Werbung-Agenturen für E-Commerce , Germany 2026 | Semrush</v>
      </c>
      <c r="D1043" s="185" t="str">
        <f>IFERROR(__xludf.DUMMYFUNCTION("""COMPUTED_VALUE"""),"DE")</f>
        <v>DE</v>
      </c>
      <c r="E1043" s="185" t="str">
        <f>IFERROR(__xludf.DUMMYFUNCTION("""COMPUTED_VALUE"""),"semrush.com")</f>
        <v>semrush.com</v>
      </c>
      <c r="F1043" s="185" t="str">
        <f>IFERROR(__xludf.DUMMYFUNCTION("""COMPUTED_VALUE"""),"Other")</f>
        <v>Other</v>
      </c>
      <c r="G1043" s="185" t="str">
        <f>IFERROR(__xludf.DUMMYFUNCTION("""COMPUTED_VALUE"""),"CORPORATE")</f>
        <v>CORPORATE</v>
      </c>
      <c r="H1043" s="185" t="str">
        <f>IFERROR(__xludf.DUMMYFUNCTION("""COMPUTED_VALUE"""),"No")</f>
        <v>No</v>
      </c>
      <c r="I1043" s="185" t="str">
        <f>IFERROR(__xludf.DUMMYFUNCTION("""COMPUTED_VALUE"""),"Medium")</f>
        <v>Medium</v>
      </c>
      <c r="J1043" s="185" t="str">
        <f>IFERROR(__xludf.DUMMYFUNCTION("""COMPUTED_VALUE"""),"Yes")</f>
        <v>Yes</v>
      </c>
      <c r="K1043" s="185" t="str">
        <f>IFERROR(__xludf.DUMMYFUNCTION("""COMPUTED_VALUE"""),"Baseplus DIGITAL MEDIA GmbH, morefire, Mediaplus Performance, MONSOON")</f>
        <v>Baseplus DIGITAL MEDIA GmbH, morefire, Mediaplus Performance, MONSOON</v>
      </c>
      <c r="L1043" s="187">
        <f>IFERROR(__xludf.DUMMYFUNCTION("""COMPUTED_VALUE"""),3.0)</f>
        <v>3</v>
      </c>
      <c r="M1043" s="188">
        <f>IFERROR(__xludf.DUMMYFUNCTION("""COMPUTED_VALUE"""),0.0)</f>
        <v>0</v>
      </c>
      <c r="N1043" s="188">
        <f>IFERROR(__xludf.DUMMYFUNCTION("""COMPUTED_VALUE"""),0.0)</f>
        <v>0</v>
      </c>
      <c r="O1043" s="208"/>
      <c r="P1043" s="208"/>
      <c r="Q1043" s="208"/>
      <c r="R1043" s="208"/>
    </row>
    <row r="1044">
      <c r="A1044" s="185" t="str">
        <f>IFERROR(__xludf.DUMMYFUNCTION("""COMPUTED_VALUE"""),"Industry data / software authority")</f>
        <v>Industry data / software authority</v>
      </c>
      <c r="B1044" s="186" t="str">
        <f>IFERROR(__xludf.DUMMYFUNCTION("""COMPUTED_VALUE"""),"https://agencies.semrush.com/list/ai-optimization/hamburg/")</f>
        <v>https://agencies.semrush.com/list/ai-optimization/hamburg/</v>
      </c>
      <c r="C1044" s="185" t="str">
        <f>IFERROR(__xludf.DUMMYFUNCTION("""COMPUTED_VALUE"""),"Best AI Search Optimization Agencies in Hamburg 2026 | Semrush")</f>
        <v>Best AI Search Optimization Agencies in Hamburg 2026 | Semrush</v>
      </c>
      <c r="D1044" s="185" t="str">
        <f>IFERROR(__xludf.DUMMYFUNCTION("""COMPUTED_VALUE"""),"DE")</f>
        <v>DE</v>
      </c>
      <c r="E1044" s="185" t="str">
        <f>IFERROR(__xludf.DUMMYFUNCTION("""COMPUTED_VALUE"""),"semrush.com")</f>
        <v>semrush.com</v>
      </c>
      <c r="F1044" s="185" t="str">
        <f>IFERROR(__xludf.DUMMYFUNCTION("""COMPUTED_VALUE"""),"Profile")</f>
        <v>Profile</v>
      </c>
      <c r="G1044" s="185" t="str">
        <f>IFERROR(__xludf.DUMMYFUNCTION("""COMPUTED_VALUE"""),"CORPORATE")</f>
        <v>CORPORATE</v>
      </c>
      <c r="H1044" s="185" t="str">
        <f>IFERROR(__xludf.DUMMYFUNCTION("""COMPUTED_VALUE"""),"No")</f>
        <v>No</v>
      </c>
      <c r="I1044" s="185" t="str">
        <f>IFERROR(__xludf.DUMMYFUNCTION("""COMPUTED_VALUE"""),"Medium")</f>
        <v>Medium</v>
      </c>
      <c r="J1044" s="185" t="str">
        <f>IFERROR(__xludf.DUMMYFUNCTION("""COMPUTED_VALUE"""),"Yes")</f>
        <v>Yes</v>
      </c>
      <c r="K1044" s="185" t="str">
        <f>IFERROR(__xludf.DUMMYFUNCTION("""COMPUTED_VALUE"""),"HECHT INS GEFECHT, morefire, Mediaplus Performance")</f>
        <v>HECHT INS GEFECHT, morefire, Mediaplus Performance</v>
      </c>
      <c r="L1044" s="187">
        <f>IFERROR(__xludf.DUMMYFUNCTION("""COMPUTED_VALUE"""),3.0)</f>
        <v>3</v>
      </c>
      <c r="M1044" s="188">
        <f>IFERROR(__xludf.DUMMYFUNCTION("""COMPUTED_VALUE"""),0.0)</f>
        <v>0</v>
      </c>
      <c r="N1044" s="188">
        <f>IFERROR(__xludf.DUMMYFUNCTION("""COMPUTED_VALUE"""),1.0)</f>
        <v>1</v>
      </c>
      <c r="O1044" s="208"/>
      <c r="P1044" s="208"/>
      <c r="Q1044" s="208"/>
      <c r="R1044" s="208"/>
    </row>
    <row r="1045">
      <c r="A1045" s="185" t="str">
        <f>IFERROR(__xludf.DUMMYFUNCTION("""COMPUTED_VALUE"""),"Industry data / software authority")</f>
        <v>Industry data / software authority</v>
      </c>
      <c r="B1045" s="186" t="str">
        <f>IFERROR(__xludf.DUMMYFUNCTION("""COMPUTED_VALUE"""),"https://agencies.semrush.com/list/content-marketing/business-professional-services/germany/")</f>
        <v>https://agencies.semrush.com/list/content-marketing/business-professional-services/germany/</v>
      </c>
      <c r="C1045" s="185" t="str">
        <f>IFERROR(__xludf.DUMMYFUNCTION("""COMPUTED_VALUE"""),"Best B2B Services Content Marketing Agencies in Germany 2026 | Semrush")</f>
        <v>Best B2B Services Content Marketing Agencies in Germany 2026 | Semrush</v>
      </c>
      <c r="D1045" s="185" t="str">
        <f>IFERROR(__xludf.DUMMYFUNCTION("""COMPUTED_VALUE"""),"DE")</f>
        <v>DE</v>
      </c>
      <c r="E1045" s="185" t="str">
        <f>IFERROR(__xludf.DUMMYFUNCTION("""COMPUTED_VALUE"""),"semrush.com")</f>
        <v>semrush.com</v>
      </c>
      <c r="F1045" s="185" t="str">
        <f>IFERROR(__xludf.DUMMYFUNCTION("""COMPUTED_VALUE"""),"Category Page")</f>
        <v>Category Page</v>
      </c>
      <c r="G1045" s="185" t="str">
        <f>IFERROR(__xludf.DUMMYFUNCTION("""COMPUTED_VALUE"""),"CORPORATE")</f>
        <v>CORPORATE</v>
      </c>
      <c r="H1045" s="185" t="str">
        <f>IFERROR(__xludf.DUMMYFUNCTION("""COMPUTED_VALUE"""),"No")</f>
        <v>No</v>
      </c>
      <c r="I1045" s="185" t="str">
        <f>IFERROR(__xludf.DUMMYFUNCTION("""COMPUTED_VALUE"""),"Medium")</f>
        <v>Medium</v>
      </c>
      <c r="J1045" s="185" t="str">
        <f>IFERROR(__xludf.DUMMYFUNCTION("""COMPUTED_VALUE"""),"Yes")</f>
        <v>Yes</v>
      </c>
      <c r="K1045" s="185" t="str">
        <f>IFERROR(__xludf.DUMMYFUNCTION("""COMPUTED_VALUE"""),"HECHT INS GEFECHT, Baseplus DIGITAL MEDIA GmbH, Mediaplus Performance")</f>
        <v>HECHT INS GEFECHT, Baseplus DIGITAL MEDIA GmbH, Mediaplus Performance</v>
      </c>
      <c r="L1045" s="187">
        <f>IFERROR(__xludf.DUMMYFUNCTION("""COMPUTED_VALUE"""),3.0)</f>
        <v>3</v>
      </c>
      <c r="M1045" s="188">
        <f>IFERROR(__xludf.DUMMYFUNCTION("""COMPUTED_VALUE"""),0.0)</f>
        <v>0</v>
      </c>
      <c r="N1045" s="188">
        <f>IFERROR(__xludf.DUMMYFUNCTION("""COMPUTED_VALUE"""),0.33)</f>
        <v>0.33</v>
      </c>
      <c r="O1045" s="208"/>
      <c r="P1045" s="208"/>
      <c r="Q1045" s="208"/>
      <c r="R1045" s="208"/>
    </row>
    <row r="1046">
      <c r="A1046" s="185" t="str">
        <f>IFERROR(__xludf.DUMMYFUNCTION("""COMPUTED_VALUE"""),"Industry data / software authority")</f>
        <v>Industry data / software authority</v>
      </c>
      <c r="B1046" s="186" t="str">
        <f>IFERROR(__xludf.DUMMYFUNCTION("""COMPUTED_VALUE"""),"https://agencies.semrush.com/list/display-advertising/arts-entertainment/germany/")</f>
        <v>https://agencies.semrush.com/list/display-advertising/arts-entertainment/germany/</v>
      </c>
      <c r="C1046" s="185" t="str">
        <f>IFERROR(__xludf.DUMMYFUNCTION("""COMPUTED_VALUE"""),"Best Media &amp;amp; Entertainment Display Ads Agencies in Germany 2026 | Semrush")</f>
        <v>Best Media &amp;amp; Entertainment Display Ads Agencies in Germany 2026 | Semrush</v>
      </c>
      <c r="D1046" s="185" t="str">
        <f>IFERROR(__xludf.DUMMYFUNCTION("""COMPUTED_VALUE"""),"DE")</f>
        <v>DE</v>
      </c>
      <c r="E1046" s="185" t="str">
        <f>IFERROR(__xludf.DUMMYFUNCTION("""COMPUTED_VALUE"""),"semrush.com")</f>
        <v>semrush.com</v>
      </c>
      <c r="F1046" s="185" t="str">
        <f>IFERROR(__xludf.DUMMYFUNCTION("""COMPUTED_VALUE"""),"Category Page")</f>
        <v>Category Page</v>
      </c>
      <c r="G1046" s="185" t="str">
        <f>IFERROR(__xludf.DUMMYFUNCTION("""COMPUTED_VALUE"""),"CORPORATE")</f>
        <v>CORPORATE</v>
      </c>
      <c r="H1046" s="185" t="str">
        <f>IFERROR(__xludf.DUMMYFUNCTION("""COMPUTED_VALUE"""),"No")</f>
        <v>No</v>
      </c>
      <c r="I1046" s="185" t="str">
        <f>IFERROR(__xludf.DUMMYFUNCTION("""COMPUTED_VALUE"""),"Medium")</f>
        <v>Medium</v>
      </c>
      <c r="J1046" s="185" t="str">
        <f>IFERROR(__xludf.DUMMYFUNCTION("""COMPUTED_VALUE"""),"Yes")</f>
        <v>Yes</v>
      </c>
      <c r="K1046" s="185" t="str">
        <f>IFERROR(__xludf.DUMMYFUNCTION("""COMPUTED_VALUE"""),"KlickPiloten")</f>
        <v>KlickPiloten</v>
      </c>
      <c r="L1046" s="187">
        <f>IFERROR(__xludf.DUMMYFUNCTION("""COMPUTED_VALUE"""),3.0)</f>
        <v>3</v>
      </c>
      <c r="M1046" s="188">
        <f>IFERROR(__xludf.DUMMYFUNCTION("""COMPUTED_VALUE"""),0.0)</f>
        <v>0</v>
      </c>
      <c r="N1046" s="188">
        <f>IFERROR(__xludf.DUMMYFUNCTION("""COMPUTED_VALUE"""),0.0)</f>
        <v>0</v>
      </c>
      <c r="O1046" s="208"/>
      <c r="P1046" s="208"/>
      <c r="Q1046" s="208"/>
      <c r="R1046" s="208"/>
    </row>
    <row r="1047">
      <c r="A1047" s="185" t="str">
        <f>IFERROR(__xludf.DUMMYFUNCTION("""COMPUTED_VALUE"""),"Industry data / software authority")</f>
        <v>Industry data / software authority</v>
      </c>
      <c r="B1047" s="186" t="str">
        <f>IFERROR(__xludf.DUMMYFUNCTION("""COMPUTED_VALUE"""),"https://agencies.semrush.com/list/display-advertising/ecommerce/germany/mid-business/")</f>
        <v>https://agencies.semrush.com/list/display-advertising/ecommerce/germany/mid-business/</v>
      </c>
      <c r="C1047" s="185" t="str">
        <f>IFERROR(__xludf.DUMMYFUNCTION("""COMPUTED_VALUE"""),"Best Ecommerce Display Ads Agencies for Mid Business in Germany 2026 | Semrush")</f>
        <v>Best Ecommerce Display Ads Agencies for Mid Business in Germany 2026 | Semrush</v>
      </c>
      <c r="D1047" s="185" t="str">
        <f>IFERROR(__xludf.DUMMYFUNCTION("""COMPUTED_VALUE"""),"DE")</f>
        <v>DE</v>
      </c>
      <c r="E1047" s="185" t="str">
        <f>IFERROR(__xludf.DUMMYFUNCTION("""COMPUTED_VALUE"""),"semrush.com")</f>
        <v>semrush.com</v>
      </c>
      <c r="F1047" s="185" t="str">
        <f>IFERROR(__xludf.DUMMYFUNCTION("""COMPUTED_VALUE"""),"Other")</f>
        <v>Other</v>
      </c>
      <c r="G1047" s="185" t="str">
        <f>IFERROR(__xludf.DUMMYFUNCTION("""COMPUTED_VALUE"""),"CORPORATE")</f>
        <v>CORPORATE</v>
      </c>
      <c r="H1047" s="185" t="str">
        <f>IFERROR(__xludf.DUMMYFUNCTION("""COMPUTED_VALUE"""),"No")</f>
        <v>No</v>
      </c>
      <c r="I1047" s="185" t="str">
        <f>IFERROR(__xludf.DUMMYFUNCTION("""COMPUTED_VALUE"""),"Medium")</f>
        <v>Medium</v>
      </c>
      <c r="J1047" s="185" t="str">
        <f>IFERROR(__xludf.DUMMYFUNCTION("""COMPUTED_VALUE"""),"Yes")</f>
        <v>Yes</v>
      </c>
      <c r="K1047" s="185" t="str">
        <f>IFERROR(__xludf.DUMMYFUNCTION("""COMPUTED_VALUE"""),"Baseplus DIGITAL MEDIA GmbH, morefire, Mediaplus Performance, MONSOON")</f>
        <v>Baseplus DIGITAL MEDIA GmbH, morefire, Mediaplus Performance, MONSOON</v>
      </c>
      <c r="L1047" s="187">
        <f>IFERROR(__xludf.DUMMYFUNCTION("""COMPUTED_VALUE"""),3.0)</f>
        <v>3</v>
      </c>
      <c r="M1047" s="188">
        <f>IFERROR(__xludf.DUMMYFUNCTION("""COMPUTED_VALUE"""),0.0)</f>
        <v>0</v>
      </c>
      <c r="N1047" s="188">
        <f>IFERROR(__xludf.DUMMYFUNCTION("""COMPUTED_VALUE"""),1.0)</f>
        <v>1</v>
      </c>
      <c r="O1047" s="208"/>
      <c r="P1047" s="208"/>
      <c r="Q1047" s="208"/>
      <c r="R1047" s="208"/>
    </row>
    <row r="1048">
      <c r="A1048" s="185" t="str">
        <f>IFERROR(__xludf.DUMMYFUNCTION("""COMPUTED_VALUE"""),"Industry data / software authority")</f>
        <v>Industry data / software authority</v>
      </c>
      <c r="B1048" s="186" t="str">
        <f>IFERROR(__xludf.DUMMYFUNCTION("""COMPUTED_VALUE"""),"https://agencies.semrush.com/list/display-advertising/germany/enterprise-business/")</f>
        <v>https://agencies.semrush.com/list/display-advertising/germany/enterprise-business/</v>
      </c>
      <c r="C1048" s="185" t="str">
        <f>IFERROR(__xludf.DUMMYFUNCTION("""COMPUTED_VALUE"""),"Best Display Ads Agencies for Enterprise Business in Germany 2026 | Semrush")</f>
        <v>Best Display Ads Agencies for Enterprise Business in Germany 2026 | Semrush</v>
      </c>
      <c r="D1048" s="185" t="str">
        <f>IFERROR(__xludf.DUMMYFUNCTION("""COMPUTED_VALUE"""),"DE")</f>
        <v>DE</v>
      </c>
      <c r="E1048" s="185" t="str">
        <f>IFERROR(__xludf.DUMMYFUNCTION("""COMPUTED_VALUE"""),"semrush.com")</f>
        <v>semrush.com</v>
      </c>
      <c r="F1048" s="185" t="str">
        <f>IFERROR(__xludf.DUMMYFUNCTION("""COMPUTED_VALUE"""),"Other")</f>
        <v>Other</v>
      </c>
      <c r="G1048" s="185" t="str">
        <f>IFERROR(__xludf.DUMMYFUNCTION("""COMPUTED_VALUE"""),"CORPORATE")</f>
        <v>CORPORATE</v>
      </c>
      <c r="H1048" s="185" t="str">
        <f>IFERROR(__xludf.DUMMYFUNCTION("""COMPUTED_VALUE"""),"No")</f>
        <v>No</v>
      </c>
      <c r="I1048" s="185" t="str">
        <f>IFERROR(__xludf.DUMMYFUNCTION("""COMPUTED_VALUE"""),"Medium")</f>
        <v>Medium</v>
      </c>
      <c r="J1048" s="185" t="str">
        <f>IFERROR(__xludf.DUMMYFUNCTION("""COMPUTED_VALUE"""),"Yes")</f>
        <v>Yes</v>
      </c>
      <c r="K1048" s="185" t="str">
        <f>IFERROR(__xludf.DUMMYFUNCTION("""COMPUTED_VALUE"""),"Baseplus DIGITAL MEDIA GmbH, morefire, Mediaplus Performance, MONSOON, KlickPiloten")</f>
        <v>Baseplus DIGITAL MEDIA GmbH, morefire, Mediaplus Performance, MONSOON, KlickPiloten</v>
      </c>
      <c r="L1048" s="187">
        <f>IFERROR(__xludf.DUMMYFUNCTION("""COMPUTED_VALUE"""),3.0)</f>
        <v>3</v>
      </c>
      <c r="M1048" s="188">
        <f>IFERROR(__xludf.DUMMYFUNCTION("""COMPUTED_VALUE"""),0.0)</f>
        <v>0</v>
      </c>
      <c r="N1048" s="188">
        <f>IFERROR(__xludf.DUMMYFUNCTION("""COMPUTED_VALUE"""),0.0)</f>
        <v>0</v>
      </c>
      <c r="O1048" s="208"/>
      <c r="P1048" s="208"/>
      <c r="Q1048" s="208"/>
      <c r="R1048" s="208"/>
    </row>
    <row r="1049">
      <c r="A1049" s="185" t="str">
        <f>IFERROR(__xludf.DUMMYFUNCTION("""COMPUTED_VALUE"""),"Industry data / software authority")</f>
        <v>Industry data / software authority</v>
      </c>
      <c r="B1049" s="186" t="str">
        <f>IFERROR(__xludf.DUMMYFUNCTION("""COMPUTED_VALUE"""),"https://agencies.semrush.com/list/llm-optimization/germany/")</f>
        <v>https://agencies.semrush.com/list/llm-optimization/germany/</v>
      </c>
      <c r="C1049" s="185" t="str">
        <f>IFERROR(__xludf.DUMMYFUNCTION("""COMPUTED_VALUE"""),"Best LLM optimization Agencies in Germany 2026 | Semrush")</f>
        <v>Best LLM optimization Agencies in Germany 2026 | Semrush</v>
      </c>
      <c r="D1049" s="185" t="str">
        <f>IFERROR(__xludf.DUMMYFUNCTION("""COMPUTED_VALUE"""),"DE")</f>
        <v>DE</v>
      </c>
      <c r="E1049" s="185" t="str">
        <f>IFERROR(__xludf.DUMMYFUNCTION("""COMPUTED_VALUE"""),"semrush.com")</f>
        <v>semrush.com</v>
      </c>
      <c r="F1049" s="185" t="str">
        <f>IFERROR(__xludf.DUMMYFUNCTION("""COMPUTED_VALUE"""),"Category Page")</f>
        <v>Category Page</v>
      </c>
      <c r="G1049" s="185" t="str">
        <f>IFERROR(__xludf.DUMMYFUNCTION("""COMPUTED_VALUE"""),"CORPORATE")</f>
        <v>CORPORATE</v>
      </c>
      <c r="H1049" s="185" t="str">
        <f>IFERROR(__xludf.DUMMYFUNCTION("""COMPUTED_VALUE"""),"No")</f>
        <v>No</v>
      </c>
      <c r="I1049" s="185" t="str">
        <f>IFERROR(__xludf.DUMMYFUNCTION("""COMPUTED_VALUE"""),"Medium")</f>
        <v>Medium</v>
      </c>
      <c r="J1049" s="185" t="str">
        <f>IFERROR(__xludf.DUMMYFUNCTION("""COMPUTED_VALUE"""),"Yes")</f>
        <v>Yes</v>
      </c>
      <c r="K1049" s="185" t="str">
        <f>IFERROR(__xludf.DUMMYFUNCTION("""COMPUTED_VALUE"""),"HECHT INS GEFECHT, morefire, Mediaplus Performance")</f>
        <v>HECHT INS GEFECHT, morefire, Mediaplus Performance</v>
      </c>
      <c r="L1049" s="187">
        <f>IFERROR(__xludf.DUMMYFUNCTION("""COMPUTED_VALUE"""),3.0)</f>
        <v>3</v>
      </c>
      <c r="M1049" s="188">
        <f>IFERROR(__xludf.DUMMYFUNCTION("""COMPUTED_VALUE"""),0.0)</f>
        <v>0</v>
      </c>
      <c r="N1049" s="188">
        <f>IFERROR(__xludf.DUMMYFUNCTION("""COMPUTED_VALUE"""),1.0)</f>
        <v>1</v>
      </c>
      <c r="O1049" s="208"/>
      <c r="P1049" s="208"/>
      <c r="Q1049" s="208"/>
      <c r="R1049" s="208"/>
    </row>
    <row r="1050">
      <c r="A1050" s="185" t="str">
        <f>IFERROR(__xludf.DUMMYFUNCTION("""COMPUTED_VALUE"""),"Agency directory / review marketplace")</f>
        <v>Agency directory / review marketplace</v>
      </c>
      <c r="B1050" s="186" t="str">
        <f>IFERROR(__xludf.DUMMYFUNCTION("""COMPUTED_VALUE"""),"https://clutch.co/de/agencies/demand-generation-marketing")</f>
        <v>https://clutch.co/de/agencies/demand-generation-marketing</v>
      </c>
      <c r="C1050" s="185" t="str">
        <f>IFERROR(__xludf.DUMMYFUNCTION("""COMPUTED_VALUE"""),"Top Demand Generation Agencies in Germany - Jul 2026 Rankings \| Clutch.co")</f>
        <v>Top Demand Generation Agencies in Germany - Jul 2026 Rankings \| Clutch.co</v>
      </c>
      <c r="D1050" s="185" t="str">
        <f>IFERROR(__xludf.DUMMYFUNCTION("""COMPUTED_VALUE"""),"DE")</f>
        <v>DE</v>
      </c>
      <c r="E1050" s="185" t="str">
        <f>IFERROR(__xludf.DUMMYFUNCTION("""COMPUTED_VALUE"""),"clutch.co")</f>
        <v>clutch.co</v>
      </c>
      <c r="F1050" s="185" t="str">
        <f>IFERROR(__xludf.DUMMYFUNCTION("""COMPUTED_VALUE"""),"Category Page")</f>
        <v>Category Page</v>
      </c>
      <c r="G1050" s="185" t="str">
        <f>IFERROR(__xludf.DUMMYFUNCTION("""COMPUTED_VALUE"""),"CORPORATE")</f>
        <v>CORPORATE</v>
      </c>
      <c r="H1050" s="185" t="str">
        <f>IFERROR(__xludf.DUMMYFUNCTION("""COMPUTED_VALUE"""),"No")</f>
        <v>No</v>
      </c>
      <c r="I1050" s="185" t="str">
        <f>IFERROR(__xludf.DUMMYFUNCTION("""COMPUTED_VALUE"""),"Medium")</f>
        <v>Medium</v>
      </c>
      <c r="J1050" s="185" t="str">
        <f>IFERROR(__xludf.DUMMYFUNCTION("""COMPUTED_VALUE"""),"Yes")</f>
        <v>Yes</v>
      </c>
      <c r="K1050" s="185"/>
      <c r="L1050" s="187">
        <f>IFERROR(__xludf.DUMMYFUNCTION("""COMPUTED_VALUE"""),3.0)</f>
        <v>3</v>
      </c>
      <c r="M1050" s="188">
        <f>IFERROR(__xludf.DUMMYFUNCTION("""COMPUTED_VALUE"""),0.0)</f>
        <v>0</v>
      </c>
      <c r="N1050" s="188">
        <f>IFERROR(__xludf.DUMMYFUNCTION("""COMPUTED_VALUE"""),0.0)</f>
        <v>0</v>
      </c>
      <c r="O1050" s="208"/>
      <c r="P1050" s="208"/>
      <c r="Q1050" s="208"/>
      <c r="R1050" s="208"/>
    </row>
    <row r="1051">
      <c r="A1051" s="185" t="str">
        <f>IFERROR(__xludf.DUMMYFUNCTION("""COMPUTED_VALUE"""),"Agency directory / review marketplace")</f>
        <v>Agency directory / review marketplace</v>
      </c>
      <c r="B1051" s="186" t="str">
        <f>IFERROR(__xludf.DUMMYFUNCTION("""COMPUTED_VALUE"""),"https://clutch.co/de/seo-firms/international")</f>
        <v>https://clutch.co/de/seo-firms/international</v>
      </c>
      <c r="C1051" s="185" t="str">
        <f>IFERROR(__xludf.DUMMYFUNCTION("""COMPUTED_VALUE"""),"Top International SEO Agencies in Germany - Jul 2026 Rankings | Clutch.co")</f>
        <v>Top International SEO Agencies in Germany - Jul 2026 Rankings | Clutch.co</v>
      </c>
      <c r="D1051" s="185" t="str">
        <f>IFERROR(__xludf.DUMMYFUNCTION("""COMPUTED_VALUE"""),"DE")</f>
        <v>DE</v>
      </c>
      <c r="E1051" s="185" t="str">
        <f>IFERROR(__xludf.DUMMYFUNCTION("""COMPUTED_VALUE"""),"clutch.co")</f>
        <v>clutch.co</v>
      </c>
      <c r="F1051" s="185" t="str">
        <f>IFERROR(__xludf.DUMMYFUNCTION("""COMPUTED_VALUE"""),"Category Page")</f>
        <v>Category Page</v>
      </c>
      <c r="G1051" s="185" t="str">
        <f>IFERROR(__xludf.DUMMYFUNCTION("""COMPUTED_VALUE"""),"CORPORATE")</f>
        <v>CORPORATE</v>
      </c>
      <c r="H1051" s="185" t="str">
        <f>IFERROR(__xludf.DUMMYFUNCTION("""COMPUTED_VALUE"""),"No")</f>
        <v>No</v>
      </c>
      <c r="I1051" s="185" t="str">
        <f>IFERROR(__xludf.DUMMYFUNCTION("""COMPUTED_VALUE"""),"Medium")</f>
        <v>Medium</v>
      </c>
      <c r="J1051" s="185" t="str">
        <f>IFERROR(__xludf.DUMMYFUNCTION("""COMPUTED_VALUE"""),"Yes")</f>
        <v>Yes</v>
      </c>
      <c r="K1051" s="185" t="str">
        <f>IFERROR(__xludf.DUMMYFUNCTION("""COMPUTED_VALUE"""),"MONSOON, Claneo, morefire, WeLikeWeb GmbH, Peak Ace, eMinded GmbH")</f>
        <v>MONSOON, Claneo, morefire, WeLikeWeb GmbH, Peak Ace, eMinded GmbH</v>
      </c>
      <c r="L1051" s="187">
        <f>IFERROR(__xludf.DUMMYFUNCTION("""COMPUTED_VALUE"""),3.0)</f>
        <v>3</v>
      </c>
      <c r="M1051" s="188">
        <f>IFERROR(__xludf.DUMMYFUNCTION("""COMPUTED_VALUE"""),0.0)</f>
        <v>0</v>
      </c>
      <c r="N1051" s="188">
        <f>IFERROR(__xludf.DUMMYFUNCTION("""COMPUTED_VALUE"""),0.0)</f>
        <v>0</v>
      </c>
      <c r="O1051" s="208"/>
      <c r="P1051" s="208"/>
      <c r="Q1051" s="208"/>
      <c r="R1051" s="208"/>
    </row>
    <row r="1052">
      <c r="A1052" s="185" t="str">
        <f>IFERROR(__xludf.DUMMYFUNCTION("""COMPUTED_VALUE"""),"Official partner / certification ecosystem")</f>
        <v>Official partner / certification ecosystem</v>
      </c>
      <c r="B1052" s="186" t="str">
        <f>IFERROR(__xludf.DUMMYFUNCTION("""COMPUTED_VALUE"""),"https://www.google.com/partners/?hl=de")</f>
        <v>https://www.google.com/partners/?hl=de</v>
      </c>
      <c r="C1052" s="185"/>
      <c r="D1052" s="185" t="str">
        <f>IFERROR(__xludf.DUMMYFUNCTION("""COMPUTED_VALUE"""),"DE")</f>
        <v>DE</v>
      </c>
      <c r="E1052" s="185" t="str">
        <f>IFERROR(__xludf.DUMMYFUNCTION("""COMPUTED_VALUE"""),"google.com")</f>
        <v>google.com</v>
      </c>
      <c r="F1052" s="185" t="str">
        <f>IFERROR(__xludf.DUMMYFUNCTION("""COMPUTED_VALUE"""),"Other")</f>
        <v>Other</v>
      </c>
      <c r="G1052" s="185" t="str">
        <f>IFERROR(__xludf.DUMMYFUNCTION("""COMPUTED_VALUE"""),"OTHER")</f>
        <v>OTHER</v>
      </c>
      <c r="H1052" s="185" t="str">
        <f>IFERROR(__xludf.DUMMYFUNCTION("""COMPUTED_VALUE"""),"No")</f>
        <v>No</v>
      </c>
      <c r="I1052" s="185" t="str">
        <f>IFERROR(__xludf.DUMMYFUNCTION("""COMPUTED_VALUE"""),"High")</f>
        <v>High</v>
      </c>
      <c r="J1052" s="185" t="str">
        <f>IFERROR(__xludf.DUMMYFUNCTION("""COMPUTED_VALUE"""),"Yes - priority")</f>
        <v>Yes - priority</v>
      </c>
      <c r="K1052" s="185" t="str">
        <f>IFERROR(__xludf.DUMMYFUNCTION("""COMPUTED_VALUE"""),"Unknown")</f>
        <v>Unknown</v>
      </c>
      <c r="L1052" s="187">
        <f>IFERROR(__xludf.DUMMYFUNCTION("""COMPUTED_VALUE"""),3.0)</f>
        <v>3</v>
      </c>
      <c r="M1052" s="188">
        <f>IFERROR(__xludf.DUMMYFUNCTION("""COMPUTED_VALUE"""),0.0)</f>
        <v>0</v>
      </c>
      <c r="N1052" s="188">
        <f>IFERROR(__xludf.DUMMYFUNCTION("""COMPUTED_VALUE"""),0.0)</f>
        <v>0</v>
      </c>
      <c r="O1052" s="208"/>
      <c r="P1052" s="208"/>
      <c r="Q1052" s="208"/>
      <c r="R1052" s="208"/>
    </row>
    <row r="1053">
      <c r="A1053" s="185" t="str">
        <f>IFERROR(__xludf.DUMMYFUNCTION("""COMPUTED_VALUE"""),"Trade media / editorial publication")</f>
        <v>Trade media / editorial publication</v>
      </c>
      <c r="B1053" s="186" t="str">
        <f>IFERROR(__xludf.DUMMYFUNCTION("""COMPUTED_VALUE"""),"https://www.ibusiness.de/performance-ranking/performance_2023.html")</f>
        <v>https://www.ibusiness.de/performance-ranking/performance_2023.html</v>
      </c>
      <c r="C1053" s="185" t="str">
        <f>IFERROR(__xludf.DUMMYFUNCTION("""COMPUTED_VALUE"""),"Das Ranking der gr��ten deutschen Performance-Marketing-Agenturen")</f>
        <v>Das Ranking der gr��ten deutschen Performance-Marketing-Agenturen</v>
      </c>
      <c r="D1053" s="185" t="str">
        <f>IFERROR(__xludf.DUMMYFUNCTION("""COMPUTED_VALUE"""),"DE")</f>
        <v>DE</v>
      </c>
      <c r="E1053" s="185" t="str">
        <f>IFERROR(__xludf.DUMMYFUNCTION("""COMPUTED_VALUE"""),"ibusiness.de")</f>
        <v>ibusiness.de</v>
      </c>
      <c r="F1053" s="185" t="str">
        <f>IFERROR(__xludf.DUMMYFUNCTION("""COMPUTED_VALUE"""),"Profile")</f>
        <v>Profile</v>
      </c>
      <c r="G1053" s="185" t="str">
        <f>IFERROR(__xludf.DUMMYFUNCTION("""COMPUTED_VALUE"""),"EDITORIAL")</f>
        <v>EDITORIAL</v>
      </c>
      <c r="H1053" s="185" t="str">
        <f>IFERROR(__xludf.DUMMYFUNCTION("""COMPUTED_VALUE"""),"No")</f>
        <v>No</v>
      </c>
      <c r="I1053" s="185" t="str">
        <f>IFERROR(__xludf.DUMMYFUNCTION("""COMPUTED_VALUE"""),"Medium")</f>
        <v>Medium</v>
      </c>
      <c r="J1053" s="185" t="str">
        <f>IFERROR(__xludf.DUMMYFUNCTION("""COMPUTED_VALUE"""),"Yes")</f>
        <v>Yes</v>
      </c>
      <c r="K1053" s="185" t="str">
        <f>IFERROR(__xludf.DUMMYFUNCTION("""COMPUTED_VALUE"""),"Serviceplan Group, Smarketer, iProspect, e-dialog, morefire, The Boutique Agency, 42DIGITAL, Aufgesang")</f>
        <v>Serviceplan Group, Smarketer, iProspect, e-dialog, morefire, The Boutique Agency, 42DIGITAL, Aufgesang</v>
      </c>
      <c r="L1053" s="187">
        <f>IFERROR(__xludf.DUMMYFUNCTION("""COMPUTED_VALUE"""),3.0)</f>
        <v>3</v>
      </c>
      <c r="M1053" s="188">
        <f>IFERROR(__xludf.DUMMYFUNCTION("""COMPUTED_VALUE"""),0.0)</f>
        <v>0</v>
      </c>
      <c r="N1053" s="188">
        <f>IFERROR(__xludf.DUMMYFUNCTION("""COMPUTED_VALUE"""),0.0)</f>
        <v>0</v>
      </c>
      <c r="O1053" s="208"/>
      <c r="P1053" s="208"/>
      <c r="Q1053" s="208"/>
      <c r="R1053" s="208"/>
    </row>
    <row r="1054">
      <c r="A1054" s="185" t="str">
        <f>IFERROR(__xludf.DUMMYFUNCTION("""COMPUTED_VALUE"""),"Trade media / editorial publication")</f>
        <v>Trade media / editorial publication</v>
      </c>
      <c r="B1054" s="186" t="str">
        <f>IFERROR(__xludf.DUMMYFUNCTION("""COMPUTED_VALUE"""),"https://www.ibusiness.de/performance-ranking/performance_2024.html")</f>
        <v>https://www.ibusiness.de/performance-ranking/performance_2024.html</v>
      </c>
      <c r="C1054" s="185" t="str">
        <f>IFERROR(__xludf.DUMMYFUNCTION("""COMPUTED_VALUE"""),"Das Ranking der gr��ten deutschen Performance-Marketing-Agenturen")</f>
        <v>Das Ranking der gr��ten deutschen Performance-Marketing-Agenturen</v>
      </c>
      <c r="D1054" s="185" t="str">
        <f>IFERROR(__xludf.DUMMYFUNCTION("""COMPUTED_VALUE"""),"DE")</f>
        <v>DE</v>
      </c>
      <c r="E1054" s="185" t="str">
        <f>IFERROR(__xludf.DUMMYFUNCTION("""COMPUTED_VALUE"""),"ibusiness.de")</f>
        <v>ibusiness.de</v>
      </c>
      <c r="F1054" s="185" t="str">
        <f>IFERROR(__xludf.DUMMYFUNCTION("""COMPUTED_VALUE"""),"Profile")</f>
        <v>Profile</v>
      </c>
      <c r="G1054" s="185" t="str">
        <f>IFERROR(__xludf.DUMMYFUNCTION("""COMPUTED_VALUE"""),"EDITORIAL")</f>
        <v>EDITORIAL</v>
      </c>
      <c r="H1054" s="185" t="str">
        <f>IFERROR(__xludf.DUMMYFUNCTION("""COMPUTED_VALUE"""),"No")</f>
        <v>No</v>
      </c>
      <c r="I1054" s="185" t="str">
        <f>IFERROR(__xludf.DUMMYFUNCTION("""COMPUTED_VALUE"""),"Medium")</f>
        <v>Medium</v>
      </c>
      <c r="J1054" s="185" t="str">
        <f>IFERROR(__xludf.DUMMYFUNCTION("""COMPUTED_VALUE"""),"Yes")</f>
        <v>Yes</v>
      </c>
      <c r="K1054" s="185" t="str">
        <f>IFERROR(__xludf.DUMMYFUNCTION("""COMPUTED_VALUE"""),"iProspect, Smarketer, Peak Ace, e-dialog, morefire, The Boutique Agency, 42DIGITAL, Aufgesang, eMinded GmbH")</f>
        <v>iProspect, Smarketer, Peak Ace, e-dialog, morefire, The Boutique Agency, 42DIGITAL, Aufgesang, eMinded GmbH</v>
      </c>
      <c r="L1054" s="187">
        <f>IFERROR(__xludf.DUMMYFUNCTION("""COMPUTED_VALUE"""),3.0)</f>
        <v>3</v>
      </c>
      <c r="M1054" s="188">
        <f>IFERROR(__xludf.DUMMYFUNCTION("""COMPUTED_VALUE"""),0.0)</f>
        <v>0</v>
      </c>
      <c r="N1054" s="188">
        <f>IFERROR(__xludf.DUMMYFUNCTION("""COMPUTED_VALUE"""),0.0)</f>
        <v>0</v>
      </c>
      <c r="O1054" s="208"/>
      <c r="P1054" s="208"/>
      <c r="Q1054" s="208"/>
      <c r="R1054" s="208"/>
    </row>
    <row r="1055">
      <c r="A1055" s="185" t="str">
        <f>IFERROR(__xludf.DUMMYFUNCTION("""COMPUTED_VALUE"""),"Official partner / certification ecosystem")</f>
        <v>Official partner / certification ecosystem</v>
      </c>
      <c r="B1055" s="186" t="str">
        <f>IFERROR(__xludf.DUMMYFUNCTION("""COMPUTED_VALUE"""),"https://marketingplatform.google.com/about/partners/?authuser=1")</f>
        <v>https://marketingplatform.google.com/about/partners/?authuser=1</v>
      </c>
      <c r="C1055" s="185" t="str">
        <f>IFERROR(__xludf.DUMMYFUNCTION("""COMPUTED_VALUE"""),"Meet Your New Marketing Partner - Google Marketing Platform Partners")</f>
        <v>Meet Your New Marketing Partner - Google Marketing Platform Partners</v>
      </c>
      <c r="D1055" s="185" t="str">
        <f>IFERROR(__xludf.DUMMYFUNCTION("""COMPUTED_VALUE"""),"DE")</f>
        <v>DE</v>
      </c>
      <c r="E1055" s="185" t="str">
        <f>IFERROR(__xludf.DUMMYFUNCTION("""COMPUTED_VALUE"""),"google.com")</f>
        <v>google.com</v>
      </c>
      <c r="F1055" s="185" t="str">
        <f>IFERROR(__xludf.DUMMYFUNCTION("""COMPUTED_VALUE"""),"Category Page")</f>
        <v>Category Page</v>
      </c>
      <c r="G1055" s="185" t="str">
        <f>IFERROR(__xludf.DUMMYFUNCTION("""COMPUTED_VALUE"""),"OTHER")</f>
        <v>OTHER</v>
      </c>
      <c r="H1055" s="185" t="str">
        <f>IFERROR(__xludf.DUMMYFUNCTION("""COMPUTED_VALUE"""),"No")</f>
        <v>No</v>
      </c>
      <c r="I1055" s="185" t="str">
        <f>IFERROR(__xludf.DUMMYFUNCTION("""COMPUTED_VALUE"""),"High")</f>
        <v>High</v>
      </c>
      <c r="J1055" s="185" t="str">
        <f>IFERROR(__xludf.DUMMYFUNCTION("""COMPUTED_VALUE"""),"Yes - priority")</f>
        <v>Yes - priority</v>
      </c>
      <c r="K1055" s="185"/>
      <c r="L1055" s="187">
        <f>IFERROR(__xludf.DUMMYFUNCTION("""COMPUTED_VALUE"""),3.0)</f>
        <v>3</v>
      </c>
      <c r="M1055" s="188">
        <f>IFERROR(__xludf.DUMMYFUNCTION("""COMPUTED_VALUE"""),0.0)</f>
        <v>0</v>
      </c>
      <c r="N1055" s="188">
        <f>IFERROR(__xludf.DUMMYFUNCTION("""COMPUTED_VALUE"""),0.67)</f>
        <v>0.67</v>
      </c>
      <c r="O1055" s="208"/>
      <c r="P1055" s="208"/>
      <c r="Q1055" s="208"/>
      <c r="R1055" s="208"/>
    </row>
    <row r="1056">
      <c r="A1056" s="185" t="str">
        <f>IFERROR(__xludf.DUMMYFUNCTION("""COMPUTED_VALUE"""),"Industry association / institutional authority")</f>
        <v>Industry association / institutional authority</v>
      </c>
      <c r="B1056" s="186" t="str">
        <f>IFERROR(__xludf.DUMMYFUNCTION("""COMPUTED_VALUE"""),"https://www.oneclub.org/awards/adcawards/-archive/agency/2024/38/all/2/208")</f>
        <v>https://www.oneclub.org/awards/adcawards/-archive/agency/2024/38/all/2/208</v>
      </c>
      <c r="C1056" s="185" t="str">
        <f>IFERROR(__xludf.DUMMYFUNCTION("""COMPUTED_VALUE"""),"ADC Awards | Agency Rankings | 2024 | Advertising | Europe")</f>
        <v>ADC Awards | Agency Rankings | 2024 | Advertising | Europe</v>
      </c>
      <c r="D1056" s="185" t="str">
        <f>IFERROR(__xludf.DUMMYFUNCTION("""COMPUTED_VALUE"""),"DE")</f>
        <v>DE</v>
      </c>
      <c r="E1056" s="185" t="str">
        <f>IFERROR(__xludf.DUMMYFUNCTION("""COMPUTED_VALUE"""),"oneclub.org")</f>
        <v>oneclub.org</v>
      </c>
      <c r="F1056" s="185" t="str">
        <f>IFERROR(__xludf.DUMMYFUNCTION("""COMPUTED_VALUE"""),"Category Page")</f>
        <v>Category Page</v>
      </c>
      <c r="G1056" s="185" t="str">
        <f>IFERROR(__xludf.DUMMYFUNCTION("""COMPUTED_VALUE"""),"INSTITUTIONAL")</f>
        <v>INSTITUTIONAL</v>
      </c>
      <c r="H1056" s="185" t="str">
        <f>IFERROR(__xludf.DUMMYFUNCTION("""COMPUTED_VALUE"""),"No")</f>
        <v>No</v>
      </c>
      <c r="I1056" s="185" t="str">
        <f>IFERROR(__xludf.DUMMYFUNCTION("""COMPUTED_VALUE"""),"High")</f>
        <v>High</v>
      </c>
      <c r="J1056" s="185" t="str">
        <f>IFERROR(__xludf.DUMMYFUNCTION("""COMPUTED_VALUE"""),"Yes - priority")</f>
        <v>Yes - priority</v>
      </c>
      <c r="K1056" s="185" t="str">
        <f>IFERROR(__xludf.DUMMYFUNCTION("""COMPUTED_VALUE"""),"Ogilvy, Dentsu, Havas Media, Jung von Matt")</f>
        <v>Ogilvy, Dentsu, Havas Media, Jung von Matt</v>
      </c>
      <c r="L1056" s="187">
        <f>IFERROR(__xludf.DUMMYFUNCTION("""COMPUTED_VALUE"""),3.0)</f>
        <v>3</v>
      </c>
      <c r="M1056" s="188">
        <f>IFERROR(__xludf.DUMMYFUNCTION("""COMPUTED_VALUE"""),0.0)</f>
        <v>0</v>
      </c>
      <c r="N1056" s="188">
        <f>IFERROR(__xludf.DUMMYFUNCTION("""COMPUTED_VALUE"""),0.0)</f>
        <v>0</v>
      </c>
      <c r="O1056" s="208"/>
      <c r="P1056" s="208"/>
      <c r="Q1056" s="208"/>
      <c r="R1056" s="208"/>
    </row>
    <row r="1057">
      <c r="A1057" s="185" t="str">
        <f>IFERROR(__xludf.DUMMYFUNCTION("""COMPUTED_VALUE"""),"Industry data / software authority")</f>
        <v>Industry data / software authority</v>
      </c>
      <c r="B1057" s="186" t="str">
        <f>IFERROR(__xludf.DUMMYFUNCTION("""COMPUTED_VALUE"""),"https://www.semrush.com/agencies/list/display-advertising/germany/")</f>
        <v>https://www.semrush.com/agencies/list/display-advertising/germany/</v>
      </c>
      <c r="C1057" s="185" t="str">
        <f>IFERROR(__xludf.DUMMYFUNCTION("""COMPUTED_VALUE"""),"Best Display Ads Agencies in Germany 2026 \| Semrush")</f>
        <v>Best Display Ads Agencies in Germany 2026 \| Semrush</v>
      </c>
      <c r="D1057" s="185" t="str">
        <f>IFERROR(__xludf.DUMMYFUNCTION("""COMPUTED_VALUE"""),"DE")</f>
        <v>DE</v>
      </c>
      <c r="E1057" s="185" t="str">
        <f>IFERROR(__xludf.DUMMYFUNCTION("""COMPUTED_VALUE"""),"semrush.com")</f>
        <v>semrush.com</v>
      </c>
      <c r="F1057" s="185" t="str">
        <f>IFERROR(__xludf.DUMMYFUNCTION("""COMPUTED_VALUE"""),"Profile")</f>
        <v>Profile</v>
      </c>
      <c r="G1057" s="185" t="str">
        <f>IFERROR(__xludf.DUMMYFUNCTION("""COMPUTED_VALUE"""),"CORPORATE")</f>
        <v>CORPORATE</v>
      </c>
      <c r="H1057" s="185" t="str">
        <f>IFERROR(__xludf.DUMMYFUNCTION("""COMPUTED_VALUE"""),"No")</f>
        <v>No</v>
      </c>
      <c r="I1057" s="185" t="str">
        <f>IFERROR(__xludf.DUMMYFUNCTION("""COMPUTED_VALUE"""),"Medium")</f>
        <v>Medium</v>
      </c>
      <c r="J1057" s="185" t="str">
        <f>IFERROR(__xludf.DUMMYFUNCTION("""COMPUTED_VALUE"""),"Yes")</f>
        <v>Yes</v>
      </c>
      <c r="K1057" s="185" t="str">
        <f>IFERROR(__xludf.DUMMYFUNCTION("""COMPUTED_VALUE"""),"Baseplus DIGITAL MEDIA GmbH, morefire, Mediaplus Performance, MONSOON, KlickPiloten")</f>
        <v>Baseplus DIGITAL MEDIA GmbH, morefire, Mediaplus Performance, MONSOON, KlickPiloten</v>
      </c>
      <c r="L1057" s="187">
        <f>IFERROR(__xludf.DUMMYFUNCTION("""COMPUTED_VALUE"""),3.0)</f>
        <v>3</v>
      </c>
      <c r="M1057" s="188">
        <f>IFERROR(__xludf.DUMMYFUNCTION("""COMPUTED_VALUE"""),0.0)</f>
        <v>0</v>
      </c>
      <c r="N1057" s="188">
        <f>IFERROR(__xludf.DUMMYFUNCTION("""COMPUTED_VALUE"""),0.0)</f>
        <v>0</v>
      </c>
      <c r="O1057" s="208"/>
      <c r="P1057" s="208"/>
      <c r="Q1057" s="208"/>
      <c r="R1057" s="208"/>
    </row>
    <row r="1058">
      <c r="A1058" s="185" t="str">
        <f>IFERROR(__xludf.DUMMYFUNCTION("""COMPUTED_VALUE"""),"Agency directory / review marketplace")</f>
        <v>Agency directory / review marketplace</v>
      </c>
      <c r="B1058" s="186" t="str">
        <f>IFERROR(__xludf.DUMMYFUNCTION("""COMPUTED_VALUE"""),"https://www.sortlist.com/i/s/creative/berlin-de")</f>
        <v>https://www.sortlist.com/i/s/creative/berlin-de</v>
      </c>
      <c r="C1058" s="185" t="str">
        <f>IFERROR(__xludf.DUMMYFUNCTION("""COMPUTED_VALUE"""),"The 10 Best Creative Agencies in Berlin - 2026 Reviews")</f>
        <v>The 10 Best Creative Agencies in Berlin - 2026 Reviews</v>
      </c>
      <c r="D1058" s="185" t="str">
        <f>IFERROR(__xludf.DUMMYFUNCTION("""COMPUTED_VALUE"""),"DE")</f>
        <v>DE</v>
      </c>
      <c r="E1058" s="185" t="str">
        <f>IFERROR(__xludf.DUMMYFUNCTION("""COMPUTED_VALUE"""),"sortlist.com")</f>
        <v>sortlist.com</v>
      </c>
      <c r="F1058" s="185" t="str">
        <f>IFERROR(__xludf.DUMMYFUNCTION("""COMPUTED_VALUE"""),"Category Page")</f>
        <v>Category Page</v>
      </c>
      <c r="G1058" s="185" t="str">
        <f>IFERROR(__xludf.DUMMYFUNCTION("""COMPUTED_VALUE"""),"CORPORATE")</f>
        <v>CORPORATE</v>
      </c>
      <c r="H1058" s="185" t="str">
        <f>IFERROR(__xludf.DUMMYFUNCTION("""COMPUTED_VALUE"""),"No")</f>
        <v>No</v>
      </c>
      <c r="I1058" s="185" t="str">
        <f>IFERROR(__xludf.DUMMYFUNCTION("""COMPUTED_VALUE"""),"Medium")</f>
        <v>Medium</v>
      </c>
      <c r="J1058" s="185" t="str">
        <f>IFERROR(__xludf.DUMMYFUNCTION("""COMPUTED_VALUE"""),"Yes")</f>
        <v>Yes</v>
      </c>
      <c r="K1058" s="185" t="str">
        <f>IFERROR(__xludf.DUMMYFUNCTION("""COMPUTED_VALUE"""),"PANORAMA3000, Momentum")</f>
        <v>PANORAMA3000, Momentum</v>
      </c>
      <c r="L1058" s="187">
        <f>IFERROR(__xludf.DUMMYFUNCTION("""COMPUTED_VALUE"""),3.0)</f>
        <v>3</v>
      </c>
      <c r="M1058" s="188">
        <f>IFERROR(__xludf.DUMMYFUNCTION("""COMPUTED_VALUE"""),0.0)</f>
        <v>0</v>
      </c>
      <c r="N1058" s="188">
        <f>IFERROR(__xludf.DUMMYFUNCTION("""COMPUTED_VALUE"""),0.0)</f>
        <v>0</v>
      </c>
      <c r="O1058" s="208"/>
      <c r="P1058" s="208"/>
      <c r="Q1058" s="208"/>
      <c r="R1058" s="208"/>
    </row>
    <row r="1059">
      <c r="A1059" s="185" t="str">
        <f>IFERROR(__xludf.DUMMYFUNCTION("""COMPUTED_VALUE"""),"Agency directory / review marketplace")</f>
        <v>Agency directory / review marketplace</v>
      </c>
      <c r="B1059" s="186" t="str">
        <f>IFERROR(__xludf.DUMMYFUNCTION("""COMPUTED_VALUE"""),"https://www.sortlist.com/s/data-driven-marketing/germany-de")</f>
        <v>https://www.sortlist.com/s/data-driven-marketing/germany-de</v>
      </c>
      <c r="C1059" s="185" t="str">
        <f>IFERROR(__xludf.DUMMYFUNCTION("""COMPUTED_VALUE"""),"The 10 Best Data Driven Marketing Agencies in Germany - 2026 Reviews")</f>
        <v>The 10 Best Data Driven Marketing Agencies in Germany - 2026 Reviews</v>
      </c>
      <c r="D1059" s="185" t="str">
        <f>IFERROR(__xludf.DUMMYFUNCTION("""COMPUTED_VALUE"""),"DE")</f>
        <v>DE</v>
      </c>
      <c r="E1059" s="185" t="str">
        <f>IFERROR(__xludf.DUMMYFUNCTION("""COMPUTED_VALUE"""),"sortlist.com")</f>
        <v>sortlist.com</v>
      </c>
      <c r="F1059" s="185" t="str">
        <f>IFERROR(__xludf.DUMMYFUNCTION("""COMPUTED_VALUE"""),"Profile")</f>
        <v>Profile</v>
      </c>
      <c r="G1059" s="185" t="str">
        <f>IFERROR(__xludf.DUMMYFUNCTION("""COMPUTED_VALUE"""),"CORPORATE")</f>
        <v>CORPORATE</v>
      </c>
      <c r="H1059" s="185" t="str">
        <f>IFERROR(__xludf.DUMMYFUNCTION("""COMPUTED_VALUE"""),"No")</f>
        <v>No</v>
      </c>
      <c r="I1059" s="185" t="str">
        <f>IFERROR(__xludf.DUMMYFUNCTION("""COMPUTED_VALUE"""),"Medium")</f>
        <v>Medium</v>
      </c>
      <c r="J1059" s="185" t="str">
        <f>IFERROR(__xludf.DUMMYFUNCTION("""COMPUTED_VALUE"""),"Yes")</f>
        <v>Yes</v>
      </c>
      <c r="K1059" s="185" t="str">
        <f>IFERROR(__xludf.DUMMYFUNCTION("""COMPUTED_VALUE"""),"lehof, MONSOON, Measured")</f>
        <v>lehof, MONSOON, Measured</v>
      </c>
      <c r="L1059" s="187">
        <f>IFERROR(__xludf.DUMMYFUNCTION("""COMPUTED_VALUE"""),3.0)</f>
        <v>3</v>
      </c>
      <c r="M1059" s="188">
        <f>IFERROR(__xludf.DUMMYFUNCTION("""COMPUTED_VALUE"""),0.0)</f>
        <v>0</v>
      </c>
      <c r="N1059" s="188">
        <f>IFERROR(__xludf.DUMMYFUNCTION("""COMPUTED_VALUE"""),0.0)</f>
        <v>0</v>
      </c>
      <c r="O1059" s="208"/>
      <c r="P1059" s="208"/>
      <c r="Q1059" s="208"/>
      <c r="R1059" s="208"/>
    </row>
    <row r="1060">
      <c r="A1060" s="185" t="str">
        <f>IFERROR(__xludf.DUMMYFUNCTION("""COMPUTED_VALUE"""),"Agency directory / review marketplace")</f>
        <v>Agency directory / review marketplace</v>
      </c>
      <c r="B1060" s="186" t="str">
        <f>IFERROR(__xludf.DUMMYFUNCTION("""COMPUTED_VALUE"""),"https://www.sortlist.com/s/display-advertising/munich-by-de")</f>
        <v>https://www.sortlist.com/s/display-advertising/munich-by-de</v>
      </c>
      <c r="C1060" s="185" t="str">
        <f>IFERROR(__xludf.DUMMYFUNCTION("""COMPUTED_VALUE"""),"The 10 Best Display Advertising Agencies in Munich - 2026 Reviews")</f>
        <v>The 10 Best Display Advertising Agencies in Munich - 2026 Reviews</v>
      </c>
      <c r="D1060" s="185" t="str">
        <f>IFERROR(__xludf.DUMMYFUNCTION("""COMPUTED_VALUE"""),"DE")</f>
        <v>DE</v>
      </c>
      <c r="E1060" s="185" t="str">
        <f>IFERROR(__xludf.DUMMYFUNCTION("""COMPUTED_VALUE"""),"sortlist.com")</f>
        <v>sortlist.com</v>
      </c>
      <c r="F1060" s="185" t="str">
        <f>IFERROR(__xludf.DUMMYFUNCTION("""COMPUTED_VALUE"""),"Category Page")</f>
        <v>Category Page</v>
      </c>
      <c r="G1060" s="185" t="str">
        <f>IFERROR(__xludf.DUMMYFUNCTION("""COMPUTED_VALUE"""),"CORPORATE")</f>
        <v>CORPORATE</v>
      </c>
      <c r="H1060" s="185" t="str">
        <f>IFERROR(__xludf.DUMMYFUNCTION("""COMPUTED_VALUE"""),"No")</f>
        <v>No</v>
      </c>
      <c r="I1060" s="185" t="str">
        <f>IFERROR(__xludf.DUMMYFUNCTION("""COMPUTED_VALUE"""),"Medium")</f>
        <v>Medium</v>
      </c>
      <c r="J1060" s="185" t="str">
        <f>IFERROR(__xludf.DUMMYFUNCTION("""COMPUTED_VALUE"""),"Yes")</f>
        <v>Yes</v>
      </c>
      <c r="K1060" s="185" t="str">
        <f>IFERROR(__xludf.DUMMYFUNCTION("""COMPUTED_VALUE"""),"Mediacharge, Triple Whale, Northbeam, Dreamdata, MONSOON, Loyamo")</f>
        <v>Mediacharge, Triple Whale, Northbeam, Dreamdata, MONSOON, Loyamo</v>
      </c>
      <c r="L1060" s="187">
        <f>IFERROR(__xludf.DUMMYFUNCTION("""COMPUTED_VALUE"""),3.0)</f>
        <v>3</v>
      </c>
      <c r="M1060" s="188">
        <f>IFERROR(__xludf.DUMMYFUNCTION("""COMPUTED_VALUE"""),0.0)</f>
        <v>0</v>
      </c>
      <c r="N1060" s="188">
        <f>IFERROR(__xludf.DUMMYFUNCTION("""COMPUTED_VALUE"""),0.67)</f>
        <v>0.67</v>
      </c>
      <c r="O1060" s="208"/>
      <c r="P1060" s="208"/>
      <c r="Q1060" s="208"/>
      <c r="R1060" s="208"/>
    </row>
    <row r="1061">
      <c r="A1061" s="185" t="str">
        <f>IFERROR(__xludf.DUMMYFUNCTION("""COMPUTED_VALUE"""),"Agency directory / review marketplace")</f>
        <v>Agency directory / review marketplace</v>
      </c>
      <c r="B1061" s="186" t="str">
        <f>IFERROR(__xludf.DUMMYFUNCTION("""COMPUTED_VALUE"""),"https://www.sortlist.com/s/programmatic-advertising/germany-de")</f>
        <v>https://www.sortlist.com/s/programmatic-advertising/germany-de</v>
      </c>
      <c r="C1061" s="185" t="str">
        <f>IFERROR(__xludf.DUMMYFUNCTION("""COMPUTED_VALUE"""),"The 10 Best Programmatic Advertising Companies in Germany - 2026 Reviews")</f>
        <v>The 10 Best Programmatic Advertising Companies in Germany - 2026 Reviews</v>
      </c>
      <c r="D1061" s="185" t="str">
        <f>IFERROR(__xludf.DUMMYFUNCTION("""COMPUTED_VALUE"""),"DE")</f>
        <v>DE</v>
      </c>
      <c r="E1061" s="185" t="str">
        <f>IFERROR(__xludf.DUMMYFUNCTION("""COMPUTED_VALUE"""),"sortlist.com")</f>
        <v>sortlist.com</v>
      </c>
      <c r="F1061" s="185" t="str">
        <f>IFERROR(__xludf.DUMMYFUNCTION("""COMPUTED_VALUE"""),"Category Page")</f>
        <v>Category Page</v>
      </c>
      <c r="G1061" s="185" t="str">
        <f>IFERROR(__xludf.DUMMYFUNCTION("""COMPUTED_VALUE"""),"CORPORATE")</f>
        <v>CORPORATE</v>
      </c>
      <c r="H1061" s="185" t="str">
        <f>IFERROR(__xludf.DUMMYFUNCTION("""COMPUTED_VALUE"""),"No")</f>
        <v>No</v>
      </c>
      <c r="I1061" s="185" t="str">
        <f>IFERROR(__xludf.DUMMYFUNCTION("""COMPUTED_VALUE"""),"Medium")</f>
        <v>Medium</v>
      </c>
      <c r="J1061" s="185" t="str">
        <f>IFERROR(__xludf.DUMMYFUNCTION("""COMPUTED_VALUE"""),"Yes")</f>
        <v>Yes</v>
      </c>
      <c r="K1061" s="185" t="str">
        <f>IFERROR(__xludf.DUMMYFUNCTION("""COMPUTED_VALUE"""),"lehof, MONSOON, Triple Whale, Northbeam, Dreamdata, KlickPiloten")</f>
        <v>lehof, MONSOON, Triple Whale, Northbeam, Dreamdata, KlickPiloten</v>
      </c>
      <c r="L1061" s="187">
        <f>IFERROR(__xludf.DUMMYFUNCTION("""COMPUTED_VALUE"""),3.0)</f>
        <v>3</v>
      </c>
      <c r="M1061" s="188">
        <f>IFERROR(__xludf.DUMMYFUNCTION("""COMPUTED_VALUE"""),0.0)</f>
        <v>0</v>
      </c>
      <c r="N1061" s="188">
        <f>IFERROR(__xludf.DUMMYFUNCTION("""COMPUTED_VALUE"""),0.0)</f>
        <v>0</v>
      </c>
      <c r="O1061" s="208"/>
      <c r="P1061" s="208"/>
      <c r="Q1061" s="208"/>
      <c r="R1061" s="208"/>
    </row>
    <row r="1062">
      <c r="A1062" s="185" t="str">
        <f>IFERROR(__xludf.DUMMYFUNCTION("""COMPUTED_VALUE"""),"Agency directory / review marketplace")</f>
        <v>Agency directory / review marketplace</v>
      </c>
      <c r="B1062" s="186" t="str">
        <f>IFERROR(__xludf.DUMMYFUNCTION("""COMPUTED_VALUE"""),"https://www.sortlist.de/s/ai-marketing/berlin-de")</f>
        <v>https://www.sortlist.de/s/ai-marketing/berlin-de</v>
      </c>
      <c r="C1062" s="185" t="str">
        <f>IFERROR(__xludf.DUMMYFUNCTION("""COMPUTED_VALUE"""),"Unsere 10 Besten AI Marketing Agenturen in Berlin - 2026 Bewertungen")</f>
        <v>Unsere 10 Besten AI Marketing Agenturen in Berlin - 2026 Bewertungen</v>
      </c>
      <c r="D1062" s="185" t="str">
        <f>IFERROR(__xludf.DUMMYFUNCTION("""COMPUTED_VALUE"""),"DE")</f>
        <v>DE</v>
      </c>
      <c r="E1062" s="185" t="str">
        <f>IFERROR(__xludf.DUMMYFUNCTION("""COMPUTED_VALUE"""),"sortlist.de")</f>
        <v>sortlist.de</v>
      </c>
      <c r="F1062" s="185" t="str">
        <f>IFERROR(__xludf.DUMMYFUNCTION("""COMPUTED_VALUE"""),"Category Page")</f>
        <v>Category Page</v>
      </c>
      <c r="G1062" s="185" t="str">
        <f>IFERROR(__xludf.DUMMYFUNCTION("""COMPUTED_VALUE"""),"CORPORATE")</f>
        <v>CORPORATE</v>
      </c>
      <c r="H1062" s="185" t="str">
        <f>IFERROR(__xludf.DUMMYFUNCTION("""COMPUTED_VALUE"""),"No")</f>
        <v>No</v>
      </c>
      <c r="I1062" s="185" t="str">
        <f>IFERROR(__xludf.DUMMYFUNCTION("""COMPUTED_VALUE"""),"Medium")</f>
        <v>Medium</v>
      </c>
      <c r="J1062" s="185" t="str">
        <f>IFERROR(__xludf.DUMMYFUNCTION("""COMPUTED_VALUE"""),"Yes")</f>
        <v>Yes</v>
      </c>
      <c r="K1062" s="185" t="str">
        <f>IFERROR(__xludf.DUMMYFUNCTION("""COMPUTED_VALUE"""),"Pilot")</f>
        <v>Pilot</v>
      </c>
      <c r="L1062" s="187">
        <f>IFERROR(__xludf.DUMMYFUNCTION("""COMPUTED_VALUE"""),3.0)</f>
        <v>3</v>
      </c>
      <c r="M1062" s="188">
        <f>IFERROR(__xludf.DUMMYFUNCTION("""COMPUTED_VALUE"""),0.0)</f>
        <v>0</v>
      </c>
      <c r="N1062" s="188">
        <f>IFERROR(__xludf.DUMMYFUNCTION("""COMPUTED_VALUE"""),0.0)</f>
        <v>0</v>
      </c>
      <c r="O1062" s="208"/>
      <c r="P1062" s="208"/>
      <c r="Q1062" s="208"/>
      <c r="R1062" s="208"/>
    </row>
    <row r="1063">
      <c r="A1063" s="185" t="str">
        <f>IFERROR(__xludf.DUMMYFUNCTION("""COMPUTED_VALUE"""),"Agency directory / review marketplace")</f>
        <v>Agency directory / review marketplace</v>
      </c>
      <c r="B1063" s="186" t="str">
        <f>IFERROR(__xludf.DUMMYFUNCTION("""COMPUTED_VALUE"""),"https://www.sortlist.de/s/big-data-analytics/deutschland-de")</f>
        <v>https://www.sortlist.de/s/big-data-analytics/deutschland-de</v>
      </c>
      <c r="C1063" s="185" t="str">
        <f>IFERROR(__xludf.DUMMYFUNCTION("""COMPUTED_VALUE"""),"Big Data Analytics Agenturen in Deutschland vergleichen")</f>
        <v>Big Data Analytics Agenturen in Deutschland vergleichen</v>
      </c>
      <c r="D1063" s="185" t="str">
        <f>IFERROR(__xludf.DUMMYFUNCTION("""COMPUTED_VALUE"""),"DE")</f>
        <v>DE</v>
      </c>
      <c r="E1063" s="185" t="str">
        <f>IFERROR(__xludf.DUMMYFUNCTION("""COMPUTED_VALUE"""),"sortlist.de")</f>
        <v>sortlist.de</v>
      </c>
      <c r="F1063" s="185" t="str">
        <f>IFERROR(__xludf.DUMMYFUNCTION("""COMPUTED_VALUE"""),"Comparison")</f>
        <v>Comparison</v>
      </c>
      <c r="G1063" s="185" t="str">
        <f>IFERROR(__xludf.DUMMYFUNCTION("""COMPUTED_VALUE"""),"CORPORATE")</f>
        <v>CORPORATE</v>
      </c>
      <c r="H1063" s="185" t="str">
        <f>IFERROR(__xludf.DUMMYFUNCTION("""COMPUTED_VALUE"""),"No")</f>
        <v>No</v>
      </c>
      <c r="I1063" s="185" t="str">
        <f>IFERROR(__xludf.DUMMYFUNCTION("""COMPUTED_VALUE"""),"Medium")</f>
        <v>Medium</v>
      </c>
      <c r="J1063" s="185" t="str">
        <f>IFERROR(__xludf.DUMMYFUNCTION("""COMPUTED_VALUE"""),"Yes")</f>
        <v>Yes</v>
      </c>
      <c r="K1063" s="185"/>
      <c r="L1063" s="187">
        <f>IFERROR(__xludf.DUMMYFUNCTION("""COMPUTED_VALUE"""),3.0)</f>
        <v>3</v>
      </c>
      <c r="M1063" s="188">
        <f>IFERROR(__xludf.DUMMYFUNCTION("""COMPUTED_VALUE"""),0.0)</f>
        <v>0</v>
      </c>
      <c r="N1063" s="188">
        <f>IFERROR(__xludf.DUMMYFUNCTION("""COMPUTED_VALUE"""),0.0)</f>
        <v>0</v>
      </c>
      <c r="O1063" s="208"/>
      <c r="P1063" s="208"/>
      <c r="Q1063" s="208"/>
      <c r="R1063" s="208"/>
    </row>
    <row r="1064">
      <c r="A1064" s="185" t="str">
        <f>IFERROR(__xludf.DUMMYFUNCTION("""COMPUTED_VALUE"""),"Agency directory / review marketplace")</f>
        <v>Agency directory / review marketplace</v>
      </c>
      <c r="B1064" s="186" t="str">
        <f>IFERROR(__xludf.DUMMYFUNCTION("""COMPUTED_VALUE"""),"https://www.sortlist.de/s/big-data-marketing/deutschland-de")</f>
        <v>https://www.sortlist.de/s/big-data-marketing/deutschland-de</v>
      </c>
      <c r="C1064" s="185" t="str">
        <f>IFERROR(__xludf.DUMMYFUNCTION("""COMPUTED_VALUE"""),"Unsere 10 Besten Big Data Marketing Agenturen in Deutschland - 2026 Bewertungen")</f>
        <v>Unsere 10 Besten Big Data Marketing Agenturen in Deutschland - 2026 Bewertungen</v>
      </c>
      <c r="D1064" s="185" t="str">
        <f>IFERROR(__xludf.DUMMYFUNCTION("""COMPUTED_VALUE"""),"DE")</f>
        <v>DE</v>
      </c>
      <c r="E1064" s="185" t="str">
        <f>IFERROR(__xludf.DUMMYFUNCTION("""COMPUTED_VALUE"""),"sortlist.de")</f>
        <v>sortlist.de</v>
      </c>
      <c r="F1064" s="185" t="str">
        <f>IFERROR(__xludf.DUMMYFUNCTION("""COMPUTED_VALUE"""),"Category Page")</f>
        <v>Category Page</v>
      </c>
      <c r="G1064" s="185" t="str">
        <f>IFERROR(__xludf.DUMMYFUNCTION("""COMPUTED_VALUE"""),"CORPORATE")</f>
        <v>CORPORATE</v>
      </c>
      <c r="H1064" s="185" t="str">
        <f>IFERROR(__xludf.DUMMYFUNCTION("""COMPUTED_VALUE"""),"No")</f>
        <v>No</v>
      </c>
      <c r="I1064" s="185" t="str">
        <f>IFERROR(__xludf.DUMMYFUNCTION("""COMPUTED_VALUE"""),"Medium")</f>
        <v>Medium</v>
      </c>
      <c r="J1064" s="185" t="str">
        <f>IFERROR(__xludf.DUMMYFUNCTION("""COMPUTED_VALUE"""),"Yes")</f>
        <v>Yes</v>
      </c>
      <c r="K1064" s="185" t="str">
        <f>IFERROR(__xludf.DUMMYFUNCTION("""COMPUTED_VALUE"""),"KlickPiloten, morefire, Pilot")</f>
        <v>KlickPiloten, morefire, Pilot</v>
      </c>
      <c r="L1064" s="187">
        <f>IFERROR(__xludf.DUMMYFUNCTION("""COMPUTED_VALUE"""),3.0)</f>
        <v>3</v>
      </c>
      <c r="M1064" s="188">
        <f>IFERROR(__xludf.DUMMYFUNCTION("""COMPUTED_VALUE"""),0.0)</f>
        <v>0</v>
      </c>
      <c r="N1064" s="188">
        <f>IFERROR(__xludf.DUMMYFUNCTION("""COMPUTED_VALUE"""),0.0)</f>
        <v>0</v>
      </c>
      <c r="O1064" s="208"/>
      <c r="P1064" s="208"/>
      <c r="Q1064" s="208"/>
      <c r="R1064" s="208"/>
    </row>
    <row r="1065">
      <c r="A1065" s="185" t="str">
        <f>IFERROR(__xludf.DUMMYFUNCTION("""COMPUTED_VALUE"""),"Agency directory / review marketplace")</f>
        <v>Agency directory / review marketplace</v>
      </c>
      <c r="B1065" s="186" t="str">
        <f>IFERROR(__xludf.DUMMYFUNCTION("""COMPUTED_VALUE"""),"https://www.sortlist.de/s/instagram-werbung/deutschland-de")</f>
        <v>https://www.sortlist.de/s/instagram-werbung/deutschland-de</v>
      </c>
      <c r="C1065" s="185" t="str">
        <f>IFERROR(__xludf.DUMMYFUNCTION("""COMPUTED_VALUE"""),"Unsere 10 Besten Instagram Werbung Agenturen in Deutschland - 2026 Bewertungen")</f>
        <v>Unsere 10 Besten Instagram Werbung Agenturen in Deutschland - 2026 Bewertungen</v>
      </c>
      <c r="D1065" s="185" t="str">
        <f>IFERROR(__xludf.DUMMYFUNCTION("""COMPUTED_VALUE"""),"DE")</f>
        <v>DE</v>
      </c>
      <c r="E1065" s="185" t="str">
        <f>IFERROR(__xludf.DUMMYFUNCTION("""COMPUTED_VALUE"""),"sortlist.de")</f>
        <v>sortlist.de</v>
      </c>
      <c r="F1065" s="185" t="str">
        <f>IFERROR(__xludf.DUMMYFUNCTION("""COMPUTED_VALUE"""),"Category Page")</f>
        <v>Category Page</v>
      </c>
      <c r="G1065" s="185" t="str">
        <f>IFERROR(__xludf.DUMMYFUNCTION("""COMPUTED_VALUE"""),"CORPORATE")</f>
        <v>CORPORATE</v>
      </c>
      <c r="H1065" s="185" t="str">
        <f>IFERROR(__xludf.DUMMYFUNCTION("""COMPUTED_VALUE"""),"No")</f>
        <v>No</v>
      </c>
      <c r="I1065" s="185" t="str">
        <f>IFERROR(__xludf.DUMMYFUNCTION("""COMPUTED_VALUE"""),"Medium")</f>
        <v>Medium</v>
      </c>
      <c r="J1065" s="185" t="str">
        <f>IFERROR(__xludf.DUMMYFUNCTION("""COMPUTED_VALUE"""),"Yes")</f>
        <v>Yes</v>
      </c>
      <c r="K1065" s="185" t="str">
        <f>IFERROR(__xludf.DUMMYFUNCTION("""COMPUTED_VALUE"""),"KlickPiloten, PANORAMA3000, MONSOON, lehof, Triple Whale, Northbeam, Dreamdata")</f>
        <v>KlickPiloten, PANORAMA3000, MONSOON, lehof, Triple Whale, Northbeam, Dreamdata</v>
      </c>
      <c r="L1065" s="187">
        <f>IFERROR(__xludf.DUMMYFUNCTION("""COMPUTED_VALUE"""),3.0)</f>
        <v>3</v>
      </c>
      <c r="M1065" s="188">
        <f>IFERROR(__xludf.DUMMYFUNCTION("""COMPUTED_VALUE"""),0.0)</f>
        <v>0</v>
      </c>
      <c r="N1065" s="188">
        <f>IFERROR(__xludf.DUMMYFUNCTION("""COMPUTED_VALUE"""),0.0)</f>
        <v>0</v>
      </c>
      <c r="O1065" s="208"/>
      <c r="P1065" s="208"/>
      <c r="Q1065" s="208"/>
      <c r="R1065" s="208"/>
    </row>
    <row r="1066">
      <c r="A1066" s="185" t="str">
        <f>IFERROR(__xludf.DUMMYFUNCTION("""COMPUTED_VALUE"""),"Agency directory / review marketplace")</f>
        <v>Agency directory / review marketplace</v>
      </c>
      <c r="B1066" s="186" t="str">
        <f>IFERROR(__xludf.DUMMYFUNCTION("""COMPUTED_VALUE"""),"https://themanifest.com/de/digital/agencies")</f>
        <v>https://themanifest.com/de/digital/agencies</v>
      </c>
      <c r="C1066" s="185" t="str">
        <f>IFERROR(__xludf.DUMMYFUNCTION("""COMPUTED_VALUE"""),"Top-Rated Full Service Digital &amp;amp; 360° Online Agencies for eCommerce, Healthcare, FinTech in Germany, Berlin, Munich | Vetted &amp;amp; Reviewed July 2026 | The Manifest")</f>
        <v>Top-Rated Full Service Digital &amp;amp; 360° Online Agencies for eCommerce, Healthcare, FinTech in Germany, Berlin, Munich | Vetted &amp;amp; Reviewed July 2026 | The Manifest</v>
      </c>
      <c r="D1066" s="185" t="str">
        <f>IFERROR(__xludf.DUMMYFUNCTION("""COMPUTED_VALUE"""),"DE")</f>
        <v>DE</v>
      </c>
      <c r="E1066" s="185" t="str">
        <f>IFERROR(__xludf.DUMMYFUNCTION("""COMPUTED_VALUE"""),"themanifest.com")</f>
        <v>themanifest.com</v>
      </c>
      <c r="F1066" s="185" t="str">
        <f>IFERROR(__xludf.DUMMYFUNCTION("""COMPUTED_VALUE"""),"Category Page")</f>
        <v>Category Page</v>
      </c>
      <c r="G1066" s="185" t="str">
        <f>IFERROR(__xludf.DUMMYFUNCTION("""COMPUTED_VALUE"""),"REFERENCE")</f>
        <v>REFERENCE</v>
      </c>
      <c r="H1066" s="185" t="str">
        <f>IFERROR(__xludf.DUMMYFUNCTION("""COMPUTED_VALUE"""),"No")</f>
        <v>No</v>
      </c>
      <c r="I1066" s="185" t="str">
        <f>IFERROR(__xludf.DUMMYFUNCTION("""COMPUTED_VALUE"""),"Medium")</f>
        <v>Medium</v>
      </c>
      <c r="J1066" s="185" t="str">
        <f>IFERROR(__xludf.DUMMYFUNCTION("""COMPUTED_VALUE"""),"Yes")</f>
        <v>Yes</v>
      </c>
      <c r="K1066" s="185" t="str">
        <f>IFERROR(__xludf.DUMMYFUNCTION("""COMPUTED_VALUE"""),"HY.AM STUDIOS, DREIKON, Digitalyze, morefire")</f>
        <v>HY.AM STUDIOS, DREIKON, Digitalyze, morefire</v>
      </c>
      <c r="L1066" s="187">
        <f>IFERROR(__xludf.DUMMYFUNCTION("""COMPUTED_VALUE"""),3.0)</f>
        <v>3</v>
      </c>
      <c r="M1066" s="188">
        <f>IFERROR(__xludf.DUMMYFUNCTION("""COMPUTED_VALUE"""),0.0)</f>
        <v>0</v>
      </c>
      <c r="N1066" s="188">
        <f>IFERROR(__xludf.DUMMYFUNCTION("""COMPUTED_VALUE"""),0.0)</f>
        <v>0</v>
      </c>
      <c r="O1066" s="208"/>
      <c r="P1066" s="208"/>
      <c r="Q1066" s="208"/>
      <c r="R1066" s="208"/>
    </row>
    <row r="1067">
      <c r="A1067" s="185" t="str">
        <f>IFERROR(__xludf.DUMMYFUNCTION("""COMPUTED_VALUE"""),"Agency directory / review marketplace")</f>
        <v>Agency directory / review marketplace</v>
      </c>
      <c r="B1067" s="186" t="str">
        <f>IFERROR(__xludf.DUMMYFUNCTION("""COMPUTED_VALUE"""),"https://themanifest.com/de/programmatic/agencies")</f>
        <v>https://themanifest.com/de/programmatic/agencies</v>
      </c>
      <c r="C1067" s="185" t="str">
        <f>IFERROR(__xludf.DUMMYFUNCTION("""COMPUTED_VALUE"""),"The Best Programmatic Advertising Companies in Germany - Jul 2026 | The Manifest")</f>
        <v>The Best Programmatic Advertising Companies in Germany - Jul 2026 | The Manifest</v>
      </c>
      <c r="D1067" s="185" t="str">
        <f>IFERROR(__xludf.DUMMYFUNCTION("""COMPUTED_VALUE"""),"DE")</f>
        <v>DE</v>
      </c>
      <c r="E1067" s="185" t="str">
        <f>IFERROR(__xludf.DUMMYFUNCTION("""COMPUTED_VALUE"""),"themanifest.com")</f>
        <v>themanifest.com</v>
      </c>
      <c r="F1067" s="185" t="str">
        <f>IFERROR(__xludf.DUMMYFUNCTION("""COMPUTED_VALUE"""),"Listicle")</f>
        <v>Listicle</v>
      </c>
      <c r="G1067" s="185" t="str">
        <f>IFERROR(__xludf.DUMMYFUNCTION("""COMPUTED_VALUE"""),"REFERENCE")</f>
        <v>REFERENCE</v>
      </c>
      <c r="H1067" s="185" t="str">
        <f>IFERROR(__xludf.DUMMYFUNCTION("""COMPUTED_VALUE"""),"No")</f>
        <v>No</v>
      </c>
      <c r="I1067" s="185" t="str">
        <f>IFERROR(__xludf.DUMMYFUNCTION("""COMPUTED_VALUE"""),"Medium")</f>
        <v>Medium</v>
      </c>
      <c r="J1067" s="185" t="str">
        <f>IFERROR(__xludf.DUMMYFUNCTION("""COMPUTED_VALUE"""),"Yes")</f>
        <v>Yes</v>
      </c>
      <c r="K1067" s="185" t="str">
        <f>IFERROR(__xludf.DUMMYFUNCTION("""COMPUTED_VALUE"""),"Phiture, PANORAMA3000, morefire, WeLikeWeb GmbH")</f>
        <v>Phiture, PANORAMA3000, morefire, WeLikeWeb GmbH</v>
      </c>
      <c r="L1067" s="187">
        <f>IFERROR(__xludf.DUMMYFUNCTION("""COMPUTED_VALUE"""),3.0)</f>
        <v>3</v>
      </c>
      <c r="M1067" s="188">
        <f>IFERROR(__xludf.DUMMYFUNCTION("""COMPUTED_VALUE"""),0.0)</f>
        <v>0</v>
      </c>
      <c r="N1067" s="188">
        <f>IFERROR(__xludf.DUMMYFUNCTION("""COMPUTED_VALUE"""),0.0)</f>
        <v>0</v>
      </c>
      <c r="O1067" s="208"/>
      <c r="P1067" s="208"/>
      <c r="Q1067" s="208"/>
      <c r="R1067" s="208"/>
    </row>
    <row r="1068">
      <c r="A1068" s="185" t="str">
        <f>IFERROR(__xludf.DUMMYFUNCTION("""COMPUTED_VALUE"""),"Agency directory / review marketplace")</f>
        <v>Agency directory / review marketplace</v>
      </c>
      <c r="B1068" s="186" t="str">
        <f>IFERROR(__xludf.DUMMYFUNCTION("""COMPUTED_VALUE"""),"https://www.10seos.com/de/display-advertising-companies-in-germany?page=3")</f>
        <v>https://www.10seos.com/de/display-advertising-companies-in-germany?page=3</v>
      </c>
      <c r="C1068" s="185" t="str">
        <f>IFERROR(__xludf.DUMMYFUNCTION("""COMPUTED_VALUE"""),"Top 10 Display Advertising Companies For Best Services-Germany | July 2026")</f>
        <v>Top 10 Display Advertising Companies For Best Services-Germany | July 2026</v>
      </c>
      <c r="D1068" s="185" t="str">
        <f>IFERROR(__xludf.DUMMYFUNCTION("""COMPUTED_VALUE"""),"DE")</f>
        <v>DE</v>
      </c>
      <c r="E1068" s="185" t="str">
        <f>IFERROR(__xludf.DUMMYFUNCTION("""COMPUTED_VALUE"""),"10seos.com")</f>
        <v>10seos.com</v>
      </c>
      <c r="F1068" s="185" t="str">
        <f>IFERROR(__xludf.DUMMYFUNCTION("""COMPUTED_VALUE"""),"Other")</f>
        <v>Other</v>
      </c>
      <c r="G1068" s="185" t="str">
        <f>IFERROR(__xludf.DUMMYFUNCTION("""COMPUTED_VALUE"""),"REFERENCE")</f>
        <v>REFERENCE</v>
      </c>
      <c r="H1068" s="185" t="str">
        <f>IFERROR(__xludf.DUMMYFUNCTION("""COMPUTED_VALUE"""),"No")</f>
        <v>No</v>
      </c>
      <c r="I1068" s="185" t="str">
        <f>IFERROR(__xludf.DUMMYFUNCTION("""COMPUTED_VALUE"""),"Medium")</f>
        <v>Medium</v>
      </c>
      <c r="J1068" s="185" t="str">
        <f>IFERROR(__xludf.DUMMYFUNCTION("""COMPUTED_VALUE"""),"Yes")</f>
        <v>Yes</v>
      </c>
      <c r="K1068" s="185"/>
      <c r="L1068" s="187">
        <f>IFERROR(__xludf.DUMMYFUNCTION("""COMPUTED_VALUE"""),2.0)</f>
        <v>2</v>
      </c>
      <c r="M1068" s="188">
        <f>IFERROR(__xludf.DUMMYFUNCTION("""COMPUTED_VALUE"""),0.0)</f>
        <v>0</v>
      </c>
      <c r="N1068" s="188">
        <f>IFERROR(__xludf.DUMMYFUNCTION("""COMPUTED_VALUE"""),0.0)</f>
        <v>0</v>
      </c>
      <c r="O1068" s="208"/>
      <c r="P1068" s="208"/>
      <c r="Q1068" s="208"/>
      <c r="R1068" s="208"/>
    </row>
    <row r="1069">
      <c r="A1069" s="185" t="str">
        <f>IFERROR(__xludf.DUMMYFUNCTION("""COMPUTED_VALUE"""),"Industry data / software authority")</f>
        <v>Industry data / software authority</v>
      </c>
      <c r="B1069" s="186" t="str">
        <f>IFERROR(__xludf.DUMMYFUNCTION("""COMPUTED_VALUE"""),"https://agencies.semrush.com/list/analytics-data-science/germany/enterprise-business/")</f>
        <v>https://agencies.semrush.com/list/analytics-data-science/germany/enterprise-business/</v>
      </c>
      <c r="C1069" s="185" t="str">
        <f>IFERROR(__xludf.DUMMYFUNCTION("""COMPUTED_VALUE"""),"Best Data Analytics Services for Enterprise Business in Germany 2026 | Semrush")</f>
        <v>Best Data Analytics Services for Enterprise Business in Germany 2026 | Semrush</v>
      </c>
      <c r="D1069" s="185" t="str">
        <f>IFERROR(__xludf.DUMMYFUNCTION("""COMPUTED_VALUE"""),"DE")</f>
        <v>DE</v>
      </c>
      <c r="E1069" s="185" t="str">
        <f>IFERROR(__xludf.DUMMYFUNCTION("""COMPUTED_VALUE"""),"semrush.com")</f>
        <v>semrush.com</v>
      </c>
      <c r="F1069" s="185" t="str">
        <f>IFERROR(__xludf.DUMMYFUNCTION("""COMPUTED_VALUE"""),"Category Page")</f>
        <v>Category Page</v>
      </c>
      <c r="G1069" s="185" t="str">
        <f>IFERROR(__xludf.DUMMYFUNCTION("""COMPUTED_VALUE"""),"CORPORATE")</f>
        <v>CORPORATE</v>
      </c>
      <c r="H1069" s="185" t="str">
        <f>IFERROR(__xludf.DUMMYFUNCTION("""COMPUTED_VALUE"""),"No")</f>
        <v>No</v>
      </c>
      <c r="I1069" s="185" t="str">
        <f>IFERROR(__xludf.DUMMYFUNCTION("""COMPUTED_VALUE"""),"Medium")</f>
        <v>Medium</v>
      </c>
      <c r="J1069" s="185" t="str">
        <f>IFERROR(__xludf.DUMMYFUNCTION("""COMPUTED_VALUE"""),"Yes")</f>
        <v>Yes</v>
      </c>
      <c r="K1069" s="185" t="str">
        <f>IFERROR(__xludf.DUMMYFUNCTION("""COMPUTED_VALUE"""),"HECHT INS GEFECHT, Baseplus DIGITAL MEDIA GmbH, morefire, Mediaplus Performance, KlickPiloten")</f>
        <v>HECHT INS GEFECHT, Baseplus DIGITAL MEDIA GmbH, morefire, Mediaplus Performance, KlickPiloten</v>
      </c>
      <c r="L1069" s="187">
        <f>IFERROR(__xludf.DUMMYFUNCTION("""COMPUTED_VALUE"""),2.0)</f>
        <v>2</v>
      </c>
      <c r="M1069" s="188">
        <f>IFERROR(__xludf.DUMMYFUNCTION("""COMPUTED_VALUE"""),0.0)</f>
        <v>0</v>
      </c>
      <c r="N1069" s="188">
        <f>IFERROR(__xludf.DUMMYFUNCTION("""COMPUTED_VALUE"""),0.0)</f>
        <v>0</v>
      </c>
      <c r="O1069" s="208"/>
      <c r="P1069" s="208"/>
      <c r="Q1069" s="208"/>
      <c r="R1069" s="208"/>
    </row>
    <row r="1070">
      <c r="A1070" s="185" t="str">
        <f>IFERROR(__xludf.DUMMYFUNCTION("""COMPUTED_VALUE"""),"Industry data / software authority")</f>
        <v>Industry data / software authority</v>
      </c>
      <c r="B1070" s="186" t="str">
        <f>IFERROR(__xludf.DUMMYFUNCTION("""COMPUTED_VALUE"""),"https://agencies.semrush.com/list/analytics-data-science/germany/mid-business/")</f>
        <v>https://agencies.semrush.com/list/analytics-data-science/germany/mid-business/</v>
      </c>
      <c r="C1070" s="185" t="str">
        <f>IFERROR(__xludf.DUMMYFUNCTION("""COMPUTED_VALUE"""),"Best Data Analytics Services for Mid Business in Germany 2026 | Semrush")</f>
        <v>Best Data Analytics Services for Mid Business in Germany 2026 | Semrush</v>
      </c>
      <c r="D1070" s="185" t="str">
        <f>IFERROR(__xludf.DUMMYFUNCTION("""COMPUTED_VALUE"""),"DE")</f>
        <v>DE</v>
      </c>
      <c r="E1070" s="185" t="str">
        <f>IFERROR(__xludf.DUMMYFUNCTION("""COMPUTED_VALUE"""),"semrush.com")</f>
        <v>semrush.com</v>
      </c>
      <c r="F1070" s="185" t="str">
        <f>IFERROR(__xludf.DUMMYFUNCTION("""COMPUTED_VALUE"""),"Other")</f>
        <v>Other</v>
      </c>
      <c r="G1070" s="185" t="str">
        <f>IFERROR(__xludf.DUMMYFUNCTION("""COMPUTED_VALUE"""),"CORPORATE")</f>
        <v>CORPORATE</v>
      </c>
      <c r="H1070" s="185" t="str">
        <f>IFERROR(__xludf.DUMMYFUNCTION("""COMPUTED_VALUE"""),"No")</f>
        <v>No</v>
      </c>
      <c r="I1070" s="185" t="str">
        <f>IFERROR(__xludf.DUMMYFUNCTION("""COMPUTED_VALUE"""),"Medium")</f>
        <v>Medium</v>
      </c>
      <c r="J1070" s="185" t="str">
        <f>IFERROR(__xludf.DUMMYFUNCTION("""COMPUTED_VALUE"""),"Yes")</f>
        <v>Yes</v>
      </c>
      <c r="K1070" s="185" t="str">
        <f>IFERROR(__xludf.DUMMYFUNCTION("""COMPUTED_VALUE"""),"HECHT INS GEFECHT, Baseplus DIGITAL MEDIA GmbH, morefire, Mediaplus Performance, KlickPiloten")</f>
        <v>HECHT INS GEFECHT, Baseplus DIGITAL MEDIA GmbH, morefire, Mediaplus Performance, KlickPiloten</v>
      </c>
      <c r="L1070" s="187">
        <f>IFERROR(__xludf.DUMMYFUNCTION("""COMPUTED_VALUE"""),2.0)</f>
        <v>2</v>
      </c>
      <c r="M1070" s="188">
        <f>IFERROR(__xludf.DUMMYFUNCTION("""COMPUTED_VALUE"""),0.0)</f>
        <v>0</v>
      </c>
      <c r="N1070" s="188">
        <f>IFERROR(__xludf.DUMMYFUNCTION("""COMPUTED_VALUE"""),0.0)</f>
        <v>0</v>
      </c>
      <c r="O1070" s="208"/>
      <c r="P1070" s="208"/>
      <c r="Q1070" s="208"/>
      <c r="R1070" s="208"/>
    </row>
    <row r="1071">
      <c r="A1071" s="185" t="str">
        <f>IFERROR(__xludf.DUMMYFUNCTION("""COMPUTED_VALUE"""),"Industry data / software authority")</f>
        <v>Industry data / software authority</v>
      </c>
      <c r="B1071" s="186" t="str">
        <f>IFERROR(__xludf.DUMMYFUNCTION("""COMPUTED_VALUE"""),"https://agencies.semrush.com/list/data-visualization/germany/#:~:text=morefire,Healthcare%20%26%20Hospital%2C%20Ecommerce%20%2B3")</f>
        <v>https://agencies.semrush.com/list/data-visualization/germany/#:~:text=morefire,Healthcare%20%26%20Hospital%2C%20Ecommerce%20%2B3</v>
      </c>
      <c r="C1071" s="185" t="str">
        <f>IFERROR(__xludf.DUMMYFUNCTION("""COMPUTED_VALUE"""),"Best Data Visualization Services in Germany 2026 | Semrush")</f>
        <v>Best Data Visualization Services in Germany 2026 | Semrush</v>
      </c>
      <c r="D1071" s="185" t="str">
        <f>IFERROR(__xludf.DUMMYFUNCTION("""COMPUTED_VALUE"""),"DE")</f>
        <v>DE</v>
      </c>
      <c r="E1071" s="185" t="str">
        <f>IFERROR(__xludf.DUMMYFUNCTION("""COMPUTED_VALUE"""),"semrush.com")</f>
        <v>semrush.com</v>
      </c>
      <c r="F1071" s="185" t="str">
        <f>IFERROR(__xludf.DUMMYFUNCTION("""COMPUTED_VALUE"""),"Other")</f>
        <v>Other</v>
      </c>
      <c r="G1071" s="185" t="str">
        <f>IFERROR(__xludf.DUMMYFUNCTION("""COMPUTED_VALUE"""),"CORPORATE")</f>
        <v>CORPORATE</v>
      </c>
      <c r="H1071" s="185" t="str">
        <f>IFERROR(__xludf.DUMMYFUNCTION("""COMPUTED_VALUE"""),"No")</f>
        <v>No</v>
      </c>
      <c r="I1071" s="185" t="str">
        <f>IFERROR(__xludf.DUMMYFUNCTION("""COMPUTED_VALUE"""),"Medium")</f>
        <v>Medium</v>
      </c>
      <c r="J1071" s="185" t="str">
        <f>IFERROR(__xludf.DUMMYFUNCTION("""COMPUTED_VALUE"""),"Yes")</f>
        <v>Yes</v>
      </c>
      <c r="K1071" s="185" t="str">
        <f>IFERROR(__xludf.DUMMYFUNCTION("""COMPUTED_VALUE"""),"morefire, Mediaplus Performance, KlickPiloten")</f>
        <v>morefire, Mediaplus Performance, KlickPiloten</v>
      </c>
      <c r="L1071" s="187">
        <f>IFERROR(__xludf.DUMMYFUNCTION("""COMPUTED_VALUE"""),2.0)</f>
        <v>2</v>
      </c>
      <c r="M1071" s="188">
        <f>IFERROR(__xludf.DUMMYFUNCTION("""COMPUTED_VALUE"""),0.0)</f>
        <v>0</v>
      </c>
      <c r="N1071" s="188">
        <f>IFERROR(__xludf.DUMMYFUNCTION("""COMPUTED_VALUE"""),1.5)</f>
        <v>1.5</v>
      </c>
      <c r="O1071" s="208"/>
      <c r="P1071" s="208"/>
      <c r="Q1071" s="208"/>
      <c r="R1071" s="208"/>
    </row>
    <row r="1072">
      <c r="A1072" s="185" t="str">
        <f>IFERROR(__xludf.DUMMYFUNCTION("""COMPUTED_VALUE"""),"Industry data / software authority")</f>
        <v>Industry data / software authority</v>
      </c>
      <c r="B1072" s="186" t="str">
        <f>IFERROR(__xludf.DUMMYFUNCTION("""COMPUTED_VALUE"""),"https://agencies.semrush.com/list/display-advertising/dusseldorf/")</f>
        <v>https://agencies.semrush.com/list/display-advertising/dusseldorf/</v>
      </c>
      <c r="C1072" s="185" t="str">
        <f>IFERROR(__xludf.DUMMYFUNCTION("""COMPUTED_VALUE"""),"Best Display Ads Agencies in Dusseldorf 2026 | Semrush")</f>
        <v>Best Display Ads Agencies in Dusseldorf 2026 | Semrush</v>
      </c>
      <c r="D1072" s="185" t="str">
        <f>IFERROR(__xludf.DUMMYFUNCTION("""COMPUTED_VALUE"""),"DE")</f>
        <v>DE</v>
      </c>
      <c r="E1072" s="185" t="str">
        <f>IFERROR(__xludf.DUMMYFUNCTION("""COMPUTED_VALUE"""),"semrush.com")</f>
        <v>semrush.com</v>
      </c>
      <c r="F1072" s="185" t="str">
        <f>IFERROR(__xludf.DUMMYFUNCTION("""COMPUTED_VALUE"""),"Other")</f>
        <v>Other</v>
      </c>
      <c r="G1072" s="185" t="str">
        <f>IFERROR(__xludf.DUMMYFUNCTION("""COMPUTED_VALUE"""),"CORPORATE")</f>
        <v>CORPORATE</v>
      </c>
      <c r="H1072" s="185" t="str">
        <f>IFERROR(__xludf.DUMMYFUNCTION("""COMPUTED_VALUE"""),"No")</f>
        <v>No</v>
      </c>
      <c r="I1072" s="185" t="str">
        <f>IFERROR(__xludf.DUMMYFUNCTION("""COMPUTED_VALUE"""),"Medium")</f>
        <v>Medium</v>
      </c>
      <c r="J1072" s="185" t="str">
        <f>IFERROR(__xludf.DUMMYFUNCTION("""COMPUTED_VALUE"""),"Yes")</f>
        <v>Yes</v>
      </c>
      <c r="K1072" s="185" t="str">
        <f>IFERROR(__xludf.DUMMYFUNCTION("""COMPUTED_VALUE"""),"Baseplus DIGITAL MEDIA GmbH, morefire, Mediaplus Performance, MONSOON, KlickPiloten")</f>
        <v>Baseplus DIGITAL MEDIA GmbH, morefire, Mediaplus Performance, MONSOON, KlickPiloten</v>
      </c>
      <c r="L1072" s="187">
        <f>IFERROR(__xludf.DUMMYFUNCTION("""COMPUTED_VALUE"""),2.0)</f>
        <v>2</v>
      </c>
      <c r="M1072" s="188">
        <f>IFERROR(__xludf.DUMMYFUNCTION("""COMPUTED_VALUE"""),0.0)</f>
        <v>0</v>
      </c>
      <c r="N1072" s="188">
        <f>IFERROR(__xludf.DUMMYFUNCTION("""COMPUTED_VALUE"""),1.0)</f>
        <v>1</v>
      </c>
      <c r="O1072" s="208"/>
      <c r="P1072" s="208"/>
      <c r="Q1072" s="208"/>
      <c r="R1072" s="208"/>
    </row>
    <row r="1073">
      <c r="A1073" s="185" t="str">
        <f>IFERROR(__xludf.DUMMYFUNCTION("""COMPUTED_VALUE"""),"Industry data / software authority")</f>
        <v>Industry data / software authority</v>
      </c>
      <c r="B1073" s="186" t="str">
        <f>IFERROR(__xludf.DUMMYFUNCTION("""COMPUTED_VALUE"""),"https://agencies.semrush.com/list/marketing-strategy/germany/#:~:text=Mediaplus%20Performance%20GmbH%20%26%20Co%20KG,%2C%20programmatic%2C%20and%20conversion%20optimization.")</f>
        <v>https://agencies.semrush.com/list/marketing-strategy/germany/#:~:text=Mediaplus%20Performance%20GmbH%20%26%20Co%20KG,%2C%20programmatic%2C%20and%20conversion%20optimization.</v>
      </c>
      <c r="C1073" s="185" t="str">
        <f>IFERROR(__xludf.DUMMYFUNCTION("""COMPUTED_VALUE"""),"Best Marketing Advice Companies in Germany 2026 | Semrush")</f>
        <v>Best Marketing Advice Companies in Germany 2026 | Semrush</v>
      </c>
      <c r="D1073" s="185" t="str">
        <f>IFERROR(__xludf.DUMMYFUNCTION("""COMPUTED_VALUE"""),"DE")</f>
        <v>DE</v>
      </c>
      <c r="E1073" s="185" t="str">
        <f>IFERROR(__xludf.DUMMYFUNCTION("""COMPUTED_VALUE"""),"semrush.com")</f>
        <v>semrush.com</v>
      </c>
      <c r="F1073" s="185" t="str">
        <f>IFERROR(__xludf.DUMMYFUNCTION("""COMPUTED_VALUE"""),"Other")</f>
        <v>Other</v>
      </c>
      <c r="G1073" s="185" t="str">
        <f>IFERROR(__xludf.DUMMYFUNCTION("""COMPUTED_VALUE"""),"CORPORATE")</f>
        <v>CORPORATE</v>
      </c>
      <c r="H1073" s="185" t="str">
        <f>IFERROR(__xludf.DUMMYFUNCTION("""COMPUTED_VALUE"""),"No")</f>
        <v>No</v>
      </c>
      <c r="I1073" s="185" t="str">
        <f>IFERROR(__xludf.DUMMYFUNCTION("""COMPUTED_VALUE"""),"Medium")</f>
        <v>Medium</v>
      </c>
      <c r="J1073" s="185" t="str">
        <f>IFERROR(__xludf.DUMMYFUNCTION("""COMPUTED_VALUE"""),"Yes")</f>
        <v>Yes</v>
      </c>
      <c r="K1073" s="185" t="str">
        <f>IFERROR(__xludf.DUMMYFUNCTION("""COMPUTED_VALUE"""),"HECHT INS GEFECHT, Baseplus DIGITAL MEDIA GmbH, morefire, Mediaplus Performance, Mediacharge, KlickPiloten")</f>
        <v>HECHT INS GEFECHT, Baseplus DIGITAL MEDIA GmbH, morefire, Mediaplus Performance, Mediacharge, KlickPiloten</v>
      </c>
      <c r="L1073" s="187">
        <f>IFERROR(__xludf.DUMMYFUNCTION("""COMPUTED_VALUE"""),2.0)</f>
        <v>2</v>
      </c>
      <c r="M1073" s="188">
        <f>IFERROR(__xludf.DUMMYFUNCTION("""COMPUTED_VALUE"""),0.0)</f>
        <v>0</v>
      </c>
      <c r="N1073" s="188">
        <f>IFERROR(__xludf.DUMMYFUNCTION("""COMPUTED_VALUE"""),1.0)</f>
        <v>1</v>
      </c>
      <c r="O1073" s="208"/>
      <c r="P1073" s="208"/>
      <c r="Q1073" s="208"/>
      <c r="R1073" s="208"/>
    </row>
    <row r="1074">
      <c r="A1074" s="185" t="str">
        <f>IFERROR(__xludf.DUMMYFUNCTION("""COMPUTED_VALUE"""),"Official partner / certification ecosystem")</f>
        <v>Official partner / certification ecosystem</v>
      </c>
      <c r="B1074" s="186" t="str">
        <f>IFERROR(__xludf.DUMMYFUNCTION("""COMPUTED_VALUE"""),"https://business.google.com/uk/think/measurement/incrementality-testing/")</f>
        <v>https://business.google.com/uk/think/measurement/incrementality-testing/</v>
      </c>
      <c r="C1074" s="185" t="str">
        <f>IFERROR(__xludf.DUMMYFUNCTION("""COMPUTED_VALUE"""),"Use incrementality testing for effective marketing measurement")</f>
        <v>Use incrementality testing for effective marketing measurement</v>
      </c>
      <c r="D1074" s="185" t="str">
        <f>IFERROR(__xludf.DUMMYFUNCTION("""COMPUTED_VALUE"""),"DE")</f>
        <v>DE</v>
      </c>
      <c r="E1074" s="185" t="str">
        <f>IFERROR(__xludf.DUMMYFUNCTION("""COMPUTED_VALUE"""),"google.com")</f>
        <v>google.com</v>
      </c>
      <c r="F1074" s="185" t="str">
        <f>IFERROR(__xludf.DUMMYFUNCTION("""COMPUTED_VALUE"""),"How-To Guide")</f>
        <v>How-To Guide</v>
      </c>
      <c r="G1074" s="185" t="str">
        <f>IFERROR(__xludf.DUMMYFUNCTION("""COMPUTED_VALUE"""),"OTHER")</f>
        <v>OTHER</v>
      </c>
      <c r="H1074" s="185" t="str">
        <f>IFERROR(__xludf.DUMMYFUNCTION("""COMPUTED_VALUE"""),"No")</f>
        <v>No</v>
      </c>
      <c r="I1074" s="185" t="str">
        <f>IFERROR(__xludf.DUMMYFUNCTION("""COMPUTED_VALUE"""),"High")</f>
        <v>High</v>
      </c>
      <c r="J1074" s="185" t="str">
        <f>IFERROR(__xludf.DUMMYFUNCTION("""COMPUTED_VALUE"""),"Yes - priority")</f>
        <v>Yes - priority</v>
      </c>
      <c r="K1074" s="185"/>
      <c r="L1074" s="187">
        <f>IFERROR(__xludf.DUMMYFUNCTION("""COMPUTED_VALUE"""),2.0)</f>
        <v>2</v>
      </c>
      <c r="M1074" s="188">
        <f>IFERROR(__xludf.DUMMYFUNCTION("""COMPUTED_VALUE"""),0.0)</f>
        <v>0</v>
      </c>
      <c r="N1074" s="188">
        <f>IFERROR(__xludf.DUMMYFUNCTION("""COMPUTED_VALUE"""),0.5)</f>
        <v>0.5</v>
      </c>
      <c r="O1074" s="208"/>
      <c r="P1074" s="208"/>
      <c r="Q1074" s="208"/>
      <c r="R1074" s="208"/>
    </row>
    <row r="1075">
      <c r="A1075" s="185" t="str">
        <f>IFERROR(__xludf.DUMMYFUNCTION("""COMPUTED_VALUE"""),"Official partner / certification ecosystem")</f>
        <v>Official partner / certification ecosystem</v>
      </c>
      <c r="B1075" s="186" t="str">
        <f>IFERROR(__xludf.DUMMYFUNCTION("""COMPUTED_VALUE"""),"https://business.google.com/us/think/measurement/incrementality-testing/")</f>
        <v>https://business.google.com/us/think/measurement/incrementality-testing/</v>
      </c>
      <c r="C1075" s="185" t="str">
        <f>IFERROR(__xludf.DUMMYFUNCTION("""COMPUTED_VALUE"""),"Use incrementality testing for effective marketing measurement")</f>
        <v>Use incrementality testing for effective marketing measurement</v>
      </c>
      <c r="D1075" s="185" t="str">
        <f>IFERROR(__xludf.DUMMYFUNCTION("""COMPUTED_VALUE"""),"DE")</f>
        <v>DE</v>
      </c>
      <c r="E1075" s="185" t="str">
        <f>IFERROR(__xludf.DUMMYFUNCTION("""COMPUTED_VALUE"""),"google.com")</f>
        <v>google.com</v>
      </c>
      <c r="F1075" s="185" t="str">
        <f>IFERROR(__xludf.DUMMYFUNCTION("""COMPUTED_VALUE"""),"Article")</f>
        <v>Article</v>
      </c>
      <c r="G1075" s="185" t="str">
        <f>IFERROR(__xludf.DUMMYFUNCTION("""COMPUTED_VALUE"""),"OTHER")</f>
        <v>OTHER</v>
      </c>
      <c r="H1075" s="185" t="str">
        <f>IFERROR(__xludf.DUMMYFUNCTION("""COMPUTED_VALUE"""),"No")</f>
        <v>No</v>
      </c>
      <c r="I1075" s="185" t="str">
        <f>IFERROR(__xludf.DUMMYFUNCTION("""COMPUTED_VALUE"""),"High")</f>
        <v>High</v>
      </c>
      <c r="J1075" s="185" t="str">
        <f>IFERROR(__xludf.DUMMYFUNCTION("""COMPUTED_VALUE"""),"Yes - priority")</f>
        <v>Yes - priority</v>
      </c>
      <c r="K1075" s="185"/>
      <c r="L1075" s="187">
        <f>IFERROR(__xludf.DUMMYFUNCTION("""COMPUTED_VALUE"""),2.0)</f>
        <v>2</v>
      </c>
      <c r="M1075" s="188">
        <f>IFERROR(__xludf.DUMMYFUNCTION("""COMPUTED_VALUE"""),0.0)</f>
        <v>0</v>
      </c>
      <c r="N1075" s="188">
        <f>IFERROR(__xludf.DUMMYFUNCTION("""COMPUTED_VALUE"""),0.5)</f>
        <v>0.5</v>
      </c>
      <c r="O1075" s="208"/>
      <c r="P1075" s="208"/>
      <c r="Q1075" s="208"/>
      <c r="R1075" s="208"/>
    </row>
    <row r="1076">
      <c r="A1076" s="185" t="str">
        <f>IFERROR(__xludf.DUMMYFUNCTION("""COMPUTED_VALUE"""),"Industry association / institutional authority")</f>
        <v>Industry association / institutional authority</v>
      </c>
      <c r="B1076" s="186" t="str">
        <f>IFERROR(__xludf.DUMMYFUNCTION("""COMPUTED_VALUE"""),"https://www.bvdw.org/rankings/internetagentur-ranking-2025/")</f>
        <v>https://www.bvdw.org/rankings/internetagentur-ranking-2025/</v>
      </c>
      <c r="C1076" s="185" t="str">
        <f>IFERROR(__xludf.DUMMYFUNCTION("""COMPUTED_VALUE"""),"Die größten, besten und kreativsten Digital-Agenturen - Bundesverband Digitale Wirtschaft (BVDW) e.V.")</f>
        <v>Die größten, besten und kreativsten Digital-Agenturen - Bundesverband Digitale Wirtschaft (BVDW) e.V.</v>
      </c>
      <c r="D1076" s="185" t="str">
        <f>IFERROR(__xludf.DUMMYFUNCTION("""COMPUTED_VALUE"""),"DE")</f>
        <v>DE</v>
      </c>
      <c r="E1076" s="185" t="str">
        <f>IFERROR(__xludf.DUMMYFUNCTION("""COMPUTED_VALUE"""),"bvdw.org")</f>
        <v>bvdw.org</v>
      </c>
      <c r="F1076" s="185" t="str">
        <f>IFERROR(__xludf.DUMMYFUNCTION("""COMPUTED_VALUE"""),"How-To Guide")</f>
        <v>How-To Guide</v>
      </c>
      <c r="G1076" s="185" t="str">
        <f>IFERROR(__xludf.DUMMYFUNCTION("""COMPUTED_VALUE"""),"INSTITUTIONAL")</f>
        <v>INSTITUTIONAL</v>
      </c>
      <c r="H1076" s="185" t="str">
        <f>IFERROR(__xludf.DUMMYFUNCTION("""COMPUTED_VALUE"""),"No")</f>
        <v>No</v>
      </c>
      <c r="I1076" s="185" t="str">
        <f>IFERROR(__xludf.DUMMYFUNCTION("""COMPUTED_VALUE"""),"High")</f>
        <v>High</v>
      </c>
      <c r="J1076" s="185" t="str">
        <f>IFERROR(__xludf.DUMMYFUNCTION("""COMPUTED_VALUE"""),"Yes - priority")</f>
        <v>Yes - priority</v>
      </c>
      <c r="K1076" s="185" t="str">
        <f>IFERROR(__xludf.DUMMYFUNCTION("""COMPUTED_VALUE"""),"Merkle, Pilot, DREIKON, PANORAMA3000")</f>
        <v>Merkle, Pilot, DREIKON, PANORAMA3000</v>
      </c>
      <c r="L1076" s="187">
        <f>IFERROR(__xludf.DUMMYFUNCTION("""COMPUTED_VALUE"""),2.0)</f>
        <v>2</v>
      </c>
      <c r="M1076" s="188">
        <f>IFERROR(__xludf.DUMMYFUNCTION("""COMPUTED_VALUE"""),0.0)</f>
        <v>0</v>
      </c>
      <c r="N1076" s="188">
        <f>IFERROR(__xludf.DUMMYFUNCTION("""COMPUTED_VALUE"""),1.0)</f>
        <v>1</v>
      </c>
      <c r="O1076" s="208"/>
      <c r="P1076" s="208"/>
      <c r="Q1076" s="208"/>
      <c r="R1076" s="208"/>
    </row>
    <row r="1077">
      <c r="A1077" s="185" t="str">
        <f>IFERROR(__xludf.DUMMYFUNCTION("""COMPUTED_VALUE"""),"Agency directory / review marketplace")</f>
        <v>Agency directory / review marketplace</v>
      </c>
      <c r="B1077" s="186" t="str">
        <f>IFERROR(__xludf.DUMMYFUNCTION("""COMPUTED_VALUE"""),"https://clutch.co/de/agencies/digital-marketing/ecommerce-industry/berlin")</f>
        <v>https://clutch.co/de/agencies/digital-marketing/ecommerce-industry/berlin</v>
      </c>
      <c r="C1077" s="185" t="str">
        <f>IFERROR(__xludf.DUMMYFUNCTION("""COMPUTED_VALUE"""),"Top Digital Marketing Agencies for E-Commerce Businesses in Berlin - Jul 2026 Rankings | Clutch.co")</f>
        <v>Top Digital Marketing Agencies for E-Commerce Businesses in Berlin - Jul 2026 Rankings | Clutch.co</v>
      </c>
      <c r="D1077" s="185" t="str">
        <f>IFERROR(__xludf.DUMMYFUNCTION("""COMPUTED_VALUE"""),"DE")</f>
        <v>DE</v>
      </c>
      <c r="E1077" s="185" t="str">
        <f>IFERROR(__xludf.DUMMYFUNCTION("""COMPUTED_VALUE"""),"clutch.co")</f>
        <v>clutch.co</v>
      </c>
      <c r="F1077" s="185" t="str">
        <f>IFERROR(__xludf.DUMMYFUNCTION("""COMPUTED_VALUE"""),"Category Page")</f>
        <v>Category Page</v>
      </c>
      <c r="G1077" s="185" t="str">
        <f>IFERROR(__xludf.DUMMYFUNCTION("""COMPUTED_VALUE"""),"CORPORATE")</f>
        <v>CORPORATE</v>
      </c>
      <c r="H1077" s="185" t="str">
        <f>IFERROR(__xludf.DUMMYFUNCTION("""COMPUTED_VALUE"""),"No")</f>
        <v>No</v>
      </c>
      <c r="I1077" s="185" t="str">
        <f>IFERROR(__xludf.DUMMYFUNCTION("""COMPUTED_VALUE"""),"Medium")</f>
        <v>Medium</v>
      </c>
      <c r="J1077" s="185" t="str">
        <f>IFERROR(__xludf.DUMMYFUNCTION("""COMPUTED_VALUE"""),"Yes")</f>
        <v>Yes</v>
      </c>
      <c r="K1077" s="185" t="str">
        <f>IFERROR(__xludf.DUMMYFUNCTION("""COMPUTED_VALUE"""),"MONSOON, Mediacharge, REPLUG, Claneo, Admiral Media, HY.AM STUDIOS, Peak Ace, Medialabel")</f>
        <v>MONSOON, Mediacharge, REPLUG, Claneo, Admiral Media, HY.AM STUDIOS, Peak Ace, Medialabel</v>
      </c>
      <c r="L1077" s="187">
        <f>IFERROR(__xludf.DUMMYFUNCTION("""COMPUTED_VALUE"""),2.0)</f>
        <v>2</v>
      </c>
      <c r="M1077" s="188">
        <f>IFERROR(__xludf.DUMMYFUNCTION("""COMPUTED_VALUE"""),0.0)</f>
        <v>0</v>
      </c>
      <c r="N1077" s="188">
        <f>IFERROR(__xludf.DUMMYFUNCTION("""COMPUTED_VALUE"""),1.0)</f>
        <v>1</v>
      </c>
      <c r="O1077" s="208"/>
      <c r="P1077" s="208"/>
      <c r="Q1077" s="208"/>
      <c r="R1077" s="208"/>
    </row>
    <row r="1078">
      <c r="A1078" s="185" t="str">
        <f>IFERROR(__xludf.DUMMYFUNCTION("""COMPUTED_VALUE"""),"Agency directory / review marketplace")</f>
        <v>Agency directory / review marketplace</v>
      </c>
      <c r="B1078" s="186" t="str">
        <f>IFERROR(__xludf.DUMMYFUNCTION("""COMPUTED_VALUE"""),"https://clutch.co/de/agencies/digital-marketing/munich")</f>
        <v>https://clutch.co/de/agencies/digital-marketing/munich</v>
      </c>
      <c r="C1078" s="185" t="str">
        <f>IFERROR(__xludf.DUMMYFUNCTION("""COMPUTED_VALUE"""),"Top Digital Marketing Agencies in Munich - Jul 2026 Rankings \| Clutch.co")</f>
        <v>Top Digital Marketing Agencies in Munich - Jul 2026 Rankings \| Clutch.co</v>
      </c>
      <c r="D1078" s="185" t="str">
        <f>IFERROR(__xludf.DUMMYFUNCTION("""COMPUTED_VALUE"""),"DE")</f>
        <v>DE</v>
      </c>
      <c r="E1078" s="185" t="str">
        <f>IFERROR(__xludf.DUMMYFUNCTION("""COMPUTED_VALUE"""),"clutch.co")</f>
        <v>clutch.co</v>
      </c>
      <c r="F1078" s="185" t="str">
        <f>IFERROR(__xludf.DUMMYFUNCTION("""COMPUTED_VALUE"""),"Category Page")</f>
        <v>Category Page</v>
      </c>
      <c r="G1078" s="185" t="str">
        <f>IFERROR(__xludf.DUMMYFUNCTION("""COMPUTED_VALUE"""),"CORPORATE")</f>
        <v>CORPORATE</v>
      </c>
      <c r="H1078" s="185" t="str">
        <f>IFERROR(__xludf.DUMMYFUNCTION("""COMPUTED_VALUE"""),"No")</f>
        <v>No</v>
      </c>
      <c r="I1078" s="185" t="str">
        <f>IFERROR(__xludf.DUMMYFUNCTION("""COMPUTED_VALUE"""),"Medium")</f>
        <v>Medium</v>
      </c>
      <c r="J1078" s="185" t="str">
        <f>IFERROR(__xludf.DUMMYFUNCTION("""COMPUTED_VALUE"""),"Yes")</f>
        <v>Yes</v>
      </c>
      <c r="K1078" s="185" t="str">
        <f>IFERROR(__xludf.DUMMYFUNCTION("""COMPUTED_VALUE"""),"MONSOON, Mediacharge, eMinded GmbH, GroupM, WeLikeWeb GmbH")</f>
        <v>MONSOON, Mediacharge, eMinded GmbH, GroupM, WeLikeWeb GmbH</v>
      </c>
      <c r="L1078" s="187">
        <f>IFERROR(__xludf.DUMMYFUNCTION("""COMPUTED_VALUE"""),2.0)</f>
        <v>2</v>
      </c>
      <c r="M1078" s="188">
        <f>IFERROR(__xludf.DUMMYFUNCTION("""COMPUTED_VALUE"""),0.0)</f>
        <v>0</v>
      </c>
      <c r="N1078" s="188">
        <f>IFERROR(__xludf.DUMMYFUNCTION("""COMPUTED_VALUE"""),1.0)</f>
        <v>1</v>
      </c>
      <c r="O1078" s="208"/>
      <c r="P1078" s="208"/>
      <c r="Q1078" s="208"/>
      <c r="R1078" s="208"/>
    </row>
    <row r="1079">
      <c r="A1079" s="185" t="str">
        <f>IFERROR(__xludf.DUMMYFUNCTION("""COMPUTED_VALUE"""),"Agency directory / review marketplace")</f>
        <v>Agency directory / review marketplace</v>
      </c>
      <c r="B1079" s="186" t="str">
        <f>IFERROR(__xludf.DUMMYFUNCTION("""COMPUTED_VALUE"""),"https://clutch.co/de/agencies/social-media-marketing/tik-tok")</f>
        <v>https://clutch.co/de/agencies/social-media-marketing/tik-tok</v>
      </c>
      <c r="C1079" s="185" t="str">
        <f>IFERROR(__xludf.DUMMYFUNCTION("""COMPUTED_VALUE"""),"Top TikTok Advertising Agencies in Germany - Jul 2026 Rankings | Clutch.co")</f>
        <v>Top TikTok Advertising Agencies in Germany - Jul 2026 Rankings | Clutch.co</v>
      </c>
      <c r="D1079" s="185" t="str">
        <f>IFERROR(__xludf.DUMMYFUNCTION("""COMPUTED_VALUE"""),"DE")</f>
        <v>DE</v>
      </c>
      <c r="E1079" s="185" t="str">
        <f>IFERROR(__xludf.DUMMYFUNCTION("""COMPUTED_VALUE"""),"clutch.co")</f>
        <v>clutch.co</v>
      </c>
      <c r="F1079" s="185" t="str">
        <f>IFERROR(__xludf.DUMMYFUNCTION("""COMPUTED_VALUE"""),"Category Page")</f>
        <v>Category Page</v>
      </c>
      <c r="G1079" s="185" t="str">
        <f>IFERROR(__xludf.DUMMYFUNCTION("""COMPUTED_VALUE"""),"CORPORATE")</f>
        <v>CORPORATE</v>
      </c>
      <c r="H1079" s="185" t="str">
        <f>IFERROR(__xludf.DUMMYFUNCTION("""COMPUTED_VALUE"""),"No")</f>
        <v>No</v>
      </c>
      <c r="I1079" s="185" t="str">
        <f>IFERROR(__xludf.DUMMYFUNCTION("""COMPUTED_VALUE"""),"Medium")</f>
        <v>Medium</v>
      </c>
      <c r="J1079" s="185" t="str">
        <f>IFERROR(__xludf.DUMMYFUNCTION("""COMPUTED_VALUE"""),"Yes")</f>
        <v>Yes</v>
      </c>
      <c r="K1079" s="185" t="str">
        <f>IFERROR(__xludf.DUMMYFUNCTION("""COMPUTED_VALUE"""),"MONSOON, HY.AM STUDIOS, Pulse Advertising, Medialabel")</f>
        <v>MONSOON, HY.AM STUDIOS, Pulse Advertising, Medialabel</v>
      </c>
      <c r="L1079" s="187">
        <f>IFERROR(__xludf.DUMMYFUNCTION("""COMPUTED_VALUE"""),2.0)</f>
        <v>2</v>
      </c>
      <c r="M1079" s="188">
        <f>IFERROR(__xludf.DUMMYFUNCTION("""COMPUTED_VALUE"""),0.0)</f>
        <v>0</v>
      </c>
      <c r="N1079" s="188">
        <f>IFERROR(__xludf.DUMMYFUNCTION("""COMPUTED_VALUE"""),0.0)</f>
        <v>0</v>
      </c>
      <c r="O1079" s="208"/>
      <c r="P1079" s="208"/>
      <c r="Q1079" s="208"/>
      <c r="R1079" s="208"/>
    </row>
    <row r="1080">
      <c r="A1080" s="185" t="str">
        <f>IFERROR(__xludf.DUMMYFUNCTION("""COMPUTED_VALUE"""),"Agency directory / review marketplace")</f>
        <v>Agency directory / review marketplace</v>
      </c>
      <c r="B1080" s="186" t="str">
        <f>IFERROR(__xludf.DUMMYFUNCTION("""COMPUTED_VALUE"""),"https://clutch.co/de/it-services/analytics")</f>
        <v>https://clutch.co/de/it-services/analytics</v>
      </c>
      <c r="C1080" s="185" t="str">
        <f>IFERROR(__xludf.DUMMYFUNCTION("""COMPUTED_VALUE"""),"Top Big Data Analytics Companies in Germany - Jul 2026 Rankings \| Clutch.co")</f>
        <v>Top Big Data Analytics Companies in Germany - Jul 2026 Rankings \| Clutch.co</v>
      </c>
      <c r="D1080" s="185" t="str">
        <f>IFERROR(__xludf.DUMMYFUNCTION("""COMPUTED_VALUE"""),"DE")</f>
        <v>DE</v>
      </c>
      <c r="E1080" s="185" t="str">
        <f>IFERROR(__xludf.DUMMYFUNCTION("""COMPUTED_VALUE"""),"clutch.co")</f>
        <v>clutch.co</v>
      </c>
      <c r="F1080" s="185" t="str">
        <f>IFERROR(__xludf.DUMMYFUNCTION("""COMPUTED_VALUE"""),"Category Page")</f>
        <v>Category Page</v>
      </c>
      <c r="G1080" s="185" t="str">
        <f>IFERROR(__xludf.DUMMYFUNCTION("""COMPUTED_VALUE"""),"CORPORATE")</f>
        <v>CORPORATE</v>
      </c>
      <c r="H1080" s="185" t="str">
        <f>IFERROR(__xludf.DUMMYFUNCTION("""COMPUTED_VALUE"""),"No")</f>
        <v>No</v>
      </c>
      <c r="I1080" s="185" t="str">
        <f>IFERROR(__xludf.DUMMYFUNCTION("""COMPUTED_VALUE"""),"Medium")</f>
        <v>Medium</v>
      </c>
      <c r="J1080" s="185" t="str">
        <f>IFERROR(__xludf.DUMMYFUNCTION("""COMPUTED_VALUE"""),"Yes")</f>
        <v>Yes</v>
      </c>
      <c r="K1080" s="185"/>
      <c r="L1080" s="187">
        <f>IFERROR(__xludf.DUMMYFUNCTION("""COMPUTED_VALUE"""),2.0)</f>
        <v>2</v>
      </c>
      <c r="M1080" s="188">
        <f>IFERROR(__xludf.DUMMYFUNCTION("""COMPUTED_VALUE"""),0.0)</f>
        <v>0</v>
      </c>
      <c r="N1080" s="188">
        <f>IFERROR(__xludf.DUMMYFUNCTION("""COMPUTED_VALUE"""),1.0)</f>
        <v>1</v>
      </c>
      <c r="O1080" s="208"/>
      <c r="P1080" s="208"/>
      <c r="Q1080" s="208"/>
      <c r="R1080" s="208"/>
    </row>
    <row r="1081">
      <c r="A1081" s="185" t="str">
        <f>IFERROR(__xludf.DUMMYFUNCTION("""COMPUTED_VALUE"""),"Lower-priority competitor/vendor roundup")</f>
        <v>Lower-priority competitor/vendor roundup</v>
      </c>
      <c r="B1081" s="186" t="str">
        <f>IFERROR(__xludf.DUMMYFUNCTION("""COMPUTED_VALUE"""),"https://www.cometly.com/post/marketing-attribution-tools-for-agencies")</f>
        <v>https://www.cometly.com/post/marketing-attribution-tools-for-agencies</v>
      </c>
      <c r="C1081" s="185" t="str">
        <f>IFERROR(__xludf.DUMMYFUNCTION("""COMPUTED_VALUE"""),"Best Marketing Attribution Tools For Agencies 2026")</f>
        <v>Best Marketing Attribution Tools For Agencies 2026</v>
      </c>
      <c r="D1081" s="185" t="str">
        <f>IFERROR(__xludf.DUMMYFUNCTION("""COMPUTED_VALUE"""),"DE")</f>
        <v>DE</v>
      </c>
      <c r="E1081" s="185" t="str">
        <f>IFERROR(__xludf.DUMMYFUNCTION("""COMPUTED_VALUE"""),"cometly.com")</f>
        <v>cometly.com</v>
      </c>
      <c r="F1081" s="185" t="str">
        <f>IFERROR(__xludf.DUMMYFUNCTION("""COMPUTED_VALUE"""),"Listicle")</f>
        <v>Listicle</v>
      </c>
      <c r="G1081" s="185" t="str">
        <f>IFERROR(__xludf.DUMMYFUNCTION("""COMPUTED_VALUE"""),"COMPETITOR")</f>
        <v>COMPETITOR</v>
      </c>
      <c r="H1081" s="185" t="str">
        <f>IFERROR(__xludf.DUMMYFUNCTION("""COMPUTED_VALUE"""),"No")</f>
        <v>No</v>
      </c>
      <c r="I1081" s="185" t="str">
        <f>IFERROR(__xludf.DUMMYFUNCTION("""COMPUTED_VALUE"""),"Low")</f>
        <v>Low</v>
      </c>
      <c r="J1081" s="185" t="str">
        <f>IFERROR(__xludf.DUMMYFUNCTION("""COMPUTED_VALUE"""),"Secondary")</f>
        <v>Secondary</v>
      </c>
      <c r="K1081" s="185" t="str">
        <f>IFERROR(__xludf.DUMMYFUNCTION("""COMPUTED_VALUE"""),"Cometly, Triple Whale, Northbeam, Rockerbox, Ruler Analytics")</f>
        <v>Cometly, Triple Whale, Northbeam, Rockerbox, Ruler Analytics</v>
      </c>
      <c r="L1081" s="187">
        <f>IFERROR(__xludf.DUMMYFUNCTION("""COMPUTED_VALUE"""),2.0)</f>
        <v>2</v>
      </c>
      <c r="M1081" s="188">
        <f>IFERROR(__xludf.DUMMYFUNCTION("""COMPUTED_VALUE"""),0.0)</f>
        <v>0</v>
      </c>
      <c r="N1081" s="188">
        <f>IFERROR(__xludf.DUMMYFUNCTION("""COMPUTED_VALUE"""),0.0)</f>
        <v>0</v>
      </c>
      <c r="O1081" s="208"/>
      <c r="P1081" s="208"/>
      <c r="Q1081" s="208"/>
      <c r="R1081" s="208"/>
    </row>
    <row r="1082">
      <c r="A1082" s="185" t="str">
        <f>IFERROR(__xludf.DUMMYFUNCTION("""COMPUTED_VALUE"""),"Official partner / certification ecosystem")</f>
        <v>Official partner / certification ecosystem</v>
      </c>
      <c r="B1082" s="186" t="str">
        <f>IFERROR(__xludf.DUMMYFUNCTION("""COMPUTED_VALUE"""),"https://www.comparisonshoppingpartners.withgoogle.com/find_a_partner/")</f>
        <v>https://www.comparisonshoppingpartners.withgoogle.com/find_a_partner/</v>
      </c>
      <c r="C1082" s="185"/>
      <c r="D1082" s="185" t="str">
        <f>IFERROR(__xludf.DUMMYFUNCTION("""COMPUTED_VALUE"""),"DE")</f>
        <v>DE</v>
      </c>
      <c r="E1082" s="185" t="str">
        <f>IFERROR(__xludf.DUMMYFUNCTION("""COMPUTED_VALUE"""),"withgoogle.com")</f>
        <v>withgoogle.com</v>
      </c>
      <c r="F1082" s="185" t="str">
        <f>IFERROR(__xludf.DUMMYFUNCTION("""COMPUTED_VALUE"""),"Other")</f>
        <v>Other</v>
      </c>
      <c r="G1082" s="185" t="str">
        <f>IFERROR(__xludf.DUMMYFUNCTION("""COMPUTED_VALUE"""),"CORPORATE")</f>
        <v>CORPORATE</v>
      </c>
      <c r="H1082" s="185" t="str">
        <f>IFERROR(__xludf.DUMMYFUNCTION("""COMPUTED_VALUE"""),"No")</f>
        <v>No</v>
      </c>
      <c r="I1082" s="185" t="str">
        <f>IFERROR(__xludf.DUMMYFUNCTION("""COMPUTED_VALUE"""),"High")</f>
        <v>High</v>
      </c>
      <c r="J1082" s="185" t="str">
        <f>IFERROR(__xludf.DUMMYFUNCTION("""COMPUTED_VALUE"""),"Yes - priority")</f>
        <v>Yes - priority</v>
      </c>
      <c r="K1082" s="185" t="str">
        <f>IFERROR(__xludf.DUMMYFUNCTION("""COMPUTED_VALUE"""),"Unknown")</f>
        <v>Unknown</v>
      </c>
      <c r="L1082" s="187">
        <f>IFERROR(__xludf.DUMMYFUNCTION("""COMPUTED_VALUE"""),2.0)</f>
        <v>2</v>
      </c>
      <c r="M1082" s="188">
        <f>IFERROR(__xludf.DUMMYFUNCTION("""COMPUTED_VALUE"""),0.0)</f>
        <v>0</v>
      </c>
      <c r="N1082" s="188">
        <f>IFERROR(__xludf.DUMMYFUNCTION("""COMPUTED_VALUE"""),0.0)</f>
        <v>0</v>
      </c>
      <c r="O1082" s="208"/>
      <c r="P1082" s="208"/>
      <c r="Q1082" s="208"/>
      <c r="R1082" s="208"/>
    </row>
    <row r="1083">
      <c r="A1083" s="185" t="str">
        <f>IFERROR(__xludf.DUMMYFUNCTION("""COMPUTED_VALUE"""),"Agency directory / review marketplace")</f>
        <v>Agency directory / review marketplace</v>
      </c>
      <c r="B1083" s="186" t="str">
        <f>IFERROR(__xludf.DUMMYFUNCTION("""COMPUTED_VALUE"""),"https://digitalagencynetwork.com/agencies/berlin/creative/")</f>
        <v>https://digitalagencynetwork.com/agencies/berlin/creative/</v>
      </c>
      <c r="C1083" s="185" t="str">
        <f>IFERROR(__xludf.DUMMYFUNCTION("""COMPUTED_VALUE"""),"Top Creative Agencies in Berlin (2026)")</f>
        <v>Top Creative Agencies in Berlin (2026)</v>
      </c>
      <c r="D1083" s="185" t="str">
        <f>IFERROR(__xludf.DUMMYFUNCTION("""COMPUTED_VALUE"""),"DE")</f>
        <v>DE</v>
      </c>
      <c r="E1083" s="185" t="str">
        <f>IFERROR(__xludf.DUMMYFUNCTION("""COMPUTED_VALUE"""),"digitalagencynetwork.com")</f>
        <v>digitalagencynetwork.com</v>
      </c>
      <c r="F1083" s="185" t="str">
        <f>IFERROR(__xludf.DUMMYFUNCTION("""COMPUTED_VALUE"""),"Category Page")</f>
        <v>Category Page</v>
      </c>
      <c r="G1083" s="185" t="str">
        <f>IFERROR(__xludf.DUMMYFUNCTION("""COMPUTED_VALUE"""),"REFERENCE")</f>
        <v>REFERENCE</v>
      </c>
      <c r="H1083" s="185" t="str">
        <f>IFERROR(__xludf.DUMMYFUNCTION("""COMPUTED_VALUE"""),"No")</f>
        <v>No</v>
      </c>
      <c r="I1083" s="185" t="str">
        <f>IFERROR(__xludf.DUMMYFUNCTION("""COMPUTED_VALUE"""),"Medium")</f>
        <v>Medium</v>
      </c>
      <c r="J1083" s="185" t="str">
        <f>IFERROR(__xludf.DUMMYFUNCTION("""COMPUTED_VALUE"""),"Yes")</f>
        <v>Yes</v>
      </c>
      <c r="K1083" s="185" t="str">
        <f>IFERROR(__xludf.DUMMYFUNCTION("""COMPUTED_VALUE"""),"PANORAMA3000, HY.AM STUDIOS")</f>
        <v>PANORAMA3000, HY.AM STUDIOS</v>
      </c>
      <c r="L1083" s="187">
        <f>IFERROR(__xludf.DUMMYFUNCTION("""COMPUTED_VALUE"""),2.0)</f>
        <v>2</v>
      </c>
      <c r="M1083" s="188">
        <f>IFERROR(__xludf.DUMMYFUNCTION("""COMPUTED_VALUE"""),0.0)</f>
        <v>0</v>
      </c>
      <c r="N1083" s="188">
        <f>IFERROR(__xludf.DUMMYFUNCTION("""COMPUTED_VALUE"""),0.5)</f>
        <v>0.5</v>
      </c>
      <c r="O1083" s="208"/>
      <c r="P1083" s="208"/>
      <c r="Q1083" s="208"/>
      <c r="R1083" s="208"/>
    </row>
    <row r="1084">
      <c r="A1084" s="185" t="str">
        <f>IFERROR(__xludf.DUMMYFUNCTION("""COMPUTED_VALUE"""),"Agency directory / review marketplace")</f>
        <v>Agency directory / review marketplace</v>
      </c>
      <c r="B1084" s="186" t="str">
        <f>IFERROR(__xludf.DUMMYFUNCTION("""COMPUTED_VALUE"""),"https://digitalagencynetwork.com/agencies/berlin/geo/")</f>
        <v>https://digitalagencynetwork.com/agencies/berlin/geo/</v>
      </c>
      <c r="C1084" s="185" t="str">
        <f>IFERROR(__xludf.DUMMYFUNCTION("""COMPUTED_VALUE"""),"Top GEO Agencies in Berlin for Generative Engine Optimization (2026)")</f>
        <v>Top GEO Agencies in Berlin for Generative Engine Optimization (2026)</v>
      </c>
      <c r="D1084" s="185" t="str">
        <f>IFERROR(__xludf.DUMMYFUNCTION("""COMPUTED_VALUE"""),"DE")</f>
        <v>DE</v>
      </c>
      <c r="E1084" s="185" t="str">
        <f>IFERROR(__xludf.DUMMYFUNCTION("""COMPUTED_VALUE"""),"digitalagencynetwork.com")</f>
        <v>digitalagencynetwork.com</v>
      </c>
      <c r="F1084" s="185" t="str">
        <f>IFERROR(__xludf.DUMMYFUNCTION("""COMPUTED_VALUE"""),"Profile")</f>
        <v>Profile</v>
      </c>
      <c r="G1084" s="185" t="str">
        <f>IFERROR(__xludf.DUMMYFUNCTION("""COMPUTED_VALUE"""),"REFERENCE")</f>
        <v>REFERENCE</v>
      </c>
      <c r="H1084" s="185" t="str">
        <f>IFERROR(__xludf.DUMMYFUNCTION("""COMPUTED_VALUE"""),"No")</f>
        <v>No</v>
      </c>
      <c r="I1084" s="185" t="str">
        <f>IFERROR(__xludf.DUMMYFUNCTION("""COMPUTED_VALUE"""),"Medium")</f>
        <v>Medium</v>
      </c>
      <c r="J1084" s="185" t="str">
        <f>IFERROR(__xludf.DUMMYFUNCTION("""COMPUTED_VALUE"""),"Yes")</f>
        <v>Yes</v>
      </c>
      <c r="K1084" s="185"/>
      <c r="L1084" s="187">
        <f>IFERROR(__xludf.DUMMYFUNCTION("""COMPUTED_VALUE"""),2.0)</f>
        <v>2</v>
      </c>
      <c r="M1084" s="188">
        <f>IFERROR(__xludf.DUMMYFUNCTION("""COMPUTED_VALUE"""),0.0)</f>
        <v>0</v>
      </c>
      <c r="N1084" s="188">
        <f>IFERROR(__xludf.DUMMYFUNCTION("""COMPUTED_VALUE"""),0.5)</f>
        <v>0.5</v>
      </c>
      <c r="O1084" s="208"/>
      <c r="P1084" s="208"/>
      <c r="Q1084" s="208"/>
      <c r="R1084" s="208"/>
    </row>
    <row r="1085">
      <c r="A1085" s="185" t="str">
        <f>IFERROR(__xludf.DUMMYFUNCTION("""COMPUTED_VALUE"""),"Agency directory / review marketplace")</f>
        <v>Agency directory / review marketplace</v>
      </c>
      <c r="B1085" s="186" t="str">
        <f>IFERROR(__xludf.DUMMYFUNCTION("""COMPUTED_VALUE"""),"https://digitalagencynetwork.com/agencies/usa/ai-marketing/")</f>
        <v>https://digitalagencynetwork.com/agencies/usa/ai-marketing/</v>
      </c>
      <c r="C1085" s="185" t="str">
        <f>IFERROR(__xludf.DUMMYFUNCTION("""COMPUTED_VALUE"""),"Top AI Marketing Agencies in USA (2026)")</f>
        <v>Top AI Marketing Agencies in USA (2026)</v>
      </c>
      <c r="D1085" s="185" t="str">
        <f>IFERROR(__xludf.DUMMYFUNCTION("""COMPUTED_VALUE"""),"DE")</f>
        <v>DE</v>
      </c>
      <c r="E1085" s="185" t="str">
        <f>IFERROR(__xludf.DUMMYFUNCTION("""COMPUTED_VALUE"""),"digitalagencynetwork.com")</f>
        <v>digitalagencynetwork.com</v>
      </c>
      <c r="F1085" s="185" t="str">
        <f>IFERROR(__xludf.DUMMYFUNCTION("""COMPUTED_VALUE"""),"Profile")</f>
        <v>Profile</v>
      </c>
      <c r="G1085" s="185" t="str">
        <f>IFERROR(__xludf.DUMMYFUNCTION("""COMPUTED_VALUE"""),"REFERENCE")</f>
        <v>REFERENCE</v>
      </c>
      <c r="H1085" s="185" t="str">
        <f>IFERROR(__xludf.DUMMYFUNCTION("""COMPUTED_VALUE"""),"No")</f>
        <v>No</v>
      </c>
      <c r="I1085" s="185" t="str">
        <f>IFERROR(__xludf.DUMMYFUNCTION("""COMPUTED_VALUE"""),"Medium")</f>
        <v>Medium</v>
      </c>
      <c r="J1085" s="185" t="str">
        <f>IFERROR(__xludf.DUMMYFUNCTION("""COMPUTED_VALUE"""),"Yes")</f>
        <v>Yes</v>
      </c>
      <c r="K1085" s="185" t="str">
        <f>IFERROR(__xludf.DUMMYFUNCTION("""COMPUTED_VALUE"""),"NoGood, SmartSites, Boston Consulting Group")</f>
        <v>NoGood, SmartSites, Boston Consulting Group</v>
      </c>
      <c r="L1085" s="187">
        <f>IFERROR(__xludf.DUMMYFUNCTION("""COMPUTED_VALUE"""),2.0)</f>
        <v>2</v>
      </c>
      <c r="M1085" s="188">
        <f>IFERROR(__xludf.DUMMYFUNCTION("""COMPUTED_VALUE"""),0.0)</f>
        <v>0</v>
      </c>
      <c r="N1085" s="188">
        <f>IFERROR(__xludf.DUMMYFUNCTION("""COMPUTED_VALUE"""),0.0)</f>
        <v>0</v>
      </c>
      <c r="O1085" s="208"/>
      <c r="P1085" s="208"/>
      <c r="Q1085" s="208"/>
      <c r="R1085" s="208"/>
    </row>
    <row r="1086">
      <c r="A1086" s="185" t="str">
        <f>IFERROR(__xludf.DUMMYFUNCTION("""COMPUTED_VALUE"""),"Agency directory / review marketplace")</f>
        <v>Agency directory / review marketplace</v>
      </c>
      <c r="B1086" s="186" t="str">
        <f>IFERROR(__xludf.DUMMYFUNCTION("""COMPUTED_VALUE"""),"https://feedbax.ai/google-ads/berlin")</f>
        <v>https://feedbax.ai/google-ads/berlin</v>
      </c>
      <c r="C1086" s="185" t="str">
        <f>IFERROR(__xludf.DUMMYFUNCTION("""COMPUTED_VALUE"""),"Top 20 Google Ads Agencies in Berlin - 2026 Reviews")</f>
        <v>Top 20 Google Ads Agencies in Berlin - 2026 Reviews</v>
      </c>
      <c r="D1086" s="185" t="str">
        <f>IFERROR(__xludf.DUMMYFUNCTION("""COMPUTED_VALUE"""),"DE")</f>
        <v>DE</v>
      </c>
      <c r="E1086" s="185" t="str">
        <f>IFERROR(__xludf.DUMMYFUNCTION("""COMPUTED_VALUE"""),"feedbax.ai")</f>
        <v>feedbax.ai</v>
      </c>
      <c r="F1086" s="185" t="str">
        <f>IFERROR(__xludf.DUMMYFUNCTION("""COMPUTED_VALUE"""),"Profile")</f>
        <v>Profile</v>
      </c>
      <c r="G1086" s="185" t="str">
        <f>IFERROR(__xludf.DUMMYFUNCTION("""COMPUTED_VALUE"""),"UGC")</f>
        <v>UGC</v>
      </c>
      <c r="H1086" s="185" t="str">
        <f>IFERROR(__xludf.DUMMYFUNCTION("""COMPUTED_VALUE"""),"No")</f>
        <v>No</v>
      </c>
      <c r="I1086" s="185" t="str">
        <f>IFERROR(__xludf.DUMMYFUNCTION("""COMPUTED_VALUE"""),"Medium")</f>
        <v>Medium</v>
      </c>
      <c r="J1086" s="185" t="str">
        <f>IFERROR(__xludf.DUMMYFUNCTION("""COMPUTED_VALUE"""),"Yes")</f>
        <v>Yes</v>
      </c>
      <c r="K1086" s="185" t="str">
        <f>IFERROR(__xludf.DUMMYFUNCTION("""COMPUTED_VALUE"""),"Mediacharge, Smarketer, Peak Ace")</f>
        <v>Mediacharge, Smarketer, Peak Ace</v>
      </c>
      <c r="L1086" s="187">
        <f>IFERROR(__xludf.DUMMYFUNCTION("""COMPUTED_VALUE"""),2.0)</f>
        <v>2</v>
      </c>
      <c r="M1086" s="188">
        <f>IFERROR(__xludf.DUMMYFUNCTION("""COMPUTED_VALUE"""),0.0)</f>
        <v>0</v>
      </c>
      <c r="N1086" s="188">
        <f>IFERROR(__xludf.DUMMYFUNCTION("""COMPUTED_VALUE"""),2.5)</f>
        <v>2.5</v>
      </c>
      <c r="O1086" s="208"/>
      <c r="P1086" s="208"/>
      <c r="Q1086" s="208"/>
      <c r="R1086" s="208"/>
    </row>
    <row r="1087">
      <c r="A1087" s="185" t="str">
        <f>IFERROR(__xludf.DUMMYFUNCTION("""COMPUTED_VALUE"""),"Agency directory / review marketplace")</f>
        <v>Agency directory / review marketplace</v>
      </c>
      <c r="B1087" s="186" t="str">
        <f>IFERROR(__xludf.DUMMYFUNCTION("""COMPUTED_VALUE"""),"https://feedbax.ai/performance-marketing")</f>
        <v>https://feedbax.ai/performance-marketing</v>
      </c>
      <c r="C1087" s="185" t="str">
        <f>IFERROR(__xludf.DUMMYFUNCTION("""COMPUTED_VALUE"""),"Top 20 Performance Marketing Agencies - 2026 Reviews")</f>
        <v>Top 20 Performance Marketing Agencies - 2026 Reviews</v>
      </c>
      <c r="D1087" s="185" t="str">
        <f>IFERROR(__xludf.DUMMYFUNCTION("""COMPUTED_VALUE"""),"DE")</f>
        <v>DE</v>
      </c>
      <c r="E1087" s="185" t="str">
        <f>IFERROR(__xludf.DUMMYFUNCTION("""COMPUTED_VALUE"""),"feedbax.ai")</f>
        <v>feedbax.ai</v>
      </c>
      <c r="F1087" s="185" t="str">
        <f>IFERROR(__xludf.DUMMYFUNCTION("""COMPUTED_VALUE"""),"Category Page")</f>
        <v>Category Page</v>
      </c>
      <c r="G1087" s="185" t="str">
        <f>IFERROR(__xludf.DUMMYFUNCTION("""COMPUTED_VALUE"""),"UGC")</f>
        <v>UGC</v>
      </c>
      <c r="H1087" s="185" t="str">
        <f>IFERROR(__xludf.DUMMYFUNCTION("""COMPUTED_VALUE"""),"No")</f>
        <v>No</v>
      </c>
      <c r="I1087" s="185" t="str">
        <f>IFERROR(__xludf.DUMMYFUNCTION("""COMPUTED_VALUE"""),"Medium")</f>
        <v>Medium</v>
      </c>
      <c r="J1087" s="185" t="str">
        <f>IFERROR(__xludf.DUMMYFUNCTION("""COMPUTED_VALUE"""),"Yes")</f>
        <v>Yes</v>
      </c>
      <c r="K1087" s="185" t="str">
        <f>IFERROR(__xludf.DUMMYFUNCTION("""COMPUTED_VALUE"""),"PANORAMA3000, KlickPiloten, HECHT INS GEFECHT, DREIKON, morefire, Loyamo, Mediacharge, Smarketer, Suchhelden")</f>
        <v>PANORAMA3000, KlickPiloten, HECHT INS GEFECHT, DREIKON, morefire, Loyamo, Mediacharge, Smarketer, Suchhelden</v>
      </c>
      <c r="L1087" s="187">
        <f>IFERROR(__xludf.DUMMYFUNCTION("""COMPUTED_VALUE"""),2.0)</f>
        <v>2</v>
      </c>
      <c r="M1087" s="188">
        <f>IFERROR(__xludf.DUMMYFUNCTION("""COMPUTED_VALUE"""),0.0)</f>
        <v>0</v>
      </c>
      <c r="N1087" s="188">
        <f>IFERROR(__xludf.DUMMYFUNCTION("""COMPUTED_VALUE"""),0.0)</f>
        <v>0</v>
      </c>
      <c r="O1087" s="208"/>
      <c r="P1087" s="208"/>
      <c r="Q1087" s="208"/>
      <c r="R1087" s="208"/>
    </row>
    <row r="1088">
      <c r="A1088" s="185" t="str">
        <f>IFERROR(__xludf.DUMMYFUNCTION("""COMPUTED_VALUE"""),"Trade media / editorial publication")</f>
        <v>Trade media / editorial publication</v>
      </c>
      <c r="B1088" s="186" t="str">
        <f>IFERROR(__xludf.DUMMYFUNCTION("""COMPUTED_VALUE"""),"https://www.ibusiness.de/performance-ranking/performance_2024.html?sub=4")</f>
        <v>https://www.ibusiness.de/performance-ranking/performance_2024.html?sub=4</v>
      </c>
      <c r="C1088" s="185" t="str">
        <f>IFERROR(__xludf.DUMMYFUNCTION("""COMPUTED_VALUE"""),"Das Ranking der gr��ten deutschen Performance-Marketing-Agenturen")</f>
        <v>Das Ranking der gr��ten deutschen Performance-Marketing-Agenturen</v>
      </c>
      <c r="D1088" s="185" t="str">
        <f>IFERROR(__xludf.DUMMYFUNCTION("""COMPUTED_VALUE"""),"DE")</f>
        <v>DE</v>
      </c>
      <c r="E1088" s="185" t="str">
        <f>IFERROR(__xludf.DUMMYFUNCTION("""COMPUTED_VALUE"""),"ibusiness.de")</f>
        <v>ibusiness.de</v>
      </c>
      <c r="F1088" s="185" t="str">
        <f>IFERROR(__xludf.DUMMYFUNCTION("""COMPUTED_VALUE"""),"Profile")</f>
        <v>Profile</v>
      </c>
      <c r="G1088" s="185" t="str">
        <f>IFERROR(__xludf.DUMMYFUNCTION("""COMPUTED_VALUE"""),"EDITORIAL")</f>
        <v>EDITORIAL</v>
      </c>
      <c r="H1088" s="185" t="str">
        <f>IFERROR(__xludf.DUMMYFUNCTION("""COMPUTED_VALUE"""),"No")</f>
        <v>No</v>
      </c>
      <c r="I1088" s="185" t="str">
        <f>IFERROR(__xludf.DUMMYFUNCTION("""COMPUTED_VALUE"""),"Medium")</f>
        <v>Medium</v>
      </c>
      <c r="J1088" s="185" t="str">
        <f>IFERROR(__xludf.DUMMYFUNCTION("""COMPUTED_VALUE"""),"Yes")</f>
        <v>Yes</v>
      </c>
      <c r="K1088" s="185" t="str">
        <f>IFERROR(__xludf.DUMMYFUNCTION("""COMPUTED_VALUE"""),"Smarketer, Peak Ace, iProspect, e-dialog, The Boutique Agency, morefire, 42DIGITAL, eMinded GmbH, Aufgesang")</f>
        <v>Smarketer, Peak Ace, iProspect, e-dialog, The Boutique Agency, morefire, 42DIGITAL, eMinded GmbH, Aufgesang</v>
      </c>
      <c r="L1088" s="187">
        <f>IFERROR(__xludf.DUMMYFUNCTION("""COMPUTED_VALUE"""),2.0)</f>
        <v>2</v>
      </c>
      <c r="M1088" s="188">
        <f>IFERROR(__xludf.DUMMYFUNCTION("""COMPUTED_VALUE"""),0.0)</f>
        <v>0</v>
      </c>
      <c r="N1088" s="188">
        <f>IFERROR(__xludf.DUMMYFUNCTION("""COMPUTED_VALUE"""),0.0)</f>
        <v>0</v>
      </c>
      <c r="O1088" s="208"/>
      <c r="P1088" s="208"/>
      <c r="Q1088" s="208"/>
      <c r="R1088" s="208"/>
    </row>
    <row r="1089">
      <c r="A1089" s="185" t="str">
        <f>IFERROR(__xludf.DUMMYFUNCTION("""COMPUTED_VALUE"""),"Trade media / editorial publication")</f>
        <v>Trade media / editorial publication</v>
      </c>
      <c r="B1089" s="186" t="str">
        <f>IFERROR(__xludf.DUMMYFUNCTION("""COMPUTED_VALUE"""),"https://www.ibusiness.de/performance-ranking/performance_2025.html?sub=1")</f>
        <v>https://www.ibusiness.de/performance-ranking/performance_2025.html?sub=1</v>
      </c>
      <c r="C1089" s="185" t="str">
        <f>IFERROR(__xludf.DUMMYFUNCTION("""COMPUTED_VALUE"""),"Das Ranking der gr��ten deutschen Performance-Marketing-Agenturen")</f>
        <v>Das Ranking der gr��ten deutschen Performance-Marketing-Agenturen</v>
      </c>
      <c r="D1089" s="185" t="str">
        <f>IFERROR(__xludf.DUMMYFUNCTION("""COMPUTED_VALUE"""),"DE")</f>
        <v>DE</v>
      </c>
      <c r="E1089" s="185" t="str">
        <f>IFERROR(__xludf.DUMMYFUNCTION("""COMPUTED_VALUE"""),"ibusiness.de")</f>
        <v>ibusiness.de</v>
      </c>
      <c r="F1089" s="185" t="str">
        <f>IFERROR(__xludf.DUMMYFUNCTION("""COMPUTED_VALUE"""),"Other")</f>
        <v>Other</v>
      </c>
      <c r="G1089" s="185" t="str">
        <f>IFERROR(__xludf.DUMMYFUNCTION("""COMPUTED_VALUE"""),"EDITORIAL")</f>
        <v>EDITORIAL</v>
      </c>
      <c r="H1089" s="185" t="str">
        <f>IFERROR(__xludf.DUMMYFUNCTION("""COMPUTED_VALUE"""),"No")</f>
        <v>No</v>
      </c>
      <c r="I1089" s="185" t="str">
        <f>IFERROR(__xludf.DUMMYFUNCTION("""COMPUTED_VALUE"""),"Medium")</f>
        <v>Medium</v>
      </c>
      <c r="J1089" s="185" t="str">
        <f>IFERROR(__xludf.DUMMYFUNCTION("""COMPUTED_VALUE"""),"Yes")</f>
        <v>Yes</v>
      </c>
      <c r="K1089" s="185"/>
      <c r="L1089" s="187">
        <f>IFERROR(__xludf.DUMMYFUNCTION("""COMPUTED_VALUE"""),2.0)</f>
        <v>2</v>
      </c>
      <c r="M1089" s="188">
        <f>IFERROR(__xludf.DUMMYFUNCTION("""COMPUTED_VALUE"""),0.0)</f>
        <v>0</v>
      </c>
      <c r="N1089" s="188">
        <f>IFERROR(__xludf.DUMMYFUNCTION("""COMPUTED_VALUE"""),0.0)</f>
        <v>0</v>
      </c>
      <c r="O1089" s="208"/>
      <c r="P1089" s="208"/>
      <c r="Q1089" s="208"/>
      <c r="R1089" s="208"/>
    </row>
    <row r="1090">
      <c r="A1090" s="185" t="str">
        <f>IFERROR(__xludf.DUMMYFUNCTION("""COMPUTED_VALUE"""),"Trade media / editorial publication")</f>
        <v>Trade media / editorial publication</v>
      </c>
      <c r="B1090" s="186" t="str">
        <f>IFERROR(__xludf.DUMMYFUNCTION("""COMPUTED_VALUE"""),"https://influencermarketinghub.com/ai-marketing-agencies/")</f>
        <v>https://influencermarketinghub.com/ai-marketing-agencies/</v>
      </c>
      <c r="C1090" s="185" t="str">
        <f>IFERROR(__xludf.DUMMYFUNCTION("""COMPUTED_VALUE"""),"Best AI Marketing Agencies For 2026")</f>
        <v>Best AI Marketing Agencies For 2026</v>
      </c>
      <c r="D1090" s="185" t="str">
        <f>IFERROR(__xludf.DUMMYFUNCTION("""COMPUTED_VALUE"""),"DE")</f>
        <v>DE</v>
      </c>
      <c r="E1090" s="185" t="str">
        <f>IFERROR(__xludf.DUMMYFUNCTION("""COMPUTED_VALUE"""),"influencermarketinghub.com")</f>
        <v>influencermarketinghub.com</v>
      </c>
      <c r="F1090" s="185" t="str">
        <f>IFERROR(__xludf.DUMMYFUNCTION("""COMPUTED_VALUE"""),"Listicle")</f>
        <v>Listicle</v>
      </c>
      <c r="G1090" s="185" t="str">
        <f>IFERROR(__xludf.DUMMYFUNCTION("""COMPUTED_VALUE"""),"REFERENCE")</f>
        <v>REFERENCE</v>
      </c>
      <c r="H1090" s="185" t="str">
        <f>IFERROR(__xludf.DUMMYFUNCTION("""COMPUTED_VALUE"""),"No")</f>
        <v>No</v>
      </c>
      <c r="I1090" s="185" t="str">
        <f>IFERROR(__xludf.DUMMYFUNCTION("""COMPUTED_VALUE"""),"Medium")</f>
        <v>Medium</v>
      </c>
      <c r="J1090" s="185" t="str">
        <f>IFERROR(__xludf.DUMMYFUNCTION("""COMPUTED_VALUE"""),"Yes")</f>
        <v>Yes</v>
      </c>
      <c r="K1090" s="185" t="str">
        <f>IFERROR(__xludf.DUMMYFUNCTION("""COMPUTED_VALUE"""),"SmartSites, McKinsey &amp; Company, Momentum, Mindshare, Wpromote, Dentsu")</f>
        <v>SmartSites, McKinsey &amp; Company, Momentum, Mindshare, Wpromote, Dentsu</v>
      </c>
      <c r="L1090" s="187">
        <f>IFERROR(__xludf.DUMMYFUNCTION("""COMPUTED_VALUE"""),2.0)</f>
        <v>2</v>
      </c>
      <c r="M1090" s="188">
        <f>IFERROR(__xludf.DUMMYFUNCTION("""COMPUTED_VALUE"""),0.0)</f>
        <v>0</v>
      </c>
      <c r="N1090" s="188">
        <f>IFERROR(__xludf.DUMMYFUNCTION("""COMPUTED_VALUE"""),0.0)</f>
        <v>0</v>
      </c>
      <c r="O1090" s="208"/>
      <c r="P1090" s="208"/>
      <c r="Q1090" s="208"/>
      <c r="R1090" s="208"/>
    </row>
    <row r="1091">
      <c r="A1091" s="185" t="str">
        <f>IFERROR(__xludf.DUMMYFUNCTION("""COMPUTED_VALUE"""),"Official partner / certification ecosystem")</f>
        <v>Official partner / certification ecosystem</v>
      </c>
      <c r="B1091" s="186" t="str">
        <f>IFERROR(__xludf.DUMMYFUNCTION("""COMPUTED_VALUE"""),"https://marketingplatform.google.com/about/partners/find-a-partner")</f>
        <v>https://marketingplatform.google.com/about/partners/find-a-partner</v>
      </c>
      <c r="C1091" s="185"/>
      <c r="D1091" s="185" t="str">
        <f>IFERROR(__xludf.DUMMYFUNCTION("""COMPUTED_VALUE"""),"DE")</f>
        <v>DE</v>
      </c>
      <c r="E1091" s="185" t="str">
        <f>IFERROR(__xludf.DUMMYFUNCTION("""COMPUTED_VALUE"""),"google.com")</f>
        <v>google.com</v>
      </c>
      <c r="F1091" s="185" t="str">
        <f>IFERROR(__xludf.DUMMYFUNCTION("""COMPUTED_VALUE"""),"Other")</f>
        <v>Other</v>
      </c>
      <c r="G1091" s="185" t="str">
        <f>IFERROR(__xludf.DUMMYFUNCTION("""COMPUTED_VALUE"""),"OTHER")</f>
        <v>OTHER</v>
      </c>
      <c r="H1091" s="185" t="str">
        <f>IFERROR(__xludf.DUMMYFUNCTION("""COMPUTED_VALUE"""),"No")</f>
        <v>No</v>
      </c>
      <c r="I1091" s="185" t="str">
        <f>IFERROR(__xludf.DUMMYFUNCTION("""COMPUTED_VALUE"""),"High")</f>
        <v>High</v>
      </c>
      <c r="J1091" s="185" t="str">
        <f>IFERROR(__xludf.DUMMYFUNCTION("""COMPUTED_VALUE"""),"Yes - priority")</f>
        <v>Yes - priority</v>
      </c>
      <c r="K1091" s="185" t="str">
        <f>IFERROR(__xludf.DUMMYFUNCTION("""COMPUTED_VALUE"""),"Unknown")</f>
        <v>Unknown</v>
      </c>
      <c r="L1091" s="187">
        <f>IFERROR(__xludf.DUMMYFUNCTION("""COMPUTED_VALUE"""),2.0)</f>
        <v>2</v>
      </c>
      <c r="M1091" s="188">
        <f>IFERROR(__xludf.DUMMYFUNCTION("""COMPUTED_VALUE"""),0.0)</f>
        <v>0</v>
      </c>
      <c r="N1091" s="188">
        <f>IFERROR(__xludf.DUMMYFUNCTION("""COMPUTED_VALUE"""),0.0)</f>
        <v>0</v>
      </c>
      <c r="O1091" s="208"/>
      <c r="P1091" s="208"/>
      <c r="Q1091" s="208"/>
      <c r="R1091" s="208"/>
    </row>
    <row r="1092">
      <c r="A1092" s="185" t="str">
        <f>IFERROR(__xludf.DUMMYFUNCTION("""COMPUTED_VALUE"""),"Trade media / editorial publication")</f>
        <v>Trade media / editorial publication</v>
      </c>
      <c r="B1092" s="186" t="str">
        <f>IFERROR(__xludf.DUMMYFUNCTION("""COMPUTED_VALUE"""),"https://www.neuhandeln.de/performance-ranking/performance_2025")</f>
        <v>https://www.neuhandeln.de/performance-ranking/performance_2025</v>
      </c>
      <c r="C1092" s="185" t="str">
        <f>IFERROR(__xludf.DUMMYFUNCTION("""COMPUTED_VALUE"""),"Das Ranking der gr��ten deutschsprachigen Performance-Marketing-Agenturen")</f>
        <v>Das Ranking der gr��ten deutschsprachigen Performance-Marketing-Agenturen</v>
      </c>
      <c r="D1092" s="185" t="str">
        <f>IFERROR(__xludf.DUMMYFUNCTION("""COMPUTED_VALUE"""),"DE")</f>
        <v>DE</v>
      </c>
      <c r="E1092" s="185" t="str">
        <f>IFERROR(__xludf.DUMMYFUNCTION("""COMPUTED_VALUE"""),"neuhandeln.de")</f>
        <v>neuhandeln.de</v>
      </c>
      <c r="F1092" s="185" t="str">
        <f>IFERROR(__xludf.DUMMYFUNCTION("""COMPUTED_VALUE"""),"Listicle")</f>
        <v>Listicle</v>
      </c>
      <c r="G1092" s="185" t="str">
        <f>IFERROR(__xludf.DUMMYFUNCTION("""COMPUTED_VALUE"""),"EDITORIAL")</f>
        <v>EDITORIAL</v>
      </c>
      <c r="H1092" s="185" t="str">
        <f>IFERROR(__xludf.DUMMYFUNCTION("""COMPUTED_VALUE"""),"No")</f>
        <v>No</v>
      </c>
      <c r="I1092" s="185" t="str">
        <f>IFERROR(__xludf.DUMMYFUNCTION("""COMPUTED_VALUE"""),"Medium")</f>
        <v>Medium</v>
      </c>
      <c r="J1092" s="185" t="str">
        <f>IFERROR(__xludf.DUMMYFUNCTION("""COMPUTED_VALUE"""),"Yes")</f>
        <v>Yes</v>
      </c>
      <c r="K1092" s="185" t="str">
        <f>IFERROR(__xludf.DUMMYFUNCTION("""COMPUTED_VALUE"""),"iProspect, Smarketer, e-dialog, morefire, Artefact, The Boutique Agency, 42DIGITAL, DREIKON, Aufgesang, eMinded GmbH")</f>
        <v>iProspect, Smarketer, e-dialog, morefire, Artefact, The Boutique Agency, 42DIGITAL, DREIKON, Aufgesang, eMinded GmbH</v>
      </c>
      <c r="L1092" s="187">
        <f>IFERROR(__xludf.DUMMYFUNCTION("""COMPUTED_VALUE"""),2.0)</f>
        <v>2</v>
      </c>
      <c r="M1092" s="188">
        <f>IFERROR(__xludf.DUMMYFUNCTION("""COMPUTED_VALUE"""),0.0)</f>
        <v>0</v>
      </c>
      <c r="N1092" s="188">
        <f>IFERROR(__xludf.DUMMYFUNCTION("""COMPUTED_VALUE"""),2.0)</f>
        <v>2</v>
      </c>
      <c r="O1092" s="208"/>
      <c r="P1092" s="208"/>
      <c r="Q1092" s="208"/>
      <c r="R1092" s="208"/>
    </row>
    <row r="1093">
      <c r="A1093" s="185" t="str">
        <f>IFERROR(__xludf.DUMMYFUNCTION("""COMPUTED_VALUE"""),"Industry association / institutional authority")</f>
        <v>Industry association / institutional authority</v>
      </c>
      <c r="B1093" s="186" t="str">
        <f>IFERROR(__xludf.DUMMYFUNCTION("""COMPUTED_VALUE"""),"https://www.oneclub.org/press/-adc100-rankings")</f>
        <v>https://www.oneclub.org/press/-adc100-rankings</v>
      </c>
      <c r="C1093" s="185" t="str">
        <f>IFERROR(__xludf.DUMMYFUNCTION("""COMPUTED_VALUE"""),"DDB Group Germany is World’s Top-Ranked Agency In ADC 100th Annual Awards Global Creative Rankings | The One Club")</f>
        <v>DDB Group Germany is World’s Top-Ranked Agency In ADC 100th Annual Awards Global Creative Rankings | The One Club</v>
      </c>
      <c r="D1093" s="185" t="str">
        <f>IFERROR(__xludf.DUMMYFUNCTION("""COMPUTED_VALUE"""),"DE")</f>
        <v>DE</v>
      </c>
      <c r="E1093" s="185" t="str">
        <f>IFERROR(__xludf.DUMMYFUNCTION("""COMPUTED_VALUE"""),"oneclub.org")</f>
        <v>oneclub.org</v>
      </c>
      <c r="F1093" s="185" t="str">
        <f>IFERROR(__xludf.DUMMYFUNCTION("""COMPUTED_VALUE"""),"Listicle")</f>
        <v>Listicle</v>
      </c>
      <c r="G1093" s="185" t="str">
        <f>IFERROR(__xludf.DUMMYFUNCTION("""COMPUTED_VALUE"""),"INSTITUTIONAL")</f>
        <v>INSTITUTIONAL</v>
      </c>
      <c r="H1093" s="185" t="str">
        <f>IFERROR(__xludf.DUMMYFUNCTION("""COMPUTED_VALUE"""),"No")</f>
        <v>No</v>
      </c>
      <c r="I1093" s="185" t="str">
        <f>IFERROR(__xludf.DUMMYFUNCTION("""COMPUTED_VALUE"""),"High")</f>
        <v>High</v>
      </c>
      <c r="J1093" s="185" t="str">
        <f>IFERROR(__xludf.DUMMYFUNCTION("""COMPUTED_VALUE"""),"Yes - priority")</f>
        <v>Yes - priority</v>
      </c>
      <c r="K1093" s="185" t="str">
        <f>IFERROR(__xludf.DUMMYFUNCTION("""COMPUTED_VALUE"""),"Media.Monks, Ogilvy, Dentsu")</f>
        <v>Media.Monks, Ogilvy, Dentsu</v>
      </c>
      <c r="L1093" s="187">
        <f>IFERROR(__xludf.DUMMYFUNCTION("""COMPUTED_VALUE"""),2.0)</f>
        <v>2</v>
      </c>
      <c r="M1093" s="188">
        <f>IFERROR(__xludf.DUMMYFUNCTION("""COMPUTED_VALUE"""),0.0)</f>
        <v>0</v>
      </c>
      <c r="N1093" s="188">
        <f>IFERROR(__xludf.DUMMYFUNCTION("""COMPUTED_VALUE"""),0.0)</f>
        <v>0</v>
      </c>
      <c r="O1093" s="208"/>
      <c r="P1093" s="208"/>
      <c r="Q1093" s="208"/>
      <c r="R1093" s="208"/>
    </row>
    <row r="1094">
      <c r="A1094" s="185" t="str">
        <f>IFERROR(__xludf.DUMMYFUNCTION("""COMPUTED_VALUE"""),"Trade media / editorial publication")</f>
        <v>Trade media / editorial publication</v>
      </c>
      <c r="B1094" s="186" t="str">
        <f>IFERROR(__xludf.DUMMYFUNCTION("""COMPUTED_VALUE"""),"https://www.onetoone.de/performance-ranking/")</f>
        <v>https://www.onetoone.de/performance-ranking/</v>
      </c>
      <c r="C1094" s="185" t="str">
        <f>IFERROR(__xludf.DUMMYFUNCTION("""COMPUTED_VALUE"""),"Performance-Agentur-Ranking")</f>
        <v>Performance-Agentur-Ranking</v>
      </c>
      <c r="D1094" s="185" t="str">
        <f>IFERROR(__xludf.DUMMYFUNCTION("""COMPUTED_VALUE"""),"DE")</f>
        <v>DE</v>
      </c>
      <c r="E1094" s="185" t="str">
        <f>IFERROR(__xludf.DUMMYFUNCTION("""COMPUTED_VALUE"""),"onetoone.de")</f>
        <v>onetoone.de</v>
      </c>
      <c r="F1094" s="185" t="str">
        <f>IFERROR(__xludf.DUMMYFUNCTION("""COMPUTED_VALUE"""),"Profile")</f>
        <v>Profile</v>
      </c>
      <c r="G1094" s="185" t="str">
        <f>IFERROR(__xludf.DUMMYFUNCTION("""COMPUTED_VALUE"""),"OTHER")</f>
        <v>OTHER</v>
      </c>
      <c r="H1094" s="185" t="str">
        <f>IFERROR(__xludf.DUMMYFUNCTION("""COMPUTED_VALUE"""),"No")</f>
        <v>No</v>
      </c>
      <c r="I1094" s="185" t="str">
        <f>IFERROR(__xludf.DUMMYFUNCTION("""COMPUTED_VALUE"""),"Medium")</f>
        <v>Medium</v>
      </c>
      <c r="J1094" s="185" t="str">
        <f>IFERROR(__xludf.DUMMYFUNCTION("""COMPUTED_VALUE"""),"Yes")</f>
        <v>Yes</v>
      </c>
      <c r="K1094" s="185" t="str">
        <f>IFERROR(__xludf.DUMMYFUNCTION("""COMPUTED_VALUE"""),"iProspect, Smarketer, e-dialog, morefire, Artefact, The Boutique Agency, 42DIGITAL, DREIKON, Aufgesang, eMinded GmbH")</f>
        <v>iProspect, Smarketer, e-dialog, morefire, Artefact, The Boutique Agency, 42DIGITAL, DREIKON, Aufgesang, eMinded GmbH</v>
      </c>
      <c r="L1094" s="187">
        <f>IFERROR(__xludf.DUMMYFUNCTION("""COMPUTED_VALUE"""),2.0)</f>
        <v>2</v>
      </c>
      <c r="M1094" s="188">
        <f>IFERROR(__xludf.DUMMYFUNCTION("""COMPUTED_VALUE"""),0.0)</f>
        <v>0</v>
      </c>
      <c r="N1094" s="188">
        <f>IFERROR(__xludf.DUMMYFUNCTION("""COMPUTED_VALUE"""),0.0)</f>
        <v>0</v>
      </c>
      <c r="O1094" s="208"/>
      <c r="P1094" s="208"/>
      <c r="Q1094" s="208"/>
      <c r="R1094" s="208"/>
    </row>
    <row r="1095">
      <c r="A1095" s="185" t="str">
        <f>IFERROR(__xludf.DUMMYFUNCTION("""COMPUTED_VALUE"""),"Official partner / certification ecosystem")</f>
        <v>Official partner / certification ecosystem</v>
      </c>
      <c r="B1095" s="186" t="str">
        <f>IFERROR(__xludf.DUMMYFUNCTION("""COMPUTED_VALUE"""),"https://partnermarketinghub.withgoogle.com/")</f>
        <v>https://partnermarketinghub.withgoogle.com/</v>
      </c>
      <c r="C1095" s="185" t="str">
        <f>IFERROR(__xludf.DUMMYFUNCTION("""COMPUTED_VALUE"""),"Home - Partner Marketing Hub")</f>
        <v>Home - Partner Marketing Hub</v>
      </c>
      <c r="D1095" s="185" t="str">
        <f>IFERROR(__xludf.DUMMYFUNCTION("""COMPUTED_VALUE"""),"DE")</f>
        <v>DE</v>
      </c>
      <c r="E1095" s="185" t="str">
        <f>IFERROR(__xludf.DUMMYFUNCTION("""COMPUTED_VALUE"""),"withgoogle.com")</f>
        <v>withgoogle.com</v>
      </c>
      <c r="F1095" s="185" t="str">
        <f>IFERROR(__xludf.DUMMYFUNCTION("""COMPUTED_VALUE"""),"Homepage")</f>
        <v>Homepage</v>
      </c>
      <c r="G1095" s="185" t="str">
        <f>IFERROR(__xludf.DUMMYFUNCTION("""COMPUTED_VALUE"""),"CORPORATE")</f>
        <v>CORPORATE</v>
      </c>
      <c r="H1095" s="185" t="str">
        <f>IFERROR(__xludf.DUMMYFUNCTION("""COMPUTED_VALUE"""),"No")</f>
        <v>No</v>
      </c>
      <c r="I1095" s="185" t="str">
        <f>IFERROR(__xludf.DUMMYFUNCTION("""COMPUTED_VALUE"""),"High")</f>
        <v>High</v>
      </c>
      <c r="J1095" s="185" t="str">
        <f>IFERROR(__xludf.DUMMYFUNCTION("""COMPUTED_VALUE"""),"Yes - priority")</f>
        <v>Yes - priority</v>
      </c>
      <c r="K1095" s="185"/>
      <c r="L1095" s="187">
        <f>IFERROR(__xludf.DUMMYFUNCTION("""COMPUTED_VALUE"""),2.0)</f>
        <v>2</v>
      </c>
      <c r="M1095" s="188">
        <f>IFERROR(__xludf.DUMMYFUNCTION("""COMPUTED_VALUE"""),0.0)</f>
        <v>0</v>
      </c>
      <c r="N1095" s="188">
        <f>IFERROR(__xludf.DUMMYFUNCTION("""COMPUTED_VALUE"""),0.0)</f>
        <v>0</v>
      </c>
      <c r="O1095" s="208"/>
      <c r="P1095" s="208"/>
      <c r="Q1095" s="208"/>
      <c r="R1095" s="208"/>
    </row>
    <row r="1096">
      <c r="A1096" s="185" t="str">
        <f>IFERROR(__xludf.DUMMYFUNCTION("""COMPUTED_VALUE"""),"Agency directory / review marketplace")</f>
        <v>Agency directory / review marketplace</v>
      </c>
      <c r="B1096" s="186" t="str">
        <f>IFERROR(__xludf.DUMMYFUNCTION("""COMPUTED_VALUE"""),"https://www.sortlist.com/i/s/growth-marketing/germany-de")</f>
        <v>https://www.sortlist.com/i/s/growth-marketing/germany-de</v>
      </c>
      <c r="C1096" s="185" t="str">
        <f>IFERROR(__xludf.DUMMYFUNCTION("""COMPUTED_VALUE"""),"The 10 Best Growth Marketing Agencies in Germany - 2026 Reviews")</f>
        <v>The 10 Best Growth Marketing Agencies in Germany - 2026 Reviews</v>
      </c>
      <c r="D1096" s="185" t="str">
        <f>IFERROR(__xludf.DUMMYFUNCTION("""COMPUTED_VALUE"""),"DE")</f>
        <v>DE</v>
      </c>
      <c r="E1096" s="185" t="str">
        <f>IFERROR(__xludf.DUMMYFUNCTION("""COMPUTED_VALUE"""),"sortlist.com")</f>
        <v>sortlist.com</v>
      </c>
      <c r="F1096" s="185" t="str">
        <f>IFERROR(__xludf.DUMMYFUNCTION("""COMPUTED_VALUE"""),"How-To Guide")</f>
        <v>How-To Guide</v>
      </c>
      <c r="G1096" s="185" t="str">
        <f>IFERROR(__xludf.DUMMYFUNCTION("""COMPUTED_VALUE"""),"CORPORATE")</f>
        <v>CORPORATE</v>
      </c>
      <c r="H1096" s="185" t="str">
        <f>IFERROR(__xludf.DUMMYFUNCTION("""COMPUTED_VALUE"""),"No")</f>
        <v>No</v>
      </c>
      <c r="I1096" s="185" t="str">
        <f>IFERROR(__xludf.DUMMYFUNCTION("""COMPUTED_VALUE"""),"Medium")</f>
        <v>Medium</v>
      </c>
      <c r="J1096" s="185" t="str">
        <f>IFERROR(__xludf.DUMMYFUNCTION("""COMPUTED_VALUE"""),"Yes")</f>
        <v>Yes</v>
      </c>
      <c r="K1096" s="185" t="str">
        <f>IFERROR(__xludf.DUMMYFUNCTION("""COMPUTED_VALUE"""),"Triple Whale, Northbeam, Dreamdata, MONSOON, Measured")</f>
        <v>Triple Whale, Northbeam, Dreamdata, MONSOON, Measured</v>
      </c>
      <c r="L1096" s="187">
        <f>IFERROR(__xludf.DUMMYFUNCTION("""COMPUTED_VALUE"""),2.0)</f>
        <v>2</v>
      </c>
      <c r="M1096" s="188">
        <f>IFERROR(__xludf.DUMMYFUNCTION("""COMPUTED_VALUE"""),0.0)</f>
        <v>0</v>
      </c>
      <c r="N1096" s="188">
        <f>IFERROR(__xludf.DUMMYFUNCTION("""COMPUTED_VALUE"""),1.0)</f>
        <v>1</v>
      </c>
      <c r="O1096" s="208"/>
      <c r="P1096" s="208"/>
      <c r="Q1096" s="208"/>
      <c r="R1096" s="208"/>
    </row>
    <row r="1097">
      <c r="A1097" s="185" t="str">
        <f>IFERROR(__xludf.DUMMYFUNCTION("""COMPUTED_VALUE"""),"Agency directory / review marketplace")</f>
        <v>Agency directory / review marketplace</v>
      </c>
      <c r="B1097" s="186" t="str">
        <f>IFERROR(__xludf.DUMMYFUNCTION("""COMPUTED_VALUE"""),"https://www.sortlist.com/performance-marketing")</f>
        <v>https://www.sortlist.com/performance-marketing</v>
      </c>
      <c r="C1097" s="185" t="str">
        <f>IFERROR(__xludf.DUMMYFUNCTION("""COMPUTED_VALUE"""),"The 100 Best Performance Marketing Agencies - 2026 Reviews")</f>
        <v>The 100 Best Performance Marketing Agencies - 2026 Reviews</v>
      </c>
      <c r="D1097" s="185" t="str">
        <f>IFERROR(__xludf.DUMMYFUNCTION("""COMPUTED_VALUE"""),"DE")</f>
        <v>DE</v>
      </c>
      <c r="E1097" s="185" t="str">
        <f>IFERROR(__xludf.DUMMYFUNCTION("""COMPUTED_VALUE"""),"sortlist.com")</f>
        <v>sortlist.com</v>
      </c>
      <c r="F1097" s="185" t="str">
        <f>IFERROR(__xludf.DUMMYFUNCTION("""COMPUTED_VALUE"""),"Category Page")</f>
        <v>Category Page</v>
      </c>
      <c r="G1097" s="185" t="str">
        <f>IFERROR(__xludf.DUMMYFUNCTION("""COMPUTED_VALUE"""),"CORPORATE")</f>
        <v>CORPORATE</v>
      </c>
      <c r="H1097" s="185" t="str">
        <f>IFERROR(__xludf.DUMMYFUNCTION("""COMPUTED_VALUE"""),"No")</f>
        <v>No</v>
      </c>
      <c r="I1097" s="185" t="str">
        <f>IFERROR(__xludf.DUMMYFUNCTION("""COMPUTED_VALUE"""),"Medium")</f>
        <v>Medium</v>
      </c>
      <c r="J1097" s="185" t="str">
        <f>IFERROR(__xludf.DUMMYFUNCTION("""COMPUTED_VALUE"""),"Yes")</f>
        <v>Yes</v>
      </c>
      <c r="K1097" s="185" t="str">
        <f>IFERROR(__xludf.DUMMYFUNCTION("""COMPUTED_VALUE"""),"MONSOON, Triple Whale, Northbeam, Dreamdata, Measured")</f>
        <v>MONSOON, Triple Whale, Northbeam, Dreamdata, Measured</v>
      </c>
      <c r="L1097" s="187">
        <f>IFERROR(__xludf.DUMMYFUNCTION("""COMPUTED_VALUE"""),2.0)</f>
        <v>2</v>
      </c>
      <c r="M1097" s="188">
        <f>IFERROR(__xludf.DUMMYFUNCTION("""COMPUTED_VALUE"""),0.0)</f>
        <v>0</v>
      </c>
      <c r="N1097" s="188">
        <f>IFERROR(__xludf.DUMMYFUNCTION("""COMPUTED_VALUE"""),1.0)</f>
        <v>1</v>
      </c>
      <c r="O1097" s="208"/>
      <c r="P1097" s="208"/>
      <c r="Q1097" s="208"/>
      <c r="R1097" s="208"/>
    </row>
    <row r="1098">
      <c r="A1098" s="185" t="str">
        <f>IFERROR(__xludf.DUMMYFUNCTION("""COMPUTED_VALUE"""),"Agency directory / review marketplace")</f>
        <v>Agency directory / review marketplace</v>
      </c>
      <c r="B1098" s="186" t="str">
        <f>IFERROR(__xludf.DUMMYFUNCTION("""COMPUTED_VALUE"""),"https://www.sortlist.com/s/b2b-digital-marketing/germany-de")</f>
        <v>https://www.sortlist.com/s/b2b-digital-marketing/germany-de</v>
      </c>
      <c r="C1098" s="185" t="str">
        <f>IFERROR(__xludf.DUMMYFUNCTION("""COMPUTED_VALUE"""),"The 10 Best B2B Digital Marketing Agencies in Germany - 2026 Reviews")</f>
        <v>The 10 Best B2B Digital Marketing Agencies in Germany - 2026 Reviews</v>
      </c>
      <c r="D1098" s="185" t="str">
        <f>IFERROR(__xludf.DUMMYFUNCTION("""COMPUTED_VALUE"""),"DE")</f>
        <v>DE</v>
      </c>
      <c r="E1098" s="185" t="str">
        <f>IFERROR(__xludf.DUMMYFUNCTION("""COMPUTED_VALUE"""),"sortlist.com")</f>
        <v>sortlist.com</v>
      </c>
      <c r="F1098" s="185" t="str">
        <f>IFERROR(__xludf.DUMMYFUNCTION("""COMPUTED_VALUE"""),"Profile")</f>
        <v>Profile</v>
      </c>
      <c r="G1098" s="185" t="str">
        <f>IFERROR(__xludf.DUMMYFUNCTION("""COMPUTED_VALUE"""),"CORPORATE")</f>
        <v>CORPORATE</v>
      </c>
      <c r="H1098" s="185" t="str">
        <f>IFERROR(__xludf.DUMMYFUNCTION("""COMPUTED_VALUE"""),"No")</f>
        <v>No</v>
      </c>
      <c r="I1098" s="185" t="str">
        <f>IFERROR(__xludf.DUMMYFUNCTION("""COMPUTED_VALUE"""),"Medium")</f>
        <v>Medium</v>
      </c>
      <c r="J1098" s="185" t="str">
        <f>IFERROR(__xludf.DUMMYFUNCTION("""COMPUTED_VALUE"""),"Yes")</f>
        <v>Yes</v>
      </c>
      <c r="K1098" s="185" t="str">
        <f>IFERROR(__xludf.DUMMYFUNCTION("""COMPUTED_VALUE"""),"Mediacharge")</f>
        <v>Mediacharge</v>
      </c>
      <c r="L1098" s="187">
        <f>IFERROR(__xludf.DUMMYFUNCTION("""COMPUTED_VALUE"""),2.0)</f>
        <v>2</v>
      </c>
      <c r="M1098" s="188">
        <f>IFERROR(__xludf.DUMMYFUNCTION("""COMPUTED_VALUE"""),0.0)</f>
        <v>0</v>
      </c>
      <c r="N1098" s="188">
        <f>IFERROR(__xludf.DUMMYFUNCTION("""COMPUTED_VALUE"""),0.0)</f>
        <v>0</v>
      </c>
      <c r="O1098" s="208"/>
      <c r="P1098" s="208"/>
      <c r="Q1098" s="208"/>
      <c r="R1098" s="208"/>
    </row>
    <row r="1099">
      <c r="A1099" s="185" t="str">
        <f>IFERROR(__xludf.DUMMYFUNCTION("""COMPUTED_VALUE"""),"Agency directory / review marketplace")</f>
        <v>Agency directory / review marketplace</v>
      </c>
      <c r="B1099" s="186" t="str">
        <f>IFERROR(__xludf.DUMMYFUNCTION("""COMPUTED_VALUE"""),"https://www.sortlist.com/s/brand-creation/germany-de")</f>
        <v>https://www.sortlist.com/s/brand-creation/germany-de</v>
      </c>
      <c r="C1099" s="185" t="str">
        <f>IFERROR(__xludf.DUMMYFUNCTION("""COMPUTED_VALUE"""),"The 10 Best Brand Creation Agencies in Germany - 2026 Reviews")</f>
        <v>The 10 Best Brand Creation Agencies in Germany - 2026 Reviews</v>
      </c>
      <c r="D1099" s="185" t="str">
        <f>IFERROR(__xludf.DUMMYFUNCTION("""COMPUTED_VALUE"""),"DE")</f>
        <v>DE</v>
      </c>
      <c r="E1099" s="185" t="str">
        <f>IFERROR(__xludf.DUMMYFUNCTION("""COMPUTED_VALUE"""),"sortlist.com")</f>
        <v>sortlist.com</v>
      </c>
      <c r="F1099" s="185" t="str">
        <f>IFERROR(__xludf.DUMMYFUNCTION("""COMPUTED_VALUE"""),"Category Page")</f>
        <v>Category Page</v>
      </c>
      <c r="G1099" s="185" t="str">
        <f>IFERROR(__xludf.DUMMYFUNCTION("""COMPUTED_VALUE"""),"CORPORATE")</f>
        <v>CORPORATE</v>
      </c>
      <c r="H1099" s="185" t="str">
        <f>IFERROR(__xludf.DUMMYFUNCTION("""COMPUTED_VALUE"""),"No")</f>
        <v>No</v>
      </c>
      <c r="I1099" s="185" t="str">
        <f>IFERROR(__xludf.DUMMYFUNCTION("""COMPUTED_VALUE"""),"Medium")</f>
        <v>Medium</v>
      </c>
      <c r="J1099" s="185" t="str">
        <f>IFERROR(__xludf.DUMMYFUNCTION("""COMPUTED_VALUE"""),"Yes")</f>
        <v>Yes</v>
      </c>
      <c r="K1099" s="185" t="str">
        <f>IFERROR(__xludf.DUMMYFUNCTION("""COMPUTED_VALUE"""),"Momentum")</f>
        <v>Momentum</v>
      </c>
      <c r="L1099" s="187">
        <f>IFERROR(__xludf.DUMMYFUNCTION("""COMPUTED_VALUE"""),2.0)</f>
        <v>2</v>
      </c>
      <c r="M1099" s="188">
        <f>IFERROR(__xludf.DUMMYFUNCTION("""COMPUTED_VALUE"""),0.0)</f>
        <v>0</v>
      </c>
      <c r="N1099" s="188">
        <f>IFERROR(__xludf.DUMMYFUNCTION("""COMPUTED_VALUE"""),0.0)</f>
        <v>0</v>
      </c>
      <c r="O1099" s="208"/>
      <c r="P1099" s="208"/>
      <c r="Q1099" s="208"/>
      <c r="R1099" s="208"/>
    </row>
    <row r="1100">
      <c r="A1100" s="185" t="str">
        <f>IFERROR(__xludf.DUMMYFUNCTION("""COMPUTED_VALUE"""),"Agency directory / review marketplace")</f>
        <v>Agency directory / review marketplace</v>
      </c>
      <c r="B1100" s="186" t="str">
        <f>IFERROR(__xludf.DUMMYFUNCTION("""COMPUTED_VALUE"""),"https://www.sortlist.com/s/creative-design/germany-de")</f>
        <v>https://www.sortlist.com/s/creative-design/germany-de</v>
      </c>
      <c r="C1100" s="185" t="str">
        <f>IFERROR(__xludf.DUMMYFUNCTION("""COMPUTED_VALUE"""),"The 10 Best Creative Design Agencies in Germany - 2026 Reviews")</f>
        <v>The 10 Best Creative Design Agencies in Germany - 2026 Reviews</v>
      </c>
      <c r="D1100" s="185" t="str">
        <f>IFERROR(__xludf.DUMMYFUNCTION("""COMPUTED_VALUE"""),"DE")</f>
        <v>DE</v>
      </c>
      <c r="E1100" s="185" t="str">
        <f>IFERROR(__xludf.DUMMYFUNCTION("""COMPUTED_VALUE"""),"sortlist.com")</f>
        <v>sortlist.com</v>
      </c>
      <c r="F1100" s="185" t="str">
        <f>IFERROR(__xludf.DUMMYFUNCTION("""COMPUTED_VALUE"""),"Category Page")</f>
        <v>Category Page</v>
      </c>
      <c r="G1100" s="185" t="str">
        <f>IFERROR(__xludf.DUMMYFUNCTION("""COMPUTED_VALUE"""),"CORPORATE")</f>
        <v>CORPORATE</v>
      </c>
      <c r="H1100" s="185" t="str">
        <f>IFERROR(__xludf.DUMMYFUNCTION("""COMPUTED_VALUE"""),"No")</f>
        <v>No</v>
      </c>
      <c r="I1100" s="185" t="str">
        <f>IFERROR(__xludf.DUMMYFUNCTION("""COMPUTED_VALUE"""),"Medium")</f>
        <v>Medium</v>
      </c>
      <c r="J1100" s="185" t="str">
        <f>IFERROR(__xludf.DUMMYFUNCTION("""COMPUTED_VALUE"""),"Yes")</f>
        <v>Yes</v>
      </c>
      <c r="K1100" s="185" t="str">
        <f>IFERROR(__xludf.DUMMYFUNCTION("""COMPUTED_VALUE"""),"Measured, Momentum")</f>
        <v>Measured, Momentum</v>
      </c>
      <c r="L1100" s="187">
        <f>IFERROR(__xludf.DUMMYFUNCTION("""COMPUTED_VALUE"""),2.0)</f>
        <v>2</v>
      </c>
      <c r="M1100" s="188">
        <f>IFERROR(__xludf.DUMMYFUNCTION("""COMPUTED_VALUE"""),0.0)</f>
        <v>0</v>
      </c>
      <c r="N1100" s="188">
        <f>IFERROR(__xludf.DUMMYFUNCTION("""COMPUTED_VALUE"""),0.0)</f>
        <v>0</v>
      </c>
      <c r="O1100" s="208"/>
      <c r="P1100" s="208"/>
      <c r="Q1100" s="208"/>
      <c r="R1100" s="208"/>
    </row>
    <row r="1101">
      <c r="A1101" s="185" t="str">
        <f>IFERROR(__xludf.DUMMYFUNCTION("""COMPUTED_VALUE"""),"Agency directory / review marketplace")</f>
        <v>Agency directory / review marketplace</v>
      </c>
      <c r="B1101" s="186" t="str">
        <f>IFERROR(__xludf.DUMMYFUNCTION("""COMPUTED_VALUE"""),"https://www.sortlist.com/s/online-marketing/germany-de")</f>
        <v>https://www.sortlist.com/s/online-marketing/germany-de</v>
      </c>
      <c r="C1101" s="185" t="str">
        <f>IFERROR(__xludf.DUMMYFUNCTION("""COMPUTED_VALUE"""),"The 10 Best Online Marketing Agencies in Germany - 2026 Reviews")</f>
        <v>The 10 Best Online Marketing Agencies in Germany - 2026 Reviews</v>
      </c>
      <c r="D1101" s="185" t="str">
        <f>IFERROR(__xludf.DUMMYFUNCTION("""COMPUTED_VALUE"""),"DE")</f>
        <v>DE</v>
      </c>
      <c r="E1101" s="185" t="str">
        <f>IFERROR(__xludf.DUMMYFUNCTION("""COMPUTED_VALUE"""),"sortlist.com")</f>
        <v>sortlist.com</v>
      </c>
      <c r="F1101" s="185" t="str">
        <f>IFERROR(__xludf.DUMMYFUNCTION("""COMPUTED_VALUE"""),"Category Page")</f>
        <v>Category Page</v>
      </c>
      <c r="G1101" s="185" t="str">
        <f>IFERROR(__xludf.DUMMYFUNCTION("""COMPUTED_VALUE"""),"CORPORATE")</f>
        <v>CORPORATE</v>
      </c>
      <c r="H1101" s="185" t="str">
        <f>IFERROR(__xludf.DUMMYFUNCTION("""COMPUTED_VALUE"""),"No")</f>
        <v>No</v>
      </c>
      <c r="I1101" s="185" t="str">
        <f>IFERROR(__xludf.DUMMYFUNCTION("""COMPUTED_VALUE"""),"Medium")</f>
        <v>Medium</v>
      </c>
      <c r="J1101" s="185" t="str">
        <f>IFERROR(__xludf.DUMMYFUNCTION("""COMPUTED_VALUE"""),"Yes")</f>
        <v>Yes</v>
      </c>
      <c r="K1101" s="185" t="str">
        <f>IFERROR(__xludf.DUMMYFUNCTION("""COMPUTED_VALUE"""),"MONSOON, PANORAMA3000")</f>
        <v>MONSOON, PANORAMA3000</v>
      </c>
      <c r="L1101" s="187">
        <f>IFERROR(__xludf.DUMMYFUNCTION("""COMPUTED_VALUE"""),2.0)</f>
        <v>2</v>
      </c>
      <c r="M1101" s="188">
        <f>IFERROR(__xludf.DUMMYFUNCTION("""COMPUTED_VALUE"""),0.0)</f>
        <v>0</v>
      </c>
      <c r="N1101" s="188">
        <f>IFERROR(__xludf.DUMMYFUNCTION("""COMPUTED_VALUE"""),1.0)</f>
        <v>1</v>
      </c>
      <c r="O1101" s="208"/>
      <c r="P1101" s="208"/>
      <c r="Q1101" s="208"/>
      <c r="R1101" s="208"/>
    </row>
    <row r="1102">
      <c r="A1102" s="185" t="str">
        <f>IFERROR(__xludf.DUMMYFUNCTION("""COMPUTED_VALUE"""),"Agency directory / review marketplace")</f>
        <v>Agency directory / review marketplace</v>
      </c>
      <c r="B1102" s="186" t="str">
        <f>IFERROR(__xludf.DUMMYFUNCTION("""COMPUTED_VALUE"""),"https://www.sortlist.com/s/tiktok-advertising/germany-de")</f>
        <v>https://www.sortlist.com/s/tiktok-advertising/germany-de</v>
      </c>
      <c r="C1102" s="185" t="str">
        <f>IFERROR(__xludf.DUMMYFUNCTION("""COMPUTED_VALUE"""),"The 10 Best TikTok Advertising Agencies in Germany - 2026 Reviews")</f>
        <v>The 10 Best TikTok Advertising Agencies in Germany - 2026 Reviews</v>
      </c>
      <c r="D1102" s="185" t="str">
        <f>IFERROR(__xludf.DUMMYFUNCTION("""COMPUTED_VALUE"""),"DE")</f>
        <v>DE</v>
      </c>
      <c r="E1102" s="185" t="str">
        <f>IFERROR(__xludf.DUMMYFUNCTION("""COMPUTED_VALUE"""),"sortlist.com")</f>
        <v>sortlist.com</v>
      </c>
      <c r="F1102" s="185" t="str">
        <f>IFERROR(__xludf.DUMMYFUNCTION("""COMPUTED_VALUE"""),"Category Page")</f>
        <v>Category Page</v>
      </c>
      <c r="G1102" s="185" t="str">
        <f>IFERROR(__xludf.DUMMYFUNCTION("""COMPUTED_VALUE"""),"CORPORATE")</f>
        <v>CORPORATE</v>
      </c>
      <c r="H1102" s="185" t="str">
        <f>IFERROR(__xludf.DUMMYFUNCTION("""COMPUTED_VALUE"""),"No")</f>
        <v>No</v>
      </c>
      <c r="I1102" s="185" t="str">
        <f>IFERROR(__xludf.DUMMYFUNCTION("""COMPUTED_VALUE"""),"Medium")</f>
        <v>Medium</v>
      </c>
      <c r="J1102" s="185" t="str">
        <f>IFERROR(__xludf.DUMMYFUNCTION("""COMPUTED_VALUE"""),"Yes")</f>
        <v>Yes</v>
      </c>
      <c r="K1102" s="185" t="str">
        <f>IFERROR(__xludf.DUMMYFUNCTION("""COMPUTED_VALUE"""),"Triple Whale, Northbeam, Dreamdata, PANORAMA3000, MONSOON, Measured, lehof, Loyamo")</f>
        <v>Triple Whale, Northbeam, Dreamdata, PANORAMA3000, MONSOON, Measured, lehof, Loyamo</v>
      </c>
      <c r="L1102" s="187">
        <f>IFERROR(__xludf.DUMMYFUNCTION("""COMPUTED_VALUE"""),2.0)</f>
        <v>2</v>
      </c>
      <c r="M1102" s="188">
        <f>IFERROR(__xludf.DUMMYFUNCTION("""COMPUTED_VALUE"""),0.0)</f>
        <v>0</v>
      </c>
      <c r="N1102" s="188">
        <f>IFERROR(__xludf.DUMMYFUNCTION("""COMPUTED_VALUE"""),0.0)</f>
        <v>0</v>
      </c>
      <c r="O1102" s="208"/>
      <c r="P1102" s="208"/>
      <c r="Q1102" s="208"/>
      <c r="R1102" s="208"/>
    </row>
    <row r="1103">
      <c r="A1103" s="185" t="str">
        <f>IFERROR(__xludf.DUMMYFUNCTION("""COMPUTED_VALUE"""),"Agency directory / review marketplace")</f>
        <v>Agency directory / review marketplace</v>
      </c>
      <c r="B1103" s="186" t="str">
        <f>IFERROR(__xludf.DUMMYFUNCTION("""COMPUTED_VALUE"""),"https://www.sortlist.de/s/ai-marketing/bremen-hb-de")</f>
        <v>https://www.sortlist.de/s/ai-marketing/bremen-hb-de</v>
      </c>
      <c r="C1103" s="185" t="str">
        <f>IFERROR(__xludf.DUMMYFUNCTION("""COMPUTED_VALUE"""),"AI Marketing Agenturen Bremen vergleichen")</f>
        <v>AI Marketing Agenturen Bremen vergleichen</v>
      </c>
      <c r="D1103" s="185" t="str">
        <f>IFERROR(__xludf.DUMMYFUNCTION("""COMPUTED_VALUE"""),"DE")</f>
        <v>DE</v>
      </c>
      <c r="E1103" s="185" t="str">
        <f>IFERROR(__xludf.DUMMYFUNCTION("""COMPUTED_VALUE"""),"sortlist.de")</f>
        <v>sortlist.de</v>
      </c>
      <c r="F1103" s="185" t="str">
        <f>IFERROR(__xludf.DUMMYFUNCTION("""COMPUTED_VALUE"""),"Category Page")</f>
        <v>Category Page</v>
      </c>
      <c r="G1103" s="185" t="str">
        <f>IFERROR(__xludf.DUMMYFUNCTION("""COMPUTED_VALUE"""),"CORPORATE")</f>
        <v>CORPORATE</v>
      </c>
      <c r="H1103" s="185" t="str">
        <f>IFERROR(__xludf.DUMMYFUNCTION("""COMPUTED_VALUE"""),"No")</f>
        <v>No</v>
      </c>
      <c r="I1103" s="185" t="str">
        <f>IFERROR(__xludf.DUMMYFUNCTION("""COMPUTED_VALUE"""),"Medium")</f>
        <v>Medium</v>
      </c>
      <c r="J1103" s="185" t="str">
        <f>IFERROR(__xludf.DUMMYFUNCTION("""COMPUTED_VALUE"""),"Yes")</f>
        <v>Yes</v>
      </c>
      <c r="K1103" s="185"/>
      <c r="L1103" s="187">
        <f>IFERROR(__xludf.DUMMYFUNCTION("""COMPUTED_VALUE"""),2.0)</f>
        <v>2</v>
      </c>
      <c r="M1103" s="188">
        <f>IFERROR(__xludf.DUMMYFUNCTION("""COMPUTED_VALUE"""),0.0)</f>
        <v>0</v>
      </c>
      <c r="N1103" s="188">
        <f>IFERROR(__xludf.DUMMYFUNCTION("""COMPUTED_VALUE"""),0.0)</f>
        <v>0</v>
      </c>
      <c r="O1103" s="208"/>
      <c r="P1103" s="208"/>
      <c r="Q1103" s="208"/>
      <c r="R1103" s="208"/>
    </row>
    <row r="1104">
      <c r="A1104" s="185" t="str">
        <f>IFERROR(__xludf.DUMMYFUNCTION("""COMPUTED_VALUE"""),"Agency directory / review marketplace")</f>
        <v>Agency directory / review marketplace</v>
      </c>
      <c r="B1104" s="186" t="str">
        <f>IFERROR(__xludf.DUMMYFUNCTION("""COMPUTED_VALUE"""),"https://www.sortlist.de/s/ai-marketing/hamburg-de")</f>
        <v>https://www.sortlist.de/s/ai-marketing/hamburg-de</v>
      </c>
      <c r="C1104" s="185" t="str">
        <f>IFERROR(__xludf.DUMMYFUNCTION("""COMPUTED_VALUE"""),"Unsere 10 Besten AI Marketing Agenturen in Hamburg - 2026 Bewertungen")</f>
        <v>Unsere 10 Besten AI Marketing Agenturen in Hamburg - 2026 Bewertungen</v>
      </c>
      <c r="D1104" s="185" t="str">
        <f>IFERROR(__xludf.DUMMYFUNCTION("""COMPUTED_VALUE"""),"DE")</f>
        <v>DE</v>
      </c>
      <c r="E1104" s="185" t="str">
        <f>IFERROR(__xludf.DUMMYFUNCTION("""COMPUTED_VALUE"""),"sortlist.de")</f>
        <v>sortlist.de</v>
      </c>
      <c r="F1104" s="185" t="str">
        <f>IFERROR(__xludf.DUMMYFUNCTION("""COMPUTED_VALUE"""),"Profile")</f>
        <v>Profile</v>
      </c>
      <c r="G1104" s="185" t="str">
        <f>IFERROR(__xludf.DUMMYFUNCTION("""COMPUTED_VALUE"""),"CORPORATE")</f>
        <v>CORPORATE</v>
      </c>
      <c r="H1104" s="185" t="str">
        <f>IFERROR(__xludf.DUMMYFUNCTION("""COMPUTED_VALUE"""),"No")</f>
        <v>No</v>
      </c>
      <c r="I1104" s="185" t="str">
        <f>IFERROR(__xludf.DUMMYFUNCTION("""COMPUTED_VALUE"""),"Medium")</f>
        <v>Medium</v>
      </c>
      <c r="J1104" s="185" t="str">
        <f>IFERROR(__xludf.DUMMYFUNCTION("""COMPUTED_VALUE"""),"Yes")</f>
        <v>Yes</v>
      </c>
      <c r="K1104" s="185" t="str">
        <f>IFERROR(__xludf.DUMMYFUNCTION("""COMPUTED_VALUE"""),"Pilot")</f>
        <v>Pilot</v>
      </c>
      <c r="L1104" s="187">
        <f>IFERROR(__xludf.DUMMYFUNCTION("""COMPUTED_VALUE"""),2.0)</f>
        <v>2</v>
      </c>
      <c r="M1104" s="188">
        <f>IFERROR(__xludf.DUMMYFUNCTION("""COMPUTED_VALUE"""),0.0)</f>
        <v>0</v>
      </c>
      <c r="N1104" s="188">
        <f>IFERROR(__xludf.DUMMYFUNCTION("""COMPUTED_VALUE"""),0.0)</f>
        <v>0</v>
      </c>
      <c r="O1104" s="208"/>
      <c r="P1104" s="208"/>
      <c r="Q1104" s="208"/>
      <c r="R1104" s="208"/>
    </row>
    <row r="1105">
      <c r="A1105" s="185" t="str">
        <f>IFERROR(__xludf.DUMMYFUNCTION("""COMPUTED_VALUE"""),"Agency directory / review marketplace")</f>
        <v>Agency directory / review marketplace</v>
      </c>
      <c r="B1105" s="186" t="str">
        <f>IFERROR(__xludf.DUMMYFUNCTION("""COMPUTED_VALUE"""),"https://www.sortlist.de/s/display-werbung/duesseldorf-de")</f>
        <v>https://www.sortlist.de/s/display-werbung/duesseldorf-de</v>
      </c>
      <c r="C1105" s="185" t="str">
        <f>IFERROR(__xludf.DUMMYFUNCTION("""COMPUTED_VALUE"""),"Unsere 10 Besten Display Anzeigen Agenturen in Düsseldorf - 2026 Bewertungen")</f>
        <v>Unsere 10 Besten Display Anzeigen Agenturen in Düsseldorf - 2026 Bewertungen</v>
      </c>
      <c r="D1105" s="185" t="str">
        <f>IFERROR(__xludf.DUMMYFUNCTION("""COMPUTED_VALUE"""),"DE")</f>
        <v>DE</v>
      </c>
      <c r="E1105" s="185" t="str">
        <f>IFERROR(__xludf.DUMMYFUNCTION("""COMPUTED_VALUE"""),"sortlist.de")</f>
        <v>sortlist.de</v>
      </c>
      <c r="F1105" s="185" t="str">
        <f>IFERROR(__xludf.DUMMYFUNCTION("""COMPUTED_VALUE"""),"Category Page")</f>
        <v>Category Page</v>
      </c>
      <c r="G1105" s="185" t="str">
        <f>IFERROR(__xludf.DUMMYFUNCTION("""COMPUTED_VALUE"""),"CORPORATE")</f>
        <v>CORPORATE</v>
      </c>
      <c r="H1105" s="185" t="str">
        <f>IFERROR(__xludf.DUMMYFUNCTION("""COMPUTED_VALUE"""),"No")</f>
        <v>No</v>
      </c>
      <c r="I1105" s="185" t="str">
        <f>IFERROR(__xludf.DUMMYFUNCTION("""COMPUTED_VALUE"""),"Medium")</f>
        <v>Medium</v>
      </c>
      <c r="J1105" s="185" t="str">
        <f>IFERROR(__xludf.DUMMYFUNCTION("""COMPUTED_VALUE"""),"Yes")</f>
        <v>Yes</v>
      </c>
      <c r="K1105" s="185" t="str">
        <f>IFERROR(__xludf.DUMMYFUNCTION("""COMPUTED_VALUE"""),"MONSOON, Triple Whale, Northbeam, Dreamdata, Mediacharge")</f>
        <v>MONSOON, Triple Whale, Northbeam, Dreamdata, Mediacharge</v>
      </c>
      <c r="L1105" s="187">
        <f>IFERROR(__xludf.DUMMYFUNCTION("""COMPUTED_VALUE"""),2.0)</f>
        <v>2</v>
      </c>
      <c r="M1105" s="188">
        <f>IFERROR(__xludf.DUMMYFUNCTION("""COMPUTED_VALUE"""),0.0)</f>
        <v>0</v>
      </c>
      <c r="N1105" s="188">
        <f>IFERROR(__xludf.DUMMYFUNCTION("""COMPUTED_VALUE"""),0.0)</f>
        <v>0</v>
      </c>
      <c r="O1105" s="208"/>
      <c r="P1105" s="208"/>
      <c r="Q1105" s="208"/>
      <c r="R1105" s="208"/>
    </row>
    <row r="1106">
      <c r="A1106" s="185" t="str">
        <f>IFERROR(__xludf.DUMMYFUNCTION("""COMPUTED_VALUE"""),"Lower-priority competitor/vendor roundup")</f>
        <v>Lower-priority competitor/vendor roundup</v>
      </c>
      <c r="B1106" s="186" t="str">
        <f>IFERROR(__xludf.DUMMYFUNCTION("""COMPUTED_VALUE"""),"https://www.thegrowthsyndicate.com/agencies/best-digital-marketing-agencies-europe")</f>
        <v>https://www.thegrowthsyndicate.com/agencies/best-digital-marketing-agencies-europe</v>
      </c>
      <c r="C1106" s="185" t="str">
        <f>IFERROR(__xludf.DUMMYFUNCTION("""COMPUTED_VALUE"""),"The 11 Best B2B Digital Marketing Agencies in Europe")</f>
        <v>The 11 Best B2B Digital Marketing Agencies in Europe</v>
      </c>
      <c r="D1106" s="185" t="str">
        <f>IFERROR(__xludf.DUMMYFUNCTION("""COMPUTED_VALUE"""),"DE")</f>
        <v>DE</v>
      </c>
      <c r="E1106" s="185" t="str">
        <f>IFERROR(__xludf.DUMMYFUNCTION("""COMPUTED_VALUE"""),"thegrowthsyndicate.com")</f>
        <v>thegrowthsyndicate.com</v>
      </c>
      <c r="F1106" s="185" t="str">
        <f>IFERROR(__xludf.DUMMYFUNCTION("""COMPUTED_VALUE"""),"Listicle")</f>
        <v>Listicle</v>
      </c>
      <c r="G1106" s="185" t="str">
        <f>IFERROR(__xludf.DUMMYFUNCTION("""COMPUTED_VALUE"""),"CORPORATE")</f>
        <v>CORPORATE</v>
      </c>
      <c r="H1106" s="185" t="str">
        <f>IFERROR(__xludf.DUMMYFUNCTION("""COMPUTED_VALUE"""),"No")</f>
        <v>No</v>
      </c>
      <c r="I1106" s="185" t="str">
        <f>IFERROR(__xludf.DUMMYFUNCTION("""COMPUTED_VALUE"""),"Low")</f>
        <v>Low</v>
      </c>
      <c r="J1106" s="185" t="str">
        <f>IFERROR(__xludf.DUMMYFUNCTION("""COMPUTED_VALUE"""),"Secondary")</f>
        <v>Secondary</v>
      </c>
      <c r="K1106" s="185" t="str">
        <f>IFERROR(__xludf.DUMMYFUNCTION("""COMPUTED_VALUE"""),"DEPT, Artefact, Jellyfish, Measured, Brandtech, WPP, Mindshare, Phiture, Publicis Groupe, Omnicom, Dentsu")</f>
        <v>DEPT, Artefact, Jellyfish, Measured, Brandtech, WPP, Mindshare, Phiture, Publicis Groupe, Omnicom, Dentsu</v>
      </c>
      <c r="L1106" s="187">
        <f>IFERROR(__xludf.DUMMYFUNCTION("""COMPUTED_VALUE"""),2.0)</f>
        <v>2</v>
      </c>
      <c r="M1106" s="188">
        <f>IFERROR(__xludf.DUMMYFUNCTION("""COMPUTED_VALUE"""),0.0)</f>
        <v>0</v>
      </c>
      <c r="N1106" s="188">
        <f>IFERROR(__xludf.DUMMYFUNCTION("""COMPUTED_VALUE"""),0.5)</f>
        <v>0.5</v>
      </c>
      <c r="O1106" s="208"/>
      <c r="P1106" s="208"/>
      <c r="Q1106" s="208"/>
      <c r="R1106" s="208"/>
    </row>
    <row r="1107">
      <c r="A1107" s="185" t="str">
        <f>IFERROR(__xludf.DUMMYFUNCTION("""COMPUTED_VALUE"""),"Agency directory / review marketplace")</f>
        <v>Agency directory / review marketplace</v>
      </c>
      <c r="B1107" s="186" t="str">
        <f>IFERROR(__xludf.DUMMYFUNCTION("""COMPUTED_VALUE"""),"https://themanifest.com/de/big-data/companies#:~:text=e%2Ddynamics%20GmbH")</f>
        <v>https://themanifest.com/de/big-data/companies#:~:text=e%2Ddynamics%20GmbH</v>
      </c>
      <c r="C1107" s="185" t="str">
        <f>IFERROR(__xludf.DUMMYFUNCTION("""COMPUTED_VALUE"""),"The Best BI and Big Data Companies in Germany - Jul 2026 | The Manifest")</f>
        <v>The Best BI and Big Data Companies in Germany - Jul 2026 | The Manifest</v>
      </c>
      <c r="D1107" s="185" t="str">
        <f>IFERROR(__xludf.DUMMYFUNCTION("""COMPUTED_VALUE"""),"DE")</f>
        <v>DE</v>
      </c>
      <c r="E1107" s="185" t="str">
        <f>IFERROR(__xludf.DUMMYFUNCTION("""COMPUTED_VALUE"""),"themanifest.com")</f>
        <v>themanifest.com</v>
      </c>
      <c r="F1107" s="185" t="str">
        <f>IFERROR(__xludf.DUMMYFUNCTION("""COMPUTED_VALUE"""),"Other")</f>
        <v>Other</v>
      </c>
      <c r="G1107" s="185" t="str">
        <f>IFERROR(__xludf.DUMMYFUNCTION("""COMPUTED_VALUE"""),"OTHER")</f>
        <v>OTHER</v>
      </c>
      <c r="H1107" s="185" t="str">
        <f>IFERROR(__xludf.DUMMYFUNCTION("""COMPUTED_VALUE"""),"No")</f>
        <v>No</v>
      </c>
      <c r="I1107" s="185" t="str">
        <f>IFERROR(__xludf.DUMMYFUNCTION("""COMPUTED_VALUE"""),"Medium")</f>
        <v>Medium</v>
      </c>
      <c r="J1107" s="185" t="str">
        <f>IFERROR(__xludf.DUMMYFUNCTION("""COMPUTED_VALUE"""),"Yes")</f>
        <v>Yes</v>
      </c>
      <c r="K1107" s="185" t="str">
        <f>IFERROR(__xludf.DUMMYFUNCTION("""COMPUTED_VALUE"""),"Unknown")</f>
        <v>Unknown</v>
      </c>
      <c r="L1107" s="187">
        <f>IFERROR(__xludf.DUMMYFUNCTION("""COMPUTED_VALUE"""),2.0)</f>
        <v>2</v>
      </c>
      <c r="M1107" s="188">
        <f>IFERROR(__xludf.DUMMYFUNCTION("""COMPUTED_VALUE"""),0.0)</f>
        <v>0</v>
      </c>
      <c r="N1107" s="188">
        <f>IFERROR(__xludf.DUMMYFUNCTION("""COMPUTED_VALUE"""),1.0)</f>
        <v>1</v>
      </c>
      <c r="O1107" s="208"/>
      <c r="P1107" s="208"/>
      <c r="Q1107" s="208"/>
      <c r="R1107" s="208"/>
    </row>
    <row r="1108">
      <c r="A1108" s="185" t="str">
        <f>IFERROR(__xludf.DUMMYFUNCTION("""COMPUTED_VALUE"""),"Agency directory / review marketplace")</f>
        <v>Agency directory / review marketplace</v>
      </c>
      <c r="B1108" s="186" t="str">
        <f>IFERROR(__xludf.DUMMYFUNCTION("""COMPUTED_VALUE"""),"https://themanifest.com/de/media-buying/agencies")</f>
        <v>https://themanifest.com/de/media-buying/agencies</v>
      </c>
      <c r="C1108" s="185" t="str">
        <f>IFERROR(__xludf.DUMMYFUNCTION("""COMPUTED_VALUE"""),"The Best Media Planning and Buying Companies in Germany - Jun 2026 \| The Manifest")</f>
        <v>The Best Media Planning and Buying Companies in Germany - Jun 2026 \| The Manifest</v>
      </c>
      <c r="D1108" s="185" t="str">
        <f>IFERROR(__xludf.DUMMYFUNCTION("""COMPUTED_VALUE"""),"DE")</f>
        <v>DE</v>
      </c>
      <c r="E1108" s="185" t="str">
        <f>IFERROR(__xludf.DUMMYFUNCTION("""COMPUTED_VALUE"""),"themanifest.com")</f>
        <v>themanifest.com</v>
      </c>
      <c r="F1108" s="185" t="str">
        <f>IFERROR(__xludf.DUMMYFUNCTION("""COMPUTED_VALUE"""),"Other")</f>
        <v>Other</v>
      </c>
      <c r="G1108" s="185" t="str">
        <f>IFERROR(__xludf.DUMMYFUNCTION("""COMPUTED_VALUE"""),"REFERENCE")</f>
        <v>REFERENCE</v>
      </c>
      <c r="H1108" s="185" t="str">
        <f>IFERROR(__xludf.DUMMYFUNCTION("""COMPUTED_VALUE"""),"No")</f>
        <v>No</v>
      </c>
      <c r="I1108" s="185" t="str">
        <f>IFERROR(__xludf.DUMMYFUNCTION("""COMPUTED_VALUE"""),"Medium")</f>
        <v>Medium</v>
      </c>
      <c r="J1108" s="185" t="str">
        <f>IFERROR(__xludf.DUMMYFUNCTION("""COMPUTED_VALUE"""),"Yes")</f>
        <v>Yes</v>
      </c>
      <c r="K1108" s="185" t="str">
        <f>IFERROR(__xludf.DUMMYFUNCTION("""COMPUTED_VALUE"""),"Phiture, REPLUG, GroupM")</f>
        <v>Phiture, REPLUG, GroupM</v>
      </c>
      <c r="L1108" s="187">
        <f>IFERROR(__xludf.DUMMYFUNCTION("""COMPUTED_VALUE"""),2.0)</f>
        <v>2</v>
      </c>
      <c r="M1108" s="188">
        <f>IFERROR(__xludf.DUMMYFUNCTION("""COMPUTED_VALUE"""),0.0)</f>
        <v>0</v>
      </c>
      <c r="N1108" s="188">
        <f>IFERROR(__xludf.DUMMYFUNCTION("""COMPUTED_VALUE"""),1.0)</f>
        <v>1</v>
      </c>
      <c r="O1108" s="208"/>
      <c r="P1108" s="208"/>
      <c r="Q1108" s="208"/>
      <c r="R1108" s="208"/>
    </row>
    <row r="1109">
      <c r="A1109" s="185" t="str">
        <f>IFERROR(__xludf.DUMMYFUNCTION("""COMPUTED_VALUE"""),"Lower-priority competitor/vendor roundup")</f>
        <v>Lower-priority competitor/vendor roundup</v>
      </c>
      <c r="B1109" s="186" t="str">
        <f>IFERROR(__xludf.DUMMYFUNCTION("""COMPUTED_VALUE"""),"https://www.webtonic.io/blog/best-performance-marketing-agencies#:~:text=About%3A%20Hawke%20Media%20pioneered%20the,email%20marketing%2C%20and%20conversion%20optimization.")</f>
        <v>https://www.webtonic.io/blog/best-performance-marketing-agencies#:~:text=About%3A%20Hawke%20Media%20pioneered%20the,email%20marketing%2C%20and%20conversion%20optimization.</v>
      </c>
      <c r="C1109" s="185" t="str">
        <f>IFERROR(__xludf.DUMMYFUNCTION("""COMPUTED_VALUE"""),"The 26 Best Performance Marketing Agencies for 2026")</f>
        <v>The 26 Best Performance Marketing Agencies for 2026</v>
      </c>
      <c r="D1109" s="185" t="str">
        <f>IFERROR(__xludf.DUMMYFUNCTION("""COMPUTED_VALUE"""),"DE")</f>
        <v>DE</v>
      </c>
      <c r="E1109" s="185" t="str">
        <f>IFERROR(__xludf.DUMMYFUNCTION("""COMPUTED_VALUE"""),"webtonic.io")</f>
        <v>webtonic.io</v>
      </c>
      <c r="F1109" s="185" t="str">
        <f>IFERROR(__xludf.DUMMYFUNCTION("""COMPUTED_VALUE"""),"Listicle")</f>
        <v>Listicle</v>
      </c>
      <c r="G1109" s="185" t="str">
        <f>IFERROR(__xludf.DUMMYFUNCTION("""COMPUTED_VALUE"""),"CORPORATE")</f>
        <v>CORPORATE</v>
      </c>
      <c r="H1109" s="185" t="str">
        <f>IFERROR(__xludf.DUMMYFUNCTION("""COMPUTED_VALUE"""),"Yes")</f>
        <v>Yes</v>
      </c>
      <c r="I1109" s="185" t="str">
        <f>IFERROR(__xludf.DUMMYFUNCTION("""COMPUTED_VALUE"""),"Low")</f>
        <v>Low</v>
      </c>
      <c r="J1109" s="185" t="str">
        <f>IFERROR(__xludf.DUMMYFUNCTION("""COMPUTED_VALUE"""),"Secondary")</f>
        <v>Secondary</v>
      </c>
      <c r="K1109" s="185" t="str">
        <f>IFERROR(__xludf.DUMMYFUNCTION("""COMPUTED_VALUE"""),"Tinuiti, Hawke Media, NoGood, Disruptive Advertising, Power Digital, Wpromote, Directive Consulting, SmartSites, KlientBoost, Single Grain, Jellyfish, Incubeta")</f>
        <v>Tinuiti, Hawke Media, NoGood, Disruptive Advertising, Power Digital, Wpromote, Directive Consulting, SmartSites, KlientBoost, Single Grain, Jellyfish, Incubeta</v>
      </c>
      <c r="L1109" s="187">
        <f>IFERROR(__xludf.DUMMYFUNCTION("""COMPUTED_VALUE"""),2.0)</f>
        <v>2</v>
      </c>
      <c r="M1109" s="188">
        <f>IFERROR(__xludf.DUMMYFUNCTION("""COMPUTED_VALUE"""),0.0)</f>
        <v>0</v>
      </c>
      <c r="N1109" s="188">
        <f>IFERROR(__xludf.DUMMYFUNCTION("""COMPUTED_VALUE"""),1.0)</f>
        <v>1</v>
      </c>
      <c r="O1109" s="208"/>
      <c r="P1109" s="208"/>
      <c r="Q1109" s="208"/>
      <c r="R1109" s="208"/>
    </row>
    <row r="1110">
      <c r="A1110" s="185" t="str">
        <f>IFERROR(__xludf.DUMMYFUNCTION("""COMPUTED_VALUE"""),"Lower-priority competitor/vendor roundup")</f>
        <v>Lower-priority competitor/vendor roundup</v>
      </c>
      <c r="B1110" s="186" t="str">
        <f>IFERROR(__xludf.DUMMYFUNCTION("""COMPUTED_VALUE"""),"https://www.webtonic.io/blog/top-creative-performance-agencies")</f>
        <v>https://www.webtonic.io/blog/top-creative-performance-agencies</v>
      </c>
      <c r="C1110" s="185" t="str">
        <f>IFERROR(__xludf.DUMMYFUNCTION("""COMPUTED_VALUE"""),"37 Top Creative Performance Agencies for 2026")</f>
        <v>37 Top Creative Performance Agencies for 2026</v>
      </c>
      <c r="D1110" s="185" t="str">
        <f>IFERROR(__xludf.DUMMYFUNCTION("""COMPUTED_VALUE"""),"DE")</f>
        <v>DE</v>
      </c>
      <c r="E1110" s="185" t="str">
        <f>IFERROR(__xludf.DUMMYFUNCTION("""COMPUTED_VALUE"""),"webtonic.io")</f>
        <v>webtonic.io</v>
      </c>
      <c r="F1110" s="185" t="str">
        <f>IFERROR(__xludf.DUMMYFUNCTION("""COMPUTED_VALUE"""),"Listicle")</f>
        <v>Listicle</v>
      </c>
      <c r="G1110" s="185" t="str">
        <f>IFERROR(__xludf.DUMMYFUNCTION("""COMPUTED_VALUE"""),"CORPORATE")</f>
        <v>CORPORATE</v>
      </c>
      <c r="H1110" s="185" t="str">
        <f>IFERROR(__xludf.DUMMYFUNCTION("""COMPUTED_VALUE"""),"No")</f>
        <v>No</v>
      </c>
      <c r="I1110" s="185" t="str">
        <f>IFERROR(__xludf.DUMMYFUNCTION("""COMPUTED_VALUE"""),"Low")</f>
        <v>Low</v>
      </c>
      <c r="J1110" s="185" t="str">
        <f>IFERROR(__xludf.DUMMYFUNCTION("""COMPUTED_VALUE"""),"Secondary")</f>
        <v>Secondary</v>
      </c>
      <c r="K1110" s="185" t="str">
        <f>IFERROR(__xludf.DUMMYFUNCTION("""COMPUTED_VALUE"""),"Tinuiti, Wpromote, WPP, Hawke Media, AKQA, R/GA, Accenture Song, Superside")</f>
        <v>Tinuiti, Wpromote, WPP, Hawke Media, AKQA, R/GA, Accenture Song, Superside</v>
      </c>
      <c r="L1110" s="187">
        <f>IFERROR(__xludf.DUMMYFUNCTION("""COMPUTED_VALUE"""),2.0)</f>
        <v>2</v>
      </c>
      <c r="M1110" s="188">
        <f>IFERROR(__xludf.DUMMYFUNCTION("""COMPUTED_VALUE"""),0.0)</f>
        <v>0</v>
      </c>
      <c r="N1110" s="188">
        <f>IFERROR(__xludf.DUMMYFUNCTION("""COMPUTED_VALUE"""),1.0)</f>
        <v>1</v>
      </c>
      <c r="O1110" s="208"/>
      <c r="P1110" s="208"/>
      <c r="Q1110" s="208"/>
      <c r="R1110" s="208"/>
    </row>
    <row r="1111">
      <c r="A1111" s="185" t="str">
        <f>IFERROR(__xludf.DUMMYFUNCTION("""COMPUTED_VALUE"""),"Official partner / certification ecosystem")</f>
        <v>Official partner / certification ecosystem</v>
      </c>
      <c r="B1111" s="186" t="str">
        <f>IFERROR(__xludf.DUMMYFUNCTION("""COMPUTED_VALUE"""),"https://ads.google.com/intl/us-EN/home/partners/work-with-a-partner/")</f>
        <v>https://ads.google.com/intl/us-EN/home/partners/work-with-a-partner/</v>
      </c>
      <c r="C1111" s="185"/>
      <c r="D1111" s="185" t="str">
        <f>IFERROR(__xludf.DUMMYFUNCTION("""COMPUTED_VALUE"""),"DE")</f>
        <v>DE</v>
      </c>
      <c r="E1111" s="185" t="str">
        <f>IFERROR(__xludf.DUMMYFUNCTION("""COMPUTED_VALUE"""),"google.com")</f>
        <v>google.com</v>
      </c>
      <c r="F1111" s="185" t="str">
        <f>IFERROR(__xludf.DUMMYFUNCTION("""COMPUTED_VALUE"""),"Other")</f>
        <v>Other</v>
      </c>
      <c r="G1111" s="185" t="str">
        <f>IFERROR(__xludf.DUMMYFUNCTION("""COMPUTED_VALUE"""),"OTHER")</f>
        <v>OTHER</v>
      </c>
      <c r="H1111" s="185" t="str">
        <f>IFERROR(__xludf.DUMMYFUNCTION("""COMPUTED_VALUE"""),"No")</f>
        <v>No</v>
      </c>
      <c r="I1111" s="185" t="str">
        <f>IFERROR(__xludf.DUMMYFUNCTION("""COMPUTED_VALUE"""),"High")</f>
        <v>High</v>
      </c>
      <c r="J1111" s="185" t="str">
        <f>IFERROR(__xludf.DUMMYFUNCTION("""COMPUTED_VALUE"""),"Yes - priority")</f>
        <v>Yes - priority</v>
      </c>
      <c r="K1111" s="185" t="str">
        <f>IFERROR(__xludf.DUMMYFUNCTION("""COMPUTED_VALUE"""),"Unknown")</f>
        <v>Unknown</v>
      </c>
      <c r="L1111" s="187">
        <f>IFERROR(__xludf.DUMMYFUNCTION("""COMPUTED_VALUE"""),1.0)</f>
        <v>1</v>
      </c>
      <c r="M1111" s="188">
        <f>IFERROR(__xludf.DUMMYFUNCTION("""COMPUTED_VALUE"""),0.0)</f>
        <v>0</v>
      </c>
      <c r="N1111" s="188">
        <f>IFERROR(__xludf.DUMMYFUNCTION("""COMPUTED_VALUE"""),0.0)</f>
        <v>0</v>
      </c>
      <c r="O1111" s="208"/>
      <c r="P1111" s="208"/>
      <c r="Q1111" s="208"/>
      <c r="R1111" s="208"/>
    </row>
    <row r="1112">
      <c r="A1112" s="185" t="str">
        <f>IFERROR(__xludf.DUMMYFUNCTION("""COMPUTED_VALUE"""),"Industry data / software authority")</f>
        <v>Industry data / software authority</v>
      </c>
      <c r="B1112" s="186" t="str">
        <f>IFERROR(__xludf.DUMMYFUNCTION("""COMPUTED_VALUE"""),"https://agencies.semrush.com/baseplus-digital-media-gmbh/")</f>
        <v>https://agencies.semrush.com/baseplus-digital-media-gmbh/</v>
      </c>
      <c r="C1112" s="185" t="str">
        <f>IFERROR(__xludf.DUMMYFUNCTION("""COMPUTED_VALUE"""),"baseplus® | Semrush Agency Partner")</f>
        <v>baseplus® | Semrush Agency Partner</v>
      </c>
      <c r="D1112" s="185" t="str">
        <f>IFERROR(__xludf.DUMMYFUNCTION("""COMPUTED_VALUE"""),"DE")</f>
        <v>DE</v>
      </c>
      <c r="E1112" s="185" t="str">
        <f>IFERROR(__xludf.DUMMYFUNCTION("""COMPUTED_VALUE"""),"semrush.com")</f>
        <v>semrush.com</v>
      </c>
      <c r="F1112" s="185" t="str">
        <f>IFERROR(__xludf.DUMMYFUNCTION("""COMPUTED_VALUE"""),"Profile")</f>
        <v>Profile</v>
      </c>
      <c r="G1112" s="185" t="str">
        <f>IFERROR(__xludf.DUMMYFUNCTION("""COMPUTED_VALUE"""),"CORPORATE")</f>
        <v>CORPORATE</v>
      </c>
      <c r="H1112" s="185" t="str">
        <f>IFERROR(__xludf.DUMMYFUNCTION("""COMPUTED_VALUE"""),"No")</f>
        <v>No</v>
      </c>
      <c r="I1112" s="185" t="str">
        <f>IFERROR(__xludf.DUMMYFUNCTION("""COMPUTED_VALUE"""),"Medium")</f>
        <v>Medium</v>
      </c>
      <c r="J1112" s="185" t="str">
        <f>IFERROR(__xludf.DUMMYFUNCTION("""COMPUTED_VALUE"""),"Yes")</f>
        <v>Yes</v>
      </c>
      <c r="K1112" s="185" t="str">
        <f>IFERROR(__xludf.DUMMYFUNCTION("""COMPUTED_VALUE"""),"Baseplus DIGITAL MEDIA GmbH")</f>
        <v>Baseplus DIGITAL MEDIA GmbH</v>
      </c>
      <c r="L1112" s="187">
        <f>IFERROR(__xludf.DUMMYFUNCTION("""COMPUTED_VALUE"""),1.0)</f>
        <v>1</v>
      </c>
      <c r="M1112" s="188">
        <f>IFERROR(__xludf.DUMMYFUNCTION("""COMPUTED_VALUE"""),0.0)</f>
        <v>0</v>
      </c>
      <c r="N1112" s="188">
        <f>IFERROR(__xludf.DUMMYFUNCTION("""COMPUTED_VALUE"""),0.0)</f>
        <v>0</v>
      </c>
      <c r="O1112" s="208"/>
      <c r="P1112" s="208"/>
      <c r="Q1112" s="208"/>
      <c r="R1112" s="208"/>
    </row>
    <row r="1113">
      <c r="A1113" s="185" t="str">
        <f>IFERROR(__xludf.DUMMYFUNCTION("""COMPUTED_VALUE"""),"Industry data / software authority")</f>
        <v>Industry data / software authority</v>
      </c>
      <c r="B1113" s="186" t="str">
        <f>IFERROR(__xludf.DUMMYFUNCTION("""COMPUTED_VALUE"""),"https://agencies.semrush.com/de/hecht-ins-gefecht/")</f>
        <v>https://agencies.semrush.com/de/hecht-ins-gefecht/</v>
      </c>
      <c r="C1113" s="185" t="str">
        <f>IFERROR(__xludf.DUMMYFUNCTION("""COMPUTED_VALUE"""),"HECHT INS GEFECHT | Semrush-Agenturpartner")</f>
        <v>HECHT INS GEFECHT | Semrush-Agenturpartner</v>
      </c>
      <c r="D1113" s="185" t="str">
        <f>IFERROR(__xludf.DUMMYFUNCTION("""COMPUTED_VALUE"""),"DE")</f>
        <v>DE</v>
      </c>
      <c r="E1113" s="185" t="str">
        <f>IFERROR(__xludf.DUMMYFUNCTION("""COMPUTED_VALUE"""),"semrush.com")</f>
        <v>semrush.com</v>
      </c>
      <c r="F1113" s="185" t="str">
        <f>IFERROR(__xludf.DUMMYFUNCTION("""COMPUTED_VALUE"""),"Profile")</f>
        <v>Profile</v>
      </c>
      <c r="G1113" s="185" t="str">
        <f>IFERROR(__xludf.DUMMYFUNCTION("""COMPUTED_VALUE"""),"CORPORATE")</f>
        <v>CORPORATE</v>
      </c>
      <c r="H1113" s="185" t="str">
        <f>IFERROR(__xludf.DUMMYFUNCTION("""COMPUTED_VALUE"""),"No")</f>
        <v>No</v>
      </c>
      <c r="I1113" s="185" t="str">
        <f>IFERROR(__xludf.DUMMYFUNCTION("""COMPUTED_VALUE"""),"Medium")</f>
        <v>Medium</v>
      </c>
      <c r="J1113" s="185" t="str">
        <f>IFERROR(__xludf.DUMMYFUNCTION("""COMPUTED_VALUE"""),"Yes")</f>
        <v>Yes</v>
      </c>
      <c r="K1113" s="185" t="str">
        <f>IFERROR(__xludf.DUMMYFUNCTION("""COMPUTED_VALUE"""),"HECHT INS GEFECHT")</f>
        <v>HECHT INS GEFECHT</v>
      </c>
      <c r="L1113" s="187">
        <f>IFERROR(__xludf.DUMMYFUNCTION("""COMPUTED_VALUE"""),1.0)</f>
        <v>1</v>
      </c>
      <c r="M1113" s="188">
        <f>IFERROR(__xludf.DUMMYFUNCTION("""COMPUTED_VALUE"""),0.0)</f>
        <v>0</v>
      </c>
      <c r="N1113" s="188">
        <f>IFERROR(__xludf.DUMMYFUNCTION("""COMPUTED_VALUE"""),0.0)</f>
        <v>0</v>
      </c>
      <c r="O1113" s="208"/>
      <c r="P1113" s="208"/>
      <c r="Q1113" s="208"/>
      <c r="R1113" s="208"/>
    </row>
    <row r="1114">
      <c r="A1114" s="185" t="str">
        <f>IFERROR(__xludf.DUMMYFUNCTION("""COMPUTED_VALUE"""),"Industry data / software authority")</f>
        <v>Industry data / software authority</v>
      </c>
      <c r="B1114" s="186" t="str">
        <f>IFERROR(__xludf.DUMMYFUNCTION("""COMPUTED_VALUE"""),"https://agencies.semrush.com/de/list/ai-optimization/germany/")</f>
        <v>https://agencies.semrush.com/de/list/ai-optimization/germany/</v>
      </c>
      <c r="C1114" s="185" t="str">
        <f>IFERROR(__xludf.DUMMYFUNCTION("""COMPUTED_VALUE"""),"Beste Optimierung für die KI-Suche-Agenturen für , Germany 2026 | Semrush")</f>
        <v>Beste Optimierung für die KI-Suche-Agenturen für , Germany 2026 | Semrush</v>
      </c>
      <c r="D1114" s="185" t="str">
        <f>IFERROR(__xludf.DUMMYFUNCTION("""COMPUTED_VALUE"""),"DE")</f>
        <v>DE</v>
      </c>
      <c r="E1114" s="185" t="str">
        <f>IFERROR(__xludf.DUMMYFUNCTION("""COMPUTED_VALUE"""),"semrush.com")</f>
        <v>semrush.com</v>
      </c>
      <c r="F1114" s="185" t="str">
        <f>IFERROR(__xludf.DUMMYFUNCTION("""COMPUTED_VALUE"""),"Category Page")</f>
        <v>Category Page</v>
      </c>
      <c r="G1114" s="185" t="str">
        <f>IFERROR(__xludf.DUMMYFUNCTION("""COMPUTED_VALUE"""),"CORPORATE")</f>
        <v>CORPORATE</v>
      </c>
      <c r="H1114" s="185" t="str">
        <f>IFERROR(__xludf.DUMMYFUNCTION("""COMPUTED_VALUE"""),"No")</f>
        <v>No</v>
      </c>
      <c r="I1114" s="185" t="str">
        <f>IFERROR(__xludf.DUMMYFUNCTION("""COMPUTED_VALUE"""),"Medium")</f>
        <v>Medium</v>
      </c>
      <c r="J1114" s="185" t="str">
        <f>IFERROR(__xludf.DUMMYFUNCTION("""COMPUTED_VALUE"""),"Yes")</f>
        <v>Yes</v>
      </c>
      <c r="K1114" s="185" t="str">
        <f>IFERROR(__xludf.DUMMYFUNCTION("""COMPUTED_VALUE"""),"HECHT INS GEFECHT, morefire, Mediaplus Performance")</f>
        <v>HECHT INS GEFECHT, morefire, Mediaplus Performance</v>
      </c>
      <c r="L1114" s="187">
        <f>IFERROR(__xludf.DUMMYFUNCTION("""COMPUTED_VALUE"""),1.0)</f>
        <v>1</v>
      </c>
      <c r="M1114" s="188">
        <f>IFERROR(__xludf.DUMMYFUNCTION("""COMPUTED_VALUE"""),0.0)</f>
        <v>0</v>
      </c>
      <c r="N1114" s="188">
        <f>IFERROR(__xludf.DUMMYFUNCTION("""COMPUTED_VALUE"""),0.0)</f>
        <v>0</v>
      </c>
      <c r="O1114" s="208"/>
      <c r="P1114" s="208"/>
      <c r="Q1114" s="208"/>
      <c r="R1114" s="208"/>
    </row>
    <row r="1115">
      <c r="A1115" s="185" t="str">
        <f>IFERROR(__xludf.DUMMYFUNCTION("""COMPUTED_VALUE"""),"Industry data / software authority")</f>
        <v>Industry data / software authority</v>
      </c>
      <c r="B1115" s="186" t="str">
        <f>IFERROR(__xludf.DUMMYFUNCTION("""COMPUTED_VALUE"""),"https://agencies.semrush.com/list/ai-optimization/wuppertal/")</f>
        <v>https://agencies.semrush.com/list/ai-optimization/wuppertal/</v>
      </c>
      <c r="C1115" s="185" t="str">
        <f>IFERROR(__xludf.DUMMYFUNCTION("""COMPUTED_VALUE"""),"Best AI Search Optimization Agencies in Wuppertal 2026 | Semrush")</f>
        <v>Best AI Search Optimization Agencies in Wuppertal 2026 | Semrush</v>
      </c>
      <c r="D1115" s="185" t="str">
        <f>IFERROR(__xludf.DUMMYFUNCTION("""COMPUTED_VALUE"""),"DE")</f>
        <v>DE</v>
      </c>
      <c r="E1115" s="185" t="str">
        <f>IFERROR(__xludf.DUMMYFUNCTION("""COMPUTED_VALUE"""),"semrush.com")</f>
        <v>semrush.com</v>
      </c>
      <c r="F1115" s="185" t="str">
        <f>IFERROR(__xludf.DUMMYFUNCTION("""COMPUTED_VALUE"""),"Other")</f>
        <v>Other</v>
      </c>
      <c r="G1115" s="185" t="str">
        <f>IFERROR(__xludf.DUMMYFUNCTION("""COMPUTED_VALUE"""),"CORPORATE")</f>
        <v>CORPORATE</v>
      </c>
      <c r="H1115" s="185" t="str">
        <f>IFERROR(__xludf.DUMMYFUNCTION("""COMPUTED_VALUE"""),"No")</f>
        <v>No</v>
      </c>
      <c r="I1115" s="185" t="str">
        <f>IFERROR(__xludf.DUMMYFUNCTION("""COMPUTED_VALUE"""),"Medium")</f>
        <v>Medium</v>
      </c>
      <c r="J1115" s="185" t="str">
        <f>IFERROR(__xludf.DUMMYFUNCTION("""COMPUTED_VALUE"""),"Yes")</f>
        <v>Yes</v>
      </c>
      <c r="K1115" s="185" t="str">
        <f>IFERROR(__xludf.DUMMYFUNCTION("""COMPUTED_VALUE"""),"HECHT INS GEFECHT, morefire, Mediaplus Performance")</f>
        <v>HECHT INS GEFECHT, morefire, Mediaplus Performance</v>
      </c>
      <c r="L1115" s="187">
        <f>IFERROR(__xludf.DUMMYFUNCTION("""COMPUTED_VALUE"""),1.0)</f>
        <v>1</v>
      </c>
      <c r="M1115" s="188">
        <f>IFERROR(__xludf.DUMMYFUNCTION("""COMPUTED_VALUE"""),0.0)</f>
        <v>0</v>
      </c>
      <c r="N1115" s="188">
        <f>IFERROR(__xludf.DUMMYFUNCTION("""COMPUTED_VALUE"""),1.0)</f>
        <v>1</v>
      </c>
      <c r="O1115" s="208"/>
      <c r="P1115" s="208"/>
      <c r="Q1115" s="208"/>
      <c r="R1115" s="208"/>
    </row>
    <row r="1116">
      <c r="A1116" s="185" t="str">
        <f>IFERROR(__xludf.DUMMYFUNCTION("""COMPUTED_VALUE"""),"Industry data / software authority")</f>
        <v>Industry data / software authority</v>
      </c>
      <c r="B1116" s="186" t="str">
        <f>IFERROR(__xludf.DUMMYFUNCTION("""COMPUTED_VALUE"""),"https://agencies.semrush.com/list/analytics-data-science/business-professional-services/germany/enterprise-business/")</f>
        <v>https://agencies.semrush.com/list/analytics-data-science/business-professional-services/germany/enterprise-business/</v>
      </c>
      <c r="C1116" s="185" t="str">
        <f>IFERROR(__xludf.DUMMYFUNCTION("""COMPUTED_VALUE"""),"Best B2B Services Data Analytics Services for Enterprise Business in Germany 2026 | Semrush")</f>
        <v>Best B2B Services Data Analytics Services for Enterprise Business in Germany 2026 | Semrush</v>
      </c>
      <c r="D1116" s="185" t="str">
        <f>IFERROR(__xludf.DUMMYFUNCTION("""COMPUTED_VALUE"""),"DE")</f>
        <v>DE</v>
      </c>
      <c r="E1116" s="185" t="str">
        <f>IFERROR(__xludf.DUMMYFUNCTION("""COMPUTED_VALUE"""),"semrush.com")</f>
        <v>semrush.com</v>
      </c>
      <c r="F1116" s="185" t="str">
        <f>IFERROR(__xludf.DUMMYFUNCTION("""COMPUTED_VALUE"""),"Other")</f>
        <v>Other</v>
      </c>
      <c r="G1116" s="185" t="str">
        <f>IFERROR(__xludf.DUMMYFUNCTION("""COMPUTED_VALUE"""),"CORPORATE")</f>
        <v>CORPORATE</v>
      </c>
      <c r="H1116" s="185" t="str">
        <f>IFERROR(__xludf.DUMMYFUNCTION("""COMPUTED_VALUE"""),"No")</f>
        <v>No</v>
      </c>
      <c r="I1116" s="185" t="str">
        <f>IFERROR(__xludf.DUMMYFUNCTION("""COMPUTED_VALUE"""),"Medium")</f>
        <v>Medium</v>
      </c>
      <c r="J1116" s="185" t="str">
        <f>IFERROR(__xludf.DUMMYFUNCTION("""COMPUTED_VALUE"""),"Yes")</f>
        <v>Yes</v>
      </c>
      <c r="K1116" s="185" t="str">
        <f>IFERROR(__xludf.DUMMYFUNCTION("""COMPUTED_VALUE"""),"HECHT INS GEFECHT, Baseplus DIGITAL MEDIA GmbH, morefire, Mediaplus Performance")</f>
        <v>HECHT INS GEFECHT, Baseplus DIGITAL MEDIA GmbH, morefire, Mediaplus Performance</v>
      </c>
      <c r="L1116" s="187">
        <f>IFERROR(__xludf.DUMMYFUNCTION("""COMPUTED_VALUE"""),1.0)</f>
        <v>1</v>
      </c>
      <c r="M1116" s="188">
        <f>IFERROR(__xludf.DUMMYFUNCTION("""COMPUTED_VALUE"""),0.0)</f>
        <v>0</v>
      </c>
      <c r="N1116" s="188">
        <f>IFERROR(__xludf.DUMMYFUNCTION("""COMPUTED_VALUE"""),0.0)</f>
        <v>0</v>
      </c>
      <c r="O1116" s="208"/>
      <c r="P1116" s="208"/>
      <c r="Q1116" s="208"/>
      <c r="R1116" s="208"/>
    </row>
    <row r="1117">
      <c r="A1117" s="185" t="str">
        <f>IFERROR(__xludf.DUMMYFUNCTION("""COMPUTED_VALUE"""),"Industry data / software authority")</f>
        <v>Industry data / software authority</v>
      </c>
      <c r="B1117" s="186" t="str">
        <f>IFERROR(__xludf.DUMMYFUNCTION("""COMPUTED_VALUE"""),"https://agencies.semrush.com/list/analytics-data-science/ecommerce/germany/")</f>
        <v>https://agencies.semrush.com/list/analytics-data-science/ecommerce/germany/</v>
      </c>
      <c r="C1117" s="185" t="str">
        <f>IFERROR(__xludf.DUMMYFUNCTION("""COMPUTED_VALUE"""),"Best Ecommerce Data Analytics Services in Germany 2026 | Semrush")</f>
        <v>Best Ecommerce Data Analytics Services in Germany 2026 | Semrush</v>
      </c>
      <c r="D1117" s="185" t="str">
        <f>IFERROR(__xludf.DUMMYFUNCTION("""COMPUTED_VALUE"""),"DE")</f>
        <v>DE</v>
      </c>
      <c r="E1117" s="185" t="str">
        <f>IFERROR(__xludf.DUMMYFUNCTION("""COMPUTED_VALUE"""),"semrush.com")</f>
        <v>semrush.com</v>
      </c>
      <c r="F1117" s="185" t="str">
        <f>IFERROR(__xludf.DUMMYFUNCTION("""COMPUTED_VALUE"""),"Other")</f>
        <v>Other</v>
      </c>
      <c r="G1117" s="185" t="str">
        <f>IFERROR(__xludf.DUMMYFUNCTION("""COMPUTED_VALUE"""),"CORPORATE")</f>
        <v>CORPORATE</v>
      </c>
      <c r="H1117" s="185" t="str">
        <f>IFERROR(__xludf.DUMMYFUNCTION("""COMPUTED_VALUE"""),"No")</f>
        <v>No</v>
      </c>
      <c r="I1117" s="185" t="str">
        <f>IFERROR(__xludf.DUMMYFUNCTION("""COMPUTED_VALUE"""),"Medium")</f>
        <v>Medium</v>
      </c>
      <c r="J1117" s="185" t="str">
        <f>IFERROR(__xludf.DUMMYFUNCTION("""COMPUTED_VALUE"""),"Yes")</f>
        <v>Yes</v>
      </c>
      <c r="K1117" s="185" t="str">
        <f>IFERROR(__xludf.DUMMYFUNCTION("""COMPUTED_VALUE"""),"HECHT INS GEFECHT, Baseplus DIGITAL MEDIA GmbH, morefire, Mediaplus Performance")</f>
        <v>HECHT INS GEFECHT, Baseplus DIGITAL MEDIA GmbH, morefire, Mediaplus Performance</v>
      </c>
      <c r="L1117" s="187">
        <f>IFERROR(__xludf.DUMMYFUNCTION("""COMPUTED_VALUE"""),1.0)</f>
        <v>1</v>
      </c>
      <c r="M1117" s="188">
        <f>IFERROR(__xludf.DUMMYFUNCTION("""COMPUTED_VALUE"""),0.0)</f>
        <v>0</v>
      </c>
      <c r="N1117" s="188">
        <f>IFERROR(__xludf.DUMMYFUNCTION("""COMPUTED_VALUE"""),1.0)</f>
        <v>1</v>
      </c>
      <c r="O1117" s="208"/>
      <c r="P1117" s="208"/>
      <c r="Q1117" s="208"/>
      <c r="R1117" s="208"/>
    </row>
    <row r="1118">
      <c r="A1118" s="185" t="str">
        <f>IFERROR(__xludf.DUMMYFUNCTION("""COMPUTED_VALUE"""),"Industry data / software authority")</f>
        <v>Industry data / software authority</v>
      </c>
      <c r="B1118" s="186" t="str">
        <f>IFERROR(__xludf.DUMMYFUNCTION("""COMPUTED_VALUE"""),"https://agencies.semrush.com/list/business-professional-services/germany/")</f>
        <v>https://agencies.semrush.com/list/business-professional-services/germany/</v>
      </c>
      <c r="C1118" s="185" t="str">
        <f>IFERROR(__xludf.DUMMYFUNCTION("""COMPUTED_VALUE"""),"Best B2B Services Digital Marketing Agencies in Germany 2026 | Semrush")</f>
        <v>Best B2B Services Digital Marketing Agencies in Germany 2026 | Semrush</v>
      </c>
      <c r="D1118" s="185" t="str">
        <f>IFERROR(__xludf.DUMMYFUNCTION("""COMPUTED_VALUE"""),"DE")</f>
        <v>DE</v>
      </c>
      <c r="E1118" s="185" t="str">
        <f>IFERROR(__xludf.DUMMYFUNCTION("""COMPUTED_VALUE"""),"semrush.com")</f>
        <v>semrush.com</v>
      </c>
      <c r="F1118" s="185" t="str">
        <f>IFERROR(__xludf.DUMMYFUNCTION("""COMPUTED_VALUE"""),"Category Page")</f>
        <v>Category Page</v>
      </c>
      <c r="G1118" s="185" t="str">
        <f>IFERROR(__xludf.DUMMYFUNCTION("""COMPUTED_VALUE"""),"CORPORATE")</f>
        <v>CORPORATE</v>
      </c>
      <c r="H1118" s="185" t="str">
        <f>IFERROR(__xludf.DUMMYFUNCTION("""COMPUTED_VALUE"""),"No")</f>
        <v>No</v>
      </c>
      <c r="I1118" s="185" t="str">
        <f>IFERROR(__xludf.DUMMYFUNCTION("""COMPUTED_VALUE"""),"Medium")</f>
        <v>Medium</v>
      </c>
      <c r="J1118" s="185" t="str">
        <f>IFERROR(__xludf.DUMMYFUNCTION("""COMPUTED_VALUE"""),"Yes")</f>
        <v>Yes</v>
      </c>
      <c r="K1118" s="185" t="str">
        <f>IFERROR(__xludf.DUMMYFUNCTION("""COMPUTED_VALUE"""),"HECHT INS GEFECHT, Baseplus DIGITAL MEDIA GmbH, morefire, Mediaplus Performance, Mediacharge")</f>
        <v>HECHT INS GEFECHT, Baseplus DIGITAL MEDIA GmbH, morefire, Mediaplus Performance, Mediacharge</v>
      </c>
      <c r="L1118" s="187">
        <f>IFERROR(__xludf.DUMMYFUNCTION("""COMPUTED_VALUE"""),1.0)</f>
        <v>1</v>
      </c>
      <c r="M1118" s="188">
        <f>IFERROR(__xludf.DUMMYFUNCTION("""COMPUTED_VALUE"""),0.0)</f>
        <v>0</v>
      </c>
      <c r="N1118" s="188">
        <f>IFERROR(__xludf.DUMMYFUNCTION("""COMPUTED_VALUE"""),0.0)</f>
        <v>0</v>
      </c>
      <c r="O1118" s="208"/>
      <c r="P1118" s="208"/>
      <c r="Q1118" s="208"/>
      <c r="R1118" s="208"/>
    </row>
    <row r="1119">
      <c r="A1119" s="185" t="str">
        <f>IFERROR(__xludf.DUMMYFUNCTION("""COMPUTED_VALUE"""),"Industry data / software authority")</f>
        <v>Industry data / software authority</v>
      </c>
      <c r="B1119" s="186" t="str">
        <f>IFERROR(__xludf.DUMMYFUNCTION("""COMPUTED_VALUE"""),"https://agencies.semrush.com/list/display-advertising/north-rhine-westphalia/")</f>
        <v>https://agencies.semrush.com/list/display-advertising/north-rhine-westphalia/</v>
      </c>
      <c r="C1119" s="185" t="str">
        <f>IFERROR(__xludf.DUMMYFUNCTION("""COMPUTED_VALUE"""),"Best Display Ads Agencies in North Rhine-Westphalia 2026 | Semrush")</f>
        <v>Best Display Ads Agencies in North Rhine-Westphalia 2026 | Semrush</v>
      </c>
      <c r="D1119" s="185" t="str">
        <f>IFERROR(__xludf.DUMMYFUNCTION("""COMPUTED_VALUE"""),"DE")</f>
        <v>DE</v>
      </c>
      <c r="E1119" s="185" t="str">
        <f>IFERROR(__xludf.DUMMYFUNCTION("""COMPUTED_VALUE"""),"semrush.com")</f>
        <v>semrush.com</v>
      </c>
      <c r="F1119" s="185" t="str">
        <f>IFERROR(__xludf.DUMMYFUNCTION("""COMPUTED_VALUE"""),"Other")</f>
        <v>Other</v>
      </c>
      <c r="G1119" s="185" t="str">
        <f>IFERROR(__xludf.DUMMYFUNCTION("""COMPUTED_VALUE"""),"CORPORATE")</f>
        <v>CORPORATE</v>
      </c>
      <c r="H1119" s="185" t="str">
        <f>IFERROR(__xludf.DUMMYFUNCTION("""COMPUTED_VALUE"""),"No")</f>
        <v>No</v>
      </c>
      <c r="I1119" s="185" t="str">
        <f>IFERROR(__xludf.DUMMYFUNCTION("""COMPUTED_VALUE"""),"Medium")</f>
        <v>Medium</v>
      </c>
      <c r="J1119" s="185" t="str">
        <f>IFERROR(__xludf.DUMMYFUNCTION("""COMPUTED_VALUE"""),"Yes")</f>
        <v>Yes</v>
      </c>
      <c r="K1119" s="185" t="str">
        <f>IFERROR(__xludf.DUMMYFUNCTION("""COMPUTED_VALUE"""),"Baseplus DIGITAL MEDIA GmbH, morefire, Mediaplus Performance, MONSOON, KlickPiloten")</f>
        <v>Baseplus DIGITAL MEDIA GmbH, morefire, Mediaplus Performance, MONSOON, KlickPiloten</v>
      </c>
      <c r="L1119" s="187">
        <f>IFERROR(__xludf.DUMMYFUNCTION("""COMPUTED_VALUE"""),1.0)</f>
        <v>1</v>
      </c>
      <c r="M1119" s="188">
        <f>IFERROR(__xludf.DUMMYFUNCTION("""COMPUTED_VALUE"""),0.0)</f>
        <v>0</v>
      </c>
      <c r="N1119" s="188">
        <f>IFERROR(__xludf.DUMMYFUNCTION("""COMPUTED_VALUE"""),0.0)</f>
        <v>0</v>
      </c>
      <c r="O1119" s="208"/>
      <c r="P1119" s="208"/>
      <c r="Q1119" s="208"/>
      <c r="R1119" s="208"/>
    </row>
    <row r="1120">
      <c r="A1120" s="185" t="str">
        <f>IFERROR(__xludf.DUMMYFUNCTION("""COMPUTED_VALUE"""),"Industry data / software authority")</f>
        <v>Industry data / software authority</v>
      </c>
      <c r="B1120" s="186" t="str">
        <f>IFERROR(__xludf.DUMMYFUNCTION("""COMPUTED_VALUE"""),"https://agencies.semrush.com/list/facebook-advertising/germany/")</f>
        <v>https://agencies.semrush.com/list/facebook-advertising/germany/</v>
      </c>
      <c r="C1120" s="185" t="str">
        <f>IFERROR(__xludf.DUMMYFUNCTION("""COMPUTED_VALUE"""),"Best Facebook Advertising Agencies in Germany 2026 | Semrush")</f>
        <v>Best Facebook Advertising Agencies in Germany 2026 | Semrush</v>
      </c>
      <c r="D1120" s="185" t="str">
        <f>IFERROR(__xludf.DUMMYFUNCTION("""COMPUTED_VALUE"""),"DE")</f>
        <v>DE</v>
      </c>
      <c r="E1120" s="185" t="str">
        <f>IFERROR(__xludf.DUMMYFUNCTION("""COMPUTED_VALUE"""),"semrush.com")</f>
        <v>semrush.com</v>
      </c>
      <c r="F1120" s="185" t="str">
        <f>IFERROR(__xludf.DUMMYFUNCTION("""COMPUTED_VALUE"""),"Category Page")</f>
        <v>Category Page</v>
      </c>
      <c r="G1120" s="185" t="str">
        <f>IFERROR(__xludf.DUMMYFUNCTION("""COMPUTED_VALUE"""),"CORPORATE")</f>
        <v>CORPORATE</v>
      </c>
      <c r="H1120" s="185" t="str">
        <f>IFERROR(__xludf.DUMMYFUNCTION("""COMPUTED_VALUE"""),"No")</f>
        <v>No</v>
      </c>
      <c r="I1120" s="185" t="str">
        <f>IFERROR(__xludf.DUMMYFUNCTION("""COMPUTED_VALUE"""),"Medium")</f>
        <v>Medium</v>
      </c>
      <c r="J1120" s="185" t="str">
        <f>IFERROR(__xludf.DUMMYFUNCTION("""COMPUTED_VALUE"""),"Yes")</f>
        <v>Yes</v>
      </c>
      <c r="K1120" s="185" t="str">
        <f>IFERROR(__xludf.DUMMYFUNCTION("""COMPUTED_VALUE"""),"Baseplus DIGITAL MEDIA GmbH, Mediaplus Performance, MONSOON")</f>
        <v>Baseplus DIGITAL MEDIA GmbH, Mediaplus Performance, MONSOON</v>
      </c>
      <c r="L1120" s="187">
        <f>IFERROR(__xludf.DUMMYFUNCTION("""COMPUTED_VALUE"""),1.0)</f>
        <v>1</v>
      </c>
      <c r="M1120" s="188">
        <f>IFERROR(__xludf.DUMMYFUNCTION("""COMPUTED_VALUE"""),0.0)</f>
        <v>0</v>
      </c>
      <c r="N1120" s="188">
        <f>IFERROR(__xludf.DUMMYFUNCTION("""COMPUTED_VALUE"""),0.0)</f>
        <v>0</v>
      </c>
      <c r="O1120" s="208"/>
      <c r="P1120" s="208"/>
      <c r="Q1120" s="208"/>
      <c r="R1120" s="208"/>
    </row>
    <row r="1121">
      <c r="A1121" s="185" t="str">
        <f>IFERROR(__xludf.DUMMYFUNCTION("""COMPUTED_VALUE"""),"Industry data / software authority")</f>
        <v>Industry data / software authority</v>
      </c>
      <c r="B1121" s="186" t="str">
        <f>IFERROR(__xludf.DUMMYFUNCTION("""COMPUTED_VALUE"""),"https://agencies.semrush.com/list/llm-optimization/germany/mid-business/")</f>
        <v>https://agencies.semrush.com/list/llm-optimization/germany/mid-business/</v>
      </c>
      <c r="C1121" s="185" t="str">
        <f>IFERROR(__xludf.DUMMYFUNCTION("""COMPUTED_VALUE"""),"Best LLM optimization Agencies for Mid Business in Germany 2026 | Semrush")</f>
        <v>Best LLM optimization Agencies for Mid Business in Germany 2026 | Semrush</v>
      </c>
      <c r="D1121" s="185" t="str">
        <f>IFERROR(__xludf.DUMMYFUNCTION("""COMPUTED_VALUE"""),"DE")</f>
        <v>DE</v>
      </c>
      <c r="E1121" s="185" t="str">
        <f>IFERROR(__xludf.DUMMYFUNCTION("""COMPUTED_VALUE"""),"semrush.com")</f>
        <v>semrush.com</v>
      </c>
      <c r="F1121" s="185" t="str">
        <f>IFERROR(__xludf.DUMMYFUNCTION("""COMPUTED_VALUE"""),"Category Page")</f>
        <v>Category Page</v>
      </c>
      <c r="G1121" s="185" t="str">
        <f>IFERROR(__xludf.DUMMYFUNCTION("""COMPUTED_VALUE"""),"CORPORATE")</f>
        <v>CORPORATE</v>
      </c>
      <c r="H1121" s="185" t="str">
        <f>IFERROR(__xludf.DUMMYFUNCTION("""COMPUTED_VALUE"""),"No")</f>
        <v>No</v>
      </c>
      <c r="I1121" s="185" t="str">
        <f>IFERROR(__xludf.DUMMYFUNCTION("""COMPUTED_VALUE"""),"Medium")</f>
        <v>Medium</v>
      </c>
      <c r="J1121" s="185" t="str">
        <f>IFERROR(__xludf.DUMMYFUNCTION("""COMPUTED_VALUE"""),"Yes")</f>
        <v>Yes</v>
      </c>
      <c r="K1121" s="185" t="str">
        <f>IFERROR(__xludf.DUMMYFUNCTION("""COMPUTED_VALUE"""),"HECHT INS GEFECHT, morefire, Mediaplus Performance")</f>
        <v>HECHT INS GEFECHT, morefire, Mediaplus Performance</v>
      </c>
      <c r="L1121" s="187">
        <f>IFERROR(__xludf.DUMMYFUNCTION("""COMPUTED_VALUE"""),1.0)</f>
        <v>1</v>
      </c>
      <c r="M1121" s="188">
        <f>IFERROR(__xludf.DUMMYFUNCTION("""COMPUTED_VALUE"""),0.0)</f>
        <v>0</v>
      </c>
      <c r="N1121" s="188">
        <f>IFERROR(__xludf.DUMMYFUNCTION("""COMPUTED_VALUE"""),1.0)</f>
        <v>1</v>
      </c>
      <c r="O1121" s="208"/>
      <c r="P1121" s="208"/>
      <c r="Q1121" s="208"/>
      <c r="R1121" s="208"/>
    </row>
    <row r="1122">
      <c r="A1122" s="185" t="str">
        <f>IFERROR(__xludf.DUMMYFUNCTION("""COMPUTED_VALUE"""),"Industry data / software authority")</f>
        <v>Industry data / software authority</v>
      </c>
      <c r="B1122" s="186" t="str">
        <f>IFERROR(__xludf.DUMMYFUNCTION("""COMPUTED_VALUE"""),"https://agencies.semrush.com/list/los-angeles/")</f>
        <v>https://agencies.semrush.com/list/los-angeles/</v>
      </c>
      <c r="C1122" s="185" t="str">
        <f>IFERROR(__xludf.DUMMYFUNCTION("""COMPUTED_VALUE"""),"Best Digital Marketing Agencies in Los Angeles 2026 | Semrush")</f>
        <v>Best Digital Marketing Agencies in Los Angeles 2026 | Semrush</v>
      </c>
      <c r="D1122" s="185" t="str">
        <f>IFERROR(__xludf.DUMMYFUNCTION("""COMPUTED_VALUE"""),"DE")</f>
        <v>DE</v>
      </c>
      <c r="E1122" s="185" t="str">
        <f>IFERROR(__xludf.DUMMYFUNCTION("""COMPUTED_VALUE"""),"semrush.com")</f>
        <v>semrush.com</v>
      </c>
      <c r="F1122" s="185" t="str">
        <f>IFERROR(__xludf.DUMMYFUNCTION("""COMPUTED_VALUE"""),"Category Page")</f>
        <v>Category Page</v>
      </c>
      <c r="G1122" s="185" t="str">
        <f>IFERROR(__xludf.DUMMYFUNCTION("""COMPUTED_VALUE"""),"CORPORATE")</f>
        <v>CORPORATE</v>
      </c>
      <c r="H1122" s="185" t="str">
        <f>IFERROR(__xludf.DUMMYFUNCTION("""COMPUTED_VALUE"""),"No")</f>
        <v>No</v>
      </c>
      <c r="I1122" s="185" t="str">
        <f>IFERROR(__xludf.DUMMYFUNCTION("""COMPUTED_VALUE"""),"Medium")</f>
        <v>Medium</v>
      </c>
      <c r="J1122" s="185" t="str">
        <f>IFERROR(__xludf.DUMMYFUNCTION("""COMPUTED_VALUE"""),"Yes")</f>
        <v>Yes</v>
      </c>
      <c r="K1122" s="185"/>
      <c r="L1122" s="187">
        <f>IFERROR(__xludf.DUMMYFUNCTION("""COMPUTED_VALUE"""),1.0)</f>
        <v>1</v>
      </c>
      <c r="M1122" s="188">
        <f>IFERROR(__xludf.DUMMYFUNCTION("""COMPUTED_VALUE"""),0.0)</f>
        <v>0</v>
      </c>
      <c r="N1122" s="188">
        <f>IFERROR(__xludf.DUMMYFUNCTION("""COMPUTED_VALUE"""),0.0)</f>
        <v>0</v>
      </c>
      <c r="O1122" s="208"/>
      <c r="P1122" s="208"/>
      <c r="Q1122" s="208"/>
      <c r="R1122" s="208"/>
    </row>
    <row r="1123">
      <c r="A1123" s="185" t="str">
        <f>IFERROR(__xludf.DUMMYFUNCTION("""COMPUTED_VALUE"""),"Industry data / software authority")</f>
        <v>Industry data / software authority</v>
      </c>
      <c r="B1123" s="186" t="str">
        <f>IFERROR(__xludf.DUMMYFUNCTION("""COMPUTED_VALUE"""),"https://agencies.semrush.com/list/machine-learning-and-ai/germany/enterprise-business/")</f>
        <v>https://agencies.semrush.com/list/machine-learning-and-ai/germany/enterprise-business/</v>
      </c>
      <c r="C1123" s="185" t="str">
        <f>IFERROR(__xludf.DUMMYFUNCTION("""COMPUTED_VALUE"""),"Best Machine Learning and AI Services for Enterprise Business in Germany 2026 | Semrush")</f>
        <v>Best Machine Learning and AI Services for Enterprise Business in Germany 2026 | Semrush</v>
      </c>
      <c r="D1123" s="185" t="str">
        <f>IFERROR(__xludf.DUMMYFUNCTION("""COMPUTED_VALUE"""),"DE")</f>
        <v>DE</v>
      </c>
      <c r="E1123" s="185" t="str">
        <f>IFERROR(__xludf.DUMMYFUNCTION("""COMPUTED_VALUE"""),"semrush.com")</f>
        <v>semrush.com</v>
      </c>
      <c r="F1123" s="185" t="str">
        <f>IFERROR(__xludf.DUMMYFUNCTION("""COMPUTED_VALUE"""),"Other")</f>
        <v>Other</v>
      </c>
      <c r="G1123" s="185" t="str">
        <f>IFERROR(__xludf.DUMMYFUNCTION("""COMPUTED_VALUE"""),"CORPORATE")</f>
        <v>CORPORATE</v>
      </c>
      <c r="H1123" s="185" t="str">
        <f>IFERROR(__xludf.DUMMYFUNCTION("""COMPUTED_VALUE"""),"No")</f>
        <v>No</v>
      </c>
      <c r="I1123" s="185" t="str">
        <f>IFERROR(__xludf.DUMMYFUNCTION("""COMPUTED_VALUE"""),"Medium")</f>
        <v>Medium</v>
      </c>
      <c r="J1123" s="185" t="str">
        <f>IFERROR(__xludf.DUMMYFUNCTION("""COMPUTED_VALUE"""),"Yes")</f>
        <v>Yes</v>
      </c>
      <c r="K1123" s="185" t="str">
        <f>IFERROR(__xludf.DUMMYFUNCTION("""COMPUTED_VALUE"""),"HECHT INS GEFECHT, Baseplus DIGITAL MEDIA GmbH, morefire, Mediaplus Performance")</f>
        <v>HECHT INS GEFECHT, Baseplus DIGITAL MEDIA GmbH, morefire, Mediaplus Performance</v>
      </c>
      <c r="L1123" s="187">
        <f>IFERROR(__xludf.DUMMYFUNCTION("""COMPUTED_VALUE"""),1.0)</f>
        <v>1</v>
      </c>
      <c r="M1123" s="188">
        <f>IFERROR(__xludf.DUMMYFUNCTION("""COMPUTED_VALUE"""),0.0)</f>
        <v>0</v>
      </c>
      <c r="N1123" s="188">
        <f>IFERROR(__xludf.DUMMYFUNCTION("""COMPUTED_VALUE"""),0.0)</f>
        <v>0</v>
      </c>
      <c r="O1123" s="208"/>
      <c r="P1123" s="208"/>
      <c r="Q1123" s="208"/>
      <c r="R1123" s="208"/>
    </row>
    <row r="1124">
      <c r="A1124" s="185" t="str">
        <f>IFERROR(__xludf.DUMMYFUNCTION("""COMPUTED_VALUE"""),"Industry data / software authority")</f>
        <v>Industry data / software authority</v>
      </c>
      <c r="B1124" s="186" t="str">
        <f>IFERROR(__xludf.DUMMYFUNCTION("""COMPUTED_VALUE"""),"https://agencies.semrush.com/list/machine-learning-and-ai/germany/mid-business/")</f>
        <v>https://agencies.semrush.com/list/machine-learning-and-ai/germany/mid-business/</v>
      </c>
      <c r="C1124" s="185" t="str">
        <f>IFERROR(__xludf.DUMMYFUNCTION("""COMPUTED_VALUE"""),"Best Machine Learning and AI Services for Mid Business in Germany 2026 | Semrush")</f>
        <v>Best Machine Learning and AI Services for Mid Business in Germany 2026 | Semrush</v>
      </c>
      <c r="D1124" s="185" t="str">
        <f>IFERROR(__xludf.DUMMYFUNCTION("""COMPUTED_VALUE"""),"DE")</f>
        <v>DE</v>
      </c>
      <c r="E1124" s="185" t="str">
        <f>IFERROR(__xludf.DUMMYFUNCTION("""COMPUTED_VALUE"""),"semrush.com")</f>
        <v>semrush.com</v>
      </c>
      <c r="F1124" s="185" t="str">
        <f>IFERROR(__xludf.DUMMYFUNCTION("""COMPUTED_VALUE"""),"Category Page")</f>
        <v>Category Page</v>
      </c>
      <c r="G1124" s="185" t="str">
        <f>IFERROR(__xludf.DUMMYFUNCTION("""COMPUTED_VALUE"""),"CORPORATE")</f>
        <v>CORPORATE</v>
      </c>
      <c r="H1124" s="185" t="str">
        <f>IFERROR(__xludf.DUMMYFUNCTION("""COMPUTED_VALUE"""),"No")</f>
        <v>No</v>
      </c>
      <c r="I1124" s="185" t="str">
        <f>IFERROR(__xludf.DUMMYFUNCTION("""COMPUTED_VALUE"""),"Medium")</f>
        <v>Medium</v>
      </c>
      <c r="J1124" s="185" t="str">
        <f>IFERROR(__xludf.DUMMYFUNCTION("""COMPUTED_VALUE"""),"Yes")</f>
        <v>Yes</v>
      </c>
      <c r="K1124" s="185" t="str">
        <f>IFERROR(__xludf.DUMMYFUNCTION("""COMPUTED_VALUE"""),"HECHT INS GEFECHT, Baseplus DIGITAL MEDIA GmbH, morefire, Mediaplus Performance")</f>
        <v>HECHT INS GEFECHT, Baseplus DIGITAL MEDIA GmbH, morefire, Mediaplus Performance</v>
      </c>
      <c r="L1124" s="187">
        <f>IFERROR(__xludf.DUMMYFUNCTION("""COMPUTED_VALUE"""),1.0)</f>
        <v>1</v>
      </c>
      <c r="M1124" s="188">
        <f>IFERROR(__xludf.DUMMYFUNCTION("""COMPUTED_VALUE"""),0.0)</f>
        <v>0</v>
      </c>
      <c r="N1124" s="188">
        <f>IFERROR(__xludf.DUMMYFUNCTION("""COMPUTED_VALUE"""),0.0)</f>
        <v>0</v>
      </c>
      <c r="O1124" s="208"/>
      <c r="P1124" s="208"/>
      <c r="Q1124" s="208"/>
      <c r="R1124" s="208"/>
    </row>
    <row r="1125">
      <c r="A1125" s="185" t="str">
        <f>IFERROR(__xludf.DUMMYFUNCTION("""COMPUTED_VALUE"""),"Industry data / software authority")</f>
        <v>Industry data / software authority</v>
      </c>
      <c r="B1125" s="186" t="str">
        <f>IFERROR(__xludf.DUMMYFUNCTION("""COMPUTED_VALUE"""),"https://agencies.semrush.com/list/machine-learning-and-ai/germany/small-business/")</f>
        <v>https://agencies.semrush.com/list/machine-learning-and-ai/germany/small-business/</v>
      </c>
      <c r="C1125" s="185" t="str">
        <f>IFERROR(__xludf.DUMMYFUNCTION("""COMPUTED_VALUE"""),"Best Machine Learning and AI Services for Small Business in Germany 2026 | Semrush")</f>
        <v>Best Machine Learning and AI Services for Small Business in Germany 2026 | Semrush</v>
      </c>
      <c r="D1125" s="185" t="str">
        <f>IFERROR(__xludf.DUMMYFUNCTION("""COMPUTED_VALUE"""),"DE")</f>
        <v>DE</v>
      </c>
      <c r="E1125" s="185" t="str">
        <f>IFERROR(__xludf.DUMMYFUNCTION("""COMPUTED_VALUE"""),"semrush.com")</f>
        <v>semrush.com</v>
      </c>
      <c r="F1125" s="185" t="str">
        <f>IFERROR(__xludf.DUMMYFUNCTION("""COMPUTED_VALUE"""),"Other")</f>
        <v>Other</v>
      </c>
      <c r="G1125" s="185" t="str">
        <f>IFERROR(__xludf.DUMMYFUNCTION("""COMPUTED_VALUE"""),"CORPORATE")</f>
        <v>CORPORATE</v>
      </c>
      <c r="H1125" s="185" t="str">
        <f>IFERROR(__xludf.DUMMYFUNCTION("""COMPUTED_VALUE"""),"No")</f>
        <v>No</v>
      </c>
      <c r="I1125" s="185" t="str">
        <f>IFERROR(__xludf.DUMMYFUNCTION("""COMPUTED_VALUE"""),"Medium")</f>
        <v>Medium</v>
      </c>
      <c r="J1125" s="185" t="str">
        <f>IFERROR(__xludf.DUMMYFUNCTION("""COMPUTED_VALUE"""),"Yes")</f>
        <v>Yes</v>
      </c>
      <c r="K1125" s="185" t="str">
        <f>IFERROR(__xludf.DUMMYFUNCTION("""COMPUTED_VALUE"""),"HECHT INS GEFECHT, Baseplus DIGITAL MEDIA GmbH, Mediaplus Performance")</f>
        <v>HECHT INS GEFECHT, Baseplus DIGITAL MEDIA GmbH, Mediaplus Performance</v>
      </c>
      <c r="L1125" s="187">
        <f>IFERROR(__xludf.DUMMYFUNCTION("""COMPUTED_VALUE"""),1.0)</f>
        <v>1</v>
      </c>
      <c r="M1125" s="188">
        <f>IFERROR(__xludf.DUMMYFUNCTION("""COMPUTED_VALUE"""),0.0)</f>
        <v>0</v>
      </c>
      <c r="N1125" s="188">
        <f>IFERROR(__xludf.DUMMYFUNCTION("""COMPUTED_VALUE"""),0.0)</f>
        <v>0</v>
      </c>
      <c r="O1125" s="208"/>
      <c r="P1125" s="208"/>
      <c r="Q1125" s="208"/>
      <c r="R1125" s="208"/>
    </row>
    <row r="1126">
      <c r="A1126" s="185" t="str">
        <f>IFERROR(__xludf.DUMMYFUNCTION("""COMPUTED_VALUE"""),"Industry data / software authority")</f>
        <v>Industry data / software authority</v>
      </c>
      <c r="B1126" s="186" t="str">
        <f>IFERROR(__xludf.DUMMYFUNCTION("""COMPUTED_VALUE"""),"https://agencies.semrush.com/list/ppc/munich/")</f>
        <v>https://agencies.semrush.com/list/ppc/munich/</v>
      </c>
      <c r="C1126" s="185" t="str">
        <f>IFERROR(__xludf.DUMMYFUNCTION("""COMPUTED_VALUE"""),"Best PPC Agencies in Munich 2026 | Semrush")</f>
        <v>Best PPC Agencies in Munich 2026 | Semrush</v>
      </c>
      <c r="D1126" s="185" t="str">
        <f>IFERROR(__xludf.DUMMYFUNCTION("""COMPUTED_VALUE"""),"DE")</f>
        <v>DE</v>
      </c>
      <c r="E1126" s="185" t="str">
        <f>IFERROR(__xludf.DUMMYFUNCTION("""COMPUTED_VALUE"""),"semrush.com")</f>
        <v>semrush.com</v>
      </c>
      <c r="F1126" s="185" t="str">
        <f>IFERROR(__xludf.DUMMYFUNCTION("""COMPUTED_VALUE"""),"Category Page")</f>
        <v>Category Page</v>
      </c>
      <c r="G1126" s="185" t="str">
        <f>IFERROR(__xludf.DUMMYFUNCTION("""COMPUTED_VALUE"""),"CORPORATE")</f>
        <v>CORPORATE</v>
      </c>
      <c r="H1126" s="185" t="str">
        <f>IFERROR(__xludf.DUMMYFUNCTION("""COMPUTED_VALUE"""),"No")</f>
        <v>No</v>
      </c>
      <c r="I1126" s="185" t="str">
        <f>IFERROR(__xludf.DUMMYFUNCTION("""COMPUTED_VALUE"""),"Medium")</f>
        <v>Medium</v>
      </c>
      <c r="J1126" s="185" t="str">
        <f>IFERROR(__xludf.DUMMYFUNCTION("""COMPUTED_VALUE"""),"Yes")</f>
        <v>Yes</v>
      </c>
      <c r="K1126" s="185" t="str">
        <f>IFERROR(__xludf.DUMMYFUNCTION("""COMPUTED_VALUE"""),"Mediaplus Performance, Mediacharge, morefire, MONSOON, KlickPiloten")</f>
        <v>Mediaplus Performance, Mediacharge, morefire, MONSOON, KlickPiloten</v>
      </c>
      <c r="L1126" s="187">
        <f>IFERROR(__xludf.DUMMYFUNCTION("""COMPUTED_VALUE"""),1.0)</f>
        <v>1</v>
      </c>
      <c r="M1126" s="188">
        <f>IFERROR(__xludf.DUMMYFUNCTION("""COMPUTED_VALUE"""),0.0)</f>
        <v>0</v>
      </c>
      <c r="N1126" s="188">
        <f>IFERROR(__xludf.DUMMYFUNCTION("""COMPUTED_VALUE"""),1.0)</f>
        <v>1</v>
      </c>
      <c r="O1126" s="208"/>
      <c r="P1126" s="208"/>
      <c r="Q1126" s="208"/>
      <c r="R1126" s="208"/>
    </row>
    <row r="1127">
      <c r="A1127" s="185" t="str">
        <f>IFERROR(__xludf.DUMMYFUNCTION("""COMPUTED_VALUE"""),"Industry data / software authority")</f>
        <v>Industry data / software authority</v>
      </c>
      <c r="B1127" s="186" t="str">
        <f>IFERROR(__xludf.DUMMYFUNCTION("""COMPUTED_VALUE"""),"https://agencies.semrush.com/list/programmatic-advertising/germany/mid-business/")</f>
        <v>https://agencies.semrush.com/list/programmatic-advertising/germany/mid-business/</v>
      </c>
      <c r="C1127" s="185" t="str">
        <f>IFERROR(__xludf.DUMMYFUNCTION("""COMPUTED_VALUE"""),"Best Programmatic Advertising Agencies for Mid Business in Germany 2026 | Semrush")</f>
        <v>Best Programmatic Advertising Agencies for Mid Business in Germany 2026 | Semrush</v>
      </c>
      <c r="D1127" s="185" t="str">
        <f>IFERROR(__xludf.DUMMYFUNCTION("""COMPUTED_VALUE"""),"DE")</f>
        <v>DE</v>
      </c>
      <c r="E1127" s="185" t="str">
        <f>IFERROR(__xludf.DUMMYFUNCTION("""COMPUTED_VALUE"""),"semrush.com")</f>
        <v>semrush.com</v>
      </c>
      <c r="F1127" s="185" t="str">
        <f>IFERROR(__xludf.DUMMYFUNCTION("""COMPUTED_VALUE"""),"Other")</f>
        <v>Other</v>
      </c>
      <c r="G1127" s="185" t="str">
        <f>IFERROR(__xludf.DUMMYFUNCTION("""COMPUTED_VALUE"""),"CORPORATE")</f>
        <v>CORPORATE</v>
      </c>
      <c r="H1127" s="185" t="str">
        <f>IFERROR(__xludf.DUMMYFUNCTION("""COMPUTED_VALUE"""),"No")</f>
        <v>No</v>
      </c>
      <c r="I1127" s="185" t="str">
        <f>IFERROR(__xludf.DUMMYFUNCTION("""COMPUTED_VALUE"""),"Medium")</f>
        <v>Medium</v>
      </c>
      <c r="J1127" s="185" t="str">
        <f>IFERROR(__xludf.DUMMYFUNCTION("""COMPUTED_VALUE"""),"Yes")</f>
        <v>Yes</v>
      </c>
      <c r="K1127" s="185" t="str">
        <f>IFERROR(__xludf.DUMMYFUNCTION("""COMPUTED_VALUE"""),"morefire, Mediaplus Performance, KlickPiloten")</f>
        <v>morefire, Mediaplus Performance, KlickPiloten</v>
      </c>
      <c r="L1127" s="187">
        <f>IFERROR(__xludf.DUMMYFUNCTION("""COMPUTED_VALUE"""),1.0)</f>
        <v>1</v>
      </c>
      <c r="M1127" s="188">
        <f>IFERROR(__xludf.DUMMYFUNCTION("""COMPUTED_VALUE"""),0.0)</f>
        <v>0</v>
      </c>
      <c r="N1127" s="188">
        <f>IFERROR(__xludf.DUMMYFUNCTION("""COMPUTED_VALUE"""),1.0)</f>
        <v>1</v>
      </c>
      <c r="O1127" s="208"/>
      <c r="P1127" s="208"/>
      <c r="Q1127" s="208"/>
      <c r="R1127" s="208"/>
    </row>
    <row r="1128">
      <c r="A1128" s="185" t="str">
        <f>IFERROR(__xludf.DUMMYFUNCTION("""COMPUTED_VALUE"""),"Official partner / certification ecosystem")</f>
        <v>Official partner / certification ecosystem</v>
      </c>
      <c r="B1128" s="186" t="str">
        <f>IFERROR(__xludf.DUMMYFUNCTION("""COMPUTED_VALUE"""),"https://business.google.com/de/think/measurement/ai-driven-data-management/")</f>
        <v>https://business.google.com/de/think/measurement/ai-driven-data-management/</v>
      </c>
      <c r="C1128" s="185"/>
      <c r="D1128" s="185" t="str">
        <f>IFERROR(__xludf.DUMMYFUNCTION("""COMPUTED_VALUE"""),"DE")</f>
        <v>DE</v>
      </c>
      <c r="E1128" s="185" t="str">
        <f>IFERROR(__xludf.DUMMYFUNCTION("""COMPUTED_VALUE"""),"google.com")</f>
        <v>google.com</v>
      </c>
      <c r="F1128" s="185" t="str">
        <f>IFERROR(__xludf.DUMMYFUNCTION("""COMPUTED_VALUE"""),"Other")</f>
        <v>Other</v>
      </c>
      <c r="G1128" s="185" t="str">
        <f>IFERROR(__xludf.DUMMYFUNCTION("""COMPUTED_VALUE"""),"OTHER")</f>
        <v>OTHER</v>
      </c>
      <c r="H1128" s="185" t="str">
        <f>IFERROR(__xludf.DUMMYFUNCTION("""COMPUTED_VALUE"""),"No")</f>
        <v>No</v>
      </c>
      <c r="I1128" s="185" t="str">
        <f>IFERROR(__xludf.DUMMYFUNCTION("""COMPUTED_VALUE"""),"High")</f>
        <v>High</v>
      </c>
      <c r="J1128" s="185" t="str">
        <f>IFERROR(__xludf.DUMMYFUNCTION("""COMPUTED_VALUE"""),"Yes - priority")</f>
        <v>Yes - priority</v>
      </c>
      <c r="K1128" s="185" t="str">
        <f>IFERROR(__xludf.DUMMYFUNCTION("""COMPUTED_VALUE"""),"Unknown")</f>
        <v>Unknown</v>
      </c>
      <c r="L1128" s="187">
        <f>IFERROR(__xludf.DUMMYFUNCTION("""COMPUTED_VALUE"""),1.0)</f>
        <v>1</v>
      </c>
      <c r="M1128" s="188">
        <f>IFERROR(__xludf.DUMMYFUNCTION("""COMPUTED_VALUE"""),0.0)</f>
        <v>0</v>
      </c>
      <c r="N1128" s="188">
        <f>IFERROR(__xludf.DUMMYFUNCTION("""COMPUTED_VALUE"""),1.0)</f>
        <v>1</v>
      </c>
      <c r="O1128" s="208"/>
      <c r="P1128" s="208"/>
      <c r="Q1128" s="208"/>
      <c r="R1128" s="208"/>
    </row>
    <row r="1129">
      <c r="A1129" s="185" t="str">
        <f>IFERROR(__xludf.DUMMYFUNCTION("""COMPUTED_VALUE"""),"Official partner / certification ecosystem")</f>
        <v>Official partner / certification ecosystem</v>
      </c>
      <c r="B1129" s="186" t="str">
        <f>IFERROR(__xludf.DUMMYFUNCTION("""COMPUTED_VALUE"""),"https://business.google.com/en-all/support/work-with-a-partner/")</f>
        <v>https://business.google.com/en-all/support/work-with-a-partner/</v>
      </c>
      <c r="C1129" s="185" t="str">
        <f>IFERROR(__xludf.DUMMYFUNCTION("""COMPUTED_VALUE"""),"Work with a Google Partner for a Successful Campaign – Google Ads")</f>
        <v>Work with a Google Partner for a Successful Campaign – Google Ads</v>
      </c>
      <c r="D1129" s="185" t="str">
        <f>IFERROR(__xludf.DUMMYFUNCTION("""COMPUTED_VALUE"""),"DE")</f>
        <v>DE</v>
      </c>
      <c r="E1129" s="185" t="str">
        <f>IFERROR(__xludf.DUMMYFUNCTION("""COMPUTED_VALUE"""),"google.com")</f>
        <v>google.com</v>
      </c>
      <c r="F1129" s="185" t="str">
        <f>IFERROR(__xludf.DUMMYFUNCTION("""COMPUTED_VALUE"""),"Product Page")</f>
        <v>Product Page</v>
      </c>
      <c r="G1129" s="185" t="str">
        <f>IFERROR(__xludf.DUMMYFUNCTION("""COMPUTED_VALUE"""),"OTHER")</f>
        <v>OTHER</v>
      </c>
      <c r="H1129" s="185" t="str">
        <f>IFERROR(__xludf.DUMMYFUNCTION("""COMPUTED_VALUE"""),"No")</f>
        <v>No</v>
      </c>
      <c r="I1129" s="185" t="str">
        <f>IFERROR(__xludf.DUMMYFUNCTION("""COMPUTED_VALUE"""),"High")</f>
        <v>High</v>
      </c>
      <c r="J1129" s="185" t="str">
        <f>IFERROR(__xludf.DUMMYFUNCTION("""COMPUTED_VALUE"""),"Yes - priority")</f>
        <v>Yes - priority</v>
      </c>
      <c r="K1129" s="185" t="str">
        <f>IFERROR(__xludf.DUMMYFUNCTION("""COMPUTED_VALUE"""),"New Engen, Wpromote")</f>
        <v>New Engen, Wpromote</v>
      </c>
      <c r="L1129" s="187">
        <f>IFERROR(__xludf.DUMMYFUNCTION("""COMPUTED_VALUE"""),1.0)</f>
        <v>1</v>
      </c>
      <c r="M1129" s="188">
        <f>IFERROR(__xludf.DUMMYFUNCTION("""COMPUTED_VALUE"""),0.0)</f>
        <v>0</v>
      </c>
      <c r="N1129" s="188">
        <f>IFERROR(__xludf.DUMMYFUNCTION("""COMPUTED_VALUE"""),0.0)</f>
        <v>0</v>
      </c>
      <c r="O1129" s="208"/>
      <c r="P1129" s="208"/>
      <c r="Q1129" s="208"/>
      <c r="R1129" s="208"/>
    </row>
    <row r="1130">
      <c r="A1130" s="185" t="str">
        <f>IFERROR(__xludf.DUMMYFUNCTION("""COMPUTED_VALUE"""),"Trade media / editorial publication")</f>
        <v>Trade media / editorial publication</v>
      </c>
      <c r="B1130" s="186" t="str">
        <f>IFERROR(__xludf.DUMMYFUNCTION("""COMPUTED_VALUE"""),"https://www.businessofapps.com/marketplace/ai-marketing/")</f>
        <v>https://www.businessofapps.com/marketplace/ai-marketing/</v>
      </c>
      <c r="C1130" s="185" t="str">
        <f>IFERROR(__xludf.DUMMYFUNCTION("""COMPUTED_VALUE"""),"Top AI Marketing Companies (2026) - Business of Apps")</f>
        <v>Top AI Marketing Companies (2026) - Business of Apps</v>
      </c>
      <c r="D1130" s="185" t="str">
        <f>IFERROR(__xludf.DUMMYFUNCTION("""COMPUTED_VALUE"""),"DE")</f>
        <v>DE</v>
      </c>
      <c r="E1130" s="185" t="str">
        <f>IFERROR(__xludf.DUMMYFUNCTION("""COMPUTED_VALUE"""),"businessofapps.com")</f>
        <v>businessofapps.com</v>
      </c>
      <c r="F1130" s="185" t="str">
        <f>IFERROR(__xludf.DUMMYFUNCTION("""COMPUTED_VALUE"""),"Profile")</f>
        <v>Profile</v>
      </c>
      <c r="G1130" s="185" t="str">
        <f>IFERROR(__xludf.DUMMYFUNCTION("""COMPUTED_VALUE"""),"EDITORIAL")</f>
        <v>EDITORIAL</v>
      </c>
      <c r="H1130" s="185" t="str">
        <f>IFERROR(__xludf.DUMMYFUNCTION("""COMPUTED_VALUE"""),"No")</f>
        <v>No</v>
      </c>
      <c r="I1130" s="185" t="str">
        <f>IFERROR(__xludf.DUMMYFUNCTION("""COMPUTED_VALUE"""),"Medium")</f>
        <v>Medium</v>
      </c>
      <c r="J1130" s="185" t="str">
        <f>IFERROR(__xludf.DUMMYFUNCTION("""COMPUTED_VALUE"""),"Yes")</f>
        <v>Yes</v>
      </c>
      <c r="K1130" s="185" t="str">
        <f>IFERROR(__xludf.DUMMYFUNCTION("""COMPUTED_VALUE"""),"Huge")</f>
        <v>Huge</v>
      </c>
      <c r="L1130" s="187">
        <f>IFERROR(__xludf.DUMMYFUNCTION("""COMPUTED_VALUE"""),1.0)</f>
        <v>1</v>
      </c>
      <c r="M1130" s="188">
        <f>IFERROR(__xludf.DUMMYFUNCTION("""COMPUTED_VALUE"""),0.0)</f>
        <v>0</v>
      </c>
      <c r="N1130" s="188">
        <f>IFERROR(__xludf.DUMMYFUNCTION("""COMPUTED_VALUE"""),0.0)</f>
        <v>0</v>
      </c>
      <c r="O1130" s="208"/>
      <c r="P1130" s="208"/>
      <c r="Q1130" s="208"/>
      <c r="R1130" s="208"/>
    </row>
    <row r="1131">
      <c r="A1131" s="185" t="str">
        <f>IFERROR(__xludf.DUMMYFUNCTION("""COMPUTED_VALUE"""),"Trade media / editorial publication")</f>
        <v>Trade media / editorial publication</v>
      </c>
      <c r="B1131" s="186" t="str">
        <f>IFERROR(__xludf.DUMMYFUNCTION("""COMPUTED_VALUE"""),"https://www.businessofapps.com/marketplace/performance-marketing/")</f>
        <v>https://www.businessofapps.com/marketplace/performance-marketing/</v>
      </c>
      <c r="C1131" s="185" t="str">
        <f>IFERROR(__xludf.DUMMYFUNCTION("""COMPUTED_VALUE"""),"Top Performance Marketing Agencies (2026) - Business of Apps")</f>
        <v>Top Performance Marketing Agencies (2026) - Business of Apps</v>
      </c>
      <c r="D1131" s="185" t="str">
        <f>IFERROR(__xludf.DUMMYFUNCTION("""COMPUTED_VALUE"""),"DE")</f>
        <v>DE</v>
      </c>
      <c r="E1131" s="185" t="str">
        <f>IFERROR(__xludf.DUMMYFUNCTION("""COMPUTED_VALUE"""),"businessofapps.com")</f>
        <v>businessofapps.com</v>
      </c>
      <c r="F1131" s="185" t="str">
        <f>IFERROR(__xludf.DUMMYFUNCTION("""COMPUTED_VALUE"""),"Category Page")</f>
        <v>Category Page</v>
      </c>
      <c r="G1131" s="185" t="str">
        <f>IFERROR(__xludf.DUMMYFUNCTION("""COMPUTED_VALUE"""),"EDITORIAL")</f>
        <v>EDITORIAL</v>
      </c>
      <c r="H1131" s="185" t="str">
        <f>IFERROR(__xludf.DUMMYFUNCTION("""COMPUTED_VALUE"""),"Yes")</f>
        <v>Yes</v>
      </c>
      <c r="I1131" s="185" t="str">
        <f>IFERROR(__xludf.DUMMYFUNCTION("""COMPUTED_VALUE"""),"Medium")</f>
        <v>Medium</v>
      </c>
      <c r="J1131" s="185" t="str">
        <f>IFERROR(__xludf.DUMMYFUNCTION("""COMPUTED_VALUE"""),"Yes")</f>
        <v>Yes</v>
      </c>
      <c r="K1131" s="185" t="str">
        <f>IFERROR(__xludf.DUMMYFUNCTION("""COMPUTED_VALUE"""),"Measured, Incubeta")</f>
        <v>Measured, Incubeta</v>
      </c>
      <c r="L1131" s="187">
        <f>IFERROR(__xludf.DUMMYFUNCTION("""COMPUTED_VALUE"""),1.0)</f>
        <v>1</v>
      </c>
      <c r="M1131" s="188">
        <f>IFERROR(__xludf.DUMMYFUNCTION("""COMPUTED_VALUE"""),0.0)</f>
        <v>0</v>
      </c>
      <c r="N1131" s="188">
        <f>IFERROR(__xludf.DUMMYFUNCTION("""COMPUTED_VALUE"""),0.0)</f>
        <v>0</v>
      </c>
      <c r="O1131" s="208"/>
      <c r="P1131" s="208"/>
      <c r="Q1131" s="208"/>
      <c r="R1131" s="208"/>
    </row>
    <row r="1132">
      <c r="A1132" s="185" t="str">
        <f>IFERROR(__xludf.DUMMYFUNCTION("""COMPUTED_VALUE"""),"Industry association / institutional authority")</f>
        <v>Industry association / institutional authority</v>
      </c>
      <c r="B1132" s="186" t="str">
        <f>IFERROR(__xludf.DUMMYFUNCTION("""COMPUTED_VALUE"""),"https://www.bvdw.org/news-und-publikationen/deep-dive-retail-mediaagenturen/")</f>
        <v>https://www.bvdw.org/news-und-publikationen/deep-dive-retail-mediaagenturen/</v>
      </c>
      <c r="C1132" s="185" t="str">
        <f>IFERROR(__xludf.DUMMYFUNCTION("""COMPUTED_VALUE"""),"Mediaagenturen im Retail-Media-Ökosystem")</f>
        <v>Mediaagenturen im Retail-Media-Ökosystem</v>
      </c>
      <c r="D1132" s="185" t="str">
        <f>IFERROR(__xludf.DUMMYFUNCTION("""COMPUTED_VALUE"""),"DE")</f>
        <v>DE</v>
      </c>
      <c r="E1132" s="185" t="str">
        <f>IFERROR(__xludf.DUMMYFUNCTION("""COMPUTED_VALUE"""),"bvdw.org")</f>
        <v>bvdw.org</v>
      </c>
      <c r="F1132" s="185" t="str">
        <f>IFERROR(__xludf.DUMMYFUNCTION("""COMPUTED_VALUE"""),"Article")</f>
        <v>Article</v>
      </c>
      <c r="G1132" s="185" t="str">
        <f>IFERROR(__xludf.DUMMYFUNCTION("""COMPUTED_VALUE"""),"INSTITUTIONAL")</f>
        <v>INSTITUTIONAL</v>
      </c>
      <c r="H1132" s="185" t="str">
        <f>IFERROR(__xludf.DUMMYFUNCTION("""COMPUTED_VALUE"""),"No")</f>
        <v>No</v>
      </c>
      <c r="I1132" s="185" t="str">
        <f>IFERROR(__xludf.DUMMYFUNCTION("""COMPUTED_VALUE"""),"High")</f>
        <v>High</v>
      </c>
      <c r="J1132" s="185" t="str">
        <f>IFERROR(__xludf.DUMMYFUNCTION("""COMPUTED_VALUE"""),"Yes - priority")</f>
        <v>Yes - priority</v>
      </c>
      <c r="K1132" s="185"/>
      <c r="L1132" s="187">
        <f>IFERROR(__xludf.DUMMYFUNCTION("""COMPUTED_VALUE"""),1.0)</f>
        <v>1</v>
      </c>
      <c r="M1132" s="188">
        <f>IFERROR(__xludf.DUMMYFUNCTION("""COMPUTED_VALUE"""),0.0)</f>
        <v>0</v>
      </c>
      <c r="N1132" s="188">
        <f>IFERROR(__xludf.DUMMYFUNCTION("""COMPUTED_VALUE"""),1.0)</f>
        <v>1</v>
      </c>
      <c r="O1132" s="208"/>
      <c r="P1132" s="208"/>
      <c r="Q1132" s="208"/>
      <c r="R1132" s="208"/>
    </row>
    <row r="1133">
      <c r="A1133" s="185" t="str">
        <f>IFERROR(__xludf.DUMMYFUNCTION("""COMPUTED_VALUE"""),"Industry association / institutional authority")</f>
        <v>Industry association / institutional authority</v>
      </c>
      <c r="B1133" s="186" t="str">
        <f>IFERROR(__xludf.DUMMYFUNCTION("""COMPUTED_VALUE"""),"https://www.bvdw.org/news-und-publikationen/internetagentur-ranking-2026-plannet-verteidigt-spitzenposition/")</f>
        <v>https://www.bvdw.org/news-und-publikationen/internetagentur-ranking-2026-plannet-verteidigt-spitzenposition/</v>
      </c>
      <c r="C1133" s="185" t="str">
        <f>IFERROR(__xludf.DUMMYFUNCTION("""COMPUTED_VALUE"""),"Internetagentur-Ranking 2026: Plan.Net verteidigt Spitzenposition")</f>
        <v>Internetagentur-Ranking 2026: Plan.Net verteidigt Spitzenposition</v>
      </c>
      <c r="D1133" s="185" t="str">
        <f>IFERROR(__xludf.DUMMYFUNCTION("""COMPUTED_VALUE"""),"DE")</f>
        <v>DE</v>
      </c>
      <c r="E1133" s="185" t="str">
        <f>IFERROR(__xludf.DUMMYFUNCTION("""COMPUTED_VALUE"""),"bvdw.org")</f>
        <v>bvdw.org</v>
      </c>
      <c r="F1133" s="185" t="str">
        <f>IFERROR(__xludf.DUMMYFUNCTION("""COMPUTED_VALUE"""),"Listicle")</f>
        <v>Listicle</v>
      </c>
      <c r="G1133" s="185" t="str">
        <f>IFERROR(__xludf.DUMMYFUNCTION("""COMPUTED_VALUE"""),"INSTITUTIONAL")</f>
        <v>INSTITUTIONAL</v>
      </c>
      <c r="H1133" s="185" t="str">
        <f>IFERROR(__xludf.DUMMYFUNCTION("""COMPUTED_VALUE"""),"No")</f>
        <v>No</v>
      </c>
      <c r="I1133" s="185" t="str">
        <f>IFERROR(__xludf.DUMMYFUNCTION("""COMPUTED_VALUE"""),"High")</f>
        <v>High</v>
      </c>
      <c r="J1133" s="185" t="str">
        <f>IFERROR(__xludf.DUMMYFUNCTION("""COMPUTED_VALUE"""),"Yes - priority")</f>
        <v>Yes - priority</v>
      </c>
      <c r="K1133" s="185"/>
      <c r="L1133" s="187">
        <f>IFERROR(__xludf.DUMMYFUNCTION("""COMPUTED_VALUE"""),1.0)</f>
        <v>1</v>
      </c>
      <c r="M1133" s="188">
        <f>IFERROR(__xludf.DUMMYFUNCTION("""COMPUTED_VALUE"""),0.0)</f>
        <v>0</v>
      </c>
      <c r="N1133" s="188">
        <f>IFERROR(__xludf.DUMMYFUNCTION("""COMPUTED_VALUE"""),0.0)</f>
        <v>0</v>
      </c>
      <c r="O1133" s="208"/>
      <c r="P1133" s="208"/>
      <c r="Q1133" s="208"/>
      <c r="R1133" s="208"/>
    </row>
    <row r="1134">
      <c r="A1134" s="185" t="str">
        <f>IFERROR(__xludf.DUMMYFUNCTION("""COMPUTED_VALUE"""),"Industry association / institutional authority")</f>
        <v>Industry association / institutional authority</v>
      </c>
      <c r="B1134" s="186" t="str">
        <f>IFERROR(__xludf.DUMMYFUNCTION("""COMPUTED_VALUE"""),"https://www.bvdw.org/wp-content/uploads/2025/03/BVDW_Studie_Kreativranking_Auswertung_2024-1.pdf?highlight=12+agenturen")</f>
        <v>https://www.bvdw.org/wp-content/uploads/2025/03/BVDW_Studie_Kreativranking_Auswertung_2024-1.pdf?highlight=12+agenturen</v>
      </c>
      <c r="C1134" s="185"/>
      <c r="D1134" s="185" t="str">
        <f>IFERROR(__xludf.DUMMYFUNCTION("""COMPUTED_VALUE"""),"DE")</f>
        <v>DE</v>
      </c>
      <c r="E1134" s="185" t="str">
        <f>IFERROR(__xludf.DUMMYFUNCTION("""COMPUTED_VALUE"""),"bvdw.org")</f>
        <v>bvdw.org</v>
      </c>
      <c r="F1134" s="185" t="str">
        <f>IFERROR(__xludf.DUMMYFUNCTION("""COMPUTED_VALUE"""),"Other")</f>
        <v>Other</v>
      </c>
      <c r="G1134" s="185" t="str">
        <f>IFERROR(__xludf.DUMMYFUNCTION("""COMPUTED_VALUE"""),"INSTITUTIONAL")</f>
        <v>INSTITUTIONAL</v>
      </c>
      <c r="H1134" s="185" t="str">
        <f>IFERROR(__xludf.DUMMYFUNCTION("""COMPUTED_VALUE"""),"No")</f>
        <v>No</v>
      </c>
      <c r="I1134" s="185" t="str">
        <f>IFERROR(__xludf.DUMMYFUNCTION("""COMPUTED_VALUE"""),"High")</f>
        <v>High</v>
      </c>
      <c r="J1134" s="185" t="str">
        <f>IFERROR(__xludf.DUMMYFUNCTION("""COMPUTED_VALUE"""),"Yes - priority")</f>
        <v>Yes - priority</v>
      </c>
      <c r="K1134" s="185" t="str">
        <f>IFERROR(__xludf.DUMMYFUNCTION("""COMPUTED_VALUE"""),"EY, OMD")</f>
        <v>EY, OMD</v>
      </c>
      <c r="L1134" s="187">
        <f>IFERROR(__xludf.DUMMYFUNCTION("""COMPUTED_VALUE"""),1.0)</f>
        <v>1</v>
      </c>
      <c r="M1134" s="188">
        <f>IFERROR(__xludf.DUMMYFUNCTION("""COMPUTED_VALUE"""),0.0)</f>
        <v>0</v>
      </c>
      <c r="N1134" s="188">
        <f>IFERROR(__xludf.DUMMYFUNCTION("""COMPUTED_VALUE"""),5.0)</f>
        <v>5</v>
      </c>
      <c r="O1134" s="208"/>
      <c r="P1134" s="208"/>
      <c r="Q1134" s="208"/>
      <c r="R1134" s="208"/>
    </row>
    <row r="1135">
      <c r="A1135" s="185" t="str">
        <f>IFERROR(__xludf.DUMMYFUNCTION("""COMPUTED_VALUE"""),"Industry association / institutional authority")</f>
        <v>Industry association / institutional authority</v>
      </c>
      <c r="B1135" s="186" t="str">
        <f>IFERROR(__xludf.DUMMYFUNCTION("""COMPUTED_VALUE"""),"https://www.bvdw.org/wp-content/uploads/2026/03/BVDW-Kreativranking-2025.pdf")</f>
        <v>https://www.bvdw.org/wp-content/uploads/2026/03/BVDW-Kreativranking-2025.pdf</v>
      </c>
      <c r="C1135" s="185"/>
      <c r="D1135" s="185" t="str">
        <f>IFERROR(__xludf.DUMMYFUNCTION("""COMPUTED_VALUE"""),"DE")</f>
        <v>DE</v>
      </c>
      <c r="E1135" s="185" t="str">
        <f>IFERROR(__xludf.DUMMYFUNCTION("""COMPUTED_VALUE"""),"bvdw.org")</f>
        <v>bvdw.org</v>
      </c>
      <c r="F1135" s="185" t="str">
        <f>IFERROR(__xludf.DUMMYFUNCTION("""COMPUTED_VALUE"""),"Other")</f>
        <v>Other</v>
      </c>
      <c r="G1135" s="185" t="str">
        <f>IFERROR(__xludf.DUMMYFUNCTION("""COMPUTED_VALUE"""),"INSTITUTIONAL")</f>
        <v>INSTITUTIONAL</v>
      </c>
      <c r="H1135" s="185" t="str">
        <f>IFERROR(__xludf.DUMMYFUNCTION("""COMPUTED_VALUE"""),"No")</f>
        <v>No</v>
      </c>
      <c r="I1135" s="185" t="str">
        <f>IFERROR(__xludf.DUMMYFUNCTION("""COMPUTED_VALUE"""),"High")</f>
        <v>High</v>
      </c>
      <c r="J1135" s="185" t="str">
        <f>IFERROR(__xludf.DUMMYFUNCTION("""COMPUTED_VALUE"""),"Yes - priority")</f>
        <v>Yes - priority</v>
      </c>
      <c r="K1135" s="185" t="str">
        <f>IFERROR(__xludf.DUMMYFUNCTION("""COMPUTED_VALUE"""),"EY, OMD")</f>
        <v>EY, OMD</v>
      </c>
      <c r="L1135" s="187">
        <f>IFERROR(__xludf.DUMMYFUNCTION("""COMPUTED_VALUE"""),1.0)</f>
        <v>1</v>
      </c>
      <c r="M1135" s="188">
        <f>IFERROR(__xludf.DUMMYFUNCTION("""COMPUTED_VALUE"""),0.0)</f>
        <v>0</v>
      </c>
      <c r="N1135" s="188">
        <f>IFERROR(__xludf.DUMMYFUNCTION("""COMPUTED_VALUE"""),10.0)</f>
        <v>10</v>
      </c>
      <c r="O1135" s="208"/>
      <c r="P1135" s="208"/>
      <c r="Q1135" s="208"/>
      <c r="R1135" s="208"/>
    </row>
    <row r="1136">
      <c r="A1136" s="185" t="str">
        <f>IFERROR(__xludf.DUMMYFUNCTION("""COMPUTED_VALUE"""),"Agency directory / review marketplace")</f>
        <v>Agency directory / review marketplace</v>
      </c>
      <c r="B1136" s="186" t="str">
        <f>IFERROR(__xludf.DUMMYFUNCTION("""COMPUTED_VALUE"""),"https://clutch.co/agencies")</f>
        <v>https://clutch.co/agencies</v>
      </c>
      <c r="C1136" s="185" t="str">
        <f>IFERROR(__xludf.DUMMYFUNCTION("""COMPUTED_VALUE"""),"Top Advertising Agencies &amp;amp; Marketing Companies - Jul 2026 Rankings | Clutch.co")</f>
        <v>Top Advertising Agencies &amp;amp; Marketing Companies - Jul 2026 Rankings | Clutch.co</v>
      </c>
      <c r="D1136" s="185" t="str">
        <f>IFERROR(__xludf.DUMMYFUNCTION("""COMPUTED_VALUE"""),"DE")</f>
        <v>DE</v>
      </c>
      <c r="E1136" s="185" t="str">
        <f>IFERROR(__xludf.DUMMYFUNCTION("""COMPUTED_VALUE"""),"clutch.co")</f>
        <v>clutch.co</v>
      </c>
      <c r="F1136" s="185" t="str">
        <f>IFERROR(__xludf.DUMMYFUNCTION("""COMPUTED_VALUE"""),"Category Page")</f>
        <v>Category Page</v>
      </c>
      <c r="G1136" s="185" t="str">
        <f>IFERROR(__xludf.DUMMYFUNCTION("""COMPUTED_VALUE"""),"CORPORATE")</f>
        <v>CORPORATE</v>
      </c>
      <c r="H1136" s="185" t="str">
        <f>IFERROR(__xludf.DUMMYFUNCTION("""COMPUTED_VALUE"""),"No")</f>
        <v>No</v>
      </c>
      <c r="I1136" s="185" t="str">
        <f>IFERROR(__xludf.DUMMYFUNCTION("""COMPUTED_VALUE"""),"Medium")</f>
        <v>Medium</v>
      </c>
      <c r="J1136" s="185" t="str">
        <f>IFERROR(__xludf.DUMMYFUNCTION("""COMPUTED_VALUE"""),"Yes")</f>
        <v>Yes</v>
      </c>
      <c r="K1136" s="185" t="str">
        <f>IFERROR(__xludf.DUMMYFUNCTION("""COMPUTED_VALUE"""),"Power Digital, SmartSites, WebFX, KlientBoost, Mediacharge, MONSOON")</f>
        <v>Power Digital, SmartSites, WebFX, KlientBoost, Mediacharge, MONSOON</v>
      </c>
      <c r="L1136" s="187">
        <f>IFERROR(__xludf.DUMMYFUNCTION("""COMPUTED_VALUE"""),1.0)</f>
        <v>1</v>
      </c>
      <c r="M1136" s="188">
        <f>IFERROR(__xludf.DUMMYFUNCTION("""COMPUTED_VALUE"""),0.0)</f>
        <v>0</v>
      </c>
      <c r="N1136" s="188">
        <f>IFERROR(__xludf.DUMMYFUNCTION("""COMPUTED_VALUE"""),0.0)</f>
        <v>0</v>
      </c>
      <c r="O1136" s="208"/>
      <c r="P1136" s="208"/>
      <c r="Q1136" s="208"/>
      <c r="R1136" s="208"/>
    </row>
    <row r="1137">
      <c r="A1137" s="185" t="str">
        <f>IFERROR(__xludf.DUMMYFUNCTION("""COMPUTED_VALUE"""),"Agency directory / review marketplace")</f>
        <v>Agency directory / review marketplace</v>
      </c>
      <c r="B1137" s="186" t="str">
        <f>IFERROR(__xludf.DUMMYFUNCTION("""COMPUTED_VALUE"""),"https://clutch.co/agencies/experiential?page=9")</f>
        <v>https://clutch.co/agencies/experiential?page=9</v>
      </c>
      <c r="C1137" s="185" t="str">
        <f>IFERROR(__xludf.DUMMYFUNCTION("""COMPUTED_VALUE"""),"Page 9 - Top Experiential Marketing Agencies - Jul 2026 Rankings \| Clutch.co")</f>
        <v>Page 9 - Top Experiential Marketing Agencies - Jul 2026 Rankings \| Clutch.co</v>
      </c>
      <c r="D1137" s="185" t="str">
        <f>IFERROR(__xludf.DUMMYFUNCTION("""COMPUTED_VALUE"""),"DE")</f>
        <v>DE</v>
      </c>
      <c r="E1137" s="185" t="str">
        <f>IFERROR(__xludf.DUMMYFUNCTION("""COMPUTED_VALUE"""),"clutch.co")</f>
        <v>clutch.co</v>
      </c>
      <c r="F1137" s="185" t="str">
        <f>IFERROR(__xludf.DUMMYFUNCTION("""COMPUTED_VALUE"""),"Category Page")</f>
        <v>Category Page</v>
      </c>
      <c r="G1137" s="185" t="str">
        <f>IFERROR(__xludf.DUMMYFUNCTION("""COMPUTED_VALUE"""),"CORPORATE")</f>
        <v>CORPORATE</v>
      </c>
      <c r="H1137" s="185" t="str">
        <f>IFERROR(__xludf.DUMMYFUNCTION("""COMPUTED_VALUE"""),"No")</f>
        <v>No</v>
      </c>
      <c r="I1137" s="185" t="str">
        <f>IFERROR(__xludf.DUMMYFUNCTION("""COMPUTED_VALUE"""),"Medium")</f>
        <v>Medium</v>
      </c>
      <c r="J1137" s="185" t="str">
        <f>IFERROR(__xludf.DUMMYFUNCTION("""COMPUTED_VALUE"""),"Yes")</f>
        <v>Yes</v>
      </c>
      <c r="K1137" s="185"/>
      <c r="L1137" s="187">
        <f>IFERROR(__xludf.DUMMYFUNCTION("""COMPUTED_VALUE"""),1.0)</f>
        <v>1</v>
      </c>
      <c r="M1137" s="188">
        <f>IFERROR(__xludf.DUMMYFUNCTION("""COMPUTED_VALUE"""),0.0)</f>
        <v>0</v>
      </c>
      <c r="N1137" s="188">
        <f>IFERROR(__xludf.DUMMYFUNCTION("""COMPUTED_VALUE"""),1.0)</f>
        <v>1</v>
      </c>
      <c r="O1137" s="208"/>
      <c r="P1137" s="208"/>
      <c r="Q1137" s="208"/>
      <c r="R1137" s="208"/>
    </row>
    <row r="1138">
      <c r="A1138" s="185" t="str">
        <f>IFERROR(__xludf.DUMMYFUNCTION("""COMPUTED_VALUE"""),"Agency directory / review marketplace")</f>
        <v>Agency directory / review marketplace</v>
      </c>
      <c r="B1138" s="186" t="str">
        <f>IFERROR(__xludf.DUMMYFUNCTION("""COMPUTED_VALUE"""),"https://clutch.co/agencies/media-buying")</f>
        <v>https://clutch.co/agencies/media-buying</v>
      </c>
      <c r="C1138" s="185" t="str">
        <f>IFERROR(__xludf.DUMMYFUNCTION("""COMPUTED_VALUE"""),"Top Media Buying &amp;amp; Planning Agencies - Jul 2026 Rankings | Clutch.co")</f>
        <v>Top Media Buying &amp;amp; Planning Agencies - Jul 2026 Rankings | Clutch.co</v>
      </c>
      <c r="D1138" s="185" t="str">
        <f>IFERROR(__xludf.DUMMYFUNCTION("""COMPUTED_VALUE"""),"DE")</f>
        <v>DE</v>
      </c>
      <c r="E1138" s="185" t="str">
        <f>IFERROR(__xludf.DUMMYFUNCTION("""COMPUTED_VALUE"""),"clutch.co")</f>
        <v>clutch.co</v>
      </c>
      <c r="F1138" s="185" t="str">
        <f>IFERROR(__xludf.DUMMYFUNCTION("""COMPUTED_VALUE"""),"Category Page")</f>
        <v>Category Page</v>
      </c>
      <c r="G1138" s="185" t="str">
        <f>IFERROR(__xludf.DUMMYFUNCTION("""COMPUTED_VALUE"""),"CORPORATE")</f>
        <v>CORPORATE</v>
      </c>
      <c r="H1138" s="185" t="str">
        <f>IFERROR(__xludf.DUMMYFUNCTION("""COMPUTED_VALUE"""),"No")</f>
        <v>No</v>
      </c>
      <c r="I1138" s="185" t="str">
        <f>IFERROR(__xludf.DUMMYFUNCTION("""COMPUTED_VALUE"""),"Medium")</f>
        <v>Medium</v>
      </c>
      <c r="J1138" s="185" t="str">
        <f>IFERROR(__xludf.DUMMYFUNCTION("""COMPUTED_VALUE"""),"Yes")</f>
        <v>Yes</v>
      </c>
      <c r="K1138" s="185" t="str">
        <f>IFERROR(__xludf.DUMMYFUNCTION("""COMPUTED_VALUE"""),"Momentum, REPLUG")</f>
        <v>Momentum, REPLUG</v>
      </c>
      <c r="L1138" s="187">
        <f>IFERROR(__xludf.DUMMYFUNCTION("""COMPUTED_VALUE"""),1.0)</f>
        <v>1</v>
      </c>
      <c r="M1138" s="188">
        <f>IFERROR(__xludf.DUMMYFUNCTION("""COMPUTED_VALUE"""),0.0)</f>
        <v>0</v>
      </c>
      <c r="N1138" s="188">
        <f>IFERROR(__xludf.DUMMYFUNCTION("""COMPUTED_VALUE"""),0.0)</f>
        <v>0</v>
      </c>
      <c r="O1138" s="208"/>
      <c r="P1138" s="208"/>
      <c r="Q1138" s="208"/>
      <c r="R1138" s="208"/>
    </row>
    <row r="1139">
      <c r="A1139" s="185" t="str">
        <f>IFERROR(__xludf.DUMMYFUNCTION("""COMPUTED_VALUE"""),"Agency directory / review marketplace")</f>
        <v>Agency directory / review marketplace</v>
      </c>
      <c r="B1139" s="186" t="str">
        <f>IFERROR(__xludf.DUMMYFUNCTION("""COMPUTED_VALUE"""),"https://clutch.co/agencies/performance-marketing")</f>
        <v>https://clutch.co/agencies/performance-marketing</v>
      </c>
      <c r="C1139" s="185" t="str">
        <f>IFERROR(__xludf.DUMMYFUNCTION("""COMPUTED_VALUE"""),"Top Performance Marketing Agencies - Jul 2026 Rankings | Clutch.co")</f>
        <v>Top Performance Marketing Agencies - Jul 2026 Rankings | Clutch.co</v>
      </c>
      <c r="D1139" s="185" t="str">
        <f>IFERROR(__xludf.DUMMYFUNCTION("""COMPUTED_VALUE"""),"DE")</f>
        <v>DE</v>
      </c>
      <c r="E1139" s="185" t="str">
        <f>IFERROR(__xludf.DUMMYFUNCTION("""COMPUTED_VALUE"""),"clutch.co")</f>
        <v>clutch.co</v>
      </c>
      <c r="F1139" s="185" t="str">
        <f>IFERROR(__xludf.DUMMYFUNCTION("""COMPUTED_VALUE"""),"Category Page")</f>
        <v>Category Page</v>
      </c>
      <c r="G1139" s="185" t="str">
        <f>IFERROR(__xludf.DUMMYFUNCTION("""COMPUTED_VALUE"""),"CORPORATE")</f>
        <v>CORPORATE</v>
      </c>
      <c r="H1139" s="185" t="str">
        <f>IFERROR(__xludf.DUMMYFUNCTION("""COMPUTED_VALUE"""),"No")</f>
        <v>No</v>
      </c>
      <c r="I1139" s="185" t="str">
        <f>IFERROR(__xludf.DUMMYFUNCTION("""COMPUTED_VALUE"""),"Medium")</f>
        <v>Medium</v>
      </c>
      <c r="J1139" s="185" t="str">
        <f>IFERROR(__xludf.DUMMYFUNCTION("""COMPUTED_VALUE"""),"Yes")</f>
        <v>Yes</v>
      </c>
      <c r="K1139" s="185" t="str">
        <f>IFERROR(__xludf.DUMMYFUNCTION("""COMPUTED_VALUE"""),"Disruptive Advertising, Momentum, REPLUG")</f>
        <v>Disruptive Advertising, Momentum, REPLUG</v>
      </c>
      <c r="L1139" s="187">
        <f>IFERROR(__xludf.DUMMYFUNCTION("""COMPUTED_VALUE"""),1.0)</f>
        <v>1</v>
      </c>
      <c r="M1139" s="188">
        <f>IFERROR(__xludf.DUMMYFUNCTION("""COMPUTED_VALUE"""),0.0)</f>
        <v>0</v>
      </c>
      <c r="N1139" s="188">
        <f>IFERROR(__xludf.DUMMYFUNCTION("""COMPUTED_VALUE"""),3.0)</f>
        <v>3</v>
      </c>
      <c r="O1139" s="208"/>
      <c r="P1139" s="208"/>
      <c r="Q1139" s="208"/>
      <c r="R1139" s="208"/>
    </row>
    <row r="1140">
      <c r="A1140" s="185" t="str">
        <f>IFERROR(__xludf.DUMMYFUNCTION("""COMPUTED_VALUE"""),"Agency directory / review marketplace")</f>
        <v>Agency directory / review marketplace</v>
      </c>
      <c r="B1140" s="186" t="str">
        <f>IFERROR(__xludf.DUMMYFUNCTION("""COMPUTED_VALUE"""),"https://clutch.co/agencies/performance-marketing%3Fpage%3D0")</f>
        <v>https://clutch.co/agencies/performance-marketing%3Fpage%3D0</v>
      </c>
      <c r="C1140" s="185" t="str">
        <f>IFERROR(__xludf.DUMMYFUNCTION("""COMPUTED_VALUE"""),"Top Performance Marketing Agencies - Jul 2026 Rankings \| Clutch.co")</f>
        <v>Top Performance Marketing Agencies - Jul 2026 Rankings \| Clutch.co</v>
      </c>
      <c r="D1140" s="185" t="str">
        <f>IFERROR(__xludf.DUMMYFUNCTION("""COMPUTED_VALUE"""),"DE")</f>
        <v>DE</v>
      </c>
      <c r="E1140" s="185" t="str">
        <f>IFERROR(__xludf.DUMMYFUNCTION("""COMPUTED_VALUE"""),"clutch.co")</f>
        <v>clutch.co</v>
      </c>
      <c r="F1140" s="185" t="str">
        <f>IFERROR(__xludf.DUMMYFUNCTION("""COMPUTED_VALUE"""),"Listicle")</f>
        <v>Listicle</v>
      </c>
      <c r="G1140" s="185" t="str">
        <f>IFERROR(__xludf.DUMMYFUNCTION("""COMPUTED_VALUE"""),"CORPORATE")</f>
        <v>CORPORATE</v>
      </c>
      <c r="H1140" s="185" t="str">
        <f>IFERROR(__xludf.DUMMYFUNCTION("""COMPUTED_VALUE"""),"No")</f>
        <v>No</v>
      </c>
      <c r="I1140" s="185" t="str">
        <f>IFERROR(__xludf.DUMMYFUNCTION("""COMPUTED_VALUE"""),"Medium")</f>
        <v>Medium</v>
      </c>
      <c r="J1140" s="185" t="str">
        <f>IFERROR(__xludf.DUMMYFUNCTION("""COMPUTED_VALUE"""),"Yes")</f>
        <v>Yes</v>
      </c>
      <c r="K1140" s="185" t="str">
        <f>IFERROR(__xludf.DUMMYFUNCTION("""COMPUTED_VALUE"""),"Disruptive Advertising, Momentum, REPLUG")</f>
        <v>Disruptive Advertising, Momentum, REPLUG</v>
      </c>
      <c r="L1140" s="187">
        <f>IFERROR(__xludf.DUMMYFUNCTION("""COMPUTED_VALUE"""),1.0)</f>
        <v>1</v>
      </c>
      <c r="M1140" s="188">
        <f>IFERROR(__xludf.DUMMYFUNCTION("""COMPUTED_VALUE"""),0.0)</f>
        <v>0</v>
      </c>
      <c r="N1140" s="188">
        <f>IFERROR(__xludf.DUMMYFUNCTION("""COMPUTED_VALUE"""),0.0)</f>
        <v>0</v>
      </c>
      <c r="O1140" s="208"/>
      <c r="P1140" s="208"/>
      <c r="Q1140" s="208"/>
      <c r="R1140" s="208"/>
    </row>
    <row r="1141">
      <c r="A1141" s="185" t="str">
        <f>IFERROR(__xludf.DUMMYFUNCTION("""COMPUTED_VALUE"""),"Agency directory / review marketplace")</f>
        <v>Agency directory / review marketplace</v>
      </c>
      <c r="B1141" s="186" t="str">
        <f>IFERROR(__xludf.DUMMYFUNCTION("""COMPUTED_VALUE"""),"https://clutch.co/agencies/ppc")</f>
        <v>https://clutch.co/agencies/ppc</v>
      </c>
      <c r="C1141" s="185" t="str">
        <f>IFERROR(__xludf.DUMMYFUNCTION("""COMPUTED_VALUE"""),"Top PPC Agencies - Jul 2026 Rankings | Clutch.co")</f>
        <v>Top PPC Agencies - Jul 2026 Rankings | Clutch.co</v>
      </c>
      <c r="D1141" s="185" t="str">
        <f>IFERROR(__xludf.DUMMYFUNCTION("""COMPUTED_VALUE"""),"DE")</f>
        <v>DE</v>
      </c>
      <c r="E1141" s="185" t="str">
        <f>IFERROR(__xludf.DUMMYFUNCTION("""COMPUTED_VALUE"""),"clutch.co")</f>
        <v>clutch.co</v>
      </c>
      <c r="F1141" s="185" t="str">
        <f>IFERROR(__xludf.DUMMYFUNCTION("""COMPUTED_VALUE"""),"Category Page")</f>
        <v>Category Page</v>
      </c>
      <c r="G1141" s="185" t="str">
        <f>IFERROR(__xludf.DUMMYFUNCTION("""COMPUTED_VALUE"""),"CORPORATE")</f>
        <v>CORPORATE</v>
      </c>
      <c r="H1141" s="185" t="str">
        <f>IFERROR(__xludf.DUMMYFUNCTION("""COMPUTED_VALUE"""),"No")</f>
        <v>No</v>
      </c>
      <c r="I1141" s="185" t="str">
        <f>IFERROR(__xludf.DUMMYFUNCTION("""COMPUTED_VALUE"""),"Medium")</f>
        <v>Medium</v>
      </c>
      <c r="J1141" s="185" t="str">
        <f>IFERROR(__xludf.DUMMYFUNCTION("""COMPUTED_VALUE"""),"Yes")</f>
        <v>Yes</v>
      </c>
      <c r="K1141" s="185" t="str">
        <f>IFERROR(__xludf.DUMMYFUNCTION("""COMPUTED_VALUE"""),"Disruptive Advertising, KlientBoost, Single Grain, SmartSites, Mediacharge")</f>
        <v>Disruptive Advertising, KlientBoost, Single Grain, SmartSites, Mediacharge</v>
      </c>
      <c r="L1141" s="187">
        <f>IFERROR(__xludf.DUMMYFUNCTION("""COMPUTED_VALUE"""),1.0)</f>
        <v>1</v>
      </c>
      <c r="M1141" s="188">
        <f>IFERROR(__xludf.DUMMYFUNCTION("""COMPUTED_VALUE"""),0.0)</f>
        <v>0</v>
      </c>
      <c r="N1141" s="188">
        <f>IFERROR(__xludf.DUMMYFUNCTION("""COMPUTED_VALUE"""),0.0)</f>
        <v>0</v>
      </c>
      <c r="O1141" s="208"/>
      <c r="P1141" s="208"/>
      <c r="Q1141" s="208"/>
      <c r="R1141" s="208"/>
    </row>
    <row r="1142">
      <c r="A1142" s="185" t="str">
        <f>IFERROR(__xludf.DUMMYFUNCTION("""COMPUTED_VALUE"""),"Agency directory / review marketplace")</f>
        <v>Agency directory / review marketplace</v>
      </c>
      <c r="B1142" s="186" t="str">
        <f>IFERROR(__xludf.DUMMYFUNCTION("""COMPUTED_VALUE"""),"https://clutch.co/de/agencies/app-marketing")</f>
        <v>https://clutch.co/de/agencies/app-marketing</v>
      </c>
      <c r="C1142" s="185" t="str">
        <f>IFERROR(__xludf.DUMMYFUNCTION("""COMPUTED_VALUE"""),"Top Mobile Marketing Agencies in Germany - Jul 2026 Rankings | Clutch.co")</f>
        <v>Top Mobile Marketing Agencies in Germany - Jul 2026 Rankings | Clutch.co</v>
      </c>
      <c r="D1142" s="185" t="str">
        <f>IFERROR(__xludf.DUMMYFUNCTION("""COMPUTED_VALUE"""),"DE")</f>
        <v>DE</v>
      </c>
      <c r="E1142" s="185" t="str">
        <f>IFERROR(__xludf.DUMMYFUNCTION("""COMPUTED_VALUE"""),"clutch.co")</f>
        <v>clutch.co</v>
      </c>
      <c r="F1142" s="185" t="str">
        <f>IFERROR(__xludf.DUMMYFUNCTION("""COMPUTED_VALUE"""),"Category Page")</f>
        <v>Category Page</v>
      </c>
      <c r="G1142" s="185" t="str">
        <f>IFERROR(__xludf.DUMMYFUNCTION("""COMPUTED_VALUE"""),"CORPORATE")</f>
        <v>CORPORATE</v>
      </c>
      <c r="H1142" s="185" t="str">
        <f>IFERROR(__xludf.DUMMYFUNCTION("""COMPUTED_VALUE"""),"No")</f>
        <v>No</v>
      </c>
      <c r="I1142" s="185" t="str">
        <f>IFERROR(__xludf.DUMMYFUNCTION("""COMPUTED_VALUE"""),"Medium")</f>
        <v>Medium</v>
      </c>
      <c r="J1142" s="185" t="str">
        <f>IFERROR(__xludf.DUMMYFUNCTION("""COMPUTED_VALUE"""),"Yes")</f>
        <v>Yes</v>
      </c>
      <c r="K1142" s="185" t="str">
        <f>IFERROR(__xludf.DUMMYFUNCTION("""COMPUTED_VALUE"""),"REPLUG, MONSOON, Phiture, Admiral Media, Customlytics, GroupM")</f>
        <v>REPLUG, MONSOON, Phiture, Admiral Media, Customlytics, GroupM</v>
      </c>
      <c r="L1142" s="187">
        <f>IFERROR(__xludf.DUMMYFUNCTION("""COMPUTED_VALUE"""),1.0)</f>
        <v>1</v>
      </c>
      <c r="M1142" s="188">
        <f>IFERROR(__xludf.DUMMYFUNCTION("""COMPUTED_VALUE"""),0.0)</f>
        <v>0</v>
      </c>
      <c r="N1142" s="188">
        <f>IFERROR(__xludf.DUMMYFUNCTION("""COMPUTED_VALUE"""),1.0)</f>
        <v>1</v>
      </c>
      <c r="O1142" s="208"/>
      <c r="P1142" s="208"/>
      <c r="Q1142" s="208"/>
      <c r="R1142" s="208"/>
    </row>
    <row r="1143">
      <c r="A1143" s="185" t="str">
        <f>IFERROR(__xludf.DUMMYFUNCTION("""COMPUTED_VALUE"""),"Agency directory / review marketplace")</f>
        <v>Agency directory / review marketplace</v>
      </c>
      <c r="B1143" s="186" t="str">
        <f>IFERROR(__xludf.DUMMYFUNCTION("""COMPUTED_VALUE"""),"https://clutch.co/de/agencies/digital-marketing?page=3")</f>
        <v>https://clutch.co/de/agencies/digital-marketing?page=3</v>
      </c>
      <c r="C1143" s="185" t="str">
        <f>IFERROR(__xludf.DUMMYFUNCTION("""COMPUTED_VALUE"""),"Page 3 - Top Digital Marketing Agencies in Germany - Jul 2026 Rankings \| Clutch.co")</f>
        <v>Page 3 - Top Digital Marketing Agencies in Germany - Jul 2026 Rankings \| Clutch.co</v>
      </c>
      <c r="D1143" s="185" t="str">
        <f>IFERROR(__xludf.DUMMYFUNCTION("""COMPUTED_VALUE"""),"DE")</f>
        <v>DE</v>
      </c>
      <c r="E1143" s="185" t="str">
        <f>IFERROR(__xludf.DUMMYFUNCTION("""COMPUTED_VALUE"""),"clutch.co")</f>
        <v>clutch.co</v>
      </c>
      <c r="F1143" s="185" t="str">
        <f>IFERROR(__xludf.DUMMYFUNCTION("""COMPUTED_VALUE"""),"Category Page")</f>
        <v>Category Page</v>
      </c>
      <c r="G1143" s="185" t="str">
        <f>IFERROR(__xludf.DUMMYFUNCTION("""COMPUTED_VALUE"""),"CORPORATE")</f>
        <v>CORPORATE</v>
      </c>
      <c r="H1143" s="185" t="str">
        <f>IFERROR(__xludf.DUMMYFUNCTION("""COMPUTED_VALUE"""),"No")</f>
        <v>No</v>
      </c>
      <c r="I1143" s="185" t="str">
        <f>IFERROR(__xludf.DUMMYFUNCTION("""COMPUTED_VALUE"""),"Medium")</f>
        <v>Medium</v>
      </c>
      <c r="J1143" s="185" t="str">
        <f>IFERROR(__xludf.DUMMYFUNCTION("""COMPUTED_VALUE"""),"Yes")</f>
        <v>Yes</v>
      </c>
      <c r="K1143" s="185" t="str">
        <f>IFERROR(__xludf.DUMMYFUNCTION("""COMPUTED_VALUE"""),"MONSOON, Mediacharge, REPLUG, Claneo, Peak Ace, morefire, Think11, eMinded GmbH, GroupM, Löwenstark, Medialabel, DEPT, Admiral Media, Phiture, HECHT INS GEFECHT, HY.AM STUDIOS")</f>
        <v>MONSOON, Mediacharge, REPLUG, Claneo, Peak Ace, morefire, Think11, eMinded GmbH, GroupM, Löwenstark, Medialabel, DEPT, Admiral Media, Phiture, HECHT INS GEFECHT, HY.AM STUDIOS</v>
      </c>
      <c r="L1143" s="187">
        <f>IFERROR(__xludf.DUMMYFUNCTION("""COMPUTED_VALUE"""),1.0)</f>
        <v>1</v>
      </c>
      <c r="M1143" s="188">
        <f>IFERROR(__xludf.DUMMYFUNCTION("""COMPUTED_VALUE"""),0.0)</f>
        <v>0</v>
      </c>
      <c r="N1143" s="188">
        <f>IFERROR(__xludf.DUMMYFUNCTION("""COMPUTED_VALUE"""),0.0)</f>
        <v>0</v>
      </c>
      <c r="O1143" s="208"/>
      <c r="P1143" s="208"/>
      <c r="Q1143" s="208"/>
      <c r="R1143" s="208"/>
    </row>
    <row r="1144">
      <c r="A1144" s="185" t="str">
        <f>IFERROR(__xludf.DUMMYFUNCTION("""COMPUTED_VALUE"""),"Agency directory / review marketplace")</f>
        <v>Agency directory / review marketplace</v>
      </c>
      <c r="B1144" s="186" t="str">
        <f>IFERROR(__xludf.DUMMYFUNCTION("""COMPUTED_VALUE"""),"https://clutch.co/de/agencies/market-research/berlin")</f>
        <v>https://clutch.co/de/agencies/market-research/berlin</v>
      </c>
      <c r="C1144" s="185" t="str">
        <f>IFERROR(__xludf.DUMMYFUNCTION("""COMPUTED_VALUE"""),"Top Market Research Companies in Berlin - Jul 2026 Rankings | Clutch.co")</f>
        <v>Top Market Research Companies in Berlin - Jul 2026 Rankings | Clutch.co</v>
      </c>
      <c r="D1144" s="185" t="str">
        <f>IFERROR(__xludf.DUMMYFUNCTION("""COMPUTED_VALUE"""),"DE")</f>
        <v>DE</v>
      </c>
      <c r="E1144" s="185" t="str">
        <f>IFERROR(__xludf.DUMMYFUNCTION("""COMPUTED_VALUE"""),"clutch.co")</f>
        <v>clutch.co</v>
      </c>
      <c r="F1144" s="185" t="str">
        <f>IFERROR(__xludf.DUMMYFUNCTION("""COMPUTED_VALUE"""),"Category Page")</f>
        <v>Category Page</v>
      </c>
      <c r="G1144" s="185" t="str">
        <f>IFERROR(__xludf.DUMMYFUNCTION("""COMPUTED_VALUE"""),"CORPORATE")</f>
        <v>CORPORATE</v>
      </c>
      <c r="H1144" s="185" t="str">
        <f>IFERROR(__xludf.DUMMYFUNCTION("""COMPUTED_VALUE"""),"No")</f>
        <v>No</v>
      </c>
      <c r="I1144" s="185" t="str">
        <f>IFERROR(__xludf.DUMMYFUNCTION("""COMPUTED_VALUE"""),"Medium")</f>
        <v>Medium</v>
      </c>
      <c r="J1144" s="185" t="str">
        <f>IFERROR(__xludf.DUMMYFUNCTION("""COMPUTED_VALUE"""),"Yes")</f>
        <v>Yes</v>
      </c>
      <c r="K1144" s="185" t="str">
        <f>IFERROR(__xludf.DUMMYFUNCTION("""COMPUTED_VALUE"""),"LNQP GmbH")</f>
        <v>LNQP GmbH</v>
      </c>
      <c r="L1144" s="187">
        <f>IFERROR(__xludf.DUMMYFUNCTION("""COMPUTED_VALUE"""),1.0)</f>
        <v>1</v>
      </c>
      <c r="M1144" s="188">
        <f>IFERROR(__xludf.DUMMYFUNCTION("""COMPUTED_VALUE"""),0.0)</f>
        <v>0</v>
      </c>
      <c r="N1144" s="188">
        <f>IFERROR(__xludf.DUMMYFUNCTION("""COMPUTED_VALUE"""),1.0)</f>
        <v>1</v>
      </c>
      <c r="O1144" s="208"/>
      <c r="P1144" s="208"/>
      <c r="Q1144" s="208"/>
      <c r="R1144" s="208"/>
    </row>
    <row r="1145">
      <c r="A1145" s="185" t="str">
        <f>IFERROR(__xludf.DUMMYFUNCTION("""COMPUTED_VALUE"""),"Agency directory / review marketplace")</f>
        <v>Agency directory / review marketplace</v>
      </c>
      <c r="B1145" s="186" t="str">
        <f>IFERROR(__xludf.DUMMYFUNCTION("""COMPUTED_VALUE"""),"https://clutch.co/de/agencies/ppc/berlin")</f>
        <v>https://clutch.co/de/agencies/ppc/berlin</v>
      </c>
      <c r="C1145" s="185" t="str">
        <f>IFERROR(__xludf.DUMMYFUNCTION("""COMPUTED_VALUE"""),"Top PPC Agencies in Berlin - Jul 2026 Rankings | Clutch.co")</f>
        <v>Top PPC Agencies in Berlin - Jul 2026 Rankings | Clutch.co</v>
      </c>
      <c r="D1145" s="185" t="str">
        <f>IFERROR(__xludf.DUMMYFUNCTION("""COMPUTED_VALUE"""),"DE")</f>
        <v>DE</v>
      </c>
      <c r="E1145" s="185" t="str">
        <f>IFERROR(__xludf.DUMMYFUNCTION("""COMPUTED_VALUE"""),"clutch.co")</f>
        <v>clutch.co</v>
      </c>
      <c r="F1145" s="185" t="str">
        <f>IFERROR(__xludf.DUMMYFUNCTION("""COMPUTED_VALUE"""),"Category Page")</f>
        <v>Category Page</v>
      </c>
      <c r="G1145" s="185" t="str">
        <f>IFERROR(__xludf.DUMMYFUNCTION("""COMPUTED_VALUE"""),"CORPORATE")</f>
        <v>CORPORATE</v>
      </c>
      <c r="H1145" s="185" t="str">
        <f>IFERROR(__xludf.DUMMYFUNCTION("""COMPUTED_VALUE"""),"No")</f>
        <v>No</v>
      </c>
      <c r="I1145" s="185" t="str">
        <f>IFERROR(__xludf.DUMMYFUNCTION("""COMPUTED_VALUE"""),"Medium")</f>
        <v>Medium</v>
      </c>
      <c r="J1145" s="185" t="str">
        <f>IFERROR(__xludf.DUMMYFUNCTION("""COMPUTED_VALUE"""),"Yes")</f>
        <v>Yes</v>
      </c>
      <c r="K1145" s="185" t="str">
        <f>IFERROR(__xludf.DUMMYFUNCTION("""COMPUTED_VALUE"""),"Mediacharge, MONSOON, REPLUG, Smarketer, Peak Ace, Medialabel")</f>
        <v>Mediacharge, MONSOON, REPLUG, Smarketer, Peak Ace, Medialabel</v>
      </c>
      <c r="L1145" s="187">
        <f>IFERROR(__xludf.DUMMYFUNCTION("""COMPUTED_VALUE"""),1.0)</f>
        <v>1</v>
      </c>
      <c r="M1145" s="188">
        <f>IFERROR(__xludf.DUMMYFUNCTION("""COMPUTED_VALUE"""),0.0)</f>
        <v>0</v>
      </c>
      <c r="N1145" s="188">
        <f>IFERROR(__xludf.DUMMYFUNCTION("""COMPUTED_VALUE"""),1.0)</f>
        <v>1</v>
      </c>
      <c r="O1145" s="208"/>
      <c r="P1145" s="208"/>
      <c r="Q1145" s="208"/>
      <c r="R1145" s="208"/>
    </row>
    <row r="1146">
      <c r="A1146" s="185" t="str">
        <f>IFERROR(__xludf.DUMMYFUNCTION("""COMPUTED_VALUE"""),"Agency directory / review marketplace")</f>
        <v>Agency directory / review marketplace</v>
      </c>
      <c r="B1146" s="186" t="str">
        <f>IFERROR(__xludf.DUMMYFUNCTION("""COMPUTED_VALUE"""),"https://clutch.co/de/agencies/ppc/google-adwords")</f>
        <v>https://clutch.co/de/agencies/ppc/google-adwords</v>
      </c>
      <c r="C1146" s="185" t="str">
        <f>IFERROR(__xludf.DUMMYFUNCTION("""COMPUTED_VALUE"""),"Top Adwords PPC Agencies in Germany - Jul 2026 Rankings \| Clutch.co")</f>
        <v>Top Adwords PPC Agencies in Germany - Jul 2026 Rankings \| Clutch.co</v>
      </c>
      <c r="D1146" s="185" t="str">
        <f>IFERROR(__xludf.DUMMYFUNCTION("""COMPUTED_VALUE"""),"DE")</f>
        <v>DE</v>
      </c>
      <c r="E1146" s="185" t="str">
        <f>IFERROR(__xludf.DUMMYFUNCTION("""COMPUTED_VALUE"""),"clutch.co")</f>
        <v>clutch.co</v>
      </c>
      <c r="F1146" s="185" t="str">
        <f>IFERROR(__xludf.DUMMYFUNCTION("""COMPUTED_VALUE"""),"Category Page")</f>
        <v>Category Page</v>
      </c>
      <c r="G1146" s="185" t="str">
        <f>IFERROR(__xludf.DUMMYFUNCTION("""COMPUTED_VALUE"""),"CORPORATE")</f>
        <v>CORPORATE</v>
      </c>
      <c r="H1146" s="185" t="str">
        <f>IFERROR(__xludf.DUMMYFUNCTION("""COMPUTED_VALUE"""),"No")</f>
        <v>No</v>
      </c>
      <c r="I1146" s="185" t="str">
        <f>IFERROR(__xludf.DUMMYFUNCTION("""COMPUTED_VALUE"""),"Medium")</f>
        <v>Medium</v>
      </c>
      <c r="J1146" s="185" t="str">
        <f>IFERROR(__xludf.DUMMYFUNCTION("""COMPUTED_VALUE"""),"Yes")</f>
        <v>Yes</v>
      </c>
      <c r="K1146" s="185" t="str">
        <f>IFERROR(__xludf.DUMMYFUNCTION("""COMPUTED_VALUE"""),"Mediacharge, MONSOON, Seeders, KlickPiloten, Smarketer, eMinded GmbH, Peak Ace")</f>
        <v>Mediacharge, MONSOON, Seeders, KlickPiloten, Smarketer, eMinded GmbH, Peak Ace</v>
      </c>
      <c r="L1146" s="187">
        <f>IFERROR(__xludf.DUMMYFUNCTION("""COMPUTED_VALUE"""),1.0)</f>
        <v>1</v>
      </c>
      <c r="M1146" s="188">
        <f>IFERROR(__xludf.DUMMYFUNCTION("""COMPUTED_VALUE"""),0.0)</f>
        <v>0</v>
      </c>
      <c r="N1146" s="188">
        <f>IFERROR(__xludf.DUMMYFUNCTION("""COMPUTED_VALUE"""),0.0)</f>
        <v>0</v>
      </c>
      <c r="O1146" s="208"/>
      <c r="P1146" s="208"/>
      <c r="Q1146" s="208"/>
      <c r="R1146" s="208"/>
    </row>
    <row r="1147">
      <c r="A1147" s="185" t="str">
        <f>IFERROR(__xludf.DUMMYFUNCTION("""COMPUTED_VALUE"""),"Agency directory / review marketplace")</f>
        <v>Agency directory / review marketplace</v>
      </c>
      <c r="B1147" s="186" t="str">
        <f>IFERROR(__xludf.DUMMYFUNCTION("""COMPUTED_VALUE"""),"https://clutch.co/de/agencies/social-media-marketing/berlin")</f>
        <v>https://clutch.co/de/agencies/social-media-marketing/berlin</v>
      </c>
      <c r="C1147" s="185" t="str">
        <f>IFERROR(__xludf.DUMMYFUNCTION("""COMPUTED_VALUE"""),"Top Social Media Marketing Agencies in Berlin - Jul 2026 Rankings \| Clutch.co")</f>
        <v>Top Social Media Marketing Agencies in Berlin - Jul 2026 Rankings \| Clutch.co</v>
      </c>
      <c r="D1147" s="185" t="str">
        <f>IFERROR(__xludf.DUMMYFUNCTION("""COMPUTED_VALUE"""),"DE")</f>
        <v>DE</v>
      </c>
      <c r="E1147" s="185" t="str">
        <f>IFERROR(__xludf.DUMMYFUNCTION("""COMPUTED_VALUE"""),"clutch.co")</f>
        <v>clutch.co</v>
      </c>
      <c r="F1147" s="185" t="str">
        <f>IFERROR(__xludf.DUMMYFUNCTION("""COMPUTED_VALUE"""),"Category Page")</f>
        <v>Category Page</v>
      </c>
      <c r="G1147" s="185" t="str">
        <f>IFERROR(__xludf.DUMMYFUNCTION("""COMPUTED_VALUE"""),"CORPORATE")</f>
        <v>CORPORATE</v>
      </c>
      <c r="H1147" s="185" t="str">
        <f>IFERROR(__xludf.DUMMYFUNCTION("""COMPUTED_VALUE"""),"No")</f>
        <v>No</v>
      </c>
      <c r="I1147" s="185" t="str">
        <f>IFERROR(__xludf.DUMMYFUNCTION("""COMPUTED_VALUE"""),"Medium")</f>
        <v>Medium</v>
      </c>
      <c r="J1147" s="185" t="str">
        <f>IFERROR(__xludf.DUMMYFUNCTION("""COMPUTED_VALUE"""),"Yes")</f>
        <v>Yes</v>
      </c>
      <c r="K1147" s="185" t="str">
        <f>IFERROR(__xludf.DUMMYFUNCTION("""COMPUTED_VALUE"""),"MONSOON, Mediacharge, PANORAMA3000, PwC, HY.AM STUDIOS, Huge, Pulse Advertising, Medialabel")</f>
        <v>MONSOON, Mediacharge, PANORAMA3000, PwC, HY.AM STUDIOS, Huge, Pulse Advertising, Medialabel</v>
      </c>
      <c r="L1147" s="187">
        <f>IFERROR(__xludf.DUMMYFUNCTION("""COMPUTED_VALUE"""),1.0)</f>
        <v>1</v>
      </c>
      <c r="M1147" s="188">
        <f>IFERROR(__xludf.DUMMYFUNCTION("""COMPUTED_VALUE"""),0.0)</f>
        <v>0</v>
      </c>
      <c r="N1147" s="188">
        <f>IFERROR(__xludf.DUMMYFUNCTION("""COMPUTED_VALUE"""),1.0)</f>
        <v>1</v>
      </c>
      <c r="O1147" s="208"/>
      <c r="P1147" s="208"/>
      <c r="Q1147" s="208"/>
      <c r="R1147" s="208"/>
    </row>
    <row r="1148">
      <c r="A1148" s="185" t="str">
        <f>IFERROR(__xludf.DUMMYFUNCTION("""COMPUTED_VALUE"""),"Agency directory / review marketplace")</f>
        <v>Agency directory / review marketplace</v>
      </c>
      <c r="B1148" s="186" t="str">
        <f>IFERROR(__xludf.DUMMYFUNCTION("""COMPUTED_VALUE"""),"https://clutch.co/de/agencies/social-media-marketing/influencer/tiktok")</f>
        <v>https://clutch.co/de/agencies/social-media-marketing/influencer/tiktok</v>
      </c>
      <c r="C1148" s="185" t="str">
        <f>IFERROR(__xludf.DUMMYFUNCTION("""COMPUTED_VALUE"""),"Top TikTok Influencer Marketing Agencies in Germany - Jul 2026 Rankings \| Clutch.co")</f>
        <v>Top TikTok Influencer Marketing Agencies in Germany - Jul 2026 Rankings \| Clutch.co</v>
      </c>
      <c r="D1148" s="185" t="str">
        <f>IFERROR(__xludf.DUMMYFUNCTION("""COMPUTED_VALUE"""),"DE")</f>
        <v>DE</v>
      </c>
      <c r="E1148" s="185" t="str">
        <f>IFERROR(__xludf.DUMMYFUNCTION("""COMPUTED_VALUE"""),"clutch.co")</f>
        <v>clutch.co</v>
      </c>
      <c r="F1148" s="185" t="str">
        <f>IFERROR(__xludf.DUMMYFUNCTION("""COMPUTED_VALUE"""),"Category Page")</f>
        <v>Category Page</v>
      </c>
      <c r="G1148" s="185" t="str">
        <f>IFERROR(__xludf.DUMMYFUNCTION("""COMPUTED_VALUE"""),"CORPORATE")</f>
        <v>CORPORATE</v>
      </c>
      <c r="H1148" s="185" t="str">
        <f>IFERROR(__xludf.DUMMYFUNCTION("""COMPUTED_VALUE"""),"No")</f>
        <v>No</v>
      </c>
      <c r="I1148" s="185" t="str">
        <f>IFERROR(__xludf.DUMMYFUNCTION("""COMPUTED_VALUE"""),"Medium")</f>
        <v>Medium</v>
      </c>
      <c r="J1148" s="185" t="str">
        <f>IFERROR(__xludf.DUMMYFUNCTION("""COMPUTED_VALUE"""),"Yes")</f>
        <v>Yes</v>
      </c>
      <c r="K1148" s="185" t="str">
        <f>IFERROR(__xludf.DUMMYFUNCTION("""COMPUTED_VALUE"""),"PANORAMA3000, Pulse Advertising, Medialabel, Haus, Mediaplus Group")</f>
        <v>PANORAMA3000, Pulse Advertising, Medialabel, Haus, Mediaplus Group</v>
      </c>
      <c r="L1148" s="187">
        <f>IFERROR(__xludf.DUMMYFUNCTION("""COMPUTED_VALUE"""),1.0)</f>
        <v>1</v>
      </c>
      <c r="M1148" s="188">
        <f>IFERROR(__xludf.DUMMYFUNCTION("""COMPUTED_VALUE"""),0.0)</f>
        <v>0</v>
      </c>
      <c r="N1148" s="188">
        <f>IFERROR(__xludf.DUMMYFUNCTION("""COMPUTED_VALUE"""),0.0)</f>
        <v>0</v>
      </c>
      <c r="O1148" s="208"/>
      <c r="P1148" s="208"/>
      <c r="Q1148" s="208"/>
      <c r="R1148" s="208"/>
    </row>
    <row r="1149">
      <c r="A1149" s="185" t="str">
        <f>IFERROR(__xludf.DUMMYFUNCTION("""COMPUTED_VALUE"""),"Agency directory / review marketplace")</f>
        <v>Agency directory / review marketplace</v>
      </c>
      <c r="B1149" s="186" t="str">
        <f>IFERROR(__xludf.DUMMYFUNCTION("""COMPUTED_VALUE"""),"https://clutch.co/de/agencies/social-media-marketing?page=3")</f>
        <v>https://clutch.co/de/agencies/social-media-marketing?page=3</v>
      </c>
      <c r="C1149" s="185" t="str">
        <f>IFERROR(__xludf.DUMMYFUNCTION("""COMPUTED_VALUE"""),"Page 3 - Top Social Media Marketing Companies in Germany - Jul 2026 Rankings \| Clutch.co")</f>
        <v>Page 3 - Top Social Media Marketing Companies in Germany - Jul 2026 Rankings \| Clutch.co</v>
      </c>
      <c r="D1149" s="185" t="str">
        <f>IFERROR(__xludf.DUMMYFUNCTION("""COMPUTED_VALUE"""),"DE")</f>
        <v>DE</v>
      </c>
      <c r="E1149" s="185" t="str">
        <f>IFERROR(__xludf.DUMMYFUNCTION("""COMPUTED_VALUE"""),"clutch.co")</f>
        <v>clutch.co</v>
      </c>
      <c r="F1149" s="185" t="str">
        <f>IFERROR(__xludf.DUMMYFUNCTION("""COMPUTED_VALUE"""),"Category Page")</f>
        <v>Category Page</v>
      </c>
      <c r="G1149" s="185" t="str">
        <f>IFERROR(__xludf.DUMMYFUNCTION("""COMPUTED_VALUE"""),"CORPORATE")</f>
        <v>CORPORATE</v>
      </c>
      <c r="H1149" s="185" t="str">
        <f>IFERROR(__xludf.DUMMYFUNCTION("""COMPUTED_VALUE"""),"No")</f>
        <v>No</v>
      </c>
      <c r="I1149" s="185" t="str">
        <f>IFERROR(__xludf.DUMMYFUNCTION("""COMPUTED_VALUE"""),"Medium")</f>
        <v>Medium</v>
      </c>
      <c r="J1149" s="185" t="str">
        <f>IFERROR(__xludf.DUMMYFUNCTION("""COMPUTED_VALUE"""),"Yes")</f>
        <v>Yes</v>
      </c>
      <c r="K1149" s="185" t="str">
        <f>IFERROR(__xludf.DUMMYFUNCTION("""COMPUTED_VALUE"""),"MONSOON, Mediacharge, Haus, HY.AM STUDIOS, PANORAMA3000, Digitalyze, KlickPiloten")</f>
        <v>MONSOON, Mediacharge, Haus, HY.AM STUDIOS, PANORAMA3000, Digitalyze, KlickPiloten</v>
      </c>
      <c r="L1149" s="187">
        <f>IFERROR(__xludf.DUMMYFUNCTION("""COMPUTED_VALUE"""),1.0)</f>
        <v>1</v>
      </c>
      <c r="M1149" s="188">
        <f>IFERROR(__xludf.DUMMYFUNCTION("""COMPUTED_VALUE"""),0.0)</f>
        <v>0</v>
      </c>
      <c r="N1149" s="188">
        <f>IFERROR(__xludf.DUMMYFUNCTION("""COMPUTED_VALUE"""),0.0)</f>
        <v>0</v>
      </c>
      <c r="O1149" s="208"/>
      <c r="P1149" s="208"/>
      <c r="Q1149" s="208"/>
      <c r="R1149" s="208"/>
    </row>
    <row r="1150">
      <c r="A1150" s="185" t="str">
        <f>IFERROR(__xludf.DUMMYFUNCTION("""COMPUTED_VALUE"""),"Agency directory / review marketplace")</f>
        <v>Agency directory / review marketplace</v>
      </c>
      <c r="B1150" s="186" t="str">
        <f>IFERROR(__xludf.DUMMYFUNCTION("""COMPUTED_VALUE"""),"https://clutch.co/de/it-services/master-data-management-consulting")</f>
        <v>https://clutch.co/de/it-services/master-data-management-consulting</v>
      </c>
      <c r="C1150" s="185" t="str">
        <f>IFERROR(__xludf.DUMMYFUNCTION("""COMPUTED_VALUE"""),"Top MDM Consultants in Germany - Jul 2026 Rankings \| Clutch.co")</f>
        <v>Top MDM Consultants in Germany - Jul 2026 Rankings \| Clutch.co</v>
      </c>
      <c r="D1150" s="185" t="str">
        <f>IFERROR(__xludf.DUMMYFUNCTION("""COMPUTED_VALUE"""),"DE")</f>
        <v>DE</v>
      </c>
      <c r="E1150" s="185" t="str">
        <f>IFERROR(__xludf.DUMMYFUNCTION("""COMPUTED_VALUE"""),"clutch.co")</f>
        <v>clutch.co</v>
      </c>
      <c r="F1150" s="185" t="str">
        <f>IFERROR(__xludf.DUMMYFUNCTION("""COMPUTED_VALUE"""),"Category Page")</f>
        <v>Category Page</v>
      </c>
      <c r="G1150" s="185" t="str">
        <f>IFERROR(__xludf.DUMMYFUNCTION("""COMPUTED_VALUE"""),"CORPORATE")</f>
        <v>CORPORATE</v>
      </c>
      <c r="H1150" s="185" t="str">
        <f>IFERROR(__xludf.DUMMYFUNCTION("""COMPUTED_VALUE"""),"No")</f>
        <v>No</v>
      </c>
      <c r="I1150" s="185" t="str">
        <f>IFERROR(__xludf.DUMMYFUNCTION("""COMPUTED_VALUE"""),"Medium")</f>
        <v>Medium</v>
      </c>
      <c r="J1150" s="185" t="str">
        <f>IFERROR(__xludf.DUMMYFUNCTION("""COMPUTED_VALUE"""),"Yes")</f>
        <v>Yes</v>
      </c>
      <c r="K1150" s="185"/>
      <c r="L1150" s="187">
        <f>IFERROR(__xludf.DUMMYFUNCTION("""COMPUTED_VALUE"""),1.0)</f>
        <v>1</v>
      </c>
      <c r="M1150" s="188">
        <f>IFERROR(__xludf.DUMMYFUNCTION("""COMPUTED_VALUE"""),0.0)</f>
        <v>0</v>
      </c>
      <c r="N1150" s="188">
        <f>IFERROR(__xludf.DUMMYFUNCTION("""COMPUTED_VALUE"""),0.0)</f>
        <v>0</v>
      </c>
      <c r="O1150" s="208"/>
      <c r="P1150" s="208"/>
      <c r="Q1150" s="208"/>
      <c r="R1150" s="208"/>
    </row>
    <row r="1151">
      <c r="A1151" s="185" t="str">
        <f>IFERROR(__xludf.DUMMYFUNCTION("""COMPUTED_VALUE"""),"Lower-priority competitor/vendor roundup")</f>
        <v>Lower-priority competitor/vendor roundup</v>
      </c>
      <c r="B1151" s="186" t="str">
        <f>IFERROR(__xludf.DUMMYFUNCTION("""COMPUTED_VALUE"""),"https://www.cometly.com/post/ad-campaign-performance-analysis-methods")</f>
        <v>https://www.cometly.com/post/ad-campaign-performance-analysis-methods</v>
      </c>
      <c r="C1151" s="185" t="str">
        <f>IFERROR(__xludf.DUMMYFUNCTION("""COMPUTED_VALUE"""),"Ad Campaign Performance Analysis Methods: 7 Proven Tips")</f>
        <v>Ad Campaign Performance Analysis Methods: 7 Proven Tips</v>
      </c>
      <c r="D1151" s="185" t="str">
        <f>IFERROR(__xludf.DUMMYFUNCTION("""COMPUTED_VALUE"""),"DE")</f>
        <v>DE</v>
      </c>
      <c r="E1151" s="185" t="str">
        <f>IFERROR(__xludf.DUMMYFUNCTION("""COMPUTED_VALUE"""),"cometly.com")</f>
        <v>cometly.com</v>
      </c>
      <c r="F1151" s="185" t="str">
        <f>IFERROR(__xludf.DUMMYFUNCTION("""COMPUTED_VALUE"""),"Listicle")</f>
        <v>Listicle</v>
      </c>
      <c r="G1151" s="185" t="str">
        <f>IFERROR(__xludf.DUMMYFUNCTION("""COMPUTED_VALUE"""),"COMPETITOR")</f>
        <v>COMPETITOR</v>
      </c>
      <c r="H1151" s="185" t="str">
        <f>IFERROR(__xludf.DUMMYFUNCTION("""COMPUTED_VALUE"""),"No")</f>
        <v>No</v>
      </c>
      <c r="I1151" s="185" t="str">
        <f>IFERROR(__xludf.DUMMYFUNCTION("""COMPUTED_VALUE"""),"Low")</f>
        <v>Low</v>
      </c>
      <c r="J1151" s="185" t="str">
        <f>IFERROR(__xludf.DUMMYFUNCTION("""COMPUTED_VALUE"""),"Secondary")</f>
        <v>Secondary</v>
      </c>
      <c r="K1151" s="185" t="str">
        <f>IFERROR(__xludf.DUMMYFUNCTION("""COMPUTED_VALUE"""),"Cometly, Measured")</f>
        <v>Cometly, Measured</v>
      </c>
      <c r="L1151" s="187">
        <f>IFERROR(__xludf.DUMMYFUNCTION("""COMPUTED_VALUE"""),1.0)</f>
        <v>1</v>
      </c>
      <c r="M1151" s="188">
        <f>IFERROR(__xludf.DUMMYFUNCTION("""COMPUTED_VALUE"""),0.0)</f>
        <v>0</v>
      </c>
      <c r="N1151" s="188">
        <f>IFERROR(__xludf.DUMMYFUNCTION("""COMPUTED_VALUE"""),1.0)</f>
        <v>1</v>
      </c>
      <c r="O1151" s="208"/>
      <c r="P1151" s="208"/>
      <c r="Q1151" s="208"/>
      <c r="R1151" s="208"/>
    </row>
    <row r="1152">
      <c r="A1152" s="185" t="str">
        <f>IFERROR(__xludf.DUMMYFUNCTION("""COMPUTED_VALUE"""),"Lower-priority competitor/vendor roundup")</f>
        <v>Lower-priority competitor/vendor roundup</v>
      </c>
      <c r="B1152" s="186" t="str">
        <f>IFERROR(__xludf.DUMMYFUNCTION("""COMPUTED_VALUE"""),"https://www.cometly.com/post/agency-marketing-attribution-tools")</f>
        <v>https://www.cometly.com/post/agency-marketing-attribution-tools</v>
      </c>
      <c r="C1152" s="185" t="str">
        <f>IFERROR(__xludf.DUMMYFUNCTION("""COMPUTED_VALUE"""),"Top Agency Marketing Attribution Tools for 2026 Tips")</f>
        <v>Top Agency Marketing Attribution Tools for 2026 Tips</v>
      </c>
      <c r="D1152" s="185" t="str">
        <f>IFERROR(__xludf.DUMMYFUNCTION("""COMPUTED_VALUE"""),"DE")</f>
        <v>DE</v>
      </c>
      <c r="E1152" s="185" t="str">
        <f>IFERROR(__xludf.DUMMYFUNCTION("""COMPUTED_VALUE"""),"cometly.com")</f>
        <v>cometly.com</v>
      </c>
      <c r="F1152" s="185" t="str">
        <f>IFERROR(__xludf.DUMMYFUNCTION("""COMPUTED_VALUE"""),"Listicle")</f>
        <v>Listicle</v>
      </c>
      <c r="G1152" s="185" t="str">
        <f>IFERROR(__xludf.DUMMYFUNCTION("""COMPUTED_VALUE"""),"COMPETITOR")</f>
        <v>COMPETITOR</v>
      </c>
      <c r="H1152" s="185" t="str">
        <f>IFERROR(__xludf.DUMMYFUNCTION("""COMPUTED_VALUE"""),"No")</f>
        <v>No</v>
      </c>
      <c r="I1152" s="185" t="str">
        <f>IFERROR(__xludf.DUMMYFUNCTION("""COMPUTED_VALUE"""),"Low")</f>
        <v>Low</v>
      </c>
      <c r="J1152" s="185" t="str">
        <f>IFERROR(__xludf.DUMMYFUNCTION("""COMPUTED_VALUE"""),"Secondary")</f>
        <v>Secondary</v>
      </c>
      <c r="K1152" s="185" t="str">
        <f>IFERROR(__xludf.DUMMYFUNCTION("""COMPUTED_VALUE"""),"Cometly, Triple Whale, Northbeam, Rockerbox, Ruler Analytics, Dreamdata")</f>
        <v>Cometly, Triple Whale, Northbeam, Rockerbox, Ruler Analytics, Dreamdata</v>
      </c>
      <c r="L1152" s="187">
        <f>IFERROR(__xludf.DUMMYFUNCTION("""COMPUTED_VALUE"""),1.0)</f>
        <v>1</v>
      </c>
      <c r="M1152" s="188">
        <f>IFERROR(__xludf.DUMMYFUNCTION("""COMPUTED_VALUE"""),0.0)</f>
        <v>0</v>
      </c>
      <c r="N1152" s="188">
        <f>IFERROR(__xludf.DUMMYFUNCTION("""COMPUTED_VALUE"""),1.0)</f>
        <v>1</v>
      </c>
      <c r="O1152" s="208"/>
      <c r="P1152" s="208"/>
      <c r="Q1152" s="208"/>
      <c r="R1152" s="208"/>
    </row>
    <row r="1153">
      <c r="A1153" s="185" t="str">
        <f>IFERROR(__xludf.DUMMYFUNCTION("""COMPUTED_VALUE"""),"Lower-priority competitor/vendor roundup")</f>
        <v>Lower-priority competitor/vendor roundup</v>
      </c>
      <c r="B1153" s="186" t="str">
        <f>IFERROR(__xludf.DUMMYFUNCTION("""COMPUTED_VALUE"""),"https://www.cometly.com/post/ai-powered-ad-optimization-platform")</f>
        <v>https://www.cometly.com/post/ai-powered-ad-optimization-platform</v>
      </c>
      <c r="C1153" s="185" t="str">
        <f>IFERROR(__xludf.DUMMYFUNCTION("""COMPUTED_VALUE"""),"9 Best AI Powered Ad Optimization Platforms 2026 Guide")</f>
        <v>9 Best AI Powered Ad Optimization Platforms 2026 Guide</v>
      </c>
      <c r="D1153" s="185" t="str">
        <f>IFERROR(__xludf.DUMMYFUNCTION("""COMPUTED_VALUE"""),"DE")</f>
        <v>DE</v>
      </c>
      <c r="E1153" s="185" t="str">
        <f>IFERROR(__xludf.DUMMYFUNCTION("""COMPUTED_VALUE"""),"cometly.com")</f>
        <v>cometly.com</v>
      </c>
      <c r="F1153" s="185" t="str">
        <f>IFERROR(__xludf.DUMMYFUNCTION("""COMPUTED_VALUE"""),"Listicle")</f>
        <v>Listicle</v>
      </c>
      <c r="G1153" s="185" t="str">
        <f>IFERROR(__xludf.DUMMYFUNCTION("""COMPUTED_VALUE"""),"COMPETITOR")</f>
        <v>COMPETITOR</v>
      </c>
      <c r="H1153" s="185" t="str">
        <f>IFERROR(__xludf.DUMMYFUNCTION("""COMPUTED_VALUE"""),"No")</f>
        <v>No</v>
      </c>
      <c r="I1153" s="185" t="str">
        <f>IFERROR(__xludf.DUMMYFUNCTION("""COMPUTED_VALUE"""),"Low")</f>
        <v>Low</v>
      </c>
      <c r="J1153" s="185" t="str">
        <f>IFERROR(__xludf.DUMMYFUNCTION("""COMPUTED_VALUE"""),"Secondary")</f>
        <v>Secondary</v>
      </c>
      <c r="K1153" s="185" t="str">
        <f>IFERROR(__xludf.DUMMYFUNCTION("""COMPUTED_VALUE"""),"Cometly")</f>
        <v>Cometly</v>
      </c>
      <c r="L1153" s="187">
        <f>IFERROR(__xludf.DUMMYFUNCTION("""COMPUTED_VALUE"""),1.0)</f>
        <v>1</v>
      </c>
      <c r="M1153" s="188">
        <f>IFERROR(__xludf.DUMMYFUNCTION("""COMPUTED_VALUE"""),0.0)</f>
        <v>0</v>
      </c>
      <c r="N1153" s="188">
        <f>IFERROR(__xludf.DUMMYFUNCTION("""COMPUTED_VALUE"""),0.0)</f>
        <v>0</v>
      </c>
      <c r="O1153" s="208"/>
      <c r="P1153" s="208"/>
      <c r="Q1153" s="208"/>
      <c r="R1153" s="208"/>
    </row>
    <row r="1154">
      <c r="A1154" s="185" t="str">
        <f>IFERROR(__xludf.DUMMYFUNCTION("""COMPUTED_VALUE"""),"Lower-priority competitor/vendor roundup")</f>
        <v>Lower-priority competitor/vendor roundup</v>
      </c>
      <c r="B1154" s="186" t="str">
        <f>IFERROR(__xludf.DUMMYFUNCTION("""COMPUTED_VALUE"""),"https://www.cometly.com/post/ai-powered-marketing-analytics-tools")</f>
        <v>https://www.cometly.com/post/ai-powered-marketing-analytics-tools</v>
      </c>
      <c r="C1154" s="185" t="str">
        <f>IFERROR(__xludf.DUMMYFUNCTION("""COMPUTED_VALUE"""),"9 Best AI Powered Marketing Analytics Tools for 2026")</f>
        <v>9 Best AI Powered Marketing Analytics Tools for 2026</v>
      </c>
      <c r="D1154" s="185" t="str">
        <f>IFERROR(__xludf.DUMMYFUNCTION("""COMPUTED_VALUE"""),"DE")</f>
        <v>DE</v>
      </c>
      <c r="E1154" s="185" t="str">
        <f>IFERROR(__xludf.DUMMYFUNCTION("""COMPUTED_VALUE"""),"cometly.com")</f>
        <v>cometly.com</v>
      </c>
      <c r="F1154" s="185" t="str">
        <f>IFERROR(__xludf.DUMMYFUNCTION("""COMPUTED_VALUE"""),"Listicle")</f>
        <v>Listicle</v>
      </c>
      <c r="G1154" s="185" t="str">
        <f>IFERROR(__xludf.DUMMYFUNCTION("""COMPUTED_VALUE"""),"COMPETITOR")</f>
        <v>COMPETITOR</v>
      </c>
      <c r="H1154" s="185" t="str">
        <f>IFERROR(__xludf.DUMMYFUNCTION("""COMPUTED_VALUE"""),"No")</f>
        <v>No</v>
      </c>
      <c r="I1154" s="185" t="str">
        <f>IFERROR(__xludf.DUMMYFUNCTION("""COMPUTED_VALUE"""),"Low")</f>
        <v>Low</v>
      </c>
      <c r="J1154" s="185" t="str">
        <f>IFERROR(__xludf.DUMMYFUNCTION("""COMPUTED_VALUE"""),"Secondary")</f>
        <v>Secondary</v>
      </c>
      <c r="K1154" s="185" t="str">
        <f>IFERROR(__xludf.DUMMYFUNCTION("""COMPUTED_VALUE"""),"Cometly, Northbeam")</f>
        <v>Cometly, Northbeam</v>
      </c>
      <c r="L1154" s="187">
        <f>IFERROR(__xludf.DUMMYFUNCTION("""COMPUTED_VALUE"""),1.0)</f>
        <v>1</v>
      </c>
      <c r="M1154" s="188">
        <f>IFERROR(__xludf.DUMMYFUNCTION("""COMPUTED_VALUE"""),0.0)</f>
        <v>0</v>
      </c>
      <c r="N1154" s="188">
        <f>IFERROR(__xludf.DUMMYFUNCTION("""COMPUTED_VALUE"""),1.0)</f>
        <v>1</v>
      </c>
      <c r="O1154" s="208"/>
      <c r="P1154" s="208"/>
      <c r="Q1154" s="208"/>
      <c r="R1154" s="208"/>
    </row>
    <row r="1155">
      <c r="A1155" s="185" t="str">
        <f>IFERROR(__xludf.DUMMYFUNCTION("""COMPUTED_VALUE"""),"Lower-priority competitor/vendor roundup")</f>
        <v>Lower-priority competitor/vendor roundup</v>
      </c>
      <c r="B1155" s="186" t="str">
        <f>IFERROR(__xludf.DUMMYFUNCTION("""COMPUTED_VALUE"""),"https://www.cometly.com/post/how-to-calculate-marketing-attribution")</f>
        <v>https://www.cometly.com/post/how-to-calculate-marketing-attribution</v>
      </c>
      <c r="C1155" s="185" t="str">
        <f>IFERROR(__xludf.DUMMYFUNCTION("""COMPUTED_VALUE"""),"How To Calculate Marketing Attribution: 2026 Guide")</f>
        <v>How To Calculate Marketing Attribution: 2026 Guide</v>
      </c>
      <c r="D1155" s="185" t="str">
        <f>IFERROR(__xludf.DUMMYFUNCTION("""COMPUTED_VALUE"""),"DE")</f>
        <v>DE</v>
      </c>
      <c r="E1155" s="185" t="str">
        <f>IFERROR(__xludf.DUMMYFUNCTION("""COMPUTED_VALUE"""),"cometly.com")</f>
        <v>cometly.com</v>
      </c>
      <c r="F1155" s="185" t="str">
        <f>IFERROR(__xludf.DUMMYFUNCTION("""COMPUTED_VALUE"""),"How-To Guide")</f>
        <v>How-To Guide</v>
      </c>
      <c r="G1155" s="185" t="str">
        <f>IFERROR(__xludf.DUMMYFUNCTION("""COMPUTED_VALUE"""),"COMPETITOR")</f>
        <v>COMPETITOR</v>
      </c>
      <c r="H1155" s="185" t="str">
        <f>IFERROR(__xludf.DUMMYFUNCTION("""COMPUTED_VALUE"""),"No")</f>
        <v>No</v>
      </c>
      <c r="I1155" s="185" t="str">
        <f>IFERROR(__xludf.DUMMYFUNCTION("""COMPUTED_VALUE"""),"Low")</f>
        <v>Low</v>
      </c>
      <c r="J1155" s="185" t="str">
        <f>IFERROR(__xludf.DUMMYFUNCTION("""COMPUTED_VALUE"""),"Secondary")</f>
        <v>Secondary</v>
      </c>
      <c r="K1155" s="185" t="str">
        <f>IFERROR(__xludf.DUMMYFUNCTION("""COMPUTED_VALUE"""),"Cometly")</f>
        <v>Cometly</v>
      </c>
      <c r="L1155" s="187">
        <f>IFERROR(__xludf.DUMMYFUNCTION("""COMPUTED_VALUE"""),1.0)</f>
        <v>1</v>
      </c>
      <c r="M1155" s="188">
        <f>IFERROR(__xludf.DUMMYFUNCTION("""COMPUTED_VALUE"""),0.0)</f>
        <v>0</v>
      </c>
      <c r="N1155" s="188">
        <f>IFERROR(__xludf.DUMMYFUNCTION("""COMPUTED_VALUE"""),1.0)</f>
        <v>1</v>
      </c>
      <c r="O1155" s="208"/>
      <c r="P1155" s="208"/>
      <c r="Q1155" s="208"/>
      <c r="R1155" s="208"/>
    </row>
    <row r="1156">
      <c r="A1156" s="185" t="str">
        <f>IFERROR(__xludf.DUMMYFUNCTION("""COMPUTED_VALUE"""),"Lower-priority competitor/vendor roundup")</f>
        <v>Lower-priority competitor/vendor roundup</v>
      </c>
      <c r="B1156" s="186" t="str">
        <f>IFERROR(__xludf.DUMMYFUNCTION("""COMPUTED_VALUE"""),"https://www.cometly.com/post/incrementality-testing-for-paid-advertising")</f>
        <v>https://www.cometly.com/post/incrementality-testing-for-paid-advertising</v>
      </c>
      <c r="C1156" s="185" t="str">
        <f>IFERROR(__xludf.DUMMYFUNCTION("""COMPUTED_VALUE"""),"Incrementality Testing For Paid Advertising Guide 2026")</f>
        <v>Incrementality Testing For Paid Advertising Guide 2026</v>
      </c>
      <c r="D1156" s="185" t="str">
        <f>IFERROR(__xludf.DUMMYFUNCTION("""COMPUTED_VALUE"""),"DE")</f>
        <v>DE</v>
      </c>
      <c r="E1156" s="185" t="str">
        <f>IFERROR(__xludf.DUMMYFUNCTION("""COMPUTED_VALUE"""),"cometly.com")</f>
        <v>cometly.com</v>
      </c>
      <c r="F1156" s="185" t="str">
        <f>IFERROR(__xludf.DUMMYFUNCTION("""COMPUTED_VALUE"""),"How-To Guide")</f>
        <v>How-To Guide</v>
      </c>
      <c r="G1156" s="185" t="str">
        <f>IFERROR(__xludf.DUMMYFUNCTION("""COMPUTED_VALUE"""),"COMPETITOR")</f>
        <v>COMPETITOR</v>
      </c>
      <c r="H1156" s="185" t="str">
        <f>IFERROR(__xludf.DUMMYFUNCTION("""COMPUTED_VALUE"""),"No")</f>
        <v>No</v>
      </c>
      <c r="I1156" s="185" t="str">
        <f>IFERROR(__xludf.DUMMYFUNCTION("""COMPUTED_VALUE"""),"Low")</f>
        <v>Low</v>
      </c>
      <c r="J1156" s="185" t="str">
        <f>IFERROR(__xludf.DUMMYFUNCTION("""COMPUTED_VALUE"""),"Secondary")</f>
        <v>Secondary</v>
      </c>
      <c r="K1156" s="185" t="str">
        <f>IFERROR(__xludf.DUMMYFUNCTION("""COMPUTED_VALUE"""),"Cometly")</f>
        <v>Cometly</v>
      </c>
      <c r="L1156" s="187">
        <f>IFERROR(__xludf.DUMMYFUNCTION("""COMPUTED_VALUE"""),1.0)</f>
        <v>1</v>
      </c>
      <c r="M1156" s="188">
        <f>IFERROR(__xludf.DUMMYFUNCTION("""COMPUTED_VALUE"""),0.0)</f>
        <v>0</v>
      </c>
      <c r="N1156" s="188">
        <f>IFERROR(__xludf.DUMMYFUNCTION("""COMPUTED_VALUE"""),1.0)</f>
        <v>1</v>
      </c>
      <c r="O1156" s="208"/>
      <c r="P1156" s="208"/>
      <c r="Q1156" s="208"/>
      <c r="R1156" s="208"/>
    </row>
    <row r="1157">
      <c r="A1157" s="185" t="str">
        <f>IFERROR(__xludf.DUMMYFUNCTION("""COMPUTED_VALUE"""),"Lower-priority competitor/vendor roundup")</f>
        <v>Lower-priority competitor/vendor roundup</v>
      </c>
      <c r="B1157" s="186" t="str">
        <f>IFERROR(__xludf.DUMMYFUNCTION("""COMPUTED_VALUE"""),"https://www.cometly.com/post/marketing-attribution-companies")</f>
        <v>https://www.cometly.com/post/marketing-attribution-companies</v>
      </c>
      <c r="C1157" s="185" t="str">
        <f>IFERROR(__xludf.DUMMYFUNCTION("""COMPUTED_VALUE"""),"11 Best Marketing Attribution Companies to Track ROI")</f>
        <v>11 Best Marketing Attribution Companies to Track ROI</v>
      </c>
      <c r="D1157" s="185" t="str">
        <f>IFERROR(__xludf.DUMMYFUNCTION("""COMPUTED_VALUE"""),"DE")</f>
        <v>DE</v>
      </c>
      <c r="E1157" s="185" t="str">
        <f>IFERROR(__xludf.DUMMYFUNCTION("""COMPUTED_VALUE"""),"cometly.com")</f>
        <v>cometly.com</v>
      </c>
      <c r="F1157" s="185" t="str">
        <f>IFERROR(__xludf.DUMMYFUNCTION("""COMPUTED_VALUE"""),"Listicle")</f>
        <v>Listicle</v>
      </c>
      <c r="G1157" s="185" t="str">
        <f>IFERROR(__xludf.DUMMYFUNCTION("""COMPUTED_VALUE"""),"COMPETITOR")</f>
        <v>COMPETITOR</v>
      </c>
      <c r="H1157" s="185" t="str">
        <f>IFERROR(__xludf.DUMMYFUNCTION("""COMPUTED_VALUE"""),"No")</f>
        <v>No</v>
      </c>
      <c r="I1157" s="185" t="str">
        <f>IFERROR(__xludf.DUMMYFUNCTION("""COMPUTED_VALUE"""),"Low")</f>
        <v>Low</v>
      </c>
      <c r="J1157" s="185" t="str">
        <f>IFERROR(__xludf.DUMMYFUNCTION("""COMPUTED_VALUE"""),"Secondary")</f>
        <v>Secondary</v>
      </c>
      <c r="K1157" s="185" t="str">
        <f>IFERROR(__xludf.DUMMYFUNCTION("""COMPUTED_VALUE"""),"Cometly, Triple Whale, Northbeam, Rockerbox, Ruler Analytics, Dreamdata")</f>
        <v>Cometly, Triple Whale, Northbeam, Rockerbox, Ruler Analytics, Dreamdata</v>
      </c>
      <c r="L1157" s="187">
        <f>IFERROR(__xludf.DUMMYFUNCTION("""COMPUTED_VALUE"""),1.0)</f>
        <v>1</v>
      </c>
      <c r="M1157" s="188">
        <f>IFERROR(__xludf.DUMMYFUNCTION("""COMPUTED_VALUE"""),0.0)</f>
        <v>0</v>
      </c>
      <c r="N1157" s="188">
        <f>IFERROR(__xludf.DUMMYFUNCTION("""COMPUTED_VALUE"""),0.0)</f>
        <v>0</v>
      </c>
      <c r="O1157" s="208"/>
      <c r="P1157" s="208"/>
      <c r="Q1157" s="208"/>
      <c r="R1157" s="208"/>
    </row>
    <row r="1158">
      <c r="A1158" s="185" t="str">
        <f>IFERROR(__xludf.DUMMYFUNCTION("""COMPUTED_VALUE"""),"Lower-priority competitor/vendor roundup")</f>
        <v>Lower-priority competitor/vendor roundup</v>
      </c>
      <c r="B1158" s="186" t="str">
        <f>IFERROR(__xludf.DUMMYFUNCTION("""COMPUTED_VALUE"""),"https://www.cometly.com/post/marketing-attribution-platform-for-agencies")</f>
        <v>https://www.cometly.com/post/marketing-attribution-platform-for-agencies</v>
      </c>
      <c r="C1158" s="185" t="str">
        <f>IFERROR(__xludf.DUMMYFUNCTION("""COMPUTED_VALUE"""),"Best Marketing Attribution Platform For Agencies 2026")</f>
        <v>Best Marketing Attribution Platform For Agencies 2026</v>
      </c>
      <c r="D1158" s="185" t="str">
        <f>IFERROR(__xludf.DUMMYFUNCTION("""COMPUTED_VALUE"""),"DE")</f>
        <v>DE</v>
      </c>
      <c r="E1158" s="185" t="str">
        <f>IFERROR(__xludf.DUMMYFUNCTION("""COMPUTED_VALUE"""),"cometly.com")</f>
        <v>cometly.com</v>
      </c>
      <c r="F1158" s="185" t="str">
        <f>IFERROR(__xludf.DUMMYFUNCTION("""COMPUTED_VALUE"""),"Listicle")</f>
        <v>Listicle</v>
      </c>
      <c r="G1158" s="185" t="str">
        <f>IFERROR(__xludf.DUMMYFUNCTION("""COMPUTED_VALUE"""),"COMPETITOR")</f>
        <v>COMPETITOR</v>
      </c>
      <c r="H1158" s="185" t="str">
        <f>IFERROR(__xludf.DUMMYFUNCTION("""COMPUTED_VALUE"""),"No")</f>
        <v>No</v>
      </c>
      <c r="I1158" s="185" t="str">
        <f>IFERROR(__xludf.DUMMYFUNCTION("""COMPUTED_VALUE"""),"Low")</f>
        <v>Low</v>
      </c>
      <c r="J1158" s="185" t="str">
        <f>IFERROR(__xludf.DUMMYFUNCTION("""COMPUTED_VALUE"""),"Secondary")</f>
        <v>Secondary</v>
      </c>
      <c r="K1158" s="185" t="str">
        <f>IFERROR(__xludf.DUMMYFUNCTION("""COMPUTED_VALUE"""),"Cometly, Triple Whale, Rockerbox, Northbeam, Ruler Analytics")</f>
        <v>Cometly, Triple Whale, Rockerbox, Northbeam, Ruler Analytics</v>
      </c>
      <c r="L1158" s="187">
        <f>IFERROR(__xludf.DUMMYFUNCTION("""COMPUTED_VALUE"""),1.0)</f>
        <v>1</v>
      </c>
      <c r="M1158" s="188">
        <f>IFERROR(__xludf.DUMMYFUNCTION("""COMPUTED_VALUE"""),0.0)</f>
        <v>0</v>
      </c>
      <c r="N1158" s="188">
        <f>IFERROR(__xludf.DUMMYFUNCTION("""COMPUTED_VALUE"""),1.0)</f>
        <v>1</v>
      </c>
      <c r="O1158" s="208"/>
      <c r="P1158" s="208"/>
      <c r="Q1158" s="208"/>
      <c r="R1158" s="208"/>
    </row>
    <row r="1159">
      <c r="A1159" s="185" t="str">
        <f>IFERROR(__xludf.DUMMYFUNCTION("""COMPUTED_VALUE"""),"Lower-priority competitor/vendor roundup")</f>
        <v>Lower-priority competitor/vendor roundup</v>
      </c>
      <c r="B1159" s="186" t="str">
        <f>IFERROR(__xludf.DUMMYFUNCTION("""COMPUTED_VALUE"""),"https://www.cometly.com/post/media-buying-optimization-tool")</f>
        <v>https://www.cometly.com/post/media-buying-optimization-tool</v>
      </c>
      <c r="C1159" s="185" t="str">
        <f>IFERROR(__xludf.DUMMYFUNCTION("""COMPUTED_VALUE"""),"Best Media Buying Optimization Tool for Ad Teams 2026")</f>
        <v>Best Media Buying Optimization Tool for Ad Teams 2026</v>
      </c>
      <c r="D1159" s="185" t="str">
        <f>IFERROR(__xludf.DUMMYFUNCTION("""COMPUTED_VALUE"""),"DE")</f>
        <v>DE</v>
      </c>
      <c r="E1159" s="185" t="str">
        <f>IFERROR(__xludf.DUMMYFUNCTION("""COMPUTED_VALUE"""),"cometly.com")</f>
        <v>cometly.com</v>
      </c>
      <c r="F1159" s="185" t="str">
        <f>IFERROR(__xludf.DUMMYFUNCTION("""COMPUTED_VALUE"""),"Listicle")</f>
        <v>Listicle</v>
      </c>
      <c r="G1159" s="185" t="str">
        <f>IFERROR(__xludf.DUMMYFUNCTION("""COMPUTED_VALUE"""),"COMPETITOR")</f>
        <v>COMPETITOR</v>
      </c>
      <c r="H1159" s="185" t="str">
        <f>IFERROR(__xludf.DUMMYFUNCTION("""COMPUTED_VALUE"""),"No")</f>
        <v>No</v>
      </c>
      <c r="I1159" s="185" t="str">
        <f>IFERROR(__xludf.DUMMYFUNCTION("""COMPUTED_VALUE"""),"Low")</f>
        <v>Low</v>
      </c>
      <c r="J1159" s="185" t="str">
        <f>IFERROR(__xludf.DUMMYFUNCTION("""COMPUTED_VALUE"""),"Secondary")</f>
        <v>Secondary</v>
      </c>
      <c r="K1159" s="185" t="str">
        <f>IFERROR(__xludf.DUMMYFUNCTION("""COMPUTED_VALUE"""),"Cometly, Momentum, Northbeam")</f>
        <v>Cometly, Momentum, Northbeam</v>
      </c>
      <c r="L1159" s="187">
        <f>IFERROR(__xludf.DUMMYFUNCTION("""COMPUTED_VALUE"""),1.0)</f>
        <v>1</v>
      </c>
      <c r="M1159" s="188">
        <f>IFERROR(__xludf.DUMMYFUNCTION("""COMPUTED_VALUE"""),0.0)</f>
        <v>0</v>
      </c>
      <c r="N1159" s="188">
        <f>IFERROR(__xludf.DUMMYFUNCTION("""COMPUTED_VALUE"""),0.0)</f>
        <v>0</v>
      </c>
      <c r="O1159" s="208"/>
      <c r="P1159" s="208"/>
      <c r="Q1159" s="208"/>
      <c r="R1159" s="208"/>
    </row>
    <row r="1160">
      <c r="A1160" s="185" t="str">
        <f>IFERROR(__xludf.DUMMYFUNCTION("""COMPUTED_VALUE"""),"Lower-priority competitor/vendor roundup")</f>
        <v>Lower-priority competitor/vendor roundup</v>
      </c>
      <c r="B1160" s="186" t="str">
        <f>IFERROR(__xludf.DUMMYFUNCTION("""COMPUTED_VALUE"""),"https://www.cometly.com/post/multi-touch-attribution-vs-marketing-mix-modeling")</f>
        <v>https://www.cometly.com/post/multi-touch-attribution-vs-marketing-mix-modeling</v>
      </c>
      <c r="C1160" s="185" t="str">
        <f>IFERROR(__xludf.DUMMYFUNCTION("""COMPUTED_VALUE"""),"Multi Touch Attribution Vs Marketing Mix Modeling Guide")</f>
        <v>Multi Touch Attribution Vs Marketing Mix Modeling Guide</v>
      </c>
      <c r="D1160" s="185" t="str">
        <f>IFERROR(__xludf.DUMMYFUNCTION("""COMPUTED_VALUE"""),"DE")</f>
        <v>DE</v>
      </c>
      <c r="E1160" s="185" t="str">
        <f>IFERROR(__xludf.DUMMYFUNCTION("""COMPUTED_VALUE"""),"cometly.com")</f>
        <v>cometly.com</v>
      </c>
      <c r="F1160" s="185" t="str">
        <f>IFERROR(__xludf.DUMMYFUNCTION("""COMPUTED_VALUE"""),"Comparison")</f>
        <v>Comparison</v>
      </c>
      <c r="G1160" s="185" t="str">
        <f>IFERROR(__xludf.DUMMYFUNCTION("""COMPUTED_VALUE"""),"COMPETITOR")</f>
        <v>COMPETITOR</v>
      </c>
      <c r="H1160" s="185" t="str">
        <f>IFERROR(__xludf.DUMMYFUNCTION("""COMPUTED_VALUE"""),"No")</f>
        <v>No</v>
      </c>
      <c r="I1160" s="185" t="str">
        <f>IFERROR(__xludf.DUMMYFUNCTION("""COMPUTED_VALUE"""),"Low")</f>
        <v>Low</v>
      </c>
      <c r="J1160" s="185" t="str">
        <f>IFERROR(__xludf.DUMMYFUNCTION("""COMPUTED_VALUE"""),"Secondary")</f>
        <v>Secondary</v>
      </c>
      <c r="K1160" s="185" t="str">
        <f>IFERROR(__xludf.DUMMYFUNCTION("""COMPUTED_VALUE"""),"Cometly")</f>
        <v>Cometly</v>
      </c>
      <c r="L1160" s="187">
        <f>IFERROR(__xludf.DUMMYFUNCTION("""COMPUTED_VALUE"""),1.0)</f>
        <v>1</v>
      </c>
      <c r="M1160" s="188">
        <f>IFERROR(__xludf.DUMMYFUNCTION("""COMPUTED_VALUE"""),0.0)</f>
        <v>0</v>
      </c>
      <c r="N1160" s="188">
        <f>IFERROR(__xludf.DUMMYFUNCTION("""COMPUTED_VALUE"""),1.0)</f>
        <v>1</v>
      </c>
      <c r="O1160" s="208"/>
      <c r="P1160" s="208"/>
      <c r="Q1160" s="208"/>
      <c r="R1160" s="208"/>
    </row>
    <row r="1161">
      <c r="A1161" s="185" t="str">
        <f>IFERROR(__xludf.DUMMYFUNCTION("""COMPUTED_VALUE"""),"Agency directory / review marketplace")</f>
        <v>Agency directory / review marketplace</v>
      </c>
      <c r="B1161" s="186" t="str">
        <f>IFERROR(__xludf.DUMMYFUNCTION("""COMPUTED_VALUE"""),"https://www.designrush.com/agency/digital-marketing/analytics")</f>
        <v>https://www.designrush.com/agency/digital-marketing/analytics</v>
      </c>
      <c r="C1161" s="185" t="str">
        <f>IFERROR(__xludf.DUMMYFUNCTION("""COMPUTED_VALUE"""),"Top Marketing Analytics Agencies in 2026")</f>
        <v>Top Marketing Analytics Agencies in 2026</v>
      </c>
      <c r="D1161" s="185" t="str">
        <f>IFERROR(__xludf.DUMMYFUNCTION("""COMPUTED_VALUE"""),"DE")</f>
        <v>DE</v>
      </c>
      <c r="E1161" s="185" t="str">
        <f>IFERROR(__xludf.DUMMYFUNCTION("""COMPUTED_VALUE"""),"designrush.com")</f>
        <v>designrush.com</v>
      </c>
      <c r="F1161" s="185" t="str">
        <f>IFERROR(__xludf.DUMMYFUNCTION("""COMPUTED_VALUE"""),"Category Page")</f>
        <v>Category Page</v>
      </c>
      <c r="G1161" s="185" t="str">
        <f>IFERROR(__xludf.DUMMYFUNCTION("""COMPUTED_VALUE"""),"CORPORATE")</f>
        <v>CORPORATE</v>
      </c>
      <c r="H1161" s="185" t="str">
        <f>IFERROR(__xludf.DUMMYFUNCTION("""COMPUTED_VALUE"""),"No")</f>
        <v>No</v>
      </c>
      <c r="I1161" s="185" t="str">
        <f>IFERROR(__xludf.DUMMYFUNCTION("""COMPUTED_VALUE"""),"Medium")</f>
        <v>Medium</v>
      </c>
      <c r="J1161" s="185" t="str">
        <f>IFERROR(__xludf.DUMMYFUNCTION("""COMPUTED_VALUE"""),"Yes")</f>
        <v>Yes</v>
      </c>
      <c r="K1161" s="185" t="str">
        <f>IFERROR(__xludf.DUMMYFUNCTION("""COMPUTED_VALUE"""),"SmartSites, Huge, KlientBoost, Monks, Ruler Analytics")</f>
        <v>SmartSites, Huge, KlientBoost, Monks, Ruler Analytics</v>
      </c>
      <c r="L1161" s="187">
        <f>IFERROR(__xludf.DUMMYFUNCTION("""COMPUTED_VALUE"""),1.0)</f>
        <v>1</v>
      </c>
      <c r="M1161" s="188">
        <f>IFERROR(__xludf.DUMMYFUNCTION("""COMPUTED_VALUE"""),0.0)</f>
        <v>0</v>
      </c>
      <c r="N1161" s="188">
        <f>IFERROR(__xludf.DUMMYFUNCTION("""COMPUTED_VALUE"""),0.0)</f>
        <v>0</v>
      </c>
      <c r="O1161" s="208"/>
      <c r="P1161" s="208"/>
      <c r="Q1161" s="208"/>
      <c r="R1161" s="208"/>
    </row>
    <row r="1162">
      <c r="A1162" s="185" t="str">
        <f>IFERROR(__xludf.DUMMYFUNCTION("""COMPUTED_VALUE"""),"Agency directory / review marketplace")</f>
        <v>Agency directory / review marketplace</v>
      </c>
      <c r="B1162" s="186" t="str">
        <f>IFERROR(__xludf.DUMMYFUNCTION("""COMPUTED_VALUE"""),"https://www.designrush.com/agency/digital-marketing/performance-marketing-agencies")</f>
        <v>https://www.designrush.com/agency/digital-marketing/performance-marketing-agencies</v>
      </c>
      <c r="C1162" s="185" t="str">
        <f>IFERROR(__xludf.DUMMYFUNCTION("""COMPUTED_VALUE"""),"Top Performance Marketing Agencies in 2026")</f>
        <v>Top Performance Marketing Agencies in 2026</v>
      </c>
      <c r="D1162" s="185" t="str">
        <f>IFERROR(__xludf.DUMMYFUNCTION("""COMPUTED_VALUE"""),"DE")</f>
        <v>DE</v>
      </c>
      <c r="E1162" s="185" t="str">
        <f>IFERROR(__xludf.DUMMYFUNCTION("""COMPUTED_VALUE"""),"designrush.com")</f>
        <v>designrush.com</v>
      </c>
      <c r="F1162" s="185" t="str">
        <f>IFERROR(__xludf.DUMMYFUNCTION("""COMPUTED_VALUE"""),"Listicle")</f>
        <v>Listicle</v>
      </c>
      <c r="G1162" s="185" t="str">
        <f>IFERROR(__xludf.DUMMYFUNCTION("""COMPUTED_VALUE"""),"CORPORATE")</f>
        <v>CORPORATE</v>
      </c>
      <c r="H1162" s="185" t="str">
        <f>IFERROR(__xludf.DUMMYFUNCTION("""COMPUTED_VALUE"""),"No")</f>
        <v>No</v>
      </c>
      <c r="I1162" s="185" t="str">
        <f>IFERROR(__xludf.DUMMYFUNCTION("""COMPUTED_VALUE"""),"Medium")</f>
        <v>Medium</v>
      </c>
      <c r="J1162" s="185" t="str">
        <f>IFERROR(__xludf.DUMMYFUNCTION("""COMPUTED_VALUE"""),"Yes")</f>
        <v>Yes</v>
      </c>
      <c r="K1162" s="185" t="str">
        <f>IFERROR(__xludf.DUMMYFUNCTION("""COMPUTED_VALUE"""),"Wpromote, NoGood, Power Digital, Huge, SmartSites, Disruptive Advertising, PwC, REPLUG, KlientBoost, DEPT")</f>
        <v>Wpromote, NoGood, Power Digital, Huge, SmartSites, Disruptive Advertising, PwC, REPLUG, KlientBoost, DEPT</v>
      </c>
      <c r="L1162" s="187">
        <f>IFERROR(__xludf.DUMMYFUNCTION("""COMPUTED_VALUE"""),1.0)</f>
        <v>1</v>
      </c>
      <c r="M1162" s="188">
        <f>IFERROR(__xludf.DUMMYFUNCTION("""COMPUTED_VALUE"""),0.0)</f>
        <v>0</v>
      </c>
      <c r="N1162" s="188">
        <f>IFERROR(__xludf.DUMMYFUNCTION("""COMPUTED_VALUE"""),0.0)</f>
        <v>0</v>
      </c>
      <c r="O1162" s="208"/>
      <c r="P1162" s="208"/>
      <c r="Q1162" s="208"/>
      <c r="R1162" s="208"/>
    </row>
    <row r="1163">
      <c r="A1163" s="185" t="str">
        <f>IFERROR(__xludf.DUMMYFUNCTION("""COMPUTED_VALUE"""),"Agency directory / review marketplace")</f>
        <v>Agency directory / review marketplace</v>
      </c>
      <c r="B1163" s="186" t="str">
        <f>IFERROR(__xludf.DUMMYFUNCTION("""COMPUTED_VALUE"""),"https://digitalagencynetwork.com/agencies/berlin/social-media-marketing/")</f>
        <v>https://digitalagencynetwork.com/agencies/berlin/social-media-marketing/</v>
      </c>
      <c r="C1163" s="185" t="str">
        <f>IFERROR(__xludf.DUMMYFUNCTION("""COMPUTED_VALUE"""),"Best Social Media Marketing Agencies in Berlin | Digital Agency Network")</f>
        <v>Best Social Media Marketing Agencies in Berlin | Digital Agency Network</v>
      </c>
      <c r="D1163" s="185" t="str">
        <f>IFERROR(__xludf.DUMMYFUNCTION("""COMPUTED_VALUE"""),"DE")</f>
        <v>DE</v>
      </c>
      <c r="E1163" s="185" t="str">
        <f>IFERROR(__xludf.DUMMYFUNCTION("""COMPUTED_VALUE"""),"digitalagencynetwork.com")</f>
        <v>digitalagencynetwork.com</v>
      </c>
      <c r="F1163" s="185" t="str">
        <f>IFERROR(__xludf.DUMMYFUNCTION("""COMPUTED_VALUE"""),"Category Page")</f>
        <v>Category Page</v>
      </c>
      <c r="G1163" s="185" t="str">
        <f>IFERROR(__xludf.DUMMYFUNCTION("""COMPUTED_VALUE"""),"REFERENCE")</f>
        <v>REFERENCE</v>
      </c>
      <c r="H1163" s="185" t="str">
        <f>IFERROR(__xludf.DUMMYFUNCTION("""COMPUTED_VALUE"""),"No")</f>
        <v>No</v>
      </c>
      <c r="I1163" s="185" t="str">
        <f>IFERROR(__xludf.DUMMYFUNCTION("""COMPUTED_VALUE"""),"Medium")</f>
        <v>Medium</v>
      </c>
      <c r="J1163" s="185" t="str">
        <f>IFERROR(__xludf.DUMMYFUNCTION("""COMPUTED_VALUE"""),"Yes")</f>
        <v>Yes</v>
      </c>
      <c r="K1163" s="185" t="str">
        <f>IFERROR(__xludf.DUMMYFUNCTION("""COMPUTED_VALUE"""),"MONSOON, Momentum, Measured, PANORAMA3000, HY.AM STUDIOS")</f>
        <v>MONSOON, Momentum, Measured, PANORAMA3000, HY.AM STUDIOS</v>
      </c>
      <c r="L1163" s="187">
        <f>IFERROR(__xludf.DUMMYFUNCTION("""COMPUTED_VALUE"""),1.0)</f>
        <v>1</v>
      </c>
      <c r="M1163" s="188">
        <f>IFERROR(__xludf.DUMMYFUNCTION("""COMPUTED_VALUE"""),0.0)</f>
        <v>0</v>
      </c>
      <c r="N1163" s="188">
        <f>IFERROR(__xludf.DUMMYFUNCTION("""COMPUTED_VALUE"""),1.0)</f>
        <v>1</v>
      </c>
      <c r="O1163" s="208"/>
      <c r="P1163" s="208"/>
      <c r="Q1163" s="208"/>
      <c r="R1163" s="208"/>
    </row>
    <row r="1164">
      <c r="A1164" s="185" t="str">
        <f>IFERROR(__xludf.DUMMYFUNCTION("""COMPUTED_VALUE"""),"Agency directory / review marketplace")</f>
        <v>Agency directory / review marketplace</v>
      </c>
      <c r="B1164" s="186" t="str">
        <f>IFERROR(__xludf.DUMMYFUNCTION("""COMPUTED_VALUE"""),"https://digitalagencynetwork.com/agencies/europe/ai-marketing/")</f>
        <v>https://digitalagencynetwork.com/agencies/europe/ai-marketing/</v>
      </c>
      <c r="C1164" s="185" t="str">
        <f>IFERROR(__xludf.DUMMYFUNCTION("""COMPUTED_VALUE"""),"Top AI Marketing Agencies in Europe (2026)")</f>
        <v>Top AI Marketing Agencies in Europe (2026)</v>
      </c>
      <c r="D1164" s="185" t="str">
        <f>IFERROR(__xludf.DUMMYFUNCTION("""COMPUTED_VALUE"""),"DE")</f>
        <v>DE</v>
      </c>
      <c r="E1164" s="185" t="str">
        <f>IFERROR(__xludf.DUMMYFUNCTION("""COMPUTED_VALUE"""),"digitalagencynetwork.com")</f>
        <v>digitalagencynetwork.com</v>
      </c>
      <c r="F1164" s="185" t="str">
        <f>IFERROR(__xludf.DUMMYFUNCTION("""COMPUTED_VALUE"""),"Category Page")</f>
        <v>Category Page</v>
      </c>
      <c r="G1164" s="185" t="str">
        <f>IFERROR(__xludf.DUMMYFUNCTION("""COMPUTED_VALUE"""),"REFERENCE")</f>
        <v>REFERENCE</v>
      </c>
      <c r="H1164" s="185" t="str">
        <f>IFERROR(__xludf.DUMMYFUNCTION("""COMPUTED_VALUE"""),"No")</f>
        <v>No</v>
      </c>
      <c r="I1164" s="185" t="str">
        <f>IFERROR(__xludf.DUMMYFUNCTION("""COMPUTED_VALUE"""),"Medium")</f>
        <v>Medium</v>
      </c>
      <c r="J1164" s="185" t="str">
        <f>IFERROR(__xludf.DUMMYFUNCTION("""COMPUTED_VALUE"""),"Yes")</f>
        <v>Yes</v>
      </c>
      <c r="K1164" s="185" t="str">
        <f>IFERROR(__xludf.DUMMYFUNCTION("""COMPUTED_VALUE"""),"AKQA, Haus, DEPT")</f>
        <v>AKQA, Haus, DEPT</v>
      </c>
      <c r="L1164" s="187">
        <f>IFERROR(__xludf.DUMMYFUNCTION("""COMPUTED_VALUE"""),1.0)</f>
        <v>1</v>
      </c>
      <c r="M1164" s="188">
        <f>IFERROR(__xludf.DUMMYFUNCTION("""COMPUTED_VALUE"""),0.0)</f>
        <v>0</v>
      </c>
      <c r="N1164" s="188">
        <f>IFERROR(__xludf.DUMMYFUNCTION("""COMPUTED_VALUE"""),1.0)</f>
        <v>1</v>
      </c>
      <c r="O1164" s="208"/>
      <c r="P1164" s="208"/>
      <c r="Q1164" s="208"/>
      <c r="R1164" s="208"/>
    </row>
    <row r="1165">
      <c r="A1165" s="185" t="str">
        <f>IFERROR(__xludf.DUMMYFUNCTION("""COMPUTED_VALUE"""),"Agency directory / review marketplace")</f>
        <v>Agency directory / review marketplace</v>
      </c>
      <c r="B1165" s="186" t="str">
        <f>IFERROR(__xludf.DUMMYFUNCTION("""COMPUTED_VALUE"""),"https://digitalagencynetwork.com/agencies/europe/geo/")</f>
        <v>https://digitalagencynetwork.com/agencies/europe/geo/</v>
      </c>
      <c r="C1165" s="185" t="str">
        <f>IFERROR(__xludf.DUMMYFUNCTION("""COMPUTED_VALUE"""),"Top GEO Agencies in Europe for Generative Engine Optimization (2026)")</f>
        <v>Top GEO Agencies in Europe for Generative Engine Optimization (2026)</v>
      </c>
      <c r="D1165" s="185" t="str">
        <f>IFERROR(__xludf.DUMMYFUNCTION("""COMPUTED_VALUE"""),"DE")</f>
        <v>DE</v>
      </c>
      <c r="E1165" s="185" t="str">
        <f>IFERROR(__xludf.DUMMYFUNCTION("""COMPUTED_VALUE"""),"digitalagencynetwork.com")</f>
        <v>digitalagencynetwork.com</v>
      </c>
      <c r="F1165" s="185" t="str">
        <f>IFERROR(__xludf.DUMMYFUNCTION("""COMPUTED_VALUE"""),"Profile")</f>
        <v>Profile</v>
      </c>
      <c r="G1165" s="185" t="str">
        <f>IFERROR(__xludf.DUMMYFUNCTION("""COMPUTED_VALUE"""),"REFERENCE")</f>
        <v>REFERENCE</v>
      </c>
      <c r="H1165" s="185" t="str">
        <f>IFERROR(__xludf.DUMMYFUNCTION("""COMPUTED_VALUE"""),"No")</f>
        <v>No</v>
      </c>
      <c r="I1165" s="185" t="str">
        <f>IFERROR(__xludf.DUMMYFUNCTION("""COMPUTED_VALUE"""),"Medium")</f>
        <v>Medium</v>
      </c>
      <c r="J1165" s="185" t="str">
        <f>IFERROR(__xludf.DUMMYFUNCTION("""COMPUTED_VALUE"""),"Yes")</f>
        <v>Yes</v>
      </c>
      <c r="K1165" s="185" t="str">
        <f>IFERROR(__xludf.DUMMYFUNCTION("""COMPUTED_VALUE"""),"AKQA, Capgemini")</f>
        <v>AKQA, Capgemini</v>
      </c>
      <c r="L1165" s="187">
        <f>IFERROR(__xludf.DUMMYFUNCTION("""COMPUTED_VALUE"""),1.0)</f>
        <v>1</v>
      </c>
      <c r="M1165" s="188">
        <f>IFERROR(__xludf.DUMMYFUNCTION("""COMPUTED_VALUE"""),0.0)</f>
        <v>0</v>
      </c>
      <c r="N1165" s="188">
        <f>IFERROR(__xludf.DUMMYFUNCTION("""COMPUTED_VALUE"""),0.0)</f>
        <v>0</v>
      </c>
      <c r="O1165" s="208"/>
      <c r="P1165" s="208"/>
      <c r="Q1165" s="208"/>
      <c r="R1165" s="208"/>
    </row>
    <row r="1166">
      <c r="A1166" s="185" t="str">
        <f>IFERROR(__xludf.DUMMYFUNCTION("""COMPUTED_VALUE"""),"Official partner / certification ecosystem")</f>
        <v>Official partner / certification ecosystem</v>
      </c>
      <c r="B1166" s="186" t="str">
        <f>IFERROR(__xludf.DUMMYFUNCTION("""COMPUTED_VALUE"""),"https://enterprise.google.com/marketing-platform/partners/")</f>
        <v>https://enterprise.google.com/marketing-platform/partners/</v>
      </c>
      <c r="C1166" s="185"/>
      <c r="D1166" s="185" t="str">
        <f>IFERROR(__xludf.DUMMYFUNCTION("""COMPUTED_VALUE"""),"DE")</f>
        <v>DE</v>
      </c>
      <c r="E1166" s="185" t="str">
        <f>IFERROR(__xludf.DUMMYFUNCTION("""COMPUTED_VALUE"""),"google.com")</f>
        <v>google.com</v>
      </c>
      <c r="F1166" s="185" t="str">
        <f>IFERROR(__xludf.DUMMYFUNCTION("""COMPUTED_VALUE"""),"Other")</f>
        <v>Other</v>
      </c>
      <c r="G1166" s="185" t="str">
        <f>IFERROR(__xludf.DUMMYFUNCTION("""COMPUTED_VALUE"""),"OTHER")</f>
        <v>OTHER</v>
      </c>
      <c r="H1166" s="185" t="str">
        <f>IFERROR(__xludf.DUMMYFUNCTION("""COMPUTED_VALUE"""),"No")</f>
        <v>No</v>
      </c>
      <c r="I1166" s="185" t="str">
        <f>IFERROR(__xludf.DUMMYFUNCTION("""COMPUTED_VALUE"""),"High")</f>
        <v>High</v>
      </c>
      <c r="J1166" s="185" t="str">
        <f>IFERROR(__xludf.DUMMYFUNCTION("""COMPUTED_VALUE"""),"Yes - priority")</f>
        <v>Yes - priority</v>
      </c>
      <c r="K1166" s="185" t="str">
        <f>IFERROR(__xludf.DUMMYFUNCTION("""COMPUTED_VALUE"""),"Unknown")</f>
        <v>Unknown</v>
      </c>
      <c r="L1166" s="187">
        <f>IFERROR(__xludf.DUMMYFUNCTION("""COMPUTED_VALUE"""),1.0)</f>
        <v>1</v>
      </c>
      <c r="M1166" s="188">
        <f>IFERROR(__xludf.DUMMYFUNCTION("""COMPUTED_VALUE"""),0.0)</f>
        <v>0</v>
      </c>
      <c r="N1166" s="188">
        <f>IFERROR(__xludf.DUMMYFUNCTION("""COMPUTED_VALUE"""),0.0)</f>
        <v>0</v>
      </c>
      <c r="O1166" s="208"/>
      <c r="P1166" s="208"/>
      <c r="Q1166" s="208"/>
      <c r="R1166" s="208"/>
    </row>
    <row r="1167">
      <c r="A1167" s="185" t="str">
        <f>IFERROR(__xludf.DUMMYFUNCTION("""COMPUTED_VALUE"""),"Official partner / certification ecosystem")</f>
        <v>Official partner / certification ecosystem</v>
      </c>
      <c r="B1167" s="186" t="str">
        <f>IFERROR(__xludf.DUMMYFUNCTION("""COMPUTED_VALUE"""),"https://enterprisemarketingportal.google/find-a-partner/trkkngermany%2528trakken%2529-de?certificationsFilters=Tag%20Manager")</f>
        <v>https://enterprisemarketingportal.google/find-a-partner/trkkngermany%2528trakken%2529-de?certificationsFilters=Tag%20Manager</v>
      </c>
      <c r="C1167" s="185"/>
      <c r="D1167" s="185" t="str">
        <f>IFERROR(__xludf.DUMMYFUNCTION("""COMPUTED_VALUE"""),"DE")</f>
        <v>DE</v>
      </c>
      <c r="E1167" s="185" t="str">
        <f>IFERROR(__xludf.DUMMYFUNCTION("""COMPUTED_VALUE"""),"enterprisemarketingportal.google")</f>
        <v>enterprisemarketingportal.google</v>
      </c>
      <c r="F1167" s="185" t="str">
        <f>IFERROR(__xludf.DUMMYFUNCTION("""COMPUTED_VALUE"""),"Other")</f>
        <v>Other</v>
      </c>
      <c r="G1167" s="185" t="str">
        <f>IFERROR(__xludf.DUMMYFUNCTION("""COMPUTED_VALUE"""),"OTHER")</f>
        <v>OTHER</v>
      </c>
      <c r="H1167" s="185" t="str">
        <f>IFERROR(__xludf.DUMMYFUNCTION("""COMPUTED_VALUE"""),"No")</f>
        <v>No</v>
      </c>
      <c r="I1167" s="185" t="str">
        <f>IFERROR(__xludf.DUMMYFUNCTION("""COMPUTED_VALUE"""),"High")</f>
        <v>High</v>
      </c>
      <c r="J1167" s="185" t="str">
        <f>IFERROR(__xludf.DUMMYFUNCTION("""COMPUTED_VALUE"""),"Yes - priority")</f>
        <v>Yes - priority</v>
      </c>
      <c r="K1167" s="185" t="str">
        <f>IFERROR(__xludf.DUMMYFUNCTION("""COMPUTED_VALUE"""),"Unknown")</f>
        <v>Unknown</v>
      </c>
      <c r="L1167" s="187">
        <f>IFERROR(__xludf.DUMMYFUNCTION("""COMPUTED_VALUE"""),1.0)</f>
        <v>1</v>
      </c>
      <c r="M1167" s="188">
        <f>IFERROR(__xludf.DUMMYFUNCTION("""COMPUTED_VALUE"""),0.0)</f>
        <v>0</v>
      </c>
      <c r="N1167" s="188">
        <f>IFERROR(__xludf.DUMMYFUNCTION("""COMPUTED_VALUE"""),1.0)</f>
        <v>1</v>
      </c>
      <c r="O1167" s="208"/>
      <c r="P1167" s="208"/>
      <c r="Q1167" s="208"/>
      <c r="R1167" s="208"/>
    </row>
    <row r="1168">
      <c r="A1168" s="185" t="str">
        <f>IFERROR(__xludf.DUMMYFUNCTION("""COMPUTED_VALUE"""),"Agency directory / review marketplace")</f>
        <v>Agency directory / review marketplace</v>
      </c>
      <c r="B1168" s="186" t="str">
        <f>IFERROR(__xludf.DUMMYFUNCTION("""COMPUTED_VALUE"""),"https://feedbax.ai/ai/germany")</f>
        <v>https://feedbax.ai/ai/germany</v>
      </c>
      <c r="C1168" s="185" t="str">
        <f>IFERROR(__xludf.DUMMYFUNCTION("""COMPUTED_VALUE"""),"Top 20 AI Development Companies in Germany - 2026 Reviews")</f>
        <v>Top 20 AI Development Companies in Germany - 2026 Reviews</v>
      </c>
      <c r="D1168" s="185" t="str">
        <f>IFERROR(__xludf.DUMMYFUNCTION("""COMPUTED_VALUE"""),"DE")</f>
        <v>DE</v>
      </c>
      <c r="E1168" s="185" t="str">
        <f>IFERROR(__xludf.DUMMYFUNCTION("""COMPUTED_VALUE"""),"feedbax.ai")</f>
        <v>feedbax.ai</v>
      </c>
      <c r="F1168" s="185" t="str">
        <f>IFERROR(__xludf.DUMMYFUNCTION("""COMPUTED_VALUE"""),"Profile")</f>
        <v>Profile</v>
      </c>
      <c r="G1168" s="185" t="str">
        <f>IFERROR(__xludf.DUMMYFUNCTION("""COMPUTED_VALUE"""),"UGC")</f>
        <v>UGC</v>
      </c>
      <c r="H1168" s="185" t="str">
        <f>IFERROR(__xludf.DUMMYFUNCTION("""COMPUTED_VALUE"""),"No")</f>
        <v>No</v>
      </c>
      <c r="I1168" s="185" t="str">
        <f>IFERROR(__xludf.DUMMYFUNCTION("""COMPUTED_VALUE"""),"Medium")</f>
        <v>Medium</v>
      </c>
      <c r="J1168" s="185" t="str">
        <f>IFERROR(__xludf.DUMMYFUNCTION("""COMPUTED_VALUE"""),"Yes")</f>
        <v>Yes</v>
      </c>
      <c r="K1168" s="185"/>
      <c r="L1168" s="187">
        <f>IFERROR(__xludf.DUMMYFUNCTION("""COMPUTED_VALUE"""),1.0)</f>
        <v>1</v>
      </c>
      <c r="M1168" s="188">
        <f>IFERROR(__xludf.DUMMYFUNCTION("""COMPUTED_VALUE"""),0.0)</f>
        <v>0</v>
      </c>
      <c r="N1168" s="188">
        <f>IFERROR(__xludf.DUMMYFUNCTION("""COMPUTED_VALUE"""),1.0)</f>
        <v>1</v>
      </c>
      <c r="O1168" s="208"/>
      <c r="P1168" s="208"/>
      <c r="Q1168" s="208"/>
      <c r="R1168" s="208"/>
    </row>
    <row r="1169">
      <c r="A1169" s="185" t="str">
        <f>IFERROR(__xludf.DUMMYFUNCTION("""COMPUTED_VALUE"""),"Agency directory / review marketplace")</f>
        <v>Agency directory / review marketplace</v>
      </c>
      <c r="B1169" s="186" t="str">
        <f>IFERROR(__xludf.DUMMYFUNCTION("""COMPUTED_VALUE"""),"https://feedbax.ai/conversion-optimization")</f>
        <v>https://feedbax.ai/conversion-optimization</v>
      </c>
      <c r="C1169" s="185" t="str">
        <f>IFERROR(__xludf.DUMMYFUNCTION("""COMPUTED_VALUE"""),"Top 20 Conversion Rate Optimization Agencies - 2026 Reviews")</f>
        <v>Top 20 Conversion Rate Optimization Agencies - 2026 Reviews</v>
      </c>
      <c r="D1169" s="185" t="str">
        <f>IFERROR(__xludf.DUMMYFUNCTION("""COMPUTED_VALUE"""),"DE")</f>
        <v>DE</v>
      </c>
      <c r="E1169" s="185" t="str">
        <f>IFERROR(__xludf.DUMMYFUNCTION("""COMPUTED_VALUE"""),"feedbax.ai")</f>
        <v>feedbax.ai</v>
      </c>
      <c r="F1169" s="185" t="str">
        <f>IFERROR(__xludf.DUMMYFUNCTION("""COMPUTED_VALUE"""),"Category Page")</f>
        <v>Category Page</v>
      </c>
      <c r="G1169" s="185" t="str">
        <f>IFERROR(__xludf.DUMMYFUNCTION("""COMPUTED_VALUE"""),"UGC")</f>
        <v>UGC</v>
      </c>
      <c r="H1169" s="185" t="str">
        <f>IFERROR(__xludf.DUMMYFUNCTION("""COMPUTED_VALUE"""),"No")</f>
        <v>No</v>
      </c>
      <c r="I1169" s="185" t="str">
        <f>IFERROR(__xludf.DUMMYFUNCTION("""COMPUTED_VALUE"""),"Medium")</f>
        <v>Medium</v>
      </c>
      <c r="J1169" s="185" t="str">
        <f>IFERROR(__xludf.DUMMYFUNCTION("""COMPUTED_VALUE"""),"Yes")</f>
        <v>Yes</v>
      </c>
      <c r="K1169" s="185" t="str">
        <f>IFERROR(__xludf.DUMMYFUNCTION("""COMPUTED_VALUE"""),"KlickPiloten, Mediacharge, DREIKON, Suchhelden, ZweiDigital GmbH, morefire")</f>
        <v>KlickPiloten, Mediacharge, DREIKON, Suchhelden, ZweiDigital GmbH, morefire</v>
      </c>
      <c r="L1169" s="187">
        <f>IFERROR(__xludf.DUMMYFUNCTION("""COMPUTED_VALUE"""),1.0)</f>
        <v>1</v>
      </c>
      <c r="M1169" s="188">
        <f>IFERROR(__xludf.DUMMYFUNCTION("""COMPUTED_VALUE"""),0.0)</f>
        <v>0</v>
      </c>
      <c r="N1169" s="188">
        <f>IFERROR(__xludf.DUMMYFUNCTION("""COMPUTED_VALUE"""),1.0)</f>
        <v>1</v>
      </c>
      <c r="O1169" s="208"/>
      <c r="P1169" s="208"/>
      <c r="Q1169" s="208"/>
      <c r="R1169" s="208"/>
    </row>
    <row r="1170">
      <c r="A1170" s="185" t="str">
        <f>IFERROR(__xludf.DUMMYFUNCTION("""COMPUTED_VALUE"""),"Agency directory / review marketplace")</f>
        <v>Agency directory / review marketplace</v>
      </c>
      <c r="B1170" s="186" t="str">
        <f>IFERROR(__xludf.DUMMYFUNCTION("""COMPUTED_VALUE"""),"https://feedbax.ai/google-ads")</f>
        <v>https://feedbax.ai/google-ads</v>
      </c>
      <c r="C1170" s="185" t="str">
        <f>IFERROR(__xludf.DUMMYFUNCTION("""COMPUTED_VALUE"""),"Top 20 Google Ads Agencies - 2026 Reviews")</f>
        <v>Top 20 Google Ads Agencies - 2026 Reviews</v>
      </c>
      <c r="D1170" s="185" t="str">
        <f>IFERROR(__xludf.DUMMYFUNCTION("""COMPUTED_VALUE"""),"DE")</f>
        <v>DE</v>
      </c>
      <c r="E1170" s="185" t="str">
        <f>IFERROR(__xludf.DUMMYFUNCTION("""COMPUTED_VALUE"""),"feedbax.ai")</f>
        <v>feedbax.ai</v>
      </c>
      <c r="F1170" s="185" t="str">
        <f>IFERROR(__xludf.DUMMYFUNCTION("""COMPUTED_VALUE"""),"Category Page")</f>
        <v>Category Page</v>
      </c>
      <c r="G1170" s="185" t="str">
        <f>IFERROR(__xludf.DUMMYFUNCTION("""COMPUTED_VALUE"""),"UGC")</f>
        <v>UGC</v>
      </c>
      <c r="H1170" s="185" t="str">
        <f>IFERROR(__xludf.DUMMYFUNCTION("""COMPUTED_VALUE"""),"No")</f>
        <v>No</v>
      </c>
      <c r="I1170" s="185" t="str">
        <f>IFERROR(__xludf.DUMMYFUNCTION("""COMPUTED_VALUE"""),"Medium")</f>
        <v>Medium</v>
      </c>
      <c r="J1170" s="185" t="str">
        <f>IFERROR(__xludf.DUMMYFUNCTION("""COMPUTED_VALUE"""),"Yes")</f>
        <v>Yes</v>
      </c>
      <c r="K1170" s="185" t="str">
        <f>IFERROR(__xludf.DUMMYFUNCTION("""COMPUTED_VALUE"""),"Loyamo, Smarketer, Mediacharge, DREIKON, Suchhelden")</f>
        <v>Loyamo, Smarketer, Mediacharge, DREIKON, Suchhelden</v>
      </c>
      <c r="L1170" s="187">
        <f>IFERROR(__xludf.DUMMYFUNCTION("""COMPUTED_VALUE"""),1.0)</f>
        <v>1</v>
      </c>
      <c r="M1170" s="188">
        <f>IFERROR(__xludf.DUMMYFUNCTION("""COMPUTED_VALUE"""),0.0)</f>
        <v>0</v>
      </c>
      <c r="N1170" s="188">
        <f>IFERROR(__xludf.DUMMYFUNCTION("""COMPUTED_VALUE"""),1.0)</f>
        <v>1</v>
      </c>
      <c r="O1170" s="208"/>
      <c r="P1170" s="208"/>
      <c r="Q1170" s="208"/>
      <c r="R1170" s="208"/>
    </row>
    <row r="1171">
      <c r="A1171" s="185" t="str">
        <f>IFERROR(__xludf.DUMMYFUNCTION("""COMPUTED_VALUE"""),"Agency directory / review marketplace")</f>
        <v>Agency directory / review marketplace</v>
      </c>
      <c r="B1171" s="186" t="str">
        <f>IFERROR(__xludf.DUMMYFUNCTION("""COMPUTED_VALUE"""),"https://feedbax.ai/google-ads/dach")</f>
        <v>https://feedbax.ai/google-ads/dach</v>
      </c>
      <c r="C1171" s="185" t="str">
        <f>IFERROR(__xludf.DUMMYFUNCTION("""COMPUTED_VALUE"""),"Top 20 Google Ads Agencies in DACH - 2026 Reviews")</f>
        <v>Top 20 Google Ads Agencies in DACH - 2026 Reviews</v>
      </c>
      <c r="D1171" s="185" t="str">
        <f>IFERROR(__xludf.DUMMYFUNCTION("""COMPUTED_VALUE"""),"DE")</f>
        <v>DE</v>
      </c>
      <c r="E1171" s="185" t="str">
        <f>IFERROR(__xludf.DUMMYFUNCTION("""COMPUTED_VALUE"""),"feedbax.ai")</f>
        <v>feedbax.ai</v>
      </c>
      <c r="F1171" s="185" t="str">
        <f>IFERROR(__xludf.DUMMYFUNCTION("""COMPUTED_VALUE"""),"Profile")</f>
        <v>Profile</v>
      </c>
      <c r="G1171" s="185" t="str">
        <f>IFERROR(__xludf.DUMMYFUNCTION("""COMPUTED_VALUE"""),"UGC")</f>
        <v>UGC</v>
      </c>
      <c r="H1171" s="185" t="str">
        <f>IFERROR(__xludf.DUMMYFUNCTION("""COMPUTED_VALUE"""),"No")</f>
        <v>No</v>
      </c>
      <c r="I1171" s="185" t="str">
        <f>IFERROR(__xludf.DUMMYFUNCTION("""COMPUTED_VALUE"""),"Medium")</f>
        <v>Medium</v>
      </c>
      <c r="J1171" s="185" t="str">
        <f>IFERROR(__xludf.DUMMYFUNCTION("""COMPUTED_VALUE"""),"Yes")</f>
        <v>Yes</v>
      </c>
      <c r="K1171" s="185" t="str">
        <f>IFERROR(__xludf.DUMMYFUNCTION("""COMPUTED_VALUE"""),"Mediacharge, Smarketer, DREIKON, Suchhelden")</f>
        <v>Mediacharge, Smarketer, DREIKON, Suchhelden</v>
      </c>
      <c r="L1171" s="187">
        <f>IFERROR(__xludf.DUMMYFUNCTION("""COMPUTED_VALUE"""),1.0)</f>
        <v>1</v>
      </c>
      <c r="M1171" s="188">
        <f>IFERROR(__xludf.DUMMYFUNCTION("""COMPUTED_VALUE"""),0.0)</f>
        <v>0</v>
      </c>
      <c r="N1171" s="188">
        <f>IFERROR(__xludf.DUMMYFUNCTION("""COMPUTED_VALUE"""),3.0)</f>
        <v>3</v>
      </c>
      <c r="O1171" s="208"/>
      <c r="P1171" s="208"/>
      <c r="Q1171" s="208"/>
      <c r="R1171" s="208"/>
    </row>
    <row r="1172">
      <c r="A1172" s="185" t="str">
        <f>IFERROR(__xludf.DUMMYFUNCTION("""COMPUTED_VALUE"""),"Agency directory / review marketplace")</f>
        <v>Agency directory / review marketplace</v>
      </c>
      <c r="B1172" s="186" t="str">
        <f>IFERROR(__xludf.DUMMYFUNCTION("""COMPUTED_VALUE"""),"https://feedbax.ai/performance-marketing/dach")</f>
        <v>https://feedbax.ai/performance-marketing/dach</v>
      </c>
      <c r="C1172" s="185" t="str">
        <f>IFERROR(__xludf.DUMMYFUNCTION("""COMPUTED_VALUE"""),"Top 20 Performance Marketing Agencies in DACH - 2026 Reviews")</f>
        <v>Top 20 Performance Marketing Agencies in DACH - 2026 Reviews</v>
      </c>
      <c r="D1172" s="185" t="str">
        <f>IFERROR(__xludf.DUMMYFUNCTION("""COMPUTED_VALUE"""),"DE")</f>
        <v>DE</v>
      </c>
      <c r="E1172" s="185" t="str">
        <f>IFERROR(__xludf.DUMMYFUNCTION("""COMPUTED_VALUE"""),"feedbax.ai")</f>
        <v>feedbax.ai</v>
      </c>
      <c r="F1172" s="185" t="str">
        <f>IFERROR(__xludf.DUMMYFUNCTION("""COMPUTED_VALUE"""),"Profile")</f>
        <v>Profile</v>
      </c>
      <c r="G1172" s="185" t="str">
        <f>IFERROR(__xludf.DUMMYFUNCTION("""COMPUTED_VALUE"""),"UGC")</f>
        <v>UGC</v>
      </c>
      <c r="H1172" s="185" t="str">
        <f>IFERROR(__xludf.DUMMYFUNCTION("""COMPUTED_VALUE"""),"No")</f>
        <v>No</v>
      </c>
      <c r="I1172" s="185" t="str">
        <f>IFERROR(__xludf.DUMMYFUNCTION("""COMPUTED_VALUE"""),"Medium")</f>
        <v>Medium</v>
      </c>
      <c r="J1172" s="185" t="str">
        <f>IFERROR(__xludf.DUMMYFUNCTION("""COMPUTED_VALUE"""),"Yes")</f>
        <v>Yes</v>
      </c>
      <c r="K1172" s="185" t="str">
        <f>IFERROR(__xludf.DUMMYFUNCTION("""COMPUTED_VALUE"""),"PANORAMA3000, KlickPiloten, Mediacharge, Smarketer, DREIKON, Suchhelden")</f>
        <v>PANORAMA3000, KlickPiloten, Mediacharge, Smarketer, DREIKON, Suchhelden</v>
      </c>
      <c r="L1172" s="187">
        <f>IFERROR(__xludf.DUMMYFUNCTION("""COMPUTED_VALUE"""),1.0)</f>
        <v>1</v>
      </c>
      <c r="M1172" s="188">
        <f>IFERROR(__xludf.DUMMYFUNCTION("""COMPUTED_VALUE"""),0.0)</f>
        <v>0</v>
      </c>
      <c r="N1172" s="188">
        <f>IFERROR(__xludf.DUMMYFUNCTION("""COMPUTED_VALUE"""),1.0)</f>
        <v>1</v>
      </c>
      <c r="O1172" s="208"/>
      <c r="P1172" s="208"/>
      <c r="Q1172" s="208"/>
      <c r="R1172" s="208"/>
    </row>
    <row r="1173">
      <c r="A1173" s="185" t="str">
        <f>IFERROR(__xludf.DUMMYFUNCTION("""COMPUTED_VALUE"""),"Agency directory / review marketplace")</f>
        <v>Agency directory / review marketplace</v>
      </c>
      <c r="B1173" s="186" t="str">
        <f>IFERROR(__xludf.DUMMYFUNCTION("""COMPUTED_VALUE"""),"https://feedbax.ai/performance-marketing/frankfurt")</f>
        <v>https://feedbax.ai/performance-marketing/frankfurt</v>
      </c>
      <c r="C1173" s="185" t="str">
        <f>IFERROR(__xludf.DUMMYFUNCTION("""COMPUTED_VALUE"""),"Top 20 Performance Marketing Agencies in Frankfurt - 2026 Reviews")</f>
        <v>Top 20 Performance Marketing Agencies in Frankfurt - 2026 Reviews</v>
      </c>
      <c r="D1173" s="185" t="str">
        <f>IFERROR(__xludf.DUMMYFUNCTION("""COMPUTED_VALUE"""),"DE")</f>
        <v>DE</v>
      </c>
      <c r="E1173" s="185" t="str">
        <f>IFERROR(__xludf.DUMMYFUNCTION("""COMPUTED_VALUE"""),"feedbax.ai")</f>
        <v>feedbax.ai</v>
      </c>
      <c r="F1173" s="185" t="str">
        <f>IFERROR(__xludf.DUMMYFUNCTION("""COMPUTED_VALUE"""),"Profile")</f>
        <v>Profile</v>
      </c>
      <c r="G1173" s="185" t="str">
        <f>IFERROR(__xludf.DUMMYFUNCTION("""COMPUTED_VALUE"""),"UGC")</f>
        <v>UGC</v>
      </c>
      <c r="H1173" s="185" t="str">
        <f>IFERROR(__xludf.DUMMYFUNCTION("""COMPUTED_VALUE"""),"No")</f>
        <v>No</v>
      </c>
      <c r="I1173" s="185" t="str">
        <f>IFERROR(__xludf.DUMMYFUNCTION("""COMPUTED_VALUE"""),"Medium")</f>
        <v>Medium</v>
      </c>
      <c r="J1173" s="185" t="str">
        <f>IFERROR(__xludf.DUMMYFUNCTION("""COMPUTED_VALUE"""),"Yes")</f>
        <v>Yes</v>
      </c>
      <c r="K1173" s="185" t="str">
        <f>IFERROR(__xludf.DUMMYFUNCTION("""COMPUTED_VALUE"""),"PANORAMA3000, KlickPiloten, Mediacharge, ZweiDigital GmbH")</f>
        <v>PANORAMA3000, KlickPiloten, Mediacharge, ZweiDigital GmbH</v>
      </c>
      <c r="L1173" s="187">
        <f>IFERROR(__xludf.DUMMYFUNCTION("""COMPUTED_VALUE"""),1.0)</f>
        <v>1</v>
      </c>
      <c r="M1173" s="188">
        <f>IFERROR(__xludf.DUMMYFUNCTION("""COMPUTED_VALUE"""),0.0)</f>
        <v>0</v>
      </c>
      <c r="N1173" s="188">
        <f>IFERROR(__xludf.DUMMYFUNCTION("""COMPUTED_VALUE"""),0.0)</f>
        <v>0</v>
      </c>
      <c r="O1173" s="208"/>
      <c r="P1173" s="208"/>
      <c r="Q1173" s="208"/>
      <c r="R1173" s="208"/>
    </row>
    <row r="1174">
      <c r="A1174" s="185" t="str">
        <f>IFERROR(__xludf.DUMMYFUNCTION("""COMPUTED_VALUE"""),"Analyst / research authority")</f>
        <v>Analyst / research authority</v>
      </c>
      <c r="B1174" s="186" t="str">
        <f>IFERROR(__xludf.DUMMYFUNCTION("""COMPUTED_VALUE"""),"https://www.gartner.com/reviews/market/b2b-multitouch-attribution-tools")</f>
        <v>https://www.gartner.com/reviews/market/b2b-multitouch-attribution-tools</v>
      </c>
      <c r="C1174" s="185" t="str">
        <f>IFERROR(__xludf.DUMMYFUNCTION("""COMPUTED_VALUE"""),"Best B2B Multitouch Attribution Tools Reviews 2026 \| Gartner Peer Insights")</f>
        <v>Best B2B Multitouch Attribution Tools Reviews 2026 \| Gartner Peer Insights</v>
      </c>
      <c r="D1174" s="185" t="str">
        <f>IFERROR(__xludf.DUMMYFUNCTION("""COMPUTED_VALUE"""),"DE")</f>
        <v>DE</v>
      </c>
      <c r="E1174" s="185" t="str">
        <f>IFERROR(__xludf.DUMMYFUNCTION("""COMPUTED_VALUE"""),"gartner.com")</f>
        <v>gartner.com</v>
      </c>
      <c r="F1174" s="185" t="str">
        <f>IFERROR(__xludf.DUMMYFUNCTION("""COMPUTED_VALUE"""),"Category Page")</f>
        <v>Category Page</v>
      </c>
      <c r="G1174" s="185" t="str">
        <f>IFERROR(__xludf.DUMMYFUNCTION("""COMPUTED_VALUE"""),"CORPORATE")</f>
        <v>CORPORATE</v>
      </c>
      <c r="H1174" s="185" t="str">
        <f>IFERROR(__xludf.DUMMYFUNCTION("""COMPUTED_VALUE"""),"No")</f>
        <v>No</v>
      </c>
      <c r="I1174" s="185" t="str">
        <f>IFERROR(__xludf.DUMMYFUNCTION("""COMPUTED_VALUE"""),"High")</f>
        <v>High</v>
      </c>
      <c r="J1174" s="185" t="str">
        <f>IFERROR(__xludf.DUMMYFUNCTION("""COMPUTED_VALUE"""),"Yes - priority")</f>
        <v>Yes - priority</v>
      </c>
      <c r="K1174" s="185" t="str">
        <f>IFERROR(__xludf.DUMMYFUNCTION("""COMPUTED_VALUE"""),"Dreamdata, Triple Whale, Northbeam, Ruler Analytics, SegmentStream")</f>
        <v>Dreamdata, Triple Whale, Northbeam, Ruler Analytics, SegmentStream</v>
      </c>
      <c r="L1174" s="187">
        <f>IFERROR(__xludf.DUMMYFUNCTION("""COMPUTED_VALUE"""),1.0)</f>
        <v>1</v>
      </c>
      <c r="M1174" s="188">
        <f>IFERROR(__xludf.DUMMYFUNCTION("""COMPUTED_VALUE"""),0.0)</f>
        <v>0</v>
      </c>
      <c r="N1174" s="188">
        <f>IFERROR(__xludf.DUMMYFUNCTION("""COMPUTED_VALUE"""),0.0)</f>
        <v>0</v>
      </c>
      <c r="O1174" s="208"/>
      <c r="P1174" s="208"/>
      <c r="Q1174" s="208"/>
      <c r="R1174" s="208"/>
    </row>
    <row r="1175">
      <c r="A1175" s="185" t="str">
        <f>IFERROR(__xludf.DUMMYFUNCTION("""COMPUTED_VALUE"""),"Agency directory / review marketplace")</f>
        <v>Agency directory / review marketplace</v>
      </c>
      <c r="B1175" s="186" t="str">
        <f>IFERROR(__xludf.DUMMYFUNCTION("""COMPUTED_VALUE"""),"https://www.goodfirms.co/directory/city/top-digital-marketing-companies/hamburg")</f>
        <v>https://www.goodfirms.co/directory/city/top-digital-marketing-companies/hamburg</v>
      </c>
      <c r="C1175" s="185" t="str">
        <f>IFERROR(__xludf.DUMMYFUNCTION("""COMPUTED_VALUE"""),"Top Digital Marketing Agencies in Hamburg - 2026 Reviews | Goodfirms")</f>
        <v>Top Digital Marketing Agencies in Hamburg - 2026 Reviews | Goodfirms</v>
      </c>
      <c r="D1175" s="185" t="str">
        <f>IFERROR(__xludf.DUMMYFUNCTION("""COMPUTED_VALUE"""),"DE")</f>
        <v>DE</v>
      </c>
      <c r="E1175" s="185" t="str">
        <f>IFERROR(__xludf.DUMMYFUNCTION("""COMPUTED_VALUE"""),"goodfirms.co")</f>
        <v>goodfirms.co</v>
      </c>
      <c r="F1175" s="185" t="str">
        <f>IFERROR(__xludf.DUMMYFUNCTION("""COMPUTED_VALUE"""),"Category Page")</f>
        <v>Category Page</v>
      </c>
      <c r="G1175" s="185" t="str">
        <f>IFERROR(__xludf.DUMMYFUNCTION("""COMPUTED_VALUE"""),"UGC")</f>
        <v>UGC</v>
      </c>
      <c r="H1175" s="185" t="str">
        <f>IFERROR(__xludf.DUMMYFUNCTION("""COMPUTED_VALUE"""),"No")</f>
        <v>No</v>
      </c>
      <c r="I1175" s="185" t="str">
        <f>IFERROR(__xludf.DUMMYFUNCTION("""COMPUTED_VALUE"""),"Medium")</f>
        <v>Medium</v>
      </c>
      <c r="J1175" s="185" t="str">
        <f>IFERROR(__xludf.DUMMYFUNCTION("""COMPUTED_VALUE"""),"Yes")</f>
        <v>Yes</v>
      </c>
      <c r="K1175" s="185" t="str">
        <f>IFERROR(__xludf.DUMMYFUNCTION("""COMPUTED_VALUE"""),"Scholz &amp; Friends, Merkle, Dentsu")</f>
        <v>Scholz &amp; Friends, Merkle, Dentsu</v>
      </c>
      <c r="L1175" s="187">
        <f>IFERROR(__xludf.DUMMYFUNCTION("""COMPUTED_VALUE"""),1.0)</f>
        <v>1</v>
      </c>
      <c r="M1175" s="188">
        <f>IFERROR(__xludf.DUMMYFUNCTION("""COMPUTED_VALUE"""),0.0)</f>
        <v>0</v>
      </c>
      <c r="N1175" s="188">
        <f>IFERROR(__xludf.DUMMYFUNCTION("""COMPUTED_VALUE"""),0.0)</f>
        <v>0</v>
      </c>
      <c r="O1175" s="208"/>
      <c r="P1175" s="208"/>
      <c r="Q1175" s="208"/>
      <c r="R1175" s="208"/>
    </row>
    <row r="1176">
      <c r="A1176" s="185" t="str">
        <f>IFERROR(__xludf.DUMMYFUNCTION("""COMPUTED_VALUE"""),"Official partner / certification ecosystem")</f>
        <v>Official partner / certification ecosystem</v>
      </c>
      <c r="B1176" s="186" t="str">
        <f>IFERROR(__xludf.DUMMYFUNCTION("""COMPUTED_VALUE"""),"https://www.google.com/searchviewer/10?svid=CAwSGxIZCgNwdnESEkNnc3ZaeTh4ZEdONGFIUTBZdxgK")</f>
        <v>https://www.google.com/searchviewer/10?svid=CAwSGxIZCgNwdnESEkNnc3ZaeTh4ZEdONGFIUTBZdxgK</v>
      </c>
      <c r="C1176" s="185"/>
      <c r="D1176" s="185" t="str">
        <f>IFERROR(__xludf.DUMMYFUNCTION("""COMPUTED_VALUE"""),"DE")</f>
        <v>DE</v>
      </c>
      <c r="E1176" s="185" t="str">
        <f>IFERROR(__xludf.DUMMYFUNCTION("""COMPUTED_VALUE"""),"google.com")</f>
        <v>google.com</v>
      </c>
      <c r="F1176" s="185" t="str">
        <f>IFERROR(__xludf.DUMMYFUNCTION("""COMPUTED_VALUE"""),"Other")</f>
        <v>Other</v>
      </c>
      <c r="G1176" s="185" t="str">
        <f>IFERROR(__xludf.DUMMYFUNCTION("""COMPUTED_VALUE"""),"OTHER")</f>
        <v>OTHER</v>
      </c>
      <c r="H1176" s="185" t="str">
        <f>IFERROR(__xludf.DUMMYFUNCTION("""COMPUTED_VALUE"""),"No")</f>
        <v>No</v>
      </c>
      <c r="I1176" s="185" t="str">
        <f>IFERROR(__xludf.DUMMYFUNCTION("""COMPUTED_VALUE"""),"High")</f>
        <v>High</v>
      </c>
      <c r="J1176" s="185" t="str">
        <f>IFERROR(__xludf.DUMMYFUNCTION("""COMPUTED_VALUE"""),"Yes - priority")</f>
        <v>Yes - priority</v>
      </c>
      <c r="K1176" s="185" t="str">
        <f>IFERROR(__xludf.DUMMYFUNCTION("""COMPUTED_VALUE"""),"Unknown")</f>
        <v>Unknown</v>
      </c>
      <c r="L1176" s="187">
        <f>IFERROR(__xludf.DUMMYFUNCTION("""COMPUTED_VALUE"""),1.0)</f>
        <v>1</v>
      </c>
      <c r="M1176" s="188">
        <f>IFERROR(__xludf.DUMMYFUNCTION("""COMPUTED_VALUE"""),0.0)</f>
        <v>0</v>
      </c>
      <c r="N1176" s="188">
        <f>IFERROR(__xludf.DUMMYFUNCTION("""COMPUTED_VALUE"""),1.0)</f>
        <v>1</v>
      </c>
      <c r="O1176" s="208"/>
      <c r="P1176" s="208"/>
      <c r="Q1176" s="208"/>
      <c r="R1176" s="208"/>
    </row>
    <row r="1177">
      <c r="A1177" s="185" t="str">
        <f>IFERROR(__xludf.DUMMYFUNCTION("""COMPUTED_VALUE"""),"Official partner / certification ecosystem")</f>
        <v>Official partner / certification ecosystem</v>
      </c>
      <c r="B1177" s="186" t="str">
        <f>IFERROR(__xludf.DUMMYFUNCTION("""COMPUTED_VALUE"""),"https://www.google.com/searchviewer/10?svid=CAwSGxIZCgNwdnESEkNnc3ZaeTh4ZEhRNFlqaDVjZxgK")</f>
        <v>https://www.google.com/searchviewer/10?svid=CAwSGxIZCgNwdnESEkNnc3ZaeTh4ZEhRNFlqaDVjZxgK</v>
      </c>
      <c r="C1177" s="185"/>
      <c r="D1177" s="185" t="str">
        <f>IFERROR(__xludf.DUMMYFUNCTION("""COMPUTED_VALUE"""),"DE")</f>
        <v>DE</v>
      </c>
      <c r="E1177" s="185" t="str">
        <f>IFERROR(__xludf.DUMMYFUNCTION("""COMPUTED_VALUE"""),"google.com")</f>
        <v>google.com</v>
      </c>
      <c r="F1177" s="185" t="str">
        <f>IFERROR(__xludf.DUMMYFUNCTION("""COMPUTED_VALUE"""),"Other")</f>
        <v>Other</v>
      </c>
      <c r="G1177" s="185" t="str">
        <f>IFERROR(__xludf.DUMMYFUNCTION("""COMPUTED_VALUE"""),"OTHER")</f>
        <v>OTHER</v>
      </c>
      <c r="H1177" s="185" t="str">
        <f>IFERROR(__xludf.DUMMYFUNCTION("""COMPUTED_VALUE"""),"No")</f>
        <v>No</v>
      </c>
      <c r="I1177" s="185" t="str">
        <f>IFERROR(__xludf.DUMMYFUNCTION("""COMPUTED_VALUE"""),"High")</f>
        <v>High</v>
      </c>
      <c r="J1177" s="185" t="str">
        <f>IFERROR(__xludf.DUMMYFUNCTION("""COMPUTED_VALUE"""),"Yes - priority")</f>
        <v>Yes - priority</v>
      </c>
      <c r="K1177" s="185" t="str">
        <f>IFERROR(__xludf.DUMMYFUNCTION("""COMPUTED_VALUE"""),"Unknown")</f>
        <v>Unknown</v>
      </c>
      <c r="L1177" s="187">
        <f>IFERROR(__xludf.DUMMYFUNCTION("""COMPUTED_VALUE"""),1.0)</f>
        <v>1</v>
      </c>
      <c r="M1177" s="188">
        <f>IFERROR(__xludf.DUMMYFUNCTION("""COMPUTED_VALUE"""),0.0)</f>
        <v>0</v>
      </c>
      <c r="N1177" s="188">
        <f>IFERROR(__xludf.DUMMYFUNCTION("""COMPUTED_VALUE"""),1.0)</f>
        <v>1</v>
      </c>
      <c r="O1177" s="208"/>
      <c r="P1177" s="208"/>
      <c r="Q1177" s="208"/>
      <c r="R1177" s="208"/>
    </row>
    <row r="1178">
      <c r="A1178" s="185" t="str">
        <f>IFERROR(__xludf.DUMMYFUNCTION("""COMPUTED_VALUE"""),"Official partner / certification ecosystem")</f>
        <v>Official partner / certification ecosystem</v>
      </c>
      <c r="B1178" s="186" t="str">
        <f>IFERROR(__xludf.DUMMYFUNCTION("""COMPUTED_VALUE"""),"https://www.google.com/searchviewer/10?svid=CAwSGxIZCgNwdnESEkNnc3ZaeTh4ZGpac05tczFiURgK")</f>
        <v>https://www.google.com/searchviewer/10?svid=CAwSGxIZCgNwdnESEkNnc3ZaeTh4ZGpac05tczFiURgK</v>
      </c>
      <c r="C1178" s="185"/>
      <c r="D1178" s="185" t="str">
        <f>IFERROR(__xludf.DUMMYFUNCTION("""COMPUTED_VALUE"""),"DE")</f>
        <v>DE</v>
      </c>
      <c r="E1178" s="185" t="str">
        <f>IFERROR(__xludf.DUMMYFUNCTION("""COMPUTED_VALUE"""),"google.com")</f>
        <v>google.com</v>
      </c>
      <c r="F1178" s="185" t="str">
        <f>IFERROR(__xludf.DUMMYFUNCTION("""COMPUTED_VALUE"""),"Other")</f>
        <v>Other</v>
      </c>
      <c r="G1178" s="185" t="str">
        <f>IFERROR(__xludf.DUMMYFUNCTION("""COMPUTED_VALUE"""),"OTHER")</f>
        <v>OTHER</v>
      </c>
      <c r="H1178" s="185" t="str">
        <f>IFERROR(__xludf.DUMMYFUNCTION("""COMPUTED_VALUE"""),"No")</f>
        <v>No</v>
      </c>
      <c r="I1178" s="185" t="str">
        <f>IFERROR(__xludf.DUMMYFUNCTION("""COMPUTED_VALUE"""),"High")</f>
        <v>High</v>
      </c>
      <c r="J1178" s="185" t="str">
        <f>IFERROR(__xludf.DUMMYFUNCTION("""COMPUTED_VALUE"""),"Yes - priority")</f>
        <v>Yes - priority</v>
      </c>
      <c r="K1178" s="185" t="str">
        <f>IFERROR(__xludf.DUMMYFUNCTION("""COMPUTED_VALUE"""),"Unknown")</f>
        <v>Unknown</v>
      </c>
      <c r="L1178" s="187">
        <f>IFERROR(__xludf.DUMMYFUNCTION("""COMPUTED_VALUE"""),1.0)</f>
        <v>1</v>
      </c>
      <c r="M1178" s="188">
        <f>IFERROR(__xludf.DUMMYFUNCTION("""COMPUTED_VALUE"""),0.0)</f>
        <v>0</v>
      </c>
      <c r="N1178" s="188">
        <f>IFERROR(__xludf.DUMMYFUNCTION("""COMPUTED_VALUE"""),0.0)</f>
        <v>0</v>
      </c>
      <c r="O1178" s="208"/>
      <c r="P1178" s="208"/>
      <c r="Q1178" s="208"/>
      <c r="R1178" s="208"/>
    </row>
    <row r="1179">
      <c r="A1179" s="185" t="str">
        <f>IFERROR(__xludf.DUMMYFUNCTION("""COMPUTED_VALUE"""),"Official partner / certification ecosystem")</f>
        <v>Official partner / certification ecosystem</v>
      </c>
      <c r="B1179" s="186" t="str">
        <f>IFERROR(__xludf.DUMMYFUNCTION("""COMPUTED_VALUE"""),"https://www.google.com/searchviewer/10?svid=CAwSHBIaCgNwdnESE0Nnd3ZaeTh4Y0hSNE9Xc3lOMkkYCg")</f>
        <v>https://www.google.com/searchviewer/10?svid=CAwSHBIaCgNwdnESE0Nnd3ZaeTh4Y0hSNE9Xc3lOMkkYCg</v>
      </c>
      <c r="C1179" s="185"/>
      <c r="D1179" s="185" t="str">
        <f>IFERROR(__xludf.DUMMYFUNCTION("""COMPUTED_VALUE"""),"DE")</f>
        <v>DE</v>
      </c>
      <c r="E1179" s="185" t="str">
        <f>IFERROR(__xludf.DUMMYFUNCTION("""COMPUTED_VALUE"""),"google.com")</f>
        <v>google.com</v>
      </c>
      <c r="F1179" s="185" t="str">
        <f>IFERROR(__xludf.DUMMYFUNCTION("""COMPUTED_VALUE"""),"Other")</f>
        <v>Other</v>
      </c>
      <c r="G1179" s="185" t="str">
        <f>IFERROR(__xludf.DUMMYFUNCTION("""COMPUTED_VALUE"""),"OTHER")</f>
        <v>OTHER</v>
      </c>
      <c r="H1179" s="185" t="str">
        <f>IFERROR(__xludf.DUMMYFUNCTION("""COMPUTED_VALUE"""),"No")</f>
        <v>No</v>
      </c>
      <c r="I1179" s="185" t="str">
        <f>IFERROR(__xludf.DUMMYFUNCTION("""COMPUTED_VALUE"""),"High")</f>
        <v>High</v>
      </c>
      <c r="J1179" s="185" t="str">
        <f>IFERROR(__xludf.DUMMYFUNCTION("""COMPUTED_VALUE"""),"Yes - priority")</f>
        <v>Yes - priority</v>
      </c>
      <c r="K1179" s="185" t="str">
        <f>IFERROR(__xludf.DUMMYFUNCTION("""COMPUTED_VALUE"""),"Unknown")</f>
        <v>Unknown</v>
      </c>
      <c r="L1179" s="187">
        <f>IFERROR(__xludf.DUMMYFUNCTION("""COMPUTED_VALUE"""),1.0)</f>
        <v>1</v>
      </c>
      <c r="M1179" s="188">
        <f>IFERROR(__xludf.DUMMYFUNCTION("""COMPUTED_VALUE"""),0.0)</f>
        <v>0</v>
      </c>
      <c r="N1179" s="188">
        <f>IFERROR(__xludf.DUMMYFUNCTION("""COMPUTED_VALUE"""),0.0)</f>
        <v>0</v>
      </c>
      <c r="O1179" s="208"/>
      <c r="P1179" s="208"/>
      <c r="Q1179" s="208"/>
      <c r="R1179" s="208"/>
    </row>
    <row r="1180">
      <c r="A1180" s="185" t="str">
        <f>IFERROR(__xludf.DUMMYFUNCTION("""COMPUTED_VALUE"""),"Official partner / certification ecosystem")</f>
        <v>Official partner / certification ecosystem</v>
      </c>
      <c r="B1180" s="186" t="str">
        <f>IFERROR(__xludf.DUMMYFUNCTION("""COMPUTED_VALUE"""),"https://www.google.com/searchviewer/10?svid=CAwSHBIaCgNwdnESE0Nnd3ZaeTh4YUcwMWJYTjVjREkYCg")</f>
        <v>https://www.google.com/searchviewer/10?svid=CAwSHBIaCgNwdnESE0Nnd3ZaeTh4YUcwMWJYTjVjREkYCg</v>
      </c>
      <c r="C1180" s="185"/>
      <c r="D1180" s="185" t="str">
        <f>IFERROR(__xludf.DUMMYFUNCTION("""COMPUTED_VALUE"""),"DE")</f>
        <v>DE</v>
      </c>
      <c r="E1180" s="185" t="str">
        <f>IFERROR(__xludf.DUMMYFUNCTION("""COMPUTED_VALUE"""),"google.com")</f>
        <v>google.com</v>
      </c>
      <c r="F1180" s="185" t="str">
        <f>IFERROR(__xludf.DUMMYFUNCTION("""COMPUTED_VALUE"""),"Other")</f>
        <v>Other</v>
      </c>
      <c r="G1180" s="185" t="str">
        <f>IFERROR(__xludf.DUMMYFUNCTION("""COMPUTED_VALUE"""),"OTHER")</f>
        <v>OTHER</v>
      </c>
      <c r="H1180" s="185" t="str">
        <f>IFERROR(__xludf.DUMMYFUNCTION("""COMPUTED_VALUE"""),"No")</f>
        <v>No</v>
      </c>
      <c r="I1180" s="185" t="str">
        <f>IFERROR(__xludf.DUMMYFUNCTION("""COMPUTED_VALUE"""),"High")</f>
        <v>High</v>
      </c>
      <c r="J1180" s="185" t="str">
        <f>IFERROR(__xludf.DUMMYFUNCTION("""COMPUTED_VALUE"""),"Yes - priority")</f>
        <v>Yes - priority</v>
      </c>
      <c r="K1180" s="185" t="str">
        <f>IFERROR(__xludf.DUMMYFUNCTION("""COMPUTED_VALUE"""),"Unknown")</f>
        <v>Unknown</v>
      </c>
      <c r="L1180" s="187">
        <f>IFERROR(__xludf.DUMMYFUNCTION("""COMPUTED_VALUE"""),1.0)</f>
        <v>1</v>
      </c>
      <c r="M1180" s="188">
        <f>IFERROR(__xludf.DUMMYFUNCTION("""COMPUTED_VALUE"""),0.0)</f>
        <v>0</v>
      </c>
      <c r="N1180" s="188">
        <f>IFERROR(__xludf.DUMMYFUNCTION("""COMPUTED_VALUE"""),0.0)</f>
        <v>0</v>
      </c>
      <c r="O1180" s="208"/>
      <c r="P1180" s="208"/>
      <c r="Q1180" s="208"/>
      <c r="R1180" s="208"/>
    </row>
    <row r="1181">
      <c r="A1181" s="185" t="str">
        <f>IFERROR(__xludf.DUMMYFUNCTION("""COMPUTED_VALUE"""),"Official partner / certification ecosystem")</f>
        <v>Official partner / certification ecosystem</v>
      </c>
      <c r="B1181" s="186" t="str">
        <f>IFERROR(__xludf.DUMMYFUNCTION("""COMPUTED_VALUE"""),"https://www.google.com/searchviewer/10?svid=CAwSHRIbCgNwdnESFENnMHZaeTh4TVdJMmFIWm9Nemw1GAo")</f>
        <v>https://www.google.com/searchviewer/10?svid=CAwSHRIbCgNwdnESFENnMHZaeTh4TVdJMmFIWm9Nemw1GAo</v>
      </c>
      <c r="C1181" s="185"/>
      <c r="D1181" s="185" t="str">
        <f>IFERROR(__xludf.DUMMYFUNCTION("""COMPUTED_VALUE"""),"DE")</f>
        <v>DE</v>
      </c>
      <c r="E1181" s="185" t="str">
        <f>IFERROR(__xludf.DUMMYFUNCTION("""COMPUTED_VALUE"""),"google.com")</f>
        <v>google.com</v>
      </c>
      <c r="F1181" s="185" t="str">
        <f>IFERROR(__xludf.DUMMYFUNCTION("""COMPUTED_VALUE"""),"Other")</f>
        <v>Other</v>
      </c>
      <c r="G1181" s="185" t="str">
        <f>IFERROR(__xludf.DUMMYFUNCTION("""COMPUTED_VALUE"""),"OTHER")</f>
        <v>OTHER</v>
      </c>
      <c r="H1181" s="185" t="str">
        <f>IFERROR(__xludf.DUMMYFUNCTION("""COMPUTED_VALUE"""),"No")</f>
        <v>No</v>
      </c>
      <c r="I1181" s="185" t="str">
        <f>IFERROR(__xludf.DUMMYFUNCTION("""COMPUTED_VALUE"""),"High")</f>
        <v>High</v>
      </c>
      <c r="J1181" s="185" t="str">
        <f>IFERROR(__xludf.DUMMYFUNCTION("""COMPUTED_VALUE"""),"Yes - priority")</f>
        <v>Yes - priority</v>
      </c>
      <c r="K1181" s="185" t="str">
        <f>IFERROR(__xludf.DUMMYFUNCTION("""COMPUTED_VALUE"""),"Unknown")</f>
        <v>Unknown</v>
      </c>
      <c r="L1181" s="187">
        <f>IFERROR(__xludf.DUMMYFUNCTION("""COMPUTED_VALUE"""),1.0)</f>
        <v>1</v>
      </c>
      <c r="M1181" s="188">
        <f>IFERROR(__xludf.DUMMYFUNCTION("""COMPUTED_VALUE"""),0.0)</f>
        <v>0</v>
      </c>
      <c r="N1181" s="188">
        <f>IFERROR(__xludf.DUMMYFUNCTION("""COMPUTED_VALUE"""),2.0)</f>
        <v>2</v>
      </c>
      <c r="O1181" s="208"/>
      <c r="P1181" s="208"/>
      <c r="Q1181" s="208"/>
      <c r="R1181" s="208"/>
    </row>
    <row r="1182">
      <c r="A1182" s="185" t="str">
        <f>IFERROR(__xludf.DUMMYFUNCTION("""COMPUTED_VALUE"""),"Official partner / certification ecosystem")</f>
        <v>Official partner / certification ecosystem</v>
      </c>
      <c r="B1182" s="186" t="str">
        <f>IFERROR(__xludf.DUMMYFUNCTION("""COMPUTED_VALUE"""),"https://www.google.com/searchviewer/10?svid=CAwSHRIbCgNwdnESFENnMHZaeTh4TVdOc2N6WjRkSGhqGAo")</f>
        <v>https://www.google.com/searchviewer/10?svid=CAwSHRIbCgNwdnESFENnMHZaeTh4TVdOc2N6WjRkSGhqGAo</v>
      </c>
      <c r="C1182" s="185"/>
      <c r="D1182" s="185" t="str">
        <f>IFERROR(__xludf.DUMMYFUNCTION("""COMPUTED_VALUE"""),"DE")</f>
        <v>DE</v>
      </c>
      <c r="E1182" s="185" t="str">
        <f>IFERROR(__xludf.DUMMYFUNCTION("""COMPUTED_VALUE"""),"google.com")</f>
        <v>google.com</v>
      </c>
      <c r="F1182" s="185" t="str">
        <f>IFERROR(__xludf.DUMMYFUNCTION("""COMPUTED_VALUE"""),"Other")</f>
        <v>Other</v>
      </c>
      <c r="G1182" s="185" t="str">
        <f>IFERROR(__xludf.DUMMYFUNCTION("""COMPUTED_VALUE"""),"OTHER")</f>
        <v>OTHER</v>
      </c>
      <c r="H1182" s="185" t="str">
        <f>IFERROR(__xludf.DUMMYFUNCTION("""COMPUTED_VALUE"""),"No")</f>
        <v>No</v>
      </c>
      <c r="I1182" s="185" t="str">
        <f>IFERROR(__xludf.DUMMYFUNCTION("""COMPUTED_VALUE"""),"High")</f>
        <v>High</v>
      </c>
      <c r="J1182" s="185" t="str">
        <f>IFERROR(__xludf.DUMMYFUNCTION("""COMPUTED_VALUE"""),"Yes - priority")</f>
        <v>Yes - priority</v>
      </c>
      <c r="K1182" s="185" t="str">
        <f>IFERROR(__xludf.DUMMYFUNCTION("""COMPUTED_VALUE"""),"Unknown")</f>
        <v>Unknown</v>
      </c>
      <c r="L1182" s="187">
        <f>IFERROR(__xludf.DUMMYFUNCTION("""COMPUTED_VALUE"""),1.0)</f>
        <v>1</v>
      </c>
      <c r="M1182" s="188">
        <f>IFERROR(__xludf.DUMMYFUNCTION("""COMPUTED_VALUE"""),0.0)</f>
        <v>0</v>
      </c>
      <c r="N1182" s="188">
        <f>IFERROR(__xludf.DUMMYFUNCTION("""COMPUTED_VALUE"""),0.0)</f>
        <v>0</v>
      </c>
      <c r="O1182" s="208"/>
      <c r="P1182" s="208"/>
      <c r="Q1182" s="208"/>
      <c r="R1182" s="208"/>
    </row>
    <row r="1183">
      <c r="A1183" s="185" t="str">
        <f>IFERROR(__xludf.DUMMYFUNCTION("""COMPUTED_VALUE"""),"Trade media / editorial publication")</f>
        <v>Trade media / editorial publication</v>
      </c>
      <c r="B1183" s="186" t="str">
        <f>IFERROR(__xludf.DUMMYFUNCTION("""COMPUTED_VALUE"""),"https://www.ibusiness.de/aktuell/db/446658jg.html")</f>
        <v>https://www.ibusiness.de/aktuell/db/446658jg.html</v>
      </c>
      <c r="C1183" s="185" t="str">
        <f>IFERROR(__xludf.DUMMYFUNCTION("""COMPUTED_VALUE"""),"Mehr Auto, weniger B2B: Das Ranking der gr��ten Performance-Agenturen 2025")</f>
        <v>Mehr Auto, weniger B2B: Das Ranking der gr��ten Performance-Agenturen 2025</v>
      </c>
      <c r="D1183" s="185" t="str">
        <f>IFERROR(__xludf.DUMMYFUNCTION("""COMPUTED_VALUE"""),"DE")</f>
        <v>DE</v>
      </c>
      <c r="E1183" s="185" t="str">
        <f>IFERROR(__xludf.DUMMYFUNCTION("""COMPUTED_VALUE"""),"ibusiness.de")</f>
        <v>ibusiness.de</v>
      </c>
      <c r="F1183" s="185" t="str">
        <f>IFERROR(__xludf.DUMMYFUNCTION("""COMPUTED_VALUE"""),"Article")</f>
        <v>Article</v>
      </c>
      <c r="G1183" s="185" t="str">
        <f>IFERROR(__xludf.DUMMYFUNCTION("""COMPUTED_VALUE"""),"EDITORIAL")</f>
        <v>EDITORIAL</v>
      </c>
      <c r="H1183" s="185" t="str">
        <f>IFERROR(__xludf.DUMMYFUNCTION("""COMPUTED_VALUE"""),"No")</f>
        <v>No</v>
      </c>
      <c r="I1183" s="185" t="str">
        <f>IFERROR(__xludf.DUMMYFUNCTION("""COMPUTED_VALUE"""),"Medium")</f>
        <v>Medium</v>
      </c>
      <c r="J1183" s="185" t="str">
        <f>IFERROR(__xludf.DUMMYFUNCTION("""COMPUTED_VALUE"""),"Yes")</f>
        <v>Yes</v>
      </c>
      <c r="K1183" s="185" t="str">
        <f>IFERROR(__xludf.DUMMYFUNCTION("""COMPUTED_VALUE"""),"morefire, Artefact, e-dialog, iProspect, Peak Ace, Smarketer")</f>
        <v>morefire, Artefact, e-dialog, iProspect, Peak Ace, Smarketer</v>
      </c>
      <c r="L1183" s="187">
        <f>IFERROR(__xludf.DUMMYFUNCTION("""COMPUTED_VALUE"""),1.0)</f>
        <v>1</v>
      </c>
      <c r="M1183" s="188">
        <f>IFERROR(__xludf.DUMMYFUNCTION("""COMPUTED_VALUE"""),0.0)</f>
        <v>0</v>
      </c>
      <c r="N1183" s="188">
        <f>IFERROR(__xludf.DUMMYFUNCTION("""COMPUTED_VALUE"""),0.0)</f>
        <v>0</v>
      </c>
      <c r="O1183" s="208"/>
      <c r="P1183" s="208"/>
      <c r="Q1183" s="208"/>
      <c r="R1183" s="208"/>
    </row>
    <row r="1184">
      <c r="A1184" s="185" t="str">
        <f>IFERROR(__xludf.DUMMYFUNCTION("""COMPUTED_VALUE"""),"Trade media / editorial publication")</f>
        <v>Trade media / editorial publication</v>
      </c>
      <c r="B1184" s="186" t="str">
        <f>IFERROR(__xludf.DUMMYFUNCTION("""COMPUTED_VALUE"""),"https://www.ibusiness.de/branche/db/235291SUR.html")</f>
        <v>https://www.ibusiness.de/branche/db/235291SUR.html</v>
      </c>
      <c r="C1184" s="185" t="str">
        <f>IFERROR(__xludf.DUMMYFUNCTION("""COMPUTED_VALUE"""),"Internetagentur-Ranking 2026: Schere im Agenturmarkt geht weiter auseinander")</f>
        <v>Internetagentur-Ranking 2026: Schere im Agenturmarkt geht weiter auseinander</v>
      </c>
      <c r="D1184" s="185" t="str">
        <f>IFERROR(__xludf.DUMMYFUNCTION("""COMPUTED_VALUE"""),"DE")</f>
        <v>DE</v>
      </c>
      <c r="E1184" s="185" t="str">
        <f>IFERROR(__xludf.DUMMYFUNCTION("""COMPUTED_VALUE"""),"ibusiness.de")</f>
        <v>ibusiness.de</v>
      </c>
      <c r="F1184" s="185" t="str">
        <f>IFERROR(__xludf.DUMMYFUNCTION("""COMPUTED_VALUE"""),"Other")</f>
        <v>Other</v>
      </c>
      <c r="G1184" s="185" t="str">
        <f>IFERROR(__xludf.DUMMYFUNCTION("""COMPUTED_VALUE"""),"EDITORIAL")</f>
        <v>EDITORIAL</v>
      </c>
      <c r="H1184" s="185" t="str">
        <f>IFERROR(__xludf.DUMMYFUNCTION("""COMPUTED_VALUE"""),"No")</f>
        <v>No</v>
      </c>
      <c r="I1184" s="185" t="str">
        <f>IFERROR(__xludf.DUMMYFUNCTION("""COMPUTED_VALUE"""),"Medium")</f>
        <v>Medium</v>
      </c>
      <c r="J1184" s="185" t="str">
        <f>IFERROR(__xludf.DUMMYFUNCTION("""COMPUTED_VALUE"""),"Yes")</f>
        <v>Yes</v>
      </c>
      <c r="K1184" s="185"/>
      <c r="L1184" s="187">
        <f>IFERROR(__xludf.DUMMYFUNCTION("""COMPUTED_VALUE"""),1.0)</f>
        <v>1</v>
      </c>
      <c r="M1184" s="188">
        <f>IFERROR(__xludf.DUMMYFUNCTION("""COMPUTED_VALUE"""),0.0)</f>
        <v>0</v>
      </c>
      <c r="N1184" s="188">
        <f>IFERROR(__xludf.DUMMYFUNCTION("""COMPUTED_VALUE"""),0.0)</f>
        <v>0</v>
      </c>
      <c r="O1184" s="208"/>
      <c r="P1184" s="208"/>
      <c r="Q1184" s="208"/>
      <c r="R1184" s="208"/>
    </row>
    <row r="1185">
      <c r="A1185" s="185" t="str">
        <f>IFERROR(__xludf.DUMMYFUNCTION("""COMPUTED_VALUE"""),"Trade media / editorial publication")</f>
        <v>Trade media / editorial publication</v>
      </c>
      <c r="B1185" s="186" t="str">
        <f>IFERROR(__xludf.DUMMYFUNCTION("""COMPUTED_VALUE"""),"https://www.ibusiness.de/performance-ranking/performance_2020.html")</f>
        <v>https://www.ibusiness.de/performance-ranking/performance_2020.html</v>
      </c>
      <c r="C1185" s="185" t="str">
        <f>IFERROR(__xludf.DUMMYFUNCTION("""COMPUTED_VALUE"""),"Das Ranking der gr��ten deutschen Performance-Marketing-Agenturen")</f>
        <v>Das Ranking der gr��ten deutschen Performance-Marketing-Agenturen</v>
      </c>
      <c r="D1185" s="185" t="str">
        <f>IFERROR(__xludf.DUMMYFUNCTION("""COMPUTED_VALUE"""),"DE")</f>
        <v>DE</v>
      </c>
      <c r="E1185" s="185" t="str">
        <f>IFERROR(__xludf.DUMMYFUNCTION("""COMPUTED_VALUE"""),"ibusiness.de")</f>
        <v>ibusiness.de</v>
      </c>
      <c r="F1185" s="185" t="str">
        <f>IFERROR(__xludf.DUMMYFUNCTION("""COMPUTED_VALUE"""),"Listicle")</f>
        <v>Listicle</v>
      </c>
      <c r="G1185" s="185" t="str">
        <f>IFERROR(__xludf.DUMMYFUNCTION("""COMPUTED_VALUE"""),"EDITORIAL")</f>
        <v>EDITORIAL</v>
      </c>
      <c r="H1185" s="185" t="str">
        <f>IFERROR(__xludf.DUMMYFUNCTION("""COMPUTED_VALUE"""),"No")</f>
        <v>No</v>
      </c>
      <c r="I1185" s="185" t="str">
        <f>IFERROR(__xludf.DUMMYFUNCTION("""COMPUTED_VALUE"""),"Medium")</f>
        <v>Medium</v>
      </c>
      <c r="J1185" s="185" t="str">
        <f>IFERROR(__xludf.DUMMYFUNCTION("""COMPUTED_VALUE"""),"Yes")</f>
        <v>Yes</v>
      </c>
      <c r="K1185" s="185" t="str">
        <f>IFERROR(__xludf.DUMMYFUNCTION("""COMPUTED_VALUE"""),"iProspect, Artefact, Omnicom, Omnicom Media Group, e-dialog, morefire, Aufgesang, Think11")</f>
        <v>iProspect, Artefact, Omnicom, Omnicom Media Group, e-dialog, morefire, Aufgesang, Think11</v>
      </c>
      <c r="L1185" s="187">
        <f>IFERROR(__xludf.DUMMYFUNCTION("""COMPUTED_VALUE"""),1.0)</f>
        <v>1</v>
      </c>
      <c r="M1185" s="188">
        <f>IFERROR(__xludf.DUMMYFUNCTION("""COMPUTED_VALUE"""),0.0)</f>
        <v>0</v>
      </c>
      <c r="N1185" s="188">
        <f>IFERROR(__xludf.DUMMYFUNCTION("""COMPUTED_VALUE"""),0.0)</f>
        <v>0</v>
      </c>
      <c r="O1185" s="208"/>
      <c r="P1185" s="208"/>
      <c r="Q1185" s="208"/>
      <c r="R1185" s="208"/>
    </row>
    <row r="1186">
      <c r="A1186" s="185" t="str">
        <f>IFERROR(__xludf.DUMMYFUNCTION("""COMPUTED_VALUE"""),"Trade media / editorial publication")</f>
        <v>Trade media / editorial publication</v>
      </c>
      <c r="B1186" s="186" t="str">
        <f>IFERROR(__xludf.DUMMYFUNCTION("""COMPUTED_VALUE"""),"https://www.ibusiness.de/performance-ranking/performance_2024")</f>
        <v>https://www.ibusiness.de/performance-ranking/performance_2024</v>
      </c>
      <c r="C1186" s="185" t="str">
        <f>IFERROR(__xludf.DUMMYFUNCTION("""COMPUTED_VALUE"""),"Das Ranking der gr��ten deutschen Performance-Marketing-Agenturen")</f>
        <v>Das Ranking der gr��ten deutschen Performance-Marketing-Agenturen</v>
      </c>
      <c r="D1186" s="185" t="str">
        <f>IFERROR(__xludf.DUMMYFUNCTION("""COMPUTED_VALUE"""),"DE")</f>
        <v>DE</v>
      </c>
      <c r="E1186" s="185" t="str">
        <f>IFERROR(__xludf.DUMMYFUNCTION("""COMPUTED_VALUE"""),"ibusiness.de")</f>
        <v>ibusiness.de</v>
      </c>
      <c r="F1186" s="185" t="str">
        <f>IFERROR(__xludf.DUMMYFUNCTION("""COMPUTED_VALUE"""),"Listicle")</f>
        <v>Listicle</v>
      </c>
      <c r="G1186" s="185" t="str">
        <f>IFERROR(__xludf.DUMMYFUNCTION("""COMPUTED_VALUE"""),"EDITORIAL")</f>
        <v>EDITORIAL</v>
      </c>
      <c r="H1186" s="185" t="str">
        <f>IFERROR(__xludf.DUMMYFUNCTION("""COMPUTED_VALUE"""),"No")</f>
        <v>No</v>
      </c>
      <c r="I1186" s="185" t="str">
        <f>IFERROR(__xludf.DUMMYFUNCTION("""COMPUTED_VALUE"""),"Medium")</f>
        <v>Medium</v>
      </c>
      <c r="J1186" s="185" t="str">
        <f>IFERROR(__xludf.DUMMYFUNCTION("""COMPUTED_VALUE"""),"Yes")</f>
        <v>Yes</v>
      </c>
      <c r="K1186" s="185" t="str">
        <f>IFERROR(__xludf.DUMMYFUNCTION("""COMPUTED_VALUE"""),"iProspect, Smarketer, Peak Ace, e-dialog, morefire, The Boutique Agency, 42DIGITAL, Aufgesang, eMinded GmbH")</f>
        <v>iProspect, Smarketer, Peak Ace, e-dialog, morefire, The Boutique Agency, 42DIGITAL, Aufgesang, eMinded GmbH</v>
      </c>
      <c r="L1186" s="187">
        <f>IFERROR(__xludf.DUMMYFUNCTION("""COMPUTED_VALUE"""),1.0)</f>
        <v>1</v>
      </c>
      <c r="M1186" s="188">
        <f>IFERROR(__xludf.DUMMYFUNCTION("""COMPUTED_VALUE"""),0.0)</f>
        <v>0</v>
      </c>
      <c r="N1186" s="188">
        <f>IFERROR(__xludf.DUMMYFUNCTION("""COMPUTED_VALUE"""),0.0)</f>
        <v>0</v>
      </c>
      <c r="O1186" s="208"/>
      <c r="P1186" s="208"/>
      <c r="Q1186" s="208"/>
      <c r="R1186" s="208"/>
    </row>
    <row r="1187">
      <c r="A1187" s="185" t="str">
        <f>IFERROR(__xludf.DUMMYFUNCTION("""COMPUTED_VALUE"""),"Trade media / editorial publication")</f>
        <v>Trade media / editorial publication</v>
      </c>
      <c r="B1187" s="186" t="str">
        <f>IFERROR(__xludf.DUMMYFUNCTION("""COMPUTED_VALUE"""),"https://www.ibusiness.de/performance-ranking/performance_2024.html?sub=5")</f>
        <v>https://www.ibusiness.de/performance-ranking/performance_2024.html?sub=5</v>
      </c>
      <c r="C1187" s="185" t="str">
        <f>IFERROR(__xludf.DUMMYFUNCTION("""COMPUTED_VALUE"""),"Das Ranking der gr��ten deutschen Performance-Marketing-Agenturen")</f>
        <v>Das Ranking der gr��ten deutschen Performance-Marketing-Agenturen</v>
      </c>
      <c r="D1187" s="185" t="str">
        <f>IFERROR(__xludf.DUMMYFUNCTION("""COMPUTED_VALUE"""),"DE")</f>
        <v>DE</v>
      </c>
      <c r="E1187" s="185" t="str">
        <f>IFERROR(__xludf.DUMMYFUNCTION("""COMPUTED_VALUE"""),"ibusiness.de")</f>
        <v>ibusiness.de</v>
      </c>
      <c r="F1187" s="185" t="str">
        <f>IFERROR(__xludf.DUMMYFUNCTION("""COMPUTED_VALUE"""),"Other")</f>
        <v>Other</v>
      </c>
      <c r="G1187" s="185" t="str">
        <f>IFERROR(__xludf.DUMMYFUNCTION("""COMPUTED_VALUE"""),"EDITORIAL")</f>
        <v>EDITORIAL</v>
      </c>
      <c r="H1187" s="185" t="str">
        <f>IFERROR(__xludf.DUMMYFUNCTION("""COMPUTED_VALUE"""),"No")</f>
        <v>No</v>
      </c>
      <c r="I1187" s="185" t="str">
        <f>IFERROR(__xludf.DUMMYFUNCTION("""COMPUTED_VALUE"""),"Medium")</f>
        <v>Medium</v>
      </c>
      <c r="J1187" s="185" t="str">
        <f>IFERROR(__xludf.DUMMYFUNCTION("""COMPUTED_VALUE"""),"Yes")</f>
        <v>Yes</v>
      </c>
      <c r="K1187" s="185" t="str">
        <f>IFERROR(__xludf.DUMMYFUNCTION("""COMPUTED_VALUE"""),"morefire, 42DIGITAL, Aufgesang")</f>
        <v>morefire, 42DIGITAL, Aufgesang</v>
      </c>
      <c r="L1187" s="187">
        <f>IFERROR(__xludf.DUMMYFUNCTION("""COMPUTED_VALUE"""),1.0)</f>
        <v>1</v>
      </c>
      <c r="M1187" s="188">
        <f>IFERROR(__xludf.DUMMYFUNCTION("""COMPUTED_VALUE"""),0.0)</f>
        <v>0</v>
      </c>
      <c r="N1187" s="188">
        <f>IFERROR(__xludf.DUMMYFUNCTION("""COMPUTED_VALUE"""),0.0)</f>
        <v>0</v>
      </c>
      <c r="O1187" s="208"/>
      <c r="P1187" s="208"/>
      <c r="Q1187" s="208"/>
      <c r="R1187" s="208"/>
    </row>
    <row r="1188">
      <c r="A1188" s="185" t="str">
        <f>IFERROR(__xludf.DUMMYFUNCTION("""COMPUTED_VALUE"""),"Trade media / editorial publication")</f>
        <v>Trade media / editorial publication</v>
      </c>
      <c r="B1188" s="186" t="str">
        <f>IFERROR(__xludf.DUMMYFUNCTION("""COMPUTED_VALUE"""),"https://www.ibusiness.de/performance-ranking/performance_2025.html?sub=12")</f>
        <v>https://www.ibusiness.de/performance-ranking/performance_2025.html?sub=12</v>
      </c>
      <c r="C1188" s="185" t="str">
        <f>IFERROR(__xludf.DUMMYFUNCTION("""COMPUTED_VALUE"""),"Das Ranking der gr��ten deutschen Performance-Marketing-Agenturen")</f>
        <v>Das Ranking der gr��ten deutschen Performance-Marketing-Agenturen</v>
      </c>
      <c r="D1188" s="185" t="str">
        <f>IFERROR(__xludf.DUMMYFUNCTION("""COMPUTED_VALUE"""),"DE")</f>
        <v>DE</v>
      </c>
      <c r="E1188" s="185" t="str">
        <f>IFERROR(__xludf.DUMMYFUNCTION("""COMPUTED_VALUE"""),"ibusiness.de")</f>
        <v>ibusiness.de</v>
      </c>
      <c r="F1188" s="185" t="str">
        <f>IFERROR(__xludf.DUMMYFUNCTION("""COMPUTED_VALUE"""),"Other")</f>
        <v>Other</v>
      </c>
      <c r="G1188" s="185" t="str">
        <f>IFERROR(__xludf.DUMMYFUNCTION("""COMPUTED_VALUE"""),"EDITORIAL")</f>
        <v>EDITORIAL</v>
      </c>
      <c r="H1188" s="185" t="str">
        <f>IFERROR(__xludf.DUMMYFUNCTION("""COMPUTED_VALUE"""),"No")</f>
        <v>No</v>
      </c>
      <c r="I1188" s="185" t="str">
        <f>IFERROR(__xludf.DUMMYFUNCTION("""COMPUTED_VALUE"""),"Medium")</f>
        <v>Medium</v>
      </c>
      <c r="J1188" s="185" t="str">
        <f>IFERROR(__xludf.DUMMYFUNCTION("""COMPUTED_VALUE"""),"Yes")</f>
        <v>Yes</v>
      </c>
      <c r="K1188" s="185"/>
      <c r="L1188" s="187">
        <f>IFERROR(__xludf.DUMMYFUNCTION("""COMPUTED_VALUE"""),1.0)</f>
        <v>1</v>
      </c>
      <c r="M1188" s="188">
        <f>IFERROR(__xludf.DUMMYFUNCTION("""COMPUTED_VALUE"""),0.0)</f>
        <v>0</v>
      </c>
      <c r="N1188" s="188">
        <f>IFERROR(__xludf.DUMMYFUNCTION("""COMPUTED_VALUE"""),0.0)</f>
        <v>0</v>
      </c>
      <c r="O1188" s="208"/>
      <c r="P1188" s="208"/>
      <c r="Q1188" s="208"/>
      <c r="R1188" s="208"/>
    </row>
    <row r="1189">
      <c r="A1189" s="185" t="str">
        <f>IFERROR(__xludf.DUMMYFUNCTION("""COMPUTED_VALUE"""),"Trade media / editorial publication")</f>
        <v>Trade media / editorial publication</v>
      </c>
      <c r="B1189" s="186" t="str">
        <f>IFERROR(__xludf.DUMMYFUNCTION("""COMPUTED_VALUE"""),"https://www.ibusiness.de/performance-ranking/performance_2025.html?sub=13")</f>
        <v>https://www.ibusiness.de/performance-ranking/performance_2025.html?sub=13</v>
      </c>
      <c r="C1189" s="185" t="str">
        <f>IFERROR(__xludf.DUMMYFUNCTION("""COMPUTED_VALUE"""),"Das Ranking der gr��ten deutschen Performance-Marketing-Agenturen")</f>
        <v>Das Ranking der gr��ten deutschen Performance-Marketing-Agenturen</v>
      </c>
      <c r="D1189" s="185" t="str">
        <f>IFERROR(__xludf.DUMMYFUNCTION("""COMPUTED_VALUE"""),"DE")</f>
        <v>DE</v>
      </c>
      <c r="E1189" s="185" t="str">
        <f>IFERROR(__xludf.DUMMYFUNCTION("""COMPUTED_VALUE"""),"ibusiness.de")</f>
        <v>ibusiness.de</v>
      </c>
      <c r="F1189" s="185" t="str">
        <f>IFERROR(__xludf.DUMMYFUNCTION("""COMPUTED_VALUE"""),"Other")</f>
        <v>Other</v>
      </c>
      <c r="G1189" s="185" t="str">
        <f>IFERROR(__xludf.DUMMYFUNCTION("""COMPUTED_VALUE"""),"EDITORIAL")</f>
        <v>EDITORIAL</v>
      </c>
      <c r="H1189" s="185" t="str">
        <f>IFERROR(__xludf.DUMMYFUNCTION("""COMPUTED_VALUE"""),"No")</f>
        <v>No</v>
      </c>
      <c r="I1189" s="185" t="str">
        <f>IFERROR(__xludf.DUMMYFUNCTION("""COMPUTED_VALUE"""),"Medium")</f>
        <v>Medium</v>
      </c>
      <c r="J1189" s="185" t="str">
        <f>IFERROR(__xludf.DUMMYFUNCTION("""COMPUTED_VALUE"""),"Yes")</f>
        <v>Yes</v>
      </c>
      <c r="K1189" s="185" t="str">
        <f>IFERROR(__xludf.DUMMYFUNCTION("""COMPUTED_VALUE"""),"morefire, eMinded GmbH, DREIKON, Aufgesang")</f>
        <v>morefire, eMinded GmbH, DREIKON, Aufgesang</v>
      </c>
      <c r="L1189" s="187">
        <f>IFERROR(__xludf.DUMMYFUNCTION("""COMPUTED_VALUE"""),1.0)</f>
        <v>1</v>
      </c>
      <c r="M1189" s="188">
        <f>IFERROR(__xludf.DUMMYFUNCTION("""COMPUTED_VALUE"""),0.0)</f>
        <v>0</v>
      </c>
      <c r="N1189" s="188">
        <f>IFERROR(__xludf.DUMMYFUNCTION("""COMPUTED_VALUE"""),0.0)</f>
        <v>0</v>
      </c>
      <c r="O1189" s="208"/>
      <c r="P1189" s="208"/>
      <c r="Q1189" s="208"/>
      <c r="R1189" s="208"/>
    </row>
    <row r="1190">
      <c r="A1190" s="185" t="str">
        <f>IFERROR(__xludf.DUMMYFUNCTION("""COMPUTED_VALUE"""),"Trade media / editorial publication")</f>
        <v>Trade media / editorial publication</v>
      </c>
      <c r="B1190" s="186" t="str">
        <f>IFERROR(__xludf.DUMMYFUNCTION("""COMPUTED_VALUE"""),"https://www.ibusiness.de/performance-ranking/performance_2025.html?sub=27")</f>
        <v>https://www.ibusiness.de/performance-ranking/performance_2025.html?sub=27</v>
      </c>
      <c r="C1190" s="185" t="str">
        <f>IFERROR(__xludf.DUMMYFUNCTION("""COMPUTED_VALUE"""),"Das Ranking der gr��ten deutschen Performance-Marketing-Agenturen")</f>
        <v>Das Ranking der gr��ten deutschen Performance-Marketing-Agenturen</v>
      </c>
      <c r="D1190" s="185" t="str">
        <f>IFERROR(__xludf.DUMMYFUNCTION("""COMPUTED_VALUE"""),"DE")</f>
        <v>DE</v>
      </c>
      <c r="E1190" s="185" t="str">
        <f>IFERROR(__xludf.DUMMYFUNCTION("""COMPUTED_VALUE"""),"ibusiness.de")</f>
        <v>ibusiness.de</v>
      </c>
      <c r="F1190" s="185" t="str">
        <f>IFERROR(__xludf.DUMMYFUNCTION("""COMPUTED_VALUE"""),"Profile")</f>
        <v>Profile</v>
      </c>
      <c r="G1190" s="185" t="str">
        <f>IFERROR(__xludf.DUMMYFUNCTION("""COMPUTED_VALUE"""),"EDITORIAL")</f>
        <v>EDITORIAL</v>
      </c>
      <c r="H1190" s="185" t="str">
        <f>IFERROR(__xludf.DUMMYFUNCTION("""COMPUTED_VALUE"""),"No")</f>
        <v>No</v>
      </c>
      <c r="I1190" s="185" t="str">
        <f>IFERROR(__xludf.DUMMYFUNCTION("""COMPUTED_VALUE"""),"Medium")</f>
        <v>Medium</v>
      </c>
      <c r="J1190" s="185" t="str">
        <f>IFERROR(__xludf.DUMMYFUNCTION("""COMPUTED_VALUE"""),"Yes")</f>
        <v>Yes</v>
      </c>
      <c r="K1190" s="185" t="str">
        <f>IFERROR(__xludf.DUMMYFUNCTION("""COMPUTED_VALUE"""),"Artefact")</f>
        <v>Artefact</v>
      </c>
      <c r="L1190" s="187">
        <f>IFERROR(__xludf.DUMMYFUNCTION("""COMPUTED_VALUE"""),1.0)</f>
        <v>1</v>
      </c>
      <c r="M1190" s="188">
        <f>IFERROR(__xludf.DUMMYFUNCTION("""COMPUTED_VALUE"""),0.0)</f>
        <v>0</v>
      </c>
      <c r="N1190" s="188">
        <f>IFERROR(__xludf.DUMMYFUNCTION("""COMPUTED_VALUE"""),0.0)</f>
        <v>0</v>
      </c>
      <c r="O1190" s="208"/>
      <c r="P1190" s="208"/>
      <c r="Q1190" s="208"/>
      <c r="R1190" s="208"/>
    </row>
    <row r="1191">
      <c r="A1191" s="185" t="str">
        <f>IFERROR(__xludf.DUMMYFUNCTION("""COMPUTED_VALUE"""),"Trade media / editorial publication")</f>
        <v>Trade media / editorial publication</v>
      </c>
      <c r="B1191" s="186" t="str">
        <f>IFERROR(__xludf.DUMMYFUNCTION("""COMPUTED_VALUE"""),"https://www.ibusiness.de/performance-ranking/performance_2025.html?sub=28")</f>
        <v>https://www.ibusiness.de/performance-ranking/performance_2025.html?sub=28</v>
      </c>
      <c r="C1191" s="185" t="str">
        <f>IFERROR(__xludf.DUMMYFUNCTION("""COMPUTED_VALUE"""),"Das Ranking der gr��ten deutschen Performance-Marketing-Agenturen")</f>
        <v>Das Ranking der gr��ten deutschen Performance-Marketing-Agenturen</v>
      </c>
      <c r="D1191" s="185" t="str">
        <f>IFERROR(__xludf.DUMMYFUNCTION("""COMPUTED_VALUE"""),"DE")</f>
        <v>DE</v>
      </c>
      <c r="E1191" s="185" t="str">
        <f>IFERROR(__xludf.DUMMYFUNCTION("""COMPUTED_VALUE"""),"ibusiness.de")</f>
        <v>ibusiness.de</v>
      </c>
      <c r="F1191" s="185" t="str">
        <f>IFERROR(__xludf.DUMMYFUNCTION("""COMPUTED_VALUE"""),"Other")</f>
        <v>Other</v>
      </c>
      <c r="G1191" s="185" t="str">
        <f>IFERROR(__xludf.DUMMYFUNCTION("""COMPUTED_VALUE"""),"EDITORIAL")</f>
        <v>EDITORIAL</v>
      </c>
      <c r="H1191" s="185" t="str">
        <f>IFERROR(__xludf.DUMMYFUNCTION("""COMPUTED_VALUE"""),"No")</f>
        <v>No</v>
      </c>
      <c r="I1191" s="185" t="str">
        <f>IFERROR(__xludf.DUMMYFUNCTION("""COMPUTED_VALUE"""),"Medium")</f>
        <v>Medium</v>
      </c>
      <c r="J1191" s="185" t="str">
        <f>IFERROR(__xludf.DUMMYFUNCTION("""COMPUTED_VALUE"""),"Yes")</f>
        <v>Yes</v>
      </c>
      <c r="K1191" s="185"/>
      <c r="L1191" s="187">
        <f>IFERROR(__xludf.DUMMYFUNCTION("""COMPUTED_VALUE"""),1.0)</f>
        <v>1</v>
      </c>
      <c r="M1191" s="188">
        <f>IFERROR(__xludf.DUMMYFUNCTION("""COMPUTED_VALUE"""),0.0)</f>
        <v>0</v>
      </c>
      <c r="N1191" s="188">
        <f>IFERROR(__xludf.DUMMYFUNCTION("""COMPUTED_VALUE"""),0.0)</f>
        <v>0</v>
      </c>
      <c r="O1191" s="208"/>
      <c r="P1191" s="208"/>
      <c r="Q1191" s="208"/>
      <c r="R1191" s="208"/>
    </row>
    <row r="1192">
      <c r="A1192" s="185" t="str">
        <f>IFERROR(__xludf.DUMMYFUNCTION("""COMPUTED_VALUE"""),"Trade media / editorial publication")</f>
        <v>Trade media / editorial publication</v>
      </c>
      <c r="B1192" s="186" t="str">
        <f>IFERROR(__xludf.DUMMYFUNCTION("""COMPUTED_VALUE"""),"https://influencermarketinghub.com/de/google-ads-agenturen/")</f>
        <v>https://influencermarketinghub.com/de/google-ads-agenturen/</v>
      </c>
      <c r="C1192" s="185" t="str">
        <f>IFERROR(__xludf.DUMMYFUNCTION("""COMPUTED_VALUE"""),"23 der besten Google-Ads-Agenturen für 2025")</f>
        <v>23 der besten Google-Ads-Agenturen für 2025</v>
      </c>
      <c r="D1192" s="185" t="str">
        <f>IFERROR(__xludf.DUMMYFUNCTION("""COMPUTED_VALUE"""),"DE")</f>
        <v>DE</v>
      </c>
      <c r="E1192" s="185" t="str">
        <f>IFERROR(__xludf.DUMMYFUNCTION("""COMPUTED_VALUE"""),"influencermarketinghub.com")</f>
        <v>influencermarketinghub.com</v>
      </c>
      <c r="F1192" s="185" t="str">
        <f>IFERROR(__xludf.DUMMYFUNCTION("""COMPUTED_VALUE"""),"Listicle")</f>
        <v>Listicle</v>
      </c>
      <c r="G1192" s="185" t="str">
        <f>IFERROR(__xludf.DUMMYFUNCTION("""COMPUTED_VALUE"""),"REFERENCE")</f>
        <v>REFERENCE</v>
      </c>
      <c r="H1192" s="185" t="str">
        <f>IFERROR(__xludf.DUMMYFUNCTION("""COMPUTED_VALUE"""),"No")</f>
        <v>No</v>
      </c>
      <c r="I1192" s="185" t="str">
        <f>IFERROR(__xludf.DUMMYFUNCTION("""COMPUTED_VALUE"""),"Medium")</f>
        <v>Medium</v>
      </c>
      <c r="J1192" s="185" t="str">
        <f>IFERROR(__xludf.DUMMYFUNCTION("""COMPUTED_VALUE"""),"Yes")</f>
        <v>Yes</v>
      </c>
      <c r="K1192" s="185" t="str">
        <f>IFERROR(__xludf.DUMMYFUNCTION("""COMPUTED_VALUE"""),"Single Grain, SmartSites, KlientBoost, WebFX")</f>
        <v>Single Grain, SmartSites, KlientBoost, WebFX</v>
      </c>
      <c r="L1192" s="187">
        <f>IFERROR(__xludf.DUMMYFUNCTION("""COMPUTED_VALUE"""),1.0)</f>
        <v>1</v>
      </c>
      <c r="M1192" s="188">
        <f>IFERROR(__xludf.DUMMYFUNCTION("""COMPUTED_VALUE"""),0.0)</f>
        <v>0</v>
      </c>
      <c r="N1192" s="188">
        <f>IFERROR(__xludf.DUMMYFUNCTION("""COMPUTED_VALUE"""),0.0)</f>
        <v>0</v>
      </c>
      <c r="O1192" s="208"/>
      <c r="P1192" s="208"/>
      <c r="Q1192" s="208"/>
      <c r="R1192" s="208"/>
    </row>
    <row r="1193">
      <c r="A1193" s="185" t="str">
        <f>IFERROR(__xludf.DUMMYFUNCTION("""COMPUTED_VALUE"""),"Trade media / editorial publication")</f>
        <v>Trade media / editorial publication</v>
      </c>
      <c r="B1193" s="186" t="str">
        <f>IFERROR(__xludf.DUMMYFUNCTION("""COMPUTED_VALUE"""),"https://influencermarketinghub.com/de/ki-marketing-agenturen/")</f>
        <v>https://influencermarketinghub.com/de/ki-marketing-agenturen/</v>
      </c>
      <c r="C1193" s="185" t="str">
        <f>IFERROR(__xludf.DUMMYFUNCTION("""COMPUTED_VALUE"""),"Die 9 besten KI-Marketing-Agenturen für 2025")</f>
        <v>Die 9 besten KI-Marketing-Agenturen für 2025</v>
      </c>
      <c r="D1193" s="185" t="str">
        <f>IFERROR(__xludf.DUMMYFUNCTION("""COMPUTED_VALUE"""),"DE")</f>
        <v>DE</v>
      </c>
      <c r="E1193" s="185" t="str">
        <f>IFERROR(__xludf.DUMMYFUNCTION("""COMPUTED_VALUE"""),"influencermarketinghub.com")</f>
        <v>influencermarketinghub.com</v>
      </c>
      <c r="F1193" s="185" t="str">
        <f>IFERROR(__xludf.DUMMYFUNCTION("""COMPUTED_VALUE"""),"Listicle")</f>
        <v>Listicle</v>
      </c>
      <c r="G1193" s="185" t="str">
        <f>IFERROR(__xludf.DUMMYFUNCTION("""COMPUTED_VALUE"""),"REFERENCE")</f>
        <v>REFERENCE</v>
      </c>
      <c r="H1193" s="185" t="str">
        <f>IFERROR(__xludf.DUMMYFUNCTION("""COMPUTED_VALUE"""),"No")</f>
        <v>No</v>
      </c>
      <c r="I1193" s="185" t="str">
        <f>IFERROR(__xludf.DUMMYFUNCTION("""COMPUTED_VALUE"""),"Medium")</f>
        <v>Medium</v>
      </c>
      <c r="J1193" s="185" t="str">
        <f>IFERROR(__xludf.DUMMYFUNCTION("""COMPUTED_VALUE"""),"Yes")</f>
        <v>Yes</v>
      </c>
      <c r="K1193" s="185" t="str">
        <f>IFERROR(__xludf.DUMMYFUNCTION("""COMPUTED_VALUE"""),"SmartSites")</f>
        <v>SmartSites</v>
      </c>
      <c r="L1193" s="187">
        <f>IFERROR(__xludf.DUMMYFUNCTION("""COMPUTED_VALUE"""),1.0)</f>
        <v>1</v>
      </c>
      <c r="M1193" s="188">
        <f>IFERROR(__xludf.DUMMYFUNCTION("""COMPUTED_VALUE"""),0.0)</f>
        <v>0</v>
      </c>
      <c r="N1193" s="188">
        <f>IFERROR(__xludf.DUMMYFUNCTION("""COMPUTED_VALUE"""),0.0)</f>
        <v>0</v>
      </c>
      <c r="O1193" s="208"/>
      <c r="P1193" s="208"/>
      <c r="Q1193" s="208"/>
      <c r="R1193" s="208"/>
    </row>
    <row r="1194">
      <c r="A1194" s="185" t="str">
        <f>IFERROR(__xludf.DUMMYFUNCTION("""COMPUTED_VALUE"""),"Trade media / editorial publication")</f>
        <v>Trade media / editorial publication</v>
      </c>
      <c r="B1194" s="186" t="str">
        <f>IFERROR(__xludf.DUMMYFUNCTION("""COMPUTED_VALUE"""),"https://influencermarketinghub.com/de/social-media-marketing-agenturen/")</f>
        <v>https://influencermarketinghub.com/de/social-media-marketing-agenturen/</v>
      </c>
      <c r="C1194" s="185" t="str">
        <f>IFERROR(__xludf.DUMMYFUNCTION("""COMPUTED_VALUE"""),"Top 48 Social Media Marketing Agenturen (Aktualisiert)")</f>
        <v>Top 48 Social Media Marketing Agenturen (Aktualisiert)</v>
      </c>
      <c r="D1194" s="185" t="str">
        <f>IFERROR(__xludf.DUMMYFUNCTION("""COMPUTED_VALUE"""),"DE")</f>
        <v>DE</v>
      </c>
      <c r="E1194" s="185" t="str">
        <f>IFERROR(__xludf.DUMMYFUNCTION("""COMPUTED_VALUE"""),"influencermarketinghub.com")</f>
        <v>influencermarketinghub.com</v>
      </c>
      <c r="F1194" s="185" t="str">
        <f>IFERROR(__xludf.DUMMYFUNCTION("""COMPUTED_VALUE"""),"Listicle")</f>
        <v>Listicle</v>
      </c>
      <c r="G1194" s="185" t="str">
        <f>IFERROR(__xludf.DUMMYFUNCTION("""COMPUTED_VALUE"""),"REFERENCE")</f>
        <v>REFERENCE</v>
      </c>
      <c r="H1194" s="185" t="str">
        <f>IFERROR(__xludf.DUMMYFUNCTION("""COMPUTED_VALUE"""),"No")</f>
        <v>No</v>
      </c>
      <c r="I1194" s="185" t="str">
        <f>IFERROR(__xludf.DUMMYFUNCTION("""COMPUTED_VALUE"""),"Medium")</f>
        <v>Medium</v>
      </c>
      <c r="J1194" s="185" t="str">
        <f>IFERROR(__xludf.DUMMYFUNCTION("""COMPUTED_VALUE"""),"Yes")</f>
        <v>Yes</v>
      </c>
      <c r="K1194" s="185" t="str">
        <f>IFERROR(__xludf.DUMMYFUNCTION("""COMPUTED_VALUE"""),"KlientBoost, WebFX, Tinuiti, Convertiv")</f>
        <v>KlientBoost, WebFX, Tinuiti, Convertiv</v>
      </c>
      <c r="L1194" s="187">
        <f>IFERROR(__xludf.DUMMYFUNCTION("""COMPUTED_VALUE"""),1.0)</f>
        <v>1</v>
      </c>
      <c r="M1194" s="188">
        <f>IFERROR(__xludf.DUMMYFUNCTION("""COMPUTED_VALUE"""),0.0)</f>
        <v>0</v>
      </c>
      <c r="N1194" s="188">
        <f>IFERROR(__xludf.DUMMYFUNCTION("""COMPUTED_VALUE"""),1.0)</f>
        <v>1</v>
      </c>
      <c r="O1194" s="208"/>
      <c r="P1194" s="208"/>
      <c r="Q1194" s="208"/>
      <c r="R1194" s="208"/>
    </row>
    <row r="1195">
      <c r="A1195" s="185" t="str">
        <f>IFERROR(__xludf.DUMMYFUNCTION("""COMPUTED_VALUE"""),"Official partner / certification ecosystem")</f>
        <v>Official partner / certification ecosystem</v>
      </c>
      <c r="B1195" s="186" t="str">
        <f>IFERROR(__xludf.DUMMYFUNCTION("""COMPUTED_VALUE"""),"https://marketingplatform.google.com/intl/de/about/")</f>
        <v>https://marketingplatform.google.com/intl/de/about/</v>
      </c>
      <c r="C1195" s="185" t="str">
        <f>IFERROR(__xludf.DUMMYFUNCTION("""COMPUTED_VALUE"""),"Google Marketing Platform – Werbung und Analysen in einer Lösung")</f>
        <v>Google Marketing Platform – Werbung und Analysen in einer Lösung</v>
      </c>
      <c r="D1195" s="185" t="str">
        <f>IFERROR(__xludf.DUMMYFUNCTION("""COMPUTED_VALUE"""),"DE")</f>
        <v>DE</v>
      </c>
      <c r="E1195" s="185" t="str">
        <f>IFERROR(__xludf.DUMMYFUNCTION("""COMPUTED_VALUE"""),"google.com")</f>
        <v>google.com</v>
      </c>
      <c r="F1195" s="185" t="str">
        <f>IFERROR(__xludf.DUMMYFUNCTION("""COMPUTED_VALUE"""),"Homepage")</f>
        <v>Homepage</v>
      </c>
      <c r="G1195" s="185" t="str">
        <f>IFERROR(__xludf.DUMMYFUNCTION("""COMPUTED_VALUE"""),"OTHER")</f>
        <v>OTHER</v>
      </c>
      <c r="H1195" s="185" t="str">
        <f>IFERROR(__xludf.DUMMYFUNCTION("""COMPUTED_VALUE"""),"No")</f>
        <v>No</v>
      </c>
      <c r="I1195" s="185" t="str">
        <f>IFERROR(__xludf.DUMMYFUNCTION("""COMPUTED_VALUE"""),"High")</f>
        <v>High</v>
      </c>
      <c r="J1195" s="185" t="str">
        <f>IFERROR(__xludf.DUMMYFUNCTION("""COMPUTED_VALUE"""),"Yes - priority")</f>
        <v>Yes - priority</v>
      </c>
      <c r="K1195" s="185"/>
      <c r="L1195" s="187">
        <f>IFERROR(__xludf.DUMMYFUNCTION("""COMPUTED_VALUE"""),1.0)</f>
        <v>1</v>
      </c>
      <c r="M1195" s="188">
        <f>IFERROR(__xludf.DUMMYFUNCTION("""COMPUTED_VALUE"""),0.0)</f>
        <v>0</v>
      </c>
      <c r="N1195" s="188">
        <f>IFERROR(__xludf.DUMMYFUNCTION("""COMPUTED_VALUE"""),1.0)</f>
        <v>1</v>
      </c>
      <c r="O1195" s="208"/>
      <c r="P1195" s="208"/>
      <c r="Q1195" s="208"/>
      <c r="R1195" s="208"/>
    </row>
    <row r="1196">
      <c r="A1196" s="185" t="str">
        <f>IFERROR(__xludf.DUMMYFUNCTION("""COMPUTED_VALUE"""),"Trade media / editorial publication")</f>
        <v>Trade media / editorial publication</v>
      </c>
      <c r="B1196" s="186" t="str">
        <f>IFERROR(__xludf.DUMMYFUNCTION("""COMPUTED_VALUE"""),"https://www.neuhandeln.de/internetagentur-ranking/ranking_2025.html")</f>
        <v>https://www.neuhandeln.de/internetagentur-ranking/ranking_2025.html</v>
      </c>
      <c r="C1196" s="185" t="str">
        <f>IFERROR(__xludf.DUMMYFUNCTION("""COMPUTED_VALUE"""),"Das Ranking gr��ten deutschen Internetagenturen")</f>
        <v>Das Ranking gr��ten deutschen Internetagenturen</v>
      </c>
      <c r="D1196" s="185" t="str">
        <f>IFERROR(__xludf.DUMMYFUNCTION("""COMPUTED_VALUE"""),"DE")</f>
        <v>DE</v>
      </c>
      <c r="E1196" s="185" t="str">
        <f>IFERROR(__xludf.DUMMYFUNCTION("""COMPUTED_VALUE"""),"neuhandeln.de")</f>
        <v>neuhandeln.de</v>
      </c>
      <c r="F1196" s="185" t="str">
        <f>IFERROR(__xludf.DUMMYFUNCTION("""COMPUTED_VALUE"""),"Listicle")</f>
        <v>Listicle</v>
      </c>
      <c r="G1196" s="185" t="str">
        <f>IFERROR(__xludf.DUMMYFUNCTION("""COMPUTED_VALUE"""),"EDITORIAL")</f>
        <v>EDITORIAL</v>
      </c>
      <c r="H1196" s="185" t="str">
        <f>IFERROR(__xludf.DUMMYFUNCTION("""COMPUTED_VALUE"""),"No")</f>
        <v>No</v>
      </c>
      <c r="I1196" s="185" t="str">
        <f>IFERROR(__xludf.DUMMYFUNCTION("""COMPUTED_VALUE"""),"Medium")</f>
        <v>Medium</v>
      </c>
      <c r="J1196" s="185" t="str">
        <f>IFERROR(__xludf.DUMMYFUNCTION("""COMPUTED_VALUE"""),"Yes")</f>
        <v>Yes</v>
      </c>
      <c r="K1196" s="185" t="str">
        <f>IFERROR(__xludf.DUMMYFUNCTION("""COMPUTED_VALUE"""),"Pilot, Merkle, KlickPiloten, Digital Masters GmbH, DREIKON, PANORAMA3000")</f>
        <v>Pilot, Merkle, KlickPiloten, Digital Masters GmbH, DREIKON, PANORAMA3000</v>
      </c>
      <c r="L1196" s="187">
        <f>IFERROR(__xludf.DUMMYFUNCTION("""COMPUTED_VALUE"""),1.0)</f>
        <v>1</v>
      </c>
      <c r="M1196" s="188">
        <f>IFERROR(__xludf.DUMMYFUNCTION("""COMPUTED_VALUE"""),0.0)</f>
        <v>0</v>
      </c>
      <c r="N1196" s="188">
        <f>IFERROR(__xludf.DUMMYFUNCTION("""COMPUTED_VALUE"""),1.0)</f>
        <v>1</v>
      </c>
      <c r="O1196" s="208"/>
      <c r="P1196" s="208"/>
      <c r="Q1196" s="208"/>
      <c r="R1196" s="208"/>
    </row>
    <row r="1197">
      <c r="A1197" s="185" t="str">
        <f>IFERROR(__xludf.DUMMYFUNCTION("""COMPUTED_VALUE"""),"Trade media / editorial publication")</f>
        <v>Trade media / editorial publication</v>
      </c>
      <c r="B1197" s="186" t="str">
        <f>IFERROR(__xludf.DUMMYFUNCTION("""COMPUTED_VALUE"""),"https://www.neuhandeln.de/performance-ranking/performance_2021")</f>
        <v>https://www.neuhandeln.de/performance-ranking/performance_2021</v>
      </c>
      <c r="C1197" s="185" t="str">
        <f>IFERROR(__xludf.DUMMYFUNCTION("""COMPUTED_VALUE"""),"Das Ranking der gr��ten deutschsprachigen Performance-Marketing-Agenturen")</f>
        <v>Das Ranking der gr��ten deutschsprachigen Performance-Marketing-Agenturen</v>
      </c>
      <c r="D1197" s="185" t="str">
        <f>IFERROR(__xludf.DUMMYFUNCTION("""COMPUTED_VALUE"""),"DE")</f>
        <v>DE</v>
      </c>
      <c r="E1197" s="185" t="str">
        <f>IFERROR(__xludf.DUMMYFUNCTION("""COMPUTED_VALUE"""),"neuhandeln.de")</f>
        <v>neuhandeln.de</v>
      </c>
      <c r="F1197" s="185" t="str">
        <f>IFERROR(__xludf.DUMMYFUNCTION("""COMPUTED_VALUE"""),"Listicle")</f>
        <v>Listicle</v>
      </c>
      <c r="G1197" s="185" t="str">
        <f>IFERROR(__xludf.DUMMYFUNCTION("""COMPUTED_VALUE"""),"EDITORIAL")</f>
        <v>EDITORIAL</v>
      </c>
      <c r="H1197" s="185" t="str">
        <f>IFERROR(__xludf.DUMMYFUNCTION("""COMPUTED_VALUE"""),"No")</f>
        <v>No</v>
      </c>
      <c r="I1197" s="185" t="str">
        <f>IFERROR(__xludf.DUMMYFUNCTION("""COMPUTED_VALUE"""),"Medium")</f>
        <v>Medium</v>
      </c>
      <c r="J1197" s="185" t="str">
        <f>IFERROR(__xludf.DUMMYFUNCTION("""COMPUTED_VALUE"""),"Yes")</f>
        <v>Yes</v>
      </c>
      <c r="K1197" s="185" t="str">
        <f>IFERROR(__xludf.DUMMYFUNCTION("""COMPUTED_VALUE"""),"Smarketer, iProspect, morefire, e-dialog, 42DIGITAL, Aufgesang, PANORAMA3000")</f>
        <v>Smarketer, iProspect, morefire, e-dialog, 42DIGITAL, Aufgesang, PANORAMA3000</v>
      </c>
      <c r="L1197" s="187">
        <f>IFERROR(__xludf.DUMMYFUNCTION("""COMPUTED_VALUE"""),1.0)</f>
        <v>1</v>
      </c>
      <c r="M1197" s="188">
        <f>IFERROR(__xludf.DUMMYFUNCTION("""COMPUTED_VALUE"""),0.0)</f>
        <v>0</v>
      </c>
      <c r="N1197" s="188">
        <f>IFERROR(__xludf.DUMMYFUNCTION("""COMPUTED_VALUE"""),0.0)</f>
        <v>0</v>
      </c>
      <c r="O1197" s="208"/>
      <c r="P1197" s="208"/>
      <c r="Q1197" s="208"/>
      <c r="R1197" s="208"/>
    </row>
    <row r="1198">
      <c r="A1198" s="185" t="str">
        <f>IFERROR(__xludf.DUMMYFUNCTION("""COMPUTED_VALUE"""),"Trade media / editorial publication")</f>
        <v>Trade media / editorial publication</v>
      </c>
      <c r="B1198" s="186" t="str">
        <f>IFERROR(__xludf.DUMMYFUNCTION("""COMPUTED_VALUE"""),"https://www.neuhandeln.de/performance-ranking/performance_2022.html")</f>
        <v>https://www.neuhandeln.de/performance-ranking/performance_2022.html</v>
      </c>
      <c r="C1198" s="185" t="str">
        <f>IFERROR(__xludf.DUMMYFUNCTION("""COMPUTED_VALUE"""),"Das Ranking der gr��ten deutschsprachigen Performance-Marketing-Agenturen")</f>
        <v>Das Ranking der gr��ten deutschsprachigen Performance-Marketing-Agenturen</v>
      </c>
      <c r="D1198" s="185" t="str">
        <f>IFERROR(__xludf.DUMMYFUNCTION("""COMPUTED_VALUE"""),"DE")</f>
        <v>DE</v>
      </c>
      <c r="E1198" s="185" t="str">
        <f>IFERROR(__xludf.DUMMYFUNCTION("""COMPUTED_VALUE"""),"neuhandeln.de")</f>
        <v>neuhandeln.de</v>
      </c>
      <c r="F1198" s="185" t="str">
        <f>IFERROR(__xludf.DUMMYFUNCTION("""COMPUTED_VALUE"""),"Profile")</f>
        <v>Profile</v>
      </c>
      <c r="G1198" s="185" t="str">
        <f>IFERROR(__xludf.DUMMYFUNCTION("""COMPUTED_VALUE"""),"EDITORIAL")</f>
        <v>EDITORIAL</v>
      </c>
      <c r="H1198" s="185" t="str">
        <f>IFERROR(__xludf.DUMMYFUNCTION("""COMPUTED_VALUE"""),"No")</f>
        <v>No</v>
      </c>
      <c r="I1198" s="185" t="str">
        <f>IFERROR(__xludf.DUMMYFUNCTION("""COMPUTED_VALUE"""),"Medium")</f>
        <v>Medium</v>
      </c>
      <c r="J1198" s="185" t="str">
        <f>IFERROR(__xludf.DUMMYFUNCTION("""COMPUTED_VALUE"""),"Yes")</f>
        <v>Yes</v>
      </c>
      <c r="K1198" s="185" t="str">
        <f>IFERROR(__xludf.DUMMYFUNCTION("""COMPUTED_VALUE"""),"Smarketer, iProspect, Artefact, e-dialog, morefire, The Boutique Agency, 42DIGITAL, Aufgesang, Digital Masters GmbH, PANORAMA3000")</f>
        <v>Smarketer, iProspect, Artefact, e-dialog, morefire, The Boutique Agency, 42DIGITAL, Aufgesang, Digital Masters GmbH, PANORAMA3000</v>
      </c>
      <c r="L1198" s="187">
        <f>IFERROR(__xludf.DUMMYFUNCTION("""COMPUTED_VALUE"""),1.0)</f>
        <v>1</v>
      </c>
      <c r="M1198" s="188">
        <f>IFERROR(__xludf.DUMMYFUNCTION("""COMPUTED_VALUE"""),0.0)</f>
        <v>0</v>
      </c>
      <c r="N1198" s="188">
        <f>IFERROR(__xludf.DUMMYFUNCTION("""COMPUTED_VALUE"""),0.0)</f>
        <v>0</v>
      </c>
      <c r="O1198" s="208"/>
      <c r="P1198" s="208"/>
      <c r="Q1198" s="208"/>
      <c r="R1198" s="208"/>
    </row>
    <row r="1199">
      <c r="A1199" s="185" t="str">
        <f>IFERROR(__xludf.DUMMYFUNCTION("""COMPUTED_VALUE"""),"Trade media / editorial publication")</f>
        <v>Trade media / editorial publication</v>
      </c>
      <c r="B1199" s="186" t="str">
        <f>IFERROR(__xludf.DUMMYFUNCTION("""COMPUTED_VALUE"""),"https://www.neuhandeln.de/performance-ranking/performance_2024.html?sub=18")</f>
        <v>https://www.neuhandeln.de/performance-ranking/performance_2024.html?sub=18</v>
      </c>
      <c r="C1199" s="185" t="str">
        <f>IFERROR(__xludf.DUMMYFUNCTION("""COMPUTED_VALUE"""),"Das Ranking der gr��ten deutschsprachigen Performance-Marketing-Agenturen")</f>
        <v>Das Ranking der gr��ten deutschsprachigen Performance-Marketing-Agenturen</v>
      </c>
      <c r="D1199" s="185" t="str">
        <f>IFERROR(__xludf.DUMMYFUNCTION("""COMPUTED_VALUE"""),"DE")</f>
        <v>DE</v>
      </c>
      <c r="E1199" s="185" t="str">
        <f>IFERROR(__xludf.DUMMYFUNCTION("""COMPUTED_VALUE"""),"neuhandeln.de")</f>
        <v>neuhandeln.de</v>
      </c>
      <c r="F1199" s="185" t="str">
        <f>IFERROR(__xludf.DUMMYFUNCTION("""COMPUTED_VALUE"""),"Profile")</f>
        <v>Profile</v>
      </c>
      <c r="G1199" s="185" t="str">
        <f>IFERROR(__xludf.DUMMYFUNCTION("""COMPUTED_VALUE"""),"EDITORIAL")</f>
        <v>EDITORIAL</v>
      </c>
      <c r="H1199" s="185" t="str">
        <f>IFERROR(__xludf.DUMMYFUNCTION("""COMPUTED_VALUE"""),"No")</f>
        <v>No</v>
      </c>
      <c r="I1199" s="185" t="str">
        <f>IFERROR(__xludf.DUMMYFUNCTION("""COMPUTED_VALUE"""),"Medium")</f>
        <v>Medium</v>
      </c>
      <c r="J1199" s="185" t="str">
        <f>IFERROR(__xludf.DUMMYFUNCTION("""COMPUTED_VALUE"""),"Yes")</f>
        <v>Yes</v>
      </c>
      <c r="K1199" s="185"/>
      <c r="L1199" s="187">
        <f>IFERROR(__xludf.DUMMYFUNCTION("""COMPUTED_VALUE"""),1.0)</f>
        <v>1</v>
      </c>
      <c r="M1199" s="188">
        <f>IFERROR(__xludf.DUMMYFUNCTION("""COMPUTED_VALUE"""),0.0)</f>
        <v>0</v>
      </c>
      <c r="N1199" s="188">
        <f>IFERROR(__xludf.DUMMYFUNCTION("""COMPUTED_VALUE"""),0.0)</f>
        <v>0</v>
      </c>
      <c r="O1199" s="208"/>
      <c r="P1199" s="208"/>
      <c r="Q1199" s="208"/>
      <c r="R1199" s="208"/>
    </row>
    <row r="1200">
      <c r="A1200" s="185" t="str">
        <f>IFERROR(__xludf.DUMMYFUNCTION("""COMPUTED_VALUE"""),"Industry association / institutional authority")</f>
        <v>Industry association / institutional authority</v>
      </c>
      <c r="B1200" s="186" t="str">
        <f>IFERROR(__xludf.DUMMYFUNCTION("""COMPUTED_VALUE"""),"https://www.oneclub.org/awards/adceurope/-archive/agency/2024/247/all/all/276")</f>
        <v>https://www.oneclub.org/awards/adceurope/-archive/agency/2024/247/all/all/276</v>
      </c>
      <c r="C1200" s="185" t="str">
        <f>IFERROR(__xludf.DUMMYFUNCTION("""COMPUTED_VALUE"""),"ADC Europe | Agency Rankings | 2024 | Brand Experience | Germany")</f>
        <v>ADC Europe | Agency Rankings | 2024 | Brand Experience | Germany</v>
      </c>
      <c r="D1200" s="185" t="str">
        <f>IFERROR(__xludf.DUMMYFUNCTION("""COMPUTED_VALUE"""),"DE")</f>
        <v>DE</v>
      </c>
      <c r="E1200" s="185" t="str">
        <f>IFERROR(__xludf.DUMMYFUNCTION("""COMPUTED_VALUE"""),"oneclub.org")</f>
        <v>oneclub.org</v>
      </c>
      <c r="F1200" s="185" t="str">
        <f>IFERROR(__xludf.DUMMYFUNCTION("""COMPUTED_VALUE"""),"Category Page")</f>
        <v>Category Page</v>
      </c>
      <c r="G1200" s="185" t="str">
        <f>IFERROR(__xludf.DUMMYFUNCTION("""COMPUTED_VALUE"""),"INSTITUTIONAL")</f>
        <v>INSTITUTIONAL</v>
      </c>
      <c r="H1200" s="185" t="str">
        <f>IFERROR(__xludf.DUMMYFUNCTION("""COMPUTED_VALUE"""),"No")</f>
        <v>No</v>
      </c>
      <c r="I1200" s="185" t="str">
        <f>IFERROR(__xludf.DUMMYFUNCTION("""COMPUTED_VALUE"""),"High")</f>
        <v>High</v>
      </c>
      <c r="J1200" s="185" t="str">
        <f>IFERROR(__xludf.DUMMYFUNCTION("""COMPUTED_VALUE"""),"Yes - priority")</f>
        <v>Yes - priority</v>
      </c>
      <c r="K1200" s="185" t="str">
        <f>IFERROR(__xludf.DUMMYFUNCTION("""COMPUTED_VALUE"""),"Jung von Matt, Mediaplus Group, MetaDesign, OMD")</f>
        <v>Jung von Matt, Mediaplus Group, MetaDesign, OMD</v>
      </c>
      <c r="L1200" s="187">
        <f>IFERROR(__xludf.DUMMYFUNCTION("""COMPUTED_VALUE"""),1.0)</f>
        <v>1</v>
      </c>
      <c r="M1200" s="188">
        <f>IFERROR(__xludf.DUMMYFUNCTION("""COMPUTED_VALUE"""),0.0)</f>
        <v>0</v>
      </c>
      <c r="N1200" s="188">
        <f>IFERROR(__xludf.DUMMYFUNCTION("""COMPUTED_VALUE"""),0.0)</f>
        <v>0</v>
      </c>
      <c r="O1200" s="208"/>
      <c r="P1200" s="208"/>
      <c r="Q1200" s="208"/>
      <c r="R1200" s="208"/>
    </row>
    <row r="1201">
      <c r="A1201" s="185" t="str">
        <f>IFERROR(__xludf.DUMMYFUNCTION("""COMPUTED_VALUE"""),"Industry association / institutional authority")</f>
        <v>Industry association / institutional authority</v>
      </c>
      <c r="B1201" s="186" t="str">
        <f>IFERROR(__xludf.DUMMYFUNCTION("""COMPUTED_VALUE"""),"https://www.oneclub.org/awards/adceurope/-archive/agency/2024/251/all/all/276")</f>
        <v>https://www.oneclub.org/awards/adceurope/-archive/agency/2024/251/all/all/276</v>
      </c>
      <c r="C1201" s="185" t="str">
        <f>IFERROR(__xludf.DUMMYFUNCTION("""COMPUTED_VALUE"""),"ADC Europe | Agency Rankings | 2024 | Interactive &amp;amp; Mobile | Germany")</f>
        <v>ADC Europe | Agency Rankings | 2024 | Interactive &amp;amp; Mobile | Germany</v>
      </c>
      <c r="D1201" s="185" t="str">
        <f>IFERROR(__xludf.DUMMYFUNCTION("""COMPUTED_VALUE"""),"DE")</f>
        <v>DE</v>
      </c>
      <c r="E1201" s="185" t="str">
        <f>IFERROR(__xludf.DUMMYFUNCTION("""COMPUTED_VALUE"""),"oneclub.org")</f>
        <v>oneclub.org</v>
      </c>
      <c r="F1201" s="185" t="str">
        <f>IFERROR(__xludf.DUMMYFUNCTION("""COMPUTED_VALUE"""),"Category Page")</f>
        <v>Category Page</v>
      </c>
      <c r="G1201" s="185" t="str">
        <f>IFERROR(__xludf.DUMMYFUNCTION("""COMPUTED_VALUE"""),"INSTITUTIONAL")</f>
        <v>INSTITUTIONAL</v>
      </c>
      <c r="H1201" s="185" t="str">
        <f>IFERROR(__xludf.DUMMYFUNCTION("""COMPUTED_VALUE"""),"No")</f>
        <v>No</v>
      </c>
      <c r="I1201" s="185" t="str">
        <f>IFERROR(__xludf.DUMMYFUNCTION("""COMPUTED_VALUE"""),"High")</f>
        <v>High</v>
      </c>
      <c r="J1201" s="185" t="str">
        <f>IFERROR(__xludf.DUMMYFUNCTION("""COMPUTED_VALUE"""),"Yes - priority")</f>
        <v>Yes - priority</v>
      </c>
      <c r="K1201" s="185" t="str">
        <f>IFERROR(__xludf.DUMMYFUNCTION("""COMPUTED_VALUE"""),"Jung von Matt, Mediaplus Group, Monks, Media.Monks, Accenture Song")</f>
        <v>Jung von Matt, Mediaplus Group, Monks, Media.Monks, Accenture Song</v>
      </c>
      <c r="L1201" s="187">
        <f>IFERROR(__xludf.DUMMYFUNCTION("""COMPUTED_VALUE"""),1.0)</f>
        <v>1</v>
      </c>
      <c r="M1201" s="188">
        <f>IFERROR(__xludf.DUMMYFUNCTION("""COMPUTED_VALUE"""),0.0)</f>
        <v>0</v>
      </c>
      <c r="N1201" s="188">
        <f>IFERROR(__xludf.DUMMYFUNCTION("""COMPUTED_VALUE"""),2.0)</f>
        <v>2</v>
      </c>
      <c r="O1201" s="208"/>
      <c r="P1201" s="208"/>
      <c r="Q1201" s="208"/>
      <c r="R1201" s="208"/>
    </row>
    <row r="1202">
      <c r="A1202" s="185" t="str">
        <f>IFERROR(__xludf.DUMMYFUNCTION("""COMPUTED_VALUE"""),"Industry association / institutional authority")</f>
        <v>Industry association / institutional authority</v>
      </c>
      <c r="B1202" s="186" t="str">
        <f>IFERROR(__xludf.DUMMYFUNCTION("""COMPUTED_VALUE"""),"https://www.oneclub.org/awards/rankings/-archive/agency/2025/all/all/2/276")</f>
        <v>https://www.oneclub.org/awards/rankings/-archive/agency/2025/all/all/2/276</v>
      </c>
      <c r="C1202" s="185" t="str">
        <f>IFERROR(__xludf.DUMMYFUNCTION("""COMPUTED_VALUE"""),"Agency Rankings | 2025 | Europe | Germany")</f>
        <v>Agency Rankings | 2025 | Europe | Germany</v>
      </c>
      <c r="D1202" s="185" t="str">
        <f>IFERROR(__xludf.DUMMYFUNCTION("""COMPUTED_VALUE"""),"DE")</f>
        <v>DE</v>
      </c>
      <c r="E1202" s="185" t="str">
        <f>IFERROR(__xludf.DUMMYFUNCTION("""COMPUTED_VALUE"""),"oneclub.org")</f>
        <v>oneclub.org</v>
      </c>
      <c r="F1202" s="185" t="str">
        <f>IFERROR(__xludf.DUMMYFUNCTION("""COMPUTED_VALUE"""),"Profile")</f>
        <v>Profile</v>
      </c>
      <c r="G1202" s="185" t="str">
        <f>IFERROR(__xludf.DUMMYFUNCTION("""COMPUTED_VALUE"""),"INSTITUTIONAL")</f>
        <v>INSTITUTIONAL</v>
      </c>
      <c r="H1202" s="185" t="str">
        <f>IFERROR(__xludf.DUMMYFUNCTION("""COMPUTED_VALUE"""),"No")</f>
        <v>No</v>
      </c>
      <c r="I1202" s="185" t="str">
        <f>IFERROR(__xludf.DUMMYFUNCTION("""COMPUTED_VALUE"""),"High")</f>
        <v>High</v>
      </c>
      <c r="J1202" s="185" t="str">
        <f>IFERROR(__xludf.DUMMYFUNCTION("""COMPUTED_VALUE"""),"Yes - priority")</f>
        <v>Yes - priority</v>
      </c>
      <c r="K1202" s="185" t="str">
        <f>IFERROR(__xludf.DUMMYFUNCTION("""COMPUTED_VALUE"""),"Scholz &amp; Friends")</f>
        <v>Scholz &amp; Friends</v>
      </c>
      <c r="L1202" s="187">
        <f>IFERROR(__xludf.DUMMYFUNCTION("""COMPUTED_VALUE"""),1.0)</f>
        <v>1</v>
      </c>
      <c r="M1202" s="188">
        <f>IFERROR(__xludf.DUMMYFUNCTION("""COMPUTED_VALUE"""),0.0)</f>
        <v>0</v>
      </c>
      <c r="N1202" s="188">
        <f>IFERROR(__xludf.DUMMYFUNCTION("""COMPUTED_VALUE"""),0.0)</f>
        <v>0</v>
      </c>
      <c r="O1202" s="208"/>
      <c r="P1202" s="208"/>
      <c r="Q1202" s="208"/>
      <c r="R1202" s="208"/>
    </row>
    <row r="1203">
      <c r="A1203" s="185" t="str">
        <f>IFERROR(__xludf.DUMMYFUNCTION("""COMPUTED_VALUE"""),"Industry association / institutional authority")</f>
        <v>Industry association / institutional authority</v>
      </c>
      <c r="B1203" s="186" t="str">
        <f>IFERROR(__xludf.DUMMYFUNCTION("""COMPUTED_VALUE"""),"https://www.oneclub.org/awards/rankings/-archive/independantagency/2024/all/2/276")</f>
        <v>https://www.oneclub.org/awards/rankings/-archive/independantagency/2024/all/2/276</v>
      </c>
      <c r="C1203" s="185"/>
      <c r="D1203" s="185" t="str">
        <f>IFERROR(__xludf.DUMMYFUNCTION("""COMPUTED_VALUE"""),"DE")</f>
        <v>DE</v>
      </c>
      <c r="E1203" s="185" t="str">
        <f>IFERROR(__xludf.DUMMYFUNCTION("""COMPUTED_VALUE"""),"oneclub.org")</f>
        <v>oneclub.org</v>
      </c>
      <c r="F1203" s="185" t="str">
        <f>IFERROR(__xludf.DUMMYFUNCTION("""COMPUTED_VALUE"""),"Other")</f>
        <v>Other</v>
      </c>
      <c r="G1203" s="185" t="str">
        <f>IFERROR(__xludf.DUMMYFUNCTION("""COMPUTED_VALUE"""),"INSTITUTIONAL")</f>
        <v>INSTITUTIONAL</v>
      </c>
      <c r="H1203" s="185" t="str">
        <f>IFERROR(__xludf.DUMMYFUNCTION("""COMPUTED_VALUE"""),"No")</f>
        <v>No</v>
      </c>
      <c r="I1203" s="185" t="str">
        <f>IFERROR(__xludf.DUMMYFUNCTION("""COMPUTED_VALUE"""),"High")</f>
        <v>High</v>
      </c>
      <c r="J1203" s="185" t="str">
        <f>IFERROR(__xludf.DUMMYFUNCTION("""COMPUTED_VALUE"""),"Yes - priority")</f>
        <v>Yes - priority</v>
      </c>
      <c r="K1203" s="185" t="str">
        <f>IFERROR(__xludf.DUMMYFUNCTION("""COMPUTED_VALUE"""),"Unknown")</f>
        <v>Unknown</v>
      </c>
      <c r="L1203" s="187">
        <f>IFERROR(__xludf.DUMMYFUNCTION("""COMPUTED_VALUE"""),1.0)</f>
        <v>1</v>
      </c>
      <c r="M1203" s="188">
        <f>IFERROR(__xludf.DUMMYFUNCTION("""COMPUTED_VALUE"""),0.0)</f>
        <v>0</v>
      </c>
      <c r="N1203" s="188">
        <f>IFERROR(__xludf.DUMMYFUNCTION("""COMPUTED_VALUE"""),0.0)</f>
        <v>0</v>
      </c>
      <c r="O1203" s="208"/>
      <c r="P1203" s="208"/>
      <c r="Q1203" s="208"/>
      <c r="R1203" s="208"/>
    </row>
    <row r="1204">
      <c r="A1204" s="185" t="str">
        <f>IFERROR(__xludf.DUMMYFUNCTION("""COMPUTED_VALUE"""),"Industry association / institutional authority")</f>
        <v>Industry association / institutional authority</v>
      </c>
      <c r="B1204" s="186" t="str">
        <f>IFERROR(__xludf.DUMMYFUNCTION("""COMPUTED_VALUE"""),"https://www.oneclub.org/press/-adce2024-rankings")</f>
        <v>https://www.oneclub.org/press/-adce2024-rankings</v>
      </c>
      <c r="C1204" s="185" t="str">
        <f>IFERROR(__xludf.DUMMYFUNCTION("""COMPUTED_VALUE"""),"Art Directors Club of Europe Announces 2024 ADCE Creative Rankings | The One Club")</f>
        <v>Art Directors Club of Europe Announces 2024 ADCE Creative Rankings | The One Club</v>
      </c>
      <c r="D1204" s="185" t="str">
        <f>IFERROR(__xludf.DUMMYFUNCTION("""COMPUTED_VALUE"""),"DE")</f>
        <v>DE</v>
      </c>
      <c r="E1204" s="185" t="str">
        <f>IFERROR(__xludf.DUMMYFUNCTION("""COMPUTED_VALUE"""),"oneclub.org")</f>
        <v>oneclub.org</v>
      </c>
      <c r="F1204" s="185" t="str">
        <f>IFERROR(__xludf.DUMMYFUNCTION("""COMPUTED_VALUE"""),"Listicle")</f>
        <v>Listicle</v>
      </c>
      <c r="G1204" s="185" t="str">
        <f>IFERROR(__xludf.DUMMYFUNCTION("""COMPUTED_VALUE"""),"INSTITUTIONAL")</f>
        <v>INSTITUTIONAL</v>
      </c>
      <c r="H1204" s="185" t="str">
        <f>IFERROR(__xludf.DUMMYFUNCTION("""COMPUTED_VALUE"""),"No")</f>
        <v>No</v>
      </c>
      <c r="I1204" s="185" t="str">
        <f>IFERROR(__xludf.DUMMYFUNCTION("""COMPUTED_VALUE"""),"High")</f>
        <v>High</v>
      </c>
      <c r="J1204" s="185" t="str">
        <f>IFERROR(__xludf.DUMMYFUNCTION("""COMPUTED_VALUE"""),"Yes - priority")</f>
        <v>Yes - priority</v>
      </c>
      <c r="K1204" s="185" t="str">
        <f>IFERROR(__xludf.DUMMYFUNCTION("""COMPUTED_VALUE"""),"Scholz &amp; Friends, Jung von Matt, Mediaplus Group, WPP, Serviceplan Group")</f>
        <v>Scholz &amp; Friends, Jung von Matt, Mediaplus Group, WPP, Serviceplan Group</v>
      </c>
      <c r="L1204" s="187">
        <f>IFERROR(__xludf.DUMMYFUNCTION("""COMPUTED_VALUE"""),1.0)</f>
        <v>1</v>
      </c>
      <c r="M1204" s="188">
        <f>IFERROR(__xludf.DUMMYFUNCTION("""COMPUTED_VALUE"""),0.0)</f>
        <v>0</v>
      </c>
      <c r="N1204" s="188">
        <f>IFERROR(__xludf.DUMMYFUNCTION("""COMPUTED_VALUE"""),1.0)</f>
        <v>1</v>
      </c>
      <c r="O1204" s="208"/>
      <c r="P1204" s="208"/>
      <c r="Q1204" s="208"/>
      <c r="R1204" s="208"/>
    </row>
    <row r="1205">
      <c r="A1205" s="185" t="str">
        <f>IFERROR(__xludf.DUMMYFUNCTION("""COMPUTED_VALUE"""),"Industry association / institutional authority")</f>
        <v>Industry association / institutional authority</v>
      </c>
      <c r="B1205" s="186" t="str">
        <f>IFERROR(__xludf.DUMMYFUNCTION("""COMPUTED_VALUE"""),"https://www.oneclub.org/press/-toc-2025-global-rankings")</f>
        <v>https://www.oneclub.org/press/-toc-2025-global-rankings</v>
      </c>
      <c r="C1205" s="185" t="str">
        <f>IFERROR(__xludf.DUMMYFUNCTION("""COMPUTED_VALUE"""),"The One Club’s 2025 Global Creative Rankings Crown FCB for Third Straight Year | The One Club")</f>
        <v>The One Club’s 2025 Global Creative Rankings Crown FCB for Third Straight Year | The One Club</v>
      </c>
      <c r="D1205" s="185" t="str">
        <f>IFERROR(__xludf.DUMMYFUNCTION("""COMPUTED_VALUE"""),"DE")</f>
        <v>DE</v>
      </c>
      <c r="E1205" s="185" t="str">
        <f>IFERROR(__xludf.DUMMYFUNCTION("""COMPUTED_VALUE"""),"oneclub.org")</f>
        <v>oneclub.org</v>
      </c>
      <c r="F1205" s="185" t="str">
        <f>IFERROR(__xludf.DUMMYFUNCTION("""COMPUTED_VALUE"""),"Article")</f>
        <v>Article</v>
      </c>
      <c r="G1205" s="185" t="str">
        <f>IFERROR(__xludf.DUMMYFUNCTION("""COMPUTED_VALUE"""),"INSTITUTIONAL")</f>
        <v>INSTITUTIONAL</v>
      </c>
      <c r="H1205" s="185" t="str">
        <f>IFERROR(__xludf.DUMMYFUNCTION("""COMPUTED_VALUE"""),"No")</f>
        <v>No</v>
      </c>
      <c r="I1205" s="185" t="str">
        <f>IFERROR(__xludf.DUMMYFUNCTION("""COMPUTED_VALUE"""),"High")</f>
        <v>High</v>
      </c>
      <c r="J1205" s="185" t="str">
        <f>IFERROR(__xludf.DUMMYFUNCTION("""COMPUTED_VALUE"""),"Yes - priority")</f>
        <v>Yes - priority</v>
      </c>
      <c r="K1205" s="185" t="str">
        <f>IFERROR(__xludf.DUMMYFUNCTION("""COMPUTED_VALUE"""),"Ogilvy, Jung von Matt, Serviceplan Group")</f>
        <v>Ogilvy, Jung von Matt, Serviceplan Group</v>
      </c>
      <c r="L1205" s="187">
        <f>IFERROR(__xludf.DUMMYFUNCTION("""COMPUTED_VALUE"""),1.0)</f>
        <v>1</v>
      </c>
      <c r="M1205" s="188">
        <f>IFERROR(__xludf.DUMMYFUNCTION("""COMPUTED_VALUE"""),0.0)</f>
        <v>0</v>
      </c>
      <c r="N1205" s="188">
        <f>IFERROR(__xludf.DUMMYFUNCTION("""COMPUTED_VALUE"""),0.0)</f>
        <v>0</v>
      </c>
      <c r="O1205" s="208"/>
      <c r="P1205" s="208"/>
      <c r="Q1205" s="208"/>
      <c r="R1205" s="208"/>
    </row>
    <row r="1206">
      <c r="A1206" s="185" t="str">
        <f>IFERROR(__xludf.DUMMYFUNCTION("""COMPUTED_VALUE"""),"Trade media / editorial publication")</f>
        <v>Trade media / editorial publication</v>
      </c>
      <c r="B1206" s="186" t="str">
        <f>IFERROR(__xludf.DUMMYFUNCTION("""COMPUTED_VALUE"""),"https://www.onetoone.de/artikel/db/235291SUR.html")</f>
        <v>https://www.onetoone.de/artikel/db/235291SUR.html</v>
      </c>
      <c r="C1206" s="185" t="str">
        <f>IFERROR(__xludf.DUMMYFUNCTION("""COMPUTED_VALUE"""),"Internetagentur-Ranking 2026: Schere im Agenturmarkt geht weiter auseinander")</f>
        <v>Internetagentur-Ranking 2026: Schere im Agenturmarkt geht weiter auseinander</v>
      </c>
      <c r="D1206" s="185" t="str">
        <f>IFERROR(__xludf.DUMMYFUNCTION("""COMPUTED_VALUE"""),"DE")</f>
        <v>DE</v>
      </c>
      <c r="E1206" s="185" t="str">
        <f>IFERROR(__xludf.DUMMYFUNCTION("""COMPUTED_VALUE"""),"onetoone.de")</f>
        <v>onetoone.de</v>
      </c>
      <c r="F1206" s="185" t="str">
        <f>IFERROR(__xludf.DUMMYFUNCTION("""COMPUTED_VALUE"""),"Other")</f>
        <v>Other</v>
      </c>
      <c r="G1206" s="185" t="str">
        <f>IFERROR(__xludf.DUMMYFUNCTION("""COMPUTED_VALUE"""),"OTHER")</f>
        <v>OTHER</v>
      </c>
      <c r="H1206" s="185" t="str">
        <f>IFERROR(__xludf.DUMMYFUNCTION("""COMPUTED_VALUE"""),"No")</f>
        <v>No</v>
      </c>
      <c r="I1206" s="185" t="str">
        <f>IFERROR(__xludf.DUMMYFUNCTION("""COMPUTED_VALUE"""),"Medium")</f>
        <v>Medium</v>
      </c>
      <c r="J1206" s="185" t="str">
        <f>IFERROR(__xludf.DUMMYFUNCTION("""COMPUTED_VALUE"""),"Yes")</f>
        <v>Yes</v>
      </c>
      <c r="K1206" s="185" t="str">
        <f>IFERROR(__xludf.DUMMYFUNCTION("""COMPUTED_VALUE"""),"Serviceplan Group, Publicis Groupe")</f>
        <v>Serviceplan Group, Publicis Groupe</v>
      </c>
      <c r="L1206" s="187">
        <f>IFERROR(__xludf.DUMMYFUNCTION("""COMPUTED_VALUE"""),1.0)</f>
        <v>1</v>
      </c>
      <c r="M1206" s="188">
        <f>IFERROR(__xludf.DUMMYFUNCTION("""COMPUTED_VALUE"""),0.0)</f>
        <v>0</v>
      </c>
      <c r="N1206" s="188">
        <f>IFERROR(__xludf.DUMMYFUNCTION("""COMPUTED_VALUE"""),0.0)</f>
        <v>0</v>
      </c>
      <c r="O1206" s="208"/>
      <c r="P1206" s="208"/>
      <c r="Q1206" s="208"/>
      <c r="R1206" s="208"/>
    </row>
    <row r="1207">
      <c r="A1207" s="185" t="str">
        <f>IFERROR(__xludf.DUMMYFUNCTION("""COMPUTED_VALUE"""),"Trade media / editorial publication")</f>
        <v>Trade media / editorial publication</v>
      </c>
      <c r="B1207" s="186" t="str">
        <f>IFERROR(__xludf.DUMMYFUNCTION("""COMPUTED_VALUE"""),"https://www.onetoone.de/performance-ranking/performance_2023")</f>
        <v>https://www.onetoone.de/performance-ranking/performance_2023</v>
      </c>
      <c r="C1207" s="185" t="str">
        <f>IFERROR(__xludf.DUMMYFUNCTION("""COMPUTED_VALUE"""),"Performance-Agentur-Ranking")</f>
        <v>Performance-Agentur-Ranking</v>
      </c>
      <c r="D1207" s="185" t="str">
        <f>IFERROR(__xludf.DUMMYFUNCTION("""COMPUTED_VALUE"""),"DE")</f>
        <v>DE</v>
      </c>
      <c r="E1207" s="185" t="str">
        <f>IFERROR(__xludf.DUMMYFUNCTION("""COMPUTED_VALUE"""),"onetoone.de")</f>
        <v>onetoone.de</v>
      </c>
      <c r="F1207" s="185" t="str">
        <f>IFERROR(__xludf.DUMMYFUNCTION("""COMPUTED_VALUE"""),"Listicle")</f>
        <v>Listicle</v>
      </c>
      <c r="G1207" s="185" t="str">
        <f>IFERROR(__xludf.DUMMYFUNCTION("""COMPUTED_VALUE"""),"OTHER")</f>
        <v>OTHER</v>
      </c>
      <c r="H1207" s="185" t="str">
        <f>IFERROR(__xludf.DUMMYFUNCTION("""COMPUTED_VALUE"""),"No")</f>
        <v>No</v>
      </c>
      <c r="I1207" s="185" t="str">
        <f>IFERROR(__xludf.DUMMYFUNCTION("""COMPUTED_VALUE"""),"Medium")</f>
        <v>Medium</v>
      </c>
      <c r="J1207" s="185" t="str">
        <f>IFERROR(__xludf.DUMMYFUNCTION("""COMPUTED_VALUE"""),"Yes")</f>
        <v>Yes</v>
      </c>
      <c r="K1207" s="185" t="str">
        <f>IFERROR(__xludf.DUMMYFUNCTION("""COMPUTED_VALUE"""),"Serviceplan Group, Smarketer, iProspect, e-dialog, morefire, The Boutique Agency, 42DIGITAL, Aufgesang, Pilot")</f>
        <v>Serviceplan Group, Smarketer, iProspect, e-dialog, morefire, The Boutique Agency, 42DIGITAL, Aufgesang, Pilot</v>
      </c>
      <c r="L1207" s="187">
        <f>IFERROR(__xludf.DUMMYFUNCTION("""COMPUTED_VALUE"""),1.0)</f>
        <v>1</v>
      </c>
      <c r="M1207" s="188">
        <f>IFERROR(__xludf.DUMMYFUNCTION("""COMPUTED_VALUE"""),0.0)</f>
        <v>0</v>
      </c>
      <c r="N1207" s="188">
        <f>IFERROR(__xludf.DUMMYFUNCTION("""COMPUTED_VALUE"""),0.0)</f>
        <v>0</v>
      </c>
      <c r="O1207" s="208"/>
      <c r="P1207" s="208"/>
      <c r="Q1207" s="208"/>
      <c r="R1207" s="208"/>
    </row>
    <row r="1208">
      <c r="A1208" s="185" t="str">
        <f>IFERROR(__xludf.DUMMYFUNCTION("""COMPUTED_VALUE"""),"Lower-priority competitor/vendor roundup")</f>
        <v>Lower-priority competitor/vendor roundup</v>
      </c>
      <c r="B1208" s="186" t="str">
        <f>IFERROR(__xludf.DUMMYFUNCTION("""COMPUTED_VALUE"""),"https://oski.site/blog/analytics-strategy-consulting-companies-germany/#:~:text=Get%20Expert%20Consultation,more%20structured%20data%2Ddriven%20operations.")</f>
        <v>https://oski.site/blog/analytics-strategy-consulting-companies-germany/#:~:text=Get%20Expert%20Consultation,more%20structured%20data%2Ddriven%20operations.</v>
      </c>
      <c r="C1208" s="185" t="str">
        <f>IFERROR(__xludf.DUMMYFUNCTION("""COMPUTED_VALUE"""),"Best 14 Analytics Strategy Consulting Firms in Germany")</f>
        <v>Best 14 Analytics Strategy Consulting Firms in Germany</v>
      </c>
      <c r="D1208" s="185" t="str">
        <f>IFERROR(__xludf.DUMMYFUNCTION("""COMPUTED_VALUE"""),"DE")</f>
        <v>DE</v>
      </c>
      <c r="E1208" s="185" t="str">
        <f>IFERROR(__xludf.DUMMYFUNCTION("""COMPUTED_VALUE"""),"oski.site")</f>
        <v>oski.site</v>
      </c>
      <c r="F1208" s="185" t="str">
        <f>IFERROR(__xludf.DUMMYFUNCTION("""COMPUTED_VALUE"""),"Listicle")</f>
        <v>Listicle</v>
      </c>
      <c r="G1208" s="185" t="str">
        <f>IFERROR(__xludf.DUMMYFUNCTION("""COMPUTED_VALUE"""),"OTHER")</f>
        <v>OTHER</v>
      </c>
      <c r="H1208" s="185" t="str">
        <f>IFERROR(__xludf.DUMMYFUNCTION("""COMPUTED_VALUE"""),"No")</f>
        <v>No</v>
      </c>
      <c r="I1208" s="185" t="str">
        <f>IFERROR(__xludf.DUMMYFUNCTION("""COMPUTED_VALUE"""),"Low")</f>
        <v>Low</v>
      </c>
      <c r="J1208" s="185" t="str">
        <f>IFERROR(__xludf.DUMMYFUNCTION("""COMPUTED_VALUE"""),"Secondary")</f>
        <v>Secondary</v>
      </c>
      <c r="K1208" s="185"/>
      <c r="L1208" s="187">
        <f>IFERROR(__xludf.DUMMYFUNCTION("""COMPUTED_VALUE"""),1.0)</f>
        <v>1</v>
      </c>
      <c r="M1208" s="188">
        <f>IFERROR(__xludf.DUMMYFUNCTION("""COMPUTED_VALUE"""),0.0)</f>
        <v>0</v>
      </c>
      <c r="N1208" s="188">
        <f>IFERROR(__xludf.DUMMYFUNCTION("""COMPUTED_VALUE"""),1.0)</f>
        <v>1</v>
      </c>
      <c r="O1208" s="208"/>
      <c r="P1208" s="208"/>
      <c r="Q1208" s="208"/>
      <c r="R1208" s="208"/>
    </row>
    <row r="1209">
      <c r="A1209" s="185" t="str">
        <f>IFERROR(__xludf.DUMMYFUNCTION("""COMPUTED_VALUE"""),"Official partner / certification ecosystem")</f>
        <v>Official partner / certification ecosystem</v>
      </c>
      <c r="B1209" s="186"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C1209" s="185"/>
      <c r="D1209" s="185" t="str">
        <f>IFERROR(__xludf.DUMMYFUNCTION("""COMPUTED_VALUE"""),"DE")</f>
        <v>DE</v>
      </c>
      <c r="E1209" s="185" t="str">
        <f>IFERROR(__xludf.DUMMYFUNCTION("""COMPUTED_VALUE"""),"withgoogle.com")</f>
        <v>withgoogle.com</v>
      </c>
      <c r="F1209" s="185" t="str">
        <f>IFERROR(__xludf.DUMMYFUNCTION("""COMPUTED_VALUE"""),"Other")</f>
        <v>Other</v>
      </c>
      <c r="G1209" s="185" t="str">
        <f>IFERROR(__xludf.DUMMYFUNCTION("""COMPUTED_VALUE"""),"CORPORATE")</f>
        <v>CORPORATE</v>
      </c>
      <c r="H1209" s="185" t="str">
        <f>IFERROR(__xludf.DUMMYFUNCTION("""COMPUTED_VALUE"""),"No")</f>
        <v>No</v>
      </c>
      <c r="I1209" s="185" t="str">
        <f>IFERROR(__xludf.DUMMYFUNCTION("""COMPUTED_VALUE"""),"High")</f>
        <v>High</v>
      </c>
      <c r="J1209" s="185" t="str">
        <f>IFERROR(__xludf.DUMMYFUNCTION("""COMPUTED_VALUE"""),"Yes - priority")</f>
        <v>Yes - priority</v>
      </c>
      <c r="K1209" s="185" t="str">
        <f>IFERROR(__xludf.DUMMYFUNCTION("""COMPUTED_VALUE"""),"Unknown")</f>
        <v>Unknown</v>
      </c>
      <c r="L1209" s="187">
        <f>IFERROR(__xludf.DUMMYFUNCTION("""COMPUTED_VALUE"""),1.0)</f>
        <v>1</v>
      </c>
      <c r="M1209" s="188">
        <f>IFERROR(__xludf.DUMMYFUNCTION("""COMPUTED_VALUE"""),0.0)</f>
        <v>0</v>
      </c>
      <c r="N1209" s="188">
        <f>IFERROR(__xludf.DUMMYFUNCTION("""COMPUTED_VALUE"""),1.0)</f>
        <v>1</v>
      </c>
      <c r="O1209" s="208"/>
      <c r="P1209" s="208"/>
      <c r="Q1209" s="208"/>
      <c r="R1209" s="208"/>
    </row>
    <row r="1210">
      <c r="A1210" s="185" t="str">
        <f>IFERROR(__xludf.DUMMYFUNCTION("""COMPUTED_VALUE"""),"Official partner / certification ecosystem")</f>
        <v>Official partner / certification ecosystem</v>
      </c>
      <c r="B1210" s="186"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C1210" s="185"/>
      <c r="D1210" s="185" t="str">
        <f>IFERROR(__xludf.DUMMYFUNCTION("""COMPUTED_VALUE"""),"DE")</f>
        <v>DE</v>
      </c>
      <c r="E1210" s="185" t="str">
        <f>IFERROR(__xludf.DUMMYFUNCTION("""COMPUTED_VALUE"""),"withgoogle.com")</f>
        <v>withgoogle.com</v>
      </c>
      <c r="F1210" s="185" t="str">
        <f>IFERROR(__xludf.DUMMYFUNCTION("""COMPUTED_VALUE"""),"Other")</f>
        <v>Other</v>
      </c>
      <c r="G1210" s="185" t="str">
        <f>IFERROR(__xludf.DUMMYFUNCTION("""COMPUTED_VALUE"""),"CORPORATE")</f>
        <v>CORPORATE</v>
      </c>
      <c r="H1210" s="185" t="str">
        <f>IFERROR(__xludf.DUMMYFUNCTION("""COMPUTED_VALUE"""),"No")</f>
        <v>No</v>
      </c>
      <c r="I1210" s="185" t="str">
        <f>IFERROR(__xludf.DUMMYFUNCTION("""COMPUTED_VALUE"""),"High")</f>
        <v>High</v>
      </c>
      <c r="J1210" s="185" t="str">
        <f>IFERROR(__xludf.DUMMYFUNCTION("""COMPUTED_VALUE"""),"Yes - priority")</f>
        <v>Yes - priority</v>
      </c>
      <c r="K1210" s="185" t="str">
        <f>IFERROR(__xludf.DUMMYFUNCTION("""COMPUTED_VALUE"""),"Unknown")</f>
        <v>Unknown</v>
      </c>
      <c r="L1210" s="187">
        <f>IFERROR(__xludf.DUMMYFUNCTION("""COMPUTED_VALUE"""),1.0)</f>
        <v>1</v>
      </c>
      <c r="M1210" s="188">
        <f>IFERROR(__xludf.DUMMYFUNCTION("""COMPUTED_VALUE"""),0.0)</f>
        <v>0</v>
      </c>
      <c r="N1210" s="188">
        <f>IFERROR(__xludf.DUMMYFUNCTION("""COMPUTED_VALUE"""),0.0)</f>
        <v>0</v>
      </c>
      <c r="O1210" s="208"/>
      <c r="P1210" s="208"/>
      <c r="Q1210" s="208"/>
      <c r="R1210" s="208"/>
    </row>
    <row r="1211">
      <c r="A1211" s="185" t="str">
        <f>IFERROR(__xludf.DUMMYFUNCTION("""COMPUTED_VALUE"""),"Agency directory / review marketplace")</f>
        <v>Agency directory / review marketplace</v>
      </c>
      <c r="B1211" s="186" t="str">
        <f>IFERROR(__xludf.DUMMYFUNCTION("""COMPUTED_VALUE"""),"https://www.sortlist.com/de/ai-marketing")</f>
        <v>https://www.sortlist.com/de/ai-marketing</v>
      </c>
      <c r="C1211" s="185" t="str">
        <f>IFERROR(__xludf.DUMMYFUNCTION("""COMPUTED_VALUE"""),"Unsere 100 Besten AI Marketing Agenturen - 2026 Bewertungen")</f>
        <v>Unsere 100 Besten AI Marketing Agenturen - 2026 Bewertungen</v>
      </c>
      <c r="D1211" s="185" t="str">
        <f>IFERROR(__xludf.DUMMYFUNCTION("""COMPUTED_VALUE"""),"DE")</f>
        <v>DE</v>
      </c>
      <c r="E1211" s="185" t="str">
        <f>IFERROR(__xludf.DUMMYFUNCTION("""COMPUTED_VALUE"""),"sortlist.com")</f>
        <v>sortlist.com</v>
      </c>
      <c r="F1211" s="185" t="str">
        <f>IFERROR(__xludf.DUMMYFUNCTION("""COMPUTED_VALUE"""),"Category Page")</f>
        <v>Category Page</v>
      </c>
      <c r="G1211" s="185" t="str">
        <f>IFERROR(__xludf.DUMMYFUNCTION("""COMPUTED_VALUE"""),"CORPORATE")</f>
        <v>CORPORATE</v>
      </c>
      <c r="H1211" s="185" t="str">
        <f>IFERROR(__xludf.DUMMYFUNCTION("""COMPUTED_VALUE"""),"No")</f>
        <v>No</v>
      </c>
      <c r="I1211" s="185" t="str">
        <f>IFERROR(__xludf.DUMMYFUNCTION("""COMPUTED_VALUE"""),"Medium")</f>
        <v>Medium</v>
      </c>
      <c r="J1211" s="185" t="str">
        <f>IFERROR(__xludf.DUMMYFUNCTION("""COMPUTED_VALUE"""),"Yes")</f>
        <v>Yes</v>
      </c>
      <c r="K1211" s="185" t="str">
        <f>IFERROR(__xludf.DUMMYFUNCTION("""COMPUTED_VALUE"""),"Pilot")</f>
        <v>Pilot</v>
      </c>
      <c r="L1211" s="187">
        <f>IFERROR(__xludf.DUMMYFUNCTION("""COMPUTED_VALUE"""),1.0)</f>
        <v>1</v>
      </c>
      <c r="M1211" s="188">
        <f>IFERROR(__xludf.DUMMYFUNCTION("""COMPUTED_VALUE"""),0.0)</f>
        <v>0</v>
      </c>
      <c r="N1211" s="188">
        <f>IFERROR(__xludf.DUMMYFUNCTION("""COMPUTED_VALUE"""),0.0)</f>
        <v>0</v>
      </c>
      <c r="O1211" s="208"/>
      <c r="P1211" s="208"/>
      <c r="Q1211" s="208"/>
      <c r="R1211" s="208"/>
    </row>
    <row r="1212">
      <c r="A1212" s="185" t="str">
        <f>IFERROR(__xludf.DUMMYFUNCTION("""COMPUTED_VALUE"""),"Agency directory / review marketplace")</f>
        <v>Agency directory / review marketplace</v>
      </c>
      <c r="B1212" s="186" t="str">
        <f>IFERROR(__xludf.DUMMYFUNCTION("""COMPUTED_VALUE"""),"https://www.sortlist.com/i/branding/germany-de")</f>
        <v>https://www.sortlist.com/i/branding/germany-de</v>
      </c>
      <c r="C1212" s="185" t="str">
        <f>IFERROR(__xludf.DUMMYFUNCTION("""COMPUTED_VALUE"""),"The 10 Best Branding Agencies in Germany - 2026 Reviews")</f>
        <v>The 10 Best Branding Agencies in Germany - 2026 Reviews</v>
      </c>
      <c r="D1212" s="185" t="str">
        <f>IFERROR(__xludf.DUMMYFUNCTION("""COMPUTED_VALUE"""),"DE")</f>
        <v>DE</v>
      </c>
      <c r="E1212" s="185" t="str">
        <f>IFERROR(__xludf.DUMMYFUNCTION("""COMPUTED_VALUE"""),"sortlist.com")</f>
        <v>sortlist.com</v>
      </c>
      <c r="F1212" s="185" t="str">
        <f>IFERROR(__xludf.DUMMYFUNCTION("""COMPUTED_VALUE"""),"Category Page")</f>
        <v>Category Page</v>
      </c>
      <c r="G1212" s="185" t="str">
        <f>IFERROR(__xludf.DUMMYFUNCTION("""COMPUTED_VALUE"""),"CORPORATE")</f>
        <v>CORPORATE</v>
      </c>
      <c r="H1212" s="185" t="str">
        <f>IFERROR(__xludf.DUMMYFUNCTION("""COMPUTED_VALUE"""),"No")</f>
        <v>No</v>
      </c>
      <c r="I1212" s="185" t="str">
        <f>IFERROR(__xludf.DUMMYFUNCTION("""COMPUTED_VALUE"""),"Medium")</f>
        <v>Medium</v>
      </c>
      <c r="J1212" s="185" t="str">
        <f>IFERROR(__xludf.DUMMYFUNCTION("""COMPUTED_VALUE"""),"Yes")</f>
        <v>Yes</v>
      </c>
      <c r="K1212" s="185" t="str">
        <f>IFERROR(__xludf.DUMMYFUNCTION("""COMPUTED_VALUE"""),"lehof, Measured")</f>
        <v>lehof, Measured</v>
      </c>
      <c r="L1212" s="187">
        <f>IFERROR(__xludf.DUMMYFUNCTION("""COMPUTED_VALUE"""),1.0)</f>
        <v>1</v>
      </c>
      <c r="M1212" s="188">
        <f>IFERROR(__xludf.DUMMYFUNCTION("""COMPUTED_VALUE"""),0.0)</f>
        <v>0</v>
      </c>
      <c r="N1212" s="188">
        <f>IFERROR(__xludf.DUMMYFUNCTION("""COMPUTED_VALUE"""),0.0)</f>
        <v>0</v>
      </c>
      <c r="O1212" s="208"/>
      <c r="P1212" s="208"/>
      <c r="Q1212" s="208"/>
      <c r="R1212" s="208"/>
    </row>
    <row r="1213">
      <c r="A1213" s="185" t="str">
        <f>IFERROR(__xludf.DUMMYFUNCTION("""COMPUTED_VALUE"""),"Agency directory / review marketplace")</f>
        <v>Agency directory / review marketplace</v>
      </c>
      <c r="B1213" s="186" t="str">
        <f>IFERROR(__xludf.DUMMYFUNCTION("""COMPUTED_VALUE"""),"https://www.sortlist.com/i/s/big-data-analytics/germany-de")</f>
        <v>https://www.sortlist.com/i/s/big-data-analytics/germany-de</v>
      </c>
      <c r="C1213" s="185" t="str">
        <f>IFERROR(__xludf.DUMMYFUNCTION("""COMPUTED_VALUE"""),"The 10 Best Big Data Analytics Companies in Germany - 2026 Reviews")</f>
        <v>The 10 Best Big Data Analytics Companies in Germany - 2026 Reviews</v>
      </c>
      <c r="D1213" s="185" t="str">
        <f>IFERROR(__xludf.DUMMYFUNCTION("""COMPUTED_VALUE"""),"DE")</f>
        <v>DE</v>
      </c>
      <c r="E1213" s="185" t="str">
        <f>IFERROR(__xludf.DUMMYFUNCTION("""COMPUTED_VALUE"""),"sortlist.com")</f>
        <v>sortlist.com</v>
      </c>
      <c r="F1213" s="185" t="str">
        <f>IFERROR(__xludf.DUMMYFUNCTION("""COMPUTED_VALUE"""),"Category Page")</f>
        <v>Category Page</v>
      </c>
      <c r="G1213" s="185" t="str">
        <f>IFERROR(__xludf.DUMMYFUNCTION("""COMPUTED_VALUE"""),"CORPORATE")</f>
        <v>CORPORATE</v>
      </c>
      <c r="H1213" s="185" t="str">
        <f>IFERROR(__xludf.DUMMYFUNCTION("""COMPUTED_VALUE"""),"No")</f>
        <v>No</v>
      </c>
      <c r="I1213" s="185" t="str">
        <f>IFERROR(__xludf.DUMMYFUNCTION("""COMPUTED_VALUE"""),"Medium")</f>
        <v>Medium</v>
      </c>
      <c r="J1213" s="185" t="str">
        <f>IFERROR(__xludf.DUMMYFUNCTION("""COMPUTED_VALUE"""),"Yes")</f>
        <v>Yes</v>
      </c>
      <c r="K1213" s="185"/>
      <c r="L1213" s="187">
        <f>IFERROR(__xludf.DUMMYFUNCTION("""COMPUTED_VALUE"""),1.0)</f>
        <v>1</v>
      </c>
      <c r="M1213" s="188">
        <f>IFERROR(__xludf.DUMMYFUNCTION("""COMPUTED_VALUE"""),0.0)</f>
        <v>0</v>
      </c>
      <c r="N1213" s="188">
        <f>IFERROR(__xludf.DUMMYFUNCTION("""COMPUTED_VALUE"""),1.0)</f>
        <v>1</v>
      </c>
      <c r="O1213" s="208"/>
      <c r="P1213" s="208"/>
      <c r="Q1213" s="208"/>
      <c r="R1213" s="208"/>
    </row>
    <row r="1214">
      <c r="A1214" s="185" t="str">
        <f>IFERROR(__xludf.DUMMYFUNCTION("""COMPUTED_VALUE"""),"Agency directory / review marketplace")</f>
        <v>Agency directory / review marketplace</v>
      </c>
      <c r="B1214" s="186" t="str">
        <f>IFERROR(__xludf.DUMMYFUNCTION("""COMPUTED_VALUE"""),"https://www.sortlist.com/i/s/linkedin-advertising/germany-de")</f>
        <v>https://www.sortlist.com/i/s/linkedin-advertising/germany-de</v>
      </c>
      <c r="C1214" s="185" t="str">
        <f>IFERROR(__xludf.DUMMYFUNCTION("""COMPUTED_VALUE"""),"The 10 Best LinkedIn Ads Agencies in Germany - 2026 Reviews")</f>
        <v>The 10 Best LinkedIn Ads Agencies in Germany - 2026 Reviews</v>
      </c>
      <c r="D1214" s="185" t="str">
        <f>IFERROR(__xludf.DUMMYFUNCTION("""COMPUTED_VALUE"""),"DE")</f>
        <v>DE</v>
      </c>
      <c r="E1214" s="185" t="str">
        <f>IFERROR(__xludf.DUMMYFUNCTION("""COMPUTED_VALUE"""),"sortlist.com")</f>
        <v>sortlist.com</v>
      </c>
      <c r="F1214" s="185" t="str">
        <f>IFERROR(__xludf.DUMMYFUNCTION("""COMPUTED_VALUE"""),"Category Page")</f>
        <v>Category Page</v>
      </c>
      <c r="G1214" s="185" t="str">
        <f>IFERROR(__xludf.DUMMYFUNCTION("""COMPUTED_VALUE"""),"CORPORATE")</f>
        <v>CORPORATE</v>
      </c>
      <c r="H1214" s="185" t="str">
        <f>IFERROR(__xludf.DUMMYFUNCTION("""COMPUTED_VALUE"""),"No")</f>
        <v>No</v>
      </c>
      <c r="I1214" s="185" t="str">
        <f>IFERROR(__xludf.DUMMYFUNCTION("""COMPUTED_VALUE"""),"Medium")</f>
        <v>Medium</v>
      </c>
      <c r="J1214" s="185" t="str">
        <f>IFERROR(__xludf.DUMMYFUNCTION("""COMPUTED_VALUE"""),"Yes")</f>
        <v>Yes</v>
      </c>
      <c r="K1214" s="185" t="str">
        <f>IFERROR(__xludf.DUMMYFUNCTION("""COMPUTED_VALUE"""),"MONSOON, Triple Whale, Northbeam, Dreamdata, lehof")</f>
        <v>MONSOON, Triple Whale, Northbeam, Dreamdata, lehof</v>
      </c>
      <c r="L1214" s="187">
        <f>IFERROR(__xludf.DUMMYFUNCTION("""COMPUTED_VALUE"""),1.0)</f>
        <v>1</v>
      </c>
      <c r="M1214" s="188">
        <f>IFERROR(__xludf.DUMMYFUNCTION("""COMPUTED_VALUE"""),0.0)</f>
        <v>0</v>
      </c>
      <c r="N1214" s="188">
        <f>IFERROR(__xludf.DUMMYFUNCTION("""COMPUTED_VALUE"""),0.0)</f>
        <v>0</v>
      </c>
      <c r="O1214" s="208"/>
      <c r="P1214" s="208"/>
      <c r="Q1214" s="208"/>
      <c r="R1214" s="208"/>
    </row>
    <row r="1215">
      <c r="A1215" s="185" t="str">
        <f>IFERROR(__xludf.DUMMYFUNCTION("""COMPUTED_VALUE"""),"Agency directory / review marketplace")</f>
        <v>Agency directory / review marketplace</v>
      </c>
      <c r="B1215" s="186" t="str">
        <f>IFERROR(__xludf.DUMMYFUNCTION("""COMPUTED_VALUE"""),"https://www.sortlist.com/i/s/ppc-marketing/germany-de")</f>
        <v>https://www.sortlist.com/i/s/ppc-marketing/germany-de</v>
      </c>
      <c r="C1215" s="185" t="str">
        <f>IFERROR(__xludf.DUMMYFUNCTION("""COMPUTED_VALUE"""),"The 10 Best Pay-Per-Click Agencies in Germany - 2026 Reviews")</f>
        <v>The 10 Best Pay-Per-Click Agencies in Germany - 2026 Reviews</v>
      </c>
      <c r="D1215" s="185" t="str">
        <f>IFERROR(__xludf.DUMMYFUNCTION("""COMPUTED_VALUE"""),"DE")</f>
        <v>DE</v>
      </c>
      <c r="E1215" s="185" t="str">
        <f>IFERROR(__xludf.DUMMYFUNCTION("""COMPUTED_VALUE"""),"sortlist.com")</f>
        <v>sortlist.com</v>
      </c>
      <c r="F1215" s="185" t="str">
        <f>IFERROR(__xludf.DUMMYFUNCTION("""COMPUTED_VALUE"""),"Category Page")</f>
        <v>Category Page</v>
      </c>
      <c r="G1215" s="185" t="str">
        <f>IFERROR(__xludf.DUMMYFUNCTION("""COMPUTED_VALUE"""),"CORPORATE")</f>
        <v>CORPORATE</v>
      </c>
      <c r="H1215" s="185" t="str">
        <f>IFERROR(__xludf.DUMMYFUNCTION("""COMPUTED_VALUE"""),"No")</f>
        <v>No</v>
      </c>
      <c r="I1215" s="185" t="str">
        <f>IFERROR(__xludf.DUMMYFUNCTION("""COMPUTED_VALUE"""),"Medium")</f>
        <v>Medium</v>
      </c>
      <c r="J1215" s="185" t="str">
        <f>IFERROR(__xludf.DUMMYFUNCTION("""COMPUTED_VALUE"""),"Yes")</f>
        <v>Yes</v>
      </c>
      <c r="K1215" s="185" t="str">
        <f>IFERROR(__xludf.DUMMYFUNCTION("""COMPUTED_VALUE"""),"MONSOON, Mediacharge")</f>
        <v>MONSOON, Mediacharge</v>
      </c>
      <c r="L1215" s="187">
        <f>IFERROR(__xludf.DUMMYFUNCTION("""COMPUTED_VALUE"""),1.0)</f>
        <v>1</v>
      </c>
      <c r="M1215" s="188">
        <f>IFERROR(__xludf.DUMMYFUNCTION("""COMPUTED_VALUE"""),0.0)</f>
        <v>0</v>
      </c>
      <c r="N1215" s="188">
        <f>IFERROR(__xludf.DUMMYFUNCTION("""COMPUTED_VALUE"""),1.0)</f>
        <v>1</v>
      </c>
      <c r="O1215" s="208"/>
      <c r="P1215" s="208"/>
      <c r="Q1215" s="208"/>
      <c r="R1215" s="208"/>
    </row>
    <row r="1216">
      <c r="A1216" s="185" t="str">
        <f>IFERROR(__xludf.DUMMYFUNCTION("""COMPUTED_VALUE"""),"Agency directory / review marketplace")</f>
        <v>Agency directory / review marketplace</v>
      </c>
      <c r="B1216" s="186" t="str">
        <f>IFERROR(__xludf.DUMMYFUNCTION("""COMPUTED_VALUE"""),"https://www.sortlist.com/media-planning")</f>
        <v>https://www.sortlist.com/media-planning</v>
      </c>
      <c r="C1216" s="185" t="str">
        <f>IFERROR(__xludf.DUMMYFUNCTION("""COMPUTED_VALUE"""),"The 100 Best Media Agencies - 2026 Reviews")</f>
        <v>The 100 Best Media Agencies - 2026 Reviews</v>
      </c>
      <c r="D1216" s="185" t="str">
        <f>IFERROR(__xludf.DUMMYFUNCTION("""COMPUTED_VALUE"""),"DE")</f>
        <v>DE</v>
      </c>
      <c r="E1216" s="185" t="str">
        <f>IFERROR(__xludf.DUMMYFUNCTION("""COMPUTED_VALUE"""),"sortlist.com")</f>
        <v>sortlist.com</v>
      </c>
      <c r="F1216" s="185" t="str">
        <f>IFERROR(__xludf.DUMMYFUNCTION("""COMPUTED_VALUE"""),"Category Page")</f>
        <v>Category Page</v>
      </c>
      <c r="G1216" s="185" t="str">
        <f>IFERROR(__xludf.DUMMYFUNCTION("""COMPUTED_VALUE"""),"CORPORATE")</f>
        <v>CORPORATE</v>
      </c>
      <c r="H1216" s="185" t="str">
        <f>IFERROR(__xludf.DUMMYFUNCTION("""COMPUTED_VALUE"""),"No")</f>
        <v>No</v>
      </c>
      <c r="I1216" s="185" t="str">
        <f>IFERROR(__xludf.DUMMYFUNCTION("""COMPUTED_VALUE"""),"Medium")</f>
        <v>Medium</v>
      </c>
      <c r="J1216" s="185" t="str">
        <f>IFERROR(__xludf.DUMMYFUNCTION("""COMPUTED_VALUE"""),"Yes")</f>
        <v>Yes</v>
      </c>
      <c r="K1216" s="185" t="str">
        <f>IFERROR(__xludf.DUMMYFUNCTION("""COMPUTED_VALUE"""),"lehof")</f>
        <v>lehof</v>
      </c>
      <c r="L1216" s="187">
        <f>IFERROR(__xludf.DUMMYFUNCTION("""COMPUTED_VALUE"""),1.0)</f>
        <v>1</v>
      </c>
      <c r="M1216" s="188">
        <f>IFERROR(__xludf.DUMMYFUNCTION("""COMPUTED_VALUE"""),0.0)</f>
        <v>0</v>
      </c>
      <c r="N1216" s="188">
        <f>IFERROR(__xludf.DUMMYFUNCTION("""COMPUTED_VALUE"""),0.0)</f>
        <v>0</v>
      </c>
      <c r="O1216" s="208"/>
      <c r="P1216" s="208"/>
      <c r="Q1216" s="208"/>
      <c r="R1216" s="208"/>
    </row>
    <row r="1217">
      <c r="A1217" s="185" t="str">
        <f>IFERROR(__xludf.DUMMYFUNCTION("""COMPUTED_VALUE"""),"Agency directory / review marketplace")</f>
        <v>Agency directory / review marketplace</v>
      </c>
      <c r="B1217" s="186" t="str">
        <f>IFERROR(__xludf.DUMMYFUNCTION("""COMPUTED_VALUE"""),"https://www.sortlist.com/s/ai-agents/germany-de")</f>
        <v>https://www.sortlist.com/s/ai-agents/germany-de</v>
      </c>
      <c r="C1217" s="185" t="str">
        <f>IFERROR(__xludf.DUMMYFUNCTION("""COMPUTED_VALUE"""),"The 10 Best AI Agents Companies in Germany - 2026 Reviews")</f>
        <v>The 10 Best AI Agents Companies in Germany - 2026 Reviews</v>
      </c>
      <c r="D1217" s="185" t="str">
        <f>IFERROR(__xludf.DUMMYFUNCTION("""COMPUTED_VALUE"""),"DE")</f>
        <v>DE</v>
      </c>
      <c r="E1217" s="185" t="str">
        <f>IFERROR(__xludf.DUMMYFUNCTION("""COMPUTED_VALUE"""),"sortlist.com")</f>
        <v>sortlist.com</v>
      </c>
      <c r="F1217" s="185" t="str">
        <f>IFERROR(__xludf.DUMMYFUNCTION("""COMPUTED_VALUE"""),"Category Page")</f>
        <v>Category Page</v>
      </c>
      <c r="G1217" s="185" t="str">
        <f>IFERROR(__xludf.DUMMYFUNCTION("""COMPUTED_VALUE"""),"CORPORATE")</f>
        <v>CORPORATE</v>
      </c>
      <c r="H1217" s="185" t="str">
        <f>IFERROR(__xludf.DUMMYFUNCTION("""COMPUTED_VALUE"""),"No")</f>
        <v>No</v>
      </c>
      <c r="I1217" s="185" t="str">
        <f>IFERROR(__xludf.DUMMYFUNCTION("""COMPUTED_VALUE"""),"Medium")</f>
        <v>Medium</v>
      </c>
      <c r="J1217" s="185" t="str">
        <f>IFERROR(__xludf.DUMMYFUNCTION("""COMPUTED_VALUE"""),"Yes")</f>
        <v>Yes</v>
      </c>
      <c r="K1217" s="185" t="str">
        <f>IFERROR(__xludf.DUMMYFUNCTION("""COMPUTED_VALUE"""),"Momentum, Measured")</f>
        <v>Momentum, Measured</v>
      </c>
      <c r="L1217" s="187">
        <f>IFERROR(__xludf.DUMMYFUNCTION("""COMPUTED_VALUE"""),1.0)</f>
        <v>1</v>
      </c>
      <c r="M1217" s="188">
        <f>IFERROR(__xludf.DUMMYFUNCTION("""COMPUTED_VALUE"""),0.0)</f>
        <v>0</v>
      </c>
      <c r="N1217" s="188">
        <f>IFERROR(__xludf.DUMMYFUNCTION("""COMPUTED_VALUE"""),1.0)</f>
        <v>1</v>
      </c>
      <c r="O1217" s="208"/>
      <c r="P1217" s="208"/>
      <c r="Q1217" s="208"/>
      <c r="R1217" s="208"/>
    </row>
    <row r="1218">
      <c r="A1218" s="185" t="str">
        <f>IFERROR(__xludf.DUMMYFUNCTION("""COMPUTED_VALUE"""),"Agency directory / review marketplace")</f>
        <v>Agency directory / review marketplace</v>
      </c>
      <c r="B1218" s="186" t="str">
        <f>IFERROR(__xludf.DUMMYFUNCTION("""COMPUTED_VALUE"""),"https://www.sortlist.com/s/artificial-intelligence/hamburg-de")</f>
        <v>https://www.sortlist.com/s/artificial-intelligence/hamburg-de</v>
      </c>
      <c r="C1218" s="185" t="str">
        <f>IFERROR(__xludf.DUMMYFUNCTION("""COMPUTED_VALUE"""),"The 10 Best Artificial Intelligence Agencies in Hamburg - 2026 Reviews")</f>
        <v>The 10 Best Artificial Intelligence Agencies in Hamburg - 2026 Reviews</v>
      </c>
      <c r="D1218" s="185" t="str">
        <f>IFERROR(__xludf.DUMMYFUNCTION("""COMPUTED_VALUE"""),"DE")</f>
        <v>DE</v>
      </c>
      <c r="E1218" s="185" t="str">
        <f>IFERROR(__xludf.DUMMYFUNCTION("""COMPUTED_VALUE"""),"sortlist.com")</f>
        <v>sortlist.com</v>
      </c>
      <c r="F1218" s="185" t="str">
        <f>IFERROR(__xludf.DUMMYFUNCTION("""COMPUTED_VALUE"""),"Category Page")</f>
        <v>Category Page</v>
      </c>
      <c r="G1218" s="185" t="str">
        <f>IFERROR(__xludf.DUMMYFUNCTION("""COMPUTED_VALUE"""),"CORPORATE")</f>
        <v>CORPORATE</v>
      </c>
      <c r="H1218" s="185" t="str">
        <f>IFERROR(__xludf.DUMMYFUNCTION("""COMPUTED_VALUE"""),"No")</f>
        <v>No</v>
      </c>
      <c r="I1218" s="185" t="str">
        <f>IFERROR(__xludf.DUMMYFUNCTION("""COMPUTED_VALUE"""),"Medium")</f>
        <v>Medium</v>
      </c>
      <c r="J1218" s="185" t="str">
        <f>IFERROR(__xludf.DUMMYFUNCTION("""COMPUTED_VALUE"""),"Yes")</f>
        <v>Yes</v>
      </c>
      <c r="K1218" s="185" t="str">
        <f>IFERROR(__xludf.DUMMYFUNCTION("""COMPUTED_VALUE"""),"Momentum, Measured")</f>
        <v>Momentum, Measured</v>
      </c>
      <c r="L1218" s="187">
        <f>IFERROR(__xludf.DUMMYFUNCTION("""COMPUTED_VALUE"""),1.0)</f>
        <v>1</v>
      </c>
      <c r="M1218" s="188">
        <f>IFERROR(__xludf.DUMMYFUNCTION("""COMPUTED_VALUE"""),0.0)</f>
        <v>0</v>
      </c>
      <c r="N1218" s="188">
        <f>IFERROR(__xludf.DUMMYFUNCTION("""COMPUTED_VALUE"""),0.0)</f>
        <v>0</v>
      </c>
      <c r="O1218" s="208"/>
      <c r="P1218" s="208"/>
      <c r="Q1218" s="208"/>
      <c r="R1218" s="208"/>
    </row>
    <row r="1219">
      <c r="A1219" s="185" t="str">
        <f>IFERROR(__xludf.DUMMYFUNCTION("""COMPUTED_VALUE"""),"Agency directory / review marketplace")</f>
        <v>Agency directory / review marketplace</v>
      </c>
      <c r="B1219" s="186" t="str">
        <f>IFERROR(__xludf.DUMMYFUNCTION("""COMPUTED_VALUE"""),"https://www.sortlist.com/s/brand-experience/germany-de")</f>
        <v>https://www.sortlist.com/s/brand-experience/germany-de</v>
      </c>
      <c r="C1219" s="185" t="str">
        <f>IFERROR(__xludf.DUMMYFUNCTION("""COMPUTED_VALUE"""),"The 10 Best Brand Experience Agencies in Germany - 2026 Reviews")</f>
        <v>The 10 Best Brand Experience Agencies in Germany - 2026 Reviews</v>
      </c>
      <c r="D1219" s="185" t="str">
        <f>IFERROR(__xludf.DUMMYFUNCTION("""COMPUTED_VALUE"""),"DE")</f>
        <v>DE</v>
      </c>
      <c r="E1219" s="185" t="str">
        <f>IFERROR(__xludf.DUMMYFUNCTION("""COMPUTED_VALUE"""),"sortlist.com")</f>
        <v>sortlist.com</v>
      </c>
      <c r="F1219" s="185" t="str">
        <f>IFERROR(__xludf.DUMMYFUNCTION("""COMPUTED_VALUE"""),"Category Page")</f>
        <v>Category Page</v>
      </c>
      <c r="G1219" s="185" t="str">
        <f>IFERROR(__xludf.DUMMYFUNCTION("""COMPUTED_VALUE"""),"CORPORATE")</f>
        <v>CORPORATE</v>
      </c>
      <c r="H1219" s="185" t="str">
        <f>IFERROR(__xludf.DUMMYFUNCTION("""COMPUTED_VALUE"""),"No")</f>
        <v>No</v>
      </c>
      <c r="I1219" s="185" t="str">
        <f>IFERROR(__xludf.DUMMYFUNCTION("""COMPUTED_VALUE"""),"Medium")</f>
        <v>Medium</v>
      </c>
      <c r="J1219" s="185" t="str">
        <f>IFERROR(__xludf.DUMMYFUNCTION("""COMPUTED_VALUE"""),"Yes")</f>
        <v>Yes</v>
      </c>
      <c r="K1219" s="185" t="str">
        <f>IFERROR(__xludf.DUMMYFUNCTION("""COMPUTED_VALUE"""),"lehof, PANORAMA3000, Measured")</f>
        <v>lehof, PANORAMA3000, Measured</v>
      </c>
      <c r="L1219" s="187">
        <f>IFERROR(__xludf.DUMMYFUNCTION("""COMPUTED_VALUE"""),1.0)</f>
        <v>1</v>
      </c>
      <c r="M1219" s="188">
        <f>IFERROR(__xludf.DUMMYFUNCTION("""COMPUTED_VALUE"""),0.0)</f>
        <v>0</v>
      </c>
      <c r="N1219" s="188">
        <f>IFERROR(__xludf.DUMMYFUNCTION("""COMPUTED_VALUE"""),5.0)</f>
        <v>5</v>
      </c>
      <c r="O1219" s="208"/>
      <c r="P1219" s="208"/>
      <c r="Q1219" s="208"/>
      <c r="R1219" s="208"/>
    </row>
    <row r="1220">
      <c r="A1220" s="185" t="str">
        <f>IFERROR(__xludf.DUMMYFUNCTION("""COMPUTED_VALUE"""),"Agency directory / review marketplace")</f>
        <v>Agency directory / review marketplace</v>
      </c>
      <c r="B1220" s="186" t="str">
        <f>IFERROR(__xludf.DUMMYFUNCTION("""COMPUTED_VALUE"""),"https://www.sortlist.com/s/data-driven-marketing/berlin-de")</f>
        <v>https://www.sortlist.com/s/data-driven-marketing/berlin-de</v>
      </c>
      <c r="C1220" s="185" t="str">
        <f>IFERROR(__xludf.DUMMYFUNCTION("""COMPUTED_VALUE"""),"The 10 Best Data Driven Marketing Agencies in Berlin - 2026 Reviews")</f>
        <v>The 10 Best Data Driven Marketing Agencies in Berlin - 2026 Reviews</v>
      </c>
      <c r="D1220" s="185" t="str">
        <f>IFERROR(__xludf.DUMMYFUNCTION("""COMPUTED_VALUE"""),"DE")</f>
        <v>DE</v>
      </c>
      <c r="E1220" s="185" t="str">
        <f>IFERROR(__xludf.DUMMYFUNCTION("""COMPUTED_VALUE"""),"sortlist.com")</f>
        <v>sortlist.com</v>
      </c>
      <c r="F1220" s="185" t="str">
        <f>IFERROR(__xludf.DUMMYFUNCTION("""COMPUTED_VALUE"""),"Category Page")</f>
        <v>Category Page</v>
      </c>
      <c r="G1220" s="185" t="str">
        <f>IFERROR(__xludf.DUMMYFUNCTION("""COMPUTED_VALUE"""),"CORPORATE")</f>
        <v>CORPORATE</v>
      </c>
      <c r="H1220" s="185" t="str">
        <f>IFERROR(__xludf.DUMMYFUNCTION("""COMPUTED_VALUE"""),"No")</f>
        <v>No</v>
      </c>
      <c r="I1220" s="185" t="str">
        <f>IFERROR(__xludf.DUMMYFUNCTION("""COMPUTED_VALUE"""),"Medium")</f>
        <v>Medium</v>
      </c>
      <c r="J1220" s="185" t="str">
        <f>IFERROR(__xludf.DUMMYFUNCTION("""COMPUTED_VALUE"""),"Yes")</f>
        <v>Yes</v>
      </c>
      <c r="K1220" s="185" t="str">
        <f>IFERROR(__xludf.DUMMYFUNCTION("""COMPUTED_VALUE"""),"MONSOON, lehof, Triple Whale, Northbeam, Dreamdata, KlickPiloten")</f>
        <v>MONSOON, lehof, Triple Whale, Northbeam, Dreamdata, KlickPiloten</v>
      </c>
      <c r="L1220" s="187">
        <f>IFERROR(__xludf.DUMMYFUNCTION("""COMPUTED_VALUE"""),1.0)</f>
        <v>1</v>
      </c>
      <c r="M1220" s="188">
        <f>IFERROR(__xludf.DUMMYFUNCTION("""COMPUTED_VALUE"""),0.0)</f>
        <v>0</v>
      </c>
      <c r="N1220" s="188">
        <f>IFERROR(__xludf.DUMMYFUNCTION("""COMPUTED_VALUE"""),1.0)</f>
        <v>1</v>
      </c>
      <c r="O1220" s="208"/>
      <c r="P1220" s="208"/>
      <c r="Q1220" s="208"/>
      <c r="R1220" s="208"/>
    </row>
    <row r="1221">
      <c r="A1221" s="185" t="str">
        <f>IFERROR(__xludf.DUMMYFUNCTION("""COMPUTED_VALUE"""),"Agency directory / review marketplace")</f>
        <v>Agency directory / review marketplace</v>
      </c>
      <c r="B1221" s="186" t="str">
        <f>IFERROR(__xludf.DUMMYFUNCTION("""COMPUTED_VALUE"""),"https://www.sortlist.com/s/international-marketing/hamburg-de")</f>
        <v>https://www.sortlist.com/s/international-marketing/hamburg-de</v>
      </c>
      <c r="C1221" s="185" t="str">
        <f>IFERROR(__xludf.DUMMYFUNCTION("""COMPUTED_VALUE"""),"The 10 Best International Marketing Agencies in Hamburg - 2026 Reviews")</f>
        <v>The 10 Best International Marketing Agencies in Hamburg - 2026 Reviews</v>
      </c>
      <c r="D1221" s="185" t="str">
        <f>IFERROR(__xludf.DUMMYFUNCTION("""COMPUTED_VALUE"""),"DE")</f>
        <v>DE</v>
      </c>
      <c r="E1221" s="185" t="str">
        <f>IFERROR(__xludf.DUMMYFUNCTION("""COMPUTED_VALUE"""),"sortlist.com")</f>
        <v>sortlist.com</v>
      </c>
      <c r="F1221" s="185" t="str">
        <f>IFERROR(__xludf.DUMMYFUNCTION("""COMPUTED_VALUE"""),"Category Page")</f>
        <v>Category Page</v>
      </c>
      <c r="G1221" s="185" t="str">
        <f>IFERROR(__xludf.DUMMYFUNCTION("""COMPUTED_VALUE"""),"CORPORATE")</f>
        <v>CORPORATE</v>
      </c>
      <c r="H1221" s="185" t="str">
        <f>IFERROR(__xludf.DUMMYFUNCTION("""COMPUTED_VALUE"""),"No")</f>
        <v>No</v>
      </c>
      <c r="I1221" s="185" t="str">
        <f>IFERROR(__xludf.DUMMYFUNCTION("""COMPUTED_VALUE"""),"Medium")</f>
        <v>Medium</v>
      </c>
      <c r="J1221" s="185" t="str">
        <f>IFERROR(__xludf.DUMMYFUNCTION("""COMPUTED_VALUE"""),"Yes")</f>
        <v>Yes</v>
      </c>
      <c r="K1221" s="185" t="str">
        <f>IFERROR(__xludf.DUMMYFUNCTION("""COMPUTED_VALUE"""),"MONSOON, Measured, KlickPiloten")</f>
        <v>MONSOON, Measured, KlickPiloten</v>
      </c>
      <c r="L1221" s="187">
        <f>IFERROR(__xludf.DUMMYFUNCTION("""COMPUTED_VALUE"""),1.0)</f>
        <v>1</v>
      </c>
      <c r="M1221" s="188">
        <f>IFERROR(__xludf.DUMMYFUNCTION("""COMPUTED_VALUE"""),0.0)</f>
        <v>0</v>
      </c>
      <c r="N1221" s="188">
        <f>IFERROR(__xludf.DUMMYFUNCTION("""COMPUTED_VALUE"""),0.0)</f>
        <v>0</v>
      </c>
      <c r="O1221" s="208"/>
      <c r="P1221" s="208"/>
      <c r="Q1221" s="208"/>
      <c r="R1221" s="208"/>
    </row>
    <row r="1222">
      <c r="A1222" s="185" t="str">
        <f>IFERROR(__xludf.DUMMYFUNCTION("""COMPUTED_VALUE"""),"Agency directory / review marketplace")</f>
        <v>Agency directory / review marketplace</v>
      </c>
      <c r="B1222" s="186" t="str">
        <f>IFERROR(__xludf.DUMMYFUNCTION("""COMPUTED_VALUE"""),"https://www.sortlist.com/s/paid-media/munich-by-de")</f>
        <v>https://www.sortlist.com/s/paid-media/munich-by-de</v>
      </c>
      <c r="C1222" s="185" t="str">
        <f>IFERROR(__xludf.DUMMYFUNCTION("""COMPUTED_VALUE"""),"The 10 Best Paid Media Agencies in Munich - 2026 Reviews")</f>
        <v>The 10 Best Paid Media Agencies in Munich - 2026 Reviews</v>
      </c>
      <c r="D1222" s="185" t="str">
        <f>IFERROR(__xludf.DUMMYFUNCTION("""COMPUTED_VALUE"""),"DE")</f>
        <v>DE</v>
      </c>
      <c r="E1222" s="185" t="str">
        <f>IFERROR(__xludf.DUMMYFUNCTION("""COMPUTED_VALUE"""),"sortlist.com")</f>
        <v>sortlist.com</v>
      </c>
      <c r="F1222" s="185" t="str">
        <f>IFERROR(__xludf.DUMMYFUNCTION("""COMPUTED_VALUE"""),"Category Page")</f>
        <v>Category Page</v>
      </c>
      <c r="G1222" s="185" t="str">
        <f>IFERROR(__xludf.DUMMYFUNCTION("""COMPUTED_VALUE"""),"CORPORATE")</f>
        <v>CORPORATE</v>
      </c>
      <c r="H1222" s="185" t="str">
        <f>IFERROR(__xludf.DUMMYFUNCTION("""COMPUTED_VALUE"""),"No")</f>
        <v>No</v>
      </c>
      <c r="I1222" s="185" t="str">
        <f>IFERROR(__xludf.DUMMYFUNCTION("""COMPUTED_VALUE"""),"Medium")</f>
        <v>Medium</v>
      </c>
      <c r="J1222" s="185" t="str">
        <f>IFERROR(__xludf.DUMMYFUNCTION("""COMPUTED_VALUE"""),"Yes")</f>
        <v>Yes</v>
      </c>
      <c r="K1222" s="185" t="str">
        <f>IFERROR(__xludf.DUMMYFUNCTION("""COMPUTED_VALUE"""),"Measured, lehof, Triple Whale, Northbeam, Dreamdata, Mediacharge, MONSOON, Loyamo")</f>
        <v>Measured, lehof, Triple Whale, Northbeam, Dreamdata, Mediacharge, MONSOON, Loyamo</v>
      </c>
      <c r="L1222" s="187">
        <f>IFERROR(__xludf.DUMMYFUNCTION("""COMPUTED_VALUE"""),1.0)</f>
        <v>1</v>
      </c>
      <c r="M1222" s="188">
        <f>IFERROR(__xludf.DUMMYFUNCTION("""COMPUTED_VALUE"""),0.0)</f>
        <v>0</v>
      </c>
      <c r="N1222" s="188">
        <f>IFERROR(__xludf.DUMMYFUNCTION("""COMPUTED_VALUE"""),1.0)</f>
        <v>1</v>
      </c>
      <c r="O1222" s="208"/>
      <c r="P1222" s="208"/>
      <c r="Q1222" s="208"/>
      <c r="R1222" s="208"/>
    </row>
    <row r="1223">
      <c r="A1223" s="185" t="str">
        <f>IFERROR(__xludf.DUMMYFUNCTION("""COMPUTED_VALUE"""),"Agency directory / review marketplace")</f>
        <v>Agency directory / review marketplace</v>
      </c>
      <c r="B1223" s="186" t="str">
        <f>IFERROR(__xludf.DUMMYFUNCTION("""COMPUTED_VALUE"""),"https://www.sortlist.com/s/performance-marketing/frankfurt-he-de")</f>
        <v>https://www.sortlist.com/s/performance-marketing/frankfurt-he-de</v>
      </c>
      <c r="C1223" s="185" t="str">
        <f>IFERROR(__xludf.DUMMYFUNCTION("""COMPUTED_VALUE"""),"The 10 Best Performance Marketing Agencies in Frankfurt - 2026 Reviews")</f>
        <v>The 10 Best Performance Marketing Agencies in Frankfurt - 2026 Reviews</v>
      </c>
      <c r="D1223" s="185" t="str">
        <f>IFERROR(__xludf.DUMMYFUNCTION("""COMPUTED_VALUE"""),"DE")</f>
        <v>DE</v>
      </c>
      <c r="E1223" s="185" t="str">
        <f>IFERROR(__xludf.DUMMYFUNCTION("""COMPUTED_VALUE"""),"sortlist.com")</f>
        <v>sortlist.com</v>
      </c>
      <c r="F1223" s="185" t="str">
        <f>IFERROR(__xludf.DUMMYFUNCTION("""COMPUTED_VALUE"""),"Category Page")</f>
        <v>Category Page</v>
      </c>
      <c r="G1223" s="185" t="str">
        <f>IFERROR(__xludf.DUMMYFUNCTION("""COMPUTED_VALUE"""),"CORPORATE")</f>
        <v>CORPORATE</v>
      </c>
      <c r="H1223" s="185" t="str">
        <f>IFERROR(__xludf.DUMMYFUNCTION("""COMPUTED_VALUE"""),"No")</f>
        <v>No</v>
      </c>
      <c r="I1223" s="185" t="str">
        <f>IFERROR(__xludf.DUMMYFUNCTION("""COMPUTED_VALUE"""),"Medium")</f>
        <v>Medium</v>
      </c>
      <c r="J1223" s="185" t="str">
        <f>IFERROR(__xludf.DUMMYFUNCTION("""COMPUTED_VALUE"""),"Yes")</f>
        <v>Yes</v>
      </c>
      <c r="K1223" s="185" t="str">
        <f>IFERROR(__xludf.DUMMYFUNCTION("""COMPUTED_VALUE"""),"lehof, Mediacharge, MONSOON, ZweiDigital GmbH, Measured, Triple Whale, Northbeam, Dreamdata")</f>
        <v>lehof, Mediacharge, MONSOON, ZweiDigital GmbH, Measured, Triple Whale, Northbeam, Dreamdata</v>
      </c>
      <c r="L1223" s="187">
        <f>IFERROR(__xludf.DUMMYFUNCTION("""COMPUTED_VALUE"""),1.0)</f>
        <v>1</v>
      </c>
      <c r="M1223" s="188">
        <f>IFERROR(__xludf.DUMMYFUNCTION("""COMPUTED_VALUE"""),0.0)</f>
        <v>0</v>
      </c>
      <c r="N1223" s="188">
        <f>IFERROR(__xludf.DUMMYFUNCTION("""COMPUTED_VALUE"""),0.0)</f>
        <v>0</v>
      </c>
      <c r="O1223" s="208"/>
      <c r="P1223" s="208"/>
      <c r="Q1223" s="208"/>
      <c r="R1223" s="208"/>
    </row>
    <row r="1224">
      <c r="A1224" s="185" t="str">
        <f>IFERROR(__xludf.DUMMYFUNCTION("""COMPUTED_VALUE"""),"Agency directory / review marketplace")</f>
        <v>Agency directory / review marketplace</v>
      </c>
      <c r="B1224" s="186" t="str">
        <f>IFERROR(__xludf.DUMMYFUNCTION("""COMPUTED_VALUE"""),"https://www.sortlist.com/s/performance-marketing/munich-by-de")</f>
        <v>https://www.sortlist.com/s/performance-marketing/munich-by-de</v>
      </c>
      <c r="C1224" s="185" t="str">
        <f>IFERROR(__xludf.DUMMYFUNCTION("""COMPUTED_VALUE"""),"The 10 Best Performance Marketing Agencies in Munich - 2026 Reviews")</f>
        <v>The 10 Best Performance Marketing Agencies in Munich - 2026 Reviews</v>
      </c>
      <c r="D1224" s="185" t="str">
        <f>IFERROR(__xludf.DUMMYFUNCTION("""COMPUTED_VALUE"""),"DE")</f>
        <v>DE</v>
      </c>
      <c r="E1224" s="185" t="str">
        <f>IFERROR(__xludf.DUMMYFUNCTION("""COMPUTED_VALUE"""),"sortlist.com")</f>
        <v>sortlist.com</v>
      </c>
      <c r="F1224" s="185" t="str">
        <f>IFERROR(__xludf.DUMMYFUNCTION("""COMPUTED_VALUE"""),"Category Page")</f>
        <v>Category Page</v>
      </c>
      <c r="G1224" s="185" t="str">
        <f>IFERROR(__xludf.DUMMYFUNCTION("""COMPUTED_VALUE"""),"CORPORATE")</f>
        <v>CORPORATE</v>
      </c>
      <c r="H1224" s="185" t="str">
        <f>IFERROR(__xludf.DUMMYFUNCTION("""COMPUTED_VALUE"""),"No")</f>
        <v>No</v>
      </c>
      <c r="I1224" s="185" t="str">
        <f>IFERROR(__xludf.DUMMYFUNCTION("""COMPUTED_VALUE"""),"Medium")</f>
        <v>Medium</v>
      </c>
      <c r="J1224" s="185" t="str">
        <f>IFERROR(__xludf.DUMMYFUNCTION("""COMPUTED_VALUE"""),"Yes")</f>
        <v>Yes</v>
      </c>
      <c r="K1224" s="185" t="str">
        <f>IFERROR(__xludf.DUMMYFUNCTION("""COMPUTED_VALUE"""),"lehof, Mediacharge, MONSOON, Triple Whale, Northbeam, Dreamdata, Loyamo")</f>
        <v>lehof, Mediacharge, MONSOON, Triple Whale, Northbeam, Dreamdata, Loyamo</v>
      </c>
      <c r="L1224" s="187">
        <f>IFERROR(__xludf.DUMMYFUNCTION("""COMPUTED_VALUE"""),1.0)</f>
        <v>1</v>
      </c>
      <c r="M1224" s="188">
        <f>IFERROR(__xludf.DUMMYFUNCTION("""COMPUTED_VALUE"""),0.0)</f>
        <v>0</v>
      </c>
      <c r="N1224" s="188">
        <f>IFERROR(__xludf.DUMMYFUNCTION("""COMPUTED_VALUE"""),1.0)</f>
        <v>1</v>
      </c>
      <c r="O1224" s="208"/>
      <c r="P1224" s="208"/>
      <c r="Q1224" s="208"/>
      <c r="R1224" s="208"/>
    </row>
    <row r="1225">
      <c r="A1225" s="185" t="str">
        <f>IFERROR(__xludf.DUMMYFUNCTION("""COMPUTED_VALUE"""),"Agency directory / review marketplace")</f>
        <v>Agency directory / review marketplace</v>
      </c>
      <c r="B1225" s="186" t="str">
        <f>IFERROR(__xludf.DUMMYFUNCTION("""COMPUTED_VALUE"""),"https://www.sortlist.com/s/programmatic-advertising/berlin-de#:~:text=%F0%9F%87%AC%F0%9F%87%A7%20below%20%F0%9F%87%AC%F0%9F%87%A7%20Say%20hi%20to%20Digital,we%20support%20you%20in%20digitizing%20your%20business.")</f>
        <v>https://www.sortlist.com/s/programmatic-advertising/berlin-de#:~:text=%F0%9F%87%AC%F0%9F%87%A7%20below%20%F0%9F%87%AC%F0%9F%87%A7%20Say%20hi%20to%20Digital,we%20support%20you%20in%20digitizing%20your%20business.</v>
      </c>
      <c r="C1225" s="185" t="str">
        <f>IFERROR(__xludf.DUMMYFUNCTION("""COMPUTED_VALUE"""),"The 10 Best Programmatic Advertising Companies in Berlin - 2026 Reviews")</f>
        <v>The 10 Best Programmatic Advertising Companies in Berlin - 2026 Reviews</v>
      </c>
      <c r="D1225" s="185" t="str">
        <f>IFERROR(__xludf.DUMMYFUNCTION("""COMPUTED_VALUE"""),"DE")</f>
        <v>DE</v>
      </c>
      <c r="E1225" s="185" t="str">
        <f>IFERROR(__xludf.DUMMYFUNCTION("""COMPUTED_VALUE"""),"sortlist.com")</f>
        <v>sortlist.com</v>
      </c>
      <c r="F1225" s="185" t="str">
        <f>IFERROR(__xludf.DUMMYFUNCTION("""COMPUTED_VALUE"""),"Other")</f>
        <v>Other</v>
      </c>
      <c r="G1225" s="185" t="str">
        <f>IFERROR(__xludf.DUMMYFUNCTION("""COMPUTED_VALUE"""),"CORPORATE")</f>
        <v>CORPORATE</v>
      </c>
      <c r="H1225" s="185" t="str">
        <f>IFERROR(__xludf.DUMMYFUNCTION("""COMPUTED_VALUE"""),"No")</f>
        <v>No</v>
      </c>
      <c r="I1225" s="185" t="str">
        <f>IFERROR(__xludf.DUMMYFUNCTION("""COMPUTED_VALUE"""),"Medium")</f>
        <v>Medium</v>
      </c>
      <c r="J1225" s="185" t="str">
        <f>IFERROR(__xludf.DUMMYFUNCTION("""COMPUTED_VALUE"""),"Yes")</f>
        <v>Yes</v>
      </c>
      <c r="K1225" s="185" t="str">
        <f>IFERROR(__xludf.DUMMYFUNCTION("""COMPUTED_VALUE"""),"MONSOON, Triple Whale, Northbeam, Dreamdata, KlickPiloten, Medialabel, lehof")</f>
        <v>MONSOON, Triple Whale, Northbeam, Dreamdata, KlickPiloten, Medialabel, lehof</v>
      </c>
      <c r="L1225" s="187">
        <f>IFERROR(__xludf.DUMMYFUNCTION("""COMPUTED_VALUE"""),1.0)</f>
        <v>1</v>
      </c>
      <c r="M1225" s="188">
        <f>IFERROR(__xludf.DUMMYFUNCTION("""COMPUTED_VALUE"""),0.0)</f>
        <v>0</v>
      </c>
      <c r="N1225" s="188">
        <f>IFERROR(__xludf.DUMMYFUNCTION("""COMPUTED_VALUE"""),1.0)</f>
        <v>1</v>
      </c>
      <c r="O1225" s="208"/>
      <c r="P1225" s="208"/>
      <c r="Q1225" s="208"/>
      <c r="R1225" s="208"/>
    </row>
    <row r="1226">
      <c r="A1226" s="185" t="str">
        <f>IFERROR(__xludf.DUMMYFUNCTION("""COMPUTED_VALUE"""),"Agency directory / review marketplace")</f>
        <v>Agency directory / review marketplace</v>
      </c>
      <c r="B1226" s="186" t="str">
        <f>IFERROR(__xludf.DUMMYFUNCTION("""COMPUTED_VALUE"""),"https://www.sortlist.com/s/roi-optimization/germany-de")</f>
        <v>https://www.sortlist.com/s/roi-optimization/germany-de</v>
      </c>
      <c r="C1226" s="185" t="str">
        <f>IFERROR(__xludf.DUMMYFUNCTION("""COMPUTED_VALUE"""),"The 10 Best ROI Optimization Companies in Germany - 2026 Reviews")</f>
        <v>The 10 Best ROI Optimization Companies in Germany - 2026 Reviews</v>
      </c>
      <c r="D1226" s="185" t="str">
        <f>IFERROR(__xludf.DUMMYFUNCTION("""COMPUTED_VALUE"""),"DE")</f>
        <v>DE</v>
      </c>
      <c r="E1226" s="185" t="str">
        <f>IFERROR(__xludf.DUMMYFUNCTION("""COMPUTED_VALUE"""),"sortlist.com")</f>
        <v>sortlist.com</v>
      </c>
      <c r="F1226" s="185" t="str">
        <f>IFERROR(__xludf.DUMMYFUNCTION("""COMPUTED_VALUE"""),"Category Page")</f>
        <v>Category Page</v>
      </c>
      <c r="G1226" s="185" t="str">
        <f>IFERROR(__xludf.DUMMYFUNCTION("""COMPUTED_VALUE"""),"CORPORATE")</f>
        <v>CORPORATE</v>
      </c>
      <c r="H1226" s="185" t="str">
        <f>IFERROR(__xludf.DUMMYFUNCTION("""COMPUTED_VALUE"""),"No")</f>
        <v>No</v>
      </c>
      <c r="I1226" s="185" t="str">
        <f>IFERROR(__xludf.DUMMYFUNCTION("""COMPUTED_VALUE"""),"Medium")</f>
        <v>Medium</v>
      </c>
      <c r="J1226" s="185" t="str">
        <f>IFERROR(__xludf.DUMMYFUNCTION("""COMPUTED_VALUE"""),"Yes")</f>
        <v>Yes</v>
      </c>
      <c r="K1226" s="185" t="str">
        <f>IFERROR(__xludf.DUMMYFUNCTION("""COMPUTED_VALUE"""),"MONSOON, Measured, Triple Whale, Northbeam, Dreamdata, PANORAMA3000, ZweiDigital GmbH")</f>
        <v>MONSOON, Measured, Triple Whale, Northbeam, Dreamdata, PANORAMA3000, ZweiDigital GmbH</v>
      </c>
      <c r="L1226" s="187">
        <f>IFERROR(__xludf.DUMMYFUNCTION("""COMPUTED_VALUE"""),1.0)</f>
        <v>1</v>
      </c>
      <c r="M1226" s="188">
        <f>IFERROR(__xludf.DUMMYFUNCTION("""COMPUTED_VALUE"""),0.0)</f>
        <v>0</v>
      </c>
      <c r="N1226" s="188">
        <f>IFERROR(__xludf.DUMMYFUNCTION("""COMPUTED_VALUE"""),0.0)</f>
        <v>0</v>
      </c>
      <c r="O1226" s="208"/>
      <c r="P1226" s="208"/>
      <c r="Q1226" s="208"/>
      <c r="R1226" s="208"/>
    </row>
    <row r="1227">
      <c r="A1227" s="185" t="str">
        <f>IFERROR(__xludf.DUMMYFUNCTION("""COMPUTED_VALUE"""),"Agency directory / review marketplace")</f>
        <v>Agency directory / review marketplace</v>
      </c>
      <c r="B1227" s="186" t="str">
        <f>IFERROR(__xludf.DUMMYFUNCTION("""COMPUTED_VALUE"""),"https://www.sortlist.com/social-media-optimization")</f>
        <v>https://www.sortlist.com/social-media-optimization</v>
      </c>
      <c r="C1227" s="185" t="str">
        <f>IFERROR(__xludf.DUMMYFUNCTION("""COMPUTED_VALUE"""),"The 100 Best Social Media Optimization Agencies - 2026 Reviews")</f>
        <v>The 100 Best Social Media Optimization Agencies - 2026 Reviews</v>
      </c>
      <c r="D1227" s="185" t="str">
        <f>IFERROR(__xludf.DUMMYFUNCTION("""COMPUTED_VALUE"""),"DE")</f>
        <v>DE</v>
      </c>
      <c r="E1227" s="185" t="str">
        <f>IFERROR(__xludf.DUMMYFUNCTION("""COMPUTED_VALUE"""),"sortlist.com")</f>
        <v>sortlist.com</v>
      </c>
      <c r="F1227" s="185" t="str">
        <f>IFERROR(__xludf.DUMMYFUNCTION("""COMPUTED_VALUE"""),"Category Page")</f>
        <v>Category Page</v>
      </c>
      <c r="G1227" s="185" t="str">
        <f>IFERROR(__xludf.DUMMYFUNCTION("""COMPUTED_VALUE"""),"CORPORATE")</f>
        <v>CORPORATE</v>
      </c>
      <c r="H1227" s="185" t="str">
        <f>IFERROR(__xludf.DUMMYFUNCTION("""COMPUTED_VALUE"""),"No")</f>
        <v>No</v>
      </c>
      <c r="I1227" s="185" t="str">
        <f>IFERROR(__xludf.DUMMYFUNCTION("""COMPUTED_VALUE"""),"Medium")</f>
        <v>Medium</v>
      </c>
      <c r="J1227" s="185" t="str">
        <f>IFERROR(__xludf.DUMMYFUNCTION("""COMPUTED_VALUE"""),"Yes")</f>
        <v>Yes</v>
      </c>
      <c r="K1227" s="185"/>
      <c r="L1227" s="187">
        <f>IFERROR(__xludf.DUMMYFUNCTION("""COMPUTED_VALUE"""),1.0)</f>
        <v>1</v>
      </c>
      <c r="M1227" s="188">
        <f>IFERROR(__xludf.DUMMYFUNCTION("""COMPUTED_VALUE"""),0.0)</f>
        <v>0</v>
      </c>
      <c r="N1227" s="188">
        <f>IFERROR(__xludf.DUMMYFUNCTION("""COMPUTED_VALUE"""),0.0)</f>
        <v>0</v>
      </c>
      <c r="O1227" s="208"/>
      <c r="P1227" s="208"/>
      <c r="Q1227" s="208"/>
      <c r="R1227" s="208"/>
    </row>
    <row r="1228">
      <c r="A1228" s="185" t="str">
        <f>IFERROR(__xludf.DUMMYFUNCTION("""COMPUTED_VALUE"""),"Agency directory / review marketplace")</f>
        <v>Agency directory / review marketplace</v>
      </c>
      <c r="B1228" s="186" t="str">
        <f>IFERROR(__xludf.DUMMYFUNCTION("""COMPUTED_VALUE"""),"https://www.sortlist.de/s/display-werbung/bayern-by-de")</f>
        <v>https://www.sortlist.de/s/display-werbung/bayern-by-de</v>
      </c>
      <c r="C1228" s="185" t="str">
        <f>IFERROR(__xludf.DUMMYFUNCTION("""COMPUTED_VALUE"""),"Display Anzeigen Agentur Bayern vergleichen")</f>
        <v>Display Anzeigen Agentur Bayern vergleichen</v>
      </c>
      <c r="D1228" s="185" t="str">
        <f>IFERROR(__xludf.DUMMYFUNCTION("""COMPUTED_VALUE"""),"DE")</f>
        <v>DE</v>
      </c>
      <c r="E1228" s="185" t="str">
        <f>IFERROR(__xludf.DUMMYFUNCTION("""COMPUTED_VALUE"""),"sortlist.de")</f>
        <v>sortlist.de</v>
      </c>
      <c r="F1228" s="185" t="str">
        <f>IFERROR(__xludf.DUMMYFUNCTION("""COMPUTED_VALUE"""),"Category Page")</f>
        <v>Category Page</v>
      </c>
      <c r="G1228" s="185" t="str">
        <f>IFERROR(__xludf.DUMMYFUNCTION("""COMPUTED_VALUE"""),"CORPORATE")</f>
        <v>CORPORATE</v>
      </c>
      <c r="H1228" s="185" t="str">
        <f>IFERROR(__xludf.DUMMYFUNCTION("""COMPUTED_VALUE"""),"No")</f>
        <v>No</v>
      </c>
      <c r="I1228" s="185" t="str">
        <f>IFERROR(__xludf.DUMMYFUNCTION("""COMPUTED_VALUE"""),"Medium")</f>
        <v>Medium</v>
      </c>
      <c r="J1228" s="185" t="str">
        <f>IFERROR(__xludf.DUMMYFUNCTION("""COMPUTED_VALUE"""),"Yes")</f>
        <v>Yes</v>
      </c>
      <c r="K1228" s="185" t="str">
        <f>IFERROR(__xludf.DUMMYFUNCTION("""COMPUTED_VALUE"""),"MONSOON, Triple Whale, Northbeam, Dreamdata, Mediacharge, Loyamo")</f>
        <v>MONSOON, Triple Whale, Northbeam, Dreamdata, Mediacharge, Loyamo</v>
      </c>
      <c r="L1228" s="187">
        <f>IFERROR(__xludf.DUMMYFUNCTION("""COMPUTED_VALUE"""),1.0)</f>
        <v>1</v>
      </c>
      <c r="M1228" s="188">
        <f>IFERROR(__xludf.DUMMYFUNCTION("""COMPUTED_VALUE"""),0.0)</f>
        <v>0</v>
      </c>
      <c r="N1228" s="188">
        <f>IFERROR(__xludf.DUMMYFUNCTION("""COMPUTED_VALUE"""),0.0)</f>
        <v>0</v>
      </c>
      <c r="O1228" s="208"/>
      <c r="P1228" s="208"/>
      <c r="Q1228" s="208"/>
      <c r="R1228" s="208"/>
    </row>
    <row r="1229">
      <c r="A1229" s="185" t="str">
        <f>IFERROR(__xludf.DUMMYFUNCTION("""COMPUTED_VALUE"""),"Agency directory / review marketplace")</f>
        <v>Agency directory / review marketplace</v>
      </c>
      <c r="B1229" s="186" t="str">
        <f>IFERROR(__xludf.DUMMYFUNCTION("""COMPUTED_VALUE"""),"https://www.sortlist.de/s/display-werbung/hamburg-de")</f>
        <v>https://www.sortlist.de/s/display-werbung/hamburg-de</v>
      </c>
      <c r="C1229" s="185" t="str">
        <f>IFERROR(__xludf.DUMMYFUNCTION("""COMPUTED_VALUE"""),"Unsere 10 Besten Display Anzeigen Agenturen in Hamburg - 2026 Bewertungen")</f>
        <v>Unsere 10 Besten Display Anzeigen Agenturen in Hamburg - 2026 Bewertungen</v>
      </c>
      <c r="D1229" s="185" t="str">
        <f>IFERROR(__xludf.DUMMYFUNCTION("""COMPUTED_VALUE"""),"DE")</f>
        <v>DE</v>
      </c>
      <c r="E1229" s="185" t="str">
        <f>IFERROR(__xludf.DUMMYFUNCTION("""COMPUTED_VALUE"""),"sortlist.de")</f>
        <v>sortlist.de</v>
      </c>
      <c r="F1229" s="185" t="str">
        <f>IFERROR(__xludf.DUMMYFUNCTION("""COMPUTED_VALUE"""),"Other")</f>
        <v>Other</v>
      </c>
      <c r="G1229" s="185" t="str">
        <f>IFERROR(__xludf.DUMMYFUNCTION("""COMPUTED_VALUE"""),"CORPORATE")</f>
        <v>CORPORATE</v>
      </c>
      <c r="H1229" s="185" t="str">
        <f>IFERROR(__xludf.DUMMYFUNCTION("""COMPUTED_VALUE"""),"No")</f>
        <v>No</v>
      </c>
      <c r="I1229" s="185" t="str">
        <f>IFERROR(__xludf.DUMMYFUNCTION("""COMPUTED_VALUE"""),"Medium")</f>
        <v>Medium</v>
      </c>
      <c r="J1229" s="185" t="str">
        <f>IFERROR(__xludf.DUMMYFUNCTION("""COMPUTED_VALUE"""),"Yes")</f>
        <v>Yes</v>
      </c>
      <c r="K1229" s="185" t="str">
        <f>IFERROR(__xludf.DUMMYFUNCTION("""COMPUTED_VALUE"""),"KlickPiloten, Triple Whale, Northbeam, Dreamdata, MONSOON")</f>
        <v>KlickPiloten, Triple Whale, Northbeam, Dreamdata, MONSOON</v>
      </c>
      <c r="L1229" s="187">
        <f>IFERROR(__xludf.DUMMYFUNCTION("""COMPUTED_VALUE"""),1.0)</f>
        <v>1</v>
      </c>
      <c r="M1229" s="188">
        <f>IFERROR(__xludf.DUMMYFUNCTION("""COMPUTED_VALUE"""),0.0)</f>
        <v>0</v>
      </c>
      <c r="N1229" s="188">
        <f>IFERROR(__xludf.DUMMYFUNCTION("""COMPUTED_VALUE"""),0.0)</f>
        <v>0</v>
      </c>
      <c r="O1229" s="208"/>
      <c r="P1229" s="208"/>
      <c r="Q1229" s="208"/>
      <c r="R1229" s="208"/>
    </row>
    <row r="1230">
      <c r="A1230" s="185" t="str">
        <f>IFERROR(__xludf.DUMMYFUNCTION("""COMPUTED_VALUE"""),"Agency directory / review marketplace")</f>
        <v>Agency directory / review marketplace</v>
      </c>
      <c r="B1230" s="186" t="str">
        <f>IFERROR(__xludf.DUMMYFUNCTION("""COMPUTED_VALUE"""),"https://www.sortlist.de/s/display-werbung/hamburg-hh-de")</f>
        <v>https://www.sortlist.de/s/display-werbung/hamburg-hh-de</v>
      </c>
      <c r="C1230" s="185" t="str">
        <f>IFERROR(__xludf.DUMMYFUNCTION("""COMPUTED_VALUE"""),"Display-Advertising-Agentur Hamburg: Anbieter vergleichen")</f>
        <v>Display-Advertising-Agentur Hamburg: Anbieter vergleichen</v>
      </c>
      <c r="D1230" s="185" t="str">
        <f>IFERROR(__xludf.DUMMYFUNCTION("""COMPUTED_VALUE"""),"DE")</f>
        <v>DE</v>
      </c>
      <c r="E1230" s="185" t="str">
        <f>IFERROR(__xludf.DUMMYFUNCTION("""COMPUTED_VALUE"""),"sortlist.de")</f>
        <v>sortlist.de</v>
      </c>
      <c r="F1230" s="185" t="str">
        <f>IFERROR(__xludf.DUMMYFUNCTION("""COMPUTED_VALUE"""),"Other")</f>
        <v>Other</v>
      </c>
      <c r="G1230" s="185" t="str">
        <f>IFERROR(__xludf.DUMMYFUNCTION("""COMPUTED_VALUE"""),"CORPORATE")</f>
        <v>CORPORATE</v>
      </c>
      <c r="H1230" s="185" t="str">
        <f>IFERROR(__xludf.DUMMYFUNCTION("""COMPUTED_VALUE"""),"No")</f>
        <v>No</v>
      </c>
      <c r="I1230" s="185" t="str">
        <f>IFERROR(__xludf.DUMMYFUNCTION("""COMPUTED_VALUE"""),"Medium")</f>
        <v>Medium</v>
      </c>
      <c r="J1230" s="185" t="str">
        <f>IFERROR(__xludf.DUMMYFUNCTION("""COMPUTED_VALUE"""),"Yes")</f>
        <v>Yes</v>
      </c>
      <c r="K1230" s="185" t="str">
        <f>IFERROR(__xludf.DUMMYFUNCTION("""COMPUTED_VALUE"""),"KlickPiloten, Triple Whale, Northbeam, Dreamdata, MONSOON")</f>
        <v>KlickPiloten, Triple Whale, Northbeam, Dreamdata, MONSOON</v>
      </c>
      <c r="L1230" s="187">
        <f>IFERROR(__xludf.DUMMYFUNCTION("""COMPUTED_VALUE"""),1.0)</f>
        <v>1</v>
      </c>
      <c r="M1230" s="188">
        <f>IFERROR(__xludf.DUMMYFUNCTION("""COMPUTED_VALUE"""),0.0)</f>
        <v>0</v>
      </c>
      <c r="N1230" s="188">
        <f>IFERROR(__xludf.DUMMYFUNCTION("""COMPUTED_VALUE"""),0.0)</f>
        <v>0</v>
      </c>
      <c r="O1230" s="208"/>
      <c r="P1230" s="208"/>
      <c r="Q1230" s="208"/>
      <c r="R1230" s="208"/>
    </row>
    <row r="1231">
      <c r="A1231" s="185" t="str">
        <f>IFERROR(__xludf.DUMMYFUNCTION("""COMPUTED_VALUE"""),"Agency directory / review marketplace")</f>
        <v>Agency directory / review marketplace</v>
      </c>
      <c r="B1231" s="186" t="str">
        <f>IFERROR(__xludf.DUMMYFUNCTION("""COMPUTED_VALUE"""),"https://www.sortlist.de/s/facebook-advertising/deutschland-de")</f>
        <v>https://www.sortlist.de/s/facebook-advertising/deutschland-de</v>
      </c>
      <c r="C1231" s="185" t="str">
        <f>IFERROR(__xludf.DUMMYFUNCTION("""COMPUTED_VALUE"""),"Unsere 10 Besten Facebook-Werbung Agenturen in Deutschland - 2026 Bewertungen")</f>
        <v>Unsere 10 Besten Facebook-Werbung Agenturen in Deutschland - 2026 Bewertungen</v>
      </c>
      <c r="D1231" s="185" t="str">
        <f>IFERROR(__xludf.DUMMYFUNCTION("""COMPUTED_VALUE"""),"DE")</f>
        <v>DE</v>
      </c>
      <c r="E1231" s="185" t="str">
        <f>IFERROR(__xludf.DUMMYFUNCTION("""COMPUTED_VALUE"""),"sortlist.de")</f>
        <v>sortlist.de</v>
      </c>
      <c r="F1231" s="185" t="str">
        <f>IFERROR(__xludf.DUMMYFUNCTION("""COMPUTED_VALUE"""),"Category Page")</f>
        <v>Category Page</v>
      </c>
      <c r="G1231" s="185" t="str">
        <f>IFERROR(__xludf.DUMMYFUNCTION("""COMPUTED_VALUE"""),"CORPORATE")</f>
        <v>CORPORATE</v>
      </c>
      <c r="H1231" s="185" t="str">
        <f>IFERROR(__xludf.DUMMYFUNCTION("""COMPUTED_VALUE"""),"No")</f>
        <v>No</v>
      </c>
      <c r="I1231" s="185" t="str">
        <f>IFERROR(__xludf.DUMMYFUNCTION("""COMPUTED_VALUE"""),"Medium")</f>
        <v>Medium</v>
      </c>
      <c r="J1231" s="185" t="str">
        <f>IFERROR(__xludf.DUMMYFUNCTION("""COMPUTED_VALUE"""),"Yes")</f>
        <v>Yes</v>
      </c>
      <c r="K1231" s="185" t="str">
        <f>IFERROR(__xludf.DUMMYFUNCTION("""COMPUTED_VALUE"""),"lehof, MONSOON, Triple Whale, Northbeam, Dreamdata, PANORAMA3000")</f>
        <v>lehof, MONSOON, Triple Whale, Northbeam, Dreamdata, PANORAMA3000</v>
      </c>
      <c r="L1231" s="187">
        <f>IFERROR(__xludf.DUMMYFUNCTION("""COMPUTED_VALUE"""),1.0)</f>
        <v>1</v>
      </c>
      <c r="M1231" s="188">
        <f>IFERROR(__xludf.DUMMYFUNCTION("""COMPUTED_VALUE"""),0.0)</f>
        <v>0</v>
      </c>
      <c r="N1231" s="188">
        <f>IFERROR(__xludf.DUMMYFUNCTION("""COMPUTED_VALUE"""),0.0)</f>
        <v>0</v>
      </c>
      <c r="O1231" s="208"/>
      <c r="P1231" s="208"/>
      <c r="Q1231" s="208"/>
      <c r="R1231" s="208"/>
    </row>
    <row r="1232">
      <c r="A1232" s="185" t="str">
        <f>IFERROR(__xludf.DUMMYFUNCTION("""COMPUTED_VALUE"""),"Agency directory / review marketplace")</f>
        <v>Agency directory / review marketplace</v>
      </c>
      <c r="B1232" s="186" t="str">
        <f>IFERROR(__xludf.DUMMYFUNCTION("""COMPUTED_VALUE"""),"https://www.sortlist.de/s/linkedin-ads/deutschland-de")</f>
        <v>https://www.sortlist.de/s/linkedin-ads/deutschland-de</v>
      </c>
      <c r="C1232" s="185" t="str">
        <f>IFERROR(__xludf.DUMMYFUNCTION("""COMPUTED_VALUE"""),"Unsere 10 Besten LinkedIn Ads Agenturen in Deutschland - 2026 Bewertungen")</f>
        <v>Unsere 10 Besten LinkedIn Ads Agenturen in Deutschland - 2026 Bewertungen</v>
      </c>
      <c r="D1232" s="185" t="str">
        <f>IFERROR(__xludf.DUMMYFUNCTION("""COMPUTED_VALUE"""),"DE")</f>
        <v>DE</v>
      </c>
      <c r="E1232" s="185" t="str">
        <f>IFERROR(__xludf.DUMMYFUNCTION("""COMPUTED_VALUE"""),"sortlist.de")</f>
        <v>sortlist.de</v>
      </c>
      <c r="F1232" s="185" t="str">
        <f>IFERROR(__xludf.DUMMYFUNCTION("""COMPUTED_VALUE"""),"Category Page")</f>
        <v>Category Page</v>
      </c>
      <c r="G1232" s="185" t="str">
        <f>IFERROR(__xludf.DUMMYFUNCTION("""COMPUTED_VALUE"""),"CORPORATE")</f>
        <v>CORPORATE</v>
      </c>
      <c r="H1232" s="185" t="str">
        <f>IFERROR(__xludf.DUMMYFUNCTION("""COMPUTED_VALUE"""),"No")</f>
        <v>No</v>
      </c>
      <c r="I1232" s="185" t="str">
        <f>IFERROR(__xludf.DUMMYFUNCTION("""COMPUTED_VALUE"""),"Medium")</f>
        <v>Medium</v>
      </c>
      <c r="J1232" s="185" t="str">
        <f>IFERROR(__xludf.DUMMYFUNCTION("""COMPUTED_VALUE"""),"Yes")</f>
        <v>Yes</v>
      </c>
      <c r="K1232" s="185" t="str">
        <f>IFERROR(__xludf.DUMMYFUNCTION("""COMPUTED_VALUE"""),"MONSOON")</f>
        <v>MONSOON</v>
      </c>
      <c r="L1232" s="187">
        <f>IFERROR(__xludf.DUMMYFUNCTION("""COMPUTED_VALUE"""),1.0)</f>
        <v>1</v>
      </c>
      <c r="M1232" s="188">
        <f>IFERROR(__xludf.DUMMYFUNCTION("""COMPUTED_VALUE"""),0.0)</f>
        <v>0</v>
      </c>
      <c r="N1232" s="188">
        <f>IFERROR(__xludf.DUMMYFUNCTION("""COMPUTED_VALUE"""),0.0)</f>
        <v>0</v>
      </c>
      <c r="O1232" s="208"/>
      <c r="P1232" s="208"/>
      <c r="Q1232" s="208"/>
      <c r="R1232" s="208"/>
    </row>
    <row r="1233">
      <c r="A1233" s="185" t="str">
        <f>IFERROR(__xludf.DUMMYFUNCTION("""COMPUTED_VALUE"""),"Agency directory / review marketplace")</f>
        <v>Agency directory / review marketplace</v>
      </c>
      <c r="B1233" s="186" t="str">
        <f>IFERROR(__xludf.DUMMYFUNCTION("""COMPUTED_VALUE"""),"https://www.sortlist.de/s/marketing-analytik/hamburg-de")</f>
        <v>https://www.sortlist.de/s/marketing-analytik/hamburg-de</v>
      </c>
      <c r="C1233" s="185" t="str">
        <f>IFERROR(__xludf.DUMMYFUNCTION("""COMPUTED_VALUE"""),"Marketing Analytik Agentur Hamburg vergleichen")</f>
        <v>Marketing Analytik Agentur Hamburg vergleichen</v>
      </c>
      <c r="D1233" s="185" t="str">
        <f>IFERROR(__xludf.DUMMYFUNCTION("""COMPUTED_VALUE"""),"DE")</f>
        <v>DE</v>
      </c>
      <c r="E1233" s="185" t="str">
        <f>IFERROR(__xludf.DUMMYFUNCTION("""COMPUTED_VALUE"""),"sortlist.de")</f>
        <v>sortlist.de</v>
      </c>
      <c r="F1233" s="185" t="str">
        <f>IFERROR(__xludf.DUMMYFUNCTION("""COMPUTED_VALUE"""),"Category Page")</f>
        <v>Category Page</v>
      </c>
      <c r="G1233" s="185" t="str">
        <f>IFERROR(__xludf.DUMMYFUNCTION("""COMPUTED_VALUE"""),"CORPORATE")</f>
        <v>CORPORATE</v>
      </c>
      <c r="H1233" s="185" t="str">
        <f>IFERROR(__xludf.DUMMYFUNCTION("""COMPUTED_VALUE"""),"No")</f>
        <v>No</v>
      </c>
      <c r="I1233" s="185" t="str">
        <f>IFERROR(__xludf.DUMMYFUNCTION("""COMPUTED_VALUE"""),"Medium")</f>
        <v>Medium</v>
      </c>
      <c r="J1233" s="185" t="str">
        <f>IFERROR(__xludf.DUMMYFUNCTION("""COMPUTED_VALUE"""),"Yes")</f>
        <v>Yes</v>
      </c>
      <c r="K1233" s="185" t="str">
        <f>IFERROR(__xludf.DUMMYFUNCTION("""COMPUTED_VALUE"""),"lehof, MONSOON, KlickPiloten")</f>
        <v>lehof, MONSOON, KlickPiloten</v>
      </c>
      <c r="L1233" s="187">
        <f>IFERROR(__xludf.DUMMYFUNCTION("""COMPUTED_VALUE"""),1.0)</f>
        <v>1</v>
      </c>
      <c r="M1233" s="188">
        <f>IFERROR(__xludf.DUMMYFUNCTION("""COMPUTED_VALUE"""),0.0)</f>
        <v>0</v>
      </c>
      <c r="N1233" s="188">
        <f>IFERROR(__xludf.DUMMYFUNCTION("""COMPUTED_VALUE"""),0.0)</f>
        <v>0</v>
      </c>
      <c r="O1233" s="208"/>
      <c r="P1233" s="208"/>
      <c r="Q1233" s="208"/>
      <c r="R1233" s="208"/>
    </row>
    <row r="1234">
      <c r="A1234" s="185" t="str">
        <f>IFERROR(__xludf.DUMMYFUNCTION("""COMPUTED_VALUE"""),"Agency directory / review marketplace")</f>
        <v>Agency directory / review marketplace</v>
      </c>
      <c r="B1234" s="186" t="str">
        <f>IFERROR(__xludf.DUMMYFUNCTION("""COMPUTED_VALUE"""),"https://www.sortlist.de/s/pay-per-click/deutschland-de")</f>
        <v>https://www.sortlist.de/s/pay-per-click/deutschland-de</v>
      </c>
      <c r="C1234" s="185" t="str">
        <f>IFERROR(__xludf.DUMMYFUNCTION("""COMPUTED_VALUE"""),"Unsere 10 Besten PPC Marketing Agenturen in Deutschland - 2026 Bewertungen")</f>
        <v>Unsere 10 Besten PPC Marketing Agenturen in Deutschland - 2026 Bewertungen</v>
      </c>
      <c r="D1234" s="185" t="str">
        <f>IFERROR(__xludf.DUMMYFUNCTION("""COMPUTED_VALUE"""),"DE")</f>
        <v>DE</v>
      </c>
      <c r="E1234" s="185" t="str">
        <f>IFERROR(__xludf.DUMMYFUNCTION("""COMPUTED_VALUE"""),"sortlist.de")</f>
        <v>sortlist.de</v>
      </c>
      <c r="F1234" s="185" t="str">
        <f>IFERROR(__xludf.DUMMYFUNCTION("""COMPUTED_VALUE"""),"Category Page")</f>
        <v>Category Page</v>
      </c>
      <c r="G1234" s="185" t="str">
        <f>IFERROR(__xludf.DUMMYFUNCTION("""COMPUTED_VALUE"""),"CORPORATE")</f>
        <v>CORPORATE</v>
      </c>
      <c r="H1234" s="185" t="str">
        <f>IFERROR(__xludf.DUMMYFUNCTION("""COMPUTED_VALUE"""),"No")</f>
        <v>No</v>
      </c>
      <c r="I1234" s="185" t="str">
        <f>IFERROR(__xludf.DUMMYFUNCTION("""COMPUTED_VALUE"""),"Medium")</f>
        <v>Medium</v>
      </c>
      <c r="J1234" s="185" t="str">
        <f>IFERROR(__xludf.DUMMYFUNCTION("""COMPUTED_VALUE"""),"Yes")</f>
        <v>Yes</v>
      </c>
      <c r="K1234" s="185" t="str">
        <f>IFERROR(__xludf.DUMMYFUNCTION("""COMPUTED_VALUE"""),"MONSOON, Mediacharge")</f>
        <v>MONSOON, Mediacharge</v>
      </c>
      <c r="L1234" s="187">
        <f>IFERROR(__xludf.DUMMYFUNCTION("""COMPUTED_VALUE"""),1.0)</f>
        <v>1</v>
      </c>
      <c r="M1234" s="188">
        <f>IFERROR(__xludf.DUMMYFUNCTION("""COMPUTED_VALUE"""),0.0)</f>
        <v>0</v>
      </c>
      <c r="N1234" s="188">
        <f>IFERROR(__xludf.DUMMYFUNCTION("""COMPUTED_VALUE"""),4.0)</f>
        <v>4</v>
      </c>
      <c r="O1234" s="208"/>
      <c r="P1234" s="208"/>
      <c r="Q1234" s="208"/>
      <c r="R1234" s="208"/>
    </row>
    <row r="1235">
      <c r="A1235" s="185" t="str">
        <f>IFERROR(__xludf.DUMMYFUNCTION("""COMPUTED_VALUE"""),"Agency directory / review marketplace")</f>
        <v>Agency directory / review marketplace</v>
      </c>
      <c r="B1235" s="186" t="str">
        <f>IFERROR(__xludf.DUMMYFUNCTION("""COMPUTED_VALUE"""),"https://www.sortlist.de/s/programmatic-advertising/deutschland-de?page=2")</f>
        <v>https://www.sortlist.de/s/programmatic-advertising/deutschland-de?page=2</v>
      </c>
      <c r="C1235" s="185" t="str">
        <f>IFERROR(__xludf.DUMMYFUNCTION("""COMPUTED_VALUE"""),"Unsere 10 Besten Programmatic Advertising Agenturen in Deutschland - 2026 Bewertungen – Seite 2")</f>
        <v>Unsere 10 Besten Programmatic Advertising Agenturen in Deutschland - 2026 Bewertungen – Seite 2</v>
      </c>
      <c r="D1235" s="185" t="str">
        <f>IFERROR(__xludf.DUMMYFUNCTION("""COMPUTED_VALUE"""),"DE")</f>
        <v>DE</v>
      </c>
      <c r="E1235" s="185" t="str">
        <f>IFERROR(__xludf.DUMMYFUNCTION("""COMPUTED_VALUE"""),"sortlist.de")</f>
        <v>sortlist.de</v>
      </c>
      <c r="F1235" s="185" t="str">
        <f>IFERROR(__xludf.DUMMYFUNCTION("""COMPUTED_VALUE"""),"Other")</f>
        <v>Other</v>
      </c>
      <c r="G1235" s="185" t="str">
        <f>IFERROR(__xludf.DUMMYFUNCTION("""COMPUTED_VALUE"""),"CORPORATE")</f>
        <v>CORPORATE</v>
      </c>
      <c r="H1235" s="185" t="str">
        <f>IFERROR(__xludf.DUMMYFUNCTION("""COMPUTED_VALUE"""),"No")</f>
        <v>No</v>
      </c>
      <c r="I1235" s="185" t="str">
        <f>IFERROR(__xludf.DUMMYFUNCTION("""COMPUTED_VALUE"""),"Medium")</f>
        <v>Medium</v>
      </c>
      <c r="J1235" s="185" t="str">
        <f>IFERROR(__xludf.DUMMYFUNCTION("""COMPUTED_VALUE"""),"Yes")</f>
        <v>Yes</v>
      </c>
      <c r="K1235" s="185" t="str">
        <f>IFERROR(__xludf.DUMMYFUNCTION("""COMPUTED_VALUE"""),"lehof, MONSOON, KlickPiloten, Medialabel, morefire, Think11, Haus, Peak Ace")</f>
        <v>lehof, MONSOON, KlickPiloten, Medialabel, morefire, Think11, Haus, Peak Ace</v>
      </c>
      <c r="L1235" s="187">
        <f>IFERROR(__xludf.DUMMYFUNCTION("""COMPUTED_VALUE"""),1.0)</f>
        <v>1</v>
      </c>
      <c r="M1235" s="188">
        <f>IFERROR(__xludf.DUMMYFUNCTION("""COMPUTED_VALUE"""),0.0)</f>
        <v>0</v>
      </c>
      <c r="N1235" s="188">
        <f>IFERROR(__xludf.DUMMYFUNCTION("""COMPUTED_VALUE"""),0.0)</f>
        <v>0</v>
      </c>
      <c r="O1235" s="208"/>
      <c r="P1235" s="208"/>
      <c r="Q1235" s="208"/>
      <c r="R1235" s="208"/>
    </row>
    <row r="1236">
      <c r="A1236" s="185" t="str">
        <f>IFERROR(__xludf.DUMMYFUNCTION("""COMPUTED_VALUE"""),"Agency directory / review marketplace")</f>
        <v>Agency directory / review marketplace</v>
      </c>
      <c r="B1236" s="186" t="str">
        <f>IFERROR(__xludf.DUMMYFUNCTION("""COMPUTED_VALUE"""),"https://www.sortlist.de/s/tiktok/deutschland-de")</f>
        <v>https://www.sortlist.de/s/tiktok/deutschland-de</v>
      </c>
      <c r="C1236" s="185" t="str">
        <f>IFERROR(__xludf.DUMMYFUNCTION("""COMPUTED_VALUE"""),"TikTok Agentur Deutschland 2026 – Die 11 Besten im Vergleich")</f>
        <v>TikTok Agentur Deutschland 2026 – Die 11 Besten im Vergleich</v>
      </c>
      <c r="D1236" s="185" t="str">
        <f>IFERROR(__xludf.DUMMYFUNCTION("""COMPUTED_VALUE"""),"DE")</f>
        <v>DE</v>
      </c>
      <c r="E1236" s="185" t="str">
        <f>IFERROR(__xludf.DUMMYFUNCTION("""COMPUTED_VALUE"""),"sortlist.de")</f>
        <v>sortlist.de</v>
      </c>
      <c r="F1236" s="185" t="str">
        <f>IFERROR(__xludf.DUMMYFUNCTION("""COMPUTED_VALUE"""),"Category Page")</f>
        <v>Category Page</v>
      </c>
      <c r="G1236" s="185" t="str">
        <f>IFERROR(__xludf.DUMMYFUNCTION("""COMPUTED_VALUE"""),"CORPORATE")</f>
        <v>CORPORATE</v>
      </c>
      <c r="H1236" s="185" t="str">
        <f>IFERROR(__xludf.DUMMYFUNCTION("""COMPUTED_VALUE"""),"No")</f>
        <v>No</v>
      </c>
      <c r="I1236" s="185" t="str">
        <f>IFERROR(__xludf.DUMMYFUNCTION("""COMPUTED_VALUE"""),"Medium")</f>
        <v>Medium</v>
      </c>
      <c r="J1236" s="185" t="str">
        <f>IFERROR(__xludf.DUMMYFUNCTION("""COMPUTED_VALUE"""),"Yes")</f>
        <v>Yes</v>
      </c>
      <c r="K1236" s="185" t="str">
        <f>IFERROR(__xludf.DUMMYFUNCTION("""COMPUTED_VALUE"""),"PANORAMA3000, MONSOON, lehof, Loyamo")</f>
        <v>PANORAMA3000, MONSOON, lehof, Loyamo</v>
      </c>
      <c r="L1236" s="187">
        <f>IFERROR(__xludf.DUMMYFUNCTION("""COMPUTED_VALUE"""),1.0)</f>
        <v>1</v>
      </c>
      <c r="M1236" s="188">
        <f>IFERROR(__xludf.DUMMYFUNCTION("""COMPUTED_VALUE"""),0.0)</f>
        <v>0</v>
      </c>
      <c r="N1236" s="188">
        <f>IFERROR(__xludf.DUMMYFUNCTION("""COMPUTED_VALUE"""),0.0)</f>
        <v>0</v>
      </c>
      <c r="O1236" s="208"/>
      <c r="P1236" s="208"/>
      <c r="Q1236" s="208"/>
      <c r="R1236" s="208"/>
    </row>
    <row r="1237">
      <c r="A1237" s="185" t="str">
        <f>IFERROR(__xludf.DUMMYFUNCTION("""COMPUTED_VALUE"""),"Agency directory / review marketplace")</f>
        <v>Agency directory / review marketplace</v>
      </c>
      <c r="B1237" s="186" t="str">
        <f>IFERROR(__xludf.DUMMYFUNCTION("""COMPUTED_VALUE"""),"https://www.sortlist.de/s/tiktok/deutschland-de?page=2")</f>
        <v>https://www.sortlist.de/s/tiktok/deutschland-de?page=2</v>
      </c>
      <c r="C1237" s="185" t="str">
        <f>IFERROR(__xludf.DUMMYFUNCTION("""COMPUTED_VALUE"""),"TikTok Agentur Deutschland 2026 – Die 11 Besten im Vergleich – Seite 2")</f>
        <v>TikTok Agentur Deutschland 2026 – Die 11 Besten im Vergleich – Seite 2</v>
      </c>
      <c r="D1237" s="185" t="str">
        <f>IFERROR(__xludf.DUMMYFUNCTION("""COMPUTED_VALUE"""),"DE")</f>
        <v>DE</v>
      </c>
      <c r="E1237" s="185" t="str">
        <f>IFERROR(__xludf.DUMMYFUNCTION("""COMPUTED_VALUE"""),"sortlist.de")</f>
        <v>sortlist.de</v>
      </c>
      <c r="F1237" s="185" t="str">
        <f>IFERROR(__xludf.DUMMYFUNCTION("""COMPUTED_VALUE"""),"Category Page")</f>
        <v>Category Page</v>
      </c>
      <c r="G1237" s="185" t="str">
        <f>IFERROR(__xludf.DUMMYFUNCTION("""COMPUTED_VALUE"""),"CORPORATE")</f>
        <v>CORPORATE</v>
      </c>
      <c r="H1237" s="185" t="str">
        <f>IFERROR(__xludf.DUMMYFUNCTION("""COMPUTED_VALUE"""),"No")</f>
        <v>No</v>
      </c>
      <c r="I1237" s="185" t="str">
        <f>IFERROR(__xludf.DUMMYFUNCTION("""COMPUTED_VALUE"""),"Medium")</f>
        <v>Medium</v>
      </c>
      <c r="J1237" s="185" t="str">
        <f>IFERROR(__xludf.DUMMYFUNCTION("""COMPUTED_VALUE"""),"Yes")</f>
        <v>Yes</v>
      </c>
      <c r="K1237" s="185" t="str">
        <f>IFERROR(__xludf.DUMMYFUNCTION("""COMPUTED_VALUE"""),"PANORAMA3000, Pilot")</f>
        <v>PANORAMA3000, Pilot</v>
      </c>
      <c r="L1237" s="187">
        <f>IFERROR(__xludf.DUMMYFUNCTION("""COMPUTED_VALUE"""),1.0)</f>
        <v>1</v>
      </c>
      <c r="M1237" s="188">
        <f>IFERROR(__xludf.DUMMYFUNCTION("""COMPUTED_VALUE"""),0.0)</f>
        <v>0</v>
      </c>
      <c r="N1237" s="188">
        <f>IFERROR(__xludf.DUMMYFUNCTION("""COMPUTED_VALUE"""),0.0)</f>
        <v>0</v>
      </c>
      <c r="O1237" s="208"/>
      <c r="P1237" s="208"/>
      <c r="Q1237" s="208"/>
      <c r="R1237" s="208"/>
    </row>
    <row r="1238">
      <c r="A1238" s="185" t="str">
        <f>IFERROR(__xludf.DUMMYFUNCTION("""COMPUTED_VALUE"""),"Agency directory / review marketplace")</f>
        <v>Agency directory / review marketplace</v>
      </c>
      <c r="B1238" s="186" t="str">
        <f>IFERROR(__xludf.DUMMYFUNCTION("""COMPUTED_VALUE"""),"https://www.sortlist.de/social-media/deutschland-de")</f>
        <v>https://www.sortlist.de/social-media/deutschland-de</v>
      </c>
      <c r="C1238" s="185" t="str">
        <f>IFERROR(__xludf.DUMMYFUNCTION("""COMPUTED_VALUE"""),"Social-Media Agentur Deutschland 2026 – Die 17 Besten im Vergleich")</f>
        <v>Social-Media Agentur Deutschland 2026 – Die 17 Besten im Vergleich</v>
      </c>
      <c r="D1238" s="185" t="str">
        <f>IFERROR(__xludf.DUMMYFUNCTION("""COMPUTED_VALUE"""),"DE")</f>
        <v>DE</v>
      </c>
      <c r="E1238" s="185" t="str">
        <f>IFERROR(__xludf.DUMMYFUNCTION("""COMPUTED_VALUE"""),"sortlist.de")</f>
        <v>sortlist.de</v>
      </c>
      <c r="F1238" s="185" t="str">
        <f>IFERROR(__xludf.DUMMYFUNCTION("""COMPUTED_VALUE"""),"Category Page")</f>
        <v>Category Page</v>
      </c>
      <c r="G1238" s="185" t="str">
        <f>IFERROR(__xludf.DUMMYFUNCTION("""COMPUTED_VALUE"""),"CORPORATE")</f>
        <v>CORPORATE</v>
      </c>
      <c r="H1238" s="185" t="str">
        <f>IFERROR(__xludf.DUMMYFUNCTION("""COMPUTED_VALUE"""),"No")</f>
        <v>No</v>
      </c>
      <c r="I1238" s="185" t="str">
        <f>IFERROR(__xludf.DUMMYFUNCTION("""COMPUTED_VALUE"""),"Medium")</f>
        <v>Medium</v>
      </c>
      <c r="J1238" s="185" t="str">
        <f>IFERROR(__xludf.DUMMYFUNCTION("""COMPUTED_VALUE"""),"Yes")</f>
        <v>Yes</v>
      </c>
      <c r="K1238" s="185" t="str">
        <f>IFERROR(__xludf.DUMMYFUNCTION("""COMPUTED_VALUE"""),"PANORAMA3000, lehof")</f>
        <v>PANORAMA3000, lehof</v>
      </c>
      <c r="L1238" s="187">
        <f>IFERROR(__xludf.DUMMYFUNCTION("""COMPUTED_VALUE"""),1.0)</f>
        <v>1</v>
      </c>
      <c r="M1238" s="188">
        <f>IFERROR(__xludf.DUMMYFUNCTION("""COMPUTED_VALUE"""),0.0)</f>
        <v>0</v>
      </c>
      <c r="N1238" s="188">
        <f>IFERROR(__xludf.DUMMYFUNCTION("""COMPUTED_VALUE"""),0.0)</f>
        <v>0</v>
      </c>
      <c r="O1238" s="208"/>
      <c r="P1238" s="208"/>
      <c r="Q1238" s="208"/>
      <c r="R1238" s="208"/>
    </row>
    <row r="1239">
      <c r="A1239" s="185" t="str">
        <f>IFERROR(__xludf.DUMMYFUNCTION("""COMPUTED_VALUE"""),"Official partner / certification ecosystem")</f>
        <v>Official partner / certification ecosystem</v>
      </c>
      <c r="B1239" s="186" t="str">
        <f>IFERROR(__xludf.DUMMYFUNCTION("""COMPUTED_VALUE"""),"https://support.google.com/google-ads/answer/11410677?hl=en")</f>
        <v>https://support.google.com/google-ads/answer/11410677?hl=en</v>
      </c>
      <c r="C1239" s="185" t="str">
        <f>IFERROR(__xludf.DUMMYFUNCTION("""COMPUTED_VALUE"""),"Google Partners directory - Google Ads Help")</f>
        <v>Google Partners directory - Google Ads Help</v>
      </c>
      <c r="D1239" s="185" t="str">
        <f>IFERROR(__xludf.DUMMYFUNCTION("""COMPUTED_VALUE"""),"DE")</f>
        <v>DE</v>
      </c>
      <c r="E1239" s="185" t="str">
        <f>IFERROR(__xludf.DUMMYFUNCTION("""COMPUTED_VALUE"""),"google.com")</f>
        <v>google.com</v>
      </c>
      <c r="F1239" s="185" t="str">
        <f>IFERROR(__xludf.DUMMYFUNCTION("""COMPUTED_VALUE"""),"How-To Guide")</f>
        <v>How-To Guide</v>
      </c>
      <c r="G1239" s="185" t="str">
        <f>IFERROR(__xludf.DUMMYFUNCTION("""COMPUTED_VALUE"""),"OTHER")</f>
        <v>OTHER</v>
      </c>
      <c r="H1239" s="185" t="str">
        <f>IFERROR(__xludf.DUMMYFUNCTION("""COMPUTED_VALUE"""),"No")</f>
        <v>No</v>
      </c>
      <c r="I1239" s="185" t="str">
        <f>IFERROR(__xludf.DUMMYFUNCTION("""COMPUTED_VALUE"""),"High")</f>
        <v>High</v>
      </c>
      <c r="J1239" s="185" t="str">
        <f>IFERROR(__xludf.DUMMYFUNCTION("""COMPUTED_VALUE"""),"Yes - priority")</f>
        <v>Yes - priority</v>
      </c>
      <c r="K1239" s="185"/>
      <c r="L1239" s="187">
        <f>IFERROR(__xludf.DUMMYFUNCTION("""COMPUTED_VALUE"""),1.0)</f>
        <v>1</v>
      </c>
      <c r="M1239" s="188">
        <f>IFERROR(__xludf.DUMMYFUNCTION("""COMPUTED_VALUE"""),0.0)</f>
        <v>0</v>
      </c>
      <c r="N1239" s="188">
        <f>IFERROR(__xludf.DUMMYFUNCTION("""COMPUTED_VALUE"""),0.0)</f>
        <v>0</v>
      </c>
      <c r="O1239" s="208"/>
      <c r="P1239" s="208"/>
      <c r="Q1239" s="208"/>
      <c r="R1239" s="208"/>
    </row>
    <row r="1240">
      <c r="A1240" s="185" t="str">
        <f>IFERROR(__xludf.DUMMYFUNCTION("""COMPUTED_VALUE"""),"Official partner / certification ecosystem")</f>
        <v>Official partner / certification ecosystem</v>
      </c>
      <c r="B1240" s="186" t="str">
        <f>IFERROR(__xludf.DUMMYFUNCTION("""COMPUTED_VALUE"""),"https://support.google.com/google-ads/answer/9029203?hl=en")</f>
        <v>https://support.google.com/google-ads/answer/9029203?hl=en</v>
      </c>
      <c r="C1240" s="185" t="str">
        <f>IFERROR(__xludf.DUMMYFUNCTION("""COMPUTED_VALUE"""),"About the Google Partners program")</f>
        <v>About the Google Partners program</v>
      </c>
      <c r="D1240" s="185" t="str">
        <f>IFERROR(__xludf.DUMMYFUNCTION("""COMPUTED_VALUE"""),"DE")</f>
        <v>DE</v>
      </c>
      <c r="E1240" s="185" t="str">
        <f>IFERROR(__xludf.DUMMYFUNCTION("""COMPUTED_VALUE"""),"google.com")</f>
        <v>google.com</v>
      </c>
      <c r="F1240" s="185" t="str">
        <f>IFERROR(__xludf.DUMMYFUNCTION("""COMPUTED_VALUE"""),"Article")</f>
        <v>Article</v>
      </c>
      <c r="G1240" s="185" t="str">
        <f>IFERROR(__xludf.DUMMYFUNCTION("""COMPUTED_VALUE"""),"OTHER")</f>
        <v>OTHER</v>
      </c>
      <c r="H1240" s="185" t="str">
        <f>IFERROR(__xludf.DUMMYFUNCTION("""COMPUTED_VALUE"""),"No")</f>
        <v>No</v>
      </c>
      <c r="I1240" s="185" t="str">
        <f>IFERROR(__xludf.DUMMYFUNCTION("""COMPUTED_VALUE"""),"High")</f>
        <v>High</v>
      </c>
      <c r="J1240" s="185" t="str">
        <f>IFERROR(__xludf.DUMMYFUNCTION("""COMPUTED_VALUE"""),"Yes - priority")</f>
        <v>Yes - priority</v>
      </c>
      <c r="K1240" s="185"/>
      <c r="L1240" s="187">
        <f>IFERROR(__xludf.DUMMYFUNCTION("""COMPUTED_VALUE"""),1.0)</f>
        <v>1</v>
      </c>
      <c r="M1240" s="188">
        <f>IFERROR(__xludf.DUMMYFUNCTION("""COMPUTED_VALUE"""),0.0)</f>
        <v>0</v>
      </c>
      <c r="N1240" s="188">
        <f>IFERROR(__xludf.DUMMYFUNCTION("""COMPUTED_VALUE"""),1.0)</f>
        <v>1</v>
      </c>
      <c r="O1240" s="208"/>
      <c r="P1240" s="208"/>
      <c r="Q1240" s="208"/>
      <c r="R1240" s="208"/>
    </row>
    <row r="1241">
      <c r="A1241" s="185" t="str">
        <f>IFERROR(__xludf.DUMMYFUNCTION("""COMPUTED_VALUE"""),"Official partner / certification ecosystem")</f>
        <v>Official partner / certification ecosystem</v>
      </c>
      <c r="B1241" s="186" t="str">
        <f>IFERROR(__xludf.DUMMYFUNCTION("""COMPUTED_VALUE"""),"https://support.google.com/google-ads/answer/9702452?hl=de")</f>
        <v>https://support.google.com/google-ads/answer/9702452?hl=de</v>
      </c>
      <c r="C1241" s="185" t="str">
        <f>IFERROR(__xludf.DUMMYFUNCTION("""COMPUTED_VALUE"""),"Google Partner oder Premium-Partner werden")</f>
        <v>Google Partner oder Premium-Partner werden</v>
      </c>
      <c r="D1241" s="185" t="str">
        <f>IFERROR(__xludf.DUMMYFUNCTION("""COMPUTED_VALUE"""),"DE")</f>
        <v>DE</v>
      </c>
      <c r="E1241" s="185" t="str">
        <f>IFERROR(__xludf.DUMMYFUNCTION("""COMPUTED_VALUE"""),"google.com")</f>
        <v>google.com</v>
      </c>
      <c r="F1241" s="185" t="str">
        <f>IFERROR(__xludf.DUMMYFUNCTION("""COMPUTED_VALUE"""),"How-To Guide")</f>
        <v>How-To Guide</v>
      </c>
      <c r="G1241" s="185" t="str">
        <f>IFERROR(__xludf.DUMMYFUNCTION("""COMPUTED_VALUE"""),"OTHER")</f>
        <v>OTHER</v>
      </c>
      <c r="H1241" s="185" t="str">
        <f>IFERROR(__xludf.DUMMYFUNCTION("""COMPUTED_VALUE"""),"No")</f>
        <v>No</v>
      </c>
      <c r="I1241" s="185" t="str">
        <f>IFERROR(__xludf.DUMMYFUNCTION("""COMPUTED_VALUE"""),"High")</f>
        <v>High</v>
      </c>
      <c r="J1241" s="185" t="str">
        <f>IFERROR(__xludf.DUMMYFUNCTION("""COMPUTED_VALUE"""),"Yes - priority")</f>
        <v>Yes - priority</v>
      </c>
      <c r="K1241" s="185"/>
      <c r="L1241" s="187">
        <f>IFERROR(__xludf.DUMMYFUNCTION("""COMPUTED_VALUE"""),1.0)</f>
        <v>1</v>
      </c>
      <c r="M1241" s="188">
        <f>IFERROR(__xludf.DUMMYFUNCTION("""COMPUTED_VALUE"""),0.0)</f>
        <v>0</v>
      </c>
      <c r="N1241" s="188">
        <f>IFERROR(__xludf.DUMMYFUNCTION("""COMPUTED_VALUE"""),1.0)</f>
        <v>1</v>
      </c>
      <c r="O1241" s="208"/>
      <c r="P1241" s="208"/>
      <c r="Q1241" s="208"/>
      <c r="R1241" s="208"/>
    </row>
    <row r="1242">
      <c r="A1242" s="185" t="str">
        <f>IFERROR(__xludf.DUMMYFUNCTION("""COMPUTED_VALUE"""),"Official partner / certification ecosystem")</f>
        <v>Official partner / certification ecosystem</v>
      </c>
      <c r="B1242" s="186" t="str">
        <f>IFERROR(__xludf.DUMMYFUNCTION("""COMPUTED_VALUE"""),"https://support.google.com/tagmanager/answer/7237700?hl=en")</f>
        <v>https://support.google.com/tagmanager/answer/7237700?hl=en</v>
      </c>
      <c r="C1242" s="185" t="str">
        <f>IFERROR(__xludf.DUMMYFUNCTION("""COMPUTED_VALUE"""),"Google Marketing Platform Partners - Tag Manager Help")</f>
        <v>Google Marketing Platform Partners - Tag Manager Help</v>
      </c>
      <c r="D1242" s="185" t="str">
        <f>IFERROR(__xludf.DUMMYFUNCTION("""COMPUTED_VALUE"""),"DE")</f>
        <v>DE</v>
      </c>
      <c r="E1242" s="185" t="str">
        <f>IFERROR(__xludf.DUMMYFUNCTION("""COMPUTED_VALUE"""),"google.com")</f>
        <v>google.com</v>
      </c>
      <c r="F1242" s="185" t="str">
        <f>IFERROR(__xludf.DUMMYFUNCTION("""COMPUTED_VALUE"""),"Other")</f>
        <v>Other</v>
      </c>
      <c r="G1242" s="185" t="str">
        <f>IFERROR(__xludf.DUMMYFUNCTION("""COMPUTED_VALUE"""),"OTHER")</f>
        <v>OTHER</v>
      </c>
      <c r="H1242" s="185" t="str">
        <f>IFERROR(__xludf.DUMMYFUNCTION("""COMPUTED_VALUE"""),"No")</f>
        <v>No</v>
      </c>
      <c r="I1242" s="185" t="str">
        <f>IFERROR(__xludf.DUMMYFUNCTION("""COMPUTED_VALUE"""),"High")</f>
        <v>High</v>
      </c>
      <c r="J1242" s="185" t="str">
        <f>IFERROR(__xludf.DUMMYFUNCTION("""COMPUTED_VALUE"""),"Yes - priority")</f>
        <v>Yes - priority</v>
      </c>
      <c r="K1242" s="185"/>
      <c r="L1242" s="187">
        <f>IFERROR(__xludf.DUMMYFUNCTION("""COMPUTED_VALUE"""),1.0)</f>
        <v>1</v>
      </c>
      <c r="M1242" s="188">
        <f>IFERROR(__xludf.DUMMYFUNCTION("""COMPUTED_VALUE"""),0.0)</f>
        <v>0</v>
      </c>
      <c r="N1242" s="188">
        <f>IFERROR(__xludf.DUMMYFUNCTION("""COMPUTED_VALUE"""),0.0)</f>
        <v>0</v>
      </c>
      <c r="O1242" s="208"/>
      <c r="P1242" s="208"/>
      <c r="Q1242" s="208"/>
      <c r="R1242" s="208"/>
    </row>
    <row r="1243">
      <c r="A1243" s="185" t="str">
        <f>IFERROR(__xludf.DUMMYFUNCTION("""COMPUTED_VALUE"""),"Agency directory / review marketplace")</f>
        <v>Agency directory / review marketplace</v>
      </c>
      <c r="B1243" s="186" t="str">
        <f>IFERROR(__xludf.DUMMYFUNCTION("""COMPUTED_VALUE"""),"https://techbehemoths.com/companies/outdoor-advertising/germany")</f>
        <v>https://techbehemoths.com/companies/outdoor-advertising/germany</v>
      </c>
      <c r="C1243" s="185" t="str">
        <f>IFERROR(__xludf.DUMMYFUNCTION("""COMPUTED_VALUE"""),"Top 20+ Outdoor Advertising Agencies in Germany (2026) - TechBehemoths")</f>
        <v>Top 20+ Outdoor Advertising Agencies in Germany (2026) - TechBehemoths</v>
      </c>
      <c r="D1243" s="185" t="str">
        <f>IFERROR(__xludf.DUMMYFUNCTION("""COMPUTED_VALUE"""),"DE")</f>
        <v>DE</v>
      </c>
      <c r="E1243" s="185" t="str">
        <f>IFERROR(__xludf.DUMMYFUNCTION("""COMPUTED_VALUE"""),"techbehemoths.com")</f>
        <v>techbehemoths.com</v>
      </c>
      <c r="F1243" s="185" t="str">
        <f>IFERROR(__xludf.DUMMYFUNCTION("""COMPUTED_VALUE"""),"Profile")</f>
        <v>Profile</v>
      </c>
      <c r="G1243" s="185" t="str">
        <f>IFERROR(__xludf.DUMMYFUNCTION("""COMPUTED_VALUE"""),"REFERENCE")</f>
        <v>REFERENCE</v>
      </c>
      <c r="H1243" s="185" t="str">
        <f>IFERROR(__xludf.DUMMYFUNCTION("""COMPUTED_VALUE"""),"No")</f>
        <v>No</v>
      </c>
      <c r="I1243" s="185" t="str">
        <f>IFERROR(__xludf.DUMMYFUNCTION("""COMPUTED_VALUE"""),"Medium")</f>
        <v>Medium</v>
      </c>
      <c r="J1243" s="185" t="str">
        <f>IFERROR(__xludf.DUMMYFUNCTION("""COMPUTED_VALUE"""),"Yes")</f>
        <v>Yes</v>
      </c>
      <c r="K1243" s="185" t="str">
        <f>IFERROR(__xludf.DUMMYFUNCTION("""COMPUTED_VALUE"""),"Huge")</f>
        <v>Huge</v>
      </c>
      <c r="L1243" s="187">
        <f>IFERROR(__xludf.DUMMYFUNCTION("""COMPUTED_VALUE"""),1.0)</f>
        <v>1</v>
      </c>
      <c r="M1243" s="188">
        <f>IFERROR(__xludf.DUMMYFUNCTION("""COMPUTED_VALUE"""),0.0)</f>
        <v>0</v>
      </c>
      <c r="N1243" s="188">
        <f>IFERROR(__xludf.DUMMYFUNCTION("""COMPUTED_VALUE"""),1.0)</f>
        <v>1</v>
      </c>
      <c r="O1243" s="208"/>
      <c r="P1243" s="208"/>
      <c r="Q1243" s="208"/>
      <c r="R1243" s="208"/>
    </row>
    <row r="1244">
      <c r="A1244" s="185" t="str">
        <f>IFERROR(__xludf.DUMMYFUNCTION("""COMPUTED_VALUE"""),"Agency directory / review marketplace")</f>
        <v>Agency directory / review marketplace</v>
      </c>
      <c r="B1244" s="186" t="str">
        <f>IFERROR(__xludf.DUMMYFUNCTION("""COMPUTED_VALUE"""),"https://themanifest.com/de/artificial-intelligence/companies")</f>
        <v>https://themanifest.com/de/artificial-intelligence/companies</v>
      </c>
      <c r="C1244" s="185" t="str">
        <f>IFERROR(__xludf.DUMMYFUNCTION("""COMPUTED_VALUE"""),"Top-Rated Artificial Intelligence &amp;amp; AI Companies for Healthcare, FinTech, eCommerce in Germany, Berlin, Munich | Vetted &amp;amp; Reviewed July 2026 | The Manifest")</f>
        <v>Top-Rated Artificial Intelligence &amp;amp; AI Companies for Healthcare, FinTech, eCommerce in Germany, Berlin, Munich | Vetted &amp;amp; Reviewed July 2026 | The Manifest</v>
      </c>
      <c r="D1244" s="185" t="str">
        <f>IFERROR(__xludf.DUMMYFUNCTION("""COMPUTED_VALUE"""),"DE")</f>
        <v>DE</v>
      </c>
      <c r="E1244" s="185" t="str">
        <f>IFERROR(__xludf.DUMMYFUNCTION("""COMPUTED_VALUE"""),"themanifest.com")</f>
        <v>themanifest.com</v>
      </c>
      <c r="F1244" s="185" t="str">
        <f>IFERROR(__xludf.DUMMYFUNCTION("""COMPUTED_VALUE"""),"Other")</f>
        <v>Other</v>
      </c>
      <c r="G1244" s="185" t="str">
        <f>IFERROR(__xludf.DUMMYFUNCTION("""COMPUTED_VALUE"""),"REFERENCE")</f>
        <v>REFERENCE</v>
      </c>
      <c r="H1244" s="185" t="str">
        <f>IFERROR(__xludf.DUMMYFUNCTION("""COMPUTED_VALUE"""),"No")</f>
        <v>No</v>
      </c>
      <c r="I1244" s="185" t="str">
        <f>IFERROR(__xludf.DUMMYFUNCTION("""COMPUTED_VALUE"""),"Medium")</f>
        <v>Medium</v>
      </c>
      <c r="J1244" s="185" t="str">
        <f>IFERROR(__xludf.DUMMYFUNCTION("""COMPUTED_VALUE"""),"Yes")</f>
        <v>Yes</v>
      </c>
      <c r="K1244" s="185" t="str">
        <f>IFERROR(__xludf.DUMMYFUNCTION("""COMPUTED_VALUE"""),"Admiral Media")</f>
        <v>Admiral Media</v>
      </c>
      <c r="L1244" s="187">
        <f>IFERROR(__xludf.DUMMYFUNCTION("""COMPUTED_VALUE"""),1.0)</f>
        <v>1</v>
      </c>
      <c r="M1244" s="188">
        <f>IFERROR(__xludf.DUMMYFUNCTION("""COMPUTED_VALUE"""),0.0)</f>
        <v>0</v>
      </c>
      <c r="N1244" s="188">
        <f>IFERROR(__xludf.DUMMYFUNCTION("""COMPUTED_VALUE"""),0.0)</f>
        <v>0</v>
      </c>
      <c r="O1244" s="208"/>
      <c r="P1244" s="208"/>
      <c r="Q1244" s="208"/>
      <c r="R1244" s="208"/>
    </row>
    <row r="1245">
      <c r="A1245" s="185" t="str">
        <f>IFERROR(__xludf.DUMMYFUNCTION("""COMPUTED_VALUE"""),"Agency directory / review marketplace")</f>
        <v>Agency directory / review marketplace</v>
      </c>
      <c r="B1245" s="186" t="str">
        <f>IFERROR(__xludf.DUMMYFUNCTION("""COMPUTED_VALUE"""),"https://themanifest.com/de/market-research/agencies#:~:text=List%20of%20the%20Best%20Germany,business%20consulting%2C%20and%20digital%20strategy.")</f>
        <v>https://themanifest.com/de/market-research/agencies#:~:text=List%20of%20the%20Best%20Germany,business%20consulting%2C%20and%20digital%20strategy.</v>
      </c>
      <c r="C1245" s="185"/>
      <c r="D1245" s="185" t="str">
        <f>IFERROR(__xludf.DUMMYFUNCTION("""COMPUTED_VALUE"""),"DE")</f>
        <v>DE</v>
      </c>
      <c r="E1245" s="185" t="str">
        <f>IFERROR(__xludf.DUMMYFUNCTION("""COMPUTED_VALUE"""),"themanifest.com")</f>
        <v>themanifest.com</v>
      </c>
      <c r="F1245" s="185" t="str">
        <f>IFERROR(__xludf.DUMMYFUNCTION("""COMPUTED_VALUE"""),"Other")</f>
        <v>Other</v>
      </c>
      <c r="G1245" s="185" t="str">
        <f>IFERROR(__xludf.DUMMYFUNCTION("""COMPUTED_VALUE"""),"OTHER")</f>
        <v>OTHER</v>
      </c>
      <c r="H1245" s="185" t="str">
        <f>IFERROR(__xludf.DUMMYFUNCTION("""COMPUTED_VALUE"""),"No")</f>
        <v>No</v>
      </c>
      <c r="I1245" s="185" t="str">
        <f>IFERROR(__xludf.DUMMYFUNCTION("""COMPUTED_VALUE"""),"Medium")</f>
        <v>Medium</v>
      </c>
      <c r="J1245" s="185" t="str">
        <f>IFERROR(__xludf.DUMMYFUNCTION("""COMPUTED_VALUE"""),"Yes")</f>
        <v>Yes</v>
      </c>
      <c r="K1245" s="185" t="str">
        <f>IFERROR(__xludf.DUMMYFUNCTION("""COMPUTED_VALUE"""),"Unknown")</f>
        <v>Unknown</v>
      </c>
      <c r="L1245" s="187">
        <f>IFERROR(__xludf.DUMMYFUNCTION("""COMPUTED_VALUE"""),1.0)</f>
        <v>1</v>
      </c>
      <c r="M1245" s="188">
        <f>IFERROR(__xludf.DUMMYFUNCTION("""COMPUTED_VALUE"""),0.0)</f>
        <v>0</v>
      </c>
      <c r="N1245" s="188">
        <f>IFERROR(__xludf.DUMMYFUNCTION("""COMPUTED_VALUE"""),1.0)</f>
        <v>1</v>
      </c>
      <c r="O1245" s="208"/>
      <c r="P1245" s="208"/>
      <c r="Q1245" s="208"/>
      <c r="R1245" s="208"/>
    </row>
    <row r="1246">
      <c r="A1246" s="185" t="str">
        <f>IFERROR(__xludf.DUMMYFUNCTION("""COMPUTED_VALUE"""),"Agency directory / review marketplace")</f>
        <v>Agency directory / review marketplace</v>
      </c>
      <c r="B1246" s="186" t="str">
        <f>IFERROR(__xludf.DUMMYFUNCTION("""COMPUTED_VALUE"""),"https://themanifest.com/de/social-media/linkedin/agencies")</f>
        <v>https://themanifest.com/de/social-media/linkedin/agencies</v>
      </c>
      <c r="C1246" s="185" t="str">
        <f>IFERROR(__xludf.DUMMYFUNCTION("""COMPUTED_VALUE"""),"The Best LinkedIn Advertising Companies in Germany - Jul 2026 | The Manifest")</f>
        <v>The Best LinkedIn Advertising Companies in Germany - Jul 2026 | The Manifest</v>
      </c>
      <c r="D1246" s="185" t="str">
        <f>IFERROR(__xludf.DUMMYFUNCTION("""COMPUTED_VALUE"""),"DE")</f>
        <v>DE</v>
      </c>
      <c r="E1246" s="185" t="str">
        <f>IFERROR(__xludf.DUMMYFUNCTION("""COMPUTED_VALUE"""),"themanifest.com")</f>
        <v>themanifest.com</v>
      </c>
      <c r="F1246" s="185" t="str">
        <f>IFERROR(__xludf.DUMMYFUNCTION("""COMPUTED_VALUE"""),"Category Page")</f>
        <v>Category Page</v>
      </c>
      <c r="G1246" s="185" t="str">
        <f>IFERROR(__xludf.DUMMYFUNCTION("""COMPUTED_VALUE"""),"REFERENCE")</f>
        <v>REFERENCE</v>
      </c>
      <c r="H1246" s="185" t="str">
        <f>IFERROR(__xludf.DUMMYFUNCTION("""COMPUTED_VALUE"""),"No")</f>
        <v>No</v>
      </c>
      <c r="I1246" s="185" t="str">
        <f>IFERROR(__xludf.DUMMYFUNCTION("""COMPUTED_VALUE"""),"Medium")</f>
        <v>Medium</v>
      </c>
      <c r="J1246" s="185" t="str">
        <f>IFERROR(__xludf.DUMMYFUNCTION("""COMPUTED_VALUE"""),"Yes")</f>
        <v>Yes</v>
      </c>
      <c r="K1246" s="185" t="str">
        <f>IFERROR(__xludf.DUMMYFUNCTION("""COMPUTED_VALUE"""),"MONSOON, HY.AM STUDIOS, PANORAMA3000, KlickPiloten, Pulse Advertising")</f>
        <v>MONSOON, HY.AM STUDIOS, PANORAMA3000, KlickPiloten, Pulse Advertising</v>
      </c>
      <c r="L1246" s="187">
        <f>IFERROR(__xludf.DUMMYFUNCTION("""COMPUTED_VALUE"""),1.0)</f>
        <v>1</v>
      </c>
      <c r="M1246" s="188">
        <f>IFERROR(__xludf.DUMMYFUNCTION("""COMPUTED_VALUE"""),0.0)</f>
        <v>0</v>
      </c>
      <c r="N1246" s="188">
        <f>IFERROR(__xludf.DUMMYFUNCTION("""COMPUTED_VALUE"""),0.0)</f>
        <v>0</v>
      </c>
      <c r="O1246" s="208"/>
      <c r="P1246" s="208"/>
      <c r="Q1246" s="208"/>
      <c r="R1246" s="208"/>
    </row>
    <row r="1247">
      <c r="A1247" s="185" t="str">
        <f>IFERROR(__xludf.DUMMYFUNCTION("""COMPUTED_VALUE"""),"Agency directory / review marketplace")</f>
        <v>Agency directory / review marketplace</v>
      </c>
      <c r="B1247" s="186" t="str">
        <f>IFERROR(__xludf.DUMMYFUNCTION("""COMPUTED_VALUE"""),"https://themanifest.com/de/social-media/tiktok/agencies")</f>
        <v>https://themanifest.com/de/social-media/tiktok/agencies</v>
      </c>
      <c r="C1247" s="185" t="str">
        <f>IFERROR(__xludf.DUMMYFUNCTION("""COMPUTED_VALUE"""),"The Best TikTok Advertising Companies in Germany - Jul 2026 | The Manifest")</f>
        <v>The Best TikTok Advertising Companies in Germany - Jul 2026 | The Manifest</v>
      </c>
      <c r="D1247" s="185" t="str">
        <f>IFERROR(__xludf.DUMMYFUNCTION("""COMPUTED_VALUE"""),"DE")</f>
        <v>DE</v>
      </c>
      <c r="E1247" s="185" t="str">
        <f>IFERROR(__xludf.DUMMYFUNCTION("""COMPUTED_VALUE"""),"themanifest.com")</f>
        <v>themanifest.com</v>
      </c>
      <c r="F1247" s="185" t="str">
        <f>IFERROR(__xludf.DUMMYFUNCTION("""COMPUTED_VALUE"""),"Listicle")</f>
        <v>Listicle</v>
      </c>
      <c r="G1247" s="185" t="str">
        <f>IFERROR(__xludf.DUMMYFUNCTION("""COMPUTED_VALUE"""),"REFERENCE")</f>
        <v>REFERENCE</v>
      </c>
      <c r="H1247" s="185" t="str">
        <f>IFERROR(__xludf.DUMMYFUNCTION("""COMPUTED_VALUE"""),"No")</f>
        <v>No</v>
      </c>
      <c r="I1247" s="185" t="str">
        <f>IFERROR(__xludf.DUMMYFUNCTION("""COMPUTED_VALUE"""),"Medium")</f>
        <v>Medium</v>
      </c>
      <c r="J1247" s="185" t="str">
        <f>IFERROR(__xludf.DUMMYFUNCTION("""COMPUTED_VALUE"""),"Yes")</f>
        <v>Yes</v>
      </c>
      <c r="K1247" s="185" t="str">
        <f>IFERROR(__xludf.DUMMYFUNCTION("""COMPUTED_VALUE"""),"MONSOON, HY.AM STUDIOS, Pulse Advertising, Medialabel")</f>
        <v>MONSOON, HY.AM STUDIOS, Pulse Advertising, Medialabel</v>
      </c>
      <c r="L1247" s="187">
        <f>IFERROR(__xludf.DUMMYFUNCTION("""COMPUTED_VALUE"""),1.0)</f>
        <v>1</v>
      </c>
      <c r="M1247" s="188">
        <f>IFERROR(__xludf.DUMMYFUNCTION("""COMPUTED_VALUE"""),0.0)</f>
        <v>0</v>
      </c>
      <c r="N1247" s="188">
        <f>IFERROR(__xludf.DUMMYFUNCTION("""COMPUTED_VALUE"""),0.0)</f>
        <v>0</v>
      </c>
      <c r="O1247" s="208"/>
      <c r="P1247" s="208"/>
      <c r="Q1247" s="208"/>
      <c r="R1247" s="208"/>
    </row>
    <row r="1248">
      <c r="A1248" s="185" t="str">
        <f>IFERROR(__xludf.DUMMYFUNCTION("""COMPUTED_VALUE"""),"Lower-priority competitor/vendor roundup")</f>
        <v>Lower-priority competitor/vendor roundup</v>
      </c>
      <c r="B1248" s="186" t="str">
        <f>IFERROR(__xludf.DUMMYFUNCTION("""COMPUTED_VALUE"""),"https://www.webtonic.io/blog/best-performance-marketing-agencies-2026")</f>
        <v>https://www.webtonic.io/blog/best-performance-marketing-agencies-2026</v>
      </c>
      <c r="C1248" s="185" t="str">
        <f>IFERROR(__xludf.DUMMYFUNCTION("""COMPUTED_VALUE"""),"28 Best Performance Marketing Agencies for 2026")</f>
        <v>28 Best Performance Marketing Agencies for 2026</v>
      </c>
      <c r="D1248" s="185" t="str">
        <f>IFERROR(__xludf.DUMMYFUNCTION("""COMPUTED_VALUE"""),"DE")</f>
        <v>DE</v>
      </c>
      <c r="E1248" s="185" t="str">
        <f>IFERROR(__xludf.DUMMYFUNCTION("""COMPUTED_VALUE"""),"webtonic.io")</f>
        <v>webtonic.io</v>
      </c>
      <c r="F1248" s="185" t="str">
        <f>IFERROR(__xludf.DUMMYFUNCTION("""COMPUTED_VALUE"""),"Listicle")</f>
        <v>Listicle</v>
      </c>
      <c r="G1248" s="185" t="str">
        <f>IFERROR(__xludf.DUMMYFUNCTION("""COMPUTED_VALUE"""),"CORPORATE")</f>
        <v>CORPORATE</v>
      </c>
      <c r="H1248" s="185" t="str">
        <f>IFERROR(__xludf.DUMMYFUNCTION("""COMPUTED_VALUE"""),"No")</f>
        <v>No</v>
      </c>
      <c r="I1248" s="185" t="str">
        <f>IFERROR(__xludf.DUMMYFUNCTION("""COMPUTED_VALUE"""),"Low")</f>
        <v>Low</v>
      </c>
      <c r="J1248" s="185" t="str">
        <f>IFERROR(__xludf.DUMMYFUNCTION("""COMPUTED_VALUE"""),"Secondary")</f>
        <v>Secondary</v>
      </c>
      <c r="K1248" s="185" t="str">
        <f>IFERROR(__xludf.DUMMYFUNCTION("""COMPUTED_VALUE"""),"Wpromote, Tinuiti, Brainlabs, Jellyfish, Croud, KlientBoost, Disruptive Advertising, NoGood, Power Digital, Directive Consulting, Hawke Media, Single Grain")</f>
        <v>Wpromote, Tinuiti, Brainlabs, Jellyfish, Croud, KlientBoost, Disruptive Advertising, NoGood, Power Digital, Directive Consulting, Hawke Media, Single Grain</v>
      </c>
      <c r="L1248" s="187">
        <f>IFERROR(__xludf.DUMMYFUNCTION("""COMPUTED_VALUE"""),1.0)</f>
        <v>1</v>
      </c>
      <c r="M1248" s="188">
        <f>IFERROR(__xludf.DUMMYFUNCTION("""COMPUTED_VALUE"""),0.0)</f>
        <v>0</v>
      </c>
      <c r="N1248" s="188">
        <f>IFERROR(__xludf.DUMMYFUNCTION("""COMPUTED_VALUE"""),0.0)</f>
        <v>0</v>
      </c>
      <c r="O1248" s="208"/>
      <c r="P1248" s="208"/>
      <c r="Q1248" s="208"/>
      <c r="R1248" s="208"/>
    </row>
    <row r="1249">
      <c r="A1249" s="185"/>
      <c r="B1249" s="186"/>
      <c r="C1249" s="185"/>
      <c r="D1249" s="185"/>
      <c r="E1249" s="185"/>
      <c r="F1249" s="185"/>
      <c r="G1249" s="185"/>
      <c r="H1249" s="185"/>
      <c r="I1249" s="185"/>
      <c r="J1249" s="185"/>
      <c r="K1249" s="185"/>
      <c r="L1249" s="187"/>
      <c r="M1249" s="188"/>
      <c r="N1249" s="188"/>
      <c r="O1249" s="208"/>
      <c r="P1249" s="208"/>
      <c r="Q1249" s="208"/>
      <c r="R1249" s="208"/>
    </row>
    <row r="1250">
      <c r="A1250" s="174" t="s">
        <v>1639</v>
      </c>
      <c r="B1250" s="175" t="s">
        <v>583</v>
      </c>
      <c r="C1250" s="174" t="s">
        <v>584</v>
      </c>
      <c r="D1250" s="174" t="s">
        <v>315</v>
      </c>
      <c r="E1250" s="174" t="s">
        <v>585</v>
      </c>
      <c r="F1250" s="174" t="s">
        <v>385</v>
      </c>
      <c r="G1250" s="174" t="s">
        <v>10411</v>
      </c>
      <c r="H1250" s="174" t="s">
        <v>306</v>
      </c>
      <c r="I1250" s="174" t="s">
        <v>1606</v>
      </c>
      <c r="J1250" s="174" t="s">
        <v>616</v>
      </c>
      <c r="K1250" s="174" t="s">
        <v>586</v>
      </c>
      <c r="L1250" s="176">
        <v>97.0</v>
      </c>
      <c r="M1250" s="177">
        <v>0.09</v>
      </c>
      <c r="N1250" s="177">
        <v>0.05</v>
      </c>
      <c r="O1250" s="208"/>
      <c r="P1250" s="208"/>
      <c r="Q1250" s="208"/>
      <c r="R1250" s="208"/>
    </row>
    <row r="1251">
      <c r="A1251" s="174" t="s">
        <v>1863</v>
      </c>
      <c r="B1251" s="175" t="s">
        <v>2135</v>
      </c>
      <c r="C1251" s="174" t="s">
        <v>2136</v>
      </c>
      <c r="D1251" s="174" t="s">
        <v>315</v>
      </c>
      <c r="E1251" s="174" t="s">
        <v>2064</v>
      </c>
      <c r="F1251" s="174" t="s">
        <v>615</v>
      </c>
      <c r="G1251" s="174" t="s">
        <v>10412</v>
      </c>
      <c r="H1251" s="174" t="s">
        <v>306</v>
      </c>
      <c r="I1251" s="174" t="s">
        <v>1900</v>
      </c>
      <c r="J1251" s="174" t="s">
        <v>1608</v>
      </c>
      <c r="K1251" s="174" t="s">
        <v>2137</v>
      </c>
      <c r="L1251" s="176">
        <v>84.0</v>
      </c>
      <c r="M1251" s="177">
        <v>0.08</v>
      </c>
      <c r="N1251" s="177">
        <v>1.94</v>
      </c>
      <c r="O1251" s="208"/>
      <c r="P1251" s="208"/>
      <c r="Q1251" s="208"/>
      <c r="R1251" s="208"/>
    </row>
    <row r="1252">
      <c r="A1252" s="174" t="s">
        <v>1863</v>
      </c>
      <c r="B1252" s="175" t="s">
        <v>2138</v>
      </c>
      <c r="C1252" s="174" t="s">
        <v>2139</v>
      </c>
      <c r="D1252" s="174" t="s">
        <v>315</v>
      </c>
      <c r="E1252" s="174" t="s">
        <v>2140</v>
      </c>
      <c r="F1252" s="174" t="s">
        <v>615</v>
      </c>
      <c r="G1252" s="174" t="s">
        <v>10413</v>
      </c>
      <c r="H1252" s="174" t="s">
        <v>306</v>
      </c>
      <c r="I1252" s="174" t="s">
        <v>1900</v>
      </c>
      <c r="J1252" s="174" t="s">
        <v>1608</v>
      </c>
      <c r="K1252" s="174" t="s">
        <v>2141</v>
      </c>
      <c r="L1252" s="176">
        <v>84.0</v>
      </c>
      <c r="M1252" s="177">
        <v>0.08</v>
      </c>
      <c r="N1252" s="177">
        <v>1.11</v>
      </c>
      <c r="O1252" s="208"/>
      <c r="P1252" s="208"/>
      <c r="Q1252" s="208"/>
      <c r="R1252" s="208"/>
    </row>
    <row r="1253">
      <c r="A1253" s="174" t="s">
        <v>1863</v>
      </c>
      <c r="B1253" s="175" t="s">
        <v>2142</v>
      </c>
      <c r="C1253" s="174" t="s">
        <v>2143</v>
      </c>
      <c r="D1253" s="174" t="s">
        <v>315</v>
      </c>
      <c r="E1253" s="174" t="s">
        <v>2144</v>
      </c>
      <c r="F1253" s="174" t="s">
        <v>615</v>
      </c>
      <c r="G1253" s="174" t="s">
        <v>10413</v>
      </c>
      <c r="H1253" s="174" t="s">
        <v>306</v>
      </c>
      <c r="I1253" s="174" t="s">
        <v>1900</v>
      </c>
      <c r="J1253" s="174" t="s">
        <v>1608</v>
      </c>
      <c r="K1253" s="174" t="s">
        <v>2145</v>
      </c>
      <c r="L1253" s="176">
        <v>80.0</v>
      </c>
      <c r="M1253" s="177">
        <v>0.07</v>
      </c>
      <c r="N1253" s="177">
        <v>1.39</v>
      </c>
      <c r="O1253" s="208"/>
      <c r="P1253" s="208"/>
      <c r="Q1253" s="208"/>
      <c r="R1253" s="208"/>
    </row>
    <row r="1254">
      <c r="A1254" s="174" t="s">
        <v>1639</v>
      </c>
      <c r="B1254" s="175" t="s">
        <v>8734</v>
      </c>
      <c r="C1254" s="174" t="s">
        <v>8735</v>
      </c>
      <c r="D1254" s="174" t="s">
        <v>315</v>
      </c>
      <c r="E1254" s="174" t="s">
        <v>1664</v>
      </c>
      <c r="F1254" s="174" t="s">
        <v>2</v>
      </c>
      <c r="G1254" s="174" t="s">
        <v>10414</v>
      </c>
      <c r="H1254" s="174" t="s">
        <v>306</v>
      </c>
      <c r="I1254" s="174" t="s">
        <v>1606</v>
      </c>
      <c r="J1254" s="174" t="s">
        <v>616</v>
      </c>
      <c r="K1254" s="174" t="s">
        <v>8736</v>
      </c>
      <c r="L1254" s="176">
        <v>66.0</v>
      </c>
      <c r="M1254" s="177">
        <v>0.06</v>
      </c>
      <c r="N1254" s="177">
        <v>0.14</v>
      </c>
      <c r="O1254" s="208"/>
      <c r="P1254" s="208"/>
      <c r="Q1254" s="208"/>
      <c r="R1254" s="208"/>
    </row>
    <row r="1255">
      <c r="A1255" s="174" t="s">
        <v>1863</v>
      </c>
      <c r="B1255" s="175" t="s">
        <v>2146</v>
      </c>
      <c r="C1255" s="174" t="s">
        <v>2147</v>
      </c>
      <c r="D1255" s="174" t="s">
        <v>315</v>
      </c>
      <c r="E1255" s="174" t="s">
        <v>1992</v>
      </c>
      <c r="F1255" s="174" t="s">
        <v>615</v>
      </c>
      <c r="G1255" s="174" t="s">
        <v>10412</v>
      </c>
      <c r="H1255" s="174" t="s">
        <v>306</v>
      </c>
      <c r="I1255" s="174" t="s">
        <v>1900</v>
      </c>
      <c r="J1255" s="174" t="s">
        <v>1608</v>
      </c>
      <c r="K1255" s="174" t="s">
        <v>2148</v>
      </c>
      <c r="L1255" s="176">
        <v>66.0</v>
      </c>
      <c r="M1255" s="177">
        <v>0.06</v>
      </c>
      <c r="N1255" s="177">
        <v>1.42</v>
      </c>
      <c r="O1255" s="208"/>
      <c r="P1255" s="208"/>
      <c r="Q1255" s="208"/>
      <c r="R1255" s="208"/>
    </row>
    <row r="1256">
      <c r="A1256" s="174" t="s">
        <v>1863</v>
      </c>
      <c r="B1256" s="175" t="s">
        <v>2149</v>
      </c>
      <c r="C1256" s="174" t="s">
        <v>2150</v>
      </c>
      <c r="D1256" s="174" t="s">
        <v>315</v>
      </c>
      <c r="E1256" s="174" t="s">
        <v>2151</v>
      </c>
      <c r="F1256" s="174" t="s">
        <v>615</v>
      </c>
      <c r="G1256" s="174" t="s">
        <v>10412</v>
      </c>
      <c r="H1256" s="174" t="s">
        <v>306</v>
      </c>
      <c r="I1256" s="174" t="s">
        <v>1900</v>
      </c>
      <c r="J1256" s="174" t="s">
        <v>1608</v>
      </c>
      <c r="K1256" s="174" t="s">
        <v>2152</v>
      </c>
      <c r="L1256" s="176">
        <v>66.0</v>
      </c>
      <c r="M1256" s="177">
        <v>0.06</v>
      </c>
      <c r="N1256" s="177">
        <v>3.74</v>
      </c>
      <c r="O1256" s="208"/>
      <c r="P1256" s="208"/>
      <c r="Q1256" s="208"/>
      <c r="R1256" s="208"/>
    </row>
    <row r="1257">
      <c r="A1257" s="174" t="s">
        <v>1863</v>
      </c>
      <c r="B1257" s="175" t="s">
        <v>2153</v>
      </c>
      <c r="C1257" s="174" t="s">
        <v>2154</v>
      </c>
      <c r="D1257" s="174" t="s">
        <v>315</v>
      </c>
      <c r="E1257" s="174" t="s">
        <v>2155</v>
      </c>
      <c r="F1257" s="174" t="s">
        <v>615</v>
      </c>
      <c r="G1257" s="174" t="s">
        <v>10412</v>
      </c>
      <c r="H1257" s="174" t="s">
        <v>306</v>
      </c>
      <c r="I1257" s="174" t="s">
        <v>1900</v>
      </c>
      <c r="J1257" s="174" t="s">
        <v>1608</v>
      </c>
      <c r="K1257" s="174" t="s">
        <v>2156</v>
      </c>
      <c r="L1257" s="176">
        <v>64.0</v>
      </c>
      <c r="M1257" s="177">
        <v>0.06</v>
      </c>
      <c r="N1257" s="177">
        <v>1.34</v>
      </c>
      <c r="O1257" s="208"/>
      <c r="P1257" s="208"/>
      <c r="Q1257" s="208"/>
      <c r="R1257" s="208"/>
    </row>
    <row r="1258">
      <c r="A1258" s="174" t="s">
        <v>1639</v>
      </c>
      <c r="B1258" s="175" t="s">
        <v>587</v>
      </c>
      <c r="C1258" s="174" t="s">
        <v>588</v>
      </c>
      <c r="D1258" s="174" t="s">
        <v>315</v>
      </c>
      <c r="E1258" s="174" t="s">
        <v>384</v>
      </c>
      <c r="F1258" s="174" t="s">
        <v>385</v>
      </c>
      <c r="G1258" s="174" t="s">
        <v>10413</v>
      </c>
      <c r="H1258" s="174" t="s">
        <v>306</v>
      </c>
      <c r="I1258" s="174" t="s">
        <v>1606</v>
      </c>
      <c r="J1258" s="174" t="s">
        <v>616</v>
      </c>
      <c r="K1258" s="174" t="s">
        <v>589</v>
      </c>
      <c r="L1258" s="176">
        <v>60.0</v>
      </c>
      <c r="M1258" s="177">
        <v>0.06</v>
      </c>
      <c r="N1258" s="177">
        <v>0.85</v>
      </c>
      <c r="O1258" s="208"/>
      <c r="P1258" s="208"/>
      <c r="Q1258" s="208"/>
      <c r="R1258" s="208"/>
    </row>
    <row r="1259">
      <c r="A1259" s="174" t="s">
        <v>1639</v>
      </c>
      <c r="B1259" s="175" t="s">
        <v>590</v>
      </c>
      <c r="C1259" s="174" t="s">
        <v>591</v>
      </c>
      <c r="D1259" s="174" t="s">
        <v>315</v>
      </c>
      <c r="E1259" s="174" t="s">
        <v>384</v>
      </c>
      <c r="F1259" s="174" t="s">
        <v>385</v>
      </c>
      <c r="G1259" s="174" t="s">
        <v>10413</v>
      </c>
      <c r="H1259" s="174" t="s">
        <v>306</v>
      </c>
      <c r="I1259" s="174" t="s">
        <v>1606</v>
      </c>
      <c r="J1259" s="174" t="s">
        <v>616</v>
      </c>
      <c r="K1259" s="174" t="s">
        <v>592</v>
      </c>
      <c r="L1259" s="176">
        <v>53.0</v>
      </c>
      <c r="M1259" s="177">
        <v>0.05</v>
      </c>
      <c r="N1259" s="177">
        <v>1.3</v>
      </c>
      <c r="O1259" s="208"/>
      <c r="P1259" s="208"/>
      <c r="Q1259" s="208"/>
      <c r="R1259" s="208"/>
    </row>
    <row r="1260">
      <c r="A1260" s="174" t="s">
        <v>1863</v>
      </c>
      <c r="B1260" s="175" t="s">
        <v>2157</v>
      </c>
      <c r="C1260" s="174" t="s">
        <v>2158</v>
      </c>
      <c r="D1260" s="174" t="s">
        <v>315</v>
      </c>
      <c r="E1260" s="174" t="s">
        <v>2159</v>
      </c>
      <c r="F1260" s="174" t="s">
        <v>615</v>
      </c>
      <c r="G1260" s="174" t="s">
        <v>10413</v>
      </c>
      <c r="H1260" s="174" t="s">
        <v>306</v>
      </c>
      <c r="I1260" s="174" t="s">
        <v>1900</v>
      </c>
      <c r="J1260" s="174" t="s">
        <v>1608</v>
      </c>
      <c r="K1260" s="174" t="s">
        <v>2160</v>
      </c>
      <c r="L1260" s="176">
        <v>52.0</v>
      </c>
      <c r="M1260" s="177">
        <v>0.05</v>
      </c>
      <c r="N1260" s="177">
        <v>1.35</v>
      </c>
      <c r="O1260" s="208"/>
      <c r="P1260" s="208"/>
      <c r="Q1260" s="208"/>
      <c r="R1260" s="208"/>
    </row>
    <row r="1261">
      <c r="A1261" s="174" t="s">
        <v>1627</v>
      </c>
      <c r="B1261" s="175" t="s">
        <v>8737</v>
      </c>
      <c r="C1261" s="174" t="s">
        <v>8738</v>
      </c>
      <c r="D1261" s="174" t="s">
        <v>315</v>
      </c>
      <c r="E1261" s="174" t="s">
        <v>1628</v>
      </c>
      <c r="F1261" s="174" t="s">
        <v>2</v>
      </c>
      <c r="G1261" s="174" t="s">
        <v>10413</v>
      </c>
      <c r="H1261" s="174" t="s">
        <v>306</v>
      </c>
      <c r="I1261" s="174" t="s">
        <v>1606</v>
      </c>
      <c r="J1261" s="174" t="s">
        <v>616</v>
      </c>
      <c r="K1261" s="174" t="s">
        <v>8739</v>
      </c>
      <c r="L1261" s="176">
        <v>47.0</v>
      </c>
      <c r="M1261" s="177">
        <v>0.04</v>
      </c>
      <c r="N1261" s="177">
        <v>0.36</v>
      </c>
      <c r="O1261" s="208"/>
      <c r="P1261" s="208"/>
      <c r="Q1261" s="208"/>
      <c r="R1261" s="208"/>
    </row>
    <row r="1262">
      <c r="A1262" s="174" t="s">
        <v>1639</v>
      </c>
      <c r="B1262" s="175" t="s">
        <v>593</v>
      </c>
      <c r="C1262" s="174" t="s">
        <v>594</v>
      </c>
      <c r="D1262" s="174" t="s">
        <v>315</v>
      </c>
      <c r="E1262" s="174" t="s">
        <v>595</v>
      </c>
      <c r="F1262" s="174" t="s">
        <v>385</v>
      </c>
      <c r="G1262" s="174" t="s">
        <v>10413</v>
      </c>
      <c r="H1262" s="174" t="s">
        <v>306</v>
      </c>
      <c r="I1262" s="174" t="s">
        <v>1606</v>
      </c>
      <c r="J1262" s="174" t="s">
        <v>616</v>
      </c>
      <c r="K1262" s="174" t="s">
        <v>596</v>
      </c>
      <c r="L1262" s="176">
        <v>47.0</v>
      </c>
      <c r="M1262" s="177">
        <v>0.04</v>
      </c>
      <c r="N1262" s="177">
        <v>1.0</v>
      </c>
      <c r="O1262" s="208"/>
      <c r="P1262" s="208"/>
      <c r="Q1262" s="208"/>
      <c r="R1262" s="208"/>
    </row>
    <row r="1263">
      <c r="A1263" s="174" t="s">
        <v>1738</v>
      </c>
      <c r="B1263" s="175" t="s">
        <v>2161</v>
      </c>
      <c r="C1263" s="174" t="s">
        <v>2162</v>
      </c>
      <c r="D1263" s="174" t="s">
        <v>315</v>
      </c>
      <c r="E1263" s="174" t="s">
        <v>2163</v>
      </c>
      <c r="F1263" s="174" t="s">
        <v>615</v>
      </c>
      <c r="G1263" s="174" t="s">
        <v>10413</v>
      </c>
      <c r="H1263" s="174" t="s">
        <v>306</v>
      </c>
      <c r="I1263" s="174" t="s">
        <v>1606</v>
      </c>
      <c r="J1263" s="174" t="s">
        <v>616</v>
      </c>
      <c r="K1263" s="174" t="s">
        <v>2164</v>
      </c>
      <c r="L1263" s="176">
        <v>45.0</v>
      </c>
      <c r="M1263" s="177">
        <v>0.04</v>
      </c>
      <c r="N1263" s="177">
        <v>1.89</v>
      </c>
      <c r="O1263" s="208"/>
      <c r="P1263" s="208"/>
      <c r="Q1263" s="208"/>
      <c r="R1263" s="208"/>
    </row>
    <row r="1264">
      <c r="A1264" s="174" t="s">
        <v>1639</v>
      </c>
      <c r="B1264" s="175" t="s">
        <v>8740</v>
      </c>
      <c r="C1264" s="174" t="s">
        <v>8741</v>
      </c>
      <c r="D1264" s="174" t="s">
        <v>315</v>
      </c>
      <c r="E1264" s="174" t="s">
        <v>595</v>
      </c>
      <c r="F1264" s="174" t="s">
        <v>385</v>
      </c>
      <c r="G1264" s="174" t="s">
        <v>10413</v>
      </c>
      <c r="H1264" s="174" t="s">
        <v>306</v>
      </c>
      <c r="I1264" s="174" t="s">
        <v>1606</v>
      </c>
      <c r="J1264" s="174" t="s">
        <v>616</v>
      </c>
      <c r="K1264" s="174" t="s">
        <v>8742</v>
      </c>
      <c r="L1264" s="176">
        <v>43.0</v>
      </c>
      <c r="M1264" s="177">
        <v>0.04</v>
      </c>
      <c r="N1264" s="177">
        <v>0.93</v>
      </c>
      <c r="O1264" s="208"/>
      <c r="P1264" s="208"/>
      <c r="Q1264" s="208"/>
      <c r="R1264" s="208"/>
    </row>
    <row r="1265">
      <c r="A1265" s="174" t="s">
        <v>1738</v>
      </c>
      <c r="B1265" s="175" t="s">
        <v>3663</v>
      </c>
      <c r="C1265" s="174" t="s">
        <v>3667</v>
      </c>
      <c r="D1265" s="174" t="s">
        <v>315</v>
      </c>
      <c r="E1265" s="174" t="s">
        <v>1843</v>
      </c>
      <c r="F1265" s="174" t="s">
        <v>2765</v>
      </c>
      <c r="G1265" s="174" t="s">
        <v>10413</v>
      </c>
      <c r="H1265" s="174" t="s">
        <v>306</v>
      </c>
      <c r="I1265" s="174" t="s">
        <v>1606</v>
      </c>
      <c r="J1265" s="174" t="s">
        <v>616</v>
      </c>
      <c r="K1265" s="174" t="s">
        <v>3668</v>
      </c>
      <c r="L1265" s="176">
        <v>41.0</v>
      </c>
      <c r="M1265" s="177">
        <v>0.04</v>
      </c>
      <c r="N1265" s="177">
        <v>0.85</v>
      </c>
      <c r="O1265" s="208"/>
      <c r="P1265" s="208"/>
      <c r="Q1265" s="208"/>
      <c r="R1265" s="208"/>
    </row>
    <row r="1266">
      <c r="A1266" s="174" t="s">
        <v>1738</v>
      </c>
      <c r="B1266" s="175" t="s">
        <v>2165</v>
      </c>
      <c r="C1266" s="174" t="s">
        <v>2166</v>
      </c>
      <c r="D1266" s="174" t="s">
        <v>315</v>
      </c>
      <c r="E1266" s="174" t="s">
        <v>2163</v>
      </c>
      <c r="F1266" s="174" t="s">
        <v>615</v>
      </c>
      <c r="G1266" s="174" t="s">
        <v>10413</v>
      </c>
      <c r="H1266" s="174" t="s">
        <v>306</v>
      </c>
      <c r="I1266" s="174" t="s">
        <v>1606</v>
      </c>
      <c r="J1266" s="174" t="s">
        <v>616</v>
      </c>
      <c r="K1266" s="174" t="s">
        <v>2167</v>
      </c>
      <c r="L1266" s="176">
        <v>40.0</v>
      </c>
      <c r="M1266" s="177">
        <v>0.04</v>
      </c>
      <c r="N1266" s="177">
        <v>0.78</v>
      </c>
      <c r="O1266" s="208"/>
      <c r="P1266" s="208"/>
      <c r="Q1266" s="208"/>
      <c r="R1266" s="208"/>
    </row>
    <row r="1267">
      <c r="A1267" s="174" t="s">
        <v>1639</v>
      </c>
      <c r="B1267" s="175" t="s">
        <v>8743</v>
      </c>
      <c r="C1267" s="174" t="s">
        <v>8744</v>
      </c>
      <c r="D1267" s="174" t="s">
        <v>315</v>
      </c>
      <c r="E1267" s="174" t="s">
        <v>1664</v>
      </c>
      <c r="F1267" s="174" t="s">
        <v>385</v>
      </c>
      <c r="G1267" s="174" t="s">
        <v>10414</v>
      </c>
      <c r="H1267" s="174" t="s">
        <v>306</v>
      </c>
      <c r="I1267" s="174" t="s">
        <v>1606</v>
      </c>
      <c r="J1267" s="174" t="s">
        <v>616</v>
      </c>
      <c r="K1267" s="174" t="s">
        <v>8745</v>
      </c>
      <c r="L1267" s="176">
        <v>40.0</v>
      </c>
      <c r="M1267" s="177">
        <v>0.04</v>
      </c>
      <c r="N1267" s="177">
        <v>0.28</v>
      </c>
      <c r="O1267" s="208"/>
      <c r="P1267" s="208"/>
      <c r="Q1267" s="208"/>
      <c r="R1267" s="208"/>
    </row>
    <row r="1268">
      <c r="A1268" s="174" t="s">
        <v>1639</v>
      </c>
      <c r="B1268" s="175" t="s">
        <v>8746</v>
      </c>
      <c r="C1268" s="174" t="s">
        <v>8747</v>
      </c>
      <c r="D1268" s="174" t="s">
        <v>315</v>
      </c>
      <c r="E1268" s="174" t="s">
        <v>595</v>
      </c>
      <c r="F1268" s="174" t="s">
        <v>385</v>
      </c>
      <c r="G1268" s="174" t="s">
        <v>10413</v>
      </c>
      <c r="H1268" s="174" t="s">
        <v>306</v>
      </c>
      <c r="I1268" s="174" t="s">
        <v>1606</v>
      </c>
      <c r="J1268" s="174" t="s">
        <v>616</v>
      </c>
      <c r="K1268" s="174" t="s">
        <v>8742</v>
      </c>
      <c r="L1268" s="176">
        <v>40.0</v>
      </c>
      <c r="M1268" s="177">
        <v>0.04</v>
      </c>
      <c r="N1268" s="177">
        <v>0.63</v>
      </c>
      <c r="O1268" s="208"/>
      <c r="P1268" s="208"/>
      <c r="Q1268" s="208"/>
      <c r="R1268" s="208"/>
    </row>
    <row r="1269">
      <c r="A1269" s="185"/>
      <c r="B1269" s="186"/>
      <c r="C1269" s="185"/>
      <c r="D1269" s="185"/>
      <c r="E1269" s="185"/>
      <c r="F1269" s="185"/>
      <c r="G1269" s="185"/>
      <c r="H1269" s="185"/>
      <c r="I1269" s="185"/>
      <c r="J1269" s="185"/>
      <c r="K1269" s="185"/>
      <c r="L1269" s="187"/>
      <c r="M1269" s="188"/>
      <c r="N1269" s="188"/>
      <c r="O1269" s="208"/>
      <c r="P1269" s="208"/>
      <c r="Q1269" s="208"/>
      <c r="R1269" s="208"/>
    </row>
    <row r="1270">
      <c r="A1270" s="185"/>
      <c r="B1270" s="186"/>
      <c r="C1270" s="185"/>
      <c r="D1270" s="185"/>
      <c r="E1270" s="185"/>
      <c r="F1270" s="185"/>
      <c r="G1270" s="185"/>
      <c r="H1270" s="185"/>
      <c r="I1270" s="185"/>
      <c r="J1270" s="185"/>
      <c r="K1270" s="185"/>
      <c r="L1270" s="187"/>
      <c r="M1270" s="188"/>
      <c r="N1270" s="188"/>
      <c r="O1270" s="208"/>
      <c r="P1270" s="208"/>
      <c r="Q1270" s="208"/>
      <c r="R1270" s="208"/>
    </row>
    <row r="1271">
      <c r="A1271" s="185"/>
      <c r="B1271" s="186"/>
      <c r="C1271" s="185"/>
      <c r="D1271" s="185"/>
      <c r="E1271" s="185"/>
      <c r="F1271" s="185"/>
      <c r="G1271" s="185"/>
      <c r="H1271" s="185"/>
      <c r="I1271" s="185"/>
      <c r="J1271" s="185"/>
      <c r="K1271" s="185"/>
      <c r="L1271" s="187"/>
      <c r="M1271" s="188"/>
      <c r="N1271" s="188"/>
      <c r="O1271" s="208"/>
      <c r="P1271" s="208"/>
      <c r="Q1271" s="208"/>
      <c r="R1271" s="208"/>
    </row>
    <row r="1272">
      <c r="A1272" s="185"/>
      <c r="B1272" s="186"/>
      <c r="C1272" s="185"/>
      <c r="D1272" s="185"/>
      <c r="E1272" s="185"/>
      <c r="F1272" s="185"/>
      <c r="G1272" s="185"/>
      <c r="H1272" s="185"/>
      <c r="I1272" s="185"/>
      <c r="J1272" s="185"/>
      <c r="K1272" s="185"/>
      <c r="L1272" s="187"/>
      <c r="M1272" s="188"/>
      <c r="N1272" s="188"/>
      <c r="O1272" s="208"/>
      <c r="P1272" s="208"/>
      <c r="Q1272" s="208"/>
      <c r="R1272" s="208"/>
    </row>
    <row r="1273">
      <c r="A1273" s="185"/>
      <c r="B1273" s="186"/>
      <c r="C1273" s="185"/>
      <c r="D1273" s="185"/>
      <c r="E1273" s="185"/>
      <c r="F1273" s="185"/>
      <c r="G1273" s="185"/>
      <c r="H1273" s="185"/>
      <c r="I1273" s="185"/>
      <c r="J1273" s="185"/>
      <c r="K1273" s="185"/>
      <c r="L1273" s="187"/>
      <c r="M1273" s="188"/>
      <c r="N1273" s="188"/>
      <c r="O1273" s="208"/>
      <c r="P1273" s="208"/>
      <c r="Q1273" s="208"/>
      <c r="R1273" s="208"/>
    </row>
    <row r="1274">
      <c r="A1274" s="185"/>
      <c r="B1274" s="186"/>
      <c r="C1274" s="185"/>
      <c r="D1274" s="185"/>
      <c r="E1274" s="185"/>
      <c r="F1274" s="185"/>
      <c r="G1274" s="185"/>
      <c r="H1274" s="185"/>
      <c r="I1274" s="185"/>
      <c r="J1274" s="185"/>
      <c r="K1274" s="185"/>
      <c r="L1274" s="187"/>
      <c r="M1274" s="188"/>
      <c r="N1274" s="188"/>
      <c r="O1274" s="208"/>
      <c r="P1274" s="208"/>
      <c r="Q1274" s="208"/>
      <c r="R1274" s="208"/>
    </row>
    <row r="1275">
      <c r="A1275" s="185"/>
      <c r="B1275" s="186"/>
      <c r="C1275" s="185"/>
      <c r="D1275" s="185"/>
      <c r="E1275" s="185"/>
      <c r="F1275" s="185"/>
      <c r="G1275" s="185"/>
      <c r="H1275" s="185"/>
      <c r="I1275" s="185"/>
      <c r="J1275" s="185"/>
      <c r="K1275" s="185"/>
      <c r="L1275" s="187"/>
      <c r="M1275" s="188"/>
      <c r="N1275" s="188"/>
      <c r="O1275" s="208"/>
      <c r="P1275" s="208"/>
      <c r="Q1275" s="208"/>
      <c r="R1275" s="208"/>
    </row>
    <row r="1276">
      <c r="A1276" s="185"/>
      <c r="B1276" s="186"/>
      <c r="C1276" s="185"/>
      <c r="D1276" s="185"/>
      <c r="E1276" s="185"/>
      <c r="F1276" s="185"/>
      <c r="G1276" s="185"/>
      <c r="H1276" s="185"/>
      <c r="I1276" s="185"/>
      <c r="J1276" s="185"/>
      <c r="K1276" s="185"/>
      <c r="L1276" s="187"/>
      <c r="M1276" s="188"/>
      <c r="N1276" s="188"/>
      <c r="O1276" s="208"/>
      <c r="P1276" s="208"/>
      <c r="Q1276" s="208"/>
      <c r="R1276" s="208"/>
    </row>
    <row r="1277">
      <c r="A1277" s="185"/>
      <c r="B1277" s="186"/>
      <c r="C1277" s="185"/>
      <c r="D1277" s="185"/>
      <c r="E1277" s="185"/>
      <c r="F1277" s="185"/>
      <c r="G1277" s="185"/>
      <c r="H1277" s="185"/>
      <c r="I1277" s="185"/>
      <c r="J1277" s="185"/>
      <c r="K1277" s="185"/>
      <c r="L1277" s="187"/>
      <c r="M1277" s="188"/>
      <c r="N1277" s="188"/>
      <c r="O1277" s="208"/>
      <c r="P1277" s="208"/>
      <c r="Q1277" s="208"/>
      <c r="R1277" s="208"/>
    </row>
    <row r="1278">
      <c r="A1278" s="185"/>
      <c r="B1278" s="186"/>
      <c r="C1278" s="185"/>
      <c r="D1278" s="185"/>
      <c r="E1278" s="185"/>
      <c r="F1278" s="185"/>
      <c r="G1278" s="185"/>
      <c r="H1278" s="185"/>
      <c r="I1278" s="185"/>
      <c r="J1278" s="185"/>
      <c r="K1278" s="185"/>
      <c r="L1278" s="187"/>
      <c r="M1278" s="188"/>
      <c r="N1278" s="188"/>
      <c r="O1278" s="208"/>
      <c r="P1278" s="208"/>
      <c r="Q1278" s="208"/>
      <c r="R1278" s="208"/>
    </row>
    <row r="1279">
      <c r="A1279" s="185"/>
      <c r="B1279" s="186"/>
      <c r="C1279" s="185"/>
      <c r="D1279" s="185"/>
      <c r="E1279" s="185"/>
      <c r="F1279" s="185"/>
      <c r="G1279" s="185"/>
      <c r="H1279" s="185"/>
      <c r="I1279" s="185"/>
      <c r="J1279" s="185"/>
      <c r="K1279" s="185"/>
      <c r="L1279" s="187"/>
      <c r="M1279" s="188"/>
      <c r="N1279" s="188"/>
      <c r="O1279" s="208"/>
      <c r="P1279" s="208"/>
      <c r="Q1279" s="208"/>
      <c r="R1279" s="208"/>
    </row>
    <row r="1280">
      <c r="A1280" s="185"/>
      <c r="B1280" s="186"/>
      <c r="C1280" s="185"/>
      <c r="D1280" s="185"/>
      <c r="E1280" s="185"/>
      <c r="F1280" s="185"/>
      <c r="G1280" s="185"/>
      <c r="H1280" s="185"/>
      <c r="I1280" s="185"/>
      <c r="J1280" s="185"/>
      <c r="K1280" s="185"/>
      <c r="L1280" s="187"/>
      <c r="M1280" s="188"/>
      <c r="N1280" s="188"/>
      <c r="O1280" s="208"/>
      <c r="P1280" s="208"/>
      <c r="Q1280" s="208"/>
      <c r="R1280" s="208"/>
    </row>
    <row r="1281">
      <c r="A1281" s="185"/>
      <c r="B1281" s="186"/>
      <c r="C1281" s="185"/>
      <c r="D1281" s="185"/>
      <c r="E1281" s="185"/>
      <c r="F1281" s="185"/>
      <c r="G1281" s="185"/>
      <c r="H1281" s="185"/>
      <c r="I1281" s="185"/>
      <c r="J1281" s="185"/>
      <c r="K1281" s="185"/>
      <c r="L1281" s="187"/>
      <c r="M1281" s="188"/>
      <c r="N1281" s="188"/>
      <c r="O1281" s="208"/>
      <c r="P1281" s="208"/>
      <c r="Q1281" s="208"/>
      <c r="R1281" s="208"/>
    </row>
    <row r="1282">
      <c r="A1282" s="185"/>
      <c r="B1282" s="186"/>
      <c r="C1282" s="185"/>
      <c r="D1282" s="185"/>
      <c r="E1282" s="185"/>
      <c r="F1282" s="185"/>
      <c r="G1282" s="185"/>
      <c r="H1282" s="185"/>
      <c r="I1282" s="185"/>
      <c r="J1282" s="185"/>
      <c r="K1282" s="185"/>
      <c r="L1282" s="187"/>
      <c r="M1282" s="188"/>
      <c r="N1282" s="188"/>
      <c r="O1282" s="208"/>
      <c r="P1282" s="208"/>
      <c r="Q1282" s="208"/>
      <c r="R1282" s="208"/>
    </row>
    <row r="1283">
      <c r="A1283" s="185"/>
      <c r="B1283" s="186"/>
      <c r="C1283" s="185"/>
      <c r="D1283" s="185"/>
      <c r="E1283" s="185"/>
      <c r="F1283" s="185"/>
      <c r="G1283" s="185"/>
      <c r="H1283" s="185"/>
      <c r="I1283" s="185"/>
      <c r="J1283" s="185"/>
      <c r="K1283" s="185"/>
      <c r="L1283" s="187"/>
      <c r="M1283" s="188"/>
      <c r="N1283" s="188"/>
      <c r="O1283" s="208"/>
      <c r="P1283" s="208"/>
      <c r="Q1283" s="208"/>
      <c r="R1283" s="208"/>
    </row>
    <row r="1284">
      <c r="A1284" s="185"/>
      <c r="B1284" s="186"/>
      <c r="C1284" s="185"/>
      <c r="D1284" s="185"/>
      <c r="E1284" s="185"/>
      <c r="F1284" s="185"/>
      <c r="G1284" s="185"/>
      <c r="H1284" s="185"/>
      <c r="I1284" s="185"/>
      <c r="J1284" s="185"/>
      <c r="K1284" s="185"/>
      <c r="L1284" s="187"/>
      <c r="M1284" s="188"/>
      <c r="N1284" s="188"/>
      <c r="O1284" s="208"/>
      <c r="P1284" s="208"/>
      <c r="Q1284" s="208"/>
      <c r="R1284" s="208"/>
    </row>
    <row r="1285">
      <c r="A1285" s="185"/>
      <c r="B1285" s="186"/>
      <c r="C1285" s="185"/>
      <c r="D1285" s="185"/>
      <c r="E1285" s="185"/>
      <c r="F1285" s="185"/>
      <c r="G1285" s="185"/>
      <c r="H1285" s="185"/>
      <c r="I1285" s="185"/>
      <c r="J1285" s="185"/>
      <c r="K1285" s="185"/>
      <c r="L1285" s="187"/>
      <c r="M1285" s="188"/>
      <c r="N1285" s="188"/>
      <c r="O1285" s="208"/>
      <c r="P1285" s="208"/>
      <c r="Q1285" s="208"/>
      <c r="R1285" s="208"/>
    </row>
    <row r="1286">
      <c r="A1286" s="185"/>
      <c r="B1286" s="186"/>
      <c r="C1286" s="185"/>
      <c r="D1286" s="185"/>
      <c r="E1286" s="185"/>
      <c r="F1286" s="185"/>
      <c r="G1286" s="185"/>
      <c r="H1286" s="185"/>
      <c r="I1286" s="185"/>
      <c r="J1286" s="185"/>
      <c r="K1286" s="185"/>
      <c r="L1286" s="187"/>
      <c r="M1286" s="188"/>
      <c r="N1286" s="188"/>
      <c r="O1286" s="208"/>
      <c r="P1286" s="208"/>
      <c r="Q1286" s="208"/>
      <c r="R1286" s="208"/>
    </row>
    <row r="1287">
      <c r="A1287" s="185"/>
      <c r="B1287" s="186"/>
      <c r="C1287" s="185"/>
      <c r="D1287" s="185"/>
      <c r="E1287" s="185"/>
      <c r="F1287" s="185"/>
      <c r="G1287" s="185"/>
      <c r="H1287" s="185"/>
      <c r="I1287" s="185"/>
      <c r="J1287" s="185"/>
      <c r="K1287" s="185"/>
      <c r="L1287" s="187"/>
      <c r="M1287" s="188"/>
      <c r="N1287" s="188"/>
      <c r="O1287" s="208"/>
      <c r="P1287" s="208"/>
      <c r="Q1287" s="208"/>
      <c r="R1287" s="208"/>
    </row>
    <row r="1288">
      <c r="A1288" s="185"/>
      <c r="B1288" s="186"/>
      <c r="C1288" s="185"/>
      <c r="D1288" s="185"/>
      <c r="E1288" s="185"/>
      <c r="F1288" s="185"/>
      <c r="G1288" s="185"/>
      <c r="H1288" s="185"/>
      <c r="I1288" s="185"/>
      <c r="J1288" s="185"/>
      <c r="K1288" s="185"/>
      <c r="L1288" s="187"/>
      <c r="M1288" s="188"/>
      <c r="N1288" s="188"/>
      <c r="O1288" s="208"/>
      <c r="P1288" s="208"/>
      <c r="Q1288" s="208"/>
      <c r="R1288" s="208"/>
    </row>
    <row r="1289">
      <c r="A1289" s="185"/>
      <c r="B1289" s="186"/>
      <c r="C1289" s="185"/>
      <c r="D1289" s="185"/>
      <c r="E1289" s="185"/>
      <c r="F1289" s="185"/>
      <c r="G1289" s="185"/>
      <c r="H1289" s="185"/>
      <c r="I1289" s="185"/>
      <c r="J1289" s="185"/>
      <c r="K1289" s="185"/>
      <c r="L1289" s="187"/>
      <c r="M1289" s="188"/>
      <c r="N1289" s="188"/>
      <c r="O1289" s="208"/>
      <c r="P1289" s="208"/>
      <c r="Q1289" s="208"/>
      <c r="R1289" s="208"/>
    </row>
    <row r="1290">
      <c r="A1290" s="185"/>
      <c r="B1290" s="186"/>
      <c r="C1290" s="185"/>
      <c r="D1290" s="185"/>
      <c r="E1290" s="185"/>
      <c r="F1290" s="185"/>
      <c r="G1290" s="185"/>
      <c r="H1290" s="185"/>
      <c r="I1290" s="185"/>
      <c r="J1290" s="185"/>
      <c r="K1290" s="185"/>
      <c r="L1290" s="187"/>
      <c r="M1290" s="188"/>
      <c r="N1290" s="188"/>
      <c r="O1290" s="208"/>
      <c r="P1290" s="208"/>
      <c r="Q1290" s="208"/>
      <c r="R1290" s="208"/>
    </row>
    <row r="1291">
      <c r="A1291" s="185"/>
      <c r="B1291" s="186"/>
      <c r="C1291" s="185"/>
      <c r="D1291" s="185"/>
      <c r="E1291" s="185"/>
      <c r="F1291" s="185"/>
      <c r="G1291" s="185"/>
      <c r="H1291" s="185"/>
      <c r="I1291" s="185"/>
      <c r="J1291" s="185"/>
      <c r="K1291" s="185"/>
      <c r="L1291" s="187"/>
      <c r="M1291" s="188"/>
      <c r="N1291" s="188"/>
      <c r="O1291" s="208"/>
      <c r="P1291" s="208"/>
      <c r="Q1291" s="208"/>
      <c r="R1291" s="208"/>
    </row>
    <row r="1292">
      <c r="A1292" s="185"/>
      <c r="B1292" s="186"/>
      <c r="C1292" s="185"/>
      <c r="D1292" s="185"/>
      <c r="E1292" s="185"/>
      <c r="F1292" s="185"/>
      <c r="G1292" s="185"/>
      <c r="H1292" s="185"/>
      <c r="I1292" s="185"/>
      <c r="J1292" s="185"/>
      <c r="K1292" s="185"/>
      <c r="L1292" s="187"/>
      <c r="M1292" s="188"/>
      <c r="N1292" s="188"/>
      <c r="O1292" s="208"/>
      <c r="P1292" s="208"/>
      <c r="Q1292" s="208"/>
      <c r="R1292" s="208"/>
    </row>
    <row r="1293">
      <c r="A1293" s="185"/>
      <c r="B1293" s="186"/>
      <c r="C1293" s="185"/>
      <c r="D1293" s="185"/>
      <c r="E1293" s="185"/>
      <c r="F1293" s="185"/>
      <c r="G1293" s="185"/>
      <c r="H1293" s="185"/>
      <c r="I1293" s="185"/>
      <c r="J1293" s="185"/>
      <c r="K1293" s="185"/>
      <c r="L1293" s="187"/>
      <c r="M1293" s="188"/>
      <c r="N1293" s="188"/>
      <c r="O1293" s="208"/>
      <c r="P1293" s="208"/>
      <c r="Q1293" s="208"/>
      <c r="R1293" s="208"/>
    </row>
    <row r="1294">
      <c r="A1294" s="185"/>
      <c r="B1294" s="186"/>
      <c r="C1294" s="185"/>
      <c r="D1294" s="185"/>
      <c r="E1294" s="185"/>
      <c r="F1294" s="185"/>
      <c r="G1294" s="185"/>
      <c r="H1294" s="185"/>
      <c r="I1294" s="185"/>
      <c r="J1294" s="185"/>
      <c r="K1294" s="185"/>
      <c r="L1294" s="187"/>
      <c r="M1294" s="188"/>
      <c r="N1294" s="188"/>
      <c r="O1294" s="208"/>
      <c r="P1294" s="208"/>
      <c r="Q1294" s="208"/>
      <c r="R1294" s="208"/>
    </row>
    <row r="1295">
      <c r="A1295" s="185"/>
      <c r="B1295" s="186"/>
      <c r="C1295" s="185"/>
      <c r="D1295" s="185"/>
      <c r="E1295" s="185"/>
      <c r="F1295" s="185"/>
      <c r="G1295" s="185"/>
      <c r="H1295" s="185"/>
      <c r="I1295" s="185"/>
      <c r="J1295" s="185"/>
      <c r="K1295" s="185"/>
      <c r="L1295" s="187"/>
      <c r="M1295" s="188"/>
      <c r="N1295" s="188"/>
      <c r="O1295" s="208"/>
      <c r="P1295" s="208"/>
      <c r="Q1295" s="208"/>
      <c r="R1295" s="208"/>
    </row>
    <row r="1296">
      <c r="A1296" s="185"/>
      <c r="B1296" s="186"/>
      <c r="C1296" s="185"/>
      <c r="D1296" s="185"/>
      <c r="E1296" s="185"/>
      <c r="F1296" s="185"/>
      <c r="G1296" s="185"/>
      <c r="H1296" s="185"/>
      <c r="I1296" s="185"/>
      <c r="J1296" s="185"/>
      <c r="K1296" s="185"/>
      <c r="L1296" s="187"/>
      <c r="M1296" s="188"/>
      <c r="N1296" s="188"/>
      <c r="O1296" s="208"/>
      <c r="P1296" s="208"/>
      <c r="Q1296" s="208"/>
      <c r="R1296" s="208"/>
    </row>
    <row r="1297">
      <c r="A1297" s="185"/>
      <c r="B1297" s="186"/>
      <c r="C1297" s="185"/>
      <c r="D1297" s="185"/>
      <c r="E1297" s="185"/>
      <c r="F1297" s="185"/>
      <c r="G1297" s="185"/>
      <c r="H1297" s="185"/>
      <c r="I1297" s="185"/>
      <c r="J1297" s="185"/>
      <c r="K1297" s="185"/>
      <c r="L1297" s="187"/>
      <c r="M1297" s="188"/>
      <c r="N1297" s="188"/>
      <c r="O1297" s="208"/>
      <c r="P1297" s="208"/>
      <c r="Q1297" s="208"/>
      <c r="R1297" s="208"/>
    </row>
    <row r="1298">
      <c r="A1298" s="185"/>
      <c r="B1298" s="186"/>
      <c r="C1298" s="185"/>
      <c r="D1298" s="185"/>
      <c r="E1298" s="185"/>
      <c r="F1298" s="185"/>
      <c r="G1298" s="185"/>
      <c r="H1298" s="185"/>
      <c r="I1298" s="185"/>
      <c r="J1298" s="185"/>
      <c r="K1298" s="185"/>
      <c r="L1298" s="187"/>
      <c r="M1298" s="188"/>
      <c r="N1298" s="188"/>
      <c r="O1298" s="208"/>
      <c r="P1298" s="208"/>
      <c r="Q1298" s="208"/>
      <c r="R1298" s="208"/>
    </row>
    <row r="1299">
      <c r="A1299" s="185"/>
      <c r="B1299" s="186"/>
      <c r="C1299" s="185"/>
      <c r="D1299" s="185"/>
      <c r="E1299" s="185"/>
      <c r="F1299" s="185"/>
      <c r="G1299" s="185"/>
      <c r="H1299" s="185"/>
      <c r="I1299" s="185"/>
      <c r="J1299" s="185"/>
      <c r="K1299" s="185"/>
      <c r="L1299" s="187"/>
      <c r="M1299" s="188"/>
      <c r="N1299" s="188"/>
      <c r="O1299" s="208"/>
      <c r="P1299" s="208"/>
      <c r="Q1299" s="208"/>
      <c r="R1299" s="208"/>
    </row>
    <row r="1300">
      <c r="A1300" s="185"/>
      <c r="B1300" s="186"/>
      <c r="C1300" s="185"/>
      <c r="D1300" s="185"/>
      <c r="E1300" s="185"/>
      <c r="F1300" s="185"/>
      <c r="G1300" s="185"/>
      <c r="H1300" s="185"/>
      <c r="I1300" s="185"/>
      <c r="J1300" s="185"/>
      <c r="K1300" s="185"/>
      <c r="L1300" s="187"/>
      <c r="M1300" s="188"/>
      <c r="N1300" s="188"/>
      <c r="O1300" s="208"/>
      <c r="P1300" s="208"/>
      <c r="Q1300" s="208"/>
      <c r="R1300" s="208"/>
    </row>
    <row r="1301">
      <c r="A1301" s="185"/>
      <c r="B1301" s="186"/>
      <c r="C1301" s="185"/>
      <c r="D1301" s="185"/>
      <c r="E1301" s="185"/>
      <c r="F1301" s="185"/>
      <c r="G1301" s="185"/>
      <c r="H1301" s="185"/>
      <c r="I1301" s="185"/>
      <c r="J1301" s="185"/>
      <c r="K1301" s="185"/>
      <c r="L1301" s="187"/>
      <c r="M1301" s="188"/>
      <c r="N1301" s="188"/>
      <c r="O1301" s="208"/>
      <c r="P1301" s="208"/>
      <c r="Q1301" s="208"/>
      <c r="R1301" s="208"/>
    </row>
    <row r="1302">
      <c r="A1302" s="185"/>
      <c r="B1302" s="186"/>
      <c r="C1302" s="185"/>
      <c r="D1302" s="185"/>
      <c r="E1302" s="185"/>
      <c r="F1302" s="185"/>
      <c r="G1302" s="185"/>
      <c r="H1302" s="185"/>
      <c r="I1302" s="185"/>
      <c r="J1302" s="185"/>
      <c r="K1302" s="185"/>
      <c r="L1302" s="187"/>
      <c r="M1302" s="188"/>
      <c r="N1302" s="188"/>
      <c r="O1302" s="208"/>
      <c r="P1302" s="208"/>
      <c r="Q1302" s="208"/>
      <c r="R1302" s="208"/>
    </row>
    <row r="1303">
      <c r="A1303" s="185"/>
      <c r="B1303" s="186"/>
      <c r="C1303" s="185"/>
      <c r="D1303" s="185"/>
      <c r="E1303" s="185"/>
      <c r="F1303" s="185"/>
      <c r="G1303" s="185"/>
      <c r="H1303" s="185"/>
      <c r="I1303" s="185"/>
      <c r="J1303" s="185"/>
      <c r="K1303" s="185"/>
      <c r="L1303" s="187"/>
      <c r="M1303" s="188"/>
      <c r="N1303" s="188"/>
      <c r="O1303" s="208"/>
      <c r="P1303" s="208"/>
      <c r="Q1303" s="208"/>
      <c r="R1303" s="208"/>
    </row>
    <row r="1304">
      <c r="A1304" s="185"/>
      <c r="B1304" s="186"/>
      <c r="C1304" s="185"/>
      <c r="D1304" s="185"/>
      <c r="E1304" s="185"/>
      <c r="F1304" s="185"/>
      <c r="G1304" s="185"/>
      <c r="H1304" s="185"/>
      <c r="I1304" s="185"/>
      <c r="J1304" s="185"/>
      <c r="K1304" s="185"/>
      <c r="L1304" s="187"/>
      <c r="M1304" s="188"/>
      <c r="N1304" s="188"/>
      <c r="O1304" s="208"/>
      <c r="P1304" s="208"/>
      <c r="Q1304" s="208"/>
      <c r="R1304" s="208"/>
    </row>
    <row r="1305">
      <c r="A1305" s="185"/>
      <c r="B1305" s="186"/>
      <c r="C1305" s="185"/>
      <c r="D1305" s="185"/>
      <c r="E1305" s="185"/>
      <c r="F1305" s="185"/>
      <c r="G1305" s="185"/>
      <c r="H1305" s="185"/>
      <c r="I1305" s="185"/>
      <c r="J1305" s="185"/>
      <c r="K1305" s="185"/>
      <c r="L1305" s="187"/>
      <c r="M1305" s="188"/>
      <c r="N1305" s="188"/>
      <c r="O1305" s="208"/>
      <c r="P1305" s="208"/>
      <c r="Q1305" s="208"/>
      <c r="R1305" s="208"/>
    </row>
    <row r="1306">
      <c r="A1306" s="185"/>
      <c r="B1306" s="186"/>
      <c r="C1306" s="185"/>
      <c r="D1306" s="185"/>
      <c r="E1306" s="185"/>
      <c r="F1306" s="185"/>
      <c r="G1306" s="185"/>
      <c r="H1306" s="185"/>
      <c r="I1306" s="185"/>
      <c r="J1306" s="185"/>
      <c r="K1306" s="185"/>
      <c r="L1306" s="187"/>
      <c r="M1306" s="188"/>
      <c r="N1306" s="188"/>
      <c r="O1306" s="208"/>
      <c r="P1306" s="208"/>
      <c r="Q1306" s="208"/>
      <c r="R1306" s="208"/>
    </row>
    <row r="1307">
      <c r="A1307" s="185"/>
      <c r="B1307" s="186"/>
      <c r="C1307" s="185"/>
      <c r="D1307" s="185"/>
      <c r="E1307" s="185"/>
      <c r="F1307" s="185"/>
      <c r="G1307" s="185"/>
      <c r="H1307" s="185"/>
      <c r="I1307" s="185"/>
      <c r="J1307" s="185"/>
      <c r="K1307" s="185"/>
      <c r="L1307" s="187"/>
      <c r="M1307" s="188"/>
      <c r="N1307" s="188"/>
      <c r="O1307" s="208"/>
      <c r="P1307" s="208"/>
      <c r="Q1307" s="208"/>
      <c r="R1307" s="208"/>
    </row>
    <row r="1308">
      <c r="A1308" s="185"/>
      <c r="B1308" s="186"/>
      <c r="C1308" s="185"/>
      <c r="D1308" s="185"/>
      <c r="E1308" s="185"/>
      <c r="F1308" s="185"/>
      <c r="G1308" s="185"/>
      <c r="H1308" s="185"/>
      <c r="I1308" s="185"/>
      <c r="J1308" s="185"/>
      <c r="K1308" s="185"/>
      <c r="L1308" s="187"/>
      <c r="M1308" s="188"/>
      <c r="N1308" s="188"/>
      <c r="O1308" s="208"/>
      <c r="P1308" s="208"/>
      <c r="Q1308" s="208"/>
      <c r="R1308" s="208"/>
    </row>
    <row r="1309">
      <c r="A1309" s="185"/>
      <c r="B1309" s="186"/>
      <c r="C1309" s="185"/>
      <c r="D1309" s="185"/>
      <c r="E1309" s="185"/>
      <c r="F1309" s="185"/>
      <c r="G1309" s="185"/>
      <c r="H1309" s="185"/>
      <c r="I1309" s="185"/>
      <c r="J1309" s="185"/>
      <c r="K1309" s="185"/>
      <c r="L1309" s="187"/>
      <c r="M1309" s="188"/>
      <c r="N1309" s="188"/>
      <c r="O1309" s="208"/>
      <c r="P1309" s="208"/>
      <c r="Q1309" s="208"/>
      <c r="R1309" s="208"/>
    </row>
    <row r="1310">
      <c r="A1310" s="185"/>
      <c r="B1310" s="186"/>
      <c r="C1310" s="185"/>
      <c r="D1310" s="185"/>
      <c r="E1310" s="185"/>
      <c r="F1310" s="185"/>
      <c r="G1310" s="185"/>
      <c r="H1310" s="185"/>
      <c r="I1310" s="185"/>
      <c r="J1310" s="185"/>
      <c r="K1310" s="185"/>
      <c r="L1310" s="187"/>
      <c r="M1310" s="188"/>
      <c r="N1310" s="188"/>
      <c r="O1310" s="208"/>
      <c r="P1310" s="208"/>
      <c r="Q1310" s="208"/>
      <c r="R1310" s="208"/>
    </row>
    <row r="1311">
      <c r="A1311" s="185"/>
      <c r="B1311" s="186"/>
      <c r="C1311" s="185"/>
      <c r="D1311" s="185"/>
      <c r="E1311" s="185"/>
      <c r="F1311" s="185"/>
      <c r="G1311" s="185"/>
      <c r="H1311" s="185"/>
      <c r="I1311" s="185"/>
      <c r="J1311" s="185"/>
      <c r="K1311" s="185"/>
      <c r="L1311" s="187"/>
      <c r="M1311" s="188"/>
      <c r="N1311" s="188"/>
      <c r="O1311" s="208"/>
      <c r="P1311" s="208"/>
      <c r="Q1311" s="208"/>
      <c r="R1311" s="208"/>
    </row>
    <row r="1312">
      <c r="A1312" s="185"/>
      <c r="B1312" s="186"/>
      <c r="C1312" s="185"/>
      <c r="D1312" s="185"/>
      <c r="E1312" s="185"/>
      <c r="F1312" s="185"/>
      <c r="G1312" s="185"/>
      <c r="H1312" s="185"/>
      <c r="I1312" s="185"/>
      <c r="J1312" s="185"/>
      <c r="K1312" s="185"/>
      <c r="L1312" s="187"/>
      <c r="M1312" s="188"/>
      <c r="N1312" s="188"/>
      <c r="O1312" s="208"/>
      <c r="P1312" s="208"/>
      <c r="Q1312" s="208"/>
      <c r="R1312" s="208"/>
    </row>
    <row r="1313">
      <c r="A1313" s="185"/>
      <c r="B1313" s="186"/>
      <c r="C1313" s="185"/>
      <c r="D1313" s="185"/>
      <c r="E1313" s="185"/>
      <c r="F1313" s="185"/>
      <c r="G1313" s="185"/>
      <c r="H1313" s="185"/>
      <c r="I1313" s="185"/>
      <c r="J1313" s="185"/>
      <c r="K1313" s="185"/>
      <c r="L1313" s="187"/>
      <c r="M1313" s="188"/>
      <c r="N1313" s="188"/>
      <c r="O1313" s="208"/>
      <c r="P1313" s="208"/>
      <c r="Q1313" s="208"/>
      <c r="R1313" s="208"/>
    </row>
    <row r="1314">
      <c r="A1314" s="185"/>
      <c r="B1314" s="186"/>
      <c r="C1314" s="185"/>
      <c r="D1314" s="185"/>
      <c r="E1314" s="185"/>
      <c r="F1314" s="185"/>
      <c r="G1314" s="185"/>
      <c r="H1314" s="185"/>
      <c r="I1314" s="185"/>
      <c r="J1314" s="185"/>
      <c r="K1314" s="185"/>
      <c r="L1314" s="187"/>
      <c r="M1314" s="188"/>
      <c r="N1314" s="188"/>
      <c r="O1314" s="208"/>
      <c r="P1314" s="208"/>
      <c r="Q1314" s="208"/>
      <c r="R1314" s="208"/>
    </row>
    <row r="1315">
      <c r="A1315" s="185"/>
      <c r="B1315" s="186"/>
      <c r="C1315" s="185"/>
      <c r="D1315" s="185"/>
      <c r="E1315" s="185"/>
      <c r="F1315" s="185"/>
      <c r="G1315" s="185"/>
      <c r="H1315" s="185"/>
      <c r="I1315" s="185"/>
      <c r="J1315" s="185"/>
      <c r="K1315" s="185"/>
      <c r="L1315" s="187"/>
      <c r="M1315" s="188"/>
      <c r="N1315" s="188"/>
      <c r="O1315" s="208"/>
      <c r="P1315" s="208"/>
      <c r="Q1315" s="208"/>
      <c r="R1315" s="208"/>
    </row>
    <row r="1316">
      <c r="A1316" s="185"/>
      <c r="B1316" s="186"/>
      <c r="C1316" s="185"/>
      <c r="D1316" s="185"/>
      <c r="E1316" s="185"/>
      <c r="F1316" s="185"/>
      <c r="G1316" s="185"/>
      <c r="H1316" s="185"/>
      <c r="I1316" s="185"/>
      <c r="J1316" s="185"/>
      <c r="K1316" s="185"/>
      <c r="L1316" s="187"/>
      <c r="M1316" s="188"/>
      <c r="N1316" s="188"/>
      <c r="O1316" s="208"/>
      <c r="P1316" s="208"/>
      <c r="Q1316" s="208"/>
      <c r="R1316" s="208"/>
    </row>
    <row r="1317">
      <c r="A1317" s="185"/>
      <c r="B1317" s="186"/>
      <c r="C1317" s="185"/>
      <c r="D1317" s="185"/>
      <c r="E1317" s="185"/>
      <c r="F1317" s="185"/>
      <c r="G1317" s="185"/>
      <c r="H1317" s="185"/>
      <c r="I1317" s="185"/>
      <c r="J1317" s="185"/>
      <c r="K1317" s="185"/>
      <c r="L1317" s="187"/>
      <c r="M1317" s="188"/>
      <c r="N1317" s="188"/>
      <c r="O1317" s="208"/>
      <c r="P1317" s="208"/>
      <c r="Q1317" s="208"/>
      <c r="R1317" s="208"/>
    </row>
    <row r="1318">
      <c r="A1318" s="185"/>
      <c r="B1318" s="186"/>
      <c r="C1318" s="185"/>
      <c r="D1318" s="185"/>
      <c r="E1318" s="185"/>
      <c r="F1318" s="185"/>
      <c r="G1318" s="185"/>
      <c r="H1318" s="185"/>
      <c r="I1318" s="185"/>
      <c r="J1318" s="185"/>
      <c r="K1318" s="185"/>
      <c r="L1318" s="187"/>
      <c r="M1318" s="188"/>
      <c r="N1318" s="188"/>
      <c r="O1318" s="208"/>
      <c r="P1318" s="208"/>
      <c r="Q1318" s="208"/>
      <c r="R1318" s="208"/>
    </row>
    <row r="1319">
      <c r="A1319" s="185"/>
      <c r="B1319" s="186"/>
      <c r="C1319" s="185"/>
      <c r="D1319" s="185"/>
      <c r="E1319" s="185"/>
      <c r="F1319" s="185"/>
      <c r="G1319" s="185"/>
      <c r="H1319" s="185"/>
      <c r="I1319" s="185"/>
      <c r="J1319" s="185"/>
      <c r="K1319" s="185"/>
      <c r="L1319" s="187"/>
      <c r="M1319" s="188"/>
      <c r="N1319" s="188"/>
      <c r="O1319" s="208"/>
      <c r="P1319" s="208"/>
      <c r="Q1319" s="208"/>
      <c r="R1319" s="208"/>
    </row>
    <row r="1320">
      <c r="A1320" s="185"/>
      <c r="B1320" s="186"/>
      <c r="C1320" s="185"/>
      <c r="D1320" s="185"/>
      <c r="E1320" s="185"/>
      <c r="F1320" s="185"/>
      <c r="G1320" s="185"/>
      <c r="H1320" s="185"/>
      <c r="I1320" s="185"/>
      <c r="J1320" s="185"/>
      <c r="K1320" s="185"/>
      <c r="L1320" s="187"/>
      <c r="M1320" s="188"/>
      <c r="N1320" s="188"/>
      <c r="O1320" s="208"/>
      <c r="P1320" s="208"/>
      <c r="Q1320" s="208"/>
      <c r="R1320" s="208"/>
    </row>
    <row r="1321">
      <c r="A1321" s="185"/>
      <c r="B1321" s="186"/>
      <c r="C1321" s="185"/>
      <c r="D1321" s="185"/>
      <c r="E1321" s="185"/>
      <c r="F1321" s="185"/>
      <c r="G1321" s="185"/>
      <c r="H1321" s="185"/>
      <c r="I1321" s="185"/>
      <c r="J1321" s="185"/>
      <c r="K1321" s="185"/>
      <c r="L1321" s="187"/>
      <c r="M1321" s="188"/>
      <c r="N1321" s="188"/>
      <c r="O1321" s="208"/>
      <c r="P1321" s="208"/>
      <c r="Q1321" s="208"/>
      <c r="R1321" s="208"/>
    </row>
    <row r="1322">
      <c r="A1322" s="185"/>
      <c r="B1322" s="186"/>
      <c r="C1322" s="185"/>
      <c r="D1322" s="185"/>
      <c r="E1322" s="185"/>
      <c r="F1322" s="185"/>
      <c r="G1322" s="185"/>
      <c r="H1322" s="185"/>
      <c r="I1322" s="185"/>
      <c r="J1322" s="185"/>
      <c r="K1322" s="185"/>
      <c r="L1322" s="187"/>
      <c r="M1322" s="188"/>
      <c r="N1322" s="188"/>
      <c r="O1322" s="208"/>
      <c r="P1322" s="208"/>
      <c r="Q1322" s="208"/>
      <c r="R1322" s="208"/>
    </row>
    <row r="1323">
      <c r="A1323" s="185"/>
      <c r="B1323" s="186"/>
      <c r="C1323" s="185"/>
      <c r="D1323" s="185"/>
      <c r="E1323" s="185"/>
      <c r="F1323" s="185"/>
      <c r="G1323" s="185"/>
      <c r="H1323" s="185"/>
      <c r="I1323" s="185"/>
      <c r="J1323" s="185"/>
      <c r="K1323" s="185"/>
      <c r="L1323" s="187"/>
      <c r="M1323" s="188"/>
      <c r="N1323" s="188"/>
      <c r="O1323" s="208"/>
      <c r="P1323" s="208"/>
      <c r="Q1323" s="208"/>
      <c r="R1323" s="208"/>
    </row>
    <row r="1324">
      <c r="A1324" s="185"/>
      <c r="B1324" s="186"/>
      <c r="C1324" s="185"/>
      <c r="D1324" s="185"/>
      <c r="E1324" s="185"/>
      <c r="F1324" s="185"/>
      <c r="G1324" s="185"/>
      <c r="H1324" s="185"/>
      <c r="I1324" s="185"/>
      <c r="J1324" s="185"/>
      <c r="K1324" s="185"/>
      <c r="L1324" s="187"/>
      <c r="M1324" s="188"/>
      <c r="N1324" s="188"/>
      <c r="O1324" s="208"/>
      <c r="P1324" s="208"/>
      <c r="Q1324" s="208"/>
      <c r="R1324" s="208"/>
    </row>
    <row r="1325">
      <c r="A1325" s="185"/>
      <c r="B1325" s="186"/>
      <c r="C1325" s="185"/>
      <c r="D1325" s="185"/>
      <c r="E1325" s="185"/>
      <c r="F1325" s="185"/>
      <c r="G1325" s="185"/>
      <c r="H1325" s="185"/>
      <c r="I1325" s="185"/>
      <c r="J1325" s="185"/>
      <c r="K1325" s="185"/>
      <c r="L1325" s="187"/>
      <c r="M1325" s="188"/>
      <c r="N1325" s="188"/>
      <c r="O1325" s="208"/>
      <c r="P1325" s="208"/>
      <c r="Q1325" s="208"/>
      <c r="R1325" s="208"/>
    </row>
    <row r="1326">
      <c r="A1326" s="185"/>
      <c r="B1326" s="186"/>
      <c r="C1326" s="185"/>
      <c r="D1326" s="185"/>
      <c r="E1326" s="185"/>
      <c r="F1326" s="185"/>
      <c r="G1326" s="185"/>
      <c r="H1326" s="185"/>
      <c r="I1326" s="185"/>
      <c r="J1326" s="185"/>
      <c r="K1326" s="185"/>
      <c r="L1326" s="187"/>
      <c r="M1326" s="188"/>
      <c r="N1326" s="188"/>
      <c r="O1326" s="208"/>
      <c r="P1326" s="208"/>
      <c r="Q1326" s="208"/>
      <c r="R1326" s="208"/>
    </row>
    <row r="1327">
      <c r="A1327" s="185"/>
      <c r="B1327" s="186"/>
      <c r="C1327" s="185"/>
      <c r="D1327" s="185"/>
      <c r="E1327" s="185"/>
      <c r="F1327" s="185"/>
      <c r="G1327" s="185"/>
      <c r="H1327" s="185"/>
      <c r="I1327" s="185"/>
      <c r="J1327" s="185"/>
      <c r="K1327" s="185"/>
      <c r="L1327" s="187"/>
      <c r="M1327" s="188"/>
      <c r="N1327" s="188"/>
      <c r="O1327" s="208"/>
      <c r="P1327" s="208"/>
      <c r="Q1327" s="208"/>
      <c r="R1327" s="208"/>
    </row>
    <row r="1328">
      <c r="A1328" s="185"/>
      <c r="B1328" s="186"/>
      <c r="C1328" s="185"/>
      <c r="D1328" s="185"/>
      <c r="E1328" s="185"/>
      <c r="F1328" s="185"/>
      <c r="G1328" s="185"/>
      <c r="H1328" s="185"/>
      <c r="I1328" s="185"/>
      <c r="J1328" s="185"/>
      <c r="K1328" s="185"/>
      <c r="L1328" s="187"/>
      <c r="M1328" s="188"/>
      <c r="N1328" s="188"/>
      <c r="O1328" s="208"/>
      <c r="P1328" s="208"/>
      <c r="Q1328" s="208"/>
      <c r="R1328" s="208"/>
    </row>
    <row r="1329">
      <c r="A1329" s="185"/>
      <c r="B1329" s="186"/>
      <c r="C1329" s="185"/>
      <c r="D1329" s="185"/>
      <c r="E1329" s="185"/>
      <c r="F1329" s="185"/>
      <c r="G1329" s="185"/>
      <c r="H1329" s="185"/>
      <c r="I1329" s="185"/>
      <c r="J1329" s="185"/>
      <c r="K1329" s="185"/>
      <c r="L1329" s="187"/>
      <c r="M1329" s="188"/>
      <c r="N1329" s="188"/>
      <c r="O1329" s="208"/>
      <c r="P1329" s="208"/>
      <c r="Q1329" s="208"/>
      <c r="R1329" s="208"/>
    </row>
    <row r="1330">
      <c r="A1330" s="185"/>
      <c r="B1330" s="186"/>
      <c r="C1330" s="185"/>
      <c r="D1330" s="185"/>
      <c r="E1330" s="185"/>
      <c r="F1330" s="185"/>
      <c r="G1330" s="185"/>
      <c r="H1330" s="185"/>
      <c r="I1330" s="185"/>
      <c r="J1330" s="185"/>
      <c r="K1330" s="185"/>
      <c r="L1330" s="187"/>
      <c r="M1330" s="188"/>
      <c r="N1330" s="188"/>
      <c r="O1330" s="208"/>
      <c r="P1330" s="208"/>
      <c r="Q1330" s="208"/>
      <c r="R1330" s="208"/>
    </row>
    <row r="1331">
      <c r="A1331" s="185"/>
      <c r="B1331" s="186"/>
      <c r="C1331" s="185"/>
      <c r="D1331" s="185"/>
      <c r="E1331" s="185"/>
      <c r="F1331" s="185"/>
      <c r="G1331" s="185"/>
      <c r="H1331" s="185"/>
      <c r="I1331" s="185"/>
      <c r="J1331" s="185"/>
      <c r="K1331" s="185"/>
      <c r="L1331" s="187"/>
      <c r="M1331" s="188"/>
      <c r="N1331" s="188"/>
      <c r="O1331" s="208"/>
      <c r="P1331" s="208"/>
      <c r="Q1331" s="208"/>
      <c r="R1331" s="208"/>
    </row>
    <row r="1332">
      <c r="A1332" s="185"/>
      <c r="B1332" s="186"/>
      <c r="C1332" s="185"/>
      <c r="D1332" s="185"/>
      <c r="E1332" s="185"/>
      <c r="F1332" s="185"/>
      <c r="G1332" s="185"/>
      <c r="H1332" s="185"/>
      <c r="I1332" s="185"/>
      <c r="J1332" s="185"/>
      <c r="K1332" s="185"/>
      <c r="L1332" s="187"/>
      <c r="M1332" s="188"/>
      <c r="N1332" s="188"/>
      <c r="O1332" s="208"/>
      <c r="P1332" s="208"/>
      <c r="Q1332" s="208"/>
      <c r="R1332" s="208"/>
    </row>
    <row r="1333">
      <c r="A1333" s="185"/>
      <c r="B1333" s="186"/>
      <c r="C1333" s="185"/>
      <c r="D1333" s="185"/>
      <c r="E1333" s="185"/>
      <c r="F1333" s="185"/>
      <c r="G1333" s="185"/>
      <c r="H1333" s="185"/>
      <c r="I1333" s="185"/>
      <c r="J1333" s="185"/>
      <c r="K1333" s="185"/>
      <c r="L1333" s="187"/>
      <c r="M1333" s="188"/>
      <c r="N1333" s="188"/>
      <c r="O1333" s="208"/>
      <c r="P1333" s="208"/>
      <c r="Q1333" s="208"/>
      <c r="R1333" s="208"/>
    </row>
    <row r="1334">
      <c r="A1334" s="185"/>
      <c r="B1334" s="186"/>
      <c r="C1334" s="185"/>
      <c r="D1334" s="185"/>
      <c r="E1334" s="185"/>
      <c r="F1334" s="185"/>
      <c r="G1334" s="185"/>
      <c r="H1334" s="185"/>
      <c r="I1334" s="185"/>
      <c r="J1334" s="185"/>
      <c r="K1334" s="185"/>
      <c r="L1334" s="187"/>
      <c r="M1334" s="188"/>
      <c r="N1334" s="188"/>
      <c r="O1334" s="208"/>
      <c r="P1334" s="208"/>
      <c r="Q1334" s="208"/>
      <c r="R1334" s="208"/>
    </row>
    <row r="1335">
      <c r="A1335" s="185"/>
      <c r="B1335" s="186"/>
      <c r="C1335" s="185"/>
      <c r="D1335" s="185"/>
      <c r="E1335" s="185"/>
      <c r="F1335" s="185"/>
      <c r="G1335" s="185"/>
      <c r="H1335" s="185"/>
      <c r="I1335" s="185"/>
      <c r="J1335" s="185"/>
      <c r="K1335" s="185"/>
      <c r="L1335" s="187"/>
      <c r="M1335" s="188"/>
      <c r="N1335" s="188"/>
      <c r="O1335" s="208"/>
      <c r="P1335" s="208"/>
      <c r="Q1335" s="208"/>
      <c r="R1335" s="208"/>
    </row>
    <row r="1336">
      <c r="A1336" s="185"/>
      <c r="B1336" s="186"/>
      <c r="C1336" s="185"/>
      <c r="D1336" s="185"/>
      <c r="E1336" s="185"/>
      <c r="F1336" s="185"/>
      <c r="G1336" s="185"/>
      <c r="H1336" s="185"/>
      <c r="I1336" s="185"/>
      <c r="J1336" s="185"/>
      <c r="K1336" s="185"/>
      <c r="L1336" s="187"/>
      <c r="M1336" s="188"/>
      <c r="N1336" s="188"/>
      <c r="O1336" s="208"/>
      <c r="P1336" s="208"/>
      <c r="Q1336" s="208"/>
      <c r="R1336" s="208"/>
    </row>
    <row r="1337">
      <c r="A1337" s="185"/>
      <c r="B1337" s="186"/>
      <c r="C1337" s="185"/>
      <c r="D1337" s="185"/>
      <c r="E1337" s="185"/>
      <c r="F1337" s="185"/>
      <c r="G1337" s="185"/>
      <c r="H1337" s="185"/>
      <c r="I1337" s="185"/>
      <c r="J1337" s="185"/>
      <c r="K1337" s="185"/>
      <c r="L1337" s="187"/>
      <c r="M1337" s="188"/>
      <c r="N1337" s="188"/>
      <c r="O1337" s="208"/>
      <c r="P1337" s="208"/>
      <c r="Q1337" s="208"/>
      <c r="R1337" s="208"/>
    </row>
    <row r="1338">
      <c r="A1338" s="185"/>
      <c r="B1338" s="186"/>
      <c r="C1338" s="185"/>
      <c r="D1338" s="185"/>
      <c r="E1338" s="185"/>
      <c r="F1338" s="185"/>
      <c r="G1338" s="185"/>
      <c r="H1338" s="185"/>
      <c r="I1338" s="185"/>
      <c r="J1338" s="185"/>
      <c r="K1338" s="185"/>
      <c r="L1338" s="187"/>
      <c r="M1338" s="188"/>
      <c r="N1338" s="188"/>
      <c r="O1338" s="208"/>
      <c r="P1338" s="208"/>
      <c r="Q1338" s="208"/>
      <c r="R1338" s="208"/>
    </row>
    <row r="1339">
      <c r="A1339" s="185"/>
      <c r="B1339" s="186"/>
      <c r="C1339" s="185"/>
      <c r="D1339" s="185"/>
      <c r="E1339" s="185"/>
      <c r="F1339" s="185"/>
      <c r="G1339" s="185"/>
      <c r="H1339" s="185"/>
      <c r="I1339" s="185"/>
      <c r="J1339" s="185"/>
      <c r="K1339" s="185"/>
      <c r="L1339" s="187"/>
      <c r="M1339" s="188"/>
      <c r="N1339" s="188"/>
      <c r="O1339" s="208"/>
      <c r="P1339" s="208"/>
      <c r="Q1339" s="208"/>
      <c r="R1339" s="208"/>
    </row>
    <row r="1340">
      <c r="A1340" s="185"/>
      <c r="B1340" s="186"/>
      <c r="C1340" s="185"/>
      <c r="D1340" s="185"/>
      <c r="E1340" s="185"/>
      <c r="F1340" s="185"/>
      <c r="G1340" s="185"/>
      <c r="H1340" s="185"/>
      <c r="I1340" s="185"/>
      <c r="J1340" s="185"/>
      <c r="K1340" s="185"/>
      <c r="L1340" s="187"/>
      <c r="M1340" s="188"/>
      <c r="N1340" s="188"/>
      <c r="O1340" s="208"/>
      <c r="P1340" s="208"/>
      <c r="Q1340" s="208"/>
      <c r="R1340" s="208"/>
    </row>
    <row r="1341">
      <c r="A1341" s="185"/>
      <c r="B1341" s="186"/>
      <c r="C1341" s="185"/>
      <c r="D1341" s="185"/>
      <c r="E1341" s="185"/>
      <c r="F1341" s="185"/>
      <c r="G1341" s="185"/>
      <c r="H1341" s="185"/>
      <c r="I1341" s="185"/>
      <c r="J1341" s="185"/>
      <c r="K1341" s="185"/>
      <c r="L1341" s="187"/>
      <c r="M1341" s="188"/>
      <c r="N1341" s="188"/>
      <c r="O1341" s="208"/>
      <c r="P1341" s="208"/>
      <c r="Q1341" s="208"/>
      <c r="R1341" s="208"/>
    </row>
    <row r="1342">
      <c r="A1342" s="185"/>
      <c r="B1342" s="186"/>
      <c r="C1342" s="185"/>
      <c r="D1342" s="185"/>
      <c r="E1342" s="185"/>
      <c r="F1342" s="185"/>
      <c r="G1342" s="185"/>
      <c r="H1342" s="185"/>
      <c r="I1342" s="185"/>
      <c r="J1342" s="185"/>
      <c r="K1342" s="185"/>
      <c r="L1342" s="187"/>
      <c r="M1342" s="188"/>
      <c r="N1342" s="188"/>
      <c r="O1342" s="208"/>
      <c r="P1342" s="208"/>
      <c r="Q1342" s="208"/>
      <c r="R1342" s="208"/>
    </row>
    <row r="1343">
      <c r="A1343" s="185"/>
      <c r="B1343" s="186"/>
      <c r="C1343" s="185"/>
      <c r="D1343" s="185"/>
      <c r="E1343" s="185"/>
      <c r="F1343" s="185"/>
      <c r="G1343" s="185"/>
      <c r="H1343" s="185"/>
      <c r="I1343" s="185"/>
      <c r="J1343" s="185"/>
      <c r="K1343" s="185"/>
      <c r="L1343" s="187"/>
      <c r="M1343" s="188"/>
      <c r="N1343" s="188"/>
      <c r="O1343" s="208"/>
      <c r="P1343" s="208"/>
      <c r="Q1343" s="208"/>
      <c r="R1343" s="208"/>
    </row>
    <row r="1344">
      <c r="A1344" s="185"/>
      <c r="B1344" s="186"/>
      <c r="C1344" s="185"/>
      <c r="D1344" s="185"/>
      <c r="E1344" s="185"/>
      <c r="F1344" s="185"/>
      <c r="G1344" s="185"/>
      <c r="H1344" s="185"/>
      <c r="I1344" s="185"/>
      <c r="J1344" s="185"/>
      <c r="K1344" s="185"/>
      <c r="L1344" s="187"/>
      <c r="M1344" s="188"/>
      <c r="N1344" s="188"/>
      <c r="O1344" s="208"/>
      <c r="P1344" s="208"/>
      <c r="Q1344" s="208"/>
      <c r="R1344" s="208"/>
    </row>
    <row r="1345">
      <c r="A1345" s="185"/>
      <c r="B1345" s="186"/>
      <c r="C1345" s="185"/>
      <c r="D1345" s="185"/>
      <c r="E1345" s="185"/>
      <c r="F1345" s="185"/>
      <c r="G1345" s="185"/>
      <c r="H1345" s="185"/>
      <c r="I1345" s="185"/>
      <c r="J1345" s="185"/>
      <c r="K1345" s="185"/>
      <c r="L1345" s="187"/>
      <c r="M1345" s="188"/>
      <c r="N1345" s="188"/>
      <c r="O1345" s="208"/>
      <c r="P1345" s="208"/>
      <c r="Q1345" s="208"/>
      <c r="R1345" s="208"/>
    </row>
    <row r="1346">
      <c r="A1346" s="185"/>
      <c r="B1346" s="186"/>
      <c r="C1346" s="185"/>
      <c r="D1346" s="185"/>
      <c r="E1346" s="185"/>
      <c r="F1346" s="185"/>
      <c r="G1346" s="185"/>
      <c r="H1346" s="185"/>
      <c r="I1346" s="185"/>
      <c r="J1346" s="185"/>
      <c r="K1346" s="185"/>
      <c r="L1346" s="187"/>
      <c r="M1346" s="188"/>
      <c r="N1346" s="188"/>
      <c r="O1346" s="208"/>
      <c r="P1346" s="208"/>
      <c r="Q1346" s="208"/>
      <c r="R1346" s="208"/>
    </row>
    <row r="1347">
      <c r="A1347" s="185"/>
      <c r="B1347" s="186"/>
      <c r="C1347" s="185"/>
      <c r="D1347" s="185"/>
      <c r="E1347" s="185"/>
      <c r="F1347" s="185"/>
      <c r="G1347" s="185"/>
      <c r="H1347" s="185"/>
      <c r="I1347" s="185"/>
      <c r="J1347" s="185"/>
      <c r="K1347" s="185"/>
      <c r="L1347" s="187"/>
      <c r="M1347" s="188"/>
      <c r="N1347" s="188"/>
      <c r="O1347" s="208"/>
      <c r="P1347" s="208"/>
      <c r="Q1347" s="208"/>
      <c r="R1347" s="208"/>
    </row>
    <row r="1348">
      <c r="A1348" s="185"/>
      <c r="B1348" s="186"/>
      <c r="C1348" s="185"/>
      <c r="D1348" s="185"/>
      <c r="E1348" s="185"/>
      <c r="F1348" s="185"/>
      <c r="G1348" s="185"/>
      <c r="H1348" s="185"/>
      <c r="I1348" s="185"/>
      <c r="J1348" s="185"/>
      <c r="K1348" s="185"/>
      <c r="L1348" s="187"/>
      <c r="M1348" s="188"/>
      <c r="N1348" s="188"/>
      <c r="O1348" s="208"/>
      <c r="P1348" s="208"/>
      <c r="Q1348" s="208"/>
      <c r="R1348" s="208"/>
    </row>
    <row r="1349">
      <c r="A1349" s="185"/>
      <c r="B1349" s="186"/>
      <c r="C1349" s="185"/>
      <c r="D1349" s="185"/>
      <c r="E1349" s="185"/>
      <c r="F1349" s="185"/>
      <c r="G1349" s="185"/>
      <c r="H1349" s="185"/>
      <c r="I1349" s="185"/>
      <c r="J1349" s="185"/>
      <c r="K1349" s="185"/>
      <c r="L1349" s="187"/>
      <c r="M1349" s="188"/>
      <c r="N1349" s="188"/>
      <c r="O1349" s="208"/>
      <c r="P1349" s="208"/>
      <c r="Q1349" s="208"/>
      <c r="R1349" s="208"/>
    </row>
    <row r="1350">
      <c r="A1350" s="185"/>
      <c r="B1350" s="186"/>
      <c r="C1350" s="185"/>
      <c r="D1350" s="185"/>
      <c r="E1350" s="185"/>
      <c r="F1350" s="185"/>
      <c r="G1350" s="185"/>
      <c r="H1350" s="185"/>
      <c r="I1350" s="185"/>
      <c r="J1350" s="185"/>
      <c r="K1350" s="185"/>
      <c r="L1350" s="187"/>
      <c r="M1350" s="188"/>
      <c r="N1350" s="188"/>
      <c r="O1350" s="208"/>
      <c r="P1350" s="208"/>
      <c r="Q1350" s="208"/>
      <c r="R1350" s="208"/>
    </row>
    <row r="1351">
      <c r="A1351" s="185"/>
      <c r="B1351" s="186"/>
      <c r="C1351" s="185"/>
      <c r="D1351" s="185"/>
      <c r="E1351" s="185"/>
      <c r="F1351" s="185"/>
      <c r="G1351" s="185"/>
      <c r="H1351" s="185"/>
      <c r="I1351" s="185"/>
      <c r="J1351" s="185"/>
      <c r="K1351" s="185"/>
      <c r="L1351" s="187"/>
      <c r="M1351" s="188"/>
      <c r="N1351" s="188"/>
      <c r="O1351" s="208"/>
      <c r="P1351" s="208"/>
      <c r="Q1351" s="208"/>
      <c r="R1351" s="208"/>
    </row>
    <row r="1352">
      <c r="A1352" s="185"/>
      <c r="B1352" s="186"/>
      <c r="C1352" s="185"/>
      <c r="D1352" s="185"/>
      <c r="E1352" s="185"/>
      <c r="F1352" s="185"/>
      <c r="G1352" s="185"/>
      <c r="H1352" s="185"/>
      <c r="I1352" s="185"/>
      <c r="J1352" s="185"/>
      <c r="K1352" s="185"/>
      <c r="L1352" s="187"/>
      <c r="M1352" s="188"/>
      <c r="N1352" s="188"/>
      <c r="O1352" s="208"/>
      <c r="P1352" s="208"/>
      <c r="Q1352" s="208"/>
      <c r="R1352" s="208"/>
    </row>
    <row r="1353">
      <c r="A1353" s="185"/>
      <c r="B1353" s="186"/>
      <c r="C1353" s="185"/>
      <c r="D1353" s="185"/>
      <c r="E1353" s="185"/>
      <c r="F1353" s="185"/>
      <c r="G1353" s="185"/>
      <c r="H1353" s="185"/>
      <c r="I1353" s="185"/>
      <c r="J1353" s="185"/>
      <c r="K1353" s="185"/>
      <c r="L1353" s="187"/>
      <c r="M1353" s="188"/>
      <c r="N1353" s="188"/>
      <c r="O1353" s="208"/>
      <c r="P1353" s="208"/>
      <c r="Q1353" s="208"/>
      <c r="R1353" s="208"/>
    </row>
    <row r="1354">
      <c r="A1354" s="185"/>
      <c r="B1354" s="186"/>
      <c r="C1354" s="185"/>
      <c r="D1354" s="185"/>
      <c r="E1354" s="185"/>
      <c r="F1354" s="185"/>
      <c r="G1354" s="185"/>
      <c r="H1354" s="185"/>
      <c r="I1354" s="185"/>
      <c r="J1354" s="185"/>
      <c r="K1354" s="185"/>
      <c r="L1354" s="187"/>
      <c r="M1354" s="188"/>
      <c r="N1354" s="188"/>
      <c r="O1354" s="208"/>
      <c r="P1354" s="208"/>
      <c r="Q1354" s="208"/>
      <c r="R1354" s="208"/>
    </row>
    <row r="1355">
      <c r="A1355" s="185"/>
      <c r="B1355" s="186"/>
      <c r="C1355" s="185"/>
      <c r="D1355" s="185"/>
      <c r="E1355" s="185"/>
      <c r="F1355" s="185"/>
      <c r="G1355" s="185"/>
      <c r="H1355" s="185"/>
      <c r="I1355" s="185"/>
      <c r="J1355" s="185"/>
      <c r="K1355" s="185"/>
      <c r="L1355" s="187"/>
      <c r="M1355" s="188"/>
      <c r="N1355" s="188"/>
      <c r="O1355" s="208"/>
      <c r="P1355" s="208"/>
      <c r="Q1355" s="208"/>
      <c r="R1355" s="208"/>
    </row>
    <row r="1356">
      <c r="A1356" s="185"/>
      <c r="B1356" s="186"/>
      <c r="C1356" s="185"/>
      <c r="D1356" s="185"/>
      <c r="E1356" s="185"/>
      <c r="F1356" s="185"/>
      <c r="G1356" s="185"/>
      <c r="H1356" s="185"/>
      <c r="I1356" s="185"/>
      <c r="J1356" s="185"/>
      <c r="K1356" s="185"/>
      <c r="L1356" s="187"/>
      <c r="M1356" s="188"/>
      <c r="N1356" s="188"/>
      <c r="O1356" s="208"/>
      <c r="P1356" s="208"/>
      <c r="Q1356" s="208"/>
      <c r="R1356" s="208"/>
    </row>
    <row r="1357">
      <c r="A1357" s="185"/>
      <c r="B1357" s="186"/>
      <c r="C1357" s="185"/>
      <c r="D1357" s="185"/>
      <c r="E1357" s="185"/>
      <c r="F1357" s="185"/>
      <c r="G1357" s="185"/>
      <c r="H1357" s="185"/>
      <c r="I1357" s="185"/>
      <c r="J1357" s="185"/>
      <c r="K1357" s="185"/>
      <c r="L1357" s="187"/>
      <c r="M1357" s="188"/>
      <c r="N1357" s="188"/>
      <c r="O1357" s="208"/>
      <c r="P1357" s="208"/>
      <c r="Q1357" s="208"/>
      <c r="R1357" s="208"/>
    </row>
    <row r="1358">
      <c r="A1358" s="185"/>
      <c r="B1358" s="186"/>
      <c r="C1358" s="185"/>
      <c r="D1358" s="185"/>
      <c r="E1358" s="185"/>
      <c r="F1358" s="185"/>
      <c r="G1358" s="185"/>
      <c r="H1358" s="185"/>
      <c r="I1358" s="185"/>
      <c r="J1358" s="185"/>
      <c r="K1358" s="185"/>
      <c r="L1358" s="187"/>
      <c r="M1358" s="188"/>
      <c r="N1358" s="188"/>
      <c r="O1358" s="208"/>
      <c r="P1358" s="208"/>
      <c r="Q1358" s="208"/>
      <c r="R1358" s="208"/>
    </row>
    <row r="1359">
      <c r="A1359" s="185"/>
      <c r="B1359" s="186"/>
      <c r="C1359" s="185"/>
      <c r="D1359" s="185"/>
      <c r="E1359" s="185"/>
      <c r="F1359" s="185"/>
      <c r="G1359" s="185"/>
      <c r="H1359" s="185"/>
      <c r="I1359" s="185"/>
      <c r="J1359" s="185"/>
      <c r="K1359" s="185"/>
      <c r="L1359" s="187"/>
      <c r="M1359" s="188"/>
      <c r="N1359" s="188"/>
      <c r="O1359" s="208"/>
      <c r="P1359" s="208"/>
      <c r="Q1359" s="208"/>
      <c r="R1359" s="208"/>
    </row>
    <row r="1360">
      <c r="A1360" s="185"/>
      <c r="B1360" s="186"/>
      <c r="C1360" s="185"/>
      <c r="D1360" s="185"/>
      <c r="E1360" s="185"/>
      <c r="F1360" s="185"/>
      <c r="G1360" s="185"/>
      <c r="H1360" s="185"/>
      <c r="I1360" s="185"/>
      <c r="J1360" s="185"/>
      <c r="K1360" s="185"/>
      <c r="L1360" s="187"/>
      <c r="M1360" s="188"/>
      <c r="N1360" s="188"/>
      <c r="O1360" s="208"/>
      <c r="P1360" s="208"/>
      <c r="Q1360" s="208"/>
      <c r="R1360" s="208"/>
    </row>
    <row r="1361">
      <c r="A1361" s="185"/>
      <c r="B1361" s="186"/>
      <c r="C1361" s="185"/>
      <c r="D1361" s="185"/>
      <c r="E1361" s="185"/>
      <c r="F1361" s="185"/>
      <c r="G1361" s="185"/>
      <c r="H1361" s="185"/>
      <c r="I1361" s="185"/>
      <c r="J1361" s="185"/>
      <c r="K1361" s="185"/>
      <c r="L1361" s="187"/>
      <c r="M1361" s="188"/>
      <c r="N1361" s="188"/>
      <c r="O1361" s="208"/>
      <c r="P1361" s="208"/>
      <c r="Q1361" s="208"/>
      <c r="R1361" s="208"/>
    </row>
    <row r="1362">
      <c r="A1362" s="185"/>
      <c r="B1362" s="186"/>
      <c r="C1362" s="185"/>
      <c r="D1362" s="185"/>
      <c r="E1362" s="185"/>
      <c r="F1362" s="185"/>
      <c r="G1362" s="185"/>
      <c r="H1362" s="185"/>
      <c r="I1362" s="185"/>
      <c r="J1362" s="185"/>
      <c r="K1362" s="185"/>
      <c r="L1362" s="187"/>
      <c r="M1362" s="188"/>
      <c r="N1362" s="188"/>
      <c r="O1362" s="208"/>
      <c r="P1362" s="208"/>
      <c r="Q1362" s="208"/>
      <c r="R1362" s="208"/>
    </row>
    <row r="1363">
      <c r="A1363" s="185"/>
      <c r="B1363" s="186"/>
      <c r="C1363" s="185"/>
      <c r="D1363" s="185"/>
      <c r="E1363" s="185"/>
      <c r="F1363" s="185"/>
      <c r="G1363" s="185"/>
      <c r="H1363" s="185"/>
      <c r="I1363" s="185"/>
      <c r="J1363" s="185"/>
      <c r="K1363" s="185"/>
      <c r="L1363" s="187"/>
      <c r="M1363" s="188"/>
      <c r="N1363" s="188"/>
      <c r="O1363" s="208"/>
      <c r="P1363" s="208"/>
      <c r="Q1363" s="208"/>
      <c r="R1363" s="208"/>
    </row>
    <row r="1364">
      <c r="A1364" s="185"/>
      <c r="B1364" s="186"/>
      <c r="C1364" s="185"/>
      <c r="D1364" s="185"/>
      <c r="E1364" s="185"/>
      <c r="F1364" s="185"/>
      <c r="G1364" s="185"/>
      <c r="H1364" s="185"/>
      <c r="I1364" s="185"/>
      <c r="J1364" s="185"/>
      <c r="K1364" s="185"/>
      <c r="L1364" s="187"/>
      <c r="M1364" s="188"/>
      <c r="N1364" s="188"/>
      <c r="O1364" s="208"/>
      <c r="P1364" s="208"/>
      <c r="Q1364" s="208"/>
      <c r="R1364" s="208"/>
    </row>
    <row r="1365">
      <c r="A1365" s="185"/>
      <c r="B1365" s="186"/>
      <c r="C1365" s="185"/>
      <c r="D1365" s="185"/>
      <c r="E1365" s="185"/>
      <c r="F1365" s="185"/>
      <c r="G1365" s="185"/>
      <c r="H1365" s="185"/>
      <c r="I1365" s="185"/>
      <c r="J1365" s="185"/>
      <c r="K1365" s="185"/>
      <c r="L1365" s="187"/>
      <c r="M1365" s="188"/>
      <c r="N1365" s="188"/>
      <c r="O1365" s="208"/>
      <c r="P1365" s="208"/>
      <c r="Q1365" s="208"/>
      <c r="R1365" s="208"/>
    </row>
    <row r="1366">
      <c r="A1366" s="185"/>
      <c r="B1366" s="186"/>
      <c r="C1366" s="185"/>
      <c r="D1366" s="185"/>
      <c r="E1366" s="185"/>
      <c r="F1366" s="185"/>
      <c r="G1366" s="185"/>
      <c r="H1366" s="185"/>
      <c r="I1366" s="185"/>
      <c r="J1366" s="185"/>
      <c r="K1366" s="185"/>
      <c r="L1366" s="187"/>
      <c r="M1366" s="188"/>
      <c r="N1366" s="188"/>
      <c r="O1366" s="208"/>
      <c r="P1366" s="208"/>
      <c r="Q1366" s="208"/>
      <c r="R1366" s="208"/>
    </row>
    <row r="1367">
      <c r="A1367" s="185"/>
      <c r="B1367" s="186"/>
      <c r="C1367" s="185"/>
      <c r="D1367" s="185"/>
      <c r="E1367" s="185"/>
      <c r="F1367" s="185"/>
      <c r="G1367" s="185"/>
      <c r="H1367" s="185"/>
      <c r="I1367" s="185"/>
      <c r="J1367" s="185"/>
      <c r="K1367" s="185"/>
      <c r="L1367" s="187"/>
      <c r="M1367" s="188"/>
      <c r="N1367" s="188"/>
      <c r="O1367" s="208"/>
      <c r="P1367" s="208"/>
      <c r="Q1367" s="208"/>
      <c r="R1367" s="208"/>
    </row>
    <row r="1368">
      <c r="A1368" s="185"/>
      <c r="B1368" s="186"/>
      <c r="C1368" s="185"/>
      <c r="D1368" s="185"/>
      <c r="E1368" s="185"/>
      <c r="F1368" s="185"/>
      <c r="G1368" s="185"/>
      <c r="H1368" s="185"/>
      <c r="I1368" s="185"/>
      <c r="J1368" s="185"/>
      <c r="K1368" s="185"/>
      <c r="L1368" s="187"/>
      <c r="M1368" s="188"/>
      <c r="N1368" s="188"/>
      <c r="O1368" s="208"/>
      <c r="P1368" s="208"/>
      <c r="Q1368" s="208"/>
      <c r="R1368" s="208"/>
    </row>
    <row r="1369">
      <c r="A1369" s="185"/>
      <c r="B1369" s="186"/>
      <c r="C1369" s="185"/>
      <c r="D1369" s="185"/>
      <c r="E1369" s="185"/>
      <c r="F1369" s="185"/>
      <c r="G1369" s="185"/>
      <c r="H1369" s="185"/>
      <c r="I1369" s="185"/>
      <c r="J1369" s="185"/>
      <c r="K1369" s="185"/>
      <c r="L1369" s="187"/>
      <c r="M1369" s="188"/>
      <c r="N1369" s="188"/>
      <c r="O1369" s="208"/>
      <c r="P1369" s="208"/>
      <c r="Q1369" s="208"/>
      <c r="R1369" s="208"/>
    </row>
    <row r="1370">
      <c r="A1370" s="185"/>
      <c r="B1370" s="186"/>
      <c r="C1370" s="185"/>
      <c r="D1370" s="185"/>
      <c r="E1370" s="185"/>
      <c r="F1370" s="185"/>
      <c r="G1370" s="185"/>
      <c r="H1370" s="185"/>
      <c r="I1370" s="185"/>
      <c r="J1370" s="185"/>
      <c r="K1370" s="185"/>
      <c r="L1370" s="187"/>
      <c r="M1370" s="188"/>
      <c r="N1370" s="188"/>
      <c r="O1370" s="208"/>
      <c r="P1370" s="208"/>
      <c r="Q1370" s="208"/>
      <c r="R1370" s="208"/>
    </row>
    <row r="1371">
      <c r="A1371" s="185"/>
      <c r="B1371" s="186"/>
      <c r="C1371" s="185"/>
      <c r="D1371" s="185"/>
      <c r="E1371" s="185"/>
      <c r="F1371" s="185"/>
      <c r="G1371" s="185"/>
      <c r="H1371" s="185"/>
      <c r="I1371" s="185"/>
      <c r="J1371" s="185"/>
      <c r="K1371" s="185"/>
      <c r="L1371" s="187"/>
      <c r="M1371" s="188"/>
      <c r="N1371" s="188"/>
      <c r="O1371" s="208"/>
      <c r="P1371" s="208"/>
      <c r="Q1371" s="208"/>
      <c r="R1371" s="208"/>
    </row>
    <row r="1372">
      <c r="A1372" s="185"/>
      <c r="B1372" s="186"/>
      <c r="C1372" s="185"/>
      <c r="D1372" s="185"/>
      <c r="E1372" s="185"/>
      <c r="F1372" s="185"/>
      <c r="G1372" s="185"/>
      <c r="H1372" s="185"/>
      <c r="I1372" s="185"/>
      <c r="J1372" s="185"/>
      <c r="K1372" s="185"/>
      <c r="L1372" s="187"/>
      <c r="M1372" s="188"/>
      <c r="N1372" s="188"/>
      <c r="O1372" s="208"/>
      <c r="P1372" s="208"/>
      <c r="Q1372" s="208"/>
      <c r="R1372" s="208"/>
    </row>
    <row r="1373">
      <c r="A1373" s="185"/>
      <c r="B1373" s="186"/>
      <c r="C1373" s="185"/>
      <c r="D1373" s="185"/>
      <c r="E1373" s="185"/>
      <c r="F1373" s="185"/>
      <c r="G1373" s="185"/>
      <c r="H1373" s="185"/>
      <c r="I1373" s="185"/>
      <c r="J1373" s="185"/>
      <c r="K1373" s="185"/>
      <c r="L1373" s="187"/>
      <c r="M1373" s="188"/>
      <c r="N1373" s="188"/>
      <c r="O1373" s="208"/>
      <c r="P1373" s="208"/>
      <c r="Q1373" s="208"/>
      <c r="R1373" s="208"/>
    </row>
    <row r="1374">
      <c r="A1374" s="185"/>
      <c r="B1374" s="186"/>
      <c r="C1374" s="185"/>
      <c r="D1374" s="185"/>
      <c r="E1374" s="185"/>
      <c r="F1374" s="185"/>
      <c r="G1374" s="185"/>
      <c r="H1374" s="185"/>
      <c r="I1374" s="185"/>
      <c r="J1374" s="185"/>
      <c r="K1374" s="185"/>
      <c r="L1374" s="187"/>
      <c r="M1374" s="188"/>
      <c r="N1374" s="188"/>
      <c r="O1374" s="208"/>
      <c r="P1374" s="208"/>
      <c r="Q1374" s="208"/>
      <c r="R1374" s="208"/>
    </row>
    <row r="1375">
      <c r="A1375" s="185"/>
      <c r="B1375" s="186"/>
      <c r="C1375" s="185"/>
      <c r="D1375" s="185"/>
      <c r="E1375" s="185"/>
      <c r="F1375" s="185"/>
      <c r="G1375" s="185"/>
      <c r="H1375" s="185"/>
      <c r="I1375" s="185"/>
      <c r="J1375" s="185"/>
      <c r="K1375" s="185"/>
      <c r="L1375" s="187"/>
      <c r="M1375" s="188"/>
      <c r="N1375" s="188"/>
      <c r="O1375" s="208"/>
      <c r="P1375" s="208"/>
      <c r="Q1375" s="208"/>
      <c r="R1375" s="208"/>
    </row>
    <row r="1376">
      <c r="A1376" s="185"/>
      <c r="B1376" s="186"/>
      <c r="C1376" s="185"/>
      <c r="D1376" s="185"/>
      <c r="E1376" s="185"/>
      <c r="F1376" s="185"/>
      <c r="G1376" s="185"/>
      <c r="H1376" s="185"/>
      <c r="I1376" s="185"/>
      <c r="J1376" s="185"/>
      <c r="K1376" s="185"/>
      <c r="L1376" s="187"/>
      <c r="M1376" s="188"/>
      <c r="N1376" s="188"/>
      <c r="O1376" s="208"/>
      <c r="P1376" s="208"/>
      <c r="Q1376" s="208"/>
      <c r="R1376" s="208"/>
    </row>
    <row r="1377">
      <c r="A1377" s="185"/>
      <c r="B1377" s="186"/>
      <c r="C1377" s="185"/>
      <c r="D1377" s="185"/>
      <c r="E1377" s="185"/>
      <c r="F1377" s="185"/>
      <c r="G1377" s="185"/>
      <c r="H1377" s="185"/>
      <c r="I1377" s="185"/>
      <c r="J1377" s="185"/>
      <c r="K1377" s="185"/>
      <c r="L1377" s="187"/>
      <c r="M1377" s="188"/>
      <c r="N1377" s="188"/>
      <c r="O1377" s="208"/>
      <c r="P1377" s="208"/>
      <c r="Q1377" s="208"/>
      <c r="R1377" s="208"/>
    </row>
    <row r="1378">
      <c r="A1378" s="185"/>
      <c r="B1378" s="186"/>
      <c r="C1378" s="185"/>
      <c r="D1378" s="185"/>
      <c r="E1378" s="185"/>
      <c r="F1378" s="185"/>
      <c r="G1378" s="185"/>
      <c r="H1378" s="185"/>
      <c r="I1378" s="185"/>
      <c r="J1378" s="185"/>
      <c r="K1378" s="185"/>
      <c r="L1378" s="187"/>
      <c r="M1378" s="188"/>
      <c r="N1378" s="188"/>
      <c r="O1378" s="208"/>
      <c r="P1378" s="208"/>
      <c r="Q1378" s="208"/>
      <c r="R1378" s="208"/>
    </row>
    <row r="1379">
      <c r="A1379" s="185"/>
      <c r="B1379" s="186"/>
      <c r="C1379" s="185"/>
      <c r="D1379" s="185"/>
      <c r="E1379" s="185"/>
      <c r="F1379" s="185"/>
      <c r="G1379" s="185"/>
      <c r="H1379" s="185"/>
      <c r="I1379" s="185"/>
      <c r="J1379" s="185"/>
      <c r="K1379" s="185"/>
      <c r="L1379" s="187"/>
      <c r="M1379" s="188"/>
      <c r="N1379" s="188"/>
      <c r="O1379" s="208"/>
      <c r="P1379" s="208"/>
      <c r="Q1379" s="208"/>
      <c r="R1379" s="208"/>
    </row>
    <row r="1380">
      <c r="A1380" s="185"/>
      <c r="B1380" s="186"/>
      <c r="C1380" s="185"/>
      <c r="D1380" s="185"/>
      <c r="E1380" s="185"/>
      <c r="F1380" s="185"/>
      <c r="G1380" s="185"/>
      <c r="H1380" s="185"/>
      <c r="I1380" s="185"/>
      <c r="J1380" s="185"/>
      <c r="K1380" s="185"/>
      <c r="L1380" s="187"/>
      <c r="M1380" s="188"/>
      <c r="N1380" s="188"/>
      <c r="O1380" s="208"/>
      <c r="P1380" s="208"/>
      <c r="Q1380" s="208"/>
      <c r="R1380" s="208"/>
    </row>
    <row r="1381">
      <c r="A1381" s="185"/>
      <c r="B1381" s="186"/>
      <c r="C1381" s="185"/>
      <c r="D1381" s="185"/>
      <c r="E1381" s="185"/>
      <c r="F1381" s="185"/>
      <c r="G1381" s="185"/>
      <c r="H1381" s="185"/>
      <c r="I1381" s="185"/>
      <c r="J1381" s="185"/>
      <c r="K1381" s="185"/>
      <c r="L1381" s="187"/>
      <c r="M1381" s="188"/>
      <c r="N1381" s="188"/>
      <c r="O1381" s="208"/>
      <c r="P1381" s="208"/>
      <c r="Q1381" s="208"/>
      <c r="R1381" s="208"/>
    </row>
    <row r="1382">
      <c r="A1382" s="185"/>
      <c r="B1382" s="186"/>
      <c r="C1382" s="185"/>
      <c r="D1382" s="185"/>
      <c r="E1382" s="185"/>
      <c r="F1382" s="185"/>
      <c r="G1382" s="185"/>
      <c r="H1382" s="185"/>
      <c r="I1382" s="185"/>
      <c r="J1382" s="185"/>
      <c r="K1382" s="185"/>
      <c r="L1382" s="187"/>
      <c r="M1382" s="188"/>
      <c r="N1382" s="188"/>
      <c r="O1382" s="208"/>
      <c r="P1382" s="208"/>
      <c r="Q1382" s="208"/>
      <c r="R1382" s="208"/>
    </row>
    <row r="1383">
      <c r="A1383" s="185"/>
      <c r="B1383" s="186"/>
      <c r="C1383" s="185"/>
      <c r="D1383" s="185"/>
      <c r="E1383" s="185"/>
      <c r="F1383" s="185"/>
      <c r="G1383" s="185"/>
      <c r="H1383" s="185"/>
      <c r="I1383" s="185"/>
      <c r="J1383" s="185"/>
      <c r="K1383" s="185"/>
      <c r="L1383" s="187"/>
      <c r="M1383" s="188"/>
      <c r="N1383" s="188"/>
      <c r="O1383" s="208"/>
      <c r="P1383" s="208"/>
      <c r="Q1383" s="208"/>
      <c r="R1383" s="208"/>
    </row>
    <row r="1384">
      <c r="A1384" s="185"/>
      <c r="B1384" s="186"/>
      <c r="C1384" s="185"/>
      <c r="D1384" s="185"/>
      <c r="E1384" s="185"/>
      <c r="F1384" s="185"/>
      <c r="G1384" s="185"/>
      <c r="H1384" s="185"/>
      <c r="I1384" s="185"/>
      <c r="J1384" s="185"/>
      <c r="K1384" s="185"/>
      <c r="L1384" s="187"/>
      <c r="M1384" s="188"/>
      <c r="N1384" s="188"/>
      <c r="O1384" s="208"/>
      <c r="P1384" s="208"/>
      <c r="Q1384" s="208"/>
      <c r="R1384" s="208"/>
    </row>
    <row r="1385">
      <c r="A1385" s="185"/>
      <c r="B1385" s="186"/>
      <c r="C1385" s="185"/>
      <c r="D1385" s="185"/>
      <c r="E1385" s="185"/>
      <c r="F1385" s="185"/>
      <c r="G1385" s="185"/>
      <c r="H1385" s="185"/>
      <c r="I1385" s="185"/>
      <c r="J1385" s="185"/>
      <c r="K1385" s="185"/>
      <c r="L1385" s="187"/>
      <c r="M1385" s="188"/>
      <c r="N1385" s="188"/>
      <c r="O1385" s="208"/>
      <c r="P1385" s="208"/>
      <c r="Q1385" s="208"/>
      <c r="R1385" s="208"/>
    </row>
    <row r="1386">
      <c r="A1386" s="185"/>
      <c r="B1386" s="186"/>
      <c r="C1386" s="185"/>
      <c r="D1386" s="185"/>
      <c r="E1386" s="185"/>
      <c r="F1386" s="185"/>
      <c r="G1386" s="185"/>
      <c r="H1386" s="185"/>
      <c r="I1386" s="185"/>
      <c r="J1386" s="185"/>
      <c r="K1386" s="185"/>
      <c r="L1386" s="187"/>
      <c r="M1386" s="188"/>
      <c r="N1386" s="188"/>
      <c r="O1386" s="208"/>
      <c r="P1386" s="208"/>
      <c r="Q1386" s="208"/>
      <c r="R1386" s="208"/>
    </row>
    <row r="1387">
      <c r="A1387" s="185"/>
      <c r="B1387" s="186"/>
      <c r="C1387" s="185"/>
      <c r="D1387" s="185"/>
      <c r="E1387" s="185"/>
      <c r="F1387" s="185"/>
      <c r="G1387" s="185"/>
      <c r="H1387" s="185"/>
      <c r="I1387" s="185"/>
      <c r="J1387" s="185"/>
      <c r="K1387" s="185"/>
      <c r="L1387" s="187"/>
      <c r="M1387" s="188"/>
      <c r="N1387" s="188"/>
      <c r="O1387" s="208"/>
      <c r="P1387" s="208"/>
      <c r="Q1387" s="208"/>
      <c r="R1387" s="208"/>
    </row>
    <row r="1388">
      <c r="A1388" s="185"/>
      <c r="B1388" s="186"/>
      <c r="C1388" s="185"/>
      <c r="D1388" s="185"/>
      <c r="E1388" s="185"/>
      <c r="F1388" s="185"/>
      <c r="G1388" s="185"/>
      <c r="H1388" s="185"/>
      <c r="I1388" s="185"/>
      <c r="J1388" s="185"/>
      <c r="K1388" s="185"/>
      <c r="L1388" s="187"/>
      <c r="M1388" s="188"/>
      <c r="N1388" s="188"/>
      <c r="O1388" s="208"/>
      <c r="P1388" s="208"/>
      <c r="Q1388" s="208"/>
      <c r="R1388" s="208"/>
    </row>
    <row r="1389">
      <c r="A1389" s="185"/>
      <c r="B1389" s="186"/>
      <c r="C1389" s="185"/>
      <c r="D1389" s="185"/>
      <c r="E1389" s="185"/>
      <c r="F1389" s="185"/>
      <c r="G1389" s="185"/>
      <c r="H1389" s="185"/>
      <c r="I1389" s="185"/>
      <c r="J1389" s="185"/>
      <c r="K1389" s="185"/>
      <c r="L1389" s="187"/>
      <c r="M1389" s="188"/>
      <c r="N1389" s="188"/>
      <c r="O1389" s="208"/>
      <c r="P1389" s="208"/>
      <c r="Q1389" s="208"/>
      <c r="R1389" s="208"/>
    </row>
    <row r="1390">
      <c r="A1390" s="185"/>
      <c r="B1390" s="186"/>
      <c r="C1390" s="185"/>
      <c r="D1390" s="185"/>
      <c r="E1390" s="185"/>
      <c r="F1390" s="185"/>
      <c r="G1390" s="185"/>
      <c r="H1390" s="185"/>
      <c r="I1390" s="185"/>
      <c r="J1390" s="185"/>
      <c r="K1390" s="185"/>
      <c r="L1390" s="187"/>
      <c r="M1390" s="188"/>
      <c r="N1390" s="188"/>
      <c r="O1390" s="208"/>
      <c r="P1390" s="208"/>
      <c r="Q1390" s="208"/>
      <c r="R1390" s="208"/>
    </row>
    <row r="1391">
      <c r="A1391" s="185"/>
      <c r="B1391" s="186"/>
      <c r="C1391" s="185"/>
      <c r="D1391" s="185"/>
      <c r="E1391" s="185"/>
      <c r="F1391" s="185"/>
      <c r="G1391" s="185"/>
      <c r="H1391" s="185"/>
      <c r="I1391" s="185"/>
      <c r="J1391" s="185"/>
      <c r="K1391" s="185"/>
      <c r="L1391" s="187"/>
      <c r="M1391" s="188"/>
      <c r="N1391" s="188"/>
      <c r="O1391" s="208"/>
      <c r="P1391" s="208"/>
      <c r="Q1391" s="208"/>
      <c r="R1391" s="208"/>
    </row>
    <row r="1392">
      <c r="A1392" s="185"/>
      <c r="B1392" s="186"/>
      <c r="C1392" s="185"/>
      <c r="D1392" s="185"/>
      <c r="E1392" s="185"/>
      <c r="F1392" s="185"/>
      <c r="G1392" s="185"/>
      <c r="H1392" s="185"/>
      <c r="I1392" s="185"/>
      <c r="J1392" s="185"/>
      <c r="K1392" s="185"/>
      <c r="L1392" s="187"/>
      <c r="M1392" s="188"/>
      <c r="N1392" s="188"/>
      <c r="O1392" s="208"/>
      <c r="P1392" s="208"/>
      <c r="Q1392" s="208"/>
      <c r="R1392" s="208"/>
    </row>
    <row r="1393">
      <c r="A1393" s="185"/>
      <c r="B1393" s="186"/>
      <c r="C1393" s="185"/>
      <c r="D1393" s="185"/>
      <c r="E1393" s="185"/>
      <c r="F1393" s="185"/>
      <c r="G1393" s="185"/>
      <c r="H1393" s="185"/>
      <c r="I1393" s="185"/>
      <c r="J1393" s="185"/>
      <c r="K1393" s="185"/>
      <c r="L1393" s="187"/>
      <c r="M1393" s="188"/>
      <c r="N1393" s="188"/>
      <c r="O1393" s="208"/>
      <c r="P1393" s="208"/>
      <c r="Q1393" s="208"/>
      <c r="R1393" s="208"/>
    </row>
    <row r="1394">
      <c r="A1394" s="185"/>
      <c r="B1394" s="186"/>
      <c r="C1394" s="185"/>
      <c r="D1394" s="185"/>
      <c r="E1394" s="185"/>
      <c r="F1394" s="185"/>
      <c r="G1394" s="185"/>
      <c r="H1394" s="185"/>
      <c r="I1394" s="185"/>
      <c r="J1394" s="185"/>
      <c r="K1394" s="185"/>
      <c r="L1394" s="187"/>
      <c r="M1394" s="188"/>
      <c r="N1394" s="188"/>
      <c r="O1394" s="208"/>
      <c r="P1394" s="208"/>
      <c r="Q1394" s="208"/>
      <c r="R1394" s="208"/>
    </row>
    <row r="1395">
      <c r="A1395" s="185"/>
      <c r="B1395" s="186"/>
      <c r="C1395" s="185"/>
      <c r="D1395" s="185"/>
      <c r="E1395" s="185"/>
      <c r="F1395" s="185"/>
      <c r="G1395" s="185"/>
      <c r="H1395" s="185"/>
      <c r="I1395" s="185"/>
      <c r="J1395" s="185"/>
      <c r="K1395" s="185"/>
      <c r="L1395" s="187"/>
      <c r="M1395" s="188"/>
      <c r="N1395" s="188"/>
      <c r="O1395" s="208"/>
      <c r="P1395" s="208"/>
      <c r="Q1395" s="208"/>
      <c r="R1395" s="208"/>
    </row>
    <row r="1396">
      <c r="A1396" s="185"/>
      <c r="B1396" s="186"/>
      <c r="C1396" s="185"/>
      <c r="D1396" s="185"/>
      <c r="E1396" s="185"/>
      <c r="F1396" s="185"/>
      <c r="G1396" s="185"/>
      <c r="H1396" s="185"/>
      <c r="I1396" s="185"/>
      <c r="J1396" s="185"/>
      <c r="K1396" s="185"/>
      <c r="L1396" s="187"/>
      <c r="M1396" s="188"/>
      <c r="N1396" s="188"/>
      <c r="O1396" s="208"/>
      <c r="P1396" s="208"/>
      <c r="Q1396" s="208"/>
      <c r="R1396" s="208"/>
    </row>
    <row r="1397">
      <c r="A1397" s="185"/>
      <c r="B1397" s="186"/>
      <c r="C1397" s="185"/>
      <c r="D1397" s="185"/>
      <c r="E1397" s="185"/>
      <c r="F1397" s="185"/>
      <c r="G1397" s="185"/>
      <c r="H1397" s="185"/>
      <c r="I1397" s="185"/>
      <c r="J1397" s="185"/>
      <c r="K1397" s="185"/>
      <c r="L1397" s="187"/>
      <c r="M1397" s="188"/>
      <c r="N1397" s="188"/>
      <c r="O1397" s="208"/>
      <c r="P1397" s="208"/>
      <c r="Q1397" s="208"/>
      <c r="R1397" s="208"/>
    </row>
    <row r="1398">
      <c r="A1398" s="185"/>
      <c r="B1398" s="186"/>
      <c r="C1398" s="185"/>
      <c r="D1398" s="185"/>
      <c r="E1398" s="185"/>
      <c r="F1398" s="185"/>
      <c r="G1398" s="185"/>
      <c r="H1398" s="185"/>
      <c r="I1398" s="185"/>
      <c r="J1398" s="185"/>
      <c r="K1398" s="185"/>
      <c r="L1398" s="187"/>
      <c r="M1398" s="188"/>
      <c r="N1398" s="188"/>
      <c r="O1398" s="208"/>
      <c r="P1398" s="208"/>
      <c r="Q1398" s="208"/>
      <c r="R1398" s="208"/>
    </row>
    <row r="1399">
      <c r="A1399" s="185"/>
      <c r="B1399" s="186"/>
      <c r="C1399" s="185"/>
      <c r="D1399" s="185"/>
      <c r="E1399" s="185"/>
      <c r="F1399" s="185"/>
      <c r="G1399" s="185"/>
      <c r="H1399" s="185"/>
      <c r="I1399" s="185"/>
      <c r="J1399" s="185"/>
      <c r="K1399" s="185"/>
      <c r="L1399" s="187"/>
      <c r="M1399" s="188"/>
      <c r="N1399" s="188"/>
      <c r="O1399" s="208"/>
      <c r="P1399" s="208"/>
      <c r="Q1399" s="208"/>
      <c r="R1399" s="208"/>
    </row>
    <row r="1400">
      <c r="A1400" s="185"/>
      <c r="B1400" s="186"/>
      <c r="C1400" s="185"/>
      <c r="D1400" s="185"/>
      <c r="E1400" s="185"/>
      <c r="F1400" s="185"/>
      <c r="G1400" s="185"/>
      <c r="H1400" s="185"/>
      <c r="I1400" s="185"/>
      <c r="J1400" s="185"/>
      <c r="K1400" s="185"/>
      <c r="L1400" s="187"/>
      <c r="M1400" s="188"/>
      <c r="N1400" s="188"/>
      <c r="O1400" s="208"/>
      <c r="P1400" s="208"/>
      <c r="Q1400" s="208"/>
      <c r="R1400" s="208"/>
    </row>
    <row r="1401">
      <c r="A1401" s="185"/>
      <c r="B1401" s="186"/>
      <c r="C1401" s="185"/>
      <c r="D1401" s="185"/>
      <c r="E1401" s="185"/>
      <c r="F1401" s="185"/>
      <c r="G1401" s="185"/>
      <c r="H1401" s="185"/>
      <c r="I1401" s="185"/>
      <c r="J1401" s="185"/>
      <c r="K1401" s="185"/>
      <c r="L1401" s="187"/>
      <c r="M1401" s="188"/>
      <c r="N1401" s="188"/>
      <c r="O1401" s="208"/>
      <c r="P1401" s="208"/>
      <c r="Q1401" s="208"/>
      <c r="R1401" s="208"/>
    </row>
    <row r="1402">
      <c r="A1402" s="185"/>
      <c r="B1402" s="186"/>
      <c r="C1402" s="185"/>
      <c r="D1402" s="185"/>
      <c r="E1402" s="185"/>
      <c r="F1402" s="185"/>
      <c r="G1402" s="185"/>
      <c r="H1402" s="185"/>
      <c r="I1402" s="185"/>
      <c r="J1402" s="185"/>
      <c r="K1402" s="185"/>
      <c r="L1402" s="187"/>
      <c r="M1402" s="188"/>
      <c r="N1402" s="188"/>
      <c r="O1402" s="208"/>
      <c r="P1402" s="208"/>
      <c r="Q1402" s="208"/>
      <c r="R1402" s="208"/>
    </row>
    <row r="1403">
      <c r="A1403" s="185"/>
      <c r="B1403" s="186"/>
      <c r="C1403" s="185"/>
      <c r="D1403" s="185"/>
      <c r="E1403" s="185"/>
      <c r="F1403" s="185"/>
      <c r="G1403" s="185"/>
      <c r="H1403" s="185"/>
      <c r="I1403" s="185"/>
      <c r="J1403" s="185"/>
      <c r="K1403" s="185"/>
      <c r="L1403" s="187"/>
      <c r="M1403" s="188"/>
      <c r="N1403" s="188"/>
      <c r="O1403" s="208"/>
      <c r="P1403" s="208"/>
      <c r="Q1403" s="208"/>
      <c r="R1403" s="208"/>
    </row>
    <row r="1404">
      <c r="A1404" s="185"/>
      <c r="B1404" s="186"/>
      <c r="C1404" s="185"/>
      <c r="D1404" s="185"/>
      <c r="E1404" s="185"/>
      <c r="F1404" s="185"/>
      <c r="G1404" s="185"/>
      <c r="H1404" s="185"/>
      <c r="I1404" s="185"/>
      <c r="J1404" s="185"/>
      <c r="K1404" s="185"/>
      <c r="L1404" s="187"/>
      <c r="M1404" s="188"/>
      <c r="N1404" s="188"/>
      <c r="O1404" s="208"/>
      <c r="P1404" s="208"/>
      <c r="Q1404" s="208"/>
      <c r="R1404" s="208"/>
    </row>
    <row r="1405">
      <c r="A1405" s="185"/>
      <c r="B1405" s="186"/>
      <c r="C1405" s="185"/>
      <c r="D1405" s="185"/>
      <c r="E1405" s="185"/>
      <c r="F1405" s="185"/>
      <c r="G1405" s="185"/>
      <c r="H1405" s="185"/>
      <c r="I1405" s="185"/>
      <c r="J1405" s="185"/>
      <c r="K1405" s="185"/>
      <c r="L1405" s="187"/>
      <c r="M1405" s="188"/>
      <c r="N1405" s="188"/>
      <c r="O1405" s="208"/>
      <c r="P1405" s="208"/>
      <c r="Q1405" s="208"/>
      <c r="R1405" s="208"/>
    </row>
    <row r="1406">
      <c r="A1406" s="185"/>
      <c r="B1406" s="186"/>
      <c r="C1406" s="185"/>
      <c r="D1406" s="185"/>
      <c r="E1406" s="185"/>
      <c r="F1406" s="185"/>
      <c r="G1406" s="185"/>
      <c r="H1406" s="185"/>
      <c r="I1406" s="185"/>
      <c r="J1406" s="185"/>
      <c r="K1406" s="185"/>
      <c r="L1406" s="187"/>
      <c r="M1406" s="188"/>
      <c r="N1406" s="188"/>
      <c r="O1406" s="208"/>
      <c r="P1406" s="208"/>
      <c r="Q1406" s="208"/>
      <c r="R1406" s="208"/>
    </row>
    <row r="1407">
      <c r="A1407" s="185"/>
      <c r="B1407" s="186"/>
      <c r="C1407" s="185"/>
      <c r="D1407" s="185"/>
      <c r="E1407" s="185"/>
      <c r="F1407" s="185"/>
      <c r="G1407" s="185"/>
      <c r="H1407" s="185"/>
      <c r="I1407" s="185"/>
      <c r="J1407" s="185"/>
      <c r="K1407" s="185"/>
      <c r="L1407" s="187"/>
      <c r="M1407" s="188"/>
      <c r="N1407" s="188"/>
      <c r="O1407" s="208"/>
      <c r="P1407" s="208"/>
      <c r="Q1407" s="208"/>
      <c r="R1407" s="208"/>
    </row>
    <row r="1408">
      <c r="A1408" s="185"/>
      <c r="B1408" s="186"/>
      <c r="C1408" s="185"/>
      <c r="D1408" s="185"/>
      <c r="E1408" s="185"/>
      <c r="F1408" s="185"/>
      <c r="G1408" s="185"/>
      <c r="H1408" s="185"/>
      <c r="I1408" s="185"/>
      <c r="J1408" s="185"/>
      <c r="K1408" s="185"/>
      <c r="L1408" s="187"/>
      <c r="M1408" s="188"/>
      <c r="N1408" s="188"/>
      <c r="O1408" s="208"/>
      <c r="P1408" s="208"/>
      <c r="Q1408" s="208"/>
      <c r="R1408" s="208"/>
    </row>
    <row r="1409">
      <c r="A1409" s="185"/>
      <c r="B1409" s="186"/>
      <c r="C1409" s="185"/>
      <c r="D1409" s="185"/>
      <c r="E1409" s="185"/>
      <c r="F1409" s="185"/>
      <c r="G1409" s="185"/>
      <c r="H1409" s="185"/>
      <c r="I1409" s="185"/>
      <c r="J1409" s="185"/>
      <c r="K1409" s="185"/>
      <c r="L1409" s="187"/>
      <c r="M1409" s="188"/>
      <c r="N1409" s="188"/>
      <c r="O1409" s="208"/>
      <c r="P1409" s="208"/>
      <c r="Q1409" s="208"/>
      <c r="R1409" s="208"/>
    </row>
    <row r="1410">
      <c r="A1410" s="185"/>
      <c r="B1410" s="186"/>
      <c r="C1410" s="185"/>
      <c r="D1410" s="185"/>
      <c r="E1410" s="185"/>
      <c r="F1410" s="185"/>
      <c r="G1410" s="185"/>
      <c r="H1410" s="185"/>
      <c r="I1410" s="185"/>
      <c r="J1410" s="185"/>
      <c r="K1410" s="185"/>
      <c r="L1410" s="187"/>
      <c r="M1410" s="188"/>
      <c r="N1410" s="188"/>
      <c r="O1410" s="208"/>
      <c r="P1410" s="208"/>
      <c r="Q1410" s="208"/>
      <c r="R1410" s="208"/>
    </row>
    <row r="1411">
      <c r="A1411" s="185"/>
      <c r="B1411" s="186"/>
      <c r="C1411" s="185"/>
      <c r="D1411" s="185"/>
      <c r="E1411" s="185"/>
      <c r="F1411" s="185"/>
      <c r="G1411" s="185"/>
      <c r="H1411" s="185"/>
      <c r="I1411" s="185"/>
      <c r="J1411" s="185"/>
      <c r="K1411" s="185"/>
      <c r="L1411" s="187"/>
      <c r="M1411" s="188"/>
      <c r="N1411" s="188"/>
      <c r="O1411" s="208"/>
      <c r="P1411" s="208"/>
      <c r="Q1411" s="208"/>
      <c r="R1411" s="208"/>
    </row>
    <row r="1412">
      <c r="A1412" s="185"/>
      <c r="B1412" s="186"/>
      <c r="C1412" s="185"/>
      <c r="D1412" s="185"/>
      <c r="E1412" s="185"/>
      <c r="F1412" s="185"/>
      <c r="G1412" s="185"/>
      <c r="H1412" s="185"/>
      <c r="I1412" s="185"/>
      <c r="J1412" s="185"/>
      <c r="K1412" s="185"/>
      <c r="L1412" s="187"/>
      <c r="M1412" s="188"/>
      <c r="N1412" s="188"/>
      <c r="O1412" s="208"/>
      <c r="P1412" s="208"/>
      <c r="Q1412" s="208"/>
      <c r="R1412" s="208"/>
    </row>
    <row r="1413">
      <c r="A1413" s="185"/>
      <c r="B1413" s="186"/>
      <c r="C1413" s="185"/>
      <c r="D1413" s="185"/>
      <c r="E1413" s="185"/>
      <c r="F1413" s="185"/>
      <c r="G1413" s="185"/>
      <c r="H1413" s="185"/>
      <c r="I1413" s="185"/>
      <c r="J1413" s="185"/>
      <c r="K1413" s="185"/>
      <c r="L1413" s="187"/>
      <c r="M1413" s="188"/>
      <c r="N1413" s="188"/>
      <c r="O1413" s="208"/>
      <c r="P1413" s="208"/>
      <c r="Q1413" s="208"/>
      <c r="R1413" s="208"/>
    </row>
    <row r="1414">
      <c r="A1414" s="185"/>
      <c r="B1414" s="186"/>
      <c r="C1414" s="185"/>
      <c r="D1414" s="185"/>
      <c r="E1414" s="185"/>
      <c r="F1414" s="185"/>
      <c r="G1414" s="185"/>
      <c r="H1414" s="185"/>
      <c r="I1414" s="185"/>
      <c r="J1414" s="185"/>
      <c r="K1414" s="185"/>
      <c r="L1414" s="187"/>
      <c r="M1414" s="188"/>
      <c r="N1414" s="188"/>
      <c r="O1414" s="208"/>
      <c r="P1414" s="208"/>
      <c r="Q1414" s="208"/>
      <c r="R1414" s="208"/>
    </row>
    <row r="1415">
      <c r="A1415" s="185"/>
      <c r="B1415" s="186"/>
      <c r="C1415" s="185"/>
      <c r="D1415" s="185"/>
      <c r="E1415" s="185"/>
      <c r="F1415" s="185"/>
      <c r="G1415" s="185"/>
      <c r="H1415" s="185"/>
      <c r="I1415" s="185"/>
      <c r="J1415" s="185"/>
      <c r="K1415" s="185"/>
      <c r="L1415" s="187"/>
      <c r="M1415" s="188"/>
      <c r="N1415" s="188"/>
      <c r="O1415" s="208"/>
      <c r="P1415" s="208"/>
      <c r="Q1415" s="208"/>
      <c r="R1415" s="208"/>
    </row>
    <row r="1416">
      <c r="A1416" s="185"/>
      <c r="B1416" s="186"/>
      <c r="C1416" s="185"/>
      <c r="D1416" s="185"/>
      <c r="E1416" s="185"/>
      <c r="F1416" s="185"/>
      <c r="G1416" s="185"/>
      <c r="H1416" s="185"/>
      <c r="I1416" s="185"/>
      <c r="J1416" s="185"/>
      <c r="K1416" s="185"/>
      <c r="L1416" s="187"/>
      <c r="M1416" s="188"/>
      <c r="N1416" s="188"/>
      <c r="O1416" s="208"/>
      <c r="P1416" s="208"/>
      <c r="Q1416" s="208"/>
      <c r="R1416" s="208"/>
    </row>
    <row r="1417">
      <c r="A1417" s="185"/>
      <c r="B1417" s="186"/>
      <c r="C1417" s="185"/>
      <c r="D1417" s="185"/>
      <c r="E1417" s="185"/>
      <c r="F1417" s="185"/>
      <c r="G1417" s="185"/>
      <c r="H1417" s="185"/>
      <c r="I1417" s="185"/>
      <c r="J1417" s="185"/>
      <c r="K1417" s="185"/>
      <c r="L1417" s="187"/>
      <c r="M1417" s="188"/>
      <c r="N1417" s="188"/>
      <c r="O1417" s="208"/>
      <c r="P1417" s="208"/>
      <c r="Q1417" s="208"/>
      <c r="R1417" s="208"/>
    </row>
    <row r="1418">
      <c r="A1418" s="185"/>
      <c r="B1418" s="186"/>
      <c r="C1418" s="185"/>
      <c r="D1418" s="185"/>
      <c r="E1418" s="185"/>
      <c r="F1418" s="185"/>
      <c r="G1418" s="185"/>
      <c r="H1418" s="185"/>
      <c r="I1418" s="185"/>
      <c r="J1418" s="185"/>
      <c r="K1418" s="185"/>
      <c r="L1418" s="187"/>
      <c r="M1418" s="188"/>
      <c r="N1418" s="188"/>
      <c r="O1418" s="208"/>
      <c r="P1418" s="208"/>
      <c r="Q1418" s="208"/>
      <c r="R1418" s="208"/>
    </row>
    <row r="1419">
      <c r="A1419" s="185"/>
      <c r="B1419" s="186"/>
      <c r="C1419" s="185"/>
      <c r="D1419" s="185"/>
      <c r="E1419" s="185"/>
      <c r="F1419" s="185"/>
      <c r="G1419" s="185"/>
      <c r="H1419" s="185"/>
      <c r="I1419" s="185"/>
      <c r="J1419" s="185"/>
      <c r="K1419" s="185"/>
      <c r="L1419" s="187"/>
      <c r="M1419" s="188"/>
      <c r="N1419" s="188"/>
      <c r="O1419" s="208"/>
      <c r="P1419" s="208"/>
      <c r="Q1419" s="208"/>
      <c r="R1419" s="208"/>
    </row>
    <row r="1420">
      <c r="A1420" s="185"/>
      <c r="B1420" s="186"/>
      <c r="C1420" s="185"/>
      <c r="D1420" s="185"/>
      <c r="E1420" s="185"/>
      <c r="F1420" s="185"/>
      <c r="G1420" s="185"/>
      <c r="H1420" s="185"/>
      <c r="I1420" s="185"/>
      <c r="J1420" s="185"/>
      <c r="K1420" s="185"/>
      <c r="L1420" s="187"/>
      <c r="M1420" s="188"/>
      <c r="N1420" s="188"/>
      <c r="O1420" s="208"/>
      <c r="P1420" s="208"/>
      <c r="Q1420" s="208"/>
      <c r="R1420" s="208"/>
    </row>
    <row r="1421">
      <c r="A1421" s="185"/>
      <c r="B1421" s="186"/>
      <c r="C1421" s="185"/>
      <c r="D1421" s="185"/>
      <c r="E1421" s="185"/>
      <c r="F1421" s="185"/>
      <c r="G1421" s="185"/>
      <c r="H1421" s="185"/>
      <c r="I1421" s="185"/>
      <c r="J1421" s="185"/>
      <c r="K1421" s="185"/>
      <c r="L1421" s="187"/>
      <c r="M1421" s="188"/>
      <c r="N1421" s="188"/>
      <c r="O1421" s="208"/>
      <c r="P1421" s="208"/>
      <c r="Q1421" s="208"/>
      <c r="R1421" s="208"/>
    </row>
    <row r="1422">
      <c r="A1422" s="185"/>
      <c r="B1422" s="186"/>
      <c r="C1422" s="185"/>
      <c r="D1422" s="185"/>
      <c r="E1422" s="185"/>
      <c r="F1422" s="185"/>
      <c r="G1422" s="185"/>
      <c r="H1422" s="185"/>
      <c r="I1422" s="185"/>
      <c r="J1422" s="185"/>
      <c r="K1422" s="185"/>
      <c r="L1422" s="187"/>
      <c r="M1422" s="188"/>
      <c r="N1422" s="188"/>
      <c r="O1422" s="208"/>
      <c r="P1422" s="208"/>
      <c r="Q1422" s="208"/>
      <c r="R1422" s="208"/>
    </row>
    <row r="1423">
      <c r="A1423" s="185"/>
      <c r="B1423" s="186"/>
      <c r="C1423" s="185"/>
      <c r="D1423" s="185"/>
      <c r="E1423" s="185"/>
      <c r="F1423" s="185"/>
      <c r="G1423" s="185"/>
      <c r="H1423" s="185"/>
      <c r="I1423" s="185"/>
      <c r="J1423" s="185"/>
      <c r="K1423" s="185"/>
      <c r="L1423" s="187"/>
      <c r="M1423" s="188"/>
      <c r="N1423" s="188"/>
      <c r="O1423" s="208"/>
      <c r="P1423" s="208"/>
      <c r="Q1423" s="208"/>
      <c r="R1423" s="208"/>
    </row>
    <row r="1424">
      <c r="A1424" s="185"/>
      <c r="B1424" s="186"/>
      <c r="C1424" s="185"/>
      <c r="D1424" s="185"/>
      <c r="E1424" s="185"/>
      <c r="F1424" s="185"/>
      <c r="G1424" s="185"/>
      <c r="H1424" s="185"/>
      <c r="I1424" s="185"/>
      <c r="J1424" s="185"/>
      <c r="K1424" s="185"/>
      <c r="L1424" s="187"/>
      <c r="M1424" s="188"/>
      <c r="N1424" s="188"/>
      <c r="O1424" s="208"/>
      <c r="P1424" s="208"/>
      <c r="Q1424" s="208"/>
      <c r="R1424" s="208"/>
    </row>
    <row r="1425">
      <c r="A1425" s="185"/>
      <c r="B1425" s="186"/>
      <c r="C1425" s="185"/>
      <c r="D1425" s="185"/>
      <c r="E1425" s="185"/>
      <c r="F1425" s="185"/>
      <c r="G1425" s="185"/>
      <c r="H1425" s="185"/>
      <c r="I1425" s="185"/>
      <c r="J1425" s="185"/>
      <c r="K1425" s="185"/>
      <c r="L1425" s="187"/>
      <c r="M1425" s="188"/>
      <c r="N1425" s="188"/>
      <c r="O1425" s="208"/>
      <c r="P1425" s="208"/>
      <c r="Q1425" s="208"/>
      <c r="R1425" s="208"/>
    </row>
    <row r="1426">
      <c r="A1426" s="185"/>
      <c r="B1426" s="186"/>
      <c r="C1426" s="185"/>
      <c r="D1426" s="185"/>
      <c r="E1426" s="185"/>
      <c r="F1426" s="185"/>
      <c r="G1426" s="185"/>
      <c r="H1426" s="185"/>
      <c r="I1426" s="185"/>
      <c r="J1426" s="185"/>
      <c r="K1426" s="185"/>
      <c r="L1426" s="187"/>
      <c r="M1426" s="188"/>
      <c r="N1426" s="188"/>
      <c r="O1426" s="208"/>
      <c r="P1426" s="208"/>
      <c r="Q1426" s="208"/>
      <c r="R1426" s="208"/>
    </row>
    <row r="1427">
      <c r="A1427" s="185"/>
      <c r="B1427" s="186"/>
      <c r="C1427" s="185"/>
      <c r="D1427" s="185"/>
      <c r="E1427" s="185"/>
      <c r="F1427" s="185"/>
      <c r="G1427" s="185"/>
      <c r="H1427" s="185"/>
      <c r="I1427" s="185"/>
      <c r="J1427" s="185"/>
      <c r="K1427" s="185"/>
      <c r="L1427" s="187"/>
      <c r="M1427" s="188"/>
      <c r="N1427" s="188"/>
      <c r="O1427" s="208"/>
      <c r="P1427" s="208"/>
      <c r="Q1427" s="208"/>
      <c r="R1427" s="208"/>
    </row>
    <row r="1428">
      <c r="A1428" s="185"/>
      <c r="B1428" s="186"/>
      <c r="C1428" s="185"/>
      <c r="D1428" s="185"/>
      <c r="E1428" s="185"/>
      <c r="F1428" s="185"/>
      <c r="G1428" s="185"/>
      <c r="H1428" s="185"/>
      <c r="I1428" s="185"/>
      <c r="J1428" s="185"/>
      <c r="K1428" s="185"/>
      <c r="L1428" s="187"/>
      <c r="M1428" s="188"/>
      <c r="N1428" s="188"/>
      <c r="O1428" s="208"/>
      <c r="P1428" s="208"/>
      <c r="Q1428" s="208"/>
      <c r="R1428" s="208"/>
    </row>
    <row r="1429">
      <c r="A1429" s="185"/>
      <c r="B1429" s="186"/>
      <c r="C1429" s="185"/>
      <c r="D1429" s="185"/>
      <c r="E1429" s="185"/>
      <c r="F1429" s="185"/>
      <c r="G1429" s="185"/>
      <c r="H1429" s="185"/>
      <c r="I1429" s="185"/>
      <c r="J1429" s="185"/>
      <c r="K1429" s="185"/>
      <c r="L1429" s="187"/>
      <c r="M1429" s="188"/>
      <c r="N1429" s="188"/>
      <c r="O1429" s="208"/>
      <c r="P1429" s="208"/>
      <c r="Q1429" s="208"/>
      <c r="R1429" s="208"/>
    </row>
    <row r="1430">
      <c r="A1430" s="185"/>
      <c r="B1430" s="186"/>
      <c r="C1430" s="185"/>
      <c r="D1430" s="185"/>
      <c r="E1430" s="185"/>
      <c r="F1430" s="185"/>
      <c r="G1430" s="185"/>
      <c r="H1430" s="185"/>
      <c r="I1430" s="185"/>
      <c r="J1430" s="185"/>
      <c r="K1430" s="185"/>
      <c r="L1430" s="187"/>
      <c r="M1430" s="188"/>
      <c r="N1430" s="188"/>
      <c r="O1430" s="208"/>
      <c r="P1430" s="208"/>
      <c r="Q1430" s="208"/>
      <c r="R1430" s="208"/>
    </row>
    <row r="1431">
      <c r="A1431" s="185"/>
      <c r="B1431" s="186"/>
      <c r="C1431" s="185"/>
      <c r="D1431" s="185"/>
      <c r="E1431" s="185"/>
      <c r="F1431" s="185"/>
      <c r="G1431" s="185"/>
      <c r="H1431" s="185"/>
      <c r="I1431" s="185"/>
      <c r="J1431" s="185"/>
      <c r="K1431" s="185"/>
      <c r="L1431" s="187"/>
      <c r="M1431" s="188"/>
      <c r="N1431" s="188"/>
      <c r="O1431" s="208"/>
      <c r="P1431" s="208"/>
      <c r="Q1431" s="208"/>
      <c r="R1431" s="208"/>
    </row>
    <row r="1432">
      <c r="A1432" s="185"/>
      <c r="B1432" s="186"/>
      <c r="C1432" s="185"/>
      <c r="D1432" s="185"/>
      <c r="E1432" s="185"/>
      <c r="F1432" s="185"/>
      <c r="G1432" s="185"/>
      <c r="H1432" s="185"/>
      <c r="I1432" s="185"/>
      <c r="J1432" s="185"/>
      <c r="K1432" s="185"/>
      <c r="L1432" s="187"/>
      <c r="M1432" s="188"/>
      <c r="N1432" s="188"/>
      <c r="O1432" s="208"/>
      <c r="P1432" s="208"/>
      <c r="Q1432" s="208"/>
      <c r="R1432" s="208"/>
    </row>
    <row r="1433">
      <c r="A1433" s="185"/>
      <c r="B1433" s="186"/>
      <c r="C1433" s="185"/>
      <c r="D1433" s="185"/>
      <c r="E1433" s="185"/>
      <c r="F1433" s="185"/>
      <c r="G1433" s="185"/>
      <c r="H1433" s="185"/>
      <c r="I1433" s="185"/>
      <c r="J1433" s="185"/>
      <c r="K1433" s="185"/>
      <c r="L1433" s="187"/>
      <c r="M1433" s="188"/>
      <c r="N1433" s="188"/>
      <c r="O1433" s="208"/>
      <c r="P1433" s="208"/>
      <c r="Q1433" s="208"/>
      <c r="R1433" s="208"/>
    </row>
    <row r="1434">
      <c r="A1434" s="185"/>
      <c r="B1434" s="186"/>
      <c r="C1434" s="185"/>
      <c r="D1434" s="185"/>
      <c r="E1434" s="185"/>
      <c r="F1434" s="185"/>
      <c r="G1434" s="185"/>
      <c r="H1434" s="185"/>
      <c r="I1434" s="185"/>
      <c r="J1434" s="185"/>
      <c r="K1434" s="185"/>
      <c r="L1434" s="187"/>
      <c r="M1434" s="188"/>
      <c r="N1434" s="188"/>
      <c r="O1434" s="208"/>
      <c r="P1434" s="208"/>
      <c r="Q1434" s="208"/>
      <c r="R1434" s="208"/>
    </row>
    <row r="1435">
      <c r="A1435" s="185"/>
      <c r="B1435" s="186"/>
      <c r="C1435" s="185"/>
      <c r="D1435" s="185"/>
      <c r="E1435" s="185"/>
      <c r="F1435" s="185"/>
      <c r="G1435" s="185"/>
      <c r="H1435" s="185"/>
      <c r="I1435" s="185"/>
      <c r="J1435" s="185"/>
      <c r="K1435" s="185"/>
      <c r="L1435" s="187"/>
      <c r="M1435" s="188"/>
      <c r="N1435" s="188"/>
      <c r="O1435" s="208"/>
      <c r="P1435" s="208"/>
      <c r="Q1435" s="208"/>
      <c r="R1435" s="208"/>
    </row>
    <row r="1436">
      <c r="A1436" s="185"/>
      <c r="B1436" s="186"/>
      <c r="C1436" s="185"/>
      <c r="D1436" s="185"/>
      <c r="E1436" s="185"/>
      <c r="F1436" s="185"/>
      <c r="G1436" s="185"/>
      <c r="H1436" s="185"/>
      <c r="I1436" s="185"/>
      <c r="J1436" s="185"/>
      <c r="K1436" s="185"/>
      <c r="L1436" s="187"/>
      <c r="M1436" s="188"/>
      <c r="N1436" s="188"/>
      <c r="O1436" s="208"/>
      <c r="P1436" s="208"/>
      <c r="Q1436" s="208"/>
      <c r="R1436" s="208"/>
    </row>
    <row r="1437">
      <c r="A1437" s="185"/>
      <c r="B1437" s="186"/>
      <c r="C1437" s="185"/>
      <c r="D1437" s="185"/>
      <c r="E1437" s="185"/>
      <c r="F1437" s="185"/>
      <c r="G1437" s="185"/>
      <c r="H1437" s="185"/>
      <c r="I1437" s="185"/>
      <c r="J1437" s="185"/>
      <c r="K1437" s="185"/>
      <c r="L1437" s="187"/>
      <c r="M1437" s="188"/>
      <c r="N1437" s="188"/>
      <c r="O1437" s="208"/>
      <c r="P1437" s="208"/>
      <c r="Q1437" s="208"/>
      <c r="R1437" s="208"/>
    </row>
    <row r="1438">
      <c r="A1438" s="185"/>
      <c r="B1438" s="186"/>
      <c r="C1438" s="185"/>
      <c r="D1438" s="185"/>
      <c r="E1438" s="185"/>
      <c r="F1438" s="185"/>
      <c r="G1438" s="185"/>
      <c r="H1438" s="185"/>
      <c r="I1438" s="185"/>
      <c r="J1438" s="185"/>
      <c r="K1438" s="185"/>
      <c r="L1438" s="187"/>
      <c r="M1438" s="188"/>
      <c r="N1438" s="188"/>
      <c r="O1438" s="208"/>
      <c r="P1438" s="208"/>
      <c r="Q1438" s="208"/>
      <c r="R1438" s="208"/>
    </row>
    <row r="1439">
      <c r="A1439" s="185"/>
      <c r="B1439" s="186"/>
      <c r="C1439" s="185"/>
      <c r="D1439" s="185"/>
      <c r="E1439" s="185"/>
      <c r="F1439" s="185"/>
      <c r="G1439" s="185"/>
      <c r="H1439" s="185"/>
      <c r="I1439" s="185"/>
      <c r="J1439" s="185"/>
      <c r="K1439" s="185"/>
      <c r="L1439" s="187"/>
      <c r="M1439" s="188"/>
      <c r="N1439" s="188"/>
      <c r="O1439" s="208"/>
      <c r="P1439" s="208"/>
      <c r="Q1439" s="208"/>
      <c r="R1439" s="208"/>
    </row>
    <row r="1440">
      <c r="A1440" s="185"/>
      <c r="B1440" s="186"/>
      <c r="C1440" s="185"/>
      <c r="D1440" s="185"/>
      <c r="E1440" s="185"/>
      <c r="F1440" s="185"/>
      <c r="G1440" s="185"/>
      <c r="H1440" s="185"/>
      <c r="I1440" s="185"/>
      <c r="J1440" s="185"/>
      <c r="K1440" s="185"/>
      <c r="L1440" s="187"/>
      <c r="M1440" s="188"/>
      <c r="N1440" s="188"/>
      <c r="O1440" s="208"/>
      <c r="P1440" s="208"/>
      <c r="Q1440" s="208"/>
      <c r="R1440" s="208"/>
    </row>
    <row r="1441">
      <c r="A1441" s="185"/>
      <c r="B1441" s="186"/>
      <c r="C1441" s="185"/>
      <c r="D1441" s="185"/>
      <c r="E1441" s="185"/>
      <c r="F1441" s="185"/>
      <c r="G1441" s="185"/>
      <c r="H1441" s="185"/>
      <c r="I1441" s="185"/>
      <c r="J1441" s="185"/>
      <c r="K1441" s="185"/>
      <c r="L1441" s="187"/>
      <c r="M1441" s="188"/>
      <c r="N1441" s="188"/>
      <c r="O1441" s="208"/>
      <c r="P1441" s="208"/>
      <c r="Q1441" s="208"/>
      <c r="R1441" s="208"/>
    </row>
    <row r="1442">
      <c r="A1442" s="185"/>
      <c r="B1442" s="186"/>
      <c r="C1442" s="185"/>
      <c r="D1442" s="185"/>
      <c r="E1442" s="185"/>
      <c r="F1442" s="185"/>
      <c r="G1442" s="185"/>
      <c r="H1442" s="185"/>
      <c r="I1442" s="185"/>
      <c r="J1442" s="185"/>
      <c r="K1442" s="185"/>
      <c r="L1442" s="187"/>
      <c r="M1442" s="188"/>
      <c r="N1442" s="188"/>
      <c r="O1442" s="208"/>
      <c r="P1442" s="208"/>
      <c r="Q1442" s="208"/>
      <c r="R1442" s="208"/>
    </row>
    <row r="1443">
      <c r="A1443" s="185"/>
      <c r="B1443" s="186"/>
      <c r="C1443" s="185"/>
      <c r="D1443" s="185"/>
      <c r="E1443" s="185"/>
      <c r="F1443" s="185"/>
      <c r="G1443" s="185"/>
      <c r="H1443" s="185"/>
      <c r="I1443" s="185"/>
      <c r="J1443" s="185"/>
      <c r="K1443" s="185"/>
      <c r="L1443" s="187"/>
      <c r="M1443" s="188"/>
      <c r="N1443" s="188"/>
      <c r="O1443" s="208"/>
      <c r="P1443" s="208"/>
      <c r="Q1443" s="208"/>
      <c r="R1443" s="208"/>
    </row>
    <row r="1444">
      <c r="A1444" s="185"/>
      <c r="B1444" s="186"/>
      <c r="C1444" s="185"/>
      <c r="D1444" s="185"/>
      <c r="E1444" s="185"/>
      <c r="F1444" s="185"/>
      <c r="G1444" s="185"/>
      <c r="H1444" s="185"/>
      <c r="I1444" s="185"/>
      <c r="J1444" s="185"/>
      <c r="K1444" s="185"/>
      <c r="L1444" s="187"/>
      <c r="M1444" s="188"/>
      <c r="N1444" s="188"/>
      <c r="O1444" s="208"/>
      <c r="P1444" s="208"/>
      <c r="Q1444" s="208"/>
      <c r="R1444" s="208"/>
    </row>
    <row r="1445">
      <c r="A1445" s="185"/>
      <c r="B1445" s="186"/>
      <c r="C1445" s="185"/>
      <c r="D1445" s="185"/>
      <c r="E1445" s="185"/>
      <c r="F1445" s="185"/>
      <c r="G1445" s="185"/>
      <c r="H1445" s="185"/>
      <c r="I1445" s="185"/>
      <c r="J1445" s="185"/>
      <c r="K1445" s="185"/>
      <c r="L1445" s="187"/>
      <c r="M1445" s="188"/>
      <c r="N1445" s="188"/>
      <c r="O1445" s="208"/>
      <c r="P1445" s="208"/>
      <c r="Q1445" s="208"/>
      <c r="R1445" s="208"/>
    </row>
    <row r="1446">
      <c r="A1446" s="185"/>
      <c r="B1446" s="186"/>
      <c r="C1446" s="185"/>
      <c r="D1446" s="185"/>
      <c r="E1446" s="185"/>
      <c r="F1446" s="185"/>
      <c r="G1446" s="185"/>
      <c r="H1446" s="185"/>
      <c r="I1446" s="185"/>
      <c r="J1446" s="185"/>
      <c r="K1446" s="185"/>
      <c r="L1446" s="187"/>
      <c r="M1446" s="188"/>
      <c r="N1446" s="188"/>
      <c r="O1446" s="208"/>
      <c r="P1446" s="208"/>
      <c r="Q1446" s="208"/>
      <c r="R1446" s="208"/>
    </row>
    <row r="1447">
      <c r="A1447" s="185"/>
      <c r="B1447" s="186"/>
      <c r="C1447" s="185"/>
      <c r="D1447" s="185"/>
      <c r="E1447" s="185"/>
      <c r="F1447" s="185"/>
      <c r="G1447" s="185"/>
      <c r="H1447" s="185"/>
      <c r="I1447" s="185"/>
      <c r="J1447" s="185"/>
      <c r="K1447" s="185"/>
      <c r="L1447" s="187"/>
      <c r="M1447" s="188"/>
      <c r="N1447" s="188"/>
      <c r="O1447" s="208"/>
      <c r="P1447" s="208"/>
      <c r="Q1447" s="208"/>
      <c r="R1447" s="208"/>
    </row>
    <row r="1448">
      <c r="A1448" s="185"/>
      <c r="B1448" s="186"/>
      <c r="C1448" s="185"/>
      <c r="D1448" s="185"/>
      <c r="E1448" s="185"/>
      <c r="F1448" s="185"/>
      <c r="G1448" s="185"/>
      <c r="H1448" s="185"/>
      <c r="I1448" s="185"/>
      <c r="J1448" s="185"/>
      <c r="K1448" s="185"/>
      <c r="L1448" s="187"/>
      <c r="M1448" s="188"/>
      <c r="N1448" s="188"/>
      <c r="O1448" s="208"/>
      <c r="P1448" s="208"/>
      <c r="Q1448" s="208"/>
      <c r="R1448" s="208"/>
    </row>
    <row r="1449">
      <c r="A1449" s="185"/>
      <c r="B1449" s="186"/>
      <c r="C1449" s="185"/>
      <c r="D1449" s="185"/>
      <c r="E1449" s="185"/>
      <c r="F1449" s="185"/>
      <c r="G1449" s="185"/>
      <c r="H1449" s="185"/>
      <c r="I1449" s="185"/>
      <c r="J1449" s="185"/>
      <c r="K1449" s="185"/>
      <c r="L1449" s="187"/>
      <c r="M1449" s="188"/>
      <c r="N1449" s="188"/>
      <c r="O1449" s="208"/>
      <c r="P1449" s="208"/>
      <c r="Q1449" s="208"/>
      <c r="R1449" s="208"/>
    </row>
    <row r="1450">
      <c r="A1450" s="185"/>
      <c r="B1450" s="186"/>
      <c r="C1450" s="185"/>
      <c r="D1450" s="185"/>
      <c r="E1450" s="185"/>
      <c r="F1450" s="185"/>
      <c r="G1450" s="185"/>
      <c r="H1450" s="185"/>
      <c r="I1450" s="185"/>
      <c r="J1450" s="185"/>
      <c r="K1450" s="185"/>
      <c r="L1450" s="187"/>
      <c r="M1450" s="188"/>
      <c r="N1450" s="188"/>
      <c r="O1450" s="208"/>
      <c r="P1450" s="208"/>
      <c r="Q1450" s="208"/>
      <c r="R1450" s="208"/>
    </row>
    <row r="1451">
      <c r="A1451" s="185"/>
      <c r="B1451" s="186"/>
      <c r="C1451" s="185"/>
      <c r="D1451" s="185"/>
      <c r="E1451" s="185"/>
      <c r="F1451" s="185"/>
      <c r="G1451" s="185"/>
      <c r="H1451" s="185"/>
      <c r="I1451" s="185"/>
      <c r="J1451" s="185"/>
      <c r="K1451" s="185"/>
      <c r="L1451" s="187"/>
      <c r="M1451" s="188"/>
      <c r="N1451" s="188"/>
      <c r="O1451" s="208"/>
      <c r="P1451" s="208"/>
      <c r="Q1451" s="208"/>
      <c r="R1451" s="208"/>
    </row>
    <row r="1452">
      <c r="A1452" s="185"/>
      <c r="B1452" s="186"/>
      <c r="C1452" s="185"/>
      <c r="D1452" s="185"/>
      <c r="E1452" s="185"/>
      <c r="F1452" s="185"/>
      <c r="G1452" s="185"/>
      <c r="H1452" s="185"/>
      <c r="I1452" s="185"/>
      <c r="J1452" s="185"/>
      <c r="K1452" s="185"/>
      <c r="L1452" s="187"/>
      <c r="M1452" s="188"/>
      <c r="N1452" s="188"/>
      <c r="O1452" s="208"/>
      <c r="P1452" s="208"/>
      <c r="Q1452" s="208"/>
      <c r="R1452" s="208"/>
    </row>
    <row r="1453">
      <c r="A1453" s="185"/>
      <c r="B1453" s="186"/>
      <c r="C1453" s="185"/>
      <c r="D1453" s="185"/>
      <c r="E1453" s="185"/>
      <c r="F1453" s="185"/>
      <c r="G1453" s="185"/>
      <c r="H1453" s="185"/>
      <c r="I1453" s="185"/>
      <c r="J1453" s="185"/>
      <c r="K1453" s="185"/>
      <c r="L1453" s="187"/>
      <c r="M1453" s="188"/>
      <c r="N1453" s="188"/>
      <c r="O1453" s="208"/>
      <c r="P1453" s="208"/>
      <c r="Q1453" s="208"/>
      <c r="R1453" s="208"/>
    </row>
    <row r="1454">
      <c r="A1454" s="185"/>
      <c r="B1454" s="186"/>
      <c r="C1454" s="185"/>
      <c r="D1454" s="185"/>
      <c r="E1454" s="185"/>
      <c r="F1454" s="185"/>
      <c r="G1454" s="185"/>
      <c r="H1454" s="185"/>
      <c r="I1454" s="185"/>
      <c r="J1454" s="185"/>
      <c r="K1454" s="185"/>
      <c r="L1454" s="187"/>
      <c r="M1454" s="188"/>
      <c r="N1454" s="188"/>
      <c r="O1454" s="208"/>
      <c r="P1454" s="208"/>
      <c r="Q1454" s="208"/>
      <c r="R1454" s="208"/>
    </row>
    <row r="1455">
      <c r="A1455" s="185"/>
      <c r="B1455" s="186"/>
      <c r="C1455" s="185"/>
      <c r="D1455" s="185"/>
      <c r="E1455" s="185"/>
      <c r="F1455" s="185"/>
      <c r="G1455" s="185"/>
      <c r="H1455" s="185"/>
      <c r="I1455" s="185"/>
      <c r="J1455" s="185"/>
      <c r="K1455" s="185"/>
      <c r="L1455" s="187"/>
      <c r="M1455" s="188"/>
      <c r="N1455" s="188"/>
      <c r="O1455" s="208"/>
      <c r="P1455" s="208"/>
      <c r="Q1455" s="208"/>
      <c r="R1455" s="208"/>
    </row>
    <row r="1456">
      <c r="A1456" s="185"/>
      <c r="B1456" s="186"/>
      <c r="C1456" s="185"/>
      <c r="D1456" s="185"/>
      <c r="E1456" s="185"/>
      <c r="F1456" s="185"/>
      <c r="G1456" s="185"/>
      <c r="H1456" s="185"/>
      <c r="I1456" s="185"/>
      <c r="J1456" s="185"/>
      <c r="K1456" s="185"/>
      <c r="L1456" s="187"/>
      <c r="M1456" s="188"/>
      <c r="N1456" s="188"/>
      <c r="O1456" s="208"/>
      <c r="P1456" s="208"/>
      <c r="Q1456" s="208"/>
      <c r="R1456" s="208"/>
    </row>
    <row r="1457">
      <c r="A1457" s="185"/>
      <c r="B1457" s="186"/>
      <c r="C1457" s="185"/>
      <c r="D1457" s="185"/>
      <c r="E1457" s="185"/>
      <c r="F1457" s="185"/>
      <c r="G1457" s="185"/>
      <c r="H1457" s="185"/>
      <c r="I1457" s="185"/>
      <c r="J1457" s="185"/>
      <c r="K1457" s="185"/>
      <c r="L1457" s="187"/>
      <c r="M1457" s="188"/>
      <c r="N1457" s="188"/>
      <c r="O1457" s="208"/>
      <c r="P1457" s="208"/>
      <c r="Q1457" s="208"/>
      <c r="R1457" s="208"/>
    </row>
    <row r="1458">
      <c r="A1458" s="185"/>
      <c r="B1458" s="186"/>
      <c r="C1458" s="185"/>
      <c r="D1458" s="185"/>
      <c r="E1458" s="185"/>
      <c r="F1458" s="185"/>
      <c r="G1458" s="185"/>
      <c r="H1458" s="185"/>
      <c r="I1458" s="185"/>
      <c r="J1458" s="185"/>
      <c r="K1458" s="185"/>
      <c r="L1458" s="187"/>
      <c r="M1458" s="188"/>
      <c r="N1458" s="188"/>
      <c r="O1458" s="208"/>
      <c r="P1458" s="208"/>
      <c r="Q1458" s="208"/>
      <c r="R1458" s="208"/>
    </row>
    <row r="1459">
      <c r="A1459" s="185"/>
      <c r="B1459" s="186"/>
      <c r="C1459" s="185"/>
      <c r="D1459" s="185"/>
      <c r="E1459" s="185"/>
      <c r="F1459" s="185"/>
      <c r="G1459" s="185"/>
      <c r="H1459" s="185"/>
      <c r="I1459" s="185"/>
      <c r="J1459" s="185"/>
      <c r="K1459" s="185"/>
      <c r="L1459" s="187"/>
      <c r="M1459" s="188"/>
      <c r="N1459" s="188"/>
      <c r="O1459" s="208"/>
      <c r="P1459" s="208"/>
      <c r="Q1459" s="208"/>
      <c r="R1459" s="208"/>
    </row>
    <row r="1460">
      <c r="A1460" s="185"/>
      <c r="B1460" s="186"/>
      <c r="C1460" s="185"/>
      <c r="D1460" s="185"/>
      <c r="E1460" s="185"/>
      <c r="F1460" s="185"/>
      <c r="G1460" s="185"/>
      <c r="H1460" s="185"/>
      <c r="I1460" s="185"/>
      <c r="J1460" s="185"/>
      <c r="K1460" s="185"/>
      <c r="L1460" s="187"/>
      <c r="M1460" s="188"/>
      <c r="N1460" s="188"/>
      <c r="O1460" s="208"/>
      <c r="P1460" s="208"/>
      <c r="Q1460" s="208"/>
      <c r="R1460" s="208"/>
    </row>
    <row r="1461">
      <c r="A1461" s="185"/>
      <c r="B1461" s="186"/>
      <c r="C1461" s="185"/>
      <c r="D1461" s="185"/>
      <c r="E1461" s="185"/>
      <c r="F1461" s="185"/>
      <c r="G1461" s="185"/>
      <c r="H1461" s="185"/>
      <c r="I1461" s="185"/>
      <c r="J1461" s="185"/>
      <c r="K1461" s="185"/>
      <c r="L1461" s="187"/>
      <c r="M1461" s="188"/>
      <c r="N1461" s="188"/>
      <c r="O1461" s="208"/>
      <c r="P1461" s="208"/>
      <c r="Q1461" s="208"/>
      <c r="R1461" s="208"/>
    </row>
    <row r="1462">
      <c r="A1462" s="185"/>
      <c r="B1462" s="186"/>
      <c r="C1462" s="185"/>
      <c r="D1462" s="185"/>
      <c r="E1462" s="185"/>
      <c r="F1462" s="185"/>
      <c r="G1462" s="185"/>
      <c r="H1462" s="185"/>
      <c r="I1462" s="185"/>
      <c r="J1462" s="185"/>
      <c r="K1462" s="185"/>
      <c r="L1462" s="187"/>
      <c r="M1462" s="188"/>
      <c r="N1462" s="188"/>
      <c r="O1462" s="208"/>
      <c r="P1462" s="208"/>
      <c r="Q1462" s="208"/>
      <c r="R1462" s="208"/>
    </row>
    <row r="1463">
      <c r="A1463" s="185"/>
      <c r="B1463" s="186"/>
      <c r="C1463" s="185"/>
      <c r="D1463" s="185"/>
      <c r="E1463" s="185"/>
      <c r="F1463" s="185"/>
      <c r="G1463" s="185"/>
      <c r="H1463" s="185"/>
      <c r="I1463" s="185"/>
      <c r="J1463" s="185"/>
      <c r="K1463" s="185"/>
      <c r="L1463" s="187"/>
      <c r="M1463" s="188"/>
      <c r="N1463" s="188"/>
      <c r="O1463" s="208"/>
      <c r="P1463" s="208"/>
      <c r="Q1463" s="208"/>
      <c r="R1463" s="208"/>
    </row>
    <row r="1464">
      <c r="A1464" s="185"/>
      <c r="B1464" s="186"/>
      <c r="C1464" s="185"/>
      <c r="D1464" s="185"/>
      <c r="E1464" s="185"/>
      <c r="F1464" s="185"/>
      <c r="G1464" s="185"/>
      <c r="H1464" s="185"/>
      <c r="I1464" s="185"/>
      <c r="J1464" s="185"/>
      <c r="K1464" s="185"/>
      <c r="L1464" s="187"/>
      <c r="M1464" s="188"/>
      <c r="N1464" s="188"/>
      <c r="O1464" s="208"/>
      <c r="P1464" s="208"/>
      <c r="Q1464" s="208"/>
      <c r="R1464" s="208"/>
    </row>
    <row r="1465">
      <c r="A1465" s="185"/>
      <c r="B1465" s="186"/>
      <c r="C1465" s="185"/>
      <c r="D1465" s="185"/>
      <c r="E1465" s="185"/>
      <c r="F1465" s="185"/>
      <c r="G1465" s="185"/>
      <c r="H1465" s="185"/>
      <c r="I1465" s="185"/>
      <c r="J1465" s="185"/>
      <c r="K1465" s="185"/>
      <c r="L1465" s="187"/>
      <c r="M1465" s="188"/>
      <c r="N1465" s="188"/>
      <c r="O1465" s="208"/>
      <c r="P1465" s="208"/>
      <c r="Q1465" s="208"/>
      <c r="R1465" s="208"/>
    </row>
    <row r="1466">
      <c r="A1466" s="185"/>
      <c r="B1466" s="186"/>
      <c r="C1466" s="185"/>
      <c r="D1466" s="185"/>
      <c r="E1466" s="185"/>
      <c r="F1466" s="185"/>
      <c r="G1466" s="185"/>
      <c r="H1466" s="185"/>
      <c r="I1466" s="185"/>
      <c r="J1466" s="185"/>
      <c r="K1466" s="185"/>
      <c r="L1466" s="187"/>
      <c r="M1466" s="188"/>
      <c r="N1466" s="188"/>
      <c r="O1466" s="208"/>
      <c r="P1466" s="208"/>
      <c r="Q1466" s="208"/>
      <c r="R1466" s="208"/>
    </row>
    <row r="1467">
      <c r="A1467" s="185"/>
      <c r="B1467" s="186"/>
      <c r="C1467" s="185"/>
      <c r="D1467" s="185"/>
      <c r="E1467" s="185"/>
      <c r="F1467" s="185"/>
      <c r="G1467" s="185"/>
      <c r="H1467" s="185"/>
      <c r="I1467" s="185"/>
      <c r="J1467" s="185"/>
      <c r="K1467" s="185"/>
      <c r="L1467" s="187"/>
      <c r="M1467" s="188"/>
      <c r="N1467" s="188"/>
      <c r="O1467" s="208"/>
      <c r="P1467" s="208"/>
      <c r="Q1467" s="208"/>
      <c r="R1467" s="208"/>
    </row>
    <row r="1468">
      <c r="A1468" s="185"/>
      <c r="B1468" s="186"/>
      <c r="C1468" s="185"/>
      <c r="D1468" s="185"/>
      <c r="E1468" s="185"/>
      <c r="F1468" s="185"/>
      <c r="G1468" s="185"/>
      <c r="H1468" s="185"/>
      <c r="I1468" s="185"/>
      <c r="J1468" s="185"/>
      <c r="K1468" s="185"/>
      <c r="L1468" s="187"/>
      <c r="M1468" s="188"/>
      <c r="N1468" s="188"/>
      <c r="O1468" s="208"/>
      <c r="P1468" s="208"/>
      <c r="Q1468" s="208"/>
      <c r="R1468" s="208"/>
    </row>
    <row r="1469">
      <c r="A1469" s="185"/>
      <c r="B1469" s="186"/>
      <c r="C1469" s="185"/>
      <c r="D1469" s="185"/>
      <c r="E1469" s="185"/>
      <c r="F1469" s="185"/>
      <c r="G1469" s="185"/>
      <c r="H1469" s="185"/>
      <c r="I1469" s="185"/>
      <c r="J1469" s="185"/>
      <c r="K1469" s="185"/>
      <c r="L1469" s="187"/>
      <c r="M1469" s="188"/>
      <c r="N1469" s="188"/>
      <c r="O1469" s="208"/>
      <c r="P1469" s="208"/>
      <c r="Q1469" s="208"/>
      <c r="R1469" s="208"/>
    </row>
    <row r="1470">
      <c r="A1470" s="185"/>
      <c r="B1470" s="186"/>
      <c r="C1470" s="185"/>
      <c r="D1470" s="185"/>
      <c r="E1470" s="185"/>
      <c r="F1470" s="185"/>
      <c r="G1470" s="185"/>
      <c r="H1470" s="185"/>
      <c r="I1470" s="185"/>
      <c r="J1470" s="185"/>
      <c r="K1470" s="185"/>
      <c r="L1470" s="187"/>
      <c r="M1470" s="188"/>
      <c r="N1470" s="188"/>
      <c r="O1470" s="208"/>
      <c r="P1470" s="208"/>
      <c r="Q1470" s="208"/>
      <c r="R1470" s="208"/>
    </row>
    <row r="1471">
      <c r="A1471" s="185"/>
      <c r="B1471" s="186"/>
      <c r="C1471" s="185"/>
      <c r="D1471" s="185"/>
      <c r="E1471" s="185"/>
      <c r="F1471" s="185"/>
      <c r="G1471" s="185"/>
      <c r="H1471" s="185"/>
      <c r="I1471" s="185"/>
      <c r="J1471" s="185"/>
      <c r="K1471" s="185"/>
      <c r="L1471" s="187"/>
      <c r="M1471" s="188"/>
      <c r="N1471" s="188"/>
      <c r="O1471" s="208"/>
      <c r="P1471" s="208"/>
      <c r="Q1471" s="208"/>
      <c r="R1471" s="208"/>
    </row>
    <row r="1472">
      <c r="A1472" s="185"/>
      <c r="B1472" s="186"/>
      <c r="C1472" s="185"/>
      <c r="D1472" s="185"/>
      <c r="E1472" s="185"/>
      <c r="F1472" s="185"/>
      <c r="G1472" s="185"/>
      <c r="H1472" s="185"/>
      <c r="I1472" s="185"/>
      <c r="J1472" s="185"/>
      <c r="K1472" s="185"/>
      <c r="L1472" s="187"/>
      <c r="M1472" s="188"/>
      <c r="N1472" s="188"/>
      <c r="O1472" s="208"/>
      <c r="P1472" s="208"/>
      <c r="Q1472" s="208"/>
      <c r="R1472" s="208"/>
    </row>
    <row r="1473">
      <c r="A1473" s="185"/>
      <c r="B1473" s="186"/>
      <c r="C1473" s="185"/>
      <c r="D1473" s="185"/>
      <c r="E1473" s="185"/>
      <c r="F1473" s="185"/>
      <c r="G1473" s="185"/>
      <c r="H1473" s="185"/>
      <c r="I1473" s="185"/>
      <c r="J1473" s="185"/>
      <c r="K1473" s="185"/>
      <c r="L1473" s="187"/>
      <c r="M1473" s="188"/>
      <c r="N1473" s="188"/>
      <c r="O1473" s="208"/>
      <c r="P1473" s="208"/>
      <c r="Q1473" s="208"/>
      <c r="R1473" s="208"/>
    </row>
    <row r="1474">
      <c r="A1474" s="185"/>
      <c r="B1474" s="186"/>
      <c r="C1474" s="185"/>
      <c r="D1474" s="185"/>
      <c r="E1474" s="185"/>
      <c r="F1474" s="185"/>
      <c r="G1474" s="185"/>
      <c r="H1474" s="185"/>
      <c r="I1474" s="185"/>
      <c r="J1474" s="185"/>
      <c r="K1474" s="185"/>
      <c r="L1474" s="187"/>
      <c r="M1474" s="188"/>
      <c r="N1474" s="188"/>
      <c r="O1474" s="208"/>
      <c r="P1474" s="208"/>
      <c r="Q1474" s="208"/>
      <c r="R1474" s="208"/>
    </row>
    <row r="1475">
      <c r="A1475" s="185"/>
      <c r="B1475" s="186"/>
      <c r="C1475" s="185"/>
      <c r="D1475" s="185"/>
      <c r="E1475" s="185"/>
      <c r="F1475" s="185"/>
      <c r="G1475" s="185"/>
      <c r="H1475" s="185"/>
      <c r="I1475" s="185"/>
      <c r="J1475" s="185"/>
      <c r="K1475" s="185"/>
      <c r="L1475" s="187"/>
      <c r="M1475" s="188"/>
      <c r="N1475" s="188"/>
      <c r="O1475" s="208"/>
      <c r="P1475" s="208"/>
      <c r="Q1475" s="208"/>
      <c r="R1475" s="208"/>
    </row>
    <row r="1476">
      <c r="A1476" s="185"/>
      <c r="B1476" s="186"/>
      <c r="C1476" s="185"/>
      <c r="D1476" s="185"/>
      <c r="E1476" s="185"/>
      <c r="F1476" s="185"/>
      <c r="G1476" s="185"/>
      <c r="H1476" s="185"/>
      <c r="I1476" s="185"/>
      <c r="J1476" s="185"/>
      <c r="K1476" s="185"/>
      <c r="L1476" s="187"/>
      <c r="M1476" s="188"/>
      <c r="N1476" s="188"/>
      <c r="O1476" s="208"/>
      <c r="P1476" s="208"/>
      <c r="Q1476" s="208"/>
      <c r="R1476" s="208"/>
    </row>
    <row r="1477">
      <c r="A1477" s="185"/>
      <c r="B1477" s="186"/>
      <c r="C1477" s="185"/>
      <c r="D1477" s="185"/>
      <c r="E1477" s="185"/>
      <c r="F1477" s="185"/>
      <c r="G1477" s="185"/>
      <c r="H1477" s="185"/>
      <c r="I1477" s="185"/>
      <c r="J1477" s="185"/>
      <c r="K1477" s="185"/>
      <c r="L1477" s="187"/>
      <c r="M1477" s="188"/>
      <c r="N1477" s="188"/>
      <c r="O1477" s="208"/>
      <c r="P1477" s="208"/>
      <c r="Q1477" s="208"/>
      <c r="R1477" s="208"/>
    </row>
    <row r="1478">
      <c r="A1478" s="185"/>
      <c r="B1478" s="186"/>
      <c r="C1478" s="185"/>
      <c r="D1478" s="185"/>
      <c r="E1478" s="185"/>
      <c r="F1478" s="185"/>
      <c r="G1478" s="185"/>
      <c r="H1478" s="185"/>
      <c r="I1478" s="185"/>
      <c r="J1478" s="185"/>
      <c r="K1478" s="185"/>
      <c r="L1478" s="187"/>
      <c r="M1478" s="188"/>
      <c r="N1478" s="188"/>
      <c r="O1478" s="208"/>
      <c r="P1478" s="208"/>
      <c r="Q1478" s="208"/>
      <c r="R1478" s="208"/>
    </row>
    <row r="1479">
      <c r="A1479" s="185"/>
      <c r="B1479" s="186"/>
      <c r="C1479" s="185"/>
      <c r="D1479" s="185"/>
      <c r="E1479" s="185"/>
      <c r="F1479" s="185"/>
      <c r="G1479" s="185"/>
      <c r="H1479" s="185"/>
      <c r="I1479" s="185"/>
      <c r="J1479" s="185"/>
      <c r="K1479" s="185"/>
      <c r="L1479" s="187"/>
      <c r="M1479" s="188"/>
      <c r="N1479" s="188"/>
      <c r="O1479" s="208"/>
      <c r="P1479" s="208"/>
      <c r="Q1479" s="208"/>
      <c r="R1479" s="208"/>
    </row>
    <row r="1480">
      <c r="A1480" s="185"/>
      <c r="B1480" s="186"/>
      <c r="C1480" s="185"/>
      <c r="D1480" s="185"/>
      <c r="E1480" s="185"/>
      <c r="F1480" s="185"/>
      <c r="G1480" s="185"/>
      <c r="H1480" s="185"/>
      <c r="I1480" s="185"/>
      <c r="J1480" s="185"/>
      <c r="K1480" s="185"/>
      <c r="L1480" s="187"/>
      <c r="M1480" s="188"/>
      <c r="N1480" s="188"/>
      <c r="O1480" s="208"/>
      <c r="P1480" s="208"/>
      <c r="Q1480" s="208"/>
      <c r="R1480" s="208"/>
    </row>
    <row r="1481">
      <c r="A1481" s="185"/>
      <c r="B1481" s="186"/>
      <c r="C1481" s="185"/>
      <c r="D1481" s="185"/>
      <c r="E1481" s="185"/>
      <c r="F1481" s="185"/>
      <c r="G1481" s="185"/>
      <c r="H1481" s="185"/>
      <c r="I1481" s="185"/>
      <c r="J1481" s="185"/>
      <c r="K1481" s="185"/>
      <c r="L1481" s="187"/>
      <c r="M1481" s="188"/>
      <c r="N1481" s="188"/>
      <c r="O1481" s="208"/>
      <c r="P1481" s="208"/>
      <c r="Q1481" s="208"/>
      <c r="R1481" s="208"/>
    </row>
    <row r="1482">
      <c r="A1482" s="185"/>
      <c r="B1482" s="186"/>
      <c r="C1482" s="185"/>
      <c r="D1482" s="185"/>
      <c r="E1482" s="185"/>
      <c r="F1482" s="185"/>
      <c r="G1482" s="185"/>
      <c r="H1482" s="185"/>
      <c r="I1482" s="185"/>
      <c r="J1482" s="185"/>
      <c r="K1482" s="185"/>
      <c r="L1482" s="187"/>
      <c r="M1482" s="188"/>
      <c r="N1482" s="188"/>
      <c r="O1482" s="208"/>
      <c r="P1482" s="208"/>
      <c r="Q1482" s="208"/>
      <c r="R1482" s="208"/>
    </row>
    <row r="1483">
      <c r="A1483" s="185"/>
      <c r="B1483" s="186"/>
      <c r="C1483" s="185"/>
      <c r="D1483" s="185"/>
      <c r="E1483" s="185"/>
      <c r="F1483" s="185"/>
      <c r="G1483" s="185"/>
      <c r="H1483" s="185"/>
      <c r="I1483" s="185"/>
      <c r="J1483" s="185"/>
      <c r="K1483" s="185"/>
      <c r="L1483" s="187"/>
      <c r="M1483" s="188"/>
      <c r="N1483" s="188"/>
      <c r="O1483" s="208"/>
      <c r="P1483" s="208"/>
      <c r="Q1483" s="208"/>
      <c r="R1483" s="208"/>
    </row>
    <row r="1484">
      <c r="A1484" s="185"/>
      <c r="B1484" s="186"/>
      <c r="C1484" s="185"/>
      <c r="D1484" s="185"/>
      <c r="E1484" s="185"/>
      <c r="F1484" s="185"/>
      <c r="G1484" s="185"/>
      <c r="H1484" s="185"/>
      <c r="I1484" s="185"/>
      <c r="J1484" s="185"/>
      <c r="K1484" s="185"/>
      <c r="L1484" s="187"/>
      <c r="M1484" s="188"/>
      <c r="N1484" s="188"/>
      <c r="O1484" s="208"/>
      <c r="P1484" s="208"/>
      <c r="Q1484" s="208"/>
      <c r="R1484" s="208"/>
    </row>
    <row r="1485">
      <c r="A1485" s="185"/>
      <c r="B1485" s="186"/>
      <c r="C1485" s="185"/>
      <c r="D1485" s="185"/>
      <c r="E1485" s="185"/>
      <c r="F1485" s="185"/>
      <c r="G1485" s="185"/>
      <c r="H1485" s="185"/>
      <c r="I1485" s="185"/>
      <c r="J1485" s="185"/>
      <c r="K1485" s="185"/>
      <c r="L1485" s="187"/>
      <c r="M1485" s="188"/>
      <c r="N1485" s="188"/>
      <c r="O1485" s="208"/>
      <c r="P1485" s="208"/>
      <c r="Q1485" s="208"/>
      <c r="R1485" s="208"/>
    </row>
    <row r="1486">
      <c r="A1486" s="185"/>
      <c r="B1486" s="186"/>
      <c r="C1486" s="185"/>
      <c r="D1486" s="185"/>
      <c r="E1486" s="185"/>
      <c r="F1486" s="185"/>
      <c r="G1486" s="185"/>
      <c r="H1486" s="185"/>
      <c r="I1486" s="185"/>
      <c r="J1486" s="185"/>
      <c r="K1486" s="185"/>
      <c r="L1486" s="187"/>
      <c r="M1486" s="188"/>
      <c r="N1486" s="188"/>
      <c r="O1486" s="208"/>
      <c r="P1486" s="208"/>
      <c r="Q1486" s="208"/>
      <c r="R1486" s="208"/>
    </row>
    <row r="1487">
      <c r="A1487" s="185"/>
      <c r="B1487" s="186"/>
      <c r="C1487" s="185"/>
      <c r="D1487" s="185"/>
      <c r="E1487" s="185"/>
      <c r="F1487" s="185"/>
      <c r="G1487" s="185"/>
      <c r="H1487" s="185"/>
      <c r="I1487" s="185"/>
      <c r="J1487" s="185"/>
      <c r="K1487" s="185"/>
      <c r="L1487" s="187"/>
      <c r="M1487" s="188"/>
      <c r="N1487" s="188"/>
      <c r="O1487" s="208"/>
      <c r="P1487" s="208"/>
      <c r="Q1487" s="208"/>
      <c r="R1487" s="208"/>
    </row>
    <row r="1488">
      <c r="A1488" s="185"/>
      <c r="B1488" s="186"/>
      <c r="C1488" s="185"/>
      <c r="D1488" s="185"/>
      <c r="E1488" s="185"/>
      <c r="F1488" s="185"/>
      <c r="G1488" s="185"/>
      <c r="H1488" s="185"/>
      <c r="I1488" s="185"/>
      <c r="J1488" s="185"/>
      <c r="K1488" s="185"/>
      <c r="L1488" s="187"/>
      <c r="M1488" s="188"/>
      <c r="N1488" s="188"/>
      <c r="O1488" s="208"/>
      <c r="P1488" s="208"/>
      <c r="Q1488" s="208"/>
      <c r="R1488" s="208"/>
    </row>
    <row r="1489">
      <c r="A1489" s="185"/>
      <c r="B1489" s="186"/>
      <c r="C1489" s="185"/>
      <c r="D1489" s="185"/>
      <c r="E1489" s="185"/>
      <c r="F1489" s="185"/>
      <c r="G1489" s="185"/>
      <c r="H1489" s="185"/>
      <c r="I1489" s="185"/>
      <c r="J1489" s="185"/>
      <c r="K1489" s="185"/>
      <c r="L1489" s="187"/>
      <c r="M1489" s="188"/>
      <c r="N1489" s="188"/>
      <c r="O1489" s="208"/>
      <c r="P1489" s="208"/>
      <c r="Q1489" s="208"/>
      <c r="R1489" s="208"/>
    </row>
    <row r="1490">
      <c r="A1490" s="185"/>
      <c r="B1490" s="186"/>
      <c r="C1490" s="185"/>
      <c r="D1490" s="185"/>
      <c r="E1490" s="185"/>
      <c r="F1490" s="185"/>
      <c r="G1490" s="185"/>
      <c r="H1490" s="185"/>
      <c r="I1490" s="185"/>
      <c r="J1490" s="185"/>
      <c r="K1490" s="185"/>
      <c r="L1490" s="187"/>
      <c r="M1490" s="188"/>
      <c r="N1490" s="188"/>
      <c r="O1490" s="208"/>
      <c r="P1490" s="208"/>
      <c r="Q1490" s="208"/>
      <c r="R1490" s="208"/>
    </row>
    <row r="1491">
      <c r="A1491" s="185"/>
      <c r="B1491" s="186"/>
      <c r="C1491" s="185"/>
      <c r="D1491" s="185"/>
      <c r="E1491" s="185"/>
      <c r="F1491" s="185"/>
      <c r="G1491" s="185"/>
      <c r="H1491" s="185"/>
      <c r="I1491" s="185"/>
      <c r="J1491" s="185"/>
      <c r="K1491" s="185"/>
      <c r="L1491" s="187"/>
      <c r="M1491" s="188"/>
      <c r="N1491" s="188"/>
      <c r="O1491" s="208"/>
      <c r="P1491" s="208"/>
      <c r="Q1491" s="208"/>
      <c r="R1491" s="208"/>
    </row>
    <row r="1492">
      <c r="A1492" s="185"/>
      <c r="B1492" s="186"/>
      <c r="C1492" s="185"/>
      <c r="D1492" s="185"/>
      <c r="E1492" s="185"/>
      <c r="F1492" s="185"/>
      <c r="G1492" s="185"/>
      <c r="H1492" s="185"/>
      <c r="I1492" s="185"/>
      <c r="J1492" s="185"/>
      <c r="K1492" s="185"/>
      <c r="L1492" s="187"/>
      <c r="M1492" s="188"/>
      <c r="N1492" s="188"/>
      <c r="O1492" s="208"/>
      <c r="P1492" s="208"/>
      <c r="Q1492" s="208"/>
      <c r="R1492" s="208"/>
    </row>
    <row r="1493">
      <c r="A1493" s="185"/>
      <c r="B1493" s="186"/>
      <c r="C1493" s="185"/>
      <c r="D1493" s="185"/>
      <c r="E1493" s="185"/>
      <c r="F1493" s="185"/>
      <c r="G1493" s="185"/>
      <c r="H1493" s="185"/>
      <c r="I1493" s="185"/>
      <c r="J1493" s="185"/>
      <c r="K1493" s="185"/>
      <c r="L1493" s="187"/>
      <c r="M1493" s="188"/>
      <c r="N1493" s="188"/>
      <c r="O1493" s="208"/>
      <c r="P1493" s="208"/>
      <c r="Q1493" s="208"/>
      <c r="R1493" s="208"/>
    </row>
    <row r="1494">
      <c r="A1494" s="185"/>
      <c r="B1494" s="186"/>
      <c r="C1494" s="185"/>
      <c r="D1494" s="185"/>
      <c r="E1494" s="185"/>
      <c r="F1494" s="185"/>
      <c r="G1494" s="185"/>
      <c r="H1494" s="185"/>
      <c r="I1494" s="185"/>
      <c r="J1494" s="185"/>
      <c r="K1494" s="185"/>
      <c r="L1494" s="187"/>
      <c r="M1494" s="188"/>
      <c r="N1494" s="188"/>
      <c r="O1494" s="208"/>
      <c r="P1494" s="208"/>
      <c r="Q1494" s="208"/>
      <c r="R1494" s="208"/>
    </row>
    <row r="1495">
      <c r="A1495" s="185"/>
      <c r="B1495" s="186"/>
      <c r="C1495" s="185"/>
      <c r="D1495" s="185"/>
      <c r="E1495" s="185"/>
      <c r="F1495" s="185"/>
      <c r="G1495" s="185"/>
      <c r="H1495" s="185"/>
      <c r="I1495" s="185"/>
      <c r="J1495" s="185"/>
      <c r="K1495" s="185"/>
      <c r="L1495" s="187"/>
      <c r="M1495" s="188"/>
      <c r="N1495" s="188"/>
      <c r="O1495" s="208"/>
      <c r="P1495" s="208"/>
      <c r="Q1495" s="208"/>
      <c r="R1495" s="208"/>
    </row>
    <row r="1496">
      <c r="A1496" s="185"/>
      <c r="B1496" s="186"/>
      <c r="C1496" s="185"/>
      <c r="D1496" s="185"/>
      <c r="E1496" s="185"/>
      <c r="F1496" s="185"/>
      <c r="G1496" s="185"/>
      <c r="H1496" s="185"/>
      <c r="I1496" s="185"/>
      <c r="J1496" s="185"/>
      <c r="K1496" s="185"/>
      <c r="L1496" s="187"/>
      <c r="M1496" s="188"/>
      <c r="N1496" s="188"/>
      <c r="O1496" s="208"/>
      <c r="P1496" s="208"/>
      <c r="Q1496" s="208"/>
      <c r="R1496" s="208"/>
    </row>
    <row r="1497">
      <c r="A1497" s="185"/>
      <c r="B1497" s="186"/>
      <c r="C1497" s="185"/>
      <c r="D1497" s="185"/>
      <c r="E1497" s="185"/>
      <c r="F1497" s="185"/>
      <c r="G1497" s="185"/>
      <c r="H1497" s="185"/>
      <c r="I1497" s="185"/>
      <c r="J1497" s="185"/>
      <c r="K1497" s="185"/>
      <c r="L1497" s="187"/>
      <c r="M1497" s="188"/>
      <c r="N1497" s="188"/>
      <c r="O1497" s="208"/>
      <c r="P1497" s="208"/>
      <c r="Q1497" s="208"/>
      <c r="R1497" s="208"/>
    </row>
    <row r="1498">
      <c r="A1498" s="185"/>
      <c r="B1498" s="186"/>
      <c r="C1498" s="185"/>
      <c r="D1498" s="185"/>
      <c r="E1498" s="185"/>
      <c r="F1498" s="185"/>
      <c r="G1498" s="185"/>
      <c r="H1498" s="185"/>
      <c r="I1498" s="185"/>
      <c r="J1498" s="185"/>
      <c r="K1498" s="185"/>
      <c r="L1498" s="187"/>
      <c r="M1498" s="188"/>
      <c r="N1498" s="188"/>
      <c r="O1498" s="208"/>
      <c r="P1498" s="208"/>
      <c r="Q1498" s="208"/>
      <c r="R1498" s="208"/>
    </row>
    <row r="1499">
      <c r="A1499" s="185"/>
      <c r="B1499" s="186"/>
      <c r="C1499" s="185"/>
      <c r="D1499" s="185"/>
      <c r="E1499" s="185"/>
      <c r="F1499" s="185"/>
      <c r="G1499" s="185"/>
      <c r="H1499" s="185"/>
      <c r="I1499" s="185"/>
      <c r="J1499" s="185"/>
      <c r="K1499" s="185"/>
      <c r="L1499" s="187"/>
      <c r="M1499" s="188"/>
      <c r="N1499" s="188"/>
      <c r="O1499" s="208"/>
      <c r="P1499" s="208"/>
      <c r="Q1499" s="208"/>
      <c r="R1499" s="208"/>
    </row>
    <row r="1500">
      <c r="A1500" s="185"/>
      <c r="B1500" s="186"/>
      <c r="C1500" s="185"/>
      <c r="D1500" s="185"/>
      <c r="E1500" s="185"/>
      <c r="F1500" s="185"/>
      <c r="G1500" s="185"/>
      <c r="H1500" s="185"/>
      <c r="I1500" s="185"/>
      <c r="J1500" s="185"/>
      <c r="K1500" s="185"/>
      <c r="L1500" s="187"/>
      <c r="M1500" s="188"/>
      <c r="N1500" s="188"/>
      <c r="O1500" s="208"/>
      <c r="P1500" s="208"/>
      <c r="Q1500" s="208"/>
      <c r="R1500" s="208"/>
    </row>
    <row r="1501">
      <c r="A1501" s="185"/>
      <c r="B1501" s="186"/>
      <c r="C1501" s="185"/>
      <c r="D1501" s="185"/>
      <c r="E1501" s="185"/>
      <c r="F1501" s="185"/>
      <c r="G1501" s="185"/>
      <c r="H1501" s="185"/>
      <c r="I1501" s="185"/>
      <c r="J1501" s="185"/>
      <c r="K1501" s="185"/>
      <c r="L1501" s="187"/>
      <c r="M1501" s="188"/>
      <c r="N1501" s="188"/>
      <c r="O1501" s="208"/>
      <c r="P1501" s="208"/>
      <c r="Q1501" s="208"/>
      <c r="R1501" s="208"/>
    </row>
    <row r="1502">
      <c r="A1502" s="185"/>
      <c r="B1502" s="186"/>
      <c r="C1502" s="185"/>
      <c r="D1502" s="185"/>
      <c r="E1502" s="185"/>
      <c r="F1502" s="185"/>
      <c r="G1502" s="185"/>
      <c r="H1502" s="185"/>
      <c r="I1502" s="185"/>
      <c r="J1502" s="185"/>
      <c r="K1502" s="185"/>
      <c r="L1502" s="187"/>
      <c r="M1502" s="188"/>
      <c r="N1502" s="188"/>
      <c r="O1502" s="208"/>
      <c r="P1502" s="208"/>
      <c r="Q1502" s="208"/>
      <c r="R1502" s="208"/>
    </row>
    <row r="1503">
      <c r="A1503" s="185"/>
      <c r="B1503" s="186"/>
      <c r="C1503" s="185"/>
      <c r="D1503" s="185"/>
      <c r="E1503" s="185"/>
      <c r="F1503" s="185"/>
      <c r="G1503" s="185"/>
      <c r="H1503" s="185"/>
      <c r="I1503" s="185"/>
      <c r="J1503" s="185"/>
      <c r="K1503" s="185"/>
      <c r="L1503" s="187"/>
      <c r="M1503" s="188"/>
      <c r="N1503" s="188"/>
      <c r="O1503" s="208"/>
      <c r="P1503" s="208"/>
      <c r="Q1503" s="208"/>
      <c r="R1503" s="208"/>
    </row>
    <row r="1504">
      <c r="A1504" s="185"/>
      <c r="B1504" s="186"/>
      <c r="C1504" s="185"/>
      <c r="D1504" s="185"/>
      <c r="E1504" s="185"/>
      <c r="F1504" s="185"/>
      <c r="G1504" s="185"/>
      <c r="H1504" s="185"/>
      <c r="I1504" s="185"/>
      <c r="J1504" s="185"/>
      <c r="K1504" s="185"/>
      <c r="L1504" s="187"/>
      <c r="M1504" s="188"/>
      <c r="N1504" s="188"/>
      <c r="O1504" s="208"/>
      <c r="P1504" s="208"/>
      <c r="Q1504" s="208"/>
      <c r="R1504" s="208"/>
    </row>
    <row r="1505">
      <c r="A1505" s="185"/>
      <c r="B1505" s="186"/>
      <c r="C1505" s="185"/>
      <c r="D1505" s="185"/>
      <c r="E1505" s="185"/>
      <c r="F1505" s="185"/>
      <c r="G1505" s="185"/>
      <c r="H1505" s="185"/>
      <c r="I1505" s="185"/>
      <c r="J1505" s="185"/>
      <c r="K1505" s="185"/>
      <c r="L1505" s="187"/>
      <c r="M1505" s="188"/>
      <c r="N1505" s="188"/>
      <c r="O1505" s="208"/>
      <c r="P1505" s="208"/>
      <c r="Q1505" s="208"/>
      <c r="R1505" s="208"/>
    </row>
    <row r="1506">
      <c r="A1506" s="185"/>
      <c r="B1506" s="186"/>
      <c r="C1506" s="185"/>
      <c r="D1506" s="185"/>
      <c r="E1506" s="185"/>
      <c r="F1506" s="185"/>
      <c r="G1506" s="185"/>
      <c r="H1506" s="185"/>
      <c r="I1506" s="185"/>
      <c r="J1506" s="185"/>
      <c r="K1506" s="185"/>
      <c r="L1506" s="187"/>
      <c r="M1506" s="188"/>
      <c r="N1506" s="188"/>
      <c r="O1506" s="208"/>
      <c r="P1506" s="208"/>
      <c r="Q1506" s="208"/>
      <c r="R1506" s="208"/>
    </row>
    <row r="1507">
      <c r="A1507" s="185"/>
      <c r="B1507" s="186"/>
      <c r="C1507" s="185"/>
      <c r="D1507" s="185"/>
      <c r="E1507" s="185"/>
      <c r="F1507" s="185"/>
      <c r="G1507" s="185"/>
      <c r="H1507" s="185"/>
      <c r="I1507" s="185"/>
      <c r="J1507" s="185"/>
      <c r="K1507" s="185"/>
      <c r="L1507" s="187"/>
      <c r="M1507" s="188"/>
      <c r="N1507" s="188"/>
      <c r="O1507" s="208"/>
      <c r="P1507" s="208"/>
      <c r="Q1507" s="208"/>
      <c r="R1507" s="208"/>
    </row>
    <row r="1508">
      <c r="A1508" s="185"/>
      <c r="B1508" s="186"/>
      <c r="C1508" s="185"/>
      <c r="D1508" s="185"/>
      <c r="E1508" s="185"/>
      <c r="F1508" s="185"/>
      <c r="G1508" s="185"/>
      <c r="H1508" s="185"/>
      <c r="I1508" s="185"/>
      <c r="J1508" s="185"/>
      <c r="K1508" s="185"/>
      <c r="L1508" s="187"/>
      <c r="M1508" s="188"/>
      <c r="N1508" s="188"/>
      <c r="O1508" s="208"/>
      <c r="P1508" s="208"/>
      <c r="Q1508" s="208"/>
      <c r="R1508" s="208"/>
    </row>
    <row r="1509">
      <c r="A1509" s="185"/>
      <c r="B1509" s="186"/>
      <c r="C1509" s="185"/>
      <c r="D1509" s="185"/>
      <c r="E1509" s="185"/>
      <c r="F1509" s="185"/>
      <c r="G1509" s="185"/>
      <c r="H1509" s="185"/>
      <c r="I1509" s="185"/>
      <c r="J1509" s="185"/>
      <c r="K1509" s="185"/>
      <c r="L1509" s="187"/>
      <c r="M1509" s="188"/>
      <c r="N1509" s="188"/>
      <c r="O1509" s="208"/>
      <c r="P1509" s="208"/>
      <c r="Q1509" s="208"/>
      <c r="R1509" s="208"/>
    </row>
    <row r="1510">
      <c r="A1510" s="185"/>
      <c r="B1510" s="186"/>
      <c r="C1510" s="185"/>
      <c r="D1510" s="185"/>
      <c r="E1510" s="185"/>
      <c r="F1510" s="185"/>
      <c r="G1510" s="185"/>
      <c r="H1510" s="185"/>
      <c r="I1510" s="185"/>
      <c r="J1510" s="185"/>
      <c r="K1510" s="185"/>
      <c r="L1510" s="187"/>
      <c r="M1510" s="188"/>
      <c r="N1510" s="188"/>
      <c r="O1510" s="208"/>
      <c r="P1510" s="208"/>
      <c r="Q1510" s="208"/>
      <c r="R1510" s="208"/>
    </row>
    <row r="1511">
      <c r="A1511" s="185"/>
      <c r="B1511" s="186"/>
      <c r="C1511" s="185"/>
      <c r="D1511" s="185"/>
      <c r="E1511" s="185"/>
      <c r="F1511" s="185"/>
      <c r="G1511" s="185"/>
      <c r="H1511" s="185"/>
      <c r="I1511" s="185"/>
      <c r="J1511" s="185"/>
      <c r="K1511" s="185"/>
      <c r="L1511" s="187"/>
      <c r="M1511" s="188"/>
      <c r="N1511" s="188"/>
      <c r="O1511" s="208"/>
      <c r="P1511" s="208"/>
      <c r="Q1511" s="208"/>
      <c r="R1511" s="208"/>
    </row>
    <row r="1512">
      <c r="A1512" s="185"/>
      <c r="B1512" s="186"/>
      <c r="C1512" s="185"/>
      <c r="D1512" s="185"/>
      <c r="E1512" s="185"/>
      <c r="F1512" s="185"/>
      <c r="G1512" s="185"/>
      <c r="H1512" s="185"/>
      <c r="I1512" s="185"/>
      <c r="J1512" s="185"/>
      <c r="K1512" s="185"/>
      <c r="L1512" s="187"/>
      <c r="M1512" s="188"/>
      <c r="N1512" s="188"/>
      <c r="O1512" s="208"/>
      <c r="P1512" s="208"/>
      <c r="Q1512" s="208"/>
      <c r="R1512" s="208"/>
    </row>
    <row r="1513">
      <c r="A1513" s="185"/>
      <c r="B1513" s="186"/>
      <c r="C1513" s="185"/>
      <c r="D1513" s="185"/>
      <c r="E1513" s="185"/>
      <c r="F1513" s="185"/>
      <c r="G1513" s="185"/>
      <c r="H1513" s="185"/>
      <c r="I1513" s="185"/>
      <c r="J1513" s="185"/>
      <c r="K1513" s="185"/>
      <c r="L1513" s="187"/>
      <c r="M1513" s="188"/>
      <c r="N1513" s="188"/>
      <c r="O1513" s="208"/>
      <c r="P1513" s="208"/>
      <c r="Q1513" s="208"/>
      <c r="R1513" s="208"/>
    </row>
    <row r="1514">
      <c r="A1514" s="185"/>
      <c r="B1514" s="186"/>
      <c r="C1514" s="185"/>
      <c r="D1514" s="185"/>
      <c r="E1514" s="185"/>
      <c r="F1514" s="185"/>
      <c r="G1514" s="185"/>
      <c r="H1514" s="185"/>
      <c r="I1514" s="185"/>
      <c r="J1514" s="185"/>
      <c r="K1514" s="185"/>
      <c r="L1514" s="187"/>
      <c r="M1514" s="188"/>
      <c r="N1514" s="188"/>
      <c r="O1514" s="208"/>
      <c r="P1514" s="208"/>
      <c r="Q1514" s="208"/>
      <c r="R1514" s="208"/>
    </row>
    <row r="1515">
      <c r="A1515" s="185"/>
      <c r="B1515" s="186"/>
      <c r="C1515" s="185"/>
      <c r="D1515" s="185"/>
      <c r="E1515" s="185"/>
      <c r="F1515" s="185"/>
      <c r="G1515" s="185"/>
      <c r="H1515" s="185"/>
      <c r="I1515" s="185"/>
      <c r="J1515" s="185"/>
      <c r="K1515" s="185"/>
      <c r="L1515" s="187"/>
      <c r="M1515" s="188"/>
      <c r="N1515" s="188"/>
      <c r="O1515" s="208"/>
      <c r="P1515" s="208"/>
      <c r="Q1515" s="208"/>
      <c r="R1515" s="208"/>
    </row>
    <row r="1516">
      <c r="A1516" s="185"/>
      <c r="B1516" s="186"/>
      <c r="C1516" s="185"/>
      <c r="D1516" s="185"/>
      <c r="E1516" s="185"/>
      <c r="F1516" s="185"/>
      <c r="G1516" s="185"/>
      <c r="H1516" s="185"/>
      <c r="I1516" s="185"/>
      <c r="J1516" s="185"/>
      <c r="K1516" s="185"/>
      <c r="L1516" s="187"/>
      <c r="M1516" s="188"/>
      <c r="N1516" s="188"/>
      <c r="O1516" s="208"/>
      <c r="P1516" s="208"/>
      <c r="Q1516" s="208"/>
      <c r="R1516" s="208"/>
    </row>
    <row r="1517">
      <c r="A1517" s="185"/>
      <c r="B1517" s="186"/>
      <c r="C1517" s="185"/>
      <c r="D1517" s="185"/>
      <c r="E1517" s="185"/>
      <c r="F1517" s="185"/>
      <c r="G1517" s="185"/>
      <c r="H1517" s="185"/>
      <c r="I1517" s="185"/>
      <c r="J1517" s="185"/>
      <c r="K1517" s="185"/>
      <c r="L1517" s="187"/>
      <c r="M1517" s="188"/>
      <c r="N1517" s="188"/>
      <c r="O1517" s="208"/>
      <c r="P1517" s="208"/>
      <c r="Q1517" s="208"/>
      <c r="R1517" s="208"/>
    </row>
    <row r="1518">
      <c r="A1518" s="185"/>
      <c r="B1518" s="186"/>
      <c r="C1518" s="185"/>
      <c r="D1518" s="185"/>
      <c r="E1518" s="185"/>
      <c r="F1518" s="185"/>
      <c r="G1518" s="185"/>
      <c r="H1518" s="185"/>
      <c r="I1518" s="185"/>
      <c r="J1518" s="185"/>
      <c r="K1518" s="185"/>
      <c r="L1518" s="187"/>
      <c r="M1518" s="188"/>
      <c r="N1518" s="188"/>
      <c r="O1518" s="208"/>
      <c r="P1518" s="208"/>
      <c r="Q1518" s="208"/>
      <c r="R1518" s="208"/>
    </row>
    <row r="1519">
      <c r="A1519" s="185"/>
      <c r="B1519" s="186"/>
      <c r="C1519" s="185"/>
      <c r="D1519" s="185"/>
      <c r="E1519" s="185"/>
      <c r="F1519" s="185"/>
      <c r="G1519" s="185"/>
      <c r="H1519" s="185"/>
      <c r="I1519" s="185"/>
      <c r="J1519" s="185"/>
      <c r="K1519" s="185"/>
      <c r="L1519" s="187"/>
      <c r="M1519" s="188"/>
      <c r="N1519" s="188"/>
      <c r="O1519" s="208"/>
      <c r="P1519" s="208"/>
      <c r="Q1519" s="208"/>
      <c r="R1519" s="208"/>
    </row>
    <row r="1520">
      <c r="A1520" s="185"/>
      <c r="B1520" s="186"/>
      <c r="C1520" s="185"/>
      <c r="D1520" s="185"/>
      <c r="E1520" s="185"/>
      <c r="F1520" s="185"/>
      <c r="G1520" s="185"/>
      <c r="H1520" s="185"/>
      <c r="I1520" s="185"/>
      <c r="J1520" s="185"/>
      <c r="K1520" s="185"/>
      <c r="L1520" s="187"/>
      <c r="M1520" s="188"/>
      <c r="N1520" s="188"/>
      <c r="O1520" s="208"/>
      <c r="P1520" s="208"/>
      <c r="Q1520" s="208"/>
      <c r="R1520" s="208"/>
    </row>
    <row r="1521">
      <c r="A1521" s="185"/>
      <c r="B1521" s="186"/>
      <c r="C1521" s="185"/>
      <c r="D1521" s="185"/>
      <c r="E1521" s="185"/>
      <c r="F1521" s="185"/>
      <c r="G1521" s="185"/>
      <c r="H1521" s="185"/>
      <c r="I1521" s="185"/>
      <c r="J1521" s="185"/>
      <c r="K1521" s="185"/>
      <c r="L1521" s="187"/>
      <c r="M1521" s="188"/>
      <c r="N1521" s="188"/>
      <c r="O1521" s="208"/>
      <c r="P1521" s="208"/>
      <c r="Q1521" s="208"/>
      <c r="R1521" s="208"/>
    </row>
    <row r="1522">
      <c r="A1522" s="185"/>
      <c r="B1522" s="186"/>
      <c r="C1522" s="185"/>
      <c r="D1522" s="185"/>
      <c r="E1522" s="185"/>
      <c r="F1522" s="185"/>
      <c r="G1522" s="185"/>
      <c r="H1522" s="185"/>
      <c r="I1522" s="185"/>
      <c r="J1522" s="185"/>
      <c r="K1522" s="185"/>
      <c r="L1522" s="187"/>
      <c r="M1522" s="188"/>
      <c r="N1522" s="188"/>
      <c r="O1522" s="208"/>
      <c r="P1522" s="208"/>
      <c r="Q1522" s="208"/>
      <c r="R1522" s="208"/>
    </row>
    <row r="1523">
      <c r="A1523" s="185"/>
      <c r="B1523" s="186"/>
      <c r="C1523" s="185"/>
      <c r="D1523" s="185"/>
      <c r="E1523" s="185"/>
      <c r="F1523" s="185"/>
      <c r="G1523" s="185"/>
      <c r="H1523" s="185"/>
      <c r="I1523" s="185"/>
      <c r="J1523" s="185"/>
      <c r="K1523" s="185"/>
      <c r="L1523" s="187"/>
      <c r="M1523" s="188"/>
      <c r="N1523" s="188"/>
      <c r="O1523" s="208"/>
      <c r="P1523" s="208"/>
      <c r="Q1523" s="208"/>
      <c r="R1523" s="208"/>
    </row>
    <row r="1524">
      <c r="A1524" s="185"/>
      <c r="B1524" s="186"/>
      <c r="C1524" s="185"/>
      <c r="D1524" s="185"/>
      <c r="E1524" s="185"/>
      <c r="F1524" s="185"/>
      <c r="G1524" s="185"/>
      <c r="H1524" s="185"/>
      <c r="I1524" s="185"/>
      <c r="J1524" s="185"/>
      <c r="K1524" s="185"/>
      <c r="L1524" s="187"/>
      <c r="M1524" s="188"/>
      <c r="N1524" s="188"/>
      <c r="O1524" s="208"/>
      <c r="P1524" s="208"/>
      <c r="Q1524" s="208"/>
      <c r="R1524" s="208"/>
    </row>
    <row r="1525">
      <c r="A1525" s="185"/>
      <c r="B1525" s="186"/>
      <c r="C1525" s="185"/>
      <c r="D1525" s="185"/>
      <c r="E1525" s="185"/>
      <c r="F1525" s="185"/>
      <c r="G1525" s="185"/>
      <c r="H1525" s="185"/>
      <c r="I1525" s="185"/>
      <c r="J1525" s="185"/>
      <c r="K1525" s="185"/>
      <c r="L1525" s="187"/>
      <c r="M1525" s="188"/>
      <c r="N1525" s="188"/>
      <c r="O1525" s="208"/>
      <c r="P1525" s="208"/>
      <c r="Q1525" s="208"/>
      <c r="R1525" s="208"/>
    </row>
    <row r="1526">
      <c r="A1526" s="185"/>
      <c r="B1526" s="186"/>
      <c r="C1526" s="185"/>
      <c r="D1526" s="185"/>
      <c r="E1526" s="185"/>
      <c r="F1526" s="185"/>
      <c r="G1526" s="185"/>
      <c r="H1526" s="185"/>
      <c r="I1526" s="185"/>
      <c r="J1526" s="185"/>
      <c r="K1526" s="185"/>
      <c r="L1526" s="187"/>
      <c r="M1526" s="188"/>
      <c r="N1526" s="188"/>
      <c r="O1526" s="208"/>
      <c r="P1526" s="208"/>
      <c r="Q1526" s="208"/>
      <c r="R1526" s="208"/>
    </row>
    <row r="1527">
      <c r="A1527" s="185"/>
      <c r="B1527" s="186"/>
      <c r="C1527" s="185"/>
      <c r="D1527" s="185"/>
      <c r="E1527" s="185"/>
      <c r="F1527" s="185"/>
      <c r="G1527" s="185"/>
      <c r="H1527" s="185"/>
      <c r="I1527" s="185"/>
      <c r="J1527" s="185"/>
      <c r="K1527" s="185"/>
      <c r="L1527" s="187"/>
      <c r="M1527" s="188"/>
      <c r="N1527" s="188"/>
      <c r="O1527" s="208"/>
      <c r="P1527" s="208"/>
      <c r="Q1527" s="208"/>
      <c r="R1527" s="208"/>
    </row>
    <row r="1528">
      <c r="A1528" s="185"/>
      <c r="B1528" s="186"/>
      <c r="C1528" s="185"/>
      <c r="D1528" s="185"/>
      <c r="E1528" s="185"/>
      <c r="F1528" s="185"/>
      <c r="G1528" s="185"/>
      <c r="H1528" s="185"/>
      <c r="I1528" s="185"/>
      <c r="J1528" s="185"/>
      <c r="K1528" s="185"/>
      <c r="L1528" s="187"/>
      <c r="M1528" s="188"/>
      <c r="N1528" s="188"/>
      <c r="O1528" s="208"/>
      <c r="P1528" s="208"/>
      <c r="Q1528" s="208"/>
      <c r="R1528" s="208"/>
    </row>
    <row r="1529">
      <c r="A1529" s="185"/>
      <c r="B1529" s="186"/>
      <c r="C1529" s="185"/>
      <c r="D1529" s="185"/>
      <c r="E1529" s="185"/>
      <c r="F1529" s="185"/>
      <c r="G1529" s="185"/>
      <c r="H1529" s="185"/>
      <c r="I1529" s="185"/>
      <c r="J1529" s="185"/>
      <c r="K1529" s="185"/>
      <c r="L1529" s="187"/>
      <c r="M1529" s="188"/>
      <c r="N1529" s="188"/>
      <c r="O1529" s="208"/>
      <c r="P1529" s="208"/>
      <c r="Q1529" s="208"/>
      <c r="R1529" s="208"/>
    </row>
    <row r="1530">
      <c r="A1530" s="185"/>
      <c r="B1530" s="186"/>
      <c r="C1530" s="185"/>
      <c r="D1530" s="185"/>
      <c r="E1530" s="185"/>
      <c r="F1530" s="185"/>
      <c r="G1530" s="185"/>
      <c r="H1530" s="185"/>
      <c r="I1530" s="185"/>
      <c r="J1530" s="185"/>
      <c r="K1530" s="185"/>
      <c r="L1530" s="187"/>
      <c r="M1530" s="188"/>
      <c r="N1530" s="188"/>
      <c r="O1530" s="208"/>
      <c r="P1530" s="208"/>
      <c r="Q1530" s="208"/>
      <c r="R1530" s="208"/>
    </row>
    <row r="1531">
      <c r="A1531" s="185"/>
      <c r="B1531" s="186"/>
      <c r="C1531" s="185"/>
      <c r="D1531" s="185"/>
      <c r="E1531" s="185"/>
      <c r="F1531" s="185"/>
      <c r="G1531" s="185"/>
      <c r="H1531" s="185"/>
      <c r="I1531" s="185"/>
      <c r="J1531" s="185"/>
      <c r="K1531" s="185"/>
      <c r="L1531" s="187"/>
      <c r="M1531" s="188"/>
      <c r="N1531" s="188"/>
      <c r="O1531" s="208"/>
      <c r="P1531" s="208"/>
      <c r="Q1531" s="208"/>
      <c r="R1531" s="208"/>
    </row>
    <row r="1532">
      <c r="A1532" s="185"/>
      <c r="B1532" s="186"/>
      <c r="C1532" s="185"/>
      <c r="D1532" s="185"/>
      <c r="E1532" s="185"/>
      <c r="F1532" s="185"/>
      <c r="G1532" s="185"/>
      <c r="H1532" s="185"/>
      <c r="I1532" s="185"/>
      <c r="J1532" s="185"/>
      <c r="K1532" s="185"/>
      <c r="L1532" s="187"/>
      <c r="M1532" s="188"/>
      <c r="N1532" s="188"/>
      <c r="O1532" s="208"/>
      <c r="P1532" s="208"/>
      <c r="Q1532" s="208"/>
      <c r="R1532" s="208"/>
    </row>
    <row r="1533">
      <c r="A1533" s="185"/>
      <c r="B1533" s="186"/>
      <c r="C1533" s="185"/>
      <c r="D1533" s="185"/>
      <c r="E1533" s="185"/>
      <c r="F1533" s="185"/>
      <c r="G1533" s="185"/>
      <c r="H1533" s="185"/>
      <c r="I1533" s="185"/>
      <c r="J1533" s="185"/>
      <c r="K1533" s="185"/>
      <c r="L1533" s="187"/>
      <c r="M1533" s="188"/>
      <c r="N1533" s="188"/>
      <c r="O1533" s="208"/>
      <c r="P1533" s="208"/>
      <c r="Q1533" s="208"/>
      <c r="R1533" s="208"/>
    </row>
    <row r="1534">
      <c r="A1534" s="185"/>
      <c r="B1534" s="186"/>
      <c r="C1534" s="185"/>
      <c r="D1534" s="185"/>
      <c r="E1534" s="185"/>
      <c r="F1534" s="185"/>
      <c r="G1534" s="185"/>
      <c r="H1534" s="185"/>
      <c r="I1534" s="185"/>
      <c r="J1534" s="185"/>
      <c r="K1534" s="185"/>
      <c r="L1534" s="187"/>
      <c r="M1534" s="188"/>
      <c r="N1534" s="188"/>
      <c r="O1534" s="208"/>
      <c r="P1534" s="208"/>
      <c r="Q1534" s="208"/>
      <c r="R1534" s="208"/>
    </row>
    <row r="1535">
      <c r="A1535" s="185"/>
      <c r="B1535" s="186"/>
      <c r="C1535" s="185"/>
      <c r="D1535" s="185"/>
      <c r="E1535" s="185"/>
      <c r="F1535" s="185"/>
      <c r="G1535" s="185"/>
      <c r="H1535" s="185"/>
      <c r="I1535" s="185"/>
      <c r="J1535" s="185"/>
      <c r="K1535" s="185"/>
      <c r="L1535" s="187"/>
      <c r="M1535" s="188"/>
      <c r="N1535" s="188"/>
      <c r="O1535" s="208"/>
      <c r="P1535" s="208"/>
      <c r="Q1535" s="208"/>
      <c r="R1535" s="208"/>
    </row>
    <row r="1536">
      <c r="A1536" s="185"/>
      <c r="B1536" s="186"/>
      <c r="C1536" s="185"/>
      <c r="D1536" s="185"/>
      <c r="E1536" s="185"/>
      <c r="F1536" s="185"/>
      <c r="G1536" s="185"/>
      <c r="H1536" s="185"/>
      <c r="I1536" s="185"/>
      <c r="J1536" s="185"/>
      <c r="K1536" s="185"/>
      <c r="L1536" s="187"/>
      <c r="M1536" s="188"/>
      <c r="N1536" s="188"/>
      <c r="O1536" s="208"/>
      <c r="P1536" s="208"/>
      <c r="Q1536" s="208"/>
      <c r="R1536" s="208"/>
    </row>
    <row r="1537">
      <c r="A1537" s="185"/>
      <c r="B1537" s="186"/>
      <c r="C1537" s="185"/>
      <c r="D1537" s="185"/>
      <c r="E1537" s="185"/>
      <c r="F1537" s="185"/>
      <c r="G1537" s="185"/>
      <c r="H1537" s="185"/>
      <c r="I1537" s="185"/>
      <c r="J1537" s="185"/>
      <c r="K1537" s="185"/>
      <c r="L1537" s="187"/>
      <c r="M1537" s="188"/>
      <c r="N1537" s="188"/>
      <c r="O1537" s="208"/>
      <c r="P1537" s="208"/>
      <c r="Q1537" s="208"/>
      <c r="R1537" s="208"/>
    </row>
    <row r="1538">
      <c r="A1538" s="185"/>
      <c r="B1538" s="186"/>
      <c r="C1538" s="185"/>
      <c r="D1538" s="185"/>
      <c r="E1538" s="185"/>
      <c r="F1538" s="185"/>
      <c r="G1538" s="185"/>
      <c r="H1538" s="185"/>
      <c r="I1538" s="185"/>
      <c r="J1538" s="185"/>
      <c r="K1538" s="185"/>
      <c r="L1538" s="187"/>
      <c r="M1538" s="188"/>
      <c r="N1538" s="188"/>
      <c r="O1538" s="208"/>
      <c r="P1538" s="208"/>
      <c r="Q1538" s="208"/>
      <c r="R1538" s="208"/>
    </row>
    <row r="1539">
      <c r="A1539" s="185"/>
      <c r="B1539" s="186"/>
      <c r="C1539" s="185"/>
      <c r="D1539" s="185"/>
      <c r="E1539" s="185"/>
      <c r="F1539" s="185"/>
      <c r="G1539" s="185"/>
      <c r="H1539" s="185"/>
      <c r="I1539" s="185"/>
      <c r="J1539" s="185"/>
      <c r="K1539" s="185"/>
      <c r="L1539" s="187"/>
      <c r="M1539" s="188"/>
      <c r="N1539" s="188"/>
      <c r="O1539" s="208"/>
      <c r="P1539" s="208"/>
      <c r="Q1539" s="208"/>
      <c r="R1539" s="208"/>
    </row>
    <row r="1540">
      <c r="A1540" s="185"/>
      <c r="B1540" s="186"/>
      <c r="C1540" s="185"/>
      <c r="D1540" s="185"/>
      <c r="E1540" s="185"/>
      <c r="F1540" s="185"/>
      <c r="G1540" s="185"/>
      <c r="H1540" s="185"/>
      <c r="I1540" s="185"/>
      <c r="J1540" s="185"/>
      <c r="K1540" s="185"/>
      <c r="L1540" s="187"/>
      <c r="M1540" s="188"/>
      <c r="N1540" s="188"/>
      <c r="O1540" s="208"/>
      <c r="P1540" s="208"/>
      <c r="Q1540" s="208"/>
      <c r="R1540" s="208"/>
    </row>
    <row r="1541">
      <c r="A1541" s="185"/>
      <c r="B1541" s="186"/>
      <c r="C1541" s="185"/>
      <c r="D1541" s="185"/>
      <c r="E1541" s="185"/>
      <c r="F1541" s="185"/>
      <c r="G1541" s="185"/>
      <c r="H1541" s="185"/>
      <c r="I1541" s="185"/>
      <c r="J1541" s="185"/>
      <c r="K1541" s="185"/>
      <c r="L1541" s="187"/>
      <c r="M1541" s="188"/>
      <c r="N1541" s="188"/>
      <c r="O1541" s="208"/>
      <c r="P1541" s="208"/>
      <c r="Q1541" s="208"/>
      <c r="R1541" s="208"/>
    </row>
    <row r="1542">
      <c r="A1542" s="185"/>
      <c r="B1542" s="186"/>
      <c r="C1542" s="185"/>
      <c r="D1542" s="185"/>
      <c r="E1542" s="185"/>
      <c r="F1542" s="185"/>
      <c r="G1542" s="185"/>
      <c r="H1542" s="185"/>
      <c r="I1542" s="185"/>
      <c r="J1542" s="185"/>
      <c r="K1542" s="185"/>
      <c r="L1542" s="187"/>
      <c r="M1542" s="188"/>
      <c r="N1542" s="188"/>
      <c r="O1542" s="208"/>
      <c r="P1542" s="208"/>
      <c r="Q1542" s="208"/>
      <c r="R1542" s="208"/>
    </row>
    <row r="1543">
      <c r="A1543" s="185"/>
      <c r="B1543" s="186"/>
      <c r="C1543" s="185"/>
      <c r="D1543" s="185"/>
      <c r="E1543" s="185"/>
      <c r="F1543" s="185"/>
      <c r="G1543" s="185"/>
      <c r="H1543" s="185"/>
      <c r="I1543" s="185"/>
      <c r="J1543" s="185"/>
      <c r="K1543" s="185"/>
      <c r="L1543" s="187"/>
      <c r="M1543" s="188"/>
      <c r="N1543" s="188"/>
      <c r="O1543" s="208"/>
      <c r="P1543" s="208"/>
      <c r="Q1543" s="208"/>
      <c r="R1543" s="208"/>
    </row>
    <row r="1544">
      <c r="A1544" s="185"/>
      <c r="B1544" s="186"/>
      <c r="C1544" s="185"/>
      <c r="D1544" s="185"/>
      <c r="E1544" s="185"/>
      <c r="F1544" s="185"/>
      <c r="G1544" s="185"/>
      <c r="H1544" s="185"/>
      <c r="I1544" s="185"/>
      <c r="J1544" s="185"/>
      <c r="K1544" s="185"/>
      <c r="L1544" s="187"/>
      <c r="M1544" s="188"/>
      <c r="N1544" s="188"/>
      <c r="O1544" s="208"/>
      <c r="P1544" s="208"/>
      <c r="Q1544" s="208"/>
      <c r="R1544" s="208"/>
    </row>
    <row r="1545">
      <c r="A1545" s="185"/>
      <c r="B1545" s="186"/>
      <c r="C1545" s="185"/>
      <c r="D1545" s="185"/>
      <c r="E1545" s="185"/>
      <c r="F1545" s="185"/>
      <c r="G1545" s="185"/>
      <c r="H1545" s="185"/>
      <c r="I1545" s="185"/>
      <c r="J1545" s="185"/>
      <c r="K1545" s="185"/>
      <c r="L1545" s="187"/>
      <c r="M1545" s="188"/>
      <c r="N1545" s="188"/>
      <c r="O1545" s="208"/>
      <c r="P1545" s="208"/>
      <c r="Q1545" s="208"/>
      <c r="R1545" s="208"/>
    </row>
    <row r="1546">
      <c r="A1546" s="185"/>
      <c r="B1546" s="186"/>
      <c r="C1546" s="185"/>
      <c r="D1546" s="185"/>
      <c r="E1546" s="185"/>
      <c r="F1546" s="185"/>
      <c r="G1546" s="185"/>
      <c r="H1546" s="185"/>
      <c r="I1546" s="185"/>
      <c r="J1546" s="185"/>
      <c r="K1546" s="185"/>
      <c r="L1546" s="187"/>
      <c r="M1546" s="188"/>
      <c r="N1546" s="188"/>
      <c r="O1546" s="208"/>
      <c r="P1546" s="208"/>
      <c r="Q1546" s="208"/>
      <c r="R1546" s="208"/>
    </row>
    <row r="1547">
      <c r="A1547" s="185"/>
      <c r="B1547" s="186"/>
      <c r="C1547" s="185"/>
      <c r="D1547" s="185"/>
      <c r="E1547" s="185"/>
      <c r="F1547" s="185"/>
      <c r="G1547" s="185"/>
      <c r="H1547" s="185"/>
      <c r="I1547" s="185"/>
      <c r="J1547" s="185"/>
      <c r="K1547" s="185"/>
      <c r="L1547" s="187"/>
      <c r="M1547" s="188"/>
      <c r="N1547" s="188"/>
      <c r="O1547" s="208"/>
      <c r="P1547" s="208"/>
      <c r="Q1547" s="208"/>
      <c r="R1547" s="208"/>
    </row>
    <row r="1548">
      <c r="A1548" s="185"/>
      <c r="B1548" s="186"/>
      <c r="C1548" s="185"/>
      <c r="D1548" s="185"/>
      <c r="E1548" s="185"/>
      <c r="F1548" s="185"/>
      <c r="G1548" s="185"/>
      <c r="H1548" s="185"/>
      <c r="I1548" s="185"/>
      <c r="J1548" s="185"/>
      <c r="K1548" s="185"/>
      <c r="L1548" s="187"/>
      <c r="M1548" s="188"/>
      <c r="N1548" s="188"/>
      <c r="O1548" s="208"/>
      <c r="P1548" s="208"/>
      <c r="Q1548" s="208"/>
      <c r="R1548" s="208"/>
    </row>
    <row r="1549">
      <c r="A1549" s="185"/>
      <c r="B1549" s="186"/>
      <c r="C1549" s="185"/>
      <c r="D1549" s="185"/>
      <c r="E1549" s="185"/>
      <c r="F1549" s="185"/>
      <c r="G1549" s="185"/>
      <c r="H1549" s="185"/>
      <c r="I1549" s="185"/>
      <c r="J1549" s="185"/>
      <c r="K1549" s="185"/>
      <c r="L1549" s="187"/>
      <c r="M1549" s="188"/>
      <c r="N1549" s="188"/>
      <c r="O1549" s="208"/>
      <c r="P1549" s="208"/>
      <c r="Q1549" s="208"/>
      <c r="R1549" s="208"/>
    </row>
    <row r="1550">
      <c r="A1550" s="185"/>
      <c r="B1550" s="186"/>
      <c r="C1550" s="185"/>
      <c r="D1550" s="185"/>
      <c r="E1550" s="185"/>
      <c r="F1550" s="185"/>
      <c r="G1550" s="185"/>
      <c r="H1550" s="185"/>
      <c r="I1550" s="185"/>
      <c r="J1550" s="185"/>
      <c r="K1550" s="185"/>
      <c r="L1550" s="187"/>
      <c r="M1550" s="188"/>
      <c r="N1550" s="188"/>
      <c r="O1550" s="208"/>
      <c r="P1550" s="208"/>
      <c r="Q1550" s="208"/>
      <c r="R1550" s="208"/>
    </row>
    <row r="1551">
      <c r="A1551" s="185"/>
      <c r="B1551" s="186"/>
      <c r="C1551" s="185"/>
      <c r="D1551" s="185"/>
      <c r="E1551" s="185"/>
      <c r="F1551" s="185"/>
      <c r="G1551" s="185"/>
      <c r="H1551" s="185"/>
      <c r="I1551" s="185"/>
      <c r="J1551" s="185"/>
      <c r="K1551" s="185"/>
      <c r="L1551" s="187"/>
      <c r="M1551" s="188"/>
      <c r="N1551" s="188"/>
      <c r="O1551" s="208"/>
      <c r="P1551" s="208"/>
      <c r="Q1551" s="208"/>
      <c r="R1551" s="208"/>
    </row>
    <row r="1552">
      <c r="A1552" s="185"/>
      <c r="B1552" s="186"/>
      <c r="C1552" s="185"/>
      <c r="D1552" s="185"/>
      <c r="E1552" s="185"/>
      <c r="F1552" s="185"/>
      <c r="G1552" s="185"/>
      <c r="H1552" s="185"/>
      <c r="I1552" s="185"/>
      <c r="J1552" s="185"/>
      <c r="K1552" s="185"/>
      <c r="L1552" s="187"/>
      <c r="M1552" s="188"/>
      <c r="N1552" s="188"/>
      <c r="O1552" s="208"/>
      <c r="P1552" s="208"/>
      <c r="Q1552" s="208"/>
      <c r="R1552" s="208"/>
    </row>
    <row r="1553">
      <c r="A1553" s="185"/>
      <c r="B1553" s="186"/>
      <c r="C1553" s="185"/>
      <c r="D1553" s="185"/>
      <c r="E1553" s="185"/>
      <c r="F1553" s="185"/>
      <c r="G1553" s="185"/>
      <c r="H1553" s="185"/>
      <c r="I1553" s="185"/>
      <c r="J1553" s="185"/>
      <c r="K1553" s="185"/>
      <c r="L1553" s="187"/>
      <c r="M1553" s="188"/>
      <c r="N1553" s="188"/>
      <c r="O1553" s="208"/>
      <c r="P1553" s="208"/>
      <c r="Q1553" s="208"/>
      <c r="R1553" s="208"/>
    </row>
    <row r="1554">
      <c r="A1554" s="185"/>
      <c r="B1554" s="186"/>
      <c r="C1554" s="185"/>
      <c r="D1554" s="185"/>
      <c r="E1554" s="185"/>
      <c r="F1554" s="185"/>
      <c r="G1554" s="185"/>
      <c r="H1554" s="185"/>
      <c r="I1554" s="185"/>
      <c r="J1554" s="185"/>
      <c r="K1554" s="185"/>
      <c r="L1554" s="187"/>
      <c r="M1554" s="188"/>
      <c r="N1554" s="188"/>
      <c r="O1554" s="208"/>
      <c r="P1554" s="208"/>
      <c r="Q1554" s="208"/>
      <c r="R1554" s="208"/>
    </row>
    <row r="1555">
      <c r="A1555" s="185"/>
      <c r="B1555" s="186"/>
      <c r="C1555" s="185"/>
      <c r="D1555" s="185"/>
      <c r="E1555" s="185"/>
      <c r="F1555" s="185"/>
      <c r="G1555" s="185"/>
      <c r="H1555" s="185"/>
      <c r="I1555" s="185"/>
      <c r="J1555" s="185"/>
      <c r="K1555" s="185"/>
      <c r="L1555" s="187"/>
      <c r="M1555" s="188"/>
      <c r="N1555" s="188"/>
      <c r="O1555" s="208"/>
      <c r="P1555" s="208"/>
      <c r="Q1555" s="208"/>
      <c r="R1555" s="208"/>
    </row>
    <row r="1556">
      <c r="A1556" s="185"/>
      <c r="B1556" s="186"/>
      <c r="C1556" s="185"/>
      <c r="D1556" s="185"/>
      <c r="E1556" s="185"/>
      <c r="F1556" s="185"/>
      <c r="G1556" s="185"/>
      <c r="H1556" s="185"/>
      <c r="I1556" s="185"/>
      <c r="J1556" s="185"/>
      <c r="K1556" s="185"/>
      <c r="L1556" s="187"/>
      <c r="M1556" s="188"/>
      <c r="N1556" s="188"/>
      <c r="O1556" s="208"/>
      <c r="P1556" s="208"/>
      <c r="Q1556" s="208"/>
      <c r="R1556" s="208"/>
    </row>
    <row r="1557">
      <c r="A1557" s="185"/>
      <c r="B1557" s="186"/>
      <c r="C1557" s="185"/>
      <c r="D1557" s="185"/>
      <c r="E1557" s="185"/>
      <c r="F1557" s="185"/>
      <c r="G1557" s="185"/>
      <c r="H1557" s="185"/>
      <c r="I1557" s="185"/>
      <c r="J1557" s="185"/>
      <c r="K1557" s="185"/>
      <c r="L1557" s="187"/>
      <c r="M1557" s="188"/>
      <c r="N1557" s="188"/>
      <c r="O1557" s="208"/>
      <c r="P1557" s="208"/>
      <c r="Q1557" s="208"/>
      <c r="R1557" s="208"/>
    </row>
    <row r="1558">
      <c r="A1558" s="185"/>
      <c r="B1558" s="186"/>
      <c r="C1558" s="185"/>
      <c r="D1558" s="185"/>
      <c r="E1558" s="185"/>
      <c r="F1558" s="185"/>
      <c r="G1558" s="185"/>
      <c r="H1558" s="185"/>
      <c r="I1558" s="185"/>
      <c r="J1558" s="185"/>
      <c r="K1558" s="185"/>
      <c r="L1558" s="187"/>
      <c r="M1558" s="188"/>
      <c r="N1558" s="188"/>
      <c r="O1558" s="208"/>
      <c r="P1558" s="208"/>
      <c r="Q1558" s="208"/>
      <c r="R1558" s="208"/>
    </row>
    <row r="1559">
      <c r="A1559" s="185"/>
      <c r="B1559" s="186"/>
      <c r="C1559" s="185"/>
      <c r="D1559" s="185"/>
      <c r="E1559" s="185"/>
      <c r="F1559" s="185"/>
      <c r="G1559" s="185"/>
      <c r="H1559" s="185"/>
      <c r="I1559" s="185"/>
      <c r="J1559" s="185"/>
      <c r="K1559" s="185"/>
      <c r="L1559" s="187"/>
      <c r="M1559" s="188"/>
      <c r="N1559" s="188"/>
      <c r="O1559" s="208"/>
      <c r="P1559" s="208"/>
      <c r="Q1559" s="208"/>
      <c r="R1559" s="208"/>
    </row>
    <row r="1560">
      <c r="A1560" s="185"/>
      <c r="B1560" s="186"/>
      <c r="C1560" s="185"/>
      <c r="D1560" s="185"/>
      <c r="E1560" s="185"/>
      <c r="F1560" s="185"/>
      <c r="G1560" s="185"/>
      <c r="H1560" s="185"/>
      <c r="I1560" s="185"/>
      <c r="J1560" s="185"/>
      <c r="K1560" s="185"/>
      <c r="L1560" s="187"/>
      <c r="M1560" s="188"/>
      <c r="N1560" s="188"/>
      <c r="O1560" s="208"/>
      <c r="P1560" s="208"/>
      <c r="Q1560" s="208"/>
      <c r="R1560" s="208"/>
    </row>
    <row r="1561">
      <c r="A1561" s="185"/>
      <c r="B1561" s="186"/>
      <c r="C1561" s="185"/>
      <c r="D1561" s="185"/>
      <c r="E1561" s="185"/>
      <c r="F1561" s="185"/>
      <c r="G1561" s="185"/>
      <c r="H1561" s="185"/>
      <c r="I1561" s="185"/>
      <c r="J1561" s="185"/>
      <c r="K1561" s="185"/>
      <c r="L1561" s="187"/>
      <c r="M1561" s="188"/>
      <c r="N1561" s="188"/>
      <c r="O1561" s="208"/>
      <c r="P1561" s="208"/>
      <c r="Q1561" s="208"/>
      <c r="R1561" s="208"/>
    </row>
    <row r="1562">
      <c r="A1562" s="185"/>
      <c r="B1562" s="186"/>
      <c r="C1562" s="185"/>
      <c r="D1562" s="185"/>
      <c r="E1562" s="185"/>
      <c r="F1562" s="185"/>
      <c r="G1562" s="185"/>
      <c r="H1562" s="185"/>
      <c r="I1562" s="185"/>
      <c r="J1562" s="185"/>
      <c r="K1562" s="185"/>
      <c r="L1562" s="187"/>
      <c r="M1562" s="188"/>
      <c r="N1562" s="188"/>
      <c r="O1562" s="208"/>
      <c r="P1562" s="208"/>
      <c r="Q1562" s="208"/>
      <c r="R1562" s="208"/>
    </row>
    <row r="1563">
      <c r="A1563" s="185"/>
      <c r="B1563" s="186"/>
      <c r="C1563" s="185"/>
      <c r="D1563" s="185"/>
      <c r="E1563" s="185"/>
      <c r="F1563" s="185"/>
      <c r="G1563" s="185"/>
      <c r="H1563" s="185"/>
      <c r="I1563" s="185"/>
      <c r="J1563" s="185"/>
      <c r="K1563" s="185"/>
      <c r="L1563" s="187"/>
      <c r="M1563" s="188"/>
      <c r="N1563" s="188"/>
      <c r="O1563" s="208"/>
      <c r="P1563" s="208"/>
      <c r="Q1563" s="208"/>
      <c r="R1563" s="208"/>
    </row>
    <row r="1564">
      <c r="A1564" s="185"/>
      <c r="B1564" s="186"/>
      <c r="C1564" s="185"/>
      <c r="D1564" s="185"/>
      <c r="E1564" s="185"/>
      <c r="F1564" s="185"/>
      <c r="G1564" s="185"/>
      <c r="H1564" s="185"/>
      <c r="I1564" s="185"/>
      <c r="J1564" s="185"/>
      <c r="K1564" s="185"/>
      <c r="L1564" s="187"/>
      <c r="M1564" s="188"/>
      <c r="N1564" s="188"/>
      <c r="O1564" s="208"/>
      <c r="P1564" s="208"/>
      <c r="Q1564" s="208"/>
      <c r="R1564" s="208"/>
    </row>
    <row r="1565">
      <c r="A1565" s="185"/>
      <c r="B1565" s="186"/>
      <c r="C1565" s="185"/>
      <c r="D1565" s="185"/>
      <c r="E1565" s="185"/>
      <c r="F1565" s="185"/>
      <c r="G1565" s="185"/>
      <c r="H1565" s="185"/>
      <c r="I1565" s="185"/>
      <c r="J1565" s="185"/>
      <c r="K1565" s="185"/>
      <c r="L1565" s="187"/>
      <c r="M1565" s="188"/>
      <c r="N1565" s="188"/>
      <c r="O1565" s="208"/>
      <c r="P1565" s="208"/>
      <c r="Q1565" s="208"/>
      <c r="R1565" s="208"/>
    </row>
    <row r="1566">
      <c r="A1566" s="185"/>
      <c r="B1566" s="186"/>
      <c r="C1566" s="185"/>
      <c r="D1566" s="185"/>
      <c r="E1566" s="185"/>
      <c r="F1566" s="185"/>
      <c r="G1566" s="185"/>
      <c r="H1566" s="185"/>
      <c r="I1566" s="185"/>
      <c r="J1566" s="185"/>
      <c r="K1566" s="185"/>
      <c r="L1566" s="187"/>
      <c r="M1566" s="188"/>
      <c r="N1566" s="188"/>
      <c r="O1566" s="208"/>
      <c r="P1566" s="208"/>
      <c r="Q1566" s="208"/>
      <c r="R1566" s="208"/>
    </row>
    <row r="1567">
      <c r="A1567" s="185"/>
      <c r="B1567" s="186"/>
      <c r="C1567" s="185"/>
      <c r="D1567" s="185"/>
      <c r="E1567" s="185"/>
      <c r="F1567" s="185"/>
      <c r="G1567" s="185"/>
      <c r="H1567" s="185"/>
      <c r="I1567" s="185"/>
      <c r="J1567" s="185"/>
      <c r="K1567" s="185"/>
      <c r="L1567" s="187"/>
      <c r="M1567" s="188"/>
      <c r="N1567" s="188"/>
      <c r="O1567" s="208"/>
      <c r="P1567" s="208"/>
      <c r="Q1567" s="208"/>
      <c r="R1567" s="208"/>
    </row>
    <row r="1568">
      <c r="A1568" s="185"/>
      <c r="B1568" s="186"/>
      <c r="C1568" s="185"/>
      <c r="D1568" s="185"/>
      <c r="E1568" s="185"/>
      <c r="F1568" s="185"/>
      <c r="G1568" s="185"/>
      <c r="H1568" s="185"/>
      <c r="I1568" s="185"/>
      <c r="J1568" s="185"/>
      <c r="K1568" s="185"/>
      <c r="L1568" s="187"/>
      <c r="M1568" s="188"/>
      <c r="N1568" s="188"/>
      <c r="O1568" s="208"/>
      <c r="P1568" s="208"/>
      <c r="Q1568" s="208"/>
      <c r="R1568" s="208"/>
    </row>
    <row r="1569">
      <c r="A1569" s="185"/>
      <c r="B1569" s="186"/>
      <c r="C1569" s="185"/>
      <c r="D1569" s="185"/>
      <c r="E1569" s="185"/>
      <c r="F1569" s="185"/>
      <c r="G1569" s="185"/>
      <c r="H1569" s="185"/>
      <c r="I1569" s="185"/>
      <c r="J1569" s="185"/>
      <c r="K1569" s="185"/>
      <c r="L1569" s="187"/>
      <c r="M1569" s="188"/>
      <c r="N1569" s="188"/>
      <c r="O1569" s="208"/>
      <c r="P1569" s="208"/>
      <c r="Q1569" s="208"/>
      <c r="R1569" s="208"/>
    </row>
    <row r="1570">
      <c r="A1570" s="185"/>
      <c r="B1570" s="186"/>
      <c r="C1570" s="185"/>
      <c r="D1570" s="185"/>
      <c r="E1570" s="185"/>
      <c r="F1570" s="185"/>
      <c r="G1570" s="185"/>
      <c r="H1570" s="185"/>
      <c r="I1570" s="185"/>
      <c r="J1570" s="185"/>
      <c r="K1570" s="185"/>
      <c r="L1570" s="187"/>
      <c r="M1570" s="188"/>
      <c r="N1570" s="188"/>
      <c r="O1570" s="208"/>
      <c r="P1570" s="208"/>
      <c r="Q1570" s="208"/>
      <c r="R1570" s="208"/>
    </row>
    <row r="1571">
      <c r="A1571" s="185"/>
      <c r="B1571" s="186"/>
      <c r="C1571" s="185"/>
      <c r="D1571" s="185"/>
      <c r="E1571" s="185"/>
      <c r="F1571" s="185"/>
      <c r="G1571" s="185"/>
      <c r="H1571" s="185"/>
      <c r="I1571" s="185"/>
      <c r="J1571" s="185"/>
      <c r="K1571" s="185"/>
      <c r="L1571" s="187"/>
      <c r="M1571" s="188"/>
      <c r="N1571" s="188"/>
      <c r="O1571" s="208"/>
      <c r="P1571" s="208"/>
      <c r="Q1571" s="208"/>
      <c r="R1571" s="208"/>
    </row>
    <row r="1572">
      <c r="A1572" s="185"/>
      <c r="B1572" s="186"/>
      <c r="C1572" s="185"/>
      <c r="D1572" s="185"/>
      <c r="E1572" s="185"/>
      <c r="F1572" s="185"/>
      <c r="G1572" s="185"/>
      <c r="H1572" s="185"/>
      <c r="I1572" s="185"/>
      <c r="J1572" s="185"/>
      <c r="K1572" s="185"/>
      <c r="L1572" s="187"/>
      <c r="M1572" s="188"/>
      <c r="N1572" s="188"/>
      <c r="O1572" s="208"/>
      <c r="P1572" s="208"/>
      <c r="Q1572" s="208"/>
      <c r="R1572" s="208"/>
    </row>
    <row r="1573">
      <c r="A1573" s="185"/>
      <c r="B1573" s="186"/>
      <c r="C1573" s="185"/>
      <c r="D1573" s="185"/>
      <c r="E1573" s="185"/>
      <c r="F1573" s="185"/>
      <c r="G1573" s="185"/>
      <c r="H1573" s="185"/>
      <c r="I1573" s="185"/>
      <c r="J1573" s="185"/>
      <c r="K1573" s="185"/>
      <c r="L1573" s="187"/>
      <c r="M1573" s="188"/>
      <c r="N1573" s="188"/>
      <c r="O1573" s="208"/>
      <c r="P1573" s="208"/>
      <c r="Q1573" s="208"/>
      <c r="R1573" s="208"/>
    </row>
    <row r="1574">
      <c r="A1574" s="185"/>
      <c r="B1574" s="186"/>
      <c r="C1574" s="185"/>
      <c r="D1574" s="185"/>
      <c r="E1574" s="185"/>
      <c r="F1574" s="185"/>
      <c r="G1574" s="185"/>
      <c r="H1574" s="185"/>
      <c r="I1574" s="185"/>
      <c r="J1574" s="185"/>
      <c r="K1574" s="185"/>
      <c r="L1574" s="187"/>
      <c r="M1574" s="188"/>
      <c r="N1574" s="188"/>
      <c r="O1574" s="208"/>
      <c r="P1574" s="208"/>
      <c r="Q1574" s="208"/>
      <c r="R1574" s="208"/>
    </row>
    <row r="1575">
      <c r="A1575" s="185"/>
      <c r="B1575" s="186"/>
      <c r="C1575" s="185"/>
      <c r="D1575" s="185"/>
      <c r="E1575" s="185"/>
      <c r="F1575" s="185"/>
      <c r="G1575" s="185"/>
      <c r="H1575" s="185"/>
      <c r="I1575" s="185"/>
      <c r="J1575" s="185"/>
      <c r="K1575" s="185"/>
      <c r="L1575" s="187"/>
      <c r="M1575" s="188"/>
      <c r="N1575" s="188"/>
      <c r="O1575" s="208"/>
      <c r="P1575" s="208"/>
      <c r="Q1575" s="208"/>
      <c r="R1575" s="208"/>
    </row>
    <row r="1576">
      <c r="A1576" s="185"/>
      <c r="B1576" s="186"/>
      <c r="C1576" s="185"/>
      <c r="D1576" s="185"/>
      <c r="E1576" s="185"/>
      <c r="F1576" s="185"/>
      <c r="G1576" s="185"/>
      <c r="H1576" s="185"/>
      <c r="I1576" s="185"/>
      <c r="J1576" s="185"/>
      <c r="K1576" s="185"/>
      <c r="L1576" s="187"/>
      <c r="M1576" s="188"/>
      <c r="N1576" s="188"/>
      <c r="O1576" s="208"/>
      <c r="P1576" s="208"/>
      <c r="Q1576" s="208"/>
      <c r="R1576" s="208"/>
    </row>
    <row r="1577">
      <c r="A1577" s="185"/>
      <c r="B1577" s="186"/>
      <c r="C1577" s="185"/>
      <c r="D1577" s="185"/>
      <c r="E1577" s="185"/>
      <c r="F1577" s="185"/>
      <c r="G1577" s="185"/>
      <c r="H1577" s="185"/>
      <c r="I1577" s="185"/>
      <c r="J1577" s="185"/>
      <c r="K1577" s="185"/>
      <c r="L1577" s="187"/>
      <c r="M1577" s="188"/>
      <c r="N1577" s="188"/>
      <c r="O1577" s="208"/>
      <c r="P1577" s="208"/>
      <c r="Q1577" s="208"/>
      <c r="R1577" s="208"/>
    </row>
    <row r="1578">
      <c r="A1578" s="185"/>
      <c r="B1578" s="186"/>
      <c r="C1578" s="185"/>
      <c r="D1578" s="185"/>
      <c r="E1578" s="185"/>
      <c r="F1578" s="185"/>
      <c r="G1578" s="185"/>
      <c r="H1578" s="185"/>
      <c r="I1578" s="185"/>
      <c r="J1578" s="185"/>
      <c r="K1578" s="185"/>
      <c r="L1578" s="187"/>
      <c r="M1578" s="188"/>
      <c r="N1578" s="188"/>
      <c r="O1578" s="208"/>
      <c r="P1578" s="208"/>
      <c r="Q1578" s="208"/>
      <c r="R1578" s="208"/>
    </row>
    <row r="1579">
      <c r="A1579" s="185"/>
      <c r="B1579" s="186"/>
      <c r="C1579" s="185"/>
      <c r="D1579" s="185"/>
      <c r="E1579" s="185"/>
      <c r="F1579" s="185"/>
      <c r="G1579" s="185"/>
      <c r="H1579" s="185"/>
      <c r="I1579" s="185"/>
      <c r="J1579" s="185"/>
      <c r="K1579" s="185"/>
      <c r="L1579" s="187"/>
      <c r="M1579" s="188"/>
      <c r="N1579" s="188"/>
      <c r="O1579" s="208"/>
      <c r="P1579" s="208"/>
      <c r="Q1579" s="208"/>
      <c r="R1579" s="208"/>
    </row>
    <row r="1580">
      <c r="A1580" s="185"/>
      <c r="B1580" s="186"/>
      <c r="C1580" s="185"/>
      <c r="D1580" s="185"/>
      <c r="E1580" s="185"/>
      <c r="F1580" s="185"/>
      <c r="G1580" s="185"/>
      <c r="H1580" s="185"/>
      <c r="I1580" s="185"/>
      <c r="J1580" s="185"/>
      <c r="K1580" s="185"/>
      <c r="L1580" s="187"/>
      <c r="M1580" s="188"/>
      <c r="N1580" s="188"/>
      <c r="O1580" s="208"/>
      <c r="P1580" s="208"/>
      <c r="Q1580" s="208"/>
      <c r="R1580" s="208"/>
    </row>
    <row r="1581">
      <c r="A1581" s="185"/>
      <c r="B1581" s="186"/>
      <c r="C1581" s="185"/>
      <c r="D1581" s="185"/>
      <c r="E1581" s="185"/>
      <c r="F1581" s="185"/>
      <c r="G1581" s="185"/>
      <c r="H1581" s="185"/>
      <c r="I1581" s="185"/>
      <c r="J1581" s="185"/>
      <c r="K1581" s="185"/>
      <c r="L1581" s="187"/>
      <c r="M1581" s="188"/>
      <c r="N1581" s="188"/>
      <c r="O1581" s="208"/>
      <c r="P1581" s="208"/>
      <c r="Q1581" s="208"/>
      <c r="R1581" s="208"/>
    </row>
    <row r="1582">
      <c r="A1582" s="185"/>
      <c r="B1582" s="186"/>
      <c r="C1582" s="185"/>
      <c r="D1582" s="185"/>
      <c r="E1582" s="185"/>
      <c r="F1582" s="185"/>
      <c r="G1582" s="185"/>
      <c r="H1582" s="185"/>
      <c r="I1582" s="185"/>
      <c r="J1582" s="185"/>
      <c r="K1582" s="185"/>
      <c r="L1582" s="187"/>
      <c r="M1582" s="188"/>
      <c r="N1582" s="188"/>
      <c r="O1582" s="208"/>
      <c r="P1582" s="208"/>
      <c r="Q1582" s="208"/>
      <c r="R1582" s="208"/>
    </row>
    <row r="1583">
      <c r="A1583" s="185"/>
      <c r="B1583" s="186"/>
      <c r="C1583" s="185"/>
      <c r="D1583" s="185"/>
      <c r="E1583" s="185"/>
      <c r="F1583" s="185"/>
      <c r="G1583" s="185"/>
      <c r="H1583" s="185"/>
      <c r="I1583" s="185"/>
      <c r="J1583" s="185"/>
      <c r="K1583" s="185"/>
      <c r="L1583" s="187"/>
      <c r="M1583" s="188"/>
      <c r="N1583" s="188"/>
      <c r="O1583" s="208"/>
      <c r="P1583" s="208"/>
      <c r="Q1583" s="208"/>
      <c r="R1583" s="208"/>
    </row>
    <row r="1584">
      <c r="A1584" s="185"/>
      <c r="B1584" s="186"/>
      <c r="C1584" s="185"/>
      <c r="D1584" s="185"/>
      <c r="E1584" s="185"/>
      <c r="F1584" s="185"/>
      <c r="G1584" s="185"/>
      <c r="H1584" s="185"/>
      <c r="I1584" s="185"/>
      <c r="J1584" s="185"/>
      <c r="K1584" s="185"/>
      <c r="L1584" s="187"/>
      <c r="M1584" s="188"/>
      <c r="N1584" s="188"/>
      <c r="O1584" s="208"/>
      <c r="P1584" s="208"/>
      <c r="Q1584" s="208"/>
      <c r="R1584" s="208"/>
    </row>
    <row r="1585">
      <c r="A1585" s="185"/>
      <c r="B1585" s="186"/>
      <c r="C1585" s="185"/>
      <c r="D1585" s="185"/>
      <c r="E1585" s="185"/>
      <c r="F1585" s="185"/>
      <c r="G1585" s="185"/>
      <c r="H1585" s="185"/>
      <c r="I1585" s="185"/>
      <c r="J1585" s="185"/>
      <c r="K1585" s="185"/>
      <c r="L1585" s="187"/>
      <c r="M1585" s="188"/>
      <c r="N1585" s="188"/>
      <c r="O1585" s="208"/>
      <c r="P1585" s="208"/>
      <c r="Q1585" s="208"/>
      <c r="R1585" s="208"/>
    </row>
    <row r="1586">
      <c r="A1586" s="185"/>
      <c r="B1586" s="186"/>
      <c r="C1586" s="185"/>
      <c r="D1586" s="185"/>
      <c r="E1586" s="185"/>
      <c r="F1586" s="185"/>
      <c r="G1586" s="185"/>
      <c r="H1586" s="185"/>
      <c r="I1586" s="185"/>
      <c r="J1586" s="185"/>
      <c r="K1586" s="185"/>
      <c r="L1586" s="187"/>
      <c r="M1586" s="188"/>
      <c r="N1586" s="188"/>
      <c r="O1586" s="208"/>
      <c r="P1586" s="208"/>
      <c r="Q1586" s="208"/>
      <c r="R1586" s="208"/>
    </row>
    <row r="1587">
      <c r="A1587" s="185"/>
      <c r="B1587" s="186"/>
      <c r="C1587" s="185"/>
      <c r="D1587" s="185"/>
      <c r="E1587" s="185"/>
      <c r="F1587" s="185"/>
      <c r="G1587" s="185"/>
      <c r="H1587" s="185"/>
      <c r="I1587" s="185"/>
      <c r="J1587" s="185"/>
      <c r="K1587" s="185"/>
      <c r="L1587" s="187"/>
      <c r="M1587" s="188"/>
      <c r="N1587" s="188"/>
      <c r="O1587" s="208"/>
      <c r="P1587" s="208"/>
      <c r="Q1587" s="208"/>
      <c r="R1587" s="208"/>
    </row>
    <row r="1588">
      <c r="A1588" s="185"/>
      <c r="B1588" s="186"/>
      <c r="C1588" s="185"/>
      <c r="D1588" s="185"/>
      <c r="E1588" s="185"/>
      <c r="F1588" s="185"/>
      <c r="G1588" s="185"/>
      <c r="H1588" s="185"/>
      <c r="I1588" s="185"/>
      <c r="J1588" s="185"/>
      <c r="K1588" s="185"/>
      <c r="L1588" s="187"/>
      <c r="M1588" s="188"/>
      <c r="N1588" s="188"/>
      <c r="O1588" s="208"/>
      <c r="P1588" s="208"/>
      <c r="Q1588" s="208"/>
      <c r="R1588" s="208"/>
    </row>
    <row r="1589">
      <c r="A1589" s="185"/>
      <c r="B1589" s="186"/>
      <c r="C1589" s="185"/>
      <c r="D1589" s="185"/>
      <c r="E1589" s="185"/>
      <c r="F1589" s="185"/>
      <c r="G1589" s="185"/>
      <c r="H1589" s="185"/>
      <c r="I1589" s="185"/>
      <c r="J1589" s="185"/>
      <c r="K1589" s="185"/>
      <c r="L1589" s="187"/>
      <c r="M1589" s="188"/>
      <c r="N1589" s="188"/>
      <c r="O1589" s="208"/>
      <c r="P1589" s="208"/>
      <c r="Q1589" s="208"/>
      <c r="R1589" s="208"/>
    </row>
    <row r="1590">
      <c r="A1590" s="185"/>
      <c r="B1590" s="186"/>
      <c r="C1590" s="185"/>
      <c r="D1590" s="185"/>
      <c r="E1590" s="185"/>
      <c r="F1590" s="185"/>
      <c r="G1590" s="185"/>
      <c r="H1590" s="185"/>
      <c r="I1590" s="185"/>
      <c r="J1590" s="185"/>
      <c r="K1590" s="185"/>
      <c r="L1590" s="187"/>
      <c r="M1590" s="188"/>
      <c r="N1590" s="188"/>
      <c r="O1590" s="208"/>
      <c r="P1590" s="208"/>
      <c r="Q1590" s="208"/>
      <c r="R1590" s="208"/>
    </row>
    <row r="1591">
      <c r="A1591" s="185"/>
      <c r="B1591" s="186"/>
      <c r="C1591" s="185"/>
      <c r="D1591" s="185"/>
      <c r="E1591" s="185"/>
      <c r="F1591" s="185"/>
      <c r="G1591" s="185"/>
      <c r="H1591" s="185"/>
      <c r="I1591" s="185"/>
      <c r="J1591" s="185"/>
      <c r="K1591" s="185"/>
      <c r="L1591" s="187"/>
      <c r="M1591" s="188"/>
      <c r="N1591" s="188"/>
      <c r="O1591" s="208"/>
      <c r="P1591" s="208"/>
      <c r="Q1591" s="208"/>
      <c r="R1591" s="208"/>
    </row>
    <row r="1592">
      <c r="A1592" s="185"/>
      <c r="B1592" s="186"/>
      <c r="C1592" s="185"/>
      <c r="D1592" s="185"/>
      <c r="E1592" s="185"/>
      <c r="F1592" s="185"/>
      <c r="G1592" s="185"/>
      <c r="H1592" s="185"/>
      <c r="I1592" s="185"/>
      <c r="J1592" s="185"/>
      <c r="K1592" s="185"/>
      <c r="L1592" s="187"/>
      <c r="M1592" s="188"/>
      <c r="N1592" s="188"/>
      <c r="O1592" s="208"/>
      <c r="P1592" s="208"/>
      <c r="Q1592" s="208"/>
      <c r="R1592" s="208"/>
    </row>
    <row r="1593">
      <c r="A1593" s="185"/>
      <c r="B1593" s="186"/>
      <c r="C1593" s="185"/>
      <c r="D1593" s="185"/>
      <c r="E1593" s="185"/>
      <c r="F1593" s="185"/>
      <c r="G1593" s="185"/>
      <c r="H1593" s="185"/>
      <c r="I1593" s="185"/>
      <c r="J1593" s="185"/>
      <c r="K1593" s="185"/>
      <c r="L1593" s="187"/>
      <c r="M1593" s="188"/>
      <c r="N1593" s="188"/>
      <c r="O1593" s="208"/>
      <c r="P1593" s="208"/>
      <c r="Q1593" s="208"/>
      <c r="R1593" s="208"/>
    </row>
    <row r="1594">
      <c r="A1594" s="185"/>
      <c r="B1594" s="186"/>
      <c r="C1594" s="185"/>
      <c r="D1594" s="185"/>
      <c r="E1594" s="185"/>
      <c r="F1594" s="185"/>
      <c r="G1594" s="185"/>
      <c r="H1594" s="185"/>
      <c r="I1594" s="185"/>
      <c r="J1594" s="185"/>
      <c r="K1594" s="185"/>
      <c r="L1594" s="187"/>
      <c r="M1594" s="188"/>
      <c r="N1594" s="188"/>
      <c r="O1594" s="208"/>
      <c r="P1594" s="208"/>
      <c r="Q1594" s="208"/>
      <c r="R1594" s="208"/>
    </row>
    <row r="1595">
      <c r="A1595" s="185"/>
      <c r="B1595" s="186"/>
      <c r="C1595" s="185"/>
      <c r="D1595" s="185"/>
      <c r="E1595" s="185"/>
      <c r="F1595" s="185"/>
      <c r="G1595" s="185"/>
      <c r="H1595" s="185"/>
      <c r="I1595" s="185"/>
      <c r="J1595" s="185"/>
      <c r="K1595" s="185"/>
      <c r="L1595" s="187"/>
      <c r="M1595" s="188"/>
      <c r="N1595" s="188"/>
      <c r="O1595" s="208"/>
      <c r="P1595" s="208"/>
      <c r="Q1595" s="208"/>
      <c r="R1595" s="208"/>
    </row>
    <row r="1596">
      <c r="A1596" s="185"/>
      <c r="B1596" s="186"/>
      <c r="C1596" s="185"/>
      <c r="D1596" s="185"/>
      <c r="E1596" s="185"/>
      <c r="F1596" s="185"/>
      <c r="G1596" s="185"/>
      <c r="H1596" s="185"/>
      <c r="I1596" s="185"/>
      <c r="J1596" s="185"/>
      <c r="K1596" s="185"/>
      <c r="L1596" s="187"/>
      <c r="M1596" s="188"/>
      <c r="N1596" s="188"/>
      <c r="O1596" s="208"/>
      <c r="P1596" s="208"/>
      <c r="Q1596" s="208"/>
      <c r="R1596" s="208"/>
    </row>
    <row r="1597">
      <c r="A1597" s="185"/>
      <c r="B1597" s="186"/>
      <c r="C1597" s="185"/>
      <c r="D1597" s="185"/>
      <c r="E1597" s="185"/>
      <c r="F1597" s="185"/>
      <c r="G1597" s="185"/>
      <c r="H1597" s="185"/>
      <c r="I1597" s="185"/>
      <c r="J1597" s="185"/>
      <c r="K1597" s="185"/>
      <c r="L1597" s="187"/>
      <c r="M1597" s="188"/>
      <c r="N1597" s="188"/>
      <c r="O1597" s="208"/>
      <c r="P1597" s="208"/>
      <c r="Q1597" s="208"/>
      <c r="R1597" s="208"/>
    </row>
    <row r="1598">
      <c r="A1598" s="185"/>
      <c r="B1598" s="186"/>
      <c r="C1598" s="185"/>
      <c r="D1598" s="185"/>
      <c r="E1598" s="185"/>
      <c r="F1598" s="185"/>
      <c r="G1598" s="185"/>
      <c r="H1598" s="185"/>
      <c r="I1598" s="185"/>
      <c r="J1598" s="185"/>
      <c r="K1598" s="185"/>
      <c r="L1598" s="187"/>
      <c r="M1598" s="188"/>
      <c r="N1598" s="188"/>
      <c r="O1598" s="208"/>
      <c r="P1598" s="208"/>
      <c r="Q1598" s="208"/>
      <c r="R1598" s="208"/>
    </row>
    <row r="1599">
      <c r="A1599" s="185"/>
      <c r="B1599" s="186"/>
      <c r="C1599" s="185"/>
      <c r="D1599" s="185"/>
      <c r="E1599" s="185"/>
      <c r="F1599" s="185"/>
      <c r="G1599" s="185"/>
      <c r="H1599" s="185"/>
      <c r="I1599" s="185"/>
      <c r="J1599" s="185"/>
      <c r="K1599" s="185"/>
      <c r="L1599" s="187"/>
      <c r="M1599" s="188"/>
      <c r="N1599" s="188"/>
      <c r="O1599" s="208"/>
      <c r="P1599" s="208"/>
      <c r="Q1599" s="208"/>
      <c r="R1599" s="208"/>
    </row>
    <row r="1600">
      <c r="A1600" s="185"/>
      <c r="B1600" s="186"/>
      <c r="C1600" s="185"/>
      <c r="D1600" s="185"/>
      <c r="E1600" s="185"/>
      <c r="F1600" s="185"/>
      <c r="G1600" s="185"/>
      <c r="H1600" s="185"/>
      <c r="I1600" s="185"/>
      <c r="J1600" s="185"/>
      <c r="K1600" s="185"/>
      <c r="L1600" s="187"/>
      <c r="M1600" s="188"/>
      <c r="N1600" s="188"/>
      <c r="O1600" s="208"/>
      <c r="P1600" s="208"/>
      <c r="Q1600" s="208"/>
      <c r="R1600" s="208"/>
    </row>
    <row r="1601">
      <c r="A1601" s="185"/>
      <c r="B1601" s="186"/>
      <c r="C1601" s="185"/>
      <c r="D1601" s="185"/>
      <c r="E1601" s="185"/>
      <c r="F1601" s="185"/>
      <c r="G1601" s="185"/>
      <c r="H1601" s="185"/>
      <c r="I1601" s="185"/>
      <c r="J1601" s="185"/>
      <c r="K1601" s="185"/>
      <c r="L1601" s="187"/>
      <c r="M1601" s="188"/>
      <c r="N1601" s="188"/>
      <c r="O1601" s="208"/>
      <c r="P1601" s="208"/>
      <c r="Q1601" s="208"/>
      <c r="R1601" s="208"/>
    </row>
    <row r="1602">
      <c r="A1602" s="185"/>
      <c r="B1602" s="186"/>
      <c r="C1602" s="185"/>
      <c r="D1602" s="185"/>
      <c r="E1602" s="185"/>
      <c r="F1602" s="185"/>
      <c r="G1602" s="185"/>
      <c r="H1602" s="185"/>
      <c r="I1602" s="185"/>
      <c r="J1602" s="185"/>
      <c r="K1602" s="185"/>
      <c r="L1602" s="187"/>
      <c r="M1602" s="188"/>
      <c r="N1602" s="188"/>
      <c r="O1602" s="208"/>
      <c r="P1602" s="208"/>
      <c r="Q1602" s="208"/>
      <c r="R1602" s="208"/>
    </row>
    <row r="1603">
      <c r="A1603" s="185"/>
      <c r="B1603" s="186"/>
      <c r="C1603" s="185"/>
      <c r="D1603" s="185"/>
      <c r="E1603" s="185"/>
      <c r="F1603" s="185"/>
      <c r="G1603" s="185"/>
      <c r="H1603" s="185"/>
      <c r="I1603" s="185"/>
      <c r="J1603" s="185"/>
      <c r="K1603" s="185"/>
      <c r="L1603" s="187"/>
      <c r="M1603" s="188"/>
      <c r="N1603" s="188"/>
      <c r="O1603" s="208"/>
      <c r="P1603" s="208"/>
      <c r="Q1603" s="208"/>
      <c r="R1603" s="208"/>
    </row>
    <row r="1604">
      <c r="A1604" s="185"/>
      <c r="B1604" s="186"/>
      <c r="C1604" s="185"/>
      <c r="D1604" s="185"/>
      <c r="E1604" s="185"/>
      <c r="F1604" s="185"/>
      <c r="G1604" s="185"/>
      <c r="H1604" s="185"/>
      <c r="I1604" s="185"/>
      <c r="J1604" s="185"/>
      <c r="K1604" s="185"/>
      <c r="L1604" s="187"/>
      <c r="M1604" s="188"/>
      <c r="N1604" s="188"/>
      <c r="O1604" s="208"/>
      <c r="P1604" s="208"/>
      <c r="Q1604" s="208"/>
      <c r="R1604" s="208"/>
    </row>
    <row r="1605">
      <c r="A1605" s="185"/>
      <c r="B1605" s="186"/>
      <c r="C1605" s="185"/>
      <c r="D1605" s="185"/>
      <c r="E1605" s="185"/>
      <c r="F1605" s="185"/>
      <c r="G1605" s="185"/>
      <c r="H1605" s="185"/>
      <c r="I1605" s="185"/>
      <c r="J1605" s="185"/>
      <c r="K1605" s="185"/>
      <c r="L1605" s="187"/>
      <c r="M1605" s="188"/>
      <c r="N1605" s="188"/>
      <c r="O1605" s="208"/>
      <c r="P1605" s="208"/>
      <c r="Q1605" s="208"/>
      <c r="R1605" s="208"/>
    </row>
    <row r="1606">
      <c r="A1606" s="185"/>
      <c r="B1606" s="186"/>
      <c r="C1606" s="185"/>
      <c r="D1606" s="185"/>
      <c r="E1606" s="185"/>
      <c r="F1606" s="185"/>
      <c r="G1606" s="185"/>
      <c r="H1606" s="185"/>
      <c r="I1606" s="185"/>
      <c r="J1606" s="185"/>
      <c r="K1606" s="185"/>
      <c r="L1606" s="187"/>
      <c r="M1606" s="188"/>
      <c r="N1606" s="188"/>
      <c r="O1606" s="208"/>
      <c r="P1606" s="208"/>
      <c r="Q1606" s="208"/>
      <c r="R1606" s="208"/>
    </row>
    <row r="1607">
      <c r="A1607" s="185"/>
      <c r="B1607" s="186"/>
      <c r="C1607" s="185"/>
      <c r="D1607" s="185"/>
      <c r="E1607" s="185"/>
      <c r="F1607" s="185"/>
      <c r="G1607" s="185"/>
      <c r="H1607" s="185"/>
      <c r="I1607" s="185"/>
      <c r="J1607" s="185"/>
      <c r="K1607" s="185"/>
      <c r="L1607" s="187"/>
      <c r="M1607" s="188"/>
      <c r="N1607" s="188"/>
      <c r="O1607" s="208"/>
      <c r="P1607" s="208"/>
      <c r="Q1607" s="208"/>
      <c r="R1607" s="208"/>
    </row>
    <row r="1608">
      <c r="A1608" s="185"/>
      <c r="B1608" s="186"/>
      <c r="C1608" s="185"/>
      <c r="D1608" s="185"/>
      <c r="E1608" s="185"/>
      <c r="F1608" s="185"/>
      <c r="G1608" s="185"/>
      <c r="H1608" s="185"/>
      <c r="I1608" s="185"/>
      <c r="J1608" s="185"/>
      <c r="K1608" s="185"/>
      <c r="L1608" s="187"/>
      <c r="M1608" s="188"/>
      <c r="N1608" s="188"/>
      <c r="O1608" s="208"/>
      <c r="P1608" s="208"/>
      <c r="Q1608" s="208"/>
      <c r="R1608" s="208"/>
    </row>
    <row r="1609">
      <c r="A1609" s="185"/>
      <c r="B1609" s="186"/>
      <c r="C1609" s="185"/>
      <c r="D1609" s="185"/>
      <c r="E1609" s="185"/>
      <c r="F1609" s="185"/>
      <c r="G1609" s="185"/>
      <c r="H1609" s="185"/>
      <c r="I1609" s="185"/>
      <c r="J1609" s="185"/>
      <c r="K1609" s="185"/>
      <c r="L1609" s="187"/>
      <c r="M1609" s="188"/>
      <c r="N1609" s="188"/>
      <c r="O1609" s="208"/>
      <c r="P1609" s="208"/>
      <c r="Q1609" s="208"/>
      <c r="R1609" s="208"/>
    </row>
    <row r="1610">
      <c r="A1610" s="185"/>
      <c r="B1610" s="186"/>
      <c r="C1610" s="185"/>
      <c r="D1610" s="185"/>
      <c r="E1610" s="185"/>
      <c r="F1610" s="185"/>
      <c r="G1610" s="185"/>
      <c r="H1610" s="185"/>
      <c r="I1610" s="185"/>
      <c r="J1610" s="185"/>
      <c r="K1610" s="185"/>
      <c r="L1610" s="187"/>
      <c r="M1610" s="188"/>
      <c r="N1610" s="188"/>
      <c r="O1610" s="208"/>
      <c r="P1610" s="208"/>
      <c r="Q1610" s="208"/>
      <c r="R1610" s="208"/>
    </row>
    <row r="1611">
      <c r="A1611" s="185"/>
      <c r="B1611" s="186"/>
      <c r="C1611" s="185"/>
      <c r="D1611" s="185"/>
      <c r="E1611" s="185"/>
      <c r="F1611" s="185"/>
      <c r="G1611" s="185"/>
      <c r="H1611" s="185"/>
      <c r="I1611" s="185"/>
      <c r="J1611" s="185"/>
      <c r="K1611" s="185"/>
      <c r="L1611" s="187"/>
      <c r="M1611" s="188"/>
      <c r="N1611" s="188"/>
      <c r="O1611" s="208"/>
      <c r="P1611" s="208"/>
      <c r="Q1611" s="208"/>
      <c r="R1611" s="208"/>
    </row>
    <row r="1612">
      <c r="A1612" s="185"/>
      <c r="B1612" s="186"/>
      <c r="C1612" s="185"/>
      <c r="D1612" s="185"/>
      <c r="E1612" s="185"/>
      <c r="F1612" s="185"/>
      <c r="G1612" s="185"/>
      <c r="H1612" s="185"/>
      <c r="I1612" s="185"/>
      <c r="J1612" s="185"/>
      <c r="K1612" s="185"/>
      <c r="L1612" s="187"/>
      <c r="M1612" s="188"/>
      <c r="N1612" s="188"/>
      <c r="O1612" s="208"/>
      <c r="P1612" s="208"/>
      <c r="Q1612" s="208"/>
      <c r="R1612" s="208"/>
    </row>
    <row r="1613">
      <c r="A1613" s="185"/>
      <c r="B1613" s="186"/>
      <c r="C1613" s="185"/>
      <c r="D1613" s="185"/>
      <c r="E1613" s="185"/>
      <c r="F1613" s="185"/>
      <c r="G1613" s="185"/>
      <c r="H1613" s="185"/>
      <c r="I1613" s="185"/>
      <c r="J1613" s="185"/>
      <c r="K1613" s="185"/>
      <c r="L1613" s="187"/>
      <c r="M1613" s="188"/>
      <c r="N1613" s="188"/>
      <c r="O1613" s="208"/>
      <c r="P1613" s="208"/>
      <c r="Q1613" s="208"/>
      <c r="R1613" s="208"/>
    </row>
    <row r="1614">
      <c r="A1614" s="185"/>
      <c r="B1614" s="186"/>
      <c r="C1614" s="185"/>
      <c r="D1614" s="185"/>
      <c r="E1614" s="185"/>
      <c r="F1614" s="185"/>
      <c r="G1614" s="185"/>
      <c r="H1614" s="185"/>
      <c r="I1614" s="185"/>
      <c r="J1614" s="185"/>
      <c r="K1614" s="185"/>
      <c r="L1614" s="187"/>
      <c r="M1614" s="188"/>
      <c r="N1614" s="188"/>
      <c r="O1614" s="208"/>
      <c r="P1614" s="208"/>
      <c r="Q1614" s="208"/>
      <c r="R1614" s="208"/>
    </row>
    <row r="1615">
      <c r="A1615" s="185"/>
      <c r="B1615" s="186"/>
      <c r="C1615" s="185"/>
      <c r="D1615" s="185"/>
      <c r="E1615" s="185"/>
      <c r="F1615" s="185"/>
      <c r="G1615" s="185"/>
      <c r="H1615" s="185"/>
      <c r="I1615" s="185"/>
      <c r="J1615" s="185"/>
      <c r="K1615" s="185"/>
      <c r="L1615" s="187"/>
      <c r="M1615" s="188"/>
      <c r="N1615" s="188"/>
      <c r="O1615" s="208"/>
      <c r="P1615" s="208"/>
      <c r="Q1615" s="208"/>
      <c r="R1615" s="208"/>
    </row>
    <row r="1616">
      <c r="A1616" s="185"/>
      <c r="B1616" s="186"/>
      <c r="C1616" s="185"/>
      <c r="D1616" s="185"/>
      <c r="E1616" s="185"/>
      <c r="F1616" s="185"/>
      <c r="G1616" s="185"/>
      <c r="H1616" s="185"/>
      <c r="I1616" s="185"/>
      <c r="J1616" s="185"/>
      <c r="K1616" s="185"/>
      <c r="L1616" s="187"/>
      <c r="M1616" s="188"/>
      <c r="N1616" s="188"/>
      <c r="O1616" s="208"/>
      <c r="P1616" s="208"/>
      <c r="Q1616" s="208"/>
      <c r="R1616" s="208"/>
    </row>
    <row r="1617">
      <c r="A1617" s="185"/>
      <c r="B1617" s="186"/>
      <c r="C1617" s="185"/>
      <c r="D1617" s="185"/>
      <c r="E1617" s="185"/>
      <c r="F1617" s="185"/>
      <c r="G1617" s="185"/>
      <c r="H1617" s="185"/>
      <c r="I1617" s="185"/>
      <c r="J1617" s="185"/>
      <c r="K1617" s="185"/>
      <c r="L1617" s="187"/>
      <c r="M1617" s="188"/>
      <c r="N1617" s="188"/>
      <c r="O1617" s="208"/>
      <c r="P1617" s="208"/>
      <c r="Q1617" s="208"/>
      <c r="R1617" s="208"/>
    </row>
    <row r="1618">
      <c r="A1618" s="185"/>
      <c r="B1618" s="186"/>
      <c r="C1618" s="185"/>
      <c r="D1618" s="185"/>
      <c r="E1618" s="185"/>
      <c r="F1618" s="185"/>
      <c r="G1618" s="185"/>
      <c r="H1618" s="185"/>
      <c r="I1618" s="185"/>
      <c r="J1618" s="185"/>
      <c r="K1618" s="185"/>
      <c r="L1618" s="187"/>
      <c r="M1618" s="188"/>
      <c r="N1618" s="188"/>
      <c r="O1618" s="208"/>
      <c r="P1618" s="208"/>
      <c r="Q1618" s="208"/>
      <c r="R1618" s="208"/>
    </row>
    <row r="1619">
      <c r="A1619" s="185"/>
      <c r="B1619" s="186"/>
      <c r="C1619" s="185"/>
      <c r="D1619" s="185"/>
      <c r="E1619" s="185"/>
      <c r="F1619" s="185"/>
      <c r="G1619" s="185"/>
      <c r="H1619" s="185"/>
      <c r="I1619" s="185"/>
      <c r="J1619" s="185"/>
      <c r="K1619" s="185"/>
      <c r="L1619" s="187"/>
      <c r="M1619" s="188"/>
      <c r="N1619" s="188"/>
      <c r="O1619" s="208"/>
      <c r="P1619" s="208"/>
      <c r="Q1619" s="208"/>
      <c r="R1619" s="208"/>
    </row>
    <row r="1620">
      <c r="A1620" s="185"/>
      <c r="B1620" s="186"/>
      <c r="C1620" s="185"/>
      <c r="D1620" s="185"/>
      <c r="E1620" s="185"/>
      <c r="F1620" s="185"/>
      <c r="G1620" s="185"/>
      <c r="H1620" s="185"/>
      <c r="I1620" s="185"/>
      <c r="J1620" s="185"/>
      <c r="K1620" s="185"/>
      <c r="L1620" s="187"/>
      <c r="M1620" s="188"/>
      <c r="N1620" s="188"/>
      <c r="O1620" s="208"/>
      <c r="P1620" s="208"/>
      <c r="Q1620" s="208"/>
      <c r="R1620" s="208"/>
    </row>
    <row r="1621">
      <c r="A1621" s="185"/>
      <c r="B1621" s="186"/>
      <c r="C1621" s="185"/>
      <c r="D1621" s="185"/>
      <c r="E1621" s="185"/>
      <c r="F1621" s="185"/>
      <c r="G1621" s="185"/>
      <c r="H1621" s="185"/>
      <c r="I1621" s="185"/>
      <c r="J1621" s="185"/>
      <c r="K1621" s="185"/>
      <c r="L1621" s="187"/>
      <c r="M1621" s="188"/>
      <c r="N1621" s="188"/>
      <c r="O1621" s="208"/>
      <c r="P1621" s="208"/>
      <c r="Q1621" s="208"/>
      <c r="R1621" s="208"/>
    </row>
    <row r="1622">
      <c r="A1622" s="185"/>
      <c r="B1622" s="186"/>
      <c r="C1622" s="185"/>
      <c r="D1622" s="185"/>
      <c r="E1622" s="185"/>
      <c r="F1622" s="185"/>
      <c r="G1622" s="185"/>
      <c r="H1622" s="185"/>
      <c r="I1622" s="185"/>
      <c r="J1622" s="185"/>
      <c r="K1622" s="185"/>
      <c r="L1622" s="187"/>
      <c r="M1622" s="188"/>
      <c r="N1622" s="188"/>
      <c r="O1622" s="208"/>
      <c r="P1622" s="208"/>
      <c r="Q1622" s="208"/>
      <c r="R1622" s="208"/>
    </row>
    <row r="1623">
      <c r="A1623" s="185"/>
      <c r="B1623" s="186"/>
      <c r="C1623" s="185"/>
      <c r="D1623" s="185"/>
      <c r="E1623" s="185"/>
      <c r="F1623" s="185"/>
      <c r="G1623" s="185"/>
      <c r="H1623" s="185"/>
      <c r="I1623" s="185"/>
      <c r="J1623" s="185"/>
      <c r="K1623" s="185"/>
      <c r="L1623" s="187"/>
      <c r="M1623" s="188"/>
      <c r="N1623" s="188"/>
      <c r="O1623" s="208"/>
      <c r="P1623" s="208"/>
      <c r="Q1623" s="208"/>
      <c r="R1623" s="208"/>
    </row>
    <row r="1624">
      <c r="A1624" s="185"/>
      <c r="B1624" s="186"/>
      <c r="C1624" s="185"/>
      <c r="D1624" s="185"/>
      <c r="E1624" s="185"/>
      <c r="F1624" s="185"/>
      <c r="G1624" s="185"/>
      <c r="H1624" s="185"/>
      <c r="I1624" s="185"/>
      <c r="J1624" s="185"/>
      <c r="K1624" s="185"/>
      <c r="L1624" s="187"/>
      <c r="M1624" s="188"/>
      <c r="N1624" s="188"/>
      <c r="O1624" s="208"/>
      <c r="P1624" s="208"/>
      <c r="Q1624" s="208"/>
      <c r="R1624" s="208"/>
    </row>
    <row r="1625">
      <c r="A1625" s="185"/>
      <c r="B1625" s="186"/>
      <c r="C1625" s="185"/>
      <c r="D1625" s="185"/>
      <c r="E1625" s="185"/>
      <c r="F1625" s="185"/>
      <c r="G1625" s="185"/>
      <c r="H1625" s="185"/>
      <c r="I1625" s="185"/>
      <c r="J1625" s="185"/>
      <c r="K1625" s="185"/>
      <c r="L1625" s="187"/>
      <c r="M1625" s="188"/>
      <c r="N1625" s="188"/>
      <c r="O1625" s="208"/>
      <c r="P1625" s="208"/>
      <c r="Q1625" s="208"/>
      <c r="R1625" s="208"/>
    </row>
    <row r="1626">
      <c r="A1626" s="185"/>
      <c r="B1626" s="186"/>
      <c r="C1626" s="185"/>
      <c r="D1626" s="185"/>
      <c r="E1626" s="185"/>
      <c r="F1626" s="185"/>
      <c r="G1626" s="185"/>
      <c r="H1626" s="185"/>
      <c r="I1626" s="185"/>
      <c r="J1626" s="185"/>
      <c r="K1626" s="185"/>
      <c r="L1626" s="187"/>
      <c r="M1626" s="188"/>
      <c r="N1626" s="188"/>
      <c r="O1626" s="208"/>
      <c r="P1626" s="208"/>
      <c r="Q1626" s="208"/>
      <c r="R1626" s="208"/>
    </row>
    <row r="1627">
      <c r="A1627" s="185"/>
      <c r="B1627" s="186"/>
      <c r="C1627" s="185"/>
      <c r="D1627" s="185"/>
      <c r="E1627" s="185"/>
      <c r="F1627" s="185"/>
      <c r="G1627" s="185"/>
      <c r="H1627" s="185"/>
      <c r="I1627" s="185"/>
      <c r="J1627" s="185"/>
      <c r="K1627" s="185"/>
      <c r="L1627" s="187"/>
      <c r="M1627" s="188"/>
      <c r="N1627" s="188"/>
      <c r="O1627" s="208"/>
      <c r="P1627" s="208"/>
      <c r="Q1627" s="208"/>
      <c r="R1627" s="208"/>
    </row>
    <row r="1628">
      <c r="A1628" s="185"/>
      <c r="B1628" s="186"/>
      <c r="C1628" s="185"/>
      <c r="D1628" s="185"/>
      <c r="E1628" s="185"/>
      <c r="F1628" s="185"/>
      <c r="G1628" s="185"/>
      <c r="H1628" s="185"/>
      <c r="I1628" s="185"/>
      <c r="J1628" s="185"/>
      <c r="K1628" s="185"/>
      <c r="L1628" s="187"/>
      <c r="M1628" s="188"/>
      <c r="N1628" s="188"/>
      <c r="O1628" s="208"/>
      <c r="P1628" s="208"/>
      <c r="Q1628" s="208"/>
      <c r="R1628" s="208"/>
    </row>
    <row r="1629">
      <c r="A1629" s="185"/>
      <c r="B1629" s="186"/>
      <c r="C1629" s="185"/>
      <c r="D1629" s="185"/>
      <c r="E1629" s="185"/>
      <c r="F1629" s="185"/>
      <c r="G1629" s="185"/>
      <c r="H1629" s="185"/>
      <c r="I1629" s="185"/>
      <c r="J1629" s="185"/>
      <c r="K1629" s="185"/>
      <c r="L1629" s="187"/>
      <c r="M1629" s="188"/>
      <c r="N1629" s="188"/>
      <c r="O1629" s="208"/>
      <c r="P1629" s="208"/>
      <c r="Q1629" s="208"/>
      <c r="R1629" s="208"/>
    </row>
    <row r="1630">
      <c r="A1630" s="185"/>
      <c r="B1630" s="186"/>
      <c r="C1630" s="185"/>
      <c r="D1630" s="185"/>
      <c r="E1630" s="185"/>
      <c r="F1630" s="185"/>
      <c r="G1630" s="185"/>
      <c r="H1630" s="185"/>
      <c r="I1630" s="185"/>
      <c r="J1630" s="185"/>
      <c r="K1630" s="185"/>
      <c r="L1630" s="187"/>
      <c r="M1630" s="188"/>
      <c r="N1630" s="188"/>
      <c r="O1630" s="208"/>
      <c r="P1630" s="208"/>
      <c r="Q1630" s="208"/>
      <c r="R1630" s="208"/>
    </row>
    <row r="1631">
      <c r="A1631" s="185"/>
      <c r="B1631" s="186"/>
      <c r="C1631" s="185"/>
      <c r="D1631" s="185"/>
      <c r="E1631" s="185"/>
      <c r="F1631" s="185"/>
      <c r="G1631" s="185"/>
      <c r="H1631" s="185"/>
      <c r="I1631" s="185"/>
      <c r="J1631" s="185"/>
      <c r="K1631" s="185"/>
      <c r="L1631" s="187"/>
      <c r="M1631" s="188"/>
      <c r="N1631" s="188"/>
      <c r="O1631" s="208"/>
      <c r="P1631" s="208"/>
      <c r="Q1631" s="208"/>
      <c r="R1631" s="208"/>
    </row>
    <row r="1632">
      <c r="A1632" s="185"/>
      <c r="B1632" s="186"/>
      <c r="C1632" s="185"/>
      <c r="D1632" s="185"/>
      <c r="E1632" s="185"/>
      <c r="F1632" s="185"/>
      <c r="G1632" s="185"/>
      <c r="H1632" s="185"/>
      <c r="I1632" s="185"/>
      <c r="J1632" s="185"/>
      <c r="K1632" s="185"/>
      <c r="L1632" s="187"/>
      <c r="M1632" s="188"/>
      <c r="N1632" s="188"/>
      <c r="O1632" s="208"/>
      <c r="P1632" s="208"/>
      <c r="Q1632" s="208"/>
      <c r="R1632" s="208"/>
    </row>
    <row r="1633">
      <c r="A1633" s="185"/>
      <c r="B1633" s="186"/>
      <c r="C1633" s="185"/>
      <c r="D1633" s="185"/>
      <c r="E1633" s="185"/>
      <c r="F1633" s="185"/>
      <c r="G1633" s="185"/>
      <c r="H1633" s="185"/>
      <c r="I1633" s="185"/>
      <c r="J1633" s="185"/>
      <c r="K1633" s="185"/>
      <c r="L1633" s="187"/>
      <c r="M1633" s="188"/>
      <c r="N1633" s="188"/>
      <c r="O1633" s="208"/>
      <c r="P1633" s="208"/>
      <c r="Q1633" s="208"/>
      <c r="R1633" s="208"/>
    </row>
    <row r="1634">
      <c r="A1634" s="185"/>
      <c r="B1634" s="186"/>
      <c r="C1634" s="185"/>
      <c r="D1634" s="185"/>
      <c r="E1634" s="185"/>
      <c r="F1634" s="185"/>
      <c r="G1634" s="185"/>
      <c r="H1634" s="185"/>
      <c r="I1634" s="185"/>
      <c r="J1634" s="185"/>
      <c r="K1634" s="185"/>
      <c r="L1634" s="187"/>
      <c r="M1634" s="188"/>
      <c r="N1634" s="188"/>
      <c r="O1634" s="208"/>
      <c r="P1634" s="208"/>
      <c r="Q1634" s="208"/>
      <c r="R1634" s="208"/>
    </row>
    <row r="1635">
      <c r="A1635" s="185"/>
      <c r="B1635" s="186"/>
      <c r="C1635" s="185"/>
      <c r="D1635" s="185"/>
      <c r="E1635" s="185"/>
      <c r="F1635" s="185"/>
      <c r="G1635" s="185"/>
      <c r="H1635" s="185"/>
      <c r="I1635" s="185"/>
      <c r="J1635" s="185"/>
      <c r="K1635" s="185"/>
      <c r="L1635" s="187"/>
      <c r="M1635" s="188"/>
      <c r="N1635" s="188"/>
      <c r="O1635" s="208"/>
      <c r="P1635" s="208"/>
      <c r="Q1635" s="208"/>
      <c r="R1635" s="208"/>
    </row>
    <row r="1636">
      <c r="A1636" s="185"/>
      <c r="B1636" s="186"/>
      <c r="C1636" s="185"/>
      <c r="D1636" s="185"/>
      <c r="E1636" s="185"/>
      <c r="F1636" s="185"/>
      <c r="G1636" s="185"/>
      <c r="H1636" s="185"/>
      <c r="I1636" s="185"/>
      <c r="J1636" s="185"/>
      <c r="K1636" s="185"/>
      <c r="L1636" s="187"/>
      <c r="M1636" s="188"/>
      <c r="N1636" s="188"/>
      <c r="O1636" s="208"/>
      <c r="P1636" s="208"/>
      <c r="Q1636" s="208"/>
      <c r="R1636" s="208"/>
    </row>
    <row r="1637">
      <c r="A1637" s="185"/>
      <c r="B1637" s="186"/>
      <c r="C1637" s="185"/>
      <c r="D1637" s="185"/>
      <c r="E1637" s="185"/>
      <c r="F1637" s="185"/>
      <c r="G1637" s="185"/>
      <c r="H1637" s="185"/>
      <c r="I1637" s="185"/>
      <c r="J1637" s="185"/>
      <c r="K1637" s="185"/>
      <c r="L1637" s="187"/>
      <c r="M1637" s="188"/>
      <c r="N1637" s="188"/>
      <c r="O1637" s="208"/>
      <c r="P1637" s="208"/>
      <c r="Q1637" s="208"/>
      <c r="R1637" s="208"/>
    </row>
    <row r="1638">
      <c r="A1638" s="185"/>
      <c r="B1638" s="186"/>
      <c r="C1638" s="185"/>
      <c r="D1638" s="185"/>
      <c r="E1638" s="185"/>
      <c r="F1638" s="185"/>
      <c r="G1638" s="185"/>
      <c r="H1638" s="185"/>
      <c r="I1638" s="185"/>
      <c r="J1638" s="185"/>
      <c r="K1638" s="185"/>
      <c r="L1638" s="187"/>
      <c r="M1638" s="188"/>
      <c r="N1638" s="188"/>
      <c r="O1638" s="208"/>
      <c r="P1638" s="208"/>
      <c r="Q1638" s="208"/>
      <c r="R1638" s="208"/>
    </row>
    <row r="1639">
      <c r="A1639" s="185"/>
      <c r="B1639" s="186"/>
      <c r="C1639" s="185"/>
      <c r="D1639" s="185"/>
      <c r="E1639" s="185"/>
      <c r="F1639" s="185"/>
      <c r="G1639" s="185"/>
      <c r="H1639" s="185"/>
      <c r="I1639" s="185"/>
      <c r="J1639" s="185"/>
      <c r="K1639" s="185"/>
      <c r="L1639" s="187"/>
      <c r="M1639" s="188"/>
      <c r="N1639" s="188"/>
      <c r="O1639" s="208"/>
      <c r="P1639" s="208"/>
      <c r="Q1639" s="208"/>
      <c r="R1639" s="208"/>
    </row>
    <row r="1640">
      <c r="A1640" s="185"/>
      <c r="B1640" s="186"/>
      <c r="C1640" s="185"/>
      <c r="D1640" s="185"/>
      <c r="E1640" s="185"/>
      <c r="F1640" s="185"/>
      <c r="G1640" s="185"/>
      <c r="H1640" s="185"/>
      <c r="I1640" s="185"/>
      <c r="J1640" s="185"/>
      <c r="K1640" s="185"/>
      <c r="L1640" s="187"/>
      <c r="M1640" s="188"/>
      <c r="N1640" s="188"/>
      <c r="O1640" s="208"/>
      <c r="P1640" s="208"/>
      <c r="Q1640" s="208"/>
      <c r="R1640" s="208"/>
    </row>
    <row r="1641">
      <c r="A1641" s="185"/>
      <c r="B1641" s="186"/>
      <c r="C1641" s="185"/>
      <c r="D1641" s="185"/>
      <c r="E1641" s="185"/>
      <c r="F1641" s="185"/>
      <c r="G1641" s="185"/>
      <c r="H1641" s="185"/>
      <c r="I1641" s="185"/>
      <c r="J1641" s="185"/>
      <c r="K1641" s="185"/>
      <c r="L1641" s="187"/>
      <c r="M1641" s="188"/>
      <c r="N1641" s="188"/>
      <c r="O1641" s="208"/>
      <c r="P1641" s="208"/>
      <c r="Q1641" s="208"/>
      <c r="R1641" s="208"/>
    </row>
    <row r="1642">
      <c r="A1642" s="185"/>
      <c r="B1642" s="186"/>
      <c r="C1642" s="185"/>
      <c r="D1642" s="185"/>
      <c r="E1642" s="185"/>
      <c r="F1642" s="185"/>
      <c r="G1642" s="185"/>
      <c r="H1642" s="185"/>
      <c r="I1642" s="185"/>
      <c r="J1642" s="185"/>
      <c r="K1642" s="185"/>
      <c r="L1642" s="187"/>
      <c r="M1642" s="188"/>
      <c r="N1642" s="188"/>
      <c r="O1642" s="208"/>
      <c r="P1642" s="208"/>
      <c r="Q1642" s="208"/>
      <c r="R1642" s="208"/>
    </row>
    <row r="1643">
      <c r="A1643" s="185"/>
      <c r="B1643" s="186"/>
      <c r="C1643" s="185"/>
      <c r="D1643" s="185"/>
      <c r="E1643" s="185"/>
      <c r="F1643" s="185"/>
      <c r="G1643" s="185"/>
      <c r="H1643" s="185"/>
      <c r="I1643" s="185"/>
      <c r="J1643" s="185"/>
      <c r="K1643" s="185"/>
      <c r="L1643" s="187"/>
      <c r="M1643" s="188"/>
      <c r="N1643" s="188"/>
      <c r="O1643" s="208"/>
      <c r="P1643" s="208"/>
      <c r="Q1643" s="208"/>
      <c r="R1643" s="208"/>
    </row>
    <row r="1644">
      <c r="A1644" s="185"/>
      <c r="B1644" s="186"/>
      <c r="C1644" s="185"/>
      <c r="D1644" s="185"/>
      <c r="E1644" s="185"/>
      <c r="F1644" s="185"/>
      <c r="G1644" s="185"/>
      <c r="H1644" s="185"/>
      <c r="I1644" s="185"/>
      <c r="J1644" s="185"/>
      <c r="K1644" s="185"/>
      <c r="L1644" s="187"/>
      <c r="M1644" s="188"/>
      <c r="N1644" s="188"/>
      <c r="O1644" s="208"/>
      <c r="P1644" s="208"/>
      <c r="Q1644" s="208"/>
      <c r="R1644" s="208"/>
    </row>
    <row r="1645">
      <c r="A1645" s="185"/>
      <c r="B1645" s="186"/>
      <c r="C1645" s="185"/>
      <c r="D1645" s="185"/>
      <c r="E1645" s="185"/>
      <c r="F1645" s="185"/>
      <c r="G1645" s="185"/>
      <c r="H1645" s="185"/>
      <c r="I1645" s="185"/>
      <c r="J1645" s="185"/>
      <c r="K1645" s="185"/>
      <c r="L1645" s="187"/>
      <c r="M1645" s="188"/>
      <c r="N1645" s="188"/>
      <c r="O1645" s="208"/>
      <c r="P1645" s="208"/>
      <c r="Q1645" s="208"/>
      <c r="R1645" s="208"/>
    </row>
    <row r="1646">
      <c r="A1646" s="185"/>
      <c r="B1646" s="186"/>
      <c r="C1646" s="185"/>
      <c r="D1646" s="185"/>
      <c r="E1646" s="185"/>
      <c r="F1646" s="185"/>
      <c r="G1646" s="185"/>
      <c r="H1646" s="185"/>
      <c r="I1646" s="185"/>
      <c r="J1646" s="185"/>
      <c r="K1646" s="185"/>
      <c r="L1646" s="187"/>
      <c r="M1646" s="188"/>
      <c r="N1646" s="188"/>
      <c r="O1646" s="208"/>
      <c r="P1646" s="208"/>
      <c r="Q1646" s="208"/>
      <c r="R1646" s="208"/>
    </row>
    <row r="1647">
      <c r="A1647" s="185"/>
      <c r="B1647" s="186"/>
      <c r="C1647" s="185"/>
      <c r="D1647" s="185"/>
      <c r="E1647" s="185"/>
      <c r="F1647" s="185"/>
      <c r="G1647" s="185"/>
      <c r="H1647" s="185"/>
      <c r="I1647" s="185"/>
      <c r="J1647" s="185"/>
      <c r="K1647" s="185"/>
      <c r="L1647" s="187"/>
      <c r="M1647" s="188"/>
      <c r="N1647" s="188"/>
      <c r="O1647" s="208"/>
      <c r="P1647" s="208"/>
      <c r="Q1647" s="208"/>
      <c r="R1647" s="208"/>
    </row>
    <row r="1648">
      <c r="A1648" s="185"/>
      <c r="B1648" s="186"/>
      <c r="C1648" s="185"/>
      <c r="D1648" s="185"/>
      <c r="E1648" s="185"/>
      <c r="F1648" s="185"/>
      <c r="G1648" s="185"/>
      <c r="H1648" s="185"/>
      <c r="I1648" s="185"/>
      <c r="J1648" s="185"/>
      <c r="K1648" s="185"/>
      <c r="L1648" s="187"/>
      <c r="M1648" s="188"/>
      <c r="N1648" s="188"/>
      <c r="O1648" s="208"/>
      <c r="P1648" s="208"/>
      <c r="Q1648" s="208"/>
      <c r="R1648" s="208"/>
    </row>
    <row r="1649">
      <c r="A1649" s="185"/>
      <c r="B1649" s="186"/>
      <c r="C1649" s="185"/>
      <c r="D1649" s="185"/>
      <c r="E1649" s="185"/>
      <c r="F1649" s="185"/>
      <c r="G1649" s="185"/>
      <c r="H1649" s="185"/>
      <c r="I1649" s="185"/>
      <c r="J1649" s="185"/>
      <c r="K1649" s="185"/>
      <c r="L1649" s="187"/>
      <c r="M1649" s="188"/>
      <c r="N1649" s="188"/>
      <c r="O1649" s="208"/>
      <c r="P1649" s="208"/>
      <c r="Q1649" s="208"/>
      <c r="R1649" s="208"/>
    </row>
    <row r="1650">
      <c r="A1650" s="185"/>
      <c r="B1650" s="186"/>
      <c r="C1650" s="185"/>
      <c r="D1650" s="185"/>
      <c r="E1650" s="185"/>
      <c r="F1650" s="185"/>
      <c r="G1650" s="185"/>
      <c r="H1650" s="185"/>
      <c r="I1650" s="185"/>
      <c r="J1650" s="185"/>
      <c r="K1650" s="185"/>
      <c r="L1650" s="187"/>
      <c r="M1650" s="188"/>
      <c r="N1650" s="188"/>
      <c r="O1650" s="208"/>
      <c r="P1650" s="208"/>
      <c r="Q1650" s="208"/>
      <c r="R1650" s="208"/>
    </row>
    <row r="1651">
      <c r="A1651" s="185"/>
      <c r="B1651" s="186"/>
      <c r="C1651" s="185"/>
      <c r="D1651" s="185"/>
      <c r="E1651" s="185"/>
      <c r="F1651" s="185"/>
      <c r="G1651" s="185"/>
      <c r="H1651" s="185"/>
      <c r="I1651" s="185"/>
      <c r="J1651" s="185"/>
      <c r="K1651" s="185"/>
      <c r="L1651" s="187"/>
      <c r="M1651" s="188"/>
      <c r="N1651" s="188"/>
      <c r="O1651" s="208"/>
      <c r="P1651" s="208"/>
      <c r="Q1651" s="208"/>
      <c r="R1651" s="208"/>
    </row>
    <row r="1652">
      <c r="A1652" s="185"/>
      <c r="B1652" s="186"/>
      <c r="C1652" s="185"/>
      <c r="D1652" s="185"/>
      <c r="E1652" s="185"/>
      <c r="F1652" s="185"/>
      <c r="G1652" s="185"/>
      <c r="H1652" s="185"/>
      <c r="I1652" s="185"/>
      <c r="J1652" s="185"/>
      <c r="K1652" s="185"/>
      <c r="L1652" s="187"/>
      <c r="M1652" s="188"/>
      <c r="N1652" s="188"/>
      <c r="O1652" s="208"/>
      <c r="P1652" s="208"/>
      <c r="Q1652" s="208"/>
      <c r="R1652" s="208"/>
    </row>
    <row r="1653">
      <c r="A1653" s="185"/>
      <c r="B1653" s="186"/>
      <c r="C1653" s="185"/>
      <c r="D1653" s="185"/>
      <c r="E1653" s="185"/>
      <c r="F1653" s="185"/>
      <c r="G1653" s="185"/>
      <c r="H1653" s="185"/>
      <c r="I1653" s="185"/>
      <c r="J1653" s="185"/>
      <c r="K1653" s="185"/>
      <c r="L1653" s="187"/>
      <c r="M1653" s="188"/>
      <c r="N1653" s="188"/>
      <c r="O1653" s="208"/>
      <c r="P1653" s="208"/>
      <c r="Q1653" s="208"/>
      <c r="R1653" s="208"/>
    </row>
    <row r="1654">
      <c r="A1654" s="185"/>
      <c r="B1654" s="186"/>
      <c r="C1654" s="185"/>
      <c r="D1654" s="185"/>
      <c r="E1654" s="185"/>
      <c r="F1654" s="185"/>
      <c r="G1654" s="185"/>
      <c r="H1654" s="185"/>
      <c r="I1654" s="185"/>
      <c r="J1654" s="185"/>
      <c r="K1654" s="185"/>
      <c r="L1654" s="187"/>
      <c r="M1654" s="188"/>
      <c r="N1654" s="188"/>
      <c r="O1654" s="208"/>
      <c r="P1654" s="208"/>
      <c r="Q1654" s="208"/>
      <c r="R1654" s="208"/>
    </row>
    <row r="1655">
      <c r="A1655" s="185"/>
      <c r="B1655" s="186"/>
      <c r="C1655" s="185"/>
      <c r="D1655" s="185"/>
      <c r="E1655" s="185"/>
      <c r="F1655" s="185"/>
      <c r="G1655" s="185"/>
      <c r="H1655" s="185"/>
      <c r="I1655" s="185"/>
      <c r="J1655" s="185"/>
      <c r="K1655" s="185"/>
      <c r="L1655" s="187"/>
      <c r="M1655" s="188"/>
      <c r="N1655" s="188"/>
      <c r="O1655" s="208"/>
      <c r="P1655" s="208"/>
      <c r="Q1655" s="208"/>
      <c r="R1655" s="208"/>
    </row>
    <row r="1656">
      <c r="A1656" s="185"/>
      <c r="B1656" s="186"/>
      <c r="C1656" s="185"/>
      <c r="D1656" s="185"/>
      <c r="E1656" s="185"/>
      <c r="F1656" s="185"/>
      <c r="G1656" s="185"/>
      <c r="H1656" s="185"/>
      <c r="I1656" s="185"/>
      <c r="J1656" s="185"/>
      <c r="K1656" s="185"/>
      <c r="L1656" s="187"/>
      <c r="M1656" s="188"/>
      <c r="N1656" s="188"/>
      <c r="O1656" s="208"/>
      <c r="P1656" s="208"/>
      <c r="Q1656" s="208"/>
      <c r="R1656" s="208"/>
    </row>
    <row r="1657">
      <c r="A1657" s="185"/>
      <c r="B1657" s="186"/>
      <c r="C1657" s="185"/>
      <c r="D1657" s="185"/>
      <c r="E1657" s="185"/>
      <c r="F1657" s="185"/>
      <c r="G1657" s="185"/>
      <c r="H1657" s="185"/>
      <c r="I1657" s="185"/>
      <c r="J1657" s="185"/>
      <c r="K1657" s="185"/>
      <c r="L1657" s="187"/>
      <c r="M1657" s="188"/>
      <c r="N1657" s="188"/>
      <c r="O1657" s="208"/>
      <c r="P1657" s="208"/>
      <c r="Q1657" s="208"/>
      <c r="R1657" s="208"/>
    </row>
    <row r="1658">
      <c r="A1658" s="185"/>
      <c r="B1658" s="186"/>
      <c r="C1658" s="185"/>
      <c r="D1658" s="185"/>
      <c r="E1658" s="185"/>
      <c r="F1658" s="185"/>
      <c r="G1658" s="185"/>
      <c r="H1658" s="185"/>
      <c r="I1658" s="185"/>
      <c r="J1658" s="185"/>
      <c r="K1658" s="185"/>
      <c r="L1658" s="187"/>
      <c r="M1658" s="188"/>
      <c r="N1658" s="188"/>
      <c r="O1658" s="208"/>
      <c r="P1658" s="208"/>
      <c r="Q1658" s="208"/>
      <c r="R1658" s="208"/>
    </row>
    <row r="1659">
      <c r="A1659" s="185"/>
      <c r="B1659" s="186"/>
      <c r="C1659" s="185"/>
      <c r="D1659" s="185"/>
      <c r="E1659" s="185"/>
      <c r="F1659" s="185"/>
      <c r="G1659" s="185"/>
      <c r="H1659" s="185"/>
      <c r="I1659" s="185"/>
      <c r="J1659" s="185"/>
      <c r="K1659" s="185"/>
      <c r="L1659" s="187"/>
      <c r="M1659" s="188"/>
      <c r="N1659" s="188"/>
      <c r="O1659" s="208"/>
      <c r="P1659" s="208"/>
      <c r="Q1659" s="208"/>
      <c r="R1659" s="208"/>
    </row>
    <row r="1660">
      <c r="A1660" s="185"/>
      <c r="B1660" s="186"/>
      <c r="C1660" s="185"/>
      <c r="D1660" s="185"/>
      <c r="E1660" s="185"/>
      <c r="F1660" s="185"/>
      <c r="G1660" s="185"/>
      <c r="H1660" s="185"/>
      <c r="I1660" s="185"/>
      <c r="J1660" s="185"/>
      <c r="K1660" s="185"/>
      <c r="L1660" s="187"/>
      <c r="M1660" s="188"/>
      <c r="N1660" s="188"/>
      <c r="O1660" s="208"/>
      <c r="P1660" s="208"/>
      <c r="Q1660" s="208"/>
      <c r="R1660" s="208"/>
    </row>
    <row r="1661">
      <c r="A1661" s="185"/>
      <c r="B1661" s="186"/>
      <c r="C1661" s="185"/>
      <c r="D1661" s="185"/>
      <c r="E1661" s="185"/>
      <c r="F1661" s="185"/>
      <c r="G1661" s="185"/>
      <c r="H1661" s="185"/>
      <c r="I1661" s="185"/>
      <c r="J1661" s="185"/>
      <c r="K1661" s="185"/>
      <c r="L1661" s="187"/>
      <c r="M1661" s="188"/>
      <c r="N1661" s="188"/>
      <c r="O1661" s="208"/>
      <c r="P1661" s="208"/>
      <c r="Q1661" s="208"/>
      <c r="R1661" s="208"/>
    </row>
    <row r="1662">
      <c r="A1662" s="185"/>
      <c r="B1662" s="186"/>
      <c r="C1662" s="185"/>
      <c r="D1662" s="185"/>
      <c r="E1662" s="185"/>
      <c r="F1662" s="185"/>
      <c r="G1662" s="185"/>
      <c r="H1662" s="185"/>
      <c r="I1662" s="185"/>
      <c r="J1662" s="185"/>
      <c r="K1662" s="185"/>
      <c r="L1662" s="187"/>
      <c r="M1662" s="188"/>
      <c r="N1662" s="188"/>
      <c r="O1662" s="208"/>
      <c r="P1662" s="208"/>
      <c r="Q1662" s="208"/>
      <c r="R1662" s="208"/>
    </row>
    <row r="1663">
      <c r="A1663" s="185"/>
      <c r="B1663" s="186"/>
      <c r="C1663" s="185"/>
      <c r="D1663" s="185"/>
      <c r="E1663" s="185"/>
      <c r="F1663" s="185"/>
      <c r="G1663" s="185"/>
      <c r="H1663" s="185"/>
      <c r="I1663" s="185"/>
      <c r="J1663" s="185"/>
      <c r="K1663" s="185"/>
      <c r="L1663" s="187"/>
      <c r="M1663" s="188"/>
      <c r="N1663" s="188"/>
      <c r="O1663" s="208"/>
      <c r="P1663" s="208"/>
      <c r="Q1663" s="208"/>
      <c r="R1663" s="208"/>
    </row>
    <row r="1664">
      <c r="A1664" s="185"/>
      <c r="B1664" s="186"/>
      <c r="C1664" s="185"/>
      <c r="D1664" s="185"/>
      <c r="E1664" s="185"/>
      <c r="F1664" s="185"/>
      <c r="G1664" s="185"/>
      <c r="H1664" s="185"/>
      <c r="I1664" s="185"/>
      <c r="J1664" s="185"/>
      <c r="K1664" s="185"/>
      <c r="L1664" s="187"/>
      <c r="M1664" s="188"/>
      <c r="N1664" s="188"/>
      <c r="O1664" s="208"/>
      <c r="P1664" s="208"/>
      <c r="Q1664" s="208"/>
      <c r="R1664" s="208"/>
    </row>
    <row r="1665">
      <c r="A1665" s="185"/>
      <c r="B1665" s="186"/>
      <c r="C1665" s="185"/>
      <c r="D1665" s="185"/>
      <c r="E1665" s="185"/>
      <c r="F1665" s="185"/>
      <c r="G1665" s="185"/>
      <c r="H1665" s="185"/>
      <c r="I1665" s="185"/>
      <c r="J1665" s="185"/>
      <c r="K1665" s="185"/>
      <c r="L1665" s="187"/>
      <c r="M1665" s="188"/>
      <c r="N1665" s="188"/>
      <c r="O1665" s="208"/>
      <c r="P1665" s="208"/>
      <c r="Q1665" s="208"/>
      <c r="R1665" s="208"/>
    </row>
    <row r="1666">
      <c r="A1666" s="185"/>
      <c r="B1666" s="186"/>
      <c r="C1666" s="185"/>
      <c r="D1666" s="185"/>
      <c r="E1666" s="185"/>
      <c r="F1666" s="185"/>
      <c r="G1666" s="185"/>
      <c r="H1666" s="185"/>
      <c r="I1666" s="185"/>
      <c r="J1666" s="185"/>
      <c r="K1666" s="185"/>
      <c r="L1666" s="187"/>
      <c r="M1666" s="188"/>
      <c r="N1666" s="188"/>
      <c r="O1666" s="208"/>
      <c r="P1666" s="208"/>
      <c r="Q1666" s="208"/>
      <c r="R1666" s="208"/>
    </row>
    <row r="1667">
      <c r="A1667" s="185"/>
      <c r="B1667" s="186"/>
      <c r="C1667" s="185"/>
      <c r="D1667" s="185"/>
      <c r="E1667" s="185"/>
      <c r="F1667" s="185"/>
      <c r="G1667" s="185"/>
      <c r="H1667" s="185"/>
      <c r="I1667" s="185"/>
      <c r="J1667" s="185"/>
      <c r="K1667" s="185"/>
      <c r="L1667" s="187"/>
      <c r="M1667" s="188"/>
      <c r="N1667" s="188"/>
      <c r="O1667" s="208"/>
      <c r="P1667" s="208"/>
      <c r="Q1667" s="208"/>
      <c r="R1667" s="208"/>
    </row>
    <row r="1668">
      <c r="A1668" s="185"/>
      <c r="B1668" s="186"/>
      <c r="C1668" s="185"/>
      <c r="D1668" s="185"/>
      <c r="E1668" s="185"/>
      <c r="F1668" s="185"/>
      <c r="G1668" s="185"/>
      <c r="H1668" s="185"/>
      <c r="I1668" s="185"/>
      <c r="J1668" s="185"/>
      <c r="K1668" s="185"/>
      <c r="L1668" s="187"/>
      <c r="M1668" s="188"/>
      <c r="N1668" s="188"/>
      <c r="O1668" s="208"/>
      <c r="P1668" s="208"/>
      <c r="Q1668" s="208"/>
      <c r="R1668" s="208"/>
    </row>
    <row r="1669">
      <c r="A1669" s="185"/>
      <c r="B1669" s="186"/>
      <c r="C1669" s="185"/>
      <c r="D1669" s="185"/>
      <c r="E1669" s="185"/>
      <c r="F1669" s="185"/>
      <c r="G1669" s="185"/>
      <c r="H1669" s="185"/>
      <c r="I1669" s="185"/>
      <c r="J1669" s="185"/>
      <c r="K1669" s="185"/>
      <c r="L1669" s="187"/>
      <c r="M1669" s="188"/>
      <c r="N1669" s="188"/>
      <c r="O1669" s="208"/>
      <c r="P1669" s="208"/>
      <c r="Q1669" s="208"/>
      <c r="R1669" s="208"/>
    </row>
    <row r="1670">
      <c r="A1670" s="185"/>
      <c r="B1670" s="186"/>
      <c r="C1670" s="185"/>
      <c r="D1670" s="185"/>
      <c r="E1670" s="185"/>
      <c r="F1670" s="185"/>
      <c r="G1670" s="185"/>
      <c r="H1670" s="185"/>
      <c r="I1670" s="185"/>
      <c r="J1670" s="185"/>
      <c r="K1670" s="185"/>
      <c r="L1670" s="187"/>
      <c r="M1670" s="188"/>
      <c r="N1670" s="188"/>
      <c r="O1670" s="208"/>
      <c r="P1670" s="208"/>
      <c r="Q1670" s="208"/>
      <c r="R1670" s="208"/>
    </row>
    <row r="1671">
      <c r="A1671" s="185"/>
      <c r="B1671" s="186"/>
      <c r="C1671" s="185"/>
      <c r="D1671" s="185"/>
      <c r="E1671" s="185"/>
      <c r="F1671" s="185"/>
      <c r="G1671" s="185"/>
      <c r="H1671" s="185"/>
      <c r="I1671" s="185"/>
      <c r="J1671" s="185"/>
      <c r="K1671" s="185"/>
      <c r="L1671" s="187"/>
      <c r="M1671" s="188"/>
      <c r="N1671" s="188"/>
      <c r="O1671" s="208"/>
      <c r="P1671" s="208"/>
      <c r="Q1671" s="208"/>
      <c r="R1671" s="208"/>
    </row>
    <row r="1672">
      <c r="A1672" s="185"/>
      <c r="B1672" s="186"/>
      <c r="C1672" s="185"/>
      <c r="D1672" s="185"/>
      <c r="E1672" s="185"/>
      <c r="F1672" s="185"/>
      <c r="G1672" s="185"/>
      <c r="H1672" s="185"/>
      <c r="I1672" s="185"/>
      <c r="J1672" s="185"/>
      <c r="K1672" s="185"/>
      <c r="L1672" s="187"/>
      <c r="M1672" s="188"/>
      <c r="N1672" s="188"/>
      <c r="O1672" s="208"/>
      <c r="P1672" s="208"/>
      <c r="Q1672" s="208"/>
      <c r="R1672" s="208"/>
    </row>
    <row r="1673">
      <c r="A1673" s="185"/>
      <c r="B1673" s="186"/>
      <c r="C1673" s="185"/>
      <c r="D1673" s="185"/>
      <c r="E1673" s="185"/>
      <c r="F1673" s="185"/>
      <c r="G1673" s="185"/>
      <c r="H1673" s="185"/>
      <c r="I1673" s="185"/>
      <c r="J1673" s="185"/>
      <c r="K1673" s="185"/>
      <c r="L1673" s="187"/>
      <c r="M1673" s="188"/>
      <c r="N1673" s="188"/>
      <c r="O1673" s="208"/>
      <c r="P1673" s="208"/>
      <c r="Q1673" s="208"/>
      <c r="R1673" s="208"/>
    </row>
    <row r="1674">
      <c r="A1674" s="185"/>
      <c r="B1674" s="186"/>
      <c r="C1674" s="185"/>
      <c r="D1674" s="185"/>
      <c r="E1674" s="185"/>
      <c r="F1674" s="185"/>
      <c r="G1674" s="185"/>
      <c r="H1674" s="185"/>
      <c r="I1674" s="185"/>
      <c r="J1674" s="185"/>
      <c r="K1674" s="185"/>
      <c r="L1674" s="187"/>
      <c r="M1674" s="188"/>
      <c r="N1674" s="188"/>
      <c r="O1674" s="208"/>
      <c r="P1674" s="208"/>
      <c r="Q1674" s="208"/>
      <c r="R1674" s="208"/>
    </row>
    <row r="1675">
      <c r="A1675" s="185"/>
      <c r="B1675" s="186"/>
      <c r="C1675" s="185"/>
      <c r="D1675" s="185"/>
      <c r="E1675" s="185"/>
      <c r="F1675" s="185"/>
      <c r="G1675" s="185"/>
      <c r="H1675" s="185"/>
      <c r="I1675" s="185"/>
      <c r="J1675" s="185"/>
      <c r="K1675" s="185"/>
      <c r="L1675" s="187"/>
      <c r="M1675" s="188"/>
      <c r="N1675" s="188"/>
      <c r="O1675" s="208"/>
      <c r="P1675" s="208"/>
      <c r="Q1675" s="208"/>
      <c r="R1675" s="208"/>
    </row>
    <row r="1676">
      <c r="A1676" s="185"/>
      <c r="B1676" s="186"/>
      <c r="C1676" s="185"/>
      <c r="D1676" s="185"/>
      <c r="E1676" s="185"/>
      <c r="F1676" s="185"/>
      <c r="G1676" s="185"/>
      <c r="H1676" s="185"/>
      <c r="I1676" s="185"/>
      <c r="J1676" s="185"/>
      <c r="K1676" s="185"/>
      <c r="L1676" s="187"/>
      <c r="M1676" s="188"/>
      <c r="N1676" s="188"/>
      <c r="O1676" s="208"/>
      <c r="P1676" s="208"/>
      <c r="Q1676" s="208"/>
      <c r="R1676" s="208"/>
    </row>
    <row r="1677">
      <c r="A1677" s="185"/>
      <c r="B1677" s="186"/>
      <c r="C1677" s="185"/>
      <c r="D1677" s="185"/>
      <c r="E1677" s="185"/>
      <c r="F1677" s="185"/>
      <c r="G1677" s="185"/>
      <c r="H1677" s="185"/>
      <c r="I1677" s="185"/>
      <c r="J1677" s="185"/>
      <c r="K1677" s="185"/>
      <c r="L1677" s="187"/>
      <c r="M1677" s="188"/>
      <c r="N1677" s="188"/>
      <c r="O1677" s="208"/>
      <c r="P1677" s="208"/>
      <c r="Q1677" s="208"/>
      <c r="R1677" s="208"/>
    </row>
    <row r="1678">
      <c r="A1678" s="185"/>
      <c r="B1678" s="186"/>
      <c r="C1678" s="185"/>
      <c r="D1678" s="185"/>
      <c r="E1678" s="185"/>
      <c r="F1678" s="185"/>
      <c r="G1678" s="185"/>
      <c r="H1678" s="185"/>
      <c r="I1678" s="185"/>
      <c r="J1678" s="185"/>
      <c r="K1678" s="185"/>
      <c r="L1678" s="187"/>
      <c r="M1678" s="188"/>
      <c r="N1678" s="188"/>
      <c r="O1678" s="208"/>
      <c r="P1678" s="208"/>
      <c r="Q1678" s="208"/>
      <c r="R1678" s="208"/>
    </row>
    <row r="1679">
      <c r="A1679" s="185"/>
      <c r="B1679" s="186"/>
      <c r="C1679" s="185"/>
      <c r="D1679" s="185"/>
      <c r="E1679" s="185"/>
      <c r="F1679" s="185"/>
      <c r="G1679" s="185"/>
      <c r="H1679" s="185"/>
      <c r="I1679" s="185"/>
      <c r="J1679" s="185"/>
      <c r="K1679" s="185"/>
      <c r="L1679" s="187"/>
      <c r="M1679" s="188"/>
      <c r="N1679" s="188"/>
      <c r="O1679" s="208"/>
      <c r="P1679" s="208"/>
      <c r="Q1679" s="208"/>
      <c r="R1679" s="208"/>
    </row>
    <row r="1680">
      <c r="A1680" s="185"/>
      <c r="B1680" s="186"/>
      <c r="C1680" s="185"/>
      <c r="D1680" s="185"/>
      <c r="E1680" s="185"/>
      <c r="F1680" s="185"/>
      <c r="G1680" s="185"/>
      <c r="H1680" s="185"/>
      <c r="I1680" s="185"/>
      <c r="J1680" s="185"/>
      <c r="K1680" s="185"/>
      <c r="L1680" s="187"/>
      <c r="M1680" s="188"/>
      <c r="N1680" s="188"/>
      <c r="O1680" s="208"/>
      <c r="P1680" s="208"/>
      <c r="Q1680" s="208"/>
      <c r="R1680" s="208"/>
    </row>
    <row r="1681">
      <c r="A1681" s="185"/>
      <c r="B1681" s="186"/>
      <c r="C1681" s="185"/>
      <c r="D1681" s="185"/>
      <c r="E1681" s="185"/>
      <c r="F1681" s="185"/>
      <c r="G1681" s="185"/>
      <c r="H1681" s="185"/>
      <c r="I1681" s="185"/>
      <c r="J1681" s="185"/>
      <c r="K1681" s="185"/>
      <c r="L1681" s="187"/>
      <c r="M1681" s="188"/>
      <c r="N1681" s="188"/>
      <c r="O1681" s="208"/>
      <c r="P1681" s="208"/>
      <c r="Q1681" s="208"/>
      <c r="R1681" s="208"/>
    </row>
    <row r="1682">
      <c r="A1682" s="185"/>
      <c r="B1682" s="186"/>
      <c r="C1682" s="185"/>
      <c r="D1682" s="185"/>
      <c r="E1682" s="185"/>
      <c r="F1682" s="185"/>
      <c r="G1682" s="185"/>
      <c r="H1682" s="185"/>
      <c r="I1682" s="185"/>
      <c r="J1682" s="185"/>
      <c r="K1682" s="185"/>
      <c r="L1682" s="187"/>
      <c r="M1682" s="188"/>
      <c r="N1682" s="188"/>
      <c r="O1682" s="208"/>
      <c r="P1682" s="208"/>
      <c r="Q1682" s="208"/>
      <c r="R1682" s="208"/>
    </row>
    <row r="1683">
      <c r="A1683" s="185"/>
      <c r="B1683" s="186"/>
      <c r="C1683" s="185"/>
      <c r="D1683" s="185"/>
      <c r="E1683" s="185"/>
      <c r="F1683" s="185"/>
      <c r="G1683" s="185"/>
      <c r="H1683" s="185"/>
      <c r="I1683" s="185"/>
      <c r="J1683" s="185"/>
      <c r="K1683" s="185"/>
      <c r="L1683" s="187"/>
      <c r="M1683" s="188"/>
      <c r="N1683" s="188"/>
      <c r="O1683" s="208"/>
      <c r="P1683" s="208"/>
      <c r="Q1683" s="208"/>
      <c r="R1683" s="208"/>
    </row>
    <row r="1684">
      <c r="A1684" s="185"/>
      <c r="B1684" s="186"/>
      <c r="C1684" s="185"/>
      <c r="D1684" s="185"/>
      <c r="E1684" s="185"/>
      <c r="F1684" s="185"/>
      <c r="G1684" s="185"/>
      <c r="H1684" s="185"/>
      <c r="I1684" s="185"/>
      <c r="J1684" s="185"/>
      <c r="K1684" s="185"/>
      <c r="L1684" s="187"/>
      <c r="M1684" s="188"/>
      <c r="N1684" s="188"/>
      <c r="O1684" s="208"/>
      <c r="P1684" s="208"/>
      <c r="Q1684" s="208"/>
      <c r="R1684" s="208"/>
    </row>
    <row r="1685">
      <c r="A1685" s="185"/>
      <c r="B1685" s="186"/>
      <c r="C1685" s="185"/>
      <c r="D1685" s="185"/>
      <c r="E1685" s="185"/>
      <c r="F1685" s="185"/>
      <c r="G1685" s="185"/>
      <c r="H1685" s="185"/>
      <c r="I1685" s="185"/>
      <c r="J1685" s="185"/>
      <c r="K1685" s="185"/>
      <c r="L1685" s="187"/>
      <c r="M1685" s="188"/>
      <c r="N1685" s="188"/>
      <c r="O1685" s="208"/>
      <c r="P1685" s="208"/>
      <c r="Q1685" s="208"/>
      <c r="R1685" s="208"/>
    </row>
    <row r="1686">
      <c r="A1686" s="185"/>
      <c r="B1686" s="186"/>
      <c r="C1686" s="185"/>
      <c r="D1686" s="185"/>
      <c r="E1686" s="185"/>
      <c r="F1686" s="185"/>
      <c r="G1686" s="185"/>
      <c r="H1686" s="185"/>
      <c r="I1686" s="185"/>
      <c r="J1686" s="185"/>
      <c r="K1686" s="185"/>
      <c r="L1686" s="187"/>
      <c r="M1686" s="188"/>
      <c r="N1686" s="188"/>
      <c r="O1686" s="208"/>
      <c r="P1686" s="208"/>
      <c r="Q1686" s="208"/>
      <c r="R1686" s="208"/>
    </row>
    <row r="1687">
      <c r="A1687" s="185"/>
      <c r="B1687" s="186"/>
      <c r="C1687" s="185"/>
      <c r="D1687" s="185"/>
      <c r="E1687" s="185"/>
      <c r="F1687" s="185"/>
      <c r="G1687" s="185"/>
      <c r="H1687" s="185"/>
      <c r="I1687" s="185"/>
      <c r="J1687" s="185"/>
      <c r="K1687" s="185"/>
      <c r="L1687" s="187"/>
      <c r="M1687" s="188"/>
      <c r="N1687" s="188"/>
      <c r="O1687" s="208"/>
      <c r="P1687" s="208"/>
      <c r="Q1687" s="208"/>
      <c r="R1687" s="208"/>
    </row>
    <row r="1688">
      <c r="A1688" s="185"/>
      <c r="B1688" s="186"/>
      <c r="C1688" s="185"/>
      <c r="D1688" s="185"/>
      <c r="E1688" s="185"/>
      <c r="F1688" s="185"/>
      <c r="G1688" s="185"/>
      <c r="H1688" s="185"/>
      <c r="I1688" s="185"/>
      <c r="J1688" s="185"/>
      <c r="K1688" s="185"/>
      <c r="L1688" s="187"/>
      <c r="M1688" s="188"/>
      <c r="N1688" s="188"/>
      <c r="O1688" s="208"/>
      <c r="P1688" s="208"/>
      <c r="Q1688" s="208"/>
      <c r="R1688" s="208"/>
    </row>
    <row r="1689">
      <c r="A1689" s="185"/>
      <c r="B1689" s="186"/>
      <c r="C1689" s="185"/>
      <c r="D1689" s="185"/>
      <c r="E1689" s="185"/>
      <c r="F1689" s="185"/>
      <c r="G1689" s="185"/>
      <c r="H1689" s="185"/>
      <c r="I1689" s="185"/>
      <c r="J1689" s="185"/>
      <c r="K1689" s="185"/>
      <c r="L1689" s="187"/>
      <c r="M1689" s="188"/>
      <c r="N1689" s="188"/>
      <c r="O1689" s="208"/>
      <c r="P1689" s="208"/>
      <c r="Q1689" s="208"/>
      <c r="R1689" s="208"/>
    </row>
    <row r="1690">
      <c r="A1690" s="185"/>
      <c r="B1690" s="186"/>
      <c r="C1690" s="185"/>
      <c r="D1690" s="185"/>
      <c r="E1690" s="185"/>
      <c r="F1690" s="185"/>
      <c r="G1690" s="185"/>
      <c r="H1690" s="185"/>
      <c r="I1690" s="185"/>
      <c r="J1690" s="185"/>
      <c r="K1690" s="185"/>
      <c r="L1690" s="187"/>
      <c r="M1690" s="188"/>
      <c r="N1690" s="188"/>
      <c r="O1690" s="208"/>
      <c r="P1690" s="208"/>
      <c r="Q1690" s="208"/>
      <c r="R1690" s="208"/>
    </row>
    <row r="1691">
      <c r="A1691" s="185"/>
      <c r="B1691" s="186"/>
      <c r="C1691" s="185"/>
      <c r="D1691" s="185"/>
      <c r="E1691" s="185"/>
      <c r="F1691" s="185"/>
      <c r="G1691" s="185"/>
      <c r="H1691" s="185"/>
      <c r="I1691" s="185"/>
      <c r="J1691" s="185"/>
      <c r="K1691" s="185"/>
      <c r="L1691" s="187"/>
      <c r="M1691" s="188"/>
      <c r="N1691" s="188"/>
      <c r="O1691" s="208"/>
      <c r="P1691" s="208"/>
      <c r="Q1691" s="208"/>
      <c r="R1691" s="208"/>
    </row>
    <row r="1692">
      <c r="A1692" s="185"/>
      <c r="B1692" s="186"/>
      <c r="C1692" s="185"/>
      <c r="D1692" s="185"/>
      <c r="E1692" s="185"/>
      <c r="F1692" s="185"/>
      <c r="G1692" s="185"/>
      <c r="H1692" s="185"/>
      <c r="I1692" s="185"/>
      <c r="J1692" s="185"/>
      <c r="K1692" s="185"/>
      <c r="L1692" s="187"/>
      <c r="M1692" s="188"/>
      <c r="N1692" s="188"/>
      <c r="O1692" s="208"/>
      <c r="P1692" s="208"/>
      <c r="Q1692" s="208"/>
      <c r="R1692" s="208"/>
    </row>
    <row r="1693">
      <c r="A1693" s="185"/>
      <c r="B1693" s="186"/>
      <c r="C1693" s="185"/>
      <c r="D1693" s="185"/>
      <c r="E1693" s="185"/>
      <c r="F1693" s="185"/>
      <c r="G1693" s="185"/>
      <c r="H1693" s="185"/>
      <c r="I1693" s="185"/>
      <c r="J1693" s="185"/>
      <c r="K1693" s="185"/>
      <c r="L1693" s="187"/>
      <c r="M1693" s="188"/>
      <c r="N1693" s="188"/>
      <c r="O1693" s="208"/>
      <c r="P1693" s="208"/>
      <c r="Q1693" s="208"/>
      <c r="R1693" s="208"/>
    </row>
    <row r="1694">
      <c r="A1694" s="185"/>
      <c r="B1694" s="186"/>
      <c r="C1694" s="185"/>
      <c r="D1694" s="185"/>
      <c r="E1694" s="185"/>
      <c r="F1694" s="185"/>
      <c r="G1694" s="185"/>
      <c r="H1694" s="185"/>
      <c r="I1694" s="185"/>
      <c r="J1694" s="185"/>
      <c r="K1694" s="185"/>
      <c r="L1694" s="187"/>
      <c r="M1694" s="188"/>
      <c r="N1694" s="188"/>
      <c r="O1694" s="208"/>
      <c r="P1694" s="208"/>
      <c r="Q1694" s="208"/>
      <c r="R1694" s="208"/>
    </row>
    <row r="1695">
      <c r="A1695" s="185"/>
      <c r="B1695" s="186"/>
      <c r="C1695" s="185"/>
      <c r="D1695" s="185"/>
      <c r="E1695" s="185"/>
      <c r="F1695" s="185"/>
      <c r="G1695" s="185"/>
      <c r="H1695" s="185"/>
      <c r="I1695" s="185"/>
      <c r="J1695" s="185"/>
      <c r="K1695" s="185"/>
      <c r="L1695" s="187"/>
      <c r="M1695" s="188"/>
      <c r="N1695" s="188"/>
      <c r="O1695" s="208"/>
      <c r="P1695" s="208"/>
      <c r="Q1695" s="208"/>
      <c r="R1695" s="208"/>
    </row>
    <row r="1696">
      <c r="A1696" s="185"/>
      <c r="B1696" s="186"/>
      <c r="C1696" s="185"/>
      <c r="D1696" s="185"/>
      <c r="E1696" s="185"/>
      <c r="F1696" s="185"/>
      <c r="G1696" s="185"/>
      <c r="H1696" s="185"/>
      <c r="I1696" s="185"/>
      <c r="J1696" s="185"/>
      <c r="K1696" s="185"/>
      <c r="L1696" s="187"/>
      <c r="M1696" s="188"/>
      <c r="N1696" s="188"/>
      <c r="O1696" s="208"/>
      <c r="P1696" s="208"/>
      <c r="Q1696" s="208"/>
      <c r="R1696" s="208"/>
    </row>
    <row r="1697">
      <c r="A1697" s="185"/>
      <c r="B1697" s="186"/>
      <c r="C1697" s="185"/>
      <c r="D1697" s="185"/>
      <c r="E1697" s="185"/>
      <c r="F1697" s="185"/>
      <c r="G1697" s="185"/>
      <c r="H1697" s="185"/>
      <c r="I1697" s="185"/>
      <c r="J1697" s="185"/>
      <c r="K1697" s="185"/>
      <c r="L1697" s="187"/>
      <c r="M1697" s="188"/>
      <c r="N1697" s="188"/>
      <c r="O1697" s="208"/>
      <c r="P1697" s="208"/>
      <c r="Q1697" s="208"/>
      <c r="R1697" s="208"/>
    </row>
    <row r="1698">
      <c r="A1698" s="185"/>
      <c r="B1698" s="186"/>
      <c r="C1698" s="185"/>
      <c r="D1698" s="185"/>
      <c r="E1698" s="185"/>
      <c r="F1698" s="185"/>
      <c r="G1698" s="185"/>
      <c r="H1698" s="185"/>
      <c r="I1698" s="185"/>
      <c r="J1698" s="185"/>
      <c r="K1698" s="185"/>
      <c r="L1698" s="187"/>
      <c r="M1698" s="188"/>
      <c r="N1698" s="188"/>
      <c r="O1698" s="208"/>
      <c r="P1698" s="208"/>
      <c r="Q1698" s="208"/>
      <c r="R1698" s="208"/>
    </row>
    <row r="1699">
      <c r="A1699" s="185"/>
      <c r="B1699" s="186"/>
      <c r="C1699" s="185"/>
      <c r="D1699" s="185"/>
      <c r="E1699" s="185"/>
      <c r="F1699" s="185"/>
      <c r="G1699" s="185"/>
      <c r="H1699" s="185"/>
      <c r="I1699" s="185"/>
      <c r="J1699" s="185"/>
      <c r="K1699" s="185"/>
      <c r="L1699" s="187"/>
      <c r="M1699" s="188"/>
      <c r="N1699" s="188"/>
      <c r="O1699" s="208"/>
      <c r="P1699" s="208"/>
      <c r="Q1699" s="208"/>
      <c r="R1699" s="208"/>
    </row>
    <row r="1700">
      <c r="A1700" s="185"/>
      <c r="B1700" s="186"/>
      <c r="C1700" s="185"/>
      <c r="D1700" s="185"/>
      <c r="E1700" s="185"/>
      <c r="F1700" s="185"/>
      <c r="G1700" s="185"/>
      <c r="H1700" s="185"/>
      <c r="I1700" s="185"/>
      <c r="J1700" s="185"/>
      <c r="K1700" s="185"/>
      <c r="L1700" s="187"/>
      <c r="M1700" s="188"/>
      <c r="N1700" s="188"/>
      <c r="O1700" s="208"/>
      <c r="P1700" s="208"/>
      <c r="Q1700" s="208"/>
      <c r="R1700" s="208"/>
    </row>
    <row r="1701">
      <c r="A1701" s="185"/>
      <c r="B1701" s="186"/>
      <c r="C1701" s="185"/>
      <c r="D1701" s="185"/>
      <c r="E1701" s="185"/>
      <c r="F1701" s="185"/>
      <c r="G1701" s="185"/>
      <c r="H1701" s="185"/>
      <c r="I1701" s="185"/>
      <c r="J1701" s="185"/>
      <c r="K1701" s="185"/>
      <c r="L1701" s="187"/>
      <c r="M1701" s="188"/>
      <c r="N1701" s="188"/>
      <c r="O1701" s="208"/>
      <c r="P1701" s="208"/>
      <c r="Q1701" s="208"/>
      <c r="R1701" s="208"/>
    </row>
    <row r="1702">
      <c r="A1702" s="185"/>
      <c r="B1702" s="186"/>
      <c r="C1702" s="185"/>
      <c r="D1702" s="185"/>
      <c r="E1702" s="185"/>
      <c r="F1702" s="185"/>
      <c r="G1702" s="185"/>
      <c r="H1702" s="185"/>
      <c r="I1702" s="185"/>
      <c r="J1702" s="185"/>
      <c r="K1702" s="185"/>
      <c r="L1702" s="187"/>
      <c r="M1702" s="188"/>
      <c r="N1702" s="188"/>
      <c r="O1702" s="208"/>
      <c r="P1702" s="208"/>
      <c r="Q1702" s="208"/>
      <c r="R1702" s="208"/>
    </row>
    <row r="1703">
      <c r="A1703" s="185"/>
      <c r="B1703" s="186"/>
      <c r="C1703" s="185"/>
      <c r="D1703" s="185"/>
      <c r="E1703" s="185"/>
      <c r="F1703" s="185"/>
      <c r="G1703" s="185"/>
      <c r="H1703" s="185"/>
      <c r="I1703" s="185"/>
      <c r="J1703" s="185"/>
      <c r="K1703" s="185"/>
      <c r="L1703" s="187"/>
      <c r="M1703" s="188"/>
      <c r="N1703" s="188"/>
      <c r="O1703" s="208"/>
      <c r="P1703" s="208"/>
      <c r="Q1703" s="208"/>
      <c r="R1703" s="208"/>
    </row>
    <row r="1704">
      <c r="A1704" s="185"/>
      <c r="B1704" s="186"/>
      <c r="C1704" s="185"/>
      <c r="D1704" s="185"/>
      <c r="E1704" s="185"/>
      <c r="F1704" s="185"/>
      <c r="G1704" s="185"/>
      <c r="H1704" s="185"/>
      <c r="I1704" s="185"/>
      <c r="J1704" s="185"/>
      <c r="K1704" s="185"/>
      <c r="L1704" s="187"/>
      <c r="M1704" s="188"/>
      <c r="N1704" s="188"/>
      <c r="O1704" s="208"/>
      <c r="P1704" s="208"/>
      <c r="Q1704" s="208"/>
      <c r="R1704" s="208"/>
    </row>
    <row r="1705">
      <c r="A1705" s="185"/>
      <c r="B1705" s="186"/>
      <c r="C1705" s="185"/>
      <c r="D1705" s="185"/>
      <c r="E1705" s="185"/>
      <c r="F1705" s="185"/>
      <c r="G1705" s="185"/>
      <c r="H1705" s="185"/>
      <c r="I1705" s="185"/>
      <c r="J1705" s="185"/>
      <c r="K1705" s="185"/>
      <c r="L1705" s="187"/>
      <c r="M1705" s="188"/>
      <c r="N1705" s="188"/>
      <c r="O1705" s="208"/>
      <c r="P1705" s="208"/>
      <c r="Q1705" s="208"/>
      <c r="R1705" s="208"/>
    </row>
    <row r="1706">
      <c r="A1706" s="185"/>
      <c r="B1706" s="186"/>
      <c r="C1706" s="185"/>
      <c r="D1706" s="185"/>
      <c r="E1706" s="185"/>
      <c r="F1706" s="185"/>
      <c r="G1706" s="185"/>
      <c r="H1706" s="185"/>
      <c r="I1706" s="185"/>
      <c r="J1706" s="185"/>
      <c r="K1706" s="185"/>
      <c r="L1706" s="187"/>
      <c r="M1706" s="188"/>
      <c r="N1706" s="188"/>
      <c r="O1706" s="208"/>
      <c r="P1706" s="208"/>
      <c r="Q1706" s="208"/>
      <c r="R1706" s="208"/>
    </row>
    <row r="1707">
      <c r="A1707" s="185"/>
      <c r="B1707" s="186"/>
      <c r="C1707" s="185"/>
      <c r="D1707" s="185"/>
      <c r="E1707" s="185"/>
      <c r="F1707" s="185"/>
      <c r="G1707" s="185"/>
      <c r="H1707" s="185"/>
      <c r="I1707" s="185"/>
      <c r="J1707" s="185"/>
      <c r="K1707" s="185"/>
      <c r="L1707" s="187"/>
      <c r="M1707" s="188"/>
      <c r="N1707" s="188"/>
      <c r="O1707" s="208"/>
      <c r="P1707" s="208"/>
      <c r="Q1707" s="208"/>
      <c r="R1707" s="208"/>
    </row>
    <row r="1708">
      <c r="A1708" s="185"/>
      <c r="B1708" s="186"/>
      <c r="C1708" s="185"/>
      <c r="D1708" s="185"/>
      <c r="E1708" s="185"/>
      <c r="F1708" s="185"/>
      <c r="G1708" s="185"/>
      <c r="H1708" s="185"/>
      <c r="I1708" s="185"/>
      <c r="J1708" s="185"/>
      <c r="K1708" s="185"/>
      <c r="L1708" s="187"/>
      <c r="M1708" s="188"/>
      <c r="N1708" s="188"/>
      <c r="O1708" s="208"/>
      <c r="P1708" s="208"/>
      <c r="Q1708" s="208"/>
      <c r="R1708" s="208"/>
    </row>
    <row r="1709">
      <c r="A1709" s="185"/>
      <c r="B1709" s="186"/>
      <c r="C1709" s="185"/>
      <c r="D1709" s="185"/>
      <c r="E1709" s="185"/>
      <c r="F1709" s="185"/>
      <c r="G1709" s="185"/>
      <c r="H1709" s="185"/>
      <c r="I1709" s="185"/>
      <c r="J1709" s="185"/>
      <c r="K1709" s="185"/>
      <c r="L1709" s="187"/>
      <c r="M1709" s="188"/>
      <c r="N1709" s="188"/>
      <c r="O1709" s="208"/>
      <c r="P1709" s="208"/>
      <c r="Q1709" s="208"/>
      <c r="R1709" s="208"/>
    </row>
    <row r="1710">
      <c r="A1710" s="185"/>
      <c r="B1710" s="186"/>
      <c r="C1710" s="185"/>
      <c r="D1710" s="185"/>
      <c r="E1710" s="185"/>
      <c r="F1710" s="185"/>
      <c r="G1710" s="185"/>
      <c r="H1710" s="185"/>
      <c r="I1710" s="185"/>
      <c r="J1710" s="185"/>
      <c r="K1710" s="185"/>
      <c r="L1710" s="187"/>
      <c r="M1710" s="188"/>
      <c r="N1710" s="188"/>
      <c r="O1710" s="208"/>
      <c r="P1710" s="208"/>
      <c r="Q1710" s="208"/>
      <c r="R1710" s="208"/>
    </row>
    <row r="1711">
      <c r="A1711" s="185"/>
      <c r="B1711" s="186"/>
      <c r="C1711" s="185"/>
      <c r="D1711" s="185"/>
      <c r="E1711" s="185"/>
      <c r="F1711" s="185"/>
      <c r="G1711" s="185"/>
      <c r="H1711" s="185"/>
      <c r="I1711" s="185"/>
      <c r="J1711" s="185"/>
      <c r="K1711" s="185"/>
      <c r="L1711" s="187"/>
      <c r="M1711" s="188"/>
      <c r="N1711" s="188"/>
      <c r="O1711" s="208"/>
      <c r="P1711" s="208"/>
      <c r="Q1711" s="208"/>
      <c r="R1711" s="208"/>
    </row>
    <row r="1712">
      <c r="A1712" s="185"/>
      <c r="B1712" s="186"/>
      <c r="C1712" s="185"/>
      <c r="D1712" s="185"/>
      <c r="E1712" s="185"/>
      <c r="F1712" s="185"/>
      <c r="G1712" s="185"/>
      <c r="H1712" s="185"/>
      <c r="I1712" s="185"/>
      <c r="J1712" s="185"/>
      <c r="K1712" s="185"/>
      <c r="L1712" s="187"/>
      <c r="M1712" s="188"/>
      <c r="N1712" s="188"/>
      <c r="O1712" s="208"/>
      <c r="P1712" s="208"/>
      <c r="Q1712" s="208"/>
      <c r="R1712" s="208"/>
    </row>
    <row r="1713">
      <c r="A1713" s="185"/>
      <c r="B1713" s="186"/>
      <c r="C1713" s="185"/>
      <c r="D1713" s="185"/>
      <c r="E1713" s="185"/>
      <c r="F1713" s="185"/>
      <c r="G1713" s="185"/>
      <c r="H1713" s="185"/>
      <c r="I1713" s="185"/>
      <c r="J1713" s="185"/>
      <c r="K1713" s="185"/>
      <c r="L1713" s="187"/>
      <c r="M1713" s="188"/>
      <c r="N1713" s="188"/>
      <c r="O1713" s="208"/>
      <c r="P1713" s="208"/>
      <c r="Q1713" s="208"/>
      <c r="R1713" s="208"/>
    </row>
    <row r="1714">
      <c r="A1714" s="185"/>
      <c r="B1714" s="186"/>
      <c r="C1714" s="185"/>
      <c r="D1714" s="185"/>
      <c r="E1714" s="185"/>
      <c r="F1714" s="185"/>
      <c r="G1714" s="185"/>
      <c r="H1714" s="185"/>
      <c r="I1714" s="185"/>
      <c r="J1714" s="185"/>
      <c r="K1714" s="185"/>
      <c r="L1714" s="187"/>
      <c r="M1714" s="188"/>
      <c r="N1714" s="188"/>
      <c r="O1714" s="208"/>
      <c r="P1714" s="208"/>
      <c r="Q1714" s="208"/>
      <c r="R1714" s="208"/>
    </row>
    <row r="1715">
      <c r="A1715" s="185"/>
      <c r="B1715" s="186"/>
      <c r="C1715" s="185"/>
      <c r="D1715" s="185"/>
      <c r="E1715" s="185"/>
      <c r="F1715" s="185"/>
      <c r="G1715" s="185"/>
      <c r="H1715" s="185"/>
      <c r="I1715" s="185"/>
      <c r="J1715" s="185"/>
      <c r="K1715" s="185"/>
      <c r="L1715" s="187"/>
      <c r="M1715" s="188"/>
      <c r="N1715" s="188"/>
      <c r="O1715" s="208"/>
      <c r="P1715" s="208"/>
      <c r="Q1715" s="208"/>
      <c r="R1715" s="208"/>
    </row>
    <row r="1716">
      <c r="A1716" s="185"/>
      <c r="B1716" s="186"/>
      <c r="C1716" s="185"/>
      <c r="D1716" s="185"/>
      <c r="E1716" s="185"/>
      <c r="F1716" s="185"/>
      <c r="G1716" s="185"/>
      <c r="H1716" s="185"/>
      <c r="I1716" s="185"/>
      <c r="J1716" s="185"/>
      <c r="K1716" s="185"/>
      <c r="L1716" s="187"/>
      <c r="M1716" s="188"/>
      <c r="N1716" s="188"/>
      <c r="O1716" s="208"/>
      <c r="P1716" s="208"/>
      <c r="Q1716" s="208"/>
      <c r="R1716" s="208"/>
    </row>
    <row r="1717">
      <c r="A1717" s="185"/>
      <c r="B1717" s="186"/>
      <c r="C1717" s="185"/>
      <c r="D1717" s="185"/>
      <c r="E1717" s="185"/>
      <c r="F1717" s="185"/>
      <c r="G1717" s="185"/>
      <c r="H1717" s="185"/>
      <c r="I1717" s="185"/>
      <c r="J1717" s="185"/>
      <c r="K1717" s="185"/>
      <c r="L1717" s="187"/>
      <c r="M1717" s="188"/>
      <c r="N1717" s="188"/>
      <c r="O1717" s="208"/>
      <c r="P1717" s="208"/>
      <c r="Q1717" s="208"/>
      <c r="R1717" s="208"/>
    </row>
    <row r="1718">
      <c r="A1718" s="185"/>
      <c r="B1718" s="186"/>
      <c r="C1718" s="185"/>
      <c r="D1718" s="185"/>
      <c r="E1718" s="185"/>
      <c r="F1718" s="185"/>
      <c r="G1718" s="185"/>
      <c r="H1718" s="185"/>
      <c r="I1718" s="185"/>
      <c r="J1718" s="185"/>
      <c r="K1718" s="185"/>
      <c r="L1718" s="187"/>
      <c r="M1718" s="188"/>
      <c r="N1718" s="188"/>
      <c r="O1718" s="208"/>
      <c r="P1718" s="208"/>
      <c r="Q1718" s="208"/>
      <c r="R1718" s="208"/>
    </row>
    <row r="1719">
      <c r="A1719" s="185"/>
      <c r="B1719" s="186"/>
      <c r="C1719" s="185"/>
      <c r="D1719" s="185"/>
      <c r="E1719" s="185"/>
      <c r="F1719" s="185"/>
      <c r="G1719" s="185"/>
      <c r="H1719" s="185"/>
      <c r="I1719" s="185"/>
      <c r="J1719" s="185"/>
      <c r="K1719" s="185"/>
      <c r="L1719" s="187"/>
      <c r="M1719" s="188"/>
      <c r="N1719" s="188"/>
      <c r="O1719" s="208"/>
      <c r="P1719" s="208"/>
      <c r="Q1719" s="208"/>
      <c r="R1719" s="208"/>
    </row>
    <row r="1720">
      <c r="A1720" s="185"/>
      <c r="B1720" s="186"/>
      <c r="C1720" s="185"/>
      <c r="D1720" s="185"/>
      <c r="E1720" s="185"/>
      <c r="F1720" s="185"/>
      <c r="G1720" s="185"/>
      <c r="H1720" s="185"/>
      <c r="I1720" s="185"/>
      <c r="J1720" s="185"/>
      <c r="K1720" s="185"/>
      <c r="L1720" s="187"/>
      <c r="M1720" s="188"/>
      <c r="N1720" s="188"/>
      <c r="O1720" s="208"/>
      <c r="P1720" s="208"/>
      <c r="Q1720" s="208"/>
      <c r="R1720" s="208"/>
    </row>
    <row r="1721">
      <c r="A1721" s="185"/>
      <c r="B1721" s="186"/>
      <c r="C1721" s="185"/>
      <c r="D1721" s="185"/>
      <c r="E1721" s="185"/>
      <c r="F1721" s="185"/>
      <c r="G1721" s="185"/>
      <c r="H1721" s="185"/>
      <c r="I1721" s="185"/>
      <c r="J1721" s="185"/>
      <c r="K1721" s="185"/>
      <c r="L1721" s="187"/>
      <c r="M1721" s="188"/>
      <c r="N1721" s="188"/>
      <c r="O1721" s="208"/>
      <c r="P1721" s="208"/>
      <c r="Q1721" s="208"/>
      <c r="R1721" s="208"/>
    </row>
    <row r="1722">
      <c r="A1722" s="185"/>
      <c r="B1722" s="186"/>
      <c r="C1722" s="185"/>
      <c r="D1722" s="185"/>
      <c r="E1722" s="185"/>
      <c r="F1722" s="185"/>
      <c r="G1722" s="185"/>
      <c r="H1722" s="185"/>
      <c r="I1722" s="185"/>
      <c r="J1722" s="185"/>
      <c r="K1722" s="185"/>
      <c r="L1722" s="187"/>
      <c r="M1722" s="188"/>
      <c r="N1722" s="188"/>
      <c r="O1722" s="208"/>
      <c r="P1722" s="208"/>
      <c r="Q1722" s="208"/>
      <c r="R1722" s="208"/>
    </row>
    <row r="1723">
      <c r="A1723" s="185"/>
      <c r="B1723" s="186"/>
      <c r="C1723" s="185"/>
      <c r="D1723" s="185"/>
      <c r="E1723" s="185"/>
      <c r="F1723" s="185"/>
      <c r="G1723" s="185"/>
      <c r="H1723" s="185"/>
      <c r="I1723" s="185"/>
      <c r="J1723" s="185"/>
      <c r="K1723" s="185"/>
      <c r="L1723" s="187"/>
      <c r="M1723" s="188"/>
      <c r="N1723" s="188"/>
      <c r="O1723" s="208"/>
      <c r="P1723" s="208"/>
      <c r="Q1723" s="208"/>
      <c r="R1723" s="208"/>
    </row>
    <row r="1724">
      <c r="A1724" s="185"/>
      <c r="B1724" s="186"/>
      <c r="C1724" s="185"/>
      <c r="D1724" s="185"/>
      <c r="E1724" s="185"/>
      <c r="F1724" s="185"/>
      <c r="G1724" s="185"/>
      <c r="H1724" s="185"/>
      <c r="I1724" s="185"/>
      <c r="J1724" s="185"/>
      <c r="K1724" s="185"/>
      <c r="L1724" s="187"/>
      <c r="M1724" s="188"/>
      <c r="N1724" s="188"/>
      <c r="O1724" s="208"/>
      <c r="P1724" s="208"/>
      <c r="Q1724" s="208"/>
      <c r="R1724" s="208"/>
    </row>
    <row r="1725">
      <c r="A1725" s="185"/>
      <c r="B1725" s="186"/>
      <c r="C1725" s="185"/>
      <c r="D1725" s="185"/>
      <c r="E1725" s="185"/>
      <c r="F1725" s="185"/>
      <c r="G1725" s="185"/>
      <c r="H1725" s="185"/>
      <c r="I1725" s="185"/>
      <c r="J1725" s="185"/>
      <c r="K1725" s="185"/>
      <c r="L1725" s="187"/>
      <c r="M1725" s="188"/>
      <c r="N1725" s="188"/>
      <c r="O1725" s="208"/>
      <c r="P1725" s="208"/>
      <c r="Q1725" s="208"/>
      <c r="R1725" s="208"/>
    </row>
    <row r="1726">
      <c r="A1726" s="185"/>
      <c r="B1726" s="186"/>
      <c r="C1726" s="185"/>
      <c r="D1726" s="185"/>
      <c r="E1726" s="185"/>
      <c r="F1726" s="185"/>
      <c r="G1726" s="185"/>
      <c r="H1726" s="185"/>
      <c r="I1726" s="185"/>
      <c r="J1726" s="185"/>
      <c r="K1726" s="185"/>
      <c r="L1726" s="187"/>
      <c r="M1726" s="188"/>
      <c r="N1726" s="188"/>
      <c r="O1726" s="208"/>
      <c r="P1726" s="208"/>
      <c r="Q1726" s="208"/>
      <c r="R1726" s="208"/>
    </row>
    <row r="1727">
      <c r="A1727" s="185"/>
      <c r="B1727" s="186"/>
      <c r="C1727" s="185"/>
      <c r="D1727" s="185"/>
      <c r="E1727" s="185"/>
      <c r="F1727" s="185"/>
      <c r="G1727" s="185"/>
      <c r="H1727" s="185"/>
      <c r="I1727" s="185"/>
      <c r="J1727" s="185"/>
      <c r="K1727" s="185"/>
      <c r="L1727" s="187"/>
      <c r="M1727" s="188"/>
      <c r="N1727" s="188"/>
      <c r="O1727" s="208"/>
      <c r="P1727" s="208"/>
      <c r="Q1727" s="208"/>
      <c r="R1727" s="208"/>
    </row>
    <row r="1728">
      <c r="A1728" s="185"/>
      <c r="B1728" s="186"/>
      <c r="C1728" s="185"/>
      <c r="D1728" s="185"/>
      <c r="E1728" s="185"/>
      <c r="F1728" s="185"/>
      <c r="G1728" s="185"/>
      <c r="H1728" s="185"/>
      <c r="I1728" s="185"/>
      <c r="J1728" s="185"/>
      <c r="K1728" s="185"/>
      <c r="L1728" s="187"/>
      <c r="M1728" s="188"/>
      <c r="N1728" s="188"/>
      <c r="O1728" s="208"/>
      <c r="P1728" s="208"/>
      <c r="Q1728" s="208"/>
      <c r="R1728" s="208"/>
    </row>
    <row r="1729">
      <c r="A1729" s="185"/>
      <c r="B1729" s="186"/>
      <c r="C1729" s="185"/>
      <c r="D1729" s="185"/>
      <c r="E1729" s="185"/>
      <c r="F1729" s="185"/>
      <c r="G1729" s="185"/>
      <c r="H1729" s="185"/>
      <c r="I1729" s="185"/>
      <c r="J1729" s="185"/>
      <c r="K1729" s="185"/>
      <c r="L1729" s="187"/>
      <c r="M1729" s="188"/>
      <c r="N1729" s="188"/>
      <c r="O1729" s="208"/>
      <c r="P1729" s="208"/>
      <c r="Q1729" s="208"/>
      <c r="R1729" s="208"/>
    </row>
    <row r="1730">
      <c r="A1730" s="185"/>
      <c r="B1730" s="186"/>
      <c r="C1730" s="185"/>
      <c r="D1730" s="185"/>
      <c r="E1730" s="185"/>
      <c r="F1730" s="185"/>
      <c r="G1730" s="185"/>
      <c r="H1730" s="185"/>
      <c r="I1730" s="185"/>
      <c r="J1730" s="185"/>
      <c r="K1730" s="185"/>
      <c r="L1730" s="187"/>
      <c r="M1730" s="188"/>
      <c r="N1730" s="188"/>
      <c r="O1730" s="208"/>
      <c r="P1730" s="208"/>
      <c r="Q1730" s="208"/>
      <c r="R1730" s="208"/>
    </row>
    <row r="1731">
      <c r="A1731" s="185"/>
      <c r="B1731" s="186"/>
      <c r="C1731" s="185"/>
      <c r="D1731" s="185"/>
      <c r="E1731" s="185"/>
      <c r="F1731" s="185"/>
      <c r="G1731" s="185"/>
      <c r="H1731" s="185"/>
      <c r="I1731" s="185"/>
      <c r="J1731" s="185"/>
      <c r="K1731" s="185"/>
      <c r="L1731" s="187"/>
      <c r="M1731" s="188"/>
      <c r="N1731" s="188"/>
      <c r="O1731" s="208"/>
      <c r="P1731" s="208"/>
      <c r="Q1731" s="208"/>
      <c r="R1731" s="208"/>
    </row>
    <row r="1732">
      <c r="A1732" s="185"/>
      <c r="B1732" s="186"/>
      <c r="C1732" s="185"/>
      <c r="D1732" s="185"/>
      <c r="E1732" s="185"/>
      <c r="F1732" s="185"/>
      <c r="G1732" s="185"/>
      <c r="H1732" s="185"/>
      <c r="I1732" s="185"/>
      <c r="J1732" s="185"/>
      <c r="K1732" s="185"/>
      <c r="L1732" s="187"/>
      <c r="M1732" s="188"/>
      <c r="N1732" s="188"/>
      <c r="O1732" s="208"/>
      <c r="P1732" s="208"/>
      <c r="Q1732" s="208"/>
      <c r="R1732" s="208"/>
    </row>
    <row r="1733">
      <c r="A1733" s="185"/>
      <c r="B1733" s="186"/>
      <c r="C1733" s="185"/>
      <c r="D1733" s="185"/>
      <c r="E1733" s="185"/>
      <c r="F1733" s="185"/>
      <c r="G1733" s="185"/>
      <c r="H1733" s="185"/>
      <c r="I1733" s="185"/>
      <c r="J1733" s="185"/>
      <c r="K1733" s="185"/>
      <c r="L1733" s="187"/>
      <c r="M1733" s="188"/>
      <c r="N1733" s="188"/>
      <c r="O1733" s="208"/>
      <c r="P1733" s="208"/>
      <c r="Q1733" s="208"/>
      <c r="R1733" s="208"/>
    </row>
    <row r="1734">
      <c r="A1734" s="185"/>
      <c r="B1734" s="186"/>
      <c r="C1734" s="185"/>
      <c r="D1734" s="185"/>
      <c r="E1734" s="185"/>
      <c r="F1734" s="185"/>
      <c r="G1734" s="185"/>
      <c r="H1734" s="185"/>
      <c r="I1734" s="185"/>
      <c r="J1734" s="185"/>
      <c r="K1734" s="185"/>
      <c r="L1734" s="187"/>
      <c r="M1734" s="188"/>
      <c r="N1734" s="188"/>
      <c r="O1734" s="208"/>
      <c r="P1734" s="208"/>
      <c r="Q1734" s="208"/>
      <c r="R1734" s="208"/>
    </row>
    <row r="1735">
      <c r="A1735" s="185"/>
      <c r="B1735" s="186"/>
      <c r="C1735" s="185"/>
      <c r="D1735" s="185"/>
      <c r="E1735" s="185"/>
      <c r="F1735" s="185"/>
      <c r="G1735" s="185"/>
      <c r="H1735" s="185"/>
      <c r="I1735" s="185"/>
      <c r="J1735" s="185"/>
      <c r="K1735" s="185"/>
      <c r="L1735" s="187"/>
      <c r="M1735" s="188"/>
      <c r="N1735" s="188"/>
      <c r="O1735" s="208"/>
      <c r="P1735" s="208"/>
      <c r="Q1735" s="208"/>
      <c r="R1735" s="208"/>
    </row>
    <row r="1736">
      <c r="A1736" s="185"/>
      <c r="B1736" s="186"/>
      <c r="C1736" s="185"/>
      <c r="D1736" s="185"/>
      <c r="E1736" s="185"/>
      <c r="F1736" s="185"/>
      <c r="G1736" s="185"/>
      <c r="H1736" s="185"/>
      <c r="I1736" s="185"/>
      <c r="J1736" s="185"/>
      <c r="K1736" s="185"/>
      <c r="L1736" s="187"/>
      <c r="M1736" s="188"/>
      <c r="N1736" s="188"/>
      <c r="O1736" s="208"/>
      <c r="P1736" s="208"/>
      <c r="Q1736" s="208"/>
      <c r="R1736" s="208"/>
    </row>
    <row r="1737">
      <c r="A1737" s="185"/>
      <c r="B1737" s="186"/>
      <c r="C1737" s="185"/>
      <c r="D1737" s="185"/>
      <c r="E1737" s="185"/>
      <c r="F1737" s="185"/>
      <c r="G1737" s="185"/>
      <c r="H1737" s="185"/>
      <c r="I1737" s="185"/>
      <c r="J1737" s="185"/>
      <c r="K1737" s="185"/>
      <c r="L1737" s="187"/>
      <c r="M1737" s="188"/>
      <c r="N1737" s="188"/>
      <c r="O1737" s="208"/>
      <c r="P1737" s="208"/>
      <c r="Q1737" s="208"/>
      <c r="R1737" s="208"/>
    </row>
    <row r="1738">
      <c r="A1738" s="185"/>
      <c r="B1738" s="186"/>
      <c r="C1738" s="185"/>
      <c r="D1738" s="185"/>
      <c r="E1738" s="185"/>
      <c r="F1738" s="185"/>
      <c r="G1738" s="185"/>
      <c r="H1738" s="185"/>
      <c r="I1738" s="185"/>
      <c r="J1738" s="185"/>
      <c r="K1738" s="185"/>
      <c r="L1738" s="187"/>
      <c r="M1738" s="188"/>
      <c r="N1738" s="188"/>
      <c r="O1738" s="208"/>
      <c r="P1738" s="208"/>
      <c r="Q1738" s="208"/>
      <c r="R1738" s="208"/>
    </row>
    <row r="1739">
      <c r="A1739" s="185"/>
      <c r="B1739" s="186"/>
      <c r="C1739" s="185"/>
      <c r="D1739" s="185"/>
      <c r="E1739" s="185"/>
      <c r="F1739" s="185"/>
      <c r="G1739" s="185"/>
      <c r="H1739" s="185"/>
      <c r="I1739" s="185"/>
      <c r="J1739" s="185"/>
      <c r="K1739" s="185"/>
      <c r="L1739" s="187"/>
      <c r="M1739" s="188"/>
      <c r="N1739" s="188"/>
      <c r="O1739" s="208"/>
      <c r="P1739" s="208"/>
      <c r="Q1739" s="208"/>
      <c r="R1739" s="208"/>
    </row>
    <row r="1740">
      <c r="A1740" s="185"/>
      <c r="B1740" s="186"/>
      <c r="C1740" s="185"/>
      <c r="D1740" s="185"/>
      <c r="E1740" s="185"/>
      <c r="F1740" s="185"/>
      <c r="G1740" s="185"/>
      <c r="H1740" s="185"/>
      <c r="I1740" s="185"/>
      <c r="J1740" s="185"/>
      <c r="K1740" s="185"/>
      <c r="L1740" s="187"/>
      <c r="M1740" s="188"/>
      <c r="N1740" s="188"/>
      <c r="O1740" s="208"/>
      <c r="P1740" s="208"/>
      <c r="Q1740" s="208"/>
      <c r="R1740" s="208"/>
    </row>
    <row r="1741">
      <c r="A1741" s="185"/>
      <c r="B1741" s="186"/>
      <c r="C1741" s="185"/>
      <c r="D1741" s="185"/>
      <c r="E1741" s="185"/>
      <c r="F1741" s="185"/>
      <c r="G1741" s="185"/>
      <c r="H1741" s="185"/>
      <c r="I1741" s="185"/>
      <c r="J1741" s="185"/>
      <c r="K1741" s="185"/>
      <c r="L1741" s="187"/>
      <c r="M1741" s="188"/>
      <c r="N1741" s="188"/>
      <c r="O1741" s="208"/>
      <c r="P1741" s="208"/>
      <c r="Q1741" s="208"/>
      <c r="R1741" s="208"/>
    </row>
    <row r="1742">
      <c r="A1742" s="185"/>
      <c r="B1742" s="186"/>
      <c r="C1742" s="185"/>
      <c r="D1742" s="185"/>
      <c r="E1742" s="185"/>
      <c r="F1742" s="185"/>
      <c r="G1742" s="185"/>
      <c r="H1742" s="185"/>
      <c r="I1742" s="185"/>
      <c r="J1742" s="185"/>
      <c r="K1742" s="185"/>
      <c r="L1742" s="187"/>
      <c r="M1742" s="188"/>
      <c r="N1742" s="188"/>
      <c r="O1742" s="208"/>
      <c r="P1742" s="208"/>
      <c r="Q1742" s="208"/>
      <c r="R1742" s="208"/>
    </row>
    <row r="1743">
      <c r="A1743" s="185"/>
      <c r="B1743" s="186"/>
      <c r="C1743" s="185"/>
      <c r="D1743" s="185"/>
      <c r="E1743" s="185"/>
      <c r="F1743" s="185"/>
      <c r="G1743" s="185"/>
      <c r="H1743" s="185"/>
      <c r="I1743" s="185"/>
      <c r="J1743" s="185"/>
      <c r="K1743" s="185"/>
      <c r="L1743" s="187"/>
      <c r="M1743" s="188"/>
      <c r="N1743" s="188"/>
      <c r="O1743" s="208"/>
      <c r="P1743" s="208"/>
      <c r="Q1743" s="208"/>
      <c r="R1743" s="208"/>
    </row>
    <row r="1744">
      <c r="A1744" s="185"/>
      <c r="B1744" s="186"/>
      <c r="C1744" s="185"/>
      <c r="D1744" s="185"/>
      <c r="E1744" s="185"/>
      <c r="F1744" s="185"/>
      <c r="G1744" s="185"/>
      <c r="H1744" s="185"/>
      <c r="I1744" s="185"/>
      <c r="J1744" s="185"/>
      <c r="K1744" s="185"/>
      <c r="L1744" s="187"/>
      <c r="M1744" s="188"/>
      <c r="N1744" s="188"/>
      <c r="O1744" s="208"/>
      <c r="P1744" s="208"/>
      <c r="Q1744" s="208"/>
      <c r="R1744" s="208"/>
    </row>
    <row r="1745">
      <c r="A1745" s="185"/>
      <c r="B1745" s="186"/>
      <c r="C1745" s="185"/>
      <c r="D1745" s="185"/>
      <c r="E1745" s="185"/>
      <c r="F1745" s="185"/>
      <c r="G1745" s="185"/>
      <c r="H1745" s="185"/>
      <c r="I1745" s="185"/>
      <c r="J1745" s="185"/>
      <c r="K1745" s="185"/>
      <c r="L1745" s="187"/>
      <c r="M1745" s="188"/>
      <c r="N1745" s="188"/>
      <c r="O1745" s="208"/>
      <c r="P1745" s="208"/>
      <c r="Q1745" s="208"/>
      <c r="R1745" s="208"/>
    </row>
    <row r="1746">
      <c r="A1746" s="185"/>
      <c r="B1746" s="186"/>
      <c r="C1746" s="185"/>
      <c r="D1746" s="185"/>
      <c r="E1746" s="185"/>
      <c r="F1746" s="185"/>
      <c r="G1746" s="185"/>
      <c r="H1746" s="185"/>
      <c r="I1746" s="185"/>
      <c r="J1746" s="185"/>
      <c r="K1746" s="185"/>
      <c r="L1746" s="187"/>
      <c r="M1746" s="188"/>
      <c r="N1746" s="188"/>
      <c r="O1746" s="208"/>
      <c r="P1746" s="208"/>
      <c r="Q1746" s="208"/>
      <c r="R1746" s="208"/>
    </row>
    <row r="1747">
      <c r="A1747" s="185"/>
      <c r="B1747" s="186"/>
      <c r="C1747" s="185"/>
      <c r="D1747" s="185"/>
      <c r="E1747" s="185"/>
      <c r="F1747" s="185"/>
      <c r="G1747" s="185"/>
      <c r="H1747" s="185"/>
      <c r="I1747" s="185"/>
      <c r="J1747" s="185"/>
      <c r="K1747" s="185"/>
      <c r="L1747" s="187"/>
      <c r="M1747" s="188"/>
      <c r="N1747" s="188"/>
      <c r="O1747" s="208"/>
      <c r="P1747" s="208"/>
      <c r="Q1747" s="208"/>
      <c r="R1747" s="208"/>
    </row>
    <row r="1748">
      <c r="A1748" s="185"/>
      <c r="B1748" s="186"/>
      <c r="C1748" s="185"/>
      <c r="D1748" s="185"/>
      <c r="E1748" s="185"/>
      <c r="F1748" s="185"/>
      <c r="G1748" s="185"/>
      <c r="H1748" s="185"/>
      <c r="I1748" s="185"/>
      <c r="J1748" s="185"/>
      <c r="K1748" s="185"/>
      <c r="L1748" s="187"/>
      <c r="M1748" s="188"/>
      <c r="N1748" s="188"/>
      <c r="O1748" s="208"/>
      <c r="P1748" s="208"/>
      <c r="Q1748" s="208"/>
      <c r="R1748" s="208"/>
    </row>
    <row r="1749">
      <c r="A1749" s="185"/>
      <c r="B1749" s="186"/>
      <c r="C1749" s="185"/>
      <c r="D1749" s="185"/>
      <c r="E1749" s="185"/>
      <c r="F1749" s="185"/>
      <c r="G1749" s="185"/>
      <c r="H1749" s="185"/>
      <c r="I1749" s="185"/>
      <c r="J1749" s="185"/>
      <c r="K1749" s="185"/>
      <c r="L1749" s="187"/>
      <c r="M1749" s="188"/>
      <c r="N1749" s="188"/>
      <c r="O1749" s="208"/>
      <c r="P1749" s="208"/>
      <c r="Q1749" s="208"/>
      <c r="R1749" s="208"/>
    </row>
    <row r="1750">
      <c r="A1750" s="185"/>
      <c r="B1750" s="186"/>
      <c r="C1750" s="185"/>
      <c r="D1750" s="185"/>
      <c r="E1750" s="185"/>
      <c r="F1750" s="185"/>
      <c r="G1750" s="185"/>
      <c r="H1750" s="185"/>
      <c r="I1750" s="185"/>
      <c r="J1750" s="185"/>
      <c r="K1750" s="185"/>
      <c r="L1750" s="187"/>
      <c r="M1750" s="188"/>
      <c r="N1750" s="188"/>
      <c r="O1750" s="208"/>
      <c r="P1750" s="208"/>
      <c r="Q1750" s="208"/>
      <c r="R1750" s="208"/>
    </row>
    <row r="1751">
      <c r="A1751" s="185"/>
      <c r="B1751" s="186"/>
      <c r="C1751" s="185"/>
      <c r="D1751" s="185"/>
      <c r="E1751" s="185"/>
      <c r="F1751" s="185"/>
      <c r="G1751" s="185"/>
      <c r="H1751" s="185"/>
      <c r="I1751" s="185"/>
      <c r="J1751" s="185"/>
      <c r="K1751" s="185"/>
      <c r="L1751" s="187"/>
      <c r="M1751" s="188"/>
      <c r="N1751" s="188"/>
      <c r="O1751" s="208"/>
      <c r="P1751" s="208"/>
      <c r="Q1751" s="208"/>
      <c r="R1751" s="208"/>
    </row>
    <row r="1752">
      <c r="A1752" s="185"/>
      <c r="B1752" s="186"/>
      <c r="C1752" s="185"/>
      <c r="D1752" s="185"/>
      <c r="E1752" s="185"/>
      <c r="F1752" s="185"/>
      <c r="G1752" s="185"/>
      <c r="H1752" s="185"/>
      <c r="I1752" s="185"/>
      <c r="J1752" s="185"/>
      <c r="K1752" s="185"/>
      <c r="L1752" s="187"/>
      <c r="M1752" s="188"/>
      <c r="N1752" s="188"/>
      <c r="O1752" s="208"/>
      <c r="P1752" s="208"/>
      <c r="Q1752" s="208"/>
      <c r="R1752" s="208"/>
    </row>
    <row r="1753">
      <c r="A1753" s="185"/>
      <c r="B1753" s="186"/>
      <c r="C1753" s="185"/>
      <c r="D1753" s="185"/>
      <c r="E1753" s="185"/>
      <c r="F1753" s="185"/>
      <c r="G1753" s="185"/>
      <c r="H1753" s="185"/>
      <c r="I1753" s="185"/>
      <c r="J1753" s="185"/>
      <c r="K1753" s="185"/>
      <c r="L1753" s="187"/>
      <c r="M1753" s="188"/>
      <c r="N1753" s="188"/>
      <c r="O1753" s="208"/>
      <c r="P1753" s="208"/>
      <c r="Q1753" s="208"/>
      <c r="R1753" s="208"/>
    </row>
    <row r="1754">
      <c r="A1754" s="185"/>
      <c r="B1754" s="186"/>
      <c r="C1754" s="185"/>
      <c r="D1754" s="185"/>
      <c r="E1754" s="185"/>
      <c r="F1754" s="185"/>
      <c r="G1754" s="185"/>
      <c r="H1754" s="185"/>
      <c r="I1754" s="185"/>
      <c r="J1754" s="185"/>
      <c r="K1754" s="185"/>
      <c r="L1754" s="187"/>
      <c r="M1754" s="188"/>
      <c r="N1754" s="188"/>
      <c r="O1754" s="208"/>
      <c r="P1754" s="208"/>
      <c r="Q1754" s="208"/>
      <c r="R1754" s="208"/>
    </row>
    <row r="1755">
      <c r="A1755" s="185"/>
      <c r="B1755" s="186"/>
      <c r="C1755" s="185"/>
      <c r="D1755" s="185"/>
      <c r="E1755" s="185"/>
      <c r="F1755" s="185"/>
      <c r="G1755" s="185"/>
      <c r="H1755" s="185"/>
      <c r="I1755" s="185"/>
      <c r="J1755" s="185"/>
      <c r="K1755" s="185"/>
      <c r="L1755" s="187"/>
      <c r="M1755" s="188"/>
      <c r="N1755" s="188"/>
      <c r="O1755" s="208"/>
      <c r="P1755" s="208"/>
      <c r="Q1755" s="208"/>
      <c r="R1755" s="208"/>
    </row>
    <row r="1756">
      <c r="A1756" s="185"/>
      <c r="B1756" s="186"/>
      <c r="C1756" s="185"/>
      <c r="D1756" s="185"/>
      <c r="E1756" s="185"/>
      <c r="F1756" s="185"/>
      <c r="G1756" s="185"/>
      <c r="H1756" s="185"/>
      <c r="I1756" s="185"/>
      <c r="J1756" s="185"/>
      <c r="K1756" s="185"/>
      <c r="L1756" s="187"/>
      <c r="M1756" s="188"/>
      <c r="N1756" s="188"/>
      <c r="O1756" s="208"/>
      <c r="P1756" s="208"/>
      <c r="Q1756" s="208"/>
      <c r="R1756" s="208"/>
    </row>
    <row r="1757">
      <c r="A1757" s="185"/>
      <c r="B1757" s="186"/>
      <c r="C1757" s="185"/>
      <c r="D1757" s="185"/>
      <c r="E1757" s="185"/>
      <c r="F1757" s="185"/>
      <c r="G1757" s="185"/>
      <c r="H1757" s="185"/>
      <c r="I1757" s="185"/>
      <c r="J1757" s="185"/>
      <c r="K1757" s="185"/>
      <c r="L1757" s="187"/>
      <c r="M1757" s="188"/>
      <c r="N1757" s="188"/>
      <c r="O1757" s="208"/>
      <c r="P1757" s="208"/>
      <c r="Q1757" s="208"/>
      <c r="R1757" s="208"/>
    </row>
    <row r="1758">
      <c r="A1758" s="185"/>
      <c r="B1758" s="186"/>
      <c r="C1758" s="185"/>
      <c r="D1758" s="185"/>
      <c r="E1758" s="185"/>
      <c r="F1758" s="185"/>
      <c r="G1758" s="185"/>
      <c r="H1758" s="185"/>
      <c r="I1758" s="185"/>
      <c r="J1758" s="185"/>
      <c r="K1758" s="185"/>
      <c r="L1758" s="187"/>
      <c r="M1758" s="188"/>
      <c r="N1758" s="188"/>
      <c r="O1758" s="208"/>
      <c r="P1758" s="208"/>
      <c r="Q1758" s="208"/>
      <c r="R1758" s="208"/>
    </row>
    <row r="1759">
      <c r="A1759" s="185"/>
      <c r="B1759" s="186"/>
      <c r="C1759" s="185"/>
      <c r="D1759" s="185"/>
      <c r="E1759" s="185"/>
      <c r="F1759" s="185"/>
      <c r="G1759" s="185"/>
      <c r="H1759" s="185"/>
      <c r="I1759" s="185"/>
      <c r="J1759" s="185"/>
      <c r="K1759" s="185"/>
      <c r="L1759" s="187"/>
      <c r="M1759" s="188"/>
      <c r="N1759" s="188"/>
      <c r="O1759" s="208"/>
      <c r="P1759" s="208"/>
      <c r="Q1759" s="208"/>
      <c r="R1759" s="208"/>
    </row>
    <row r="1760">
      <c r="A1760" s="185"/>
      <c r="B1760" s="186"/>
      <c r="C1760" s="185"/>
      <c r="D1760" s="185"/>
      <c r="E1760" s="185"/>
      <c r="F1760" s="185"/>
      <c r="G1760" s="185"/>
      <c r="H1760" s="185"/>
      <c r="I1760" s="185"/>
      <c r="J1760" s="185"/>
      <c r="K1760" s="185"/>
      <c r="L1760" s="187"/>
      <c r="M1760" s="188"/>
      <c r="N1760" s="188"/>
      <c r="O1760" s="208"/>
      <c r="P1760" s="208"/>
      <c r="Q1760" s="208"/>
      <c r="R1760" s="208"/>
    </row>
    <row r="1761">
      <c r="A1761" s="185"/>
      <c r="B1761" s="186"/>
      <c r="C1761" s="185"/>
      <c r="D1761" s="185"/>
      <c r="E1761" s="185"/>
      <c r="F1761" s="185"/>
      <c r="G1761" s="185"/>
      <c r="H1761" s="185"/>
      <c r="I1761" s="185"/>
      <c r="J1761" s="185"/>
      <c r="K1761" s="185"/>
      <c r="L1761" s="187"/>
      <c r="M1761" s="188"/>
      <c r="N1761" s="188"/>
      <c r="O1761" s="208"/>
      <c r="P1761" s="208"/>
      <c r="Q1761" s="208"/>
      <c r="R1761" s="208"/>
    </row>
    <row r="1762">
      <c r="A1762" s="185"/>
      <c r="B1762" s="186"/>
      <c r="C1762" s="185"/>
      <c r="D1762" s="185"/>
      <c r="E1762" s="185"/>
      <c r="F1762" s="185"/>
      <c r="G1762" s="185"/>
      <c r="H1762" s="185"/>
      <c r="I1762" s="185"/>
      <c r="J1762" s="185"/>
      <c r="K1762" s="185"/>
      <c r="L1762" s="187"/>
      <c r="M1762" s="188"/>
      <c r="N1762" s="188"/>
      <c r="O1762" s="208"/>
      <c r="P1762" s="208"/>
      <c r="Q1762" s="208"/>
      <c r="R1762" s="208"/>
    </row>
    <row r="1763">
      <c r="A1763" s="185"/>
      <c r="B1763" s="186"/>
      <c r="C1763" s="185"/>
      <c r="D1763" s="185"/>
      <c r="E1763" s="185"/>
      <c r="F1763" s="185"/>
      <c r="G1763" s="185"/>
      <c r="H1763" s="185"/>
      <c r="I1763" s="185"/>
      <c r="J1763" s="185"/>
      <c r="K1763" s="185"/>
      <c r="L1763" s="187"/>
      <c r="M1763" s="188"/>
      <c r="N1763" s="188"/>
      <c r="O1763" s="208"/>
      <c r="P1763" s="208"/>
      <c r="Q1763" s="208"/>
      <c r="R1763" s="208"/>
    </row>
    <row r="1764">
      <c r="A1764" s="185"/>
      <c r="B1764" s="186"/>
      <c r="C1764" s="185"/>
      <c r="D1764" s="185"/>
      <c r="E1764" s="185"/>
      <c r="F1764" s="185"/>
      <c r="G1764" s="185"/>
      <c r="H1764" s="185"/>
      <c r="I1764" s="185"/>
      <c r="J1764" s="185"/>
      <c r="K1764" s="185"/>
      <c r="L1764" s="187"/>
      <c r="M1764" s="188"/>
      <c r="N1764" s="188"/>
      <c r="O1764" s="208"/>
      <c r="P1764" s="208"/>
      <c r="Q1764" s="208"/>
      <c r="R1764" s="208"/>
    </row>
    <row r="1765">
      <c r="A1765" s="185"/>
      <c r="B1765" s="186"/>
      <c r="C1765" s="185"/>
      <c r="D1765" s="185"/>
      <c r="E1765" s="185"/>
      <c r="F1765" s="185"/>
      <c r="G1765" s="185"/>
      <c r="H1765" s="185"/>
      <c r="I1765" s="185"/>
      <c r="J1765" s="185"/>
      <c r="K1765" s="185"/>
      <c r="L1765" s="187"/>
      <c r="M1765" s="188"/>
      <c r="N1765" s="188"/>
      <c r="O1765" s="208"/>
      <c r="P1765" s="208"/>
      <c r="Q1765" s="208"/>
      <c r="R1765" s="208"/>
    </row>
    <row r="1766">
      <c r="A1766" s="185"/>
      <c r="B1766" s="186"/>
      <c r="C1766" s="185"/>
      <c r="D1766" s="185"/>
      <c r="E1766" s="185"/>
      <c r="F1766" s="185"/>
      <c r="G1766" s="185"/>
      <c r="H1766" s="185"/>
      <c r="I1766" s="185"/>
      <c r="J1766" s="185"/>
      <c r="K1766" s="185"/>
      <c r="L1766" s="187"/>
      <c r="M1766" s="188"/>
      <c r="N1766" s="188"/>
      <c r="O1766" s="208"/>
      <c r="P1766" s="208"/>
      <c r="Q1766" s="208"/>
      <c r="R1766" s="208"/>
    </row>
    <row r="1767">
      <c r="A1767" s="185"/>
      <c r="B1767" s="186"/>
      <c r="C1767" s="185"/>
      <c r="D1767" s="185"/>
      <c r="E1767" s="185"/>
      <c r="F1767" s="185"/>
      <c r="G1767" s="185"/>
      <c r="H1767" s="185"/>
      <c r="I1767" s="185"/>
      <c r="J1767" s="185"/>
      <c r="K1767" s="185"/>
      <c r="L1767" s="187"/>
      <c r="M1767" s="188"/>
      <c r="N1767" s="188"/>
      <c r="O1767" s="208"/>
      <c r="P1767" s="208"/>
      <c r="Q1767" s="208"/>
      <c r="R1767" s="208"/>
    </row>
    <row r="1768">
      <c r="A1768" s="185"/>
      <c r="B1768" s="186"/>
      <c r="C1768" s="185"/>
      <c r="D1768" s="185"/>
      <c r="E1768" s="185"/>
      <c r="F1768" s="185"/>
      <c r="G1768" s="185"/>
      <c r="H1768" s="185"/>
      <c r="I1768" s="185"/>
      <c r="J1768" s="185"/>
      <c r="K1768" s="185"/>
      <c r="L1768" s="187"/>
      <c r="M1768" s="188"/>
      <c r="N1768" s="188"/>
      <c r="O1768" s="208"/>
      <c r="P1768" s="208"/>
      <c r="Q1768" s="208"/>
      <c r="R1768" s="208"/>
    </row>
    <row r="1769">
      <c r="A1769" s="185"/>
      <c r="B1769" s="186"/>
      <c r="C1769" s="185"/>
      <c r="D1769" s="185"/>
      <c r="E1769" s="185"/>
      <c r="F1769" s="185"/>
      <c r="G1769" s="185"/>
      <c r="H1769" s="185"/>
      <c r="I1769" s="185"/>
      <c r="J1769" s="185"/>
      <c r="K1769" s="185"/>
      <c r="L1769" s="187"/>
      <c r="M1769" s="188"/>
      <c r="N1769" s="188"/>
      <c r="O1769" s="208"/>
      <c r="P1769" s="208"/>
      <c r="Q1769" s="208"/>
      <c r="R1769" s="208"/>
    </row>
    <row r="1770">
      <c r="A1770" s="185"/>
      <c r="B1770" s="186"/>
      <c r="C1770" s="185"/>
      <c r="D1770" s="185"/>
      <c r="E1770" s="185"/>
      <c r="F1770" s="185"/>
      <c r="G1770" s="185"/>
      <c r="H1770" s="185"/>
      <c r="I1770" s="185"/>
      <c r="J1770" s="185"/>
      <c r="K1770" s="185"/>
      <c r="L1770" s="187"/>
      <c r="M1770" s="188"/>
      <c r="N1770" s="188"/>
      <c r="O1770" s="208"/>
      <c r="P1770" s="208"/>
      <c r="Q1770" s="208"/>
      <c r="R1770" s="208"/>
    </row>
    <row r="1771">
      <c r="A1771" s="185"/>
      <c r="B1771" s="186"/>
      <c r="C1771" s="185"/>
      <c r="D1771" s="185"/>
      <c r="E1771" s="185"/>
      <c r="F1771" s="185"/>
      <c r="G1771" s="185"/>
      <c r="H1771" s="185"/>
      <c r="I1771" s="185"/>
      <c r="J1771" s="185"/>
      <c r="K1771" s="185"/>
      <c r="L1771" s="187"/>
      <c r="M1771" s="188"/>
      <c r="N1771" s="188"/>
      <c r="O1771" s="208"/>
      <c r="P1771" s="208"/>
      <c r="Q1771" s="208"/>
      <c r="R1771" s="208"/>
    </row>
    <row r="1772">
      <c r="A1772" s="185"/>
      <c r="B1772" s="186"/>
      <c r="C1772" s="185"/>
      <c r="D1772" s="185"/>
      <c r="E1772" s="185"/>
      <c r="F1772" s="185"/>
      <c r="G1772" s="185"/>
      <c r="H1772" s="185"/>
      <c r="I1772" s="185"/>
      <c r="J1772" s="185"/>
      <c r="K1772" s="185"/>
      <c r="L1772" s="187"/>
      <c r="M1772" s="188"/>
      <c r="N1772" s="188"/>
      <c r="O1772" s="208"/>
      <c r="P1772" s="208"/>
      <c r="Q1772" s="208"/>
      <c r="R1772" s="208"/>
    </row>
    <row r="1773">
      <c r="A1773" s="185"/>
      <c r="B1773" s="186"/>
      <c r="C1773" s="185"/>
      <c r="D1773" s="185"/>
      <c r="E1773" s="185"/>
      <c r="F1773" s="185"/>
      <c r="G1773" s="185"/>
      <c r="H1773" s="185"/>
      <c r="I1773" s="185"/>
      <c r="J1773" s="185"/>
      <c r="K1773" s="185"/>
      <c r="L1773" s="187"/>
      <c r="M1773" s="188"/>
      <c r="N1773" s="188"/>
      <c r="O1773" s="208"/>
      <c r="P1773" s="208"/>
      <c r="Q1773" s="208"/>
      <c r="R1773" s="208"/>
    </row>
    <row r="1774">
      <c r="A1774" s="185"/>
      <c r="B1774" s="186"/>
      <c r="C1774" s="185"/>
      <c r="D1774" s="185"/>
      <c r="E1774" s="185"/>
      <c r="F1774" s="185"/>
      <c r="G1774" s="185"/>
      <c r="H1774" s="185"/>
      <c r="I1774" s="185"/>
      <c r="J1774" s="185"/>
      <c r="K1774" s="185"/>
      <c r="L1774" s="187"/>
      <c r="M1774" s="188"/>
      <c r="N1774" s="188"/>
      <c r="O1774" s="208"/>
      <c r="P1774" s="208"/>
      <c r="Q1774" s="208"/>
      <c r="R1774" s="208"/>
    </row>
    <row r="1775">
      <c r="A1775" s="185"/>
      <c r="B1775" s="186"/>
      <c r="C1775" s="185"/>
      <c r="D1775" s="185"/>
      <c r="E1775" s="185"/>
      <c r="F1775" s="185"/>
      <c r="G1775" s="185"/>
      <c r="H1775" s="185"/>
      <c r="I1775" s="185"/>
      <c r="J1775" s="185"/>
      <c r="K1775" s="185"/>
      <c r="L1775" s="187"/>
      <c r="M1775" s="188"/>
      <c r="N1775" s="188"/>
      <c r="O1775" s="208"/>
      <c r="P1775" s="208"/>
      <c r="Q1775" s="208"/>
      <c r="R1775" s="208"/>
    </row>
    <row r="1776">
      <c r="A1776" s="185"/>
      <c r="B1776" s="186"/>
      <c r="C1776" s="185"/>
      <c r="D1776" s="185"/>
      <c r="E1776" s="185"/>
      <c r="F1776" s="185"/>
      <c r="G1776" s="185"/>
      <c r="H1776" s="185"/>
      <c r="I1776" s="185"/>
      <c r="J1776" s="185"/>
      <c r="K1776" s="185"/>
      <c r="L1776" s="187"/>
      <c r="M1776" s="188"/>
      <c r="N1776" s="188"/>
      <c r="O1776" s="208"/>
      <c r="P1776" s="208"/>
      <c r="Q1776" s="208"/>
      <c r="R1776" s="208"/>
    </row>
    <row r="1777">
      <c r="A1777" s="185"/>
      <c r="B1777" s="186"/>
      <c r="C1777" s="185"/>
      <c r="D1777" s="185"/>
      <c r="E1777" s="185"/>
      <c r="F1777" s="185"/>
      <c r="G1777" s="185"/>
      <c r="H1777" s="185"/>
      <c r="I1777" s="185"/>
      <c r="J1777" s="185"/>
      <c r="K1777" s="185"/>
      <c r="L1777" s="187"/>
      <c r="M1777" s="188"/>
      <c r="N1777" s="188"/>
      <c r="O1777" s="208"/>
      <c r="P1777" s="208"/>
      <c r="Q1777" s="208"/>
      <c r="R1777" s="208"/>
    </row>
    <row r="1778">
      <c r="A1778" s="185"/>
      <c r="B1778" s="186"/>
      <c r="C1778" s="185"/>
      <c r="D1778" s="185"/>
      <c r="E1778" s="185"/>
      <c r="F1778" s="185"/>
      <c r="G1778" s="185"/>
      <c r="H1778" s="185"/>
      <c r="I1778" s="185"/>
      <c r="J1778" s="185"/>
      <c r="K1778" s="185"/>
      <c r="L1778" s="187"/>
      <c r="M1778" s="188"/>
      <c r="N1778" s="188"/>
      <c r="O1778" s="208"/>
      <c r="P1778" s="208"/>
      <c r="Q1778" s="208"/>
      <c r="R1778" s="208"/>
    </row>
    <row r="1779">
      <c r="A1779" s="185"/>
      <c r="B1779" s="186"/>
      <c r="C1779" s="185"/>
      <c r="D1779" s="185"/>
      <c r="E1779" s="185"/>
      <c r="F1779" s="185"/>
      <c r="G1779" s="185"/>
      <c r="H1779" s="185"/>
      <c r="I1779" s="185"/>
      <c r="J1779" s="185"/>
      <c r="K1779" s="185"/>
      <c r="L1779" s="187"/>
      <c r="M1779" s="188"/>
      <c r="N1779" s="188"/>
      <c r="O1779" s="208"/>
      <c r="P1779" s="208"/>
      <c r="Q1779" s="208"/>
      <c r="R1779" s="208"/>
    </row>
    <row r="1780">
      <c r="A1780" s="185"/>
      <c r="B1780" s="186"/>
      <c r="C1780" s="185"/>
      <c r="D1780" s="185"/>
      <c r="E1780" s="185"/>
      <c r="F1780" s="185"/>
      <c r="G1780" s="185"/>
      <c r="H1780" s="185"/>
      <c r="I1780" s="185"/>
      <c r="J1780" s="185"/>
      <c r="K1780" s="185"/>
      <c r="L1780" s="187"/>
      <c r="M1780" s="188"/>
      <c r="N1780" s="188"/>
      <c r="O1780" s="208"/>
      <c r="P1780" s="208"/>
      <c r="Q1780" s="208"/>
      <c r="R1780" s="208"/>
    </row>
    <row r="1781">
      <c r="A1781" s="185"/>
      <c r="B1781" s="186"/>
      <c r="C1781" s="185"/>
      <c r="D1781" s="185"/>
      <c r="E1781" s="185"/>
      <c r="F1781" s="185"/>
      <c r="G1781" s="185"/>
      <c r="H1781" s="185"/>
      <c r="I1781" s="185"/>
      <c r="J1781" s="185"/>
      <c r="K1781" s="185"/>
      <c r="L1781" s="187"/>
      <c r="M1781" s="188"/>
      <c r="N1781" s="188"/>
      <c r="O1781" s="208"/>
      <c r="P1781" s="208"/>
      <c r="Q1781" s="208"/>
      <c r="R1781" s="208"/>
    </row>
    <row r="1782">
      <c r="A1782" s="185"/>
      <c r="B1782" s="186"/>
      <c r="C1782" s="185"/>
      <c r="D1782" s="185"/>
      <c r="E1782" s="185"/>
      <c r="F1782" s="185"/>
      <c r="G1782" s="185"/>
      <c r="H1782" s="185"/>
      <c r="I1782" s="185"/>
      <c r="J1782" s="185"/>
      <c r="K1782" s="185"/>
      <c r="L1782" s="187"/>
      <c r="M1782" s="188"/>
      <c r="N1782" s="188"/>
      <c r="O1782" s="208"/>
      <c r="P1782" s="208"/>
      <c r="Q1782" s="208"/>
      <c r="R1782" s="208"/>
    </row>
    <row r="1783">
      <c r="A1783" s="185"/>
      <c r="B1783" s="186"/>
      <c r="C1783" s="185"/>
      <c r="D1783" s="185"/>
      <c r="E1783" s="185"/>
      <c r="F1783" s="185"/>
      <c r="G1783" s="185"/>
      <c r="H1783" s="185"/>
      <c r="I1783" s="185"/>
      <c r="J1783" s="185"/>
      <c r="K1783" s="185"/>
      <c r="L1783" s="187"/>
      <c r="M1783" s="188"/>
      <c r="N1783" s="188"/>
      <c r="O1783" s="208"/>
      <c r="P1783" s="208"/>
      <c r="Q1783" s="208"/>
      <c r="R1783" s="208"/>
    </row>
    <row r="1784">
      <c r="A1784" s="185"/>
      <c r="B1784" s="186"/>
      <c r="C1784" s="185"/>
      <c r="D1784" s="185"/>
      <c r="E1784" s="185"/>
      <c r="F1784" s="185"/>
      <c r="G1784" s="185"/>
      <c r="H1784" s="185"/>
      <c r="I1784" s="185"/>
      <c r="J1784" s="185"/>
      <c r="K1784" s="185"/>
      <c r="L1784" s="187"/>
      <c r="M1784" s="188"/>
      <c r="N1784" s="188"/>
      <c r="O1784" s="208"/>
      <c r="P1784" s="208"/>
      <c r="Q1784" s="208"/>
      <c r="R1784" s="208"/>
    </row>
    <row r="1785">
      <c r="A1785" s="185"/>
      <c r="B1785" s="186"/>
      <c r="C1785" s="185"/>
      <c r="D1785" s="185"/>
      <c r="E1785" s="185"/>
      <c r="F1785" s="185"/>
      <c r="G1785" s="185"/>
      <c r="H1785" s="185"/>
      <c r="I1785" s="185"/>
      <c r="J1785" s="185"/>
      <c r="K1785" s="185"/>
      <c r="L1785" s="187"/>
      <c r="M1785" s="188"/>
      <c r="N1785" s="188"/>
      <c r="O1785" s="208"/>
      <c r="P1785" s="208"/>
      <c r="Q1785" s="208"/>
      <c r="R1785" s="208"/>
    </row>
    <row r="1786">
      <c r="A1786" s="185"/>
      <c r="B1786" s="186"/>
      <c r="C1786" s="185"/>
      <c r="D1786" s="185"/>
      <c r="E1786" s="185"/>
      <c r="F1786" s="185"/>
      <c r="G1786" s="185"/>
      <c r="H1786" s="185"/>
      <c r="I1786" s="185"/>
      <c r="J1786" s="185"/>
      <c r="K1786" s="185"/>
      <c r="L1786" s="187"/>
      <c r="M1786" s="188"/>
      <c r="N1786" s="188"/>
      <c r="O1786" s="208"/>
      <c r="P1786" s="208"/>
      <c r="Q1786" s="208"/>
      <c r="R1786" s="208"/>
    </row>
    <row r="1787">
      <c r="A1787" s="185"/>
      <c r="B1787" s="186"/>
      <c r="C1787" s="185"/>
      <c r="D1787" s="185"/>
      <c r="E1787" s="185"/>
      <c r="F1787" s="185"/>
      <c r="G1787" s="185"/>
      <c r="H1787" s="185"/>
      <c r="I1787" s="185"/>
      <c r="J1787" s="185"/>
      <c r="K1787" s="185"/>
      <c r="L1787" s="187"/>
      <c r="M1787" s="188"/>
      <c r="N1787" s="188"/>
      <c r="O1787" s="208"/>
      <c r="P1787" s="208"/>
      <c r="Q1787" s="208"/>
      <c r="R1787" s="208"/>
    </row>
    <row r="1788">
      <c r="A1788" s="185"/>
      <c r="B1788" s="186"/>
      <c r="C1788" s="185"/>
      <c r="D1788" s="185"/>
      <c r="E1788" s="185"/>
      <c r="F1788" s="185"/>
      <c r="G1788" s="185"/>
      <c r="H1788" s="185"/>
      <c r="I1788" s="185"/>
      <c r="J1788" s="185"/>
      <c r="K1788" s="185"/>
      <c r="L1788" s="187"/>
      <c r="M1788" s="188"/>
      <c r="N1788" s="188"/>
      <c r="O1788" s="208"/>
      <c r="P1788" s="208"/>
      <c r="Q1788" s="208"/>
      <c r="R1788" s="208"/>
    </row>
    <row r="1789">
      <c r="A1789" s="185"/>
      <c r="B1789" s="186"/>
      <c r="C1789" s="185"/>
      <c r="D1789" s="185"/>
      <c r="E1789" s="185"/>
      <c r="F1789" s="185"/>
      <c r="G1789" s="185"/>
      <c r="H1789" s="185"/>
      <c r="I1789" s="185"/>
      <c r="J1789" s="185"/>
      <c r="K1789" s="185"/>
      <c r="L1789" s="187"/>
      <c r="M1789" s="188"/>
      <c r="N1789" s="188"/>
      <c r="O1789" s="208"/>
      <c r="P1789" s="208"/>
      <c r="Q1789" s="208"/>
      <c r="R1789" s="208"/>
    </row>
    <row r="1790">
      <c r="A1790" s="185"/>
      <c r="B1790" s="186"/>
      <c r="C1790" s="185"/>
      <c r="D1790" s="185"/>
      <c r="E1790" s="185"/>
      <c r="F1790" s="185"/>
      <c r="G1790" s="185"/>
      <c r="H1790" s="185"/>
      <c r="I1790" s="185"/>
      <c r="J1790" s="185"/>
      <c r="K1790" s="185"/>
      <c r="L1790" s="187"/>
      <c r="M1790" s="188"/>
      <c r="N1790" s="188"/>
      <c r="O1790" s="208"/>
      <c r="P1790" s="208"/>
      <c r="Q1790" s="208"/>
      <c r="R1790" s="208"/>
    </row>
    <row r="1791">
      <c r="A1791" s="185"/>
      <c r="B1791" s="186"/>
      <c r="C1791" s="185"/>
      <c r="D1791" s="185"/>
      <c r="E1791" s="185"/>
      <c r="F1791" s="185"/>
      <c r="G1791" s="185"/>
      <c r="H1791" s="185"/>
      <c r="I1791" s="185"/>
      <c r="J1791" s="185"/>
      <c r="K1791" s="185"/>
      <c r="L1791" s="187"/>
      <c r="M1791" s="188"/>
      <c r="N1791" s="188"/>
      <c r="O1791" s="208"/>
      <c r="P1791" s="208"/>
      <c r="Q1791" s="208"/>
      <c r="R1791" s="208"/>
    </row>
    <row r="1792">
      <c r="A1792" s="185"/>
      <c r="B1792" s="186"/>
      <c r="C1792" s="185"/>
      <c r="D1792" s="185"/>
      <c r="E1792" s="185"/>
      <c r="F1792" s="185"/>
      <c r="G1792" s="185"/>
      <c r="H1792" s="185"/>
      <c r="I1792" s="185"/>
      <c r="J1792" s="185"/>
      <c r="K1792" s="185"/>
      <c r="L1792" s="187"/>
      <c r="M1792" s="188"/>
      <c r="N1792" s="188"/>
      <c r="O1792" s="208"/>
      <c r="P1792" s="208"/>
      <c r="Q1792" s="208"/>
      <c r="R1792" s="208"/>
    </row>
    <row r="1793">
      <c r="A1793" s="185"/>
      <c r="B1793" s="186"/>
      <c r="C1793" s="185"/>
      <c r="D1793" s="185"/>
      <c r="E1793" s="185"/>
      <c r="F1793" s="185"/>
      <c r="G1793" s="185"/>
      <c r="H1793" s="185"/>
      <c r="I1793" s="185"/>
      <c r="J1793" s="185"/>
      <c r="K1793" s="185"/>
      <c r="L1793" s="187"/>
      <c r="M1793" s="188"/>
      <c r="N1793" s="188"/>
      <c r="O1793" s="208"/>
      <c r="P1793" s="208"/>
      <c r="Q1793" s="208"/>
      <c r="R1793" s="208"/>
    </row>
    <row r="1794">
      <c r="A1794" s="185"/>
      <c r="B1794" s="186"/>
      <c r="C1794" s="185"/>
      <c r="D1794" s="185"/>
      <c r="E1794" s="185"/>
      <c r="F1794" s="185"/>
      <c r="G1794" s="185"/>
      <c r="H1794" s="185"/>
      <c r="I1794" s="185"/>
      <c r="J1794" s="185"/>
      <c r="K1794" s="185"/>
      <c r="L1794" s="187"/>
      <c r="M1794" s="188"/>
      <c r="N1794" s="188"/>
      <c r="O1794" s="208"/>
      <c r="P1794" s="208"/>
      <c r="Q1794" s="208"/>
      <c r="R1794" s="208"/>
    </row>
    <row r="1795">
      <c r="A1795" s="185"/>
      <c r="B1795" s="186"/>
      <c r="C1795" s="185"/>
      <c r="D1795" s="185"/>
      <c r="E1795" s="185"/>
      <c r="F1795" s="185"/>
      <c r="G1795" s="185"/>
      <c r="H1795" s="185"/>
      <c r="I1795" s="185"/>
      <c r="J1795" s="185"/>
      <c r="K1795" s="185"/>
      <c r="L1795" s="187"/>
      <c r="M1795" s="188"/>
      <c r="N1795" s="188"/>
      <c r="O1795" s="208"/>
      <c r="P1795" s="208"/>
      <c r="Q1795" s="208"/>
      <c r="R1795" s="208"/>
    </row>
    <row r="1796">
      <c r="A1796" s="185"/>
      <c r="B1796" s="186"/>
      <c r="C1796" s="185"/>
      <c r="D1796" s="185"/>
      <c r="E1796" s="185"/>
      <c r="F1796" s="185"/>
      <c r="G1796" s="185"/>
      <c r="H1796" s="185"/>
      <c r="I1796" s="185"/>
      <c r="J1796" s="185"/>
      <c r="K1796" s="185"/>
      <c r="L1796" s="187"/>
      <c r="M1796" s="188"/>
      <c r="N1796" s="188"/>
      <c r="O1796" s="208"/>
      <c r="P1796" s="208"/>
      <c r="Q1796" s="208"/>
      <c r="R1796" s="208"/>
    </row>
    <row r="1797">
      <c r="A1797" s="185"/>
      <c r="B1797" s="186"/>
      <c r="C1797" s="185"/>
      <c r="D1797" s="185"/>
      <c r="E1797" s="185"/>
      <c r="F1797" s="185"/>
      <c r="G1797" s="185"/>
      <c r="H1797" s="185"/>
      <c r="I1797" s="185"/>
      <c r="J1797" s="185"/>
      <c r="K1797" s="185"/>
      <c r="L1797" s="187"/>
      <c r="M1797" s="188"/>
      <c r="N1797" s="188"/>
      <c r="O1797" s="208"/>
      <c r="P1797" s="208"/>
      <c r="Q1797" s="208"/>
      <c r="R1797" s="208"/>
    </row>
    <row r="1798">
      <c r="A1798" s="185"/>
      <c r="B1798" s="186"/>
      <c r="C1798" s="185"/>
      <c r="D1798" s="185"/>
      <c r="E1798" s="185"/>
      <c r="F1798" s="185"/>
      <c r="G1798" s="185"/>
      <c r="H1798" s="185"/>
      <c r="I1798" s="185"/>
      <c r="J1798" s="185"/>
      <c r="K1798" s="185"/>
      <c r="L1798" s="187"/>
      <c r="M1798" s="188"/>
      <c r="N1798" s="188"/>
      <c r="O1798" s="208"/>
      <c r="P1798" s="208"/>
      <c r="Q1798" s="208"/>
      <c r="R1798" s="208"/>
    </row>
    <row r="1799">
      <c r="A1799" s="185"/>
      <c r="B1799" s="186"/>
      <c r="C1799" s="185"/>
      <c r="D1799" s="185"/>
      <c r="E1799" s="185"/>
      <c r="F1799" s="185"/>
      <c r="G1799" s="185"/>
      <c r="H1799" s="185"/>
      <c r="I1799" s="185"/>
      <c r="J1799" s="185"/>
      <c r="K1799" s="185"/>
      <c r="L1799" s="187"/>
      <c r="M1799" s="188"/>
      <c r="N1799" s="188"/>
      <c r="O1799" s="208"/>
      <c r="P1799" s="208"/>
      <c r="Q1799" s="208"/>
      <c r="R1799" s="208"/>
    </row>
    <row r="1800">
      <c r="A1800" s="185"/>
      <c r="B1800" s="186"/>
      <c r="C1800" s="185"/>
      <c r="D1800" s="185"/>
      <c r="E1800" s="185"/>
      <c r="F1800" s="185"/>
      <c r="G1800" s="185"/>
      <c r="H1800" s="185"/>
      <c r="I1800" s="185"/>
      <c r="J1800" s="185"/>
      <c r="K1800" s="185"/>
      <c r="L1800" s="187"/>
      <c r="M1800" s="188"/>
      <c r="N1800" s="188"/>
      <c r="O1800" s="208"/>
      <c r="P1800" s="208"/>
      <c r="Q1800" s="208"/>
      <c r="R1800" s="208"/>
    </row>
    <row r="1801">
      <c r="A1801" s="185"/>
      <c r="B1801" s="186"/>
      <c r="C1801" s="185"/>
      <c r="D1801" s="185"/>
      <c r="E1801" s="185"/>
      <c r="F1801" s="185"/>
      <c r="G1801" s="185"/>
      <c r="H1801" s="185"/>
      <c r="I1801" s="185"/>
      <c r="J1801" s="185"/>
      <c r="K1801" s="185"/>
      <c r="L1801" s="187"/>
      <c r="M1801" s="188"/>
      <c r="N1801" s="188"/>
      <c r="O1801" s="208"/>
      <c r="P1801" s="208"/>
      <c r="Q1801" s="208"/>
      <c r="R1801" s="208"/>
    </row>
    <row r="1802">
      <c r="A1802" s="185"/>
      <c r="B1802" s="186"/>
      <c r="C1802" s="185"/>
      <c r="D1802" s="185"/>
      <c r="E1802" s="185"/>
      <c r="F1802" s="185"/>
      <c r="G1802" s="185"/>
      <c r="H1802" s="185"/>
      <c r="I1802" s="185"/>
      <c r="J1802" s="185"/>
      <c r="K1802" s="185"/>
      <c r="L1802" s="187"/>
      <c r="M1802" s="188"/>
      <c r="N1802" s="188"/>
      <c r="O1802" s="208"/>
      <c r="P1802" s="208"/>
      <c r="Q1802" s="208"/>
      <c r="R1802" s="208"/>
    </row>
    <row r="1803">
      <c r="A1803" s="185"/>
      <c r="B1803" s="186"/>
      <c r="C1803" s="185"/>
      <c r="D1803" s="185"/>
      <c r="E1803" s="185"/>
      <c r="F1803" s="185"/>
      <c r="G1803" s="185"/>
      <c r="H1803" s="185"/>
      <c r="I1803" s="185"/>
      <c r="J1803" s="185"/>
      <c r="K1803" s="185"/>
      <c r="L1803" s="187"/>
      <c r="M1803" s="188"/>
      <c r="N1803" s="188"/>
      <c r="O1803" s="208"/>
      <c r="P1803" s="208"/>
      <c r="Q1803" s="208"/>
      <c r="R1803" s="208"/>
    </row>
    <row r="1804">
      <c r="A1804" s="185"/>
      <c r="B1804" s="186"/>
      <c r="C1804" s="185"/>
      <c r="D1804" s="185"/>
      <c r="E1804" s="185"/>
      <c r="F1804" s="185"/>
      <c r="G1804" s="185"/>
      <c r="H1804" s="185"/>
      <c r="I1804" s="185"/>
      <c r="J1804" s="185"/>
      <c r="K1804" s="185"/>
      <c r="L1804" s="187"/>
      <c r="M1804" s="188"/>
      <c r="N1804" s="188"/>
      <c r="O1804" s="208"/>
      <c r="P1804" s="208"/>
      <c r="Q1804" s="208"/>
      <c r="R1804" s="208"/>
    </row>
    <row r="1805">
      <c r="A1805" s="185"/>
      <c r="B1805" s="186"/>
      <c r="C1805" s="185"/>
      <c r="D1805" s="185"/>
      <c r="E1805" s="185"/>
      <c r="F1805" s="185"/>
      <c r="G1805" s="185"/>
      <c r="H1805" s="185"/>
      <c r="I1805" s="185"/>
      <c r="J1805" s="185"/>
      <c r="K1805" s="185"/>
      <c r="L1805" s="187"/>
      <c r="M1805" s="188"/>
      <c r="N1805" s="188"/>
      <c r="O1805" s="208"/>
      <c r="P1805" s="208"/>
      <c r="Q1805" s="208"/>
      <c r="R1805" s="208"/>
    </row>
    <row r="1806">
      <c r="A1806" s="185"/>
      <c r="B1806" s="186"/>
      <c r="C1806" s="185"/>
      <c r="D1806" s="185"/>
      <c r="E1806" s="185"/>
      <c r="F1806" s="185"/>
      <c r="G1806" s="185"/>
      <c r="H1806" s="185"/>
      <c r="I1806" s="185"/>
      <c r="J1806" s="185"/>
      <c r="K1806" s="185"/>
      <c r="L1806" s="187"/>
      <c r="M1806" s="188"/>
      <c r="N1806" s="188"/>
      <c r="O1806" s="208"/>
      <c r="P1806" s="208"/>
      <c r="Q1806" s="208"/>
      <c r="R1806" s="208"/>
    </row>
    <row r="1807">
      <c r="A1807" s="185"/>
      <c r="B1807" s="186"/>
      <c r="C1807" s="185"/>
      <c r="D1807" s="185"/>
      <c r="E1807" s="185"/>
      <c r="F1807" s="185"/>
      <c r="G1807" s="185"/>
      <c r="H1807" s="185"/>
      <c r="I1807" s="185"/>
      <c r="J1807" s="185"/>
      <c r="K1807" s="185"/>
      <c r="L1807" s="187"/>
      <c r="M1807" s="188"/>
      <c r="N1807" s="188"/>
      <c r="O1807" s="208"/>
      <c r="P1807" s="208"/>
      <c r="Q1807" s="208"/>
      <c r="R1807" s="208"/>
    </row>
    <row r="1808">
      <c r="A1808" s="185"/>
      <c r="B1808" s="186"/>
      <c r="C1808" s="185"/>
      <c r="D1808" s="185"/>
      <c r="E1808" s="185"/>
      <c r="F1808" s="185"/>
      <c r="G1808" s="185"/>
      <c r="H1808" s="185"/>
      <c r="I1808" s="185"/>
      <c r="J1808" s="185"/>
      <c r="K1808" s="185"/>
      <c r="L1808" s="187"/>
      <c r="M1808" s="188"/>
      <c r="N1808" s="188"/>
      <c r="O1808" s="208"/>
      <c r="P1808" s="208"/>
      <c r="Q1808" s="208"/>
      <c r="R1808" s="208"/>
    </row>
    <row r="1809">
      <c r="A1809" s="185"/>
      <c r="B1809" s="186"/>
      <c r="C1809" s="185"/>
      <c r="D1809" s="185"/>
      <c r="E1809" s="185"/>
      <c r="F1809" s="185"/>
      <c r="G1809" s="185"/>
      <c r="H1809" s="185"/>
      <c r="I1809" s="185"/>
      <c r="J1809" s="185"/>
      <c r="K1809" s="185"/>
      <c r="L1809" s="187"/>
      <c r="M1809" s="188"/>
      <c r="N1809" s="188"/>
      <c r="O1809" s="208"/>
      <c r="P1809" s="208"/>
      <c r="Q1809" s="208"/>
      <c r="R1809" s="208"/>
    </row>
    <row r="1810">
      <c r="A1810" s="185"/>
      <c r="B1810" s="186"/>
      <c r="C1810" s="185"/>
      <c r="D1810" s="185"/>
      <c r="E1810" s="185"/>
      <c r="F1810" s="185"/>
      <c r="G1810" s="185"/>
      <c r="H1810" s="185"/>
      <c r="I1810" s="185"/>
      <c r="J1810" s="185"/>
      <c r="K1810" s="185"/>
      <c r="L1810" s="187"/>
      <c r="M1810" s="188"/>
      <c r="N1810" s="188"/>
      <c r="O1810" s="208"/>
      <c r="P1810" s="208"/>
      <c r="Q1810" s="208"/>
      <c r="R1810" s="208"/>
    </row>
    <row r="1811">
      <c r="A1811" s="185"/>
      <c r="B1811" s="186"/>
      <c r="C1811" s="185"/>
      <c r="D1811" s="185"/>
      <c r="E1811" s="185"/>
      <c r="F1811" s="185"/>
      <c r="G1811" s="185"/>
      <c r="H1811" s="185"/>
      <c r="I1811" s="185"/>
      <c r="J1811" s="185"/>
      <c r="K1811" s="185"/>
      <c r="L1811" s="187"/>
      <c r="M1811" s="188"/>
      <c r="N1811" s="188"/>
      <c r="O1811" s="208"/>
      <c r="P1811" s="208"/>
      <c r="Q1811" s="208"/>
      <c r="R1811" s="208"/>
    </row>
    <row r="1812">
      <c r="A1812" s="185"/>
      <c r="B1812" s="186"/>
      <c r="C1812" s="185"/>
      <c r="D1812" s="185"/>
      <c r="E1812" s="185"/>
      <c r="F1812" s="185"/>
      <c r="G1812" s="185"/>
      <c r="H1812" s="185"/>
      <c r="I1812" s="185"/>
      <c r="J1812" s="185"/>
      <c r="K1812" s="185"/>
      <c r="L1812" s="187"/>
      <c r="M1812" s="188"/>
      <c r="N1812" s="188"/>
      <c r="O1812" s="208"/>
      <c r="P1812" s="208"/>
      <c r="Q1812" s="208"/>
      <c r="R1812" s="208"/>
    </row>
    <row r="1813">
      <c r="A1813" s="185"/>
      <c r="B1813" s="186"/>
      <c r="C1813" s="185"/>
      <c r="D1813" s="185"/>
      <c r="E1813" s="185"/>
      <c r="F1813" s="185"/>
      <c r="G1813" s="185"/>
      <c r="H1813" s="185"/>
      <c r="I1813" s="185"/>
      <c r="J1813" s="185"/>
      <c r="K1813" s="185"/>
      <c r="L1813" s="187"/>
      <c r="M1813" s="188"/>
      <c r="N1813" s="188"/>
      <c r="O1813" s="208"/>
      <c r="P1813" s="208"/>
      <c r="Q1813" s="208"/>
      <c r="R1813" s="208"/>
    </row>
    <row r="1814">
      <c r="A1814" s="185"/>
      <c r="B1814" s="186"/>
      <c r="C1814" s="185"/>
      <c r="D1814" s="185"/>
      <c r="E1814" s="185"/>
      <c r="F1814" s="185"/>
      <c r="G1814" s="185"/>
      <c r="H1814" s="185"/>
      <c r="I1814" s="185"/>
      <c r="J1814" s="185"/>
      <c r="K1814" s="185"/>
      <c r="L1814" s="187"/>
      <c r="M1814" s="188"/>
      <c r="N1814" s="188"/>
      <c r="O1814" s="208"/>
      <c r="P1814" s="208"/>
      <c r="Q1814" s="208"/>
      <c r="R1814" s="208"/>
    </row>
    <row r="1815">
      <c r="A1815" s="185"/>
      <c r="B1815" s="186"/>
      <c r="C1815" s="185"/>
      <c r="D1815" s="185"/>
      <c r="E1815" s="185"/>
      <c r="F1815" s="185"/>
      <c r="G1815" s="185"/>
      <c r="H1815" s="185"/>
      <c r="I1815" s="185"/>
      <c r="J1815" s="185"/>
      <c r="K1815" s="185"/>
      <c r="L1815" s="187"/>
      <c r="M1815" s="188"/>
      <c r="N1815" s="188"/>
      <c r="O1815" s="208"/>
      <c r="P1815" s="208"/>
      <c r="Q1815" s="208"/>
      <c r="R1815" s="208"/>
    </row>
    <row r="1816">
      <c r="A1816" s="185"/>
      <c r="B1816" s="186"/>
      <c r="C1816" s="185"/>
      <c r="D1816" s="185"/>
      <c r="E1816" s="185"/>
      <c r="F1816" s="185"/>
      <c r="G1816" s="185"/>
      <c r="H1816" s="185"/>
      <c r="I1816" s="185"/>
      <c r="J1816" s="185"/>
      <c r="K1816" s="185"/>
      <c r="L1816" s="187"/>
      <c r="M1816" s="188"/>
      <c r="N1816" s="188"/>
      <c r="O1816" s="208"/>
      <c r="P1816" s="208"/>
      <c r="Q1816" s="208"/>
      <c r="R1816" s="208"/>
    </row>
    <row r="1817">
      <c r="A1817" s="185"/>
      <c r="B1817" s="186"/>
      <c r="C1817" s="185"/>
      <c r="D1817" s="185"/>
      <c r="E1817" s="185"/>
      <c r="F1817" s="185"/>
      <c r="G1817" s="185"/>
      <c r="H1817" s="185"/>
      <c r="I1817" s="185"/>
      <c r="J1817" s="185"/>
      <c r="K1817" s="185"/>
      <c r="L1817" s="187"/>
      <c r="M1817" s="188"/>
      <c r="N1817" s="188"/>
      <c r="O1817" s="208"/>
      <c r="P1817" s="208"/>
      <c r="Q1817" s="208"/>
      <c r="R1817" s="208"/>
    </row>
    <row r="1818">
      <c r="A1818" s="185"/>
      <c r="B1818" s="186"/>
      <c r="C1818" s="185"/>
      <c r="D1818" s="185"/>
      <c r="E1818" s="185"/>
      <c r="F1818" s="185"/>
      <c r="G1818" s="185"/>
      <c r="H1818" s="185"/>
      <c r="I1818" s="185"/>
      <c r="J1818" s="185"/>
      <c r="K1818" s="185"/>
      <c r="L1818" s="187"/>
      <c r="M1818" s="188"/>
      <c r="N1818" s="188"/>
      <c r="O1818" s="208"/>
      <c r="P1818" s="208"/>
      <c r="Q1818" s="208"/>
      <c r="R1818" s="208"/>
    </row>
    <row r="1819">
      <c r="A1819" s="185"/>
      <c r="B1819" s="186"/>
      <c r="C1819" s="185"/>
      <c r="D1819" s="185"/>
      <c r="E1819" s="185"/>
      <c r="F1819" s="185"/>
      <c r="G1819" s="185"/>
      <c r="H1819" s="185"/>
      <c r="I1819" s="185"/>
      <c r="J1819" s="185"/>
      <c r="K1819" s="185"/>
      <c r="L1819" s="187"/>
      <c r="M1819" s="188"/>
      <c r="N1819" s="188"/>
      <c r="O1819" s="208"/>
      <c r="P1819" s="208"/>
      <c r="Q1819" s="208"/>
      <c r="R1819" s="208"/>
    </row>
    <row r="1820">
      <c r="A1820" s="185"/>
      <c r="B1820" s="186"/>
      <c r="C1820" s="185"/>
      <c r="D1820" s="185"/>
      <c r="E1820" s="185"/>
      <c r="F1820" s="185"/>
      <c r="G1820" s="185"/>
      <c r="H1820" s="185"/>
      <c r="I1820" s="185"/>
      <c r="J1820" s="185"/>
      <c r="K1820" s="185"/>
      <c r="L1820" s="187"/>
      <c r="M1820" s="188"/>
      <c r="N1820" s="188"/>
      <c r="O1820" s="208"/>
      <c r="P1820" s="208"/>
      <c r="Q1820" s="208"/>
      <c r="R1820" s="208"/>
    </row>
    <row r="1821">
      <c r="A1821" s="185"/>
      <c r="B1821" s="186"/>
      <c r="C1821" s="185"/>
      <c r="D1821" s="185"/>
      <c r="E1821" s="185"/>
      <c r="F1821" s="185"/>
      <c r="G1821" s="185"/>
      <c r="H1821" s="185"/>
      <c r="I1821" s="185"/>
      <c r="J1821" s="185"/>
      <c r="K1821" s="185"/>
      <c r="L1821" s="187"/>
      <c r="M1821" s="188"/>
      <c r="N1821" s="188"/>
      <c r="O1821" s="208"/>
      <c r="P1821" s="208"/>
      <c r="Q1821" s="208"/>
      <c r="R1821" s="208"/>
    </row>
    <row r="1822">
      <c r="A1822" s="185"/>
      <c r="B1822" s="186"/>
      <c r="C1822" s="185"/>
      <c r="D1822" s="185"/>
      <c r="E1822" s="185"/>
      <c r="F1822" s="185"/>
      <c r="G1822" s="185"/>
      <c r="H1822" s="185"/>
      <c r="I1822" s="185"/>
      <c r="J1822" s="185"/>
      <c r="K1822" s="185"/>
      <c r="L1822" s="187"/>
      <c r="M1822" s="188"/>
      <c r="N1822" s="188"/>
      <c r="O1822" s="208"/>
      <c r="P1822" s="208"/>
      <c r="Q1822" s="208"/>
      <c r="R1822" s="208"/>
    </row>
    <row r="1823">
      <c r="A1823" s="185"/>
      <c r="B1823" s="186"/>
      <c r="C1823" s="185"/>
      <c r="D1823" s="185"/>
      <c r="E1823" s="185"/>
      <c r="F1823" s="185"/>
      <c r="G1823" s="185"/>
      <c r="H1823" s="185"/>
      <c r="I1823" s="185"/>
      <c r="J1823" s="185"/>
      <c r="K1823" s="185"/>
      <c r="L1823" s="187"/>
      <c r="M1823" s="188"/>
      <c r="N1823" s="188"/>
      <c r="O1823" s="208"/>
      <c r="P1823" s="208"/>
      <c r="Q1823" s="208"/>
      <c r="R1823" s="208"/>
    </row>
    <row r="1824">
      <c r="A1824" s="185"/>
      <c r="B1824" s="186"/>
      <c r="C1824" s="185"/>
      <c r="D1824" s="185"/>
      <c r="E1824" s="185"/>
      <c r="F1824" s="185"/>
      <c r="G1824" s="185"/>
      <c r="H1824" s="185"/>
      <c r="I1824" s="185"/>
      <c r="J1824" s="185"/>
      <c r="K1824" s="185"/>
      <c r="L1824" s="187"/>
      <c r="M1824" s="188"/>
      <c r="N1824" s="188"/>
      <c r="O1824" s="208"/>
      <c r="P1824" s="208"/>
      <c r="Q1824" s="208"/>
      <c r="R1824" s="208"/>
    </row>
    <row r="1825">
      <c r="A1825" s="185"/>
      <c r="B1825" s="186"/>
      <c r="C1825" s="185"/>
      <c r="D1825" s="185"/>
      <c r="E1825" s="185"/>
      <c r="F1825" s="185"/>
      <c r="G1825" s="185"/>
      <c r="H1825" s="185"/>
      <c r="I1825" s="185"/>
      <c r="J1825" s="185"/>
      <c r="K1825" s="185"/>
      <c r="L1825" s="187"/>
      <c r="M1825" s="188"/>
      <c r="N1825" s="188"/>
      <c r="O1825" s="208"/>
      <c r="P1825" s="208"/>
      <c r="Q1825" s="208"/>
      <c r="R1825" s="208"/>
    </row>
    <row r="1826">
      <c r="A1826" s="185"/>
      <c r="B1826" s="186"/>
      <c r="C1826" s="185"/>
      <c r="D1826" s="185"/>
      <c r="E1826" s="185"/>
      <c r="F1826" s="185"/>
      <c r="G1826" s="185"/>
      <c r="H1826" s="185"/>
      <c r="I1826" s="185"/>
      <c r="J1826" s="185"/>
      <c r="K1826" s="185"/>
      <c r="L1826" s="187"/>
      <c r="M1826" s="188"/>
      <c r="N1826" s="188"/>
      <c r="O1826" s="208"/>
      <c r="P1826" s="208"/>
      <c r="Q1826" s="208"/>
      <c r="R1826" s="208"/>
    </row>
    <row r="1827">
      <c r="A1827" s="185"/>
      <c r="B1827" s="186"/>
      <c r="C1827" s="185"/>
      <c r="D1827" s="185"/>
      <c r="E1827" s="185"/>
      <c r="F1827" s="185"/>
      <c r="G1827" s="185"/>
      <c r="H1827" s="185"/>
      <c r="I1827" s="185"/>
      <c r="J1827" s="185"/>
      <c r="K1827" s="185"/>
      <c r="L1827" s="187"/>
      <c r="M1827" s="188"/>
      <c r="N1827" s="188"/>
      <c r="O1827" s="208"/>
      <c r="P1827" s="208"/>
      <c r="Q1827" s="208"/>
      <c r="R1827" s="208"/>
    </row>
    <row r="1828">
      <c r="A1828" s="185"/>
      <c r="B1828" s="186"/>
      <c r="C1828" s="185"/>
      <c r="D1828" s="185"/>
      <c r="E1828" s="185"/>
      <c r="F1828" s="185"/>
      <c r="G1828" s="185"/>
      <c r="H1828" s="185"/>
      <c r="I1828" s="185"/>
      <c r="J1828" s="185"/>
      <c r="K1828" s="185"/>
      <c r="L1828" s="187"/>
      <c r="M1828" s="188"/>
      <c r="N1828" s="188"/>
      <c r="O1828" s="208"/>
      <c r="P1828" s="208"/>
      <c r="Q1828" s="208"/>
      <c r="R1828" s="208"/>
    </row>
    <row r="1829">
      <c r="A1829" s="185"/>
      <c r="B1829" s="186"/>
      <c r="C1829" s="185"/>
      <c r="D1829" s="185"/>
      <c r="E1829" s="185"/>
      <c r="F1829" s="185"/>
      <c r="G1829" s="185"/>
      <c r="H1829" s="185"/>
      <c r="I1829" s="185"/>
      <c r="J1829" s="185"/>
      <c r="K1829" s="185"/>
      <c r="L1829" s="187"/>
      <c r="M1829" s="188"/>
      <c r="N1829" s="188"/>
      <c r="O1829" s="208"/>
      <c r="P1829" s="208"/>
      <c r="Q1829" s="208"/>
      <c r="R1829" s="208"/>
    </row>
    <row r="1830">
      <c r="A1830" s="185"/>
      <c r="B1830" s="186"/>
      <c r="C1830" s="185"/>
      <c r="D1830" s="185"/>
      <c r="E1830" s="185"/>
      <c r="F1830" s="185"/>
      <c r="G1830" s="185"/>
      <c r="H1830" s="185"/>
      <c r="I1830" s="185"/>
      <c r="J1830" s="185"/>
      <c r="K1830" s="185"/>
      <c r="L1830" s="187"/>
      <c r="M1830" s="188"/>
      <c r="N1830" s="188"/>
      <c r="O1830" s="208"/>
      <c r="P1830" s="208"/>
      <c r="Q1830" s="208"/>
      <c r="R1830" s="208"/>
    </row>
    <row r="1831">
      <c r="A1831" s="185"/>
      <c r="B1831" s="186"/>
      <c r="C1831" s="185"/>
      <c r="D1831" s="185"/>
      <c r="E1831" s="185"/>
      <c r="F1831" s="185"/>
      <c r="G1831" s="185"/>
      <c r="H1831" s="185"/>
      <c r="I1831" s="185"/>
      <c r="J1831" s="185"/>
      <c r="K1831" s="185"/>
      <c r="L1831" s="187"/>
      <c r="M1831" s="188"/>
      <c r="N1831" s="188"/>
      <c r="O1831" s="208"/>
      <c r="P1831" s="208"/>
      <c r="Q1831" s="208"/>
      <c r="R1831" s="208"/>
    </row>
    <row r="1832">
      <c r="A1832" s="185"/>
      <c r="B1832" s="186"/>
      <c r="C1832" s="185"/>
      <c r="D1832" s="185"/>
      <c r="E1832" s="185"/>
      <c r="F1832" s="185"/>
      <c r="G1832" s="185"/>
      <c r="H1832" s="185"/>
      <c r="I1832" s="185"/>
      <c r="J1832" s="185"/>
      <c r="K1832" s="185"/>
      <c r="L1832" s="187"/>
      <c r="M1832" s="188"/>
      <c r="N1832" s="188"/>
      <c r="O1832" s="208"/>
      <c r="P1832" s="208"/>
      <c r="Q1832" s="208"/>
      <c r="R1832" s="208"/>
    </row>
    <row r="1833">
      <c r="A1833" s="185"/>
      <c r="B1833" s="186"/>
      <c r="C1833" s="185"/>
      <c r="D1833" s="185"/>
      <c r="E1833" s="185"/>
      <c r="F1833" s="185"/>
      <c r="G1833" s="185"/>
      <c r="H1833" s="185"/>
      <c r="I1833" s="185"/>
      <c r="J1833" s="185"/>
      <c r="K1833" s="185"/>
      <c r="L1833" s="187"/>
      <c r="M1833" s="188"/>
      <c r="N1833" s="188"/>
      <c r="O1833" s="208"/>
      <c r="P1833" s="208"/>
      <c r="Q1833" s="208"/>
      <c r="R1833" s="208"/>
    </row>
    <row r="1834">
      <c r="A1834" s="185"/>
      <c r="B1834" s="186"/>
      <c r="C1834" s="185"/>
      <c r="D1834" s="185"/>
      <c r="E1834" s="185"/>
      <c r="F1834" s="185"/>
      <c r="G1834" s="185"/>
      <c r="H1834" s="185"/>
      <c r="I1834" s="185"/>
      <c r="J1834" s="185"/>
      <c r="K1834" s="185"/>
      <c r="L1834" s="187"/>
      <c r="M1834" s="188"/>
      <c r="N1834" s="188"/>
      <c r="O1834" s="208"/>
      <c r="P1834" s="208"/>
      <c r="Q1834" s="208"/>
      <c r="R1834" s="208"/>
    </row>
    <row r="1835">
      <c r="A1835" s="185"/>
      <c r="B1835" s="186"/>
      <c r="C1835" s="185"/>
      <c r="D1835" s="185"/>
      <c r="E1835" s="185"/>
      <c r="F1835" s="185"/>
      <c r="G1835" s="185"/>
      <c r="H1835" s="185"/>
      <c r="I1835" s="185"/>
      <c r="J1835" s="185"/>
      <c r="K1835" s="185"/>
      <c r="L1835" s="187"/>
      <c r="M1835" s="188"/>
      <c r="N1835" s="188"/>
      <c r="O1835" s="208"/>
      <c r="P1835" s="208"/>
      <c r="Q1835" s="208"/>
      <c r="R1835" s="208"/>
    </row>
    <row r="1836">
      <c r="A1836" s="185"/>
      <c r="B1836" s="186"/>
      <c r="C1836" s="185"/>
      <c r="D1836" s="185"/>
      <c r="E1836" s="185"/>
      <c r="F1836" s="185"/>
      <c r="G1836" s="185"/>
      <c r="H1836" s="185"/>
      <c r="I1836" s="185"/>
      <c r="J1836" s="185"/>
      <c r="K1836" s="185"/>
      <c r="L1836" s="187"/>
      <c r="M1836" s="188"/>
      <c r="N1836" s="188"/>
      <c r="O1836" s="208"/>
      <c r="P1836" s="208"/>
      <c r="Q1836" s="208"/>
      <c r="R1836" s="208"/>
    </row>
    <row r="1837">
      <c r="A1837" s="185"/>
      <c r="B1837" s="186"/>
      <c r="C1837" s="185"/>
      <c r="D1837" s="185"/>
      <c r="E1837" s="185"/>
      <c r="F1837" s="185"/>
      <c r="G1837" s="185"/>
      <c r="H1837" s="185"/>
      <c r="I1837" s="185"/>
      <c r="J1837" s="185"/>
      <c r="K1837" s="185"/>
      <c r="L1837" s="187"/>
      <c r="M1837" s="188"/>
      <c r="N1837" s="188"/>
      <c r="O1837" s="208"/>
      <c r="P1837" s="208"/>
      <c r="Q1837" s="208"/>
      <c r="R1837" s="208"/>
    </row>
    <row r="1838">
      <c r="A1838" s="185"/>
      <c r="B1838" s="186"/>
      <c r="C1838" s="185"/>
      <c r="D1838" s="185"/>
      <c r="E1838" s="185"/>
      <c r="F1838" s="185"/>
      <c r="G1838" s="185"/>
      <c r="H1838" s="185"/>
      <c r="I1838" s="185"/>
      <c r="J1838" s="185"/>
      <c r="K1838" s="185"/>
      <c r="L1838" s="187"/>
      <c r="M1838" s="188"/>
      <c r="N1838" s="188"/>
      <c r="O1838" s="208"/>
      <c r="P1838" s="208"/>
      <c r="Q1838" s="208"/>
      <c r="R1838" s="208"/>
    </row>
    <row r="1839">
      <c r="A1839" s="185"/>
      <c r="B1839" s="186"/>
      <c r="C1839" s="185"/>
      <c r="D1839" s="185"/>
      <c r="E1839" s="185"/>
      <c r="F1839" s="185"/>
      <c r="G1839" s="185"/>
      <c r="H1839" s="185"/>
      <c r="I1839" s="185"/>
      <c r="J1839" s="185"/>
      <c r="K1839" s="185"/>
      <c r="L1839" s="187"/>
      <c r="M1839" s="188"/>
      <c r="N1839" s="188"/>
      <c r="O1839" s="208"/>
      <c r="P1839" s="208"/>
      <c r="Q1839" s="208"/>
      <c r="R1839" s="208"/>
    </row>
    <row r="1840">
      <c r="A1840" s="185"/>
      <c r="B1840" s="186"/>
      <c r="C1840" s="185"/>
      <c r="D1840" s="185"/>
      <c r="E1840" s="185"/>
      <c r="F1840" s="185"/>
      <c r="G1840" s="185"/>
      <c r="H1840" s="185"/>
      <c r="I1840" s="185"/>
      <c r="J1840" s="185"/>
      <c r="K1840" s="185"/>
      <c r="L1840" s="187"/>
      <c r="M1840" s="188"/>
      <c r="N1840" s="188"/>
      <c r="O1840" s="208"/>
      <c r="P1840" s="208"/>
      <c r="Q1840" s="208"/>
      <c r="R1840" s="208"/>
    </row>
    <row r="1841">
      <c r="A1841" s="185"/>
      <c r="B1841" s="186"/>
      <c r="C1841" s="185"/>
      <c r="D1841" s="185"/>
      <c r="E1841" s="185"/>
      <c r="F1841" s="185"/>
      <c r="G1841" s="185"/>
      <c r="H1841" s="185"/>
      <c r="I1841" s="185"/>
      <c r="J1841" s="185"/>
      <c r="K1841" s="185"/>
      <c r="L1841" s="187"/>
      <c r="M1841" s="188"/>
      <c r="N1841" s="188"/>
      <c r="O1841" s="208"/>
      <c r="P1841" s="208"/>
      <c r="Q1841" s="208"/>
      <c r="R1841" s="208"/>
    </row>
    <row r="1842">
      <c r="A1842" s="185"/>
      <c r="B1842" s="186"/>
      <c r="C1842" s="185"/>
      <c r="D1842" s="185"/>
      <c r="E1842" s="185"/>
      <c r="F1842" s="185"/>
      <c r="G1842" s="185"/>
      <c r="H1842" s="185"/>
      <c r="I1842" s="185"/>
      <c r="J1842" s="185"/>
      <c r="K1842" s="185"/>
      <c r="L1842" s="187"/>
      <c r="M1842" s="188"/>
      <c r="N1842" s="188"/>
      <c r="O1842" s="208"/>
      <c r="P1842" s="208"/>
      <c r="Q1842" s="208"/>
      <c r="R1842" s="208"/>
    </row>
    <row r="1843">
      <c r="A1843" s="185"/>
      <c r="B1843" s="186"/>
      <c r="C1843" s="185"/>
      <c r="D1843" s="185"/>
      <c r="E1843" s="185"/>
      <c r="F1843" s="185"/>
      <c r="G1843" s="185"/>
      <c r="H1843" s="185"/>
      <c r="I1843" s="185"/>
      <c r="J1843" s="185"/>
      <c r="K1843" s="185"/>
      <c r="L1843" s="187"/>
      <c r="M1843" s="188"/>
      <c r="N1843" s="188"/>
      <c r="O1843" s="208"/>
      <c r="P1843" s="208"/>
      <c r="Q1843" s="208"/>
      <c r="R1843" s="208"/>
    </row>
    <row r="1844">
      <c r="A1844" s="185"/>
      <c r="B1844" s="186"/>
      <c r="C1844" s="185"/>
      <c r="D1844" s="185"/>
      <c r="E1844" s="185"/>
      <c r="F1844" s="185"/>
      <c r="G1844" s="185"/>
      <c r="H1844" s="185"/>
      <c r="I1844" s="185"/>
      <c r="J1844" s="185"/>
      <c r="K1844" s="185"/>
      <c r="L1844" s="187"/>
      <c r="M1844" s="188"/>
      <c r="N1844" s="188"/>
      <c r="O1844" s="208"/>
      <c r="P1844" s="208"/>
      <c r="Q1844" s="208"/>
      <c r="R1844" s="208"/>
    </row>
    <row r="1845">
      <c r="A1845" s="185"/>
      <c r="B1845" s="186"/>
      <c r="C1845" s="185"/>
      <c r="D1845" s="185"/>
      <c r="E1845" s="185"/>
      <c r="F1845" s="185"/>
      <c r="G1845" s="185"/>
      <c r="H1845" s="185"/>
      <c r="I1845" s="185"/>
      <c r="J1845" s="185"/>
      <c r="K1845" s="185"/>
      <c r="L1845" s="187"/>
      <c r="M1845" s="188"/>
      <c r="N1845" s="188"/>
      <c r="O1845" s="208"/>
      <c r="P1845" s="208"/>
      <c r="Q1845" s="208"/>
      <c r="R1845" s="208"/>
    </row>
    <row r="1846">
      <c r="A1846" s="185"/>
      <c r="B1846" s="186"/>
      <c r="C1846" s="185"/>
      <c r="D1846" s="185"/>
      <c r="E1846" s="185"/>
      <c r="F1846" s="185"/>
      <c r="G1846" s="185"/>
      <c r="H1846" s="185"/>
      <c r="I1846" s="185"/>
      <c r="J1846" s="185"/>
      <c r="K1846" s="185"/>
      <c r="L1846" s="187"/>
      <c r="M1846" s="188"/>
      <c r="N1846" s="188"/>
      <c r="O1846" s="208"/>
      <c r="P1846" s="208"/>
      <c r="Q1846" s="208"/>
      <c r="R1846" s="208"/>
    </row>
    <row r="1847">
      <c r="A1847" s="185"/>
      <c r="B1847" s="186"/>
      <c r="C1847" s="185"/>
      <c r="D1847" s="185"/>
      <c r="E1847" s="185"/>
      <c r="F1847" s="185"/>
      <c r="G1847" s="185"/>
      <c r="H1847" s="185"/>
      <c r="I1847" s="185"/>
      <c r="J1847" s="185"/>
      <c r="K1847" s="185"/>
      <c r="L1847" s="187"/>
      <c r="M1847" s="188"/>
      <c r="N1847" s="188"/>
      <c r="O1847" s="208"/>
      <c r="P1847" s="208"/>
      <c r="Q1847" s="208"/>
      <c r="R1847" s="208"/>
    </row>
    <row r="1848">
      <c r="A1848" s="185"/>
      <c r="B1848" s="186"/>
      <c r="C1848" s="185"/>
      <c r="D1848" s="185"/>
      <c r="E1848" s="185"/>
      <c r="F1848" s="185"/>
      <c r="G1848" s="185"/>
      <c r="H1848" s="185"/>
      <c r="I1848" s="185"/>
      <c r="J1848" s="185"/>
      <c r="K1848" s="185"/>
      <c r="L1848" s="187"/>
      <c r="M1848" s="188"/>
      <c r="N1848" s="188"/>
      <c r="O1848" s="208"/>
      <c r="P1848" s="208"/>
      <c r="Q1848" s="208"/>
      <c r="R1848" s="208"/>
    </row>
    <row r="1849">
      <c r="A1849" s="185"/>
      <c r="B1849" s="186"/>
      <c r="C1849" s="185"/>
      <c r="D1849" s="185"/>
      <c r="E1849" s="185"/>
      <c r="F1849" s="185"/>
      <c r="G1849" s="185"/>
      <c r="H1849" s="185"/>
      <c r="I1849" s="185"/>
      <c r="J1849" s="185"/>
      <c r="K1849" s="185"/>
      <c r="L1849" s="187"/>
      <c r="M1849" s="188"/>
      <c r="N1849" s="188"/>
      <c r="O1849" s="208"/>
      <c r="P1849" s="208"/>
      <c r="Q1849" s="208"/>
      <c r="R1849" s="208"/>
    </row>
    <row r="1850">
      <c r="A1850" s="185"/>
      <c r="B1850" s="186"/>
      <c r="C1850" s="185"/>
      <c r="D1850" s="185"/>
      <c r="E1850" s="185"/>
      <c r="F1850" s="185"/>
      <c r="G1850" s="185"/>
      <c r="H1850" s="185"/>
      <c r="I1850" s="185"/>
      <c r="J1850" s="185"/>
      <c r="K1850" s="185"/>
      <c r="L1850" s="187"/>
      <c r="M1850" s="188"/>
      <c r="N1850" s="188"/>
      <c r="O1850" s="208"/>
      <c r="P1850" s="208"/>
      <c r="Q1850" s="208"/>
      <c r="R1850" s="208"/>
    </row>
    <row r="1851">
      <c r="A1851" s="185"/>
      <c r="B1851" s="186"/>
      <c r="C1851" s="185"/>
      <c r="D1851" s="185"/>
      <c r="E1851" s="185"/>
      <c r="F1851" s="185"/>
      <c r="G1851" s="185"/>
      <c r="H1851" s="185"/>
      <c r="I1851" s="185"/>
      <c r="J1851" s="185"/>
      <c r="K1851" s="185"/>
      <c r="L1851" s="187"/>
      <c r="M1851" s="188"/>
      <c r="N1851" s="188"/>
      <c r="O1851" s="208"/>
      <c r="P1851" s="208"/>
      <c r="Q1851" s="208"/>
      <c r="R1851" s="208"/>
    </row>
    <row r="1852">
      <c r="A1852" s="185"/>
      <c r="B1852" s="186"/>
      <c r="C1852" s="185"/>
      <c r="D1852" s="185"/>
      <c r="E1852" s="185"/>
      <c r="F1852" s="185"/>
      <c r="G1852" s="185"/>
      <c r="H1852" s="185"/>
      <c r="I1852" s="185"/>
      <c r="J1852" s="185"/>
      <c r="K1852" s="185"/>
      <c r="L1852" s="187"/>
      <c r="M1852" s="188"/>
      <c r="N1852" s="188"/>
      <c r="O1852" s="208"/>
      <c r="P1852" s="208"/>
      <c r="Q1852" s="208"/>
      <c r="R1852" s="208"/>
    </row>
    <row r="1853">
      <c r="A1853" s="185"/>
      <c r="B1853" s="186"/>
      <c r="C1853" s="185"/>
      <c r="D1853" s="185"/>
      <c r="E1853" s="185"/>
      <c r="F1853" s="185"/>
      <c r="G1853" s="185"/>
      <c r="H1853" s="185"/>
      <c r="I1853" s="185"/>
      <c r="J1853" s="185"/>
      <c r="K1853" s="185"/>
      <c r="L1853" s="187"/>
      <c r="M1853" s="188"/>
      <c r="N1853" s="188"/>
      <c r="O1853" s="208"/>
      <c r="P1853" s="208"/>
      <c r="Q1853" s="208"/>
      <c r="R1853" s="208"/>
    </row>
    <row r="1854">
      <c r="A1854" s="185"/>
      <c r="B1854" s="186"/>
      <c r="C1854" s="185"/>
      <c r="D1854" s="185"/>
      <c r="E1854" s="185"/>
      <c r="F1854" s="185"/>
      <c r="G1854" s="185"/>
      <c r="H1854" s="185"/>
      <c r="I1854" s="185"/>
      <c r="J1854" s="185"/>
      <c r="K1854" s="185"/>
      <c r="L1854" s="187"/>
      <c r="M1854" s="188"/>
      <c r="N1854" s="188"/>
      <c r="O1854" s="208"/>
      <c r="P1854" s="208"/>
      <c r="Q1854" s="208"/>
      <c r="R1854" s="208"/>
    </row>
    <row r="1855">
      <c r="A1855" s="185"/>
      <c r="B1855" s="186"/>
      <c r="C1855" s="185"/>
      <c r="D1855" s="185"/>
      <c r="E1855" s="185"/>
      <c r="F1855" s="185"/>
      <c r="G1855" s="185"/>
      <c r="H1855" s="185"/>
      <c r="I1855" s="185"/>
      <c r="J1855" s="185"/>
      <c r="K1855" s="185"/>
      <c r="L1855" s="187"/>
      <c r="M1855" s="188"/>
      <c r="N1855" s="188"/>
      <c r="O1855" s="208"/>
      <c r="P1855" s="208"/>
      <c r="Q1855" s="208"/>
      <c r="R1855" s="208"/>
    </row>
    <row r="1856">
      <c r="A1856" s="185"/>
      <c r="B1856" s="186"/>
      <c r="C1856" s="185"/>
      <c r="D1856" s="185"/>
      <c r="E1856" s="185"/>
      <c r="F1856" s="185"/>
      <c r="G1856" s="185"/>
      <c r="H1856" s="185"/>
      <c r="I1856" s="185"/>
      <c r="J1856" s="185"/>
      <c r="K1856" s="185"/>
      <c r="L1856" s="187"/>
      <c r="M1856" s="188"/>
      <c r="N1856" s="188"/>
      <c r="O1856" s="208"/>
      <c r="P1856" s="208"/>
      <c r="Q1856" s="208"/>
      <c r="R1856" s="208"/>
    </row>
    <row r="1857">
      <c r="A1857" s="185"/>
      <c r="B1857" s="186"/>
      <c r="C1857" s="185"/>
      <c r="D1857" s="185"/>
      <c r="E1857" s="185"/>
      <c r="F1857" s="185"/>
      <c r="G1857" s="185"/>
      <c r="H1857" s="185"/>
      <c r="I1857" s="185"/>
      <c r="J1857" s="185"/>
      <c r="K1857" s="185"/>
      <c r="L1857" s="187"/>
      <c r="M1857" s="188"/>
      <c r="N1857" s="188"/>
      <c r="O1857" s="208"/>
      <c r="P1857" s="208"/>
      <c r="Q1857" s="208"/>
      <c r="R1857" s="208"/>
    </row>
    <row r="1858">
      <c r="A1858" s="185"/>
      <c r="B1858" s="186"/>
      <c r="C1858" s="185"/>
      <c r="D1858" s="185"/>
      <c r="E1858" s="185"/>
      <c r="F1858" s="185"/>
      <c r="G1858" s="185"/>
      <c r="H1858" s="185"/>
      <c r="I1858" s="185"/>
      <c r="J1858" s="185"/>
      <c r="K1858" s="185"/>
      <c r="L1858" s="187"/>
      <c r="M1858" s="188"/>
      <c r="N1858" s="188"/>
      <c r="O1858" s="208"/>
      <c r="P1858" s="208"/>
      <c r="Q1858" s="208"/>
      <c r="R1858" s="208"/>
    </row>
    <row r="1859">
      <c r="A1859" s="185"/>
      <c r="B1859" s="186"/>
      <c r="C1859" s="185"/>
      <c r="D1859" s="185"/>
      <c r="E1859" s="185"/>
      <c r="F1859" s="185"/>
      <c r="G1859" s="185"/>
      <c r="H1859" s="185"/>
      <c r="I1859" s="185"/>
      <c r="J1859" s="185"/>
      <c r="K1859" s="185"/>
      <c r="L1859" s="187"/>
      <c r="M1859" s="188"/>
      <c r="N1859" s="188"/>
      <c r="O1859" s="208"/>
      <c r="P1859" s="208"/>
      <c r="Q1859" s="208"/>
      <c r="R1859" s="208"/>
    </row>
    <row r="1860">
      <c r="A1860" s="185"/>
      <c r="B1860" s="186"/>
      <c r="C1860" s="185"/>
      <c r="D1860" s="185"/>
      <c r="E1860" s="185"/>
      <c r="F1860" s="185"/>
      <c r="G1860" s="185"/>
      <c r="H1860" s="185"/>
      <c r="I1860" s="185"/>
      <c r="J1860" s="185"/>
      <c r="K1860" s="185"/>
      <c r="L1860" s="187"/>
      <c r="M1860" s="188"/>
      <c r="N1860" s="188"/>
      <c r="O1860" s="208"/>
      <c r="P1860" s="208"/>
      <c r="Q1860" s="208"/>
      <c r="R1860" s="208"/>
    </row>
    <row r="1861">
      <c r="A1861" s="185"/>
      <c r="B1861" s="186"/>
      <c r="C1861" s="185"/>
      <c r="D1861" s="185"/>
      <c r="E1861" s="185"/>
      <c r="F1861" s="185"/>
      <c r="G1861" s="185"/>
      <c r="H1861" s="185"/>
      <c r="I1861" s="185"/>
      <c r="J1861" s="185"/>
      <c r="K1861" s="185"/>
      <c r="L1861" s="187"/>
      <c r="M1861" s="188"/>
      <c r="N1861" s="188"/>
      <c r="O1861" s="208"/>
      <c r="P1861" s="208"/>
      <c r="Q1861" s="208"/>
      <c r="R1861" s="208"/>
    </row>
    <row r="1862">
      <c r="A1862" s="185"/>
      <c r="B1862" s="186"/>
      <c r="C1862" s="185"/>
      <c r="D1862" s="185"/>
      <c r="E1862" s="185"/>
      <c r="F1862" s="185"/>
      <c r="G1862" s="185"/>
      <c r="H1862" s="185"/>
      <c r="I1862" s="185"/>
      <c r="J1862" s="185"/>
      <c r="K1862" s="185"/>
      <c r="L1862" s="187"/>
      <c r="M1862" s="188"/>
      <c r="N1862" s="188"/>
      <c r="O1862" s="208"/>
      <c r="P1862" s="208"/>
      <c r="Q1862" s="208"/>
      <c r="R1862" s="208"/>
    </row>
    <row r="1863">
      <c r="A1863" s="185"/>
      <c r="B1863" s="186"/>
      <c r="C1863" s="185"/>
      <c r="D1863" s="185"/>
      <c r="E1863" s="185"/>
      <c r="F1863" s="185"/>
      <c r="G1863" s="185"/>
      <c r="H1863" s="185"/>
      <c r="I1863" s="185"/>
      <c r="J1863" s="185"/>
      <c r="K1863" s="185"/>
      <c r="L1863" s="187"/>
      <c r="M1863" s="188"/>
      <c r="N1863" s="188"/>
      <c r="O1863" s="208"/>
      <c r="P1863" s="208"/>
      <c r="Q1863" s="208"/>
      <c r="R1863" s="208"/>
    </row>
    <row r="1864">
      <c r="A1864" s="185"/>
      <c r="B1864" s="186"/>
      <c r="C1864" s="185"/>
      <c r="D1864" s="185"/>
      <c r="E1864" s="185"/>
      <c r="F1864" s="185"/>
      <c r="G1864" s="185"/>
      <c r="H1864" s="185"/>
      <c r="I1864" s="185"/>
      <c r="J1864" s="185"/>
      <c r="K1864" s="185"/>
      <c r="L1864" s="187"/>
      <c r="M1864" s="188"/>
      <c r="N1864" s="188"/>
      <c r="O1864" s="208"/>
      <c r="P1864" s="208"/>
      <c r="Q1864" s="208"/>
      <c r="R1864" s="208"/>
    </row>
    <row r="1865">
      <c r="A1865" s="185"/>
      <c r="B1865" s="186"/>
      <c r="C1865" s="185"/>
      <c r="D1865" s="185"/>
      <c r="E1865" s="185"/>
      <c r="F1865" s="185"/>
      <c r="G1865" s="185"/>
      <c r="H1865" s="185"/>
      <c r="I1865" s="185"/>
      <c r="J1865" s="185"/>
      <c r="K1865" s="185"/>
      <c r="L1865" s="187"/>
      <c r="M1865" s="188"/>
      <c r="N1865" s="188"/>
      <c r="O1865" s="208"/>
      <c r="P1865" s="208"/>
      <c r="Q1865" s="208"/>
      <c r="R1865" s="208"/>
    </row>
    <row r="1866">
      <c r="A1866" s="185"/>
      <c r="B1866" s="186"/>
      <c r="C1866" s="185"/>
      <c r="D1866" s="185"/>
      <c r="E1866" s="185"/>
      <c r="F1866" s="185"/>
      <c r="G1866" s="185"/>
      <c r="H1866" s="185"/>
      <c r="I1866" s="185"/>
      <c r="J1866" s="185"/>
      <c r="K1866" s="185"/>
      <c r="L1866" s="187"/>
      <c r="M1866" s="188"/>
      <c r="N1866" s="188"/>
      <c r="O1866" s="208"/>
      <c r="P1866" s="208"/>
      <c r="Q1866" s="208"/>
      <c r="R1866" s="208"/>
    </row>
    <row r="1867">
      <c r="A1867" s="185"/>
      <c r="B1867" s="186"/>
      <c r="C1867" s="185"/>
      <c r="D1867" s="185"/>
      <c r="E1867" s="185"/>
      <c r="F1867" s="185"/>
      <c r="G1867" s="185"/>
      <c r="H1867" s="185"/>
      <c r="I1867" s="185"/>
      <c r="J1867" s="185"/>
      <c r="K1867" s="185"/>
      <c r="L1867" s="187"/>
      <c r="M1867" s="188"/>
      <c r="N1867" s="188"/>
      <c r="O1867" s="208"/>
      <c r="P1867" s="208"/>
      <c r="Q1867" s="208"/>
      <c r="R1867" s="208"/>
    </row>
    <row r="1868">
      <c r="A1868" s="185"/>
      <c r="B1868" s="186"/>
      <c r="C1868" s="185"/>
      <c r="D1868" s="185"/>
      <c r="E1868" s="185"/>
      <c r="F1868" s="185"/>
      <c r="G1868" s="185"/>
      <c r="H1868" s="185"/>
      <c r="I1868" s="185"/>
      <c r="J1868" s="185"/>
      <c r="K1868" s="185"/>
      <c r="L1868" s="187"/>
      <c r="M1868" s="188"/>
      <c r="N1868" s="188"/>
      <c r="O1868" s="208"/>
      <c r="P1868" s="208"/>
      <c r="Q1868" s="208"/>
      <c r="R1868" s="208"/>
    </row>
    <row r="1869">
      <c r="A1869" s="185"/>
      <c r="B1869" s="186"/>
      <c r="C1869" s="185"/>
      <c r="D1869" s="185"/>
      <c r="E1869" s="185"/>
      <c r="F1869" s="185"/>
      <c r="G1869" s="185"/>
      <c r="H1869" s="185"/>
      <c r="I1869" s="185"/>
      <c r="J1869" s="185"/>
      <c r="K1869" s="185"/>
      <c r="L1869" s="187"/>
      <c r="M1869" s="188"/>
      <c r="N1869" s="188"/>
      <c r="O1869" s="208"/>
      <c r="P1869" s="208"/>
      <c r="Q1869" s="208"/>
      <c r="R1869" s="208"/>
    </row>
    <row r="1870">
      <c r="A1870" s="185"/>
      <c r="B1870" s="186"/>
      <c r="C1870" s="185"/>
      <c r="D1870" s="185"/>
      <c r="E1870" s="185"/>
      <c r="F1870" s="185"/>
      <c r="G1870" s="185"/>
      <c r="H1870" s="185"/>
      <c r="I1870" s="185"/>
      <c r="J1870" s="185"/>
      <c r="K1870" s="185"/>
      <c r="L1870" s="187"/>
      <c r="M1870" s="188"/>
      <c r="N1870" s="188"/>
      <c r="O1870" s="208"/>
      <c r="P1870" s="208"/>
      <c r="Q1870" s="208"/>
      <c r="R1870" s="208"/>
    </row>
    <row r="1871">
      <c r="A1871" s="185"/>
      <c r="B1871" s="186"/>
      <c r="C1871" s="185"/>
      <c r="D1871" s="185"/>
      <c r="E1871" s="185"/>
      <c r="F1871" s="185"/>
      <c r="G1871" s="185"/>
      <c r="H1871" s="185"/>
      <c r="I1871" s="185"/>
      <c r="J1871" s="185"/>
      <c r="K1871" s="185"/>
      <c r="L1871" s="187"/>
      <c r="M1871" s="188"/>
      <c r="N1871" s="188"/>
      <c r="O1871" s="208"/>
      <c r="P1871" s="208"/>
      <c r="Q1871" s="208"/>
      <c r="R1871" s="208"/>
    </row>
    <row r="1872">
      <c r="A1872" s="185"/>
      <c r="B1872" s="186"/>
      <c r="C1872" s="185"/>
      <c r="D1872" s="185"/>
      <c r="E1872" s="185"/>
      <c r="F1872" s="185"/>
      <c r="G1872" s="185"/>
      <c r="H1872" s="185"/>
      <c r="I1872" s="185"/>
      <c r="J1872" s="185"/>
      <c r="K1872" s="185"/>
      <c r="L1872" s="187"/>
      <c r="M1872" s="188"/>
      <c r="N1872" s="188"/>
      <c r="O1872" s="208"/>
      <c r="P1872" s="208"/>
      <c r="Q1872" s="208"/>
      <c r="R1872" s="208"/>
    </row>
    <row r="1873">
      <c r="A1873" s="185"/>
      <c r="B1873" s="186"/>
      <c r="C1873" s="185"/>
      <c r="D1873" s="185"/>
      <c r="E1873" s="185"/>
      <c r="F1873" s="185"/>
      <c r="G1873" s="185"/>
      <c r="H1873" s="185"/>
      <c r="I1873" s="185"/>
      <c r="J1873" s="185"/>
      <c r="K1873" s="185"/>
      <c r="L1873" s="187"/>
      <c r="M1873" s="188"/>
      <c r="N1873" s="188"/>
      <c r="O1873" s="208"/>
      <c r="P1873" s="208"/>
      <c r="Q1873" s="208"/>
      <c r="R1873" s="208"/>
    </row>
    <row r="1874">
      <c r="A1874" s="185"/>
      <c r="B1874" s="186"/>
      <c r="C1874" s="185"/>
      <c r="D1874" s="185"/>
      <c r="E1874" s="185"/>
      <c r="F1874" s="185"/>
      <c r="G1874" s="185"/>
      <c r="H1874" s="185"/>
      <c r="I1874" s="185"/>
      <c r="J1874" s="185"/>
      <c r="K1874" s="185"/>
      <c r="L1874" s="187"/>
      <c r="M1874" s="188"/>
      <c r="N1874" s="188"/>
      <c r="O1874" s="208"/>
      <c r="P1874" s="208"/>
      <c r="Q1874" s="208"/>
      <c r="R1874" s="208"/>
    </row>
    <row r="1875">
      <c r="A1875" s="185"/>
      <c r="B1875" s="186"/>
      <c r="C1875" s="185"/>
      <c r="D1875" s="185"/>
      <c r="E1875" s="185"/>
      <c r="F1875" s="185"/>
      <c r="G1875" s="185"/>
      <c r="H1875" s="185"/>
      <c r="I1875" s="185"/>
      <c r="J1875" s="185"/>
      <c r="K1875" s="185"/>
      <c r="L1875" s="187"/>
      <c r="M1875" s="188"/>
      <c r="N1875" s="188"/>
      <c r="O1875" s="208"/>
      <c r="P1875" s="208"/>
      <c r="Q1875" s="208"/>
      <c r="R1875" s="208"/>
    </row>
    <row r="1876">
      <c r="A1876" s="185"/>
      <c r="B1876" s="186"/>
      <c r="C1876" s="185"/>
      <c r="D1876" s="185"/>
      <c r="E1876" s="185"/>
      <c r="F1876" s="185"/>
      <c r="G1876" s="185"/>
      <c r="H1876" s="185"/>
      <c r="I1876" s="185"/>
      <c r="J1876" s="185"/>
      <c r="K1876" s="185"/>
      <c r="L1876" s="187"/>
      <c r="M1876" s="188"/>
      <c r="N1876" s="188"/>
      <c r="O1876" s="208"/>
      <c r="P1876" s="208"/>
      <c r="Q1876" s="208"/>
      <c r="R1876" s="208"/>
    </row>
    <row r="1877">
      <c r="A1877" s="185"/>
      <c r="B1877" s="186"/>
      <c r="C1877" s="185"/>
      <c r="D1877" s="185"/>
      <c r="E1877" s="185"/>
      <c r="F1877" s="185"/>
      <c r="G1877" s="185"/>
      <c r="H1877" s="185"/>
      <c r="I1877" s="185"/>
      <c r="J1877" s="185"/>
      <c r="K1877" s="185"/>
      <c r="L1877" s="187"/>
      <c r="M1877" s="188"/>
      <c r="N1877" s="188"/>
      <c r="O1877" s="208"/>
      <c r="P1877" s="208"/>
      <c r="Q1877" s="208"/>
      <c r="R1877" s="208"/>
    </row>
    <row r="1878">
      <c r="A1878" s="185"/>
      <c r="B1878" s="186"/>
      <c r="C1878" s="185"/>
      <c r="D1878" s="185"/>
      <c r="E1878" s="185"/>
      <c r="F1878" s="185"/>
      <c r="G1878" s="185"/>
      <c r="H1878" s="185"/>
      <c r="I1878" s="185"/>
      <c r="J1878" s="185"/>
      <c r="K1878" s="185"/>
      <c r="L1878" s="187"/>
      <c r="M1878" s="188"/>
      <c r="N1878" s="188"/>
      <c r="O1878" s="208"/>
      <c r="P1878" s="208"/>
      <c r="Q1878" s="208"/>
      <c r="R1878" s="208"/>
    </row>
    <row r="1879">
      <c r="A1879" s="185"/>
      <c r="B1879" s="186"/>
      <c r="C1879" s="185"/>
      <c r="D1879" s="185"/>
      <c r="E1879" s="185"/>
      <c r="F1879" s="185"/>
      <c r="G1879" s="185"/>
      <c r="H1879" s="185"/>
      <c r="I1879" s="185"/>
      <c r="J1879" s="185"/>
      <c r="K1879" s="185"/>
      <c r="L1879" s="187"/>
      <c r="M1879" s="188"/>
      <c r="N1879" s="188"/>
      <c r="O1879" s="208"/>
      <c r="P1879" s="208"/>
      <c r="Q1879" s="208"/>
      <c r="R1879" s="208"/>
    </row>
    <row r="1880">
      <c r="A1880" s="185"/>
      <c r="B1880" s="186"/>
      <c r="C1880" s="185"/>
      <c r="D1880" s="185"/>
      <c r="E1880" s="185"/>
      <c r="F1880" s="185"/>
      <c r="G1880" s="185"/>
      <c r="H1880" s="185"/>
      <c r="I1880" s="185"/>
      <c r="J1880" s="185"/>
      <c r="K1880" s="185"/>
      <c r="L1880" s="187"/>
      <c r="M1880" s="188"/>
      <c r="N1880" s="188"/>
      <c r="O1880" s="208"/>
      <c r="P1880" s="208"/>
      <c r="Q1880" s="208"/>
      <c r="R1880" s="208"/>
    </row>
    <row r="1881">
      <c r="A1881" s="185"/>
      <c r="B1881" s="186"/>
      <c r="C1881" s="185"/>
      <c r="D1881" s="185"/>
      <c r="E1881" s="185"/>
      <c r="F1881" s="185"/>
      <c r="G1881" s="185"/>
      <c r="H1881" s="185"/>
      <c r="I1881" s="185"/>
      <c r="J1881" s="185"/>
      <c r="K1881" s="185"/>
      <c r="L1881" s="187"/>
      <c r="M1881" s="188"/>
      <c r="N1881" s="188"/>
      <c r="O1881" s="208"/>
      <c r="P1881" s="208"/>
      <c r="Q1881" s="208"/>
      <c r="R1881" s="208"/>
    </row>
    <row r="1882">
      <c r="A1882" s="185"/>
      <c r="B1882" s="186"/>
      <c r="C1882" s="185"/>
      <c r="D1882" s="185"/>
      <c r="E1882" s="185"/>
      <c r="F1882" s="185"/>
      <c r="G1882" s="185"/>
      <c r="H1882" s="185"/>
      <c r="I1882" s="185"/>
      <c r="J1882" s="185"/>
      <c r="K1882" s="185"/>
      <c r="L1882" s="187"/>
      <c r="M1882" s="188"/>
      <c r="N1882" s="188"/>
      <c r="O1882" s="208"/>
      <c r="P1882" s="208"/>
      <c r="Q1882" s="208"/>
      <c r="R1882" s="208"/>
    </row>
    <row r="1883">
      <c r="A1883" s="185"/>
      <c r="B1883" s="186"/>
      <c r="C1883" s="185"/>
      <c r="D1883" s="185"/>
      <c r="E1883" s="185"/>
      <c r="F1883" s="185"/>
      <c r="G1883" s="185"/>
      <c r="H1883" s="185"/>
      <c r="I1883" s="185"/>
      <c r="J1883" s="185"/>
      <c r="K1883" s="185"/>
      <c r="L1883" s="187"/>
      <c r="M1883" s="188"/>
      <c r="N1883" s="188"/>
      <c r="O1883" s="208"/>
      <c r="P1883" s="208"/>
      <c r="Q1883" s="208"/>
      <c r="R1883" s="208"/>
    </row>
    <row r="1884">
      <c r="A1884" s="185"/>
      <c r="B1884" s="186"/>
      <c r="C1884" s="185"/>
      <c r="D1884" s="185"/>
      <c r="E1884" s="185"/>
      <c r="F1884" s="185"/>
      <c r="G1884" s="185"/>
      <c r="H1884" s="185"/>
      <c r="I1884" s="185"/>
      <c r="J1884" s="185"/>
      <c r="K1884" s="185"/>
      <c r="L1884" s="187"/>
      <c r="M1884" s="188"/>
      <c r="N1884" s="188"/>
      <c r="O1884" s="208"/>
      <c r="P1884" s="208"/>
      <c r="Q1884" s="208"/>
      <c r="R1884" s="208"/>
    </row>
    <row r="1885">
      <c r="A1885" s="185"/>
      <c r="B1885" s="186"/>
      <c r="C1885" s="185"/>
      <c r="D1885" s="185"/>
      <c r="E1885" s="185"/>
      <c r="F1885" s="185"/>
      <c r="G1885" s="185"/>
      <c r="H1885" s="185"/>
      <c r="I1885" s="185"/>
      <c r="J1885" s="185"/>
      <c r="K1885" s="185"/>
      <c r="L1885" s="187"/>
      <c r="M1885" s="188"/>
      <c r="N1885" s="188"/>
      <c r="O1885" s="208"/>
      <c r="P1885" s="208"/>
      <c r="Q1885" s="208"/>
      <c r="R1885" s="208"/>
    </row>
    <row r="1886">
      <c r="A1886" s="185"/>
      <c r="B1886" s="186"/>
      <c r="C1886" s="185"/>
      <c r="D1886" s="185"/>
      <c r="E1886" s="185"/>
      <c r="F1886" s="185"/>
      <c r="G1886" s="185"/>
      <c r="H1886" s="185"/>
      <c r="I1886" s="185"/>
      <c r="J1886" s="185"/>
      <c r="K1886" s="185"/>
      <c r="L1886" s="187"/>
      <c r="M1886" s="188"/>
      <c r="N1886" s="188"/>
      <c r="O1886" s="208"/>
      <c r="P1886" s="208"/>
      <c r="Q1886" s="208"/>
      <c r="R1886" s="208"/>
    </row>
    <row r="1887">
      <c r="A1887" s="185"/>
      <c r="B1887" s="186"/>
      <c r="C1887" s="185"/>
      <c r="D1887" s="185"/>
      <c r="E1887" s="185"/>
      <c r="F1887" s="185"/>
      <c r="G1887" s="185"/>
      <c r="H1887" s="185"/>
      <c r="I1887" s="185"/>
      <c r="J1887" s="185"/>
      <c r="K1887" s="185"/>
      <c r="L1887" s="187"/>
      <c r="M1887" s="188"/>
      <c r="N1887" s="188"/>
      <c r="O1887" s="208"/>
      <c r="P1887" s="208"/>
      <c r="Q1887" s="208"/>
      <c r="R1887" s="208"/>
    </row>
    <row r="1888">
      <c r="A1888" s="185"/>
      <c r="B1888" s="186"/>
      <c r="C1888" s="185"/>
      <c r="D1888" s="185"/>
      <c r="E1888" s="185"/>
      <c r="F1888" s="185"/>
      <c r="G1888" s="185"/>
      <c r="H1888" s="185"/>
      <c r="I1888" s="185"/>
      <c r="J1888" s="185"/>
      <c r="K1888" s="185"/>
      <c r="L1888" s="187"/>
      <c r="M1888" s="188"/>
      <c r="N1888" s="188"/>
      <c r="O1888" s="208"/>
      <c r="P1888" s="208"/>
      <c r="Q1888" s="208"/>
      <c r="R1888" s="208"/>
    </row>
    <row r="1889">
      <c r="A1889" s="185"/>
      <c r="B1889" s="186"/>
      <c r="C1889" s="185"/>
      <c r="D1889" s="185"/>
      <c r="E1889" s="185"/>
      <c r="F1889" s="185"/>
      <c r="G1889" s="185"/>
      <c r="H1889" s="185"/>
      <c r="I1889" s="185"/>
      <c r="J1889" s="185"/>
      <c r="K1889" s="185"/>
      <c r="L1889" s="187"/>
      <c r="M1889" s="188"/>
      <c r="N1889" s="188"/>
      <c r="O1889" s="208"/>
      <c r="P1889" s="208"/>
      <c r="Q1889" s="208"/>
      <c r="R1889" s="208"/>
    </row>
    <row r="1890">
      <c r="A1890" s="185"/>
      <c r="B1890" s="186"/>
      <c r="C1890" s="185"/>
      <c r="D1890" s="185"/>
      <c r="E1890" s="185"/>
      <c r="F1890" s="185"/>
      <c r="G1890" s="185"/>
      <c r="H1890" s="185"/>
      <c r="I1890" s="185"/>
      <c r="J1890" s="185"/>
      <c r="K1890" s="185"/>
      <c r="L1890" s="187"/>
      <c r="M1890" s="188"/>
      <c r="N1890" s="188"/>
      <c r="O1890" s="208"/>
      <c r="P1890" s="208"/>
      <c r="Q1890" s="208"/>
      <c r="R1890" s="208"/>
    </row>
    <row r="1891">
      <c r="A1891" s="185"/>
      <c r="B1891" s="186"/>
      <c r="C1891" s="185"/>
      <c r="D1891" s="185"/>
      <c r="E1891" s="185"/>
      <c r="F1891" s="185"/>
      <c r="G1891" s="185"/>
      <c r="H1891" s="185"/>
      <c r="I1891" s="185"/>
      <c r="J1891" s="185"/>
      <c r="K1891" s="185"/>
      <c r="L1891" s="187"/>
      <c r="M1891" s="188"/>
      <c r="N1891" s="188"/>
      <c r="O1891" s="208"/>
      <c r="P1891" s="208"/>
      <c r="Q1891" s="208"/>
      <c r="R1891" s="208"/>
    </row>
    <row r="1892">
      <c r="A1892" s="185"/>
      <c r="B1892" s="186"/>
      <c r="C1892" s="185"/>
      <c r="D1892" s="185"/>
      <c r="E1892" s="185"/>
      <c r="F1892" s="185"/>
      <c r="G1892" s="185"/>
      <c r="H1892" s="185"/>
      <c r="I1892" s="185"/>
      <c r="J1892" s="185"/>
      <c r="K1892" s="185"/>
      <c r="L1892" s="187"/>
      <c r="M1892" s="188"/>
      <c r="N1892" s="188"/>
      <c r="O1892" s="208"/>
      <c r="P1892" s="208"/>
      <c r="Q1892" s="208"/>
      <c r="R1892" s="208"/>
    </row>
    <row r="1893">
      <c r="A1893" s="185"/>
      <c r="B1893" s="186"/>
      <c r="C1893" s="185"/>
      <c r="D1893" s="185"/>
      <c r="E1893" s="185"/>
      <c r="F1893" s="185"/>
      <c r="G1893" s="185"/>
      <c r="H1893" s="185"/>
      <c r="I1893" s="185"/>
      <c r="J1893" s="185"/>
      <c r="K1893" s="185"/>
      <c r="L1893" s="187"/>
      <c r="M1893" s="188"/>
      <c r="N1893" s="188"/>
      <c r="O1893" s="208"/>
      <c r="P1893" s="208"/>
      <c r="Q1893" s="208"/>
      <c r="R1893" s="208"/>
    </row>
    <row r="1894">
      <c r="A1894" s="185"/>
      <c r="B1894" s="186"/>
      <c r="C1894" s="185"/>
      <c r="D1894" s="185"/>
      <c r="E1894" s="185"/>
      <c r="F1894" s="185"/>
      <c r="G1894" s="185"/>
      <c r="H1894" s="185"/>
      <c r="I1894" s="185"/>
      <c r="J1894" s="185"/>
      <c r="K1894" s="185"/>
      <c r="L1894" s="187"/>
      <c r="M1894" s="188"/>
      <c r="N1894" s="188"/>
      <c r="O1894" s="208"/>
      <c r="P1894" s="208"/>
      <c r="Q1894" s="208"/>
      <c r="R1894" s="208"/>
    </row>
    <row r="1895">
      <c r="A1895" s="185"/>
      <c r="B1895" s="186"/>
      <c r="C1895" s="185"/>
      <c r="D1895" s="185"/>
      <c r="E1895" s="185"/>
      <c r="F1895" s="185"/>
      <c r="G1895" s="185"/>
      <c r="H1895" s="185"/>
      <c r="I1895" s="185"/>
      <c r="J1895" s="185"/>
      <c r="K1895" s="185"/>
      <c r="L1895" s="187"/>
      <c r="M1895" s="188"/>
      <c r="N1895" s="188"/>
      <c r="O1895" s="208"/>
      <c r="P1895" s="208"/>
      <c r="Q1895" s="208"/>
      <c r="R1895" s="208"/>
    </row>
    <row r="1896">
      <c r="A1896" s="185"/>
      <c r="B1896" s="186"/>
      <c r="C1896" s="185"/>
      <c r="D1896" s="185"/>
      <c r="E1896" s="185"/>
      <c r="F1896" s="185"/>
      <c r="G1896" s="185"/>
      <c r="H1896" s="185"/>
      <c r="I1896" s="185"/>
      <c r="J1896" s="185"/>
      <c r="K1896" s="185"/>
      <c r="L1896" s="187"/>
      <c r="M1896" s="188"/>
      <c r="N1896" s="188"/>
      <c r="O1896" s="208"/>
      <c r="P1896" s="208"/>
      <c r="Q1896" s="208"/>
      <c r="R1896" s="208"/>
    </row>
    <row r="1897">
      <c r="A1897" s="185"/>
      <c r="B1897" s="186"/>
      <c r="C1897" s="185"/>
      <c r="D1897" s="185"/>
      <c r="E1897" s="185"/>
      <c r="F1897" s="185"/>
      <c r="G1897" s="185"/>
      <c r="H1897" s="185"/>
      <c r="I1897" s="185"/>
      <c r="J1897" s="185"/>
      <c r="K1897" s="185"/>
      <c r="L1897" s="187"/>
      <c r="M1897" s="188"/>
      <c r="N1897" s="188"/>
      <c r="O1897" s="208"/>
      <c r="P1897" s="208"/>
      <c r="Q1897" s="208"/>
      <c r="R1897" s="208"/>
    </row>
    <row r="1898">
      <c r="A1898" s="185"/>
      <c r="B1898" s="186"/>
      <c r="C1898" s="185"/>
      <c r="D1898" s="185"/>
      <c r="E1898" s="185"/>
      <c r="F1898" s="185"/>
      <c r="G1898" s="185"/>
      <c r="H1898" s="185"/>
      <c r="I1898" s="185"/>
      <c r="J1898" s="185"/>
      <c r="K1898" s="185"/>
      <c r="L1898" s="187"/>
      <c r="M1898" s="188"/>
      <c r="N1898" s="188"/>
      <c r="O1898" s="208"/>
      <c r="P1898" s="208"/>
      <c r="Q1898" s="208"/>
      <c r="R1898" s="208"/>
    </row>
    <row r="1899">
      <c r="A1899" s="185"/>
      <c r="B1899" s="186"/>
      <c r="C1899" s="185"/>
      <c r="D1899" s="185"/>
      <c r="E1899" s="185"/>
      <c r="F1899" s="185"/>
      <c r="G1899" s="185"/>
      <c r="H1899" s="185"/>
      <c r="I1899" s="185"/>
      <c r="J1899" s="185"/>
      <c r="K1899" s="185"/>
      <c r="L1899" s="187"/>
      <c r="M1899" s="188"/>
      <c r="N1899" s="188"/>
      <c r="O1899" s="208"/>
      <c r="P1899" s="208"/>
      <c r="Q1899" s="208"/>
      <c r="R1899" s="208"/>
    </row>
    <row r="1900">
      <c r="A1900" s="185"/>
      <c r="B1900" s="186"/>
      <c r="C1900" s="185"/>
      <c r="D1900" s="185"/>
      <c r="E1900" s="185"/>
      <c r="F1900" s="185"/>
      <c r="G1900" s="185"/>
      <c r="H1900" s="185"/>
      <c r="I1900" s="185"/>
      <c r="J1900" s="185"/>
      <c r="K1900" s="185"/>
      <c r="L1900" s="187"/>
      <c r="M1900" s="188"/>
      <c r="N1900" s="188"/>
      <c r="O1900" s="208"/>
      <c r="P1900" s="208"/>
      <c r="Q1900" s="208"/>
      <c r="R1900" s="208"/>
    </row>
    <row r="1901">
      <c r="A1901" s="185"/>
      <c r="B1901" s="186"/>
      <c r="C1901" s="185"/>
      <c r="D1901" s="185"/>
      <c r="E1901" s="185"/>
      <c r="F1901" s="185"/>
      <c r="G1901" s="185"/>
      <c r="H1901" s="185"/>
      <c r="I1901" s="185"/>
      <c r="J1901" s="185"/>
      <c r="K1901" s="185"/>
      <c r="L1901" s="187"/>
      <c r="M1901" s="188"/>
      <c r="N1901" s="188"/>
      <c r="O1901" s="208"/>
      <c r="P1901" s="208"/>
      <c r="Q1901" s="208"/>
      <c r="R1901" s="208"/>
    </row>
    <row r="1902">
      <c r="A1902" s="185"/>
      <c r="B1902" s="186"/>
      <c r="C1902" s="185"/>
      <c r="D1902" s="185"/>
      <c r="E1902" s="185"/>
      <c r="F1902" s="185"/>
      <c r="G1902" s="185"/>
      <c r="H1902" s="185"/>
      <c r="I1902" s="185"/>
      <c r="J1902" s="185"/>
      <c r="K1902" s="185"/>
      <c r="L1902" s="187"/>
      <c r="M1902" s="188"/>
      <c r="N1902" s="188"/>
      <c r="O1902" s="208"/>
      <c r="P1902" s="208"/>
      <c r="Q1902" s="208"/>
      <c r="R1902" s="208"/>
    </row>
    <row r="1903">
      <c r="A1903" s="185"/>
      <c r="B1903" s="186"/>
      <c r="C1903" s="185"/>
      <c r="D1903" s="185"/>
      <c r="E1903" s="185"/>
      <c r="F1903" s="185"/>
      <c r="G1903" s="185"/>
      <c r="H1903" s="185"/>
      <c r="I1903" s="185"/>
      <c r="J1903" s="185"/>
      <c r="K1903" s="185"/>
      <c r="L1903" s="187"/>
      <c r="M1903" s="188"/>
      <c r="N1903" s="188"/>
      <c r="O1903" s="208"/>
      <c r="P1903" s="208"/>
      <c r="Q1903" s="208"/>
      <c r="R1903" s="208"/>
    </row>
    <row r="1904">
      <c r="A1904" s="185"/>
      <c r="B1904" s="186"/>
      <c r="C1904" s="185"/>
      <c r="D1904" s="185"/>
      <c r="E1904" s="185"/>
      <c r="F1904" s="185"/>
      <c r="G1904" s="185"/>
      <c r="H1904" s="185"/>
      <c r="I1904" s="185"/>
      <c r="J1904" s="185"/>
      <c r="K1904" s="185"/>
      <c r="L1904" s="187"/>
      <c r="M1904" s="188"/>
      <c r="N1904" s="188"/>
      <c r="O1904" s="208"/>
      <c r="P1904" s="208"/>
      <c r="Q1904" s="208"/>
      <c r="R1904" s="208"/>
    </row>
    <row r="1905">
      <c r="A1905" s="185"/>
      <c r="B1905" s="186"/>
      <c r="C1905" s="185"/>
      <c r="D1905" s="185"/>
      <c r="E1905" s="185"/>
      <c r="F1905" s="185"/>
      <c r="G1905" s="185"/>
      <c r="H1905" s="185"/>
      <c r="I1905" s="185"/>
      <c r="J1905" s="185"/>
      <c r="K1905" s="185"/>
      <c r="L1905" s="187"/>
      <c r="M1905" s="188"/>
      <c r="N1905" s="188"/>
      <c r="O1905" s="208"/>
      <c r="P1905" s="208"/>
      <c r="Q1905" s="208"/>
      <c r="R1905" s="208"/>
    </row>
    <row r="1906">
      <c r="A1906" s="185"/>
      <c r="B1906" s="186"/>
      <c r="C1906" s="185"/>
      <c r="D1906" s="185"/>
      <c r="E1906" s="185"/>
      <c r="F1906" s="185"/>
      <c r="G1906" s="185"/>
      <c r="H1906" s="185"/>
      <c r="I1906" s="185"/>
      <c r="J1906" s="185"/>
      <c r="K1906" s="185"/>
      <c r="L1906" s="187"/>
      <c r="M1906" s="188"/>
      <c r="N1906" s="188"/>
      <c r="O1906" s="208"/>
      <c r="P1906" s="208"/>
      <c r="Q1906" s="208"/>
      <c r="R1906" s="208"/>
    </row>
    <row r="1907">
      <c r="A1907" s="185"/>
      <c r="B1907" s="186"/>
      <c r="C1907" s="185"/>
      <c r="D1907" s="185"/>
      <c r="E1907" s="185"/>
      <c r="F1907" s="185"/>
      <c r="G1907" s="185"/>
      <c r="H1907" s="185"/>
      <c r="I1907" s="185"/>
      <c r="J1907" s="185"/>
      <c r="K1907" s="185"/>
      <c r="L1907" s="187"/>
      <c r="M1907" s="188"/>
      <c r="N1907" s="188"/>
      <c r="O1907" s="208"/>
      <c r="P1907" s="208"/>
      <c r="Q1907" s="208"/>
      <c r="R1907" s="208"/>
    </row>
    <row r="1908">
      <c r="A1908" s="185"/>
      <c r="B1908" s="186"/>
      <c r="C1908" s="185"/>
      <c r="D1908" s="185"/>
      <c r="E1908" s="185"/>
      <c r="F1908" s="185"/>
      <c r="G1908" s="185"/>
      <c r="H1908" s="185"/>
      <c r="I1908" s="185"/>
      <c r="J1908" s="185"/>
      <c r="K1908" s="185"/>
      <c r="L1908" s="187"/>
      <c r="M1908" s="188"/>
      <c r="N1908" s="188"/>
      <c r="O1908" s="208"/>
      <c r="P1908" s="208"/>
      <c r="Q1908" s="208"/>
      <c r="R1908" s="208"/>
    </row>
    <row r="1909">
      <c r="A1909" s="185"/>
      <c r="B1909" s="186"/>
      <c r="C1909" s="185"/>
      <c r="D1909" s="185"/>
      <c r="E1909" s="185"/>
      <c r="F1909" s="185"/>
      <c r="G1909" s="185"/>
      <c r="H1909" s="185"/>
      <c r="I1909" s="185"/>
      <c r="J1909" s="185"/>
      <c r="K1909" s="185"/>
      <c r="L1909" s="187"/>
      <c r="M1909" s="188"/>
      <c r="N1909" s="188"/>
      <c r="O1909" s="208"/>
      <c r="P1909" s="208"/>
      <c r="Q1909" s="208"/>
      <c r="R1909" s="208"/>
    </row>
    <row r="1910">
      <c r="A1910" s="185"/>
      <c r="B1910" s="186"/>
      <c r="C1910" s="185"/>
      <c r="D1910" s="185"/>
      <c r="E1910" s="185"/>
      <c r="F1910" s="185"/>
      <c r="G1910" s="185"/>
      <c r="H1910" s="185"/>
      <c r="I1910" s="185"/>
      <c r="J1910" s="185"/>
      <c r="K1910" s="185"/>
      <c r="L1910" s="187"/>
      <c r="M1910" s="188"/>
      <c r="N1910" s="188"/>
      <c r="O1910" s="208"/>
      <c r="P1910" s="208"/>
      <c r="Q1910" s="208"/>
      <c r="R1910" s="208"/>
    </row>
    <row r="1911">
      <c r="A1911" s="185"/>
      <c r="B1911" s="186"/>
      <c r="C1911" s="185"/>
      <c r="D1911" s="185"/>
      <c r="E1911" s="185"/>
      <c r="F1911" s="185"/>
      <c r="G1911" s="185"/>
      <c r="H1911" s="185"/>
      <c r="I1911" s="185"/>
      <c r="J1911" s="185"/>
      <c r="K1911" s="185"/>
      <c r="L1911" s="187"/>
      <c r="M1911" s="188"/>
      <c r="N1911" s="188"/>
      <c r="O1911" s="208"/>
      <c r="P1911" s="208"/>
      <c r="Q1911" s="208"/>
      <c r="R1911" s="208"/>
    </row>
    <row r="1912">
      <c r="A1912" s="185"/>
      <c r="B1912" s="186"/>
      <c r="C1912" s="185"/>
      <c r="D1912" s="185"/>
      <c r="E1912" s="185"/>
      <c r="F1912" s="185"/>
      <c r="G1912" s="185"/>
      <c r="H1912" s="185"/>
      <c r="I1912" s="185"/>
      <c r="J1912" s="185"/>
      <c r="K1912" s="185"/>
      <c r="L1912" s="187"/>
      <c r="M1912" s="188"/>
      <c r="N1912" s="188"/>
      <c r="O1912" s="208"/>
      <c r="P1912" s="208"/>
      <c r="Q1912" s="208"/>
      <c r="R1912" s="208"/>
    </row>
    <row r="1913">
      <c r="A1913" s="185"/>
      <c r="B1913" s="186"/>
      <c r="C1913" s="185"/>
      <c r="D1913" s="185"/>
      <c r="E1913" s="185"/>
      <c r="F1913" s="185"/>
      <c r="G1913" s="185"/>
      <c r="H1913" s="185"/>
      <c r="I1913" s="185"/>
      <c r="J1913" s="185"/>
      <c r="K1913" s="185"/>
      <c r="L1913" s="187"/>
      <c r="M1913" s="188"/>
      <c r="N1913" s="188"/>
      <c r="O1913" s="208"/>
      <c r="P1913" s="208"/>
      <c r="Q1913" s="208"/>
      <c r="R1913" s="208"/>
    </row>
    <row r="1914">
      <c r="A1914" s="185"/>
      <c r="B1914" s="186"/>
      <c r="C1914" s="185"/>
      <c r="D1914" s="185"/>
      <c r="E1914" s="185"/>
      <c r="F1914" s="185"/>
      <c r="G1914" s="185"/>
      <c r="H1914" s="185"/>
      <c r="I1914" s="185"/>
      <c r="J1914" s="185"/>
      <c r="K1914" s="185"/>
      <c r="L1914" s="187"/>
      <c r="M1914" s="188"/>
      <c r="N1914" s="188"/>
      <c r="O1914" s="208"/>
      <c r="P1914" s="208"/>
      <c r="Q1914" s="208"/>
      <c r="R1914" s="208"/>
    </row>
    <row r="1915">
      <c r="A1915" s="185"/>
      <c r="B1915" s="186"/>
      <c r="C1915" s="185"/>
      <c r="D1915" s="185"/>
      <c r="E1915" s="185"/>
      <c r="F1915" s="185"/>
      <c r="G1915" s="185"/>
      <c r="H1915" s="185"/>
      <c r="I1915" s="185"/>
      <c r="J1915" s="185"/>
      <c r="K1915" s="185"/>
      <c r="L1915" s="187"/>
      <c r="M1915" s="188"/>
      <c r="N1915" s="188"/>
      <c r="O1915" s="208"/>
      <c r="P1915" s="208"/>
      <c r="Q1915" s="208"/>
      <c r="R1915" s="208"/>
    </row>
    <row r="1916">
      <c r="A1916" s="185"/>
      <c r="B1916" s="186"/>
      <c r="C1916" s="185"/>
      <c r="D1916" s="185"/>
      <c r="E1916" s="185"/>
      <c r="F1916" s="185"/>
      <c r="G1916" s="185"/>
      <c r="H1916" s="185"/>
      <c r="I1916" s="185"/>
      <c r="J1916" s="185"/>
      <c r="K1916" s="185"/>
      <c r="L1916" s="187"/>
      <c r="M1916" s="188"/>
      <c r="N1916" s="188"/>
      <c r="O1916" s="208"/>
      <c r="P1916" s="208"/>
      <c r="Q1916" s="208"/>
      <c r="R1916" s="208"/>
    </row>
    <row r="1917">
      <c r="A1917" s="185"/>
      <c r="B1917" s="186"/>
      <c r="C1917" s="185"/>
      <c r="D1917" s="185"/>
      <c r="E1917" s="185"/>
      <c r="F1917" s="185"/>
      <c r="G1917" s="185"/>
      <c r="H1917" s="185"/>
      <c r="I1917" s="185"/>
      <c r="J1917" s="185"/>
      <c r="K1917" s="185"/>
      <c r="L1917" s="187"/>
      <c r="M1917" s="188"/>
      <c r="N1917" s="188"/>
      <c r="O1917" s="208"/>
      <c r="P1917" s="208"/>
      <c r="Q1917" s="208"/>
      <c r="R1917" s="208"/>
    </row>
    <row r="1918">
      <c r="A1918" s="185"/>
      <c r="B1918" s="186"/>
      <c r="C1918" s="185"/>
      <c r="D1918" s="185"/>
      <c r="E1918" s="185"/>
      <c r="F1918" s="185"/>
      <c r="G1918" s="185"/>
      <c r="H1918" s="185"/>
      <c r="I1918" s="185"/>
      <c r="J1918" s="185"/>
      <c r="K1918" s="185"/>
      <c r="L1918" s="187"/>
      <c r="M1918" s="188"/>
      <c r="N1918" s="188"/>
      <c r="O1918" s="208"/>
      <c r="P1918" s="208"/>
      <c r="Q1918" s="208"/>
      <c r="R1918" s="208"/>
    </row>
    <row r="1919">
      <c r="A1919" s="185"/>
      <c r="B1919" s="186"/>
      <c r="C1919" s="185"/>
      <c r="D1919" s="185"/>
      <c r="E1919" s="185"/>
      <c r="F1919" s="185"/>
      <c r="G1919" s="185"/>
      <c r="H1919" s="185"/>
      <c r="I1919" s="185"/>
      <c r="J1919" s="185"/>
      <c r="K1919" s="185"/>
      <c r="L1919" s="187"/>
      <c r="M1919" s="188"/>
      <c r="N1919" s="188"/>
      <c r="O1919" s="208"/>
      <c r="P1919" s="208"/>
      <c r="Q1919" s="208"/>
      <c r="R1919" s="208"/>
    </row>
    <row r="1920">
      <c r="A1920" s="185"/>
      <c r="B1920" s="186"/>
      <c r="C1920" s="185"/>
      <c r="D1920" s="185"/>
      <c r="E1920" s="185"/>
      <c r="F1920" s="185"/>
      <c r="G1920" s="185"/>
      <c r="H1920" s="185"/>
      <c r="I1920" s="185"/>
      <c r="J1920" s="185"/>
      <c r="K1920" s="185"/>
      <c r="L1920" s="187"/>
      <c r="M1920" s="188"/>
      <c r="N1920" s="188"/>
      <c r="O1920" s="208"/>
      <c r="P1920" s="208"/>
      <c r="Q1920" s="208"/>
      <c r="R1920" s="208"/>
    </row>
    <row r="1921">
      <c r="A1921" s="185"/>
      <c r="B1921" s="186"/>
      <c r="C1921" s="185"/>
      <c r="D1921" s="185"/>
      <c r="E1921" s="185"/>
      <c r="F1921" s="185"/>
      <c r="G1921" s="185"/>
      <c r="H1921" s="185"/>
      <c r="I1921" s="185"/>
      <c r="J1921" s="185"/>
      <c r="K1921" s="185"/>
      <c r="L1921" s="187"/>
      <c r="M1921" s="188"/>
      <c r="N1921" s="188"/>
      <c r="O1921" s="208"/>
      <c r="P1921" s="208"/>
      <c r="Q1921" s="208"/>
      <c r="R1921" s="208"/>
    </row>
    <row r="1922">
      <c r="A1922" s="185"/>
      <c r="B1922" s="186"/>
      <c r="C1922" s="185"/>
      <c r="D1922" s="185"/>
      <c r="E1922" s="185"/>
      <c r="F1922" s="185"/>
      <c r="G1922" s="185"/>
      <c r="H1922" s="185"/>
      <c r="I1922" s="185"/>
      <c r="J1922" s="185"/>
      <c r="K1922" s="185"/>
      <c r="L1922" s="187"/>
      <c r="M1922" s="188"/>
      <c r="N1922" s="188"/>
      <c r="O1922" s="208"/>
      <c r="P1922" s="208"/>
      <c r="Q1922" s="208"/>
      <c r="R1922" s="208"/>
    </row>
    <row r="1923">
      <c r="A1923" s="185"/>
      <c r="B1923" s="186"/>
      <c r="C1923" s="185"/>
      <c r="D1923" s="185"/>
      <c r="E1923" s="185"/>
      <c r="F1923" s="185"/>
      <c r="G1923" s="185"/>
      <c r="H1923" s="185"/>
      <c r="I1923" s="185"/>
      <c r="J1923" s="185"/>
      <c r="K1923" s="185"/>
      <c r="L1923" s="187"/>
      <c r="M1923" s="188"/>
      <c r="N1923" s="188"/>
      <c r="O1923" s="208"/>
      <c r="P1923" s="208"/>
      <c r="Q1923" s="208"/>
      <c r="R1923" s="208"/>
    </row>
    <row r="1924">
      <c r="A1924" s="185"/>
      <c r="B1924" s="186"/>
      <c r="C1924" s="185"/>
      <c r="D1924" s="185"/>
      <c r="E1924" s="185"/>
      <c r="F1924" s="185"/>
      <c r="G1924" s="185"/>
      <c r="H1924" s="185"/>
      <c r="I1924" s="185"/>
      <c r="J1924" s="185"/>
      <c r="K1924" s="185"/>
      <c r="L1924" s="187"/>
      <c r="M1924" s="188"/>
      <c r="N1924" s="188"/>
      <c r="O1924" s="208"/>
      <c r="P1924" s="208"/>
      <c r="Q1924" s="208"/>
      <c r="R1924" s="208"/>
    </row>
    <row r="1925">
      <c r="A1925" s="185"/>
      <c r="B1925" s="186"/>
      <c r="C1925" s="185"/>
      <c r="D1925" s="185"/>
      <c r="E1925" s="185"/>
      <c r="F1925" s="185"/>
      <c r="G1925" s="185"/>
      <c r="H1925" s="185"/>
      <c r="I1925" s="185"/>
      <c r="J1925" s="185"/>
      <c r="K1925" s="185"/>
      <c r="L1925" s="187"/>
      <c r="M1925" s="188"/>
      <c r="N1925" s="188"/>
      <c r="O1925" s="208"/>
      <c r="P1925" s="208"/>
      <c r="Q1925" s="208"/>
      <c r="R1925" s="208"/>
    </row>
    <row r="1926">
      <c r="A1926" s="185"/>
      <c r="B1926" s="186"/>
      <c r="C1926" s="185"/>
      <c r="D1926" s="185"/>
      <c r="E1926" s="185"/>
      <c r="F1926" s="185"/>
      <c r="G1926" s="185"/>
      <c r="H1926" s="185"/>
      <c r="I1926" s="185"/>
      <c r="J1926" s="185"/>
      <c r="K1926" s="185"/>
      <c r="L1926" s="187"/>
      <c r="M1926" s="188"/>
      <c r="N1926" s="188"/>
      <c r="O1926" s="208"/>
      <c r="P1926" s="208"/>
      <c r="Q1926" s="208"/>
      <c r="R1926" s="208"/>
    </row>
    <row r="1927">
      <c r="A1927" s="185"/>
      <c r="B1927" s="186"/>
      <c r="C1927" s="185"/>
      <c r="D1927" s="185"/>
      <c r="E1927" s="185"/>
      <c r="F1927" s="185"/>
      <c r="G1927" s="185"/>
      <c r="H1927" s="185"/>
      <c r="I1927" s="185"/>
      <c r="J1927" s="185"/>
      <c r="K1927" s="185"/>
      <c r="L1927" s="187"/>
      <c r="M1927" s="188"/>
      <c r="N1927" s="188"/>
      <c r="O1927" s="208"/>
      <c r="P1927" s="208"/>
      <c r="Q1927" s="208"/>
      <c r="R1927" s="208"/>
    </row>
    <row r="1928">
      <c r="A1928" s="185"/>
      <c r="B1928" s="186"/>
      <c r="C1928" s="185"/>
      <c r="D1928" s="185"/>
      <c r="E1928" s="185"/>
      <c r="F1928" s="185"/>
      <c r="G1928" s="185"/>
      <c r="H1928" s="185"/>
      <c r="I1928" s="185"/>
      <c r="J1928" s="185"/>
      <c r="K1928" s="185"/>
      <c r="L1928" s="187"/>
      <c r="M1928" s="188"/>
      <c r="N1928" s="188"/>
      <c r="O1928" s="208"/>
      <c r="P1928" s="208"/>
      <c r="Q1928" s="208"/>
      <c r="R1928" s="208"/>
    </row>
    <row r="1929">
      <c r="A1929" s="185"/>
      <c r="B1929" s="186"/>
      <c r="C1929" s="185"/>
      <c r="D1929" s="185"/>
      <c r="E1929" s="185"/>
      <c r="F1929" s="185"/>
      <c r="G1929" s="185"/>
      <c r="H1929" s="185"/>
      <c r="I1929" s="185"/>
      <c r="J1929" s="185"/>
      <c r="K1929" s="185"/>
      <c r="L1929" s="187"/>
      <c r="M1929" s="188"/>
      <c r="N1929" s="188"/>
      <c r="O1929" s="208"/>
      <c r="P1929" s="208"/>
      <c r="Q1929" s="208"/>
      <c r="R1929" s="208"/>
    </row>
    <row r="1930">
      <c r="A1930" s="185"/>
      <c r="B1930" s="186"/>
      <c r="C1930" s="185"/>
      <c r="D1930" s="185"/>
      <c r="E1930" s="185"/>
      <c r="F1930" s="185"/>
      <c r="G1930" s="185"/>
      <c r="H1930" s="185"/>
      <c r="I1930" s="185"/>
      <c r="J1930" s="185"/>
      <c r="K1930" s="185"/>
      <c r="L1930" s="187"/>
      <c r="M1930" s="188"/>
      <c r="N1930" s="188"/>
      <c r="O1930" s="208"/>
      <c r="P1930" s="208"/>
      <c r="Q1930" s="208"/>
      <c r="R1930" s="208"/>
    </row>
    <row r="1931">
      <c r="A1931" s="185"/>
      <c r="B1931" s="186"/>
      <c r="C1931" s="185"/>
      <c r="D1931" s="185"/>
      <c r="E1931" s="185"/>
      <c r="F1931" s="185"/>
      <c r="G1931" s="185"/>
      <c r="H1931" s="185"/>
      <c r="I1931" s="185"/>
      <c r="J1931" s="185"/>
      <c r="K1931" s="185"/>
      <c r="L1931" s="187"/>
      <c r="M1931" s="188"/>
      <c r="N1931" s="188"/>
      <c r="O1931" s="208"/>
      <c r="P1931" s="208"/>
      <c r="Q1931" s="208"/>
      <c r="R1931" s="208"/>
    </row>
    <row r="1932">
      <c r="A1932" s="185"/>
      <c r="B1932" s="186"/>
      <c r="C1932" s="185"/>
      <c r="D1932" s="185"/>
      <c r="E1932" s="185"/>
      <c r="F1932" s="185"/>
      <c r="G1932" s="185"/>
      <c r="H1932" s="185"/>
      <c r="I1932" s="185"/>
      <c r="J1932" s="185"/>
      <c r="K1932" s="185"/>
      <c r="L1932" s="187"/>
      <c r="M1932" s="188"/>
      <c r="N1932" s="188"/>
      <c r="O1932" s="208"/>
      <c r="P1932" s="208"/>
      <c r="Q1932" s="208"/>
      <c r="R1932" s="208"/>
    </row>
    <row r="1933">
      <c r="A1933" s="185"/>
      <c r="B1933" s="186"/>
      <c r="C1933" s="185"/>
      <c r="D1933" s="185"/>
      <c r="E1933" s="185"/>
      <c r="F1933" s="185"/>
      <c r="G1933" s="185"/>
      <c r="H1933" s="185"/>
      <c r="I1933" s="185"/>
      <c r="J1933" s="185"/>
      <c r="K1933" s="185"/>
      <c r="L1933" s="187"/>
      <c r="M1933" s="188"/>
      <c r="N1933" s="188"/>
      <c r="O1933" s="208"/>
      <c r="P1933" s="208"/>
      <c r="Q1933" s="208"/>
      <c r="R1933" s="208"/>
    </row>
    <row r="1934">
      <c r="A1934" s="185"/>
      <c r="B1934" s="186"/>
      <c r="C1934" s="185"/>
      <c r="D1934" s="185"/>
      <c r="E1934" s="185"/>
      <c r="F1934" s="185"/>
      <c r="G1934" s="185"/>
      <c r="H1934" s="185"/>
      <c r="I1934" s="185"/>
      <c r="J1934" s="185"/>
      <c r="K1934" s="185"/>
      <c r="L1934" s="187"/>
      <c r="M1934" s="188"/>
      <c r="N1934" s="188"/>
      <c r="O1934" s="208"/>
      <c r="P1934" s="208"/>
      <c r="Q1934" s="208"/>
      <c r="R1934" s="208"/>
    </row>
    <row r="1935">
      <c r="A1935" s="185"/>
      <c r="B1935" s="186"/>
      <c r="C1935" s="185"/>
      <c r="D1935" s="185"/>
      <c r="E1935" s="185"/>
      <c r="F1935" s="185"/>
      <c r="G1935" s="185"/>
      <c r="H1935" s="185"/>
      <c r="I1935" s="185"/>
      <c r="J1935" s="185"/>
      <c r="K1935" s="185"/>
      <c r="L1935" s="187"/>
      <c r="M1935" s="188"/>
      <c r="N1935" s="188"/>
      <c r="O1935" s="208"/>
      <c r="P1935" s="208"/>
      <c r="Q1935" s="208"/>
      <c r="R1935" s="208"/>
    </row>
    <row r="1936">
      <c r="A1936" s="185"/>
      <c r="B1936" s="186"/>
      <c r="C1936" s="185"/>
      <c r="D1936" s="185"/>
      <c r="E1936" s="185"/>
      <c r="F1936" s="185"/>
      <c r="G1936" s="185"/>
      <c r="H1936" s="185"/>
      <c r="I1936" s="185"/>
      <c r="J1936" s="185"/>
      <c r="K1936" s="185"/>
      <c r="L1936" s="187"/>
      <c r="M1936" s="188"/>
      <c r="N1936" s="188"/>
      <c r="O1936" s="208"/>
      <c r="P1936" s="208"/>
      <c r="Q1936" s="208"/>
      <c r="R1936" s="208"/>
    </row>
    <row r="1937">
      <c r="A1937" s="185"/>
      <c r="B1937" s="186"/>
      <c r="C1937" s="185"/>
      <c r="D1937" s="185"/>
      <c r="E1937" s="185"/>
      <c r="F1937" s="185"/>
      <c r="G1937" s="185"/>
      <c r="H1937" s="185"/>
      <c r="I1937" s="185"/>
      <c r="J1937" s="185"/>
      <c r="K1937" s="185"/>
      <c r="L1937" s="187"/>
      <c r="M1937" s="188"/>
      <c r="N1937" s="188"/>
      <c r="O1937" s="208"/>
      <c r="P1937" s="208"/>
      <c r="Q1937" s="208"/>
      <c r="R1937" s="208"/>
    </row>
    <row r="1938">
      <c r="A1938" s="185"/>
      <c r="B1938" s="186"/>
      <c r="C1938" s="185"/>
      <c r="D1938" s="185"/>
      <c r="E1938" s="185"/>
      <c r="F1938" s="185"/>
      <c r="G1938" s="185"/>
      <c r="H1938" s="185"/>
      <c r="I1938" s="185"/>
      <c r="J1938" s="185"/>
      <c r="K1938" s="185"/>
      <c r="L1938" s="187"/>
      <c r="M1938" s="188"/>
      <c r="N1938" s="188"/>
      <c r="O1938" s="208"/>
      <c r="P1938" s="208"/>
      <c r="Q1938" s="208"/>
      <c r="R1938" s="208"/>
    </row>
    <row r="1939">
      <c r="A1939" s="185"/>
      <c r="B1939" s="186"/>
      <c r="C1939" s="185"/>
      <c r="D1939" s="185"/>
      <c r="E1939" s="185"/>
      <c r="F1939" s="185"/>
      <c r="G1939" s="185"/>
      <c r="H1939" s="185"/>
      <c r="I1939" s="185"/>
      <c r="J1939" s="185"/>
      <c r="K1939" s="185"/>
      <c r="L1939" s="187"/>
      <c r="M1939" s="188"/>
      <c r="N1939" s="188"/>
      <c r="O1939" s="208"/>
      <c r="P1939" s="208"/>
      <c r="Q1939" s="208"/>
      <c r="R1939" s="208"/>
    </row>
    <row r="1940">
      <c r="A1940" s="185"/>
      <c r="B1940" s="186"/>
      <c r="C1940" s="185"/>
      <c r="D1940" s="185"/>
      <c r="E1940" s="185"/>
      <c r="F1940" s="185"/>
      <c r="G1940" s="185"/>
      <c r="H1940" s="185"/>
      <c r="I1940" s="185"/>
      <c r="J1940" s="185"/>
      <c r="K1940" s="185"/>
      <c r="L1940" s="187"/>
      <c r="M1940" s="188"/>
      <c r="N1940" s="188"/>
      <c r="O1940" s="208"/>
      <c r="P1940" s="208"/>
      <c r="Q1940" s="208"/>
      <c r="R1940" s="208"/>
    </row>
    <row r="1941">
      <c r="A1941" s="185"/>
      <c r="B1941" s="186"/>
      <c r="C1941" s="185"/>
      <c r="D1941" s="185"/>
      <c r="E1941" s="185"/>
      <c r="F1941" s="185"/>
      <c r="G1941" s="185"/>
      <c r="H1941" s="185"/>
      <c r="I1941" s="185"/>
      <c r="J1941" s="185"/>
      <c r="K1941" s="185"/>
      <c r="L1941" s="187"/>
      <c r="M1941" s="188"/>
      <c r="N1941" s="188"/>
      <c r="O1941" s="208"/>
      <c r="P1941" s="208"/>
      <c r="Q1941" s="208"/>
      <c r="R1941" s="208"/>
    </row>
    <row r="1942">
      <c r="A1942" s="185"/>
      <c r="B1942" s="186"/>
      <c r="C1942" s="185"/>
      <c r="D1942" s="185"/>
      <c r="E1942" s="185"/>
      <c r="F1942" s="185"/>
      <c r="G1942" s="185"/>
      <c r="H1942" s="185"/>
      <c r="I1942" s="185"/>
      <c r="J1942" s="185"/>
      <c r="K1942" s="185"/>
      <c r="L1942" s="187"/>
      <c r="M1942" s="188"/>
      <c r="N1942" s="188"/>
      <c r="O1942" s="208"/>
      <c r="P1942" s="208"/>
      <c r="Q1942" s="208"/>
      <c r="R1942" s="208"/>
    </row>
    <row r="1943">
      <c r="A1943" s="185"/>
      <c r="B1943" s="186"/>
      <c r="C1943" s="185"/>
      <c r="D1943" s="185"/>
      <c r="E1943" s="185"/>
      <c r="F1943" s="185"/>
      <c r="G1943" s="185"/>
      <c r="H1943" s="185"/>
      <c r="I1943" s="185"/>
      <c r="J1943" s="185"/>
      <c r="K1943" s="185"/>
      <c r="L1943" s="187"/>
      <c r="M1943" s="188"/>
      <c r="N1943" s="188"/>
      <c r="O1943" s="208"/>
      <c r="P1943" s="208"/>
      <c r="Q1943" s="208"/>
      <c r="R1943" s="208"/>
    </row>
    <row r="1944">
      <c r="A1944" s="185"/>
      <c r="B1944" s="186"/>
      <c r="C1944" s="185"/>
      <c r="D1944" s="185"/>
      <c r="E1944" s="185"/>
      <c r="F1944" s="185"/>
      <c r="G1944" s="185"/>
      <c r="H1944" s="185"/>
      <c r="I1944" s="185"/>
      <c r="J1944" s="185"/>
      <c r="K1944" s="185"/>
      <c r="L1944" s="187"/>
      <c r="M1944" s="188"/>
      <c r="N1944" s="188"/>
      <c r="O1944" s="208"/>
      <c r="P1944" s="208"/>
      <c r="Q1944" s="208"/>
      <c r="R1944" s="208"/>
    </row>
    <row r="1945">
      <c r="A1945" s="185"/>
      <c r="B1945" s="186"/>
      <c r="C1945" s="185"/>
      <c r="D1945" s="185"/>
      <c r="E1945" s="185"/>
      <c r="F1945" s="185"/>
      <c r="G1945" s="185"/>
      <c r="H1945" s="185"/>
      <c r="I1945" s="185"/>
      <c r="J1945" s="185"/>
      <c r="K1945" s="185"/>
      <c r="L1945" s="187"/>
      <c r="M1945" s="188"/>
      <c r="N1945" s="188"/>
      <c r="O1945" s="208"/>
      <c r="P1945" s="208"/>
      <c r="Q1945" s="208"/>
      <c r="R1945" s="208"/>
    </row>
    <row r="1946">
      <c r="A1946" s="185"/>
      <c r="B1946" s="186"/>
      <c r="C1946" s="185"/>
      <c r="D1946" s="185"/>
      <c r="E1946" s="185"/>
      <c r="F1946" s="185"/>
      <c r="G1946" s="185"/>
      <c r="H1946" s="185"/>
      <c r="I1946" s="185"/>
      <c r="J1946" s="185"/>
      <c r="K1946" s="185"/>
      <c r="L1946" s="187"/>
      <c r="M1946" s="188"/>
      <c r="N1946" s="188"/>
      <c r="O1946" s="208"/>
      <c r="P1946" s="208"/>
      <c r="Q1946" s="208"/>
      <c r="R1946" s="208"/>
    </row>
    <row r="1947">
      <c r="A1947" s="185"/>
      <c r="B1947" s="186"/>
      <c r="C1947" s="185"/>
      <c r="D1947" s="185"/>
      <c r="E1947" s="185"/>
      <c r="F1947" s="185"/>
      <c r="G1947" s="185"/>
      <c r="H1947" s="185"/>
      <c r="I1947" s="185"/>
      <c r="J1947" s="185"/>
      <c r="K1947" s="185"/>
      <c r="L1947" s="187"/>
      <c r="M1947" s="188"/>
      <c r="N1947" s="188"/>
      <c r="O1947" s="208"/>
      <c r="P1947" s="208"/>
      <c r="Q1947" s="208"/>
      <c r="R1947" s="208"/>
    </row>
    <row r="1948">
      <c r="A1948" s="185"/>
      <c r="B1948" s="186"/>
      <c r="C1948" s="185"/>
      <c r="D1948" s="185"/>
      <c r="E1948" s="185"/>
      <c r="F1948" s="185"/>
      <c r="G1948" s="185"/>
      <c r="H1948" s="185"/>
      <c r="I1948" s="185"/>
      <c r="J1948" s="185"/>
      <c r="K1948" s="185"/>
      <c r="L1948" s="187"/>
      <c r="M1948" s="188"/>
      <c r="N1948" s="188"/>
      <c r="O1948" s="208"/>
      <c r="P1948" s="208"/>
      <c r="Q1948" s="208"/>
      <c r="R1948" s="208"/>
    </row>
    <row r="1949">
      <c r="A1949" s="185"/>
      <c r="B1949" s="186"/>
      <c r="C1949" s="185"/>
      <c r="D1949" s="185"/>
      <c r="E1949" s="185"/>
      <c r="F1949" s="185"/>
      <c r="G1949" s="185"/>
      <c r="H1949" s="185"/>
      <c r="I1949" s="185"/>
      <c r="J1949" s="185"/>
      <c r="K1949" s="185"/>
      <c r="L1949" s="187"/>
      <c r="M1949" s="188"/>
      <c r="N1949" s="188"/>
      <c r="O1949" s="208"/>
      <c r="P1949" s="208"/>
      <c r="Q1949" s="208"/>
      <c r="R1949" s="208"/>
    </row>
    <row r="1950">
      <c r="A1950" s="185"/>
      <c r="B1950" s="186"/>
      <c r="C1950" s="185"/>
      <c r="D1950" s="185"/>
      <c r="E1950" s="185"/>
      <c r="F1950" s="185"/>
      <c r="G1950" s="185"/>
      <c r="H1950" s="185"/>
      <c r="I1950" s="185"/>
      <c r="J1950" s="185"/>
      <c r="K1950" s="185"/>
      <c r="L1950" s="187"/>
      <c r="M1950" s="188"/>
      <c r="N1950" s="188"/>
      <c r="O1950" s="208"/>
      <c r="P1950" s="208"/>
      <c r="Q1950" s="208"/>
      <c r="R1950" s="208"/>
    </row>
    <row r="1951">
      <c r="A1951" s="185"/>
      <c r="B1951" s="186"/>
      <c r="C1951" s="185"/>
      <c r="D1951" s="185"/>
      <c r="E1951" s="185"/>
      <c r="F1951" s="185"/>
      <c r="G1951" s="185"/>
      <c r="H1951" s="185"/>
      <c r="I1951" s="185"/>
      <c r="J1951" s="185"/>
      <c r="K1951" s="185"/>
      <c r="L1951" s="187"/>
      <c r="M1951" s="188"/>
      <c r="N1951" s="188"/>
      <c r="O1951" s="208"/>
      <c r="P1951" s="208"/>
      <c r="Q1951" s="208"/>
      <c r="R1951" s="208"/>
    </row>
    <row r="1952">
      <c r="A1952" s="185"/>
      <c r="B1952" s="186"/>
      <c r="C1952" s="185"/>
      <c r="D1952" s="185"/>
      <c r="E1952" s="185"/>
      <c r="F1952" s="185"/>
      <c r="G1952" s="185"/>
      <c r="H1952" s="185"/>
      <c r="I1952" s="185"/>
      <c r="J1952" s="185"/>
      <c r="K1952" s="185"/>
      <c r="L1952" s="187"/>
      <c r="M1952" s="188"/>
      <c r="N1952" s="188"/>
      <c r="O1952" s="208"/>
      <c r="P1952" s="208"/>
      <c r="Q1952" s="208"/>
      <c r="R1952" s="208"/>
    </row>
    <row r="1953">
      <c r="A1953" s="185"/>
      <c r="B1953" s="186"/>
      <c r="C1953" s="185"/>
      <c r="D1953" s="185"/>
      <c r="E1953" s="185"/>
      <c r="F1953" s="185"/>
      <c r="G1953" s="185"/>
      <c r="H1953" s="185"/>
      <c r="I1953" s="185"/>
      <c r="J1953" s="185"/>
      <c r="K1953" s="185"/>
      <c r="L1953" s="187"/>
      <c r="M1953" s="188"/>
      <c r="N1953" s="188"/>
      <c r="O1953" s="208"/>
      <c r="P1953" s="208"/>
      <c r="Q1953" s="208"/>
      <c r="R1953" s="208"/>
    </row>
    <row r="1954">
      <c r="A1954" s="185"/>
      <c r="B1954" s="186"/>
      <c r="C1954" s="185"/>
      <c r="D1954" s="185"/>
      <c r="E1954" s="185"/>
      <c r="F1954" s="185"/>
      <c r="G1954" s="185"/>
      <c r="H1954" s="185"/>
      <c r="I1954" s="185"/>
      <c r="J1954" s="185"/>
      <c r="K1954" s="185"/>
      <c r="L1954" s="187"/>
      <c r="M1954" s="188"/>
      <c r="N1954" s="188"/>
      <c r="O1954" s="208"/>
      <c r="P1954" s="208"/>
      <c r="Q1954" s="208"/>
      <c r="R1954" s="208"/>
    </row>
    <row r="1955">
      <c r="A1955" s="185"/>
      <c r="B1955" s="186"/>
      <c r="C1955" s="185"/>
      <c r="D1955" s="185"/>
      <c r="E1955" s="185"/>
      <c r="F1955" s="185"/>
      <c r="G1955" s="185"/>
      <c r="H1955" s="185"/>
      <c r="I1955" s="185"/>
      <c r="J1955" s="185"/>
      <c r="K1955" s="185"/>
      <c r="L1955" s="187"/>
      <c r="M1955" s="188"/>
      <c r="N1955" s="188"/>
      <c r="O1955" s="208"/>
      <c r="P1955" s="208"/>
      <c r="Q1955" s="208"/>
      <c r="R1955" s="208"/>
    </row>
    <row r="1956">
      <c r="A1956" s="185"/>
      <c r="B1956" s="186"/>
      <c r="C1956" s="185"/>
      <c r="D1956" s="185"/>
      <c r="E1956" s="185"/>
      <c r="F1956" s="185"/>
      <c r="G1956" s="185"/>
      <c r="H1956" s="185"/>
      <c r="I1956" s="185"/>
      <c r="J1956" s="185"/>
      <c r="K1956" s="185"/>
      <c r="L1956" s="187"/>
      <c r="M1956" s="188"/>
      <c r="N1956" s="188"/>
      <c r="O1956" s="208"/>
      <c r="P1956" s="208"/>
      <c r="Q1956" s="208"/>
      <c r="R1956" s="208"/>
    </row>
    <row r="1957">
      <c r="A1957" s="185"/>
      <c r="B1957" s="186"/>
      <c r="C1957" s="185"/>
      <c r="D1957" s="185"/>
      <c r="E1957" s="185"/>
      <c r="F1957" s="185"/>
      <c r="G1957" s="185"/>
      <c r="H1957" s="185"/>
      <c r="I1957" s="185"/>
      <c r="J1957" s="185"/>
      <c r="K1957" s="185"/>
      <c r="L1957" s="187"/>
      <c r="M1957" s="188"/>
      <c r="N1957" s="188"/>
      <c r="O1957" s="208"/>
      <c r="P1957" s="208"/>
      <c r="Q1957" s="208"/>
      <c r="R1957" s="208"/>
    </row>
    <row r="1958">
      <c r="A1958" s="185"/>
      <c r="B1958" s="186"/>
      <c r="C1958" s="185"/>
      <c r="D1958" s="185"/>
      <c r="E1958" s="185"/>
      <c r="F1958" s="185"/>
      <c r="G1958" s="185"/>
      <c r="H1958" s="185"/>
      <c r="I1958" s="185"/>
      <c r="J1958" s="185"/>
      <c r="K1958" s="185"/>
      <c r="L1958" s="187"/>
      <c r="M1958" s="188"/>
      <c r="N1958" s="188"/>
      <c r="O1958" s="208"/>
      <c r="P1958" s="208"/>
      <c r="Q1958" s="208"/>
      <c r="R1958" s="208"/>
    </row>
    <row r="1959">
      <c r="A1959" s="185"/>
      <c r="B1959" s="186"/>
      <c r="C1959" s="185"/>
      <c r="D1959" s="185"/>
      <c r="E1959" s="185"/>
      <c r="F1959" s="185"/>
      <c r="G1959" s="185"/>
      <c r="H1959" s="185"/>
      <c r="I1959" s="185"/>
      <c r="J1959" s="185"/>
      <c r="K1959" s="185"/>
      <c r="L1959" s="187"/>
      <c r="M1959" s="188"/>
      <c r="N1959" s="188"/>
      <c r="O1959" s="208"/>
      <c r="P1959" s="208"/>
      <c r="Q1959" s="208"/>
      <c r="R1959" s="208"/>
    </row>
    <row r="1960">
      <c r="A1960" s="185"/>
      <c r="B1960" s="186"/>
      <c r="C1960" s="185"/>
      <c r="D1960" s="185"/>
      <c r="E1960" s="185"/>
      <c r="F1960" s="185"/>
      <c r="G1960" s="185"/>
      <c r="H1960" s="185"/>
      <c r="I1960" s="185"/>
      <c r="J1960" s="185"/>
      <c r="K1960" s="185"/>
      <c r="L1960" s="187"/>
      <c r="M1960" s="188"/>
      <c r="N1960" s="188"/>
      <c r="O1960" s="208"/>
      <c r="P1960" s="208"/>
      <c r="Q1960" s="208"/>
      <c r="R1960" s="208"/>
    </row>
    <row r="1961">
      <c r="A1961" s="185"/>
      <c r="B1961" s="186"/>
      <c r="C1961" s="185"/>
      <c r="D1961" s="185"/>
      <c r="E1961" s="185"/>
      <c r="F1961" s="185"/>
      <c r="G1961" s="185"/>
      <c r="H1961" s="185"/>
      <c r="I1961" s="185"/>
      <c r="J1961" s="185"/>
      <c r="K1961" s="185"/>
      <c r="L1961" s="187"/>
      <c r="M1961" s="188"/>
      <c r="N1961" s="188"/>
      <c r="O1961" s="208"/>
      <c r="P1961" s="208"/>
      <c r="Q1961" s="208"/>
      <c r="R1961" s="208"/>
    </row>
    <row r="1962">
      <c r="A1962" s="185"/>
      <c r="B1962" s="186"/>
      <c r="C1962" s="185"/>
      <c r="D1962" s="185"/>
      <c r="E1962" s="185"/>
      <c r="F1962" s="185"/>
      <c r="G1962" s="185"/>
      <c r="H1962" s="185"/>
      <c r="I1962" s="185"/>
      <c r="J1962" s="185"/>
      <c r="K1962" s="185"/>
      <c r="L1962" s="187"/>
      <c r="M1962" s="188"/>
      <c r="N1962" s="188"/>
      <c r="O1962" s="208"/>
      <c r="P1962" s="208"/>
      <c r="Q1962" s="208"/>
      <c r="R1962" s="208"/>
    </row>
    <row r="1963">
      <c r="A1963" s="185"/>
      <c r="B1963" s="186"/>
      <c r="C1963" s="185"/>
      <c r="D1963" s="185"/>
      <c r="E1963" s="185"/>
      <c r="F1963" s="185"/>
      <c r="G1963" s="185"/>
      <c r="H1963" s="185"/>
      <c r="I1963" s="185"/>
      <c r="J1963" s="185"/>
      <c r="K1963" s="185"/>
      <c r="L1963" s="187"/>
      <c r="M1963" s="188"/>
      <c r="N1963" s="188"/>
      <c r="O1963" s="208"/>
      <c r="P1963" s="208"/>
      <c r="Q1963" s="208"/>
      <c r="R1963" s="208"/>
    </row>
    <row r="1964">
      <c r="A1964" s="185"/>
      <c r="B1964" s="186"/>
      <c r="C1964" s="185"/>
      <c r="D1964" s="185"/>
      <c r="E1964" s="185"/>
      <c r="F1964" s="185"/>
      <c r="G1964" s="185"/>
      <c r="H1964" s="185"/>
      <c r="I1964" s="185"/>
      <c r="J1964" s="185"/>
      <c r="K1964" s="185"/>
      <c r="L1964" s="187"/>
      <c r="M1964" s="188"/>
      <c r="N1964" s="188"/>
      <c r="O1964" s="208"/>
      <c r="P1964" s="208"/>
      <c r="Q1964" s="208"/>
      <c r="R1964" s="208"/>
    </row>
    <row r="1965">
      <c r="A1965" s="185"/>
      <c r="B1965" s="186"/>
      <c r="C1965" s="185"/>
      <c r="D1965" s="185"/>
      <c r="E1965" s="185"/>
      <c r="F1965" s="185"/>
      <c r="G1965" s="185"/>
      <c r="H1965" s="185"/>
      <c r="I1965" s="185"/>
      <c r="J1965" s="185"/>
      <c r="K1965" s="185"/>
      <c r="L1965" s="187"/>
      <c r="M1965" s="188"/>
      <c r="N1965" s="188"/>
      <c r="O1965" s="208"/>
      <c r="P1965" s="208"/>
      <c r="Q1965" s="208"/>
      <c r="R1965" s="208"/>
    </row>
    <row r="1966">
      <c r="A1966" s="185"/>
      <c r="B1966" s="186"/>
      <c r="C1966" s="185"/>
      <c r="D1966" s="185"/>
      <c r="E1966" s="185"/>
      <c r="F1966" s="185"/>
      <c r="G1966" s="185"/>
      <c r="H1966" s="185"/>
      <c r="I1966" s="185"/>
      <c r="J1966" s="185"/>
      <c r="K1966" s="185"/>
      <c r="L1966" s="187"/>
      <c r="M1966" s="188"/>
      <c r="N1966" s="188"/>
      <c r="O1966" s="208"/>
      <c r="P1966" s="208"/>
      <c r="Q1966" s="208"/>
      <c r="R1966" s="208"/>
    </row>
    <row r="1967">
      <c r="A1967" s="185"/>
      <c r="B1967" s="186"/>
      <c r="C1967" s="185"/>
      <c r="D1967" s="185"/>
      <c r="E1967" s="185"/>
      <c r="F1967" s="185"/>
      <c r="G1967" s="185"/>
      <c r="H1967" s="185"/>
      <c r="I1967" s="185"/>
      <c r="J1967" s="185"/>
      <c r="K1967" s="185"/>
      <c r="L1967" s="187"/>
      <c r="M1967" s="188"/>
      <c r="N1967" s="188"/>
      <c r="O1967" s="208"/>
      <c r="P1967" s="208"/>
      <c r="Q1967" s="208"/>
      <c r="R1967" s="208"/>
    </row>
    <row r="1968">
      <c r="A1968" s="185"/>
      <c r="B1968" s="186"/>
      <c r="C1968" s="185"/>
      <c r="D1968" s="185"/>
      <c r="E1968" s="185"/>
      <c r="F1968" s="185"/>
      <c r="G1968" s="185"/>
      <c r="H1968" s="185"/>
      <c r="I1968" s="185"/>
      <c r="J1968" s="185"/>
      <c r="K1968" s="185"/>
      <c r="L1968" s="187"/>
      <c r="M1968" s="188"/>
      <c r="N1968" s="188"/>
      <c r="O1968" s="208"/>
      <c r="P1968" s="208"/>
      <c r="Q1968" s="208"/>
      <c r="R1968" s="208"/>
    </row>
    <row r="1969">
      <c r="A1969" s="185"/>
      <c r="B1969" s="186"/>
      <c r="C1969" s="185"/>
      <c r="D1969" s="185"/>
      <c r="E1969" s="185"/>
      <c r="F1969" s="185"/>
      <c r="G1969" s="185"/>
      <c r="H1969" s="185"/>
      <c r="I1969" s="185"/>
      <c r="J1969" s="185"/>
      <c r="K1969" s="185"/>
      <c r="L1969" s="187"/>
      <c r="M1969" s="188"/>
      <c r="N1969" s="188"/>
      <c r="O1969" s="208"/>
      <c r="P1969" s="208"/>
      <c r="Q1969" s="208"/>
      <c r="R1969" s="208"/>
    </row>
    <row r="1970">
      <c r="A1970" s="185"/>
      <c r="B1970" s="186"/>
      <c r="C1970" s="185"/>
      <c r="D1970" s="185"/>
      <c r="E1970" s="185"/>
      <c r="F1970" s="185"/>
      <c r="G1970" s="185"/>
      <c r="H1970" s="185"/>
      <c r="I1970" s="185"/>
      <c r="J1970" s="185"/>
      <c r="K1970" s="185"/>
      <c r="L1970" s="187"/>
      <c r="M1970" s="188"/>
      <c r="N1970" s="188"/>
      <c r="O1970" s="208"/>
      <c r="P1970" s="208"/>
      <c r="Q1970" s="208"/>
      <c r="R1970" s="208"/>
    </row>
    <row r="1971">
      <c r="A1971" s="185"/>
      <c r="B1971" s="186"/>
      <c r="C1971" s="185"/>
      <c r="D1971" s="185"/>
      <c r="E1971" s="185"/>
      <c r="F1971" s="185"/>
      <c r="G1971" s="185"/>
      <c r="H1971" s="185"/>
      <c r="I1971" s="185"/>
      <c r="J1971" s="185"/>
      <c r="K1971" s="185"/>
      <c r="L1971" s="187"/>
      <c r="M1971" s="188"/>
      <c r="N1971" s="188"/>
      <c r="O1971" s="208"/>
      <c r="P1971" s="208"/>
      <c r="Q1971" s="208"/>
      <c r="R1971" s="208"/>
    </row>
    <row r="1972">
      <c r="A1972" s="185"/>
      <c r="B1972" s="186"/>
      <c r="C1972" s="185"/>
      <c r="D1972" s="185"/>
      <c r="E1972" s="185"/>
      <c r="F1972" s="185"/>
      <c r="G1972" s="185"/>
      <c r="H1972" s="185"/>
      <c r="I1972" s="185"/>
      <c r="J1972" s="185"/>
      <c r="K1972" s="185"/>
      <c r="L1972" s="187"/>
      <c r="M1972" s="188"/>
      <c r="N1972" s="188"/>
      <c r="O1972" s="208"/>
      <c r="P1972" s="208"/>
      <c r="Q1972" s="208"/>
      <c r="R1972" s="208"/>
    </row>
    <row r="1973">
      <c r="A1973" s="185"/>
      <c r="B1973" s="186"/>
      <c r="C1973" s="185"/>
      <c r="D1973" s="185"/>
      <c r="E1973" s="185"/>
      <c r="F1973" s="185"/>
      <c r="G1973" s="185"/>
      <c r="H1973" s="185"/>
      <c r="I1973" s="185"/>
      <c r="J1973" s="185"/>
      <c r="K1973" s="185"/>
      <c r="L1973" s="187"/>
      <c r="M1973" s="188"/>
      <c r="N1973" s="188"/>
      <c r="O1973" s="208"/>
      <c r="P1973" s="208"/>
      <c r="Q1973" s="208"/>
      <c r="R1973" s="208"/>
    </row>
    <row r="1974">
      <c r="A1974" s="185"/>
      <c r="B1974" s="186"/>
      <c r="C1974" s="185"/>
      <c r="D1974" s="185"/>
      <c r="E1974" s="185"/>
      <c r="F1974" s="185"/>
      <c r="G1974" s="185"/>
      <c r="H1974" s="185"/>
      <c r="I1974" s="185"/>
      <c r="J1974" s="185"/>
      <c r="K1974" s="185"/>
      <c r="L1974" s="187"/>
      <c r="M1974" s="188"/>
      <c r="N1974" s="188"/>
      <c r="O1974" s="208"/>
      <c r="P1974" s="208"/>
      <c r="Q1974" s="208"/>
      <c r="R1974" s="208"/>
    </row>
    <row r="1975">
      <c r="A1975" s="185"/>
      <c r="B1975" s="186"/>
      <c r="C1975" s="185"/>
      <c r="D1975" s="185"/>
      <c r="E1975" s="185"/>
      <c r="F1975" s="185"/>
      <c r="G1975" s="185"/>
      <c r="H1975" s="185"/>
      <c r="I1975" s="185"/>
      <c r="J1975" s="185"/>
      <c r="K1975" s="185"/>
      <c r="L1975" s="187"/>
      <c r="M1975" s="188"/>
      <c r="N1975" s="188"/>
      <c r="O1975" s="208"/>
      <c r="P1975" s="208"/>
      <c r="Q1975" s="208"/>
      <c r="R1975" s="208"/>
    </row>
    <row r="1976">
      <c r="A1976" s="185"/>
      <c r="B1976" s="186"/>
      <c r="C1976" s="185"/>
      <c r="D1976" s="185"/>
      <c r="E1976" s="185"/>
      <c r="F1976" s="185"/>
      <c r="G1976" s="185"/>
      <c r="H1976" s="185"/>
      <c r="I1976" s="185"/>
      <c r="J1976" s="185"/>
      <c r="K1976" s="185"/>
      <c r="L1976" s="187"/>
      <c r="M1976" s="188"/>
      <c r="N1976" s="188"/>
      <c r="O1976" s="208"/>
      <c r="P1976" s="208"/>
      <c r="Q1976" s="208"/>
      <c r="R1976" s="208"/>
    </row>
    <row r="1977">
      <c r="A1977" s="185"/>
      <c r="B1977" s="186"/>
      <c r="C1977" s="185"/>
      <c r="D1977" s="185"/>
      <c r="E1977" s="185"/>
      <c r="F1977" s="185"/>
      <c r="G1977" s="185"/>
      <c r="H1977" s="185"/>
      <c r="I1977" s="185"/>
      <c r="J1977" s="185"/>
      <c r="K1977" s="185"/>
      <c r="L1977" s="187"/>
      <c r="M1977" s="188"/>
      <c r="N1977" s="188"/>
      <c r="O1977" s="208"/>
      <c r="P1977" s="208"/>
      <c r="Q1977" s="208"/>
      <c r="R1977" s="208"/>
    </row>
    <row r="1978">
      <c r="A1978" s="185"/>
      <c r="B1978" s="186"/>
      <c r="C1978" s="185"/>
      <c r="D1978" s="185"/>
      <c r="E1978" s="185"/>
      <c r="F1978" s="185"/>
      <c r="G1978" s="185"/>
      <c r="H1978" s="185"/>
      <c r="I1978" s="185"/>
      <c r="J1978" s="185"/>
      <c r="K1978" s="185"/>
      <c r="L1978" s="187"/>
      <c r="M1978" s="188"/>
      <c r="N1978" s="188"/>
      <c r="O1978" s="208"/>
      <c r="P1978" s="208"/>
      <c r="Q1978" s="208"/>
      <c r="R1978" s="208"/>
    </row>
    <row r="1979">
      <c r="A1979" s="185"/>
      <c r="B1979" s="186"/>
      <c r="C1979" s="185"/>
      <c r="D1979" s="185"/>
      <c r="E1979" s="185"/>
      <c r="F1979" s="185"/>
      <c r="G1979" s="185"/>
      <c r="H1979" s="185"/>
      <c r="I1979" s="185"/>
      <c r="J1979" s="185"/>
      <c r="K1979" s="185"/>
      <c r="L1979" s="187"/>
      <c r="M1979" s="188"/>
      <c r="N1979" s="188"/>
      <c r="O1979" s="208"/>
      <c r="P1979" s="208"/>
      <c r="Q1979" s="208"/>
      <c r="R1979" s="208"/>
    </row>
    <row r="1980">
      <c r="A1980" s="185"/>
      <c r="B1980" s="186"/>
      <c r="C1980" s="185"/>
      <c r="D1980" s="185"/>
      <c r="E1980" s="185"/>
      <c r="F1980" s="185"/>
      <c r="G1980" s="185"/>
      <c r="H1980" s="185"/>
      <c r="I1980" s="185"/>
      <c r="J1980" s="185"/>
      <c r="K1980" s="185"/>
      <c r="L1980" s="187"/>
      <c r="M1980" s="188"/>
      <c r="N1980" s="188"/>
      <c r="O1980" s="208"/>
      <c r="P1980" s="208"/>
      <c r="Q1980" s="208"/>
      <c r="R1980" s="208"/>
    </row>
    <row r="1981">
      <c r="A1981" s="185"/>
      <c r="B1981" s="186"/>
      <c r="C1981" s="185"/>
      <c r="D1981" s="185"/>
      <c r="E1981" s="185"/>
      <c r="F1981" s="185"/>
      <c r="G1981" s="185"/>
      <c r="H1981" s="185"/>
      <c r="I1981" s="185"/>
      <c r="J1981" s="185"/>
      <c r="K1981" s="185"/>
      <c r="L1981" s="187"/>
      <c r="M1981" s="188"/>
      <c r="N1981" s="188"/>
      <c r="O1981" s="208"/>
      <c r="P1981" s="208"/>
      <c r="Q1981" s="208"/>
      <c r="R1981" s="208"/>
    </row>
    <row r="1982">
      <c r="A1982" s="185"/>
      <c r="B1982" s="186"/>
      <c r="C1982" s="185"/>
      <c r="D1982" s="185"/>
      <c r="E1982" s="185"/>
      <c r="F1982" s="185"/>
      <c r="G1982" s="185"/>
      <c r="H1982" s="185"/>
      <c r="I1982" s="185"/>
      <c r="J1982" s="185"/>
      <c r="K1982" s="185"/>
      <c r="L1982" s="187"/>
      <c r="M1982" s="188"/>
      <c r="N1982" s="188"/>
      <c r="O1982" s="208"/>
      <c r="P1982" s="208"/>
      <c r="Q1982" s="208"/>
      <c r="R1982" s="208"/>
    </row>
    <row r="1983">
      <c r="A1983" s="185"/>
      <c r="B1983" s="186"/>
      <c r="C1983" s="185"/>
      <c r="D1983" s="185"/>
      <c r="E1983" s="185"/>
      <c r="F1983" s="185"/>
      <c r="G1983" s="185"/>
      <c r="H1983" s="185"/>
      <c r="I1983" s="185"/>
      <c r="J1983" s="185"/>
      <c r="K1983" s="185"/>
      <c r="L1983" s="187"/>
      <c r="M1983" s="188"/>
      <c r="N1983" s="188"/>
      <c r="O1983" s="208"/>
      <c r="P1983" s="208"/>
      <c r="Q1983" s="208"/>
      <c r="R1983" s="208"/>
    </row>
    <row r="1984">
      <c r="A1984" s="185"/>
      <c r="B1984" s="186"/>
      <c r="C1984" s="185"/>
      <c r="D1984" s="185"/>
      <c r="E1984" s="185"/>
      <c r="F1984" s="185"/>
      <c r="G1984" s="185"/>
      <c r="H1984" s="185"/>
      <c r="I1984" s="185"/>
      <c r="J1984" s="185"/>
      <c r="K1984" s="185"/>
      <c r="L1984" s="187"/>
      <c r="M1984" s="188"/>
      <c r="N1984" s="188"/>
      <c r="O1984" s="208"/>
      <c r="P1984" s="208"/>
      <c r="Q1984" s="208"/>
      <c r="R1984" s="208"/>
    </row>
    <row r="1985">
      <c r="A1985" s="185"/>
      <c r="B1985" s="186"/>
      <c r="C1985" s="185"/>
      <c r="D1985" s="185"/>
      <c r="E1985" s="185"/>
      <c r="F1985" s="185"/>
      <c r="G1985" s="185"/>
      <c r="H1985" s="185"/>
      <c r="I1985" s="185"/>
      <c r="J1985" s="185"/>
      <c r="K1985" s="185"/>
      <c r="L1985" s="187"/>
      <c r="M1985" s="188"/>
      <c r="N1985" s="188"/>
      <c r="O1985" s="208"/>
      <c r="P1985" s="208"/>
      <c r="Q1985" s="208"/>
      <c r="R1985" s="208"/>
    </row>
    <row r="1986">
      <c r="A1986" s="185"/>
      <c r="B1986" s="186"/>
      <c r="C1986" s="185"/>
      <c r="D1986" s="185"/>
      <c r="E1986" s="185"/>
      <c r="F1986" s="185"/>
      <c r="G1986" s="185"/>
      <c r="H1986" s="185"/>
      <c r="I1986" s="185"/>
      <c r="J1986" s="185"/>
      <c r="K1986" s="185"/>
      <c r="L1986" s="187"/>
      <c r="M1986" s="188"/>
      <c r="N1986" s="188"/>
      <c r="O1986" s="208"/>
      <c r="P1986" s="208"/>
      <c r="Q1986" s="208"/>
      <c r="R1986" s="208"/>
    </row>
    <row r="1987">
      <c r="A1987" s="185"/>
      <c r="B1987" s="186"/>
      <c r="C1987" s="185"/>
      <c r="D1987" s="185"/>
      <c r="E1987" s="185"/>
      <c r="F1987" s="185"/>
      <c r="G1987" s="185"/>
      <c r="H1987" s="185"/>
      <c r="I1987" s="185"/>
      <c r="J1987" s="185"/>
      <c r="K1987" s="185"/>
      <c r="L1987" s="187"/>
      <c r="M1987" s="188"/>
      <c r="N1987" s="188"/>
      <c r="O1987" s="208"/>
      <c r="P1987" s="208"/>
      <c r="Q1987" s="208"/>
      <c r="R1987" s="208"/>
    </row>
    <row r="1988">
      <c r="A1988" s="185"/>
      <c r="B1988" s="186"/>
      <c r="C1988" s="185"/>
      <c r="D1988" s="185"/>
      <c r="E1988" s="185"/>
      <c r="F1988" s="185"/>
      <c r="G1988" s="185"/>
      <c r="H1988" s="185"/>
      <c r="I1988" s="185"/>
      <c r="J1988" s="185"/>
      <c r="K1988" s="185"/>
      <c r="L1988" s="187"/>
      <c r="M1988" s="188"/>
      <c r="N1988" s="188"/>
      <c r="O1988" s="208"/>
      <c r="P1988" s="208"/>
      <c r="Q1988" s="208"/>
      <c r="R1988" s="208"/>
    </row>
    <row r="1989">
      <c r="A1989" s="185"/>
      <c r="B1989" s="186"/>
      <c r="C1989" s="185"/>
      <c r="D1989" s="185"/>
      <c r="E1989" s="185"/>
      <c r="F1989" s="185"/>
      <c r="G1989" s="185"/>
      <c r="H1989" s="185"/>
      <c r="I1989" s="185"/>
      <c r="J1989" s="185"/>
      <c r="K1989" s="185"/>
      <c r="L1989" s="187"/>
      <c r="M1989" s="188"/>
      <c r="N1989" s="188"/>
      <c r="O1989" s="208"/>
      <c r="P1989" s="208"/>
      <c r="Q1989" s="208"/>
      <c r="R1989" s="208"/>
    </row>
    <row r="1990">
      <c r="A1990" s="185"/>
      <c r="B1990" s="186"/>
      <c r="C1990" s="185"/>
      <c r="D1990" s="185"/>
      <c r="E1990" s="185"/>
      <c r="F1990" s="185"/>
      <c r="G1990" s="185"/>
      <c r="H1990" s="185"/>
      <c r="I1990" s="185"/>
      <c r="J1990" s="185"/>
      <c r="K1990" s="185"/>
      <c r="L1990" s="187"/>
      <c r="M1990" s="188"/>
      <c r="N1990" s="188"/>
      <c r="O1990" s="208"/>
      <c r="P1990" s="208"/>
      <c r="Q1990" s="208"/>
      <c r="R1990" s="208"/>
    </row>
    <row r="1991">
      <c r="A1991" s="185"/>
      <c r="B1991" s="186"/>
      <c r="C1991" s="185"/>
      <c r="D1991" s="185"/>
      <c r="E1991" s="185"/>
      <c r="F1991" s="185"/>
      <c r="G1991" s="185"/>
      <c r="H1991" s="185"/>
      <c r="I1991" s="185"/>
      <c r="J1991" s="185"/>
      <c r="K1991" s="185"/>
      <c r="L1991" s="187"/>
      <c r="M1991" s="188"/>
      <c r="N1991" s="188"/>
      <c r="O1991" s="208"/>
      <c r="P1991" s="208"/>
      <c r="Q1991" s="208"/>
      <c r="R1991" s="208"/>
    </row>
    <row r="1992">
      <c r="A1992" s="185"/>
      <c r="B1992" s="186"/>
      <c r="C1992" s="185"/>
      <c r="D1992" s="185"/>
      <c r="E1992" s="185"/>
      <c r="F1992" s="185"/>
      <c r="G1992" s="185"/>
      <c r="H1992" s="185"/>
      <c r="I1992" s="185"/>
      <c r="J1992" s="185"/>
      <c r="K1992" s="185"/>
      <c r="L1992" s="187"/>
      <c r="M1992" s="188"/>
      <c r="N1992" s="188"/>
      <c r="O1992" s="208"/>
      <c r="P1992" s="208"/>
      <c r="Q1992" s="208"/>
      <c r="R1992" s="208"/>
    </row>
    <row r="1993">
      <c r="A1993" s="185"/>
      <c r="B1993" s="186"/>
      <c r="C1993" s="185"/>
      <c r="D1993" s="185"/>
      <c r="E1993" s="185"/>
      <c r="F1993" s="185"/>
      <c r="G1993" s="185"/>
      <c r="H1993" s="185"/>
      <c r="I1993" s="185"/>
      <c r="J1993" s="185"/>
      <c r="K1993" s="185"/>
      <c r="L1993" s="187"/>
      <c r="M1993" s="188"/>
      <c r="N1993" s="188"/>
      <c r="O1993" s="208"/>
      <c r="P1993" s="208"/>
      <c r="Q1993" s="208"/>
      <c r="R1993" s="208"/>
    </row>
    <row r="1994">
      <c r="A1994" s="185"/>
      <c r="B1994" s="186"/>
      <c r="C1994" s="185"/>
      <c r="D1994" s="185"/>
      <c r="E1994" s="185"/>
      <c r="F1994" s="185"/>
      <c r="G1994" s="185"/>
      <c r="H1994" s="185"/>
      <c r="I1994" s="185"/>
      <c r="J1994" s="185"/>
      <c r="K1994" s="185"/>
      <c r="L1994" s="187"/>
      <c r="M1994" s="188"/>
      <c r="N1994" s="188"/>
      <c r="O1994" s="208"/>
      <c r="P1994" s="208"/>
      <c r="Q1994" s="208"/>
      <c r="R1994" s="208"/>
    </row>
    <row r="1995">
      <c r="A1995" s="185"/>
      <c r="B1995" s="186"/>
      <c r="C1995" s="185"/>
      <c r="D1995" s="185"/>
      <c r="E1995" s="185"/>
      <c r="F1995" s="185"/>
      <c r="G1995" s="185"/>
      <c r="H1995" s="185"/>
      <c r="I1995" s="185"/>
      <c r="J1995" s="185"/>
      <c r="K1995" s="185"/>
      <c r="L1995" s="187"/>
      <c r="M1995" s="188"/>
      <c r="N1995" s="188"/>
      <c r="O1995" s="208"/>
      <c r="P1995" s="208"/>
      <c r="Q1995" s="208"/>
      <c r="R1995" s="208"/>
    </row>
    <row r="1996">
      <c r="A1996" s="185"/>
      <c r="B1996" s="186"/>
      <c r="C1996" s="185"/>
      <c r="D1996" s="185"/>
      <c r="E1996" s="185"/>
      <c r="F1996" s="185"/>
      <c r="G1996" s="185"/>
      <c r="H1996" s="185"/>
      <c r="I1996" s="185"/>
      <c r="J1996" s="185"/>
      <c r="K1996" s="185"/>
      <c r="L1996" s="187"/>
      <c r="M1996" s="188"/>
      <c r="N1996" s="188"/>
      <c r="O1996" s="208"/>
      <c r="P1996" s="208"/>
      <c r="Q1996" s="208"/>
      <c r="R1996" s="208"/>
    </row>
    <row r="1997">
      <c r="A1997" s="185"/>
      <c r="B1997" s="186"/>
      <c r="C1997" s="185"/>
      <c r="D1997" s="185"/>
      <c r="E1997" s="185"/>
      <c r="F1997" s="185"/>
      <c r="G1997" s="185"/>
      <c r="H1997" s="185"/>
      <c r="I1997" s="185"/>
      <c r="J1997" s="185"/>
      <c r="K1997" s="185"/>
      <c r="L1997" s="187"/>
      <c r="M1997" s="188"/>
      <c r="N1997" s="188"/>
      <c r="O1997" s="208"/>
      <c r="P1997" s="208"/>
      <c r="Q1997" s="208"/>
      <c r="R1997" s="208"/>
    </row>
    <row r="1998">
      <c r="A1998" s="185"/>
      <c r="B1998" s="186"/>
      <c r="C1998" s="185"/>
      <c r="D1998" s="185"/>
      <c r="E1998" s="185"/>
      <c r="F1998" s="185"/>
      <c r="G1998" s="185"/>
      <c r="H1998" s="185"/>
      <c r="I1998" s="185"/>
      <c r="J1998" s="185"/>
      <c r="K1998" s="185"/>
      <c r="L1998" s="187"/>
      <c r="M1998" s="188"/>
      <c r="N1998" s="188"/>
      <c r="O1998" s="208"/>
      <c r="P1998" s="208"/>
      <c r="Q1998" s="208"/>
      <c r="R1998" s="208"/>
    </row>
    <row r="1999">
      <c r="A1999" s="185"/>
      <c r="B1999" s="186"/>
      <c r="C1999" s="185"/>
      <c r="D1999" s="185"/>
      <c r="E1999" s="185"/>
      <c r="F1999" s="185"/>
      <c r="G1999" s="185"/>
      <c r="H1999" s="185"/>
      <c r="I1999" s="185"/>
      <c r="J1999" s="185"/>
      <c r="K1999" s="185"/>
      <c r="L1999" s="187"/>
      <c r="M1999" s="188"/>
      <c r="N1999" s="188"/>
      <c r="O1999" s="208"/>
      <c r="P1999" s="208"/>
      <c r="Q1999" s="208"/>
      <c r="R1999" s="208"/>
    </row>
    <row r="2000">
      <c r="A2000" s="185"/>
      <c r="B2000" s="186"/>
      <c r="C2000" s="185"/>
      <c r="D2000" s="185"/>
      <c r="E2000" s="185"/>
      <c r="F2000" s="185"/>
      <c r="G2000" s="185"/>
      <c r="H2000" s="185"/>
      <c r="I2000" s="185"/>
      <c r="J2000" s="185"/>
      <c r="K2000" s="185"/>
      <c r="L2000" s="187"/>
      <c r="M2000" s="188"/>
      <c r="N2000" s="188"/>
      <c r="O2000" s="208"/>
      <c r="P2000" s="208"/>
      <c r="Q2000" s="208"/>
      <c r="R2000" s="208"/>
    </row>
    <row r="2001">
      <c r="A2001" s="185"/>
      <c r="B2001" s="186"/>
      <c r="C2001" s="185"/>
      <c r="D2001" s="185"/>
      <c r="E2001" s="185"/>
      <c r="F2001" s="185"/>
      <c r="G2001" s="185"/>
      <c r="H2001" s="185"/>
      <c r="I2001" s="185"/>
      <c r="J2001" s="185"/>
      <c r="K2001" s="185"/>
      <c r="L2001" s="187"/>
      <c r="M2001" s="188"/>
      <c r="N2001" s="188"/>
      <c r="O2001" s="208"/>
      <c r="P2001" s="208"/>
      <c r="Q2001" s="208"/>
      <c r="R2001" s="208"/>
    </row>
    <row r="2002">
      <c r="A2002" s="185"/>
      <c r="B2002" s="186"/>
      <c r="C2002" s="185"/>
      <c r="D2002" s="185"/>
      <c r="E2002" s="185"/>
      <c r="F2002" s="185"/>
      <c r="G2002" s="185"/>
      <c r="H2002" s="185"/>
      <c r="I2002" s="185"/>
      <c r="J2002" s="185"/>
      <c r="K2002" s="185"/>
      <c r="L2002" s="187"/>
      <c r="M2002" s="188"/>
      <c r="N2002" s="188"/>
      <c r="O2002" s="208"/>
      <c r="P2002" s="208"/>
      <c r="Q2002" s="208"/>
      <c r="R2002" s="208"/>
    </row>
    <row r="2003">
      <c r="A2003" s="185"/>
      <c r="B2003" s="186"/>
      <c r="C2003" s="185"/>
      <c r="D2003" s="185"/>
      <c r="E2003" s="185"/>
      <c r="F2003" s="185"/>
      <c r="G2003" s="185"/>
      <c r="H2003" s="185"/>
      <c r="I2003" s="185"/>
      <c r="J2003" s="185"/>
      <c r="K2003" s="185"/>
      <c r="L2003" s="187"/>
      <c r="M2003" s="188"/>
      <c r="N2003" s="188"/>
      <c r="O2003" s="208"/>
      <c r="P2003" s="208"/>
      <c r="Q2003" s="208"/>
      <c r="R2003" s="208"/>
    </row>
    <row r="2004">
      <c r="A2004" s="185"/>
      <c r="B2004" s="186"/>
      <c r="C2004" s="185"/>
      <c r="D2004" s="185"/>
      <c r="E2004" s="185"/>
      <c r="F2004" s="185"/>
      <c r="G2004" s="185"/>
      <c r="H2004" s="185"/>
      <c r="I2004" s="185"/>
      <c r="J2004" s="185"/>
      <c r="K2004" s="185"/>
      <c r="L2004" s="187"/>
      <c r="M2004" s="188"/>
      <c r="N2004" s="188"/>
      <c r="O2004" s="208"/>
      <c r="P2004" s="208"/>
      <c r="Q2004" s="208"/>
      <c r="R2004" s="208"/>
    </row>
    <row r="2005">
      <c r="A2005" s="185"/>
      <c r="B2005" s="186"/>
      <c r="C2005" s="185"/>
      <c r="D2005" s="185"/>
      <c r="E2005" s="185"/>
      <c r="F2005" s="185"/>
      <c r="G2005" s="185"/>
      <c r="H2005" s="185"/>
      <c r="I2005" s="185"/>
      <c r="J2005" s="185"/>
      <c r="K2005" s="185"/>
      <c r="L2005" s="187"/>
      <c r="M2005" s="188"/>
      <c r="N2005" s="188"/>
      <c r="O2005" s="208"/>
      <c r="P2005" s="208"/>
      <c r="Q2005" s="208"/>
      <c r="R2005" s="208"/>
    </row>
    <row r="2006">
      <c r="A2006" s="185"/>
      <c r="B2006" s="186"/>
      <c r="C2006" s="185"/>
      <c r="D2006" s="185"/>
      <c r="E2006" s="185"/>
      <c r="F2006" s="185"/>
      <c r="G2006" s="185"/>
      <c r="H2006" s="185"/>
      <c r="I2006" s="185"/>
      <c r="J2006" s="185"/>
      <c r="K2006" s="185"/>
      <c r="L2006" s="187"/>
      <c r="M2006" s="188"/>
      <c r="N2006" s="188"/>
      <c r="O2006" s="208"/>
      <c r="P2006" s="208"/>
      <c r="Q2006" s="208"/>
      <c r="R2006" s="208"/>
    </row>
    <row r="2007">
      <c r="A2007" s="185"/>
      <c r="B2007" s="186"/>
      <c r="C2007" s="185"/>
      <c r="D2007" s="185"/>
      <c r="E2007" s="185"/>
      <c r="F2007" s="185"/>
      <c r="G2007" s="185"/>
      <c r="H2007" s="185"/>
      <c r="I2007" s="185"/>
      <c r="J2007" s="185"/>
      <c r="K2007" s="185"/>
      <c r="L2007" s="187"/>
      <c r="M2007" s="188"/>
      <c r="N2007" s="188"/>
      <c r="O2007" s="208"/>
      <c r="P2007" s="208"/>
      <c r="Q2007" s="208"/>
      <c r="R2007" s="208"/>
    </row>
    <row r="2008">
      <c r="A2008" s="185"/>
      <c r="B2008" s="186"/>
      <c r="C2008" s="185"/>
      <c r="D2008" s="185"/>
      <c r="E2008" s="185"/>
      <c r="F2008" s="185"/>
      <c r="G2008" s="185"/>
      <c r="H2008" s="185"/>
      <c r="I2008" s="185"/>
      <c r="J2008" s="185"/>
      <c r="K2008" s="185"/>
      <c r="L2008" s="187"/>
      <c r="M2008" s="188"/>
      <c r="N2008" s="188"/>
      <c r="O2008" s="208"/>
      <c r="P2008" s="208"/>
      <c r="Q2008" s="208"/>
      <c r="R2008" s="208"/>
    </row>
    <row r="2009">
      <c r="A2009" s="185"/>
      <c r="B2009" s="186"/>
      <c r="C2009" s="185"/>
      <c r="D2009" s="185"/>
      <c r="E2009" s="185"/>
      <c r="F2009" s="185"/>
      <c r="G2009" s="185"/>
      <c r="H2009" s="185"/>
      <c r="I2009" s="185"/>
      <c r="J2009" s="185"/>
      <c r="K2009" s="185"/>
      <c r="L2009" s="187"/>
      <c r="M2009" s="188"/>
      <c r="N2009" s="188"/>
      <c r="O2009" s="208"/>
      <c r="P2009" s="208"/>
      <c r="Q2009" s="208"/>
      <c r="R2009" s="208"/>
    </row>
    <row r="2010">
      <c r="A2010" s="185"/>
      <c r="B2010" s="186"/>
      <c r="C2010" s="185"/>
      <c r="D2010" s="185"/>
      <c r="E2010" s="185"/>
      <c r="F2010" s="185"/>
      <c r="G2010" s="185"/>
      <c r="H2010" s="185"/>
      <c r="I2010" s="185"/>
      <c r="J2010" s="185"/>
      <c r="K2010" s="185"/>
      <c r="L2010" s="187"/>
      <c r="M2010" s="188"/>
      <c r="N2010" s="188"/>
      <c r="O2010" s="208"/>
      <c r="P2010" s="208"/>
      <c r="Q2010" s="208"/>
      <c r="R2010" s="208"/>
    </row>
    <row r="2011">
      <c r="A2011" s="185"/>
      <c r="B2011" s="186"/>
      <c r="C2011" s="185"/>
      <c r="D2011" s="185"/>
      <c r="E2011" s="185"/>
      <c r="F2011" s="185"/>
      <c r="G2011" s="185"/>
      <c r="H2011" s="185"/>
      <c r="I2011" s="185"/>
      <c r="J2011" s="185"/>
      <c r="K2011" s="185"/>
      <c r="L2011" s="187"/>
      <c r="M2011" s="188"/>
      <c r="N2011" s="188"/>
      <c r="O2011" s="208"/>
      <c r="P2011" s="208"/>
      <c r="Q2011" s="208"/>
      <c r="R2011" s="208"/>
    </row>
    <row r="2012">
      <c r="A2012" s="185"/>
      <c r="B2012" s="186"/>
      <c r="C2012" s="185"/>
      <c r="D2012" s="185"/>
      <c r="E2012" s="185"/>
      <c r="F2012" s="185"/>
      <c r="G2012" s="185"/>
      <c r="H2012" s="185"/>
      <c r="I2012" s="185"/>
      <c r="J2012" s="185"/>
      <c r="K2012" s="185"/>
      <c r="L2012" s="187"/>
      <c r="M2012" s="188"/>
      <c r="N2012" s="188"/>
      <c r="O2012" s="208"/>
      <c r="P2012" s="208"/>
      <c r="Q2012" s="208"/>
      <c r="R2012" s="208"/>
    </row>
    <row r="2013">
      <c r="A2013" s="185"/>
      <c r="B2013" s="186"/>
      <c r="C2013" s="185"/>
      <c r="D2013" s="185"/>
      <c r="E2013" s="185"/>
      <c r="F2013" s="185"/>
      <c r="G2013" s="185"/>
      <c r="H2013" s="185"/>
      <c r="I2013" s="185"/>
      <c r="J2013" s="185"/>
      <c r="K2013" s="185"/>
      <c r="L2013" s="187"/>
      <c r="M2013" s="188"/>
      <c r="N2013" s="188"/>
      <c r="O2013" s="208"/>
      <c r="P2013" s="208"/>
      <c r="Q2013" s="208"/>
      <c r="R2013" s="208"/>
    </row>
    <row r="2014">
      <c r="A2014" s="185"/>
      <c r="B2014" s="186"/>
      <c r="C2014" s="185"/>
      <c r="D2014" s="185"/>
      <c r="E2014" s="185"/>
      <c r="F2014" s="185"/>
      <c r="G2014" s="185"/>
      <c r="H2014" s="185"/>
      <c r="I2014" s="185"/>
      <c r="J2014" s="185"/>
      <c r="K2014" s="185"/>
      <c r="L2014" s="187"/>
      <c r="M2014" s="188"/>
      <c r="N2014" s="188"/>
      <c r="O2014" s="208"/>
      <c r="P2014" s="208"/>
      <c r="Q2014" s="208"/>
      <c r="R2014" s="208"/>
    </row>
    <row r="2015">
      <c r="A2015" s="185"/>
      <c r="B2015" s="186"/>
      <c r="C2015" s="185"/>
      <c r="D2015" s="185"/>
      <c r="E2015" s="185"/>
      <c r="F2015" s="185"/>
      <c r="G2015" s="185"/>
      <c r="H2015" s="185"/>
      <c r="I2015" s="185"/>
      <c r="J2015" s="185"/>
      <c r="K2015" s="185"/>
      <c r="L2015" s="187"/>
      <c r="M2015" s="188"/>
      <c r="N2015" s="188"/>
      <c r="O2015" s="208"/>
      <c r="P2015" s="208"/>
      <c r="Q2015" s="208"/>
      <c r="R2015" s="208"/>
    </row>
    <row r="2016">
      <c r="A2016" s="185"/>
      <c r="B2016" s="186"/>
      <c r="C2016" s="185"/>
      <c r="D2016" s="185"/>
      <c r="E2016" s="185"/>
      <c r="F2016" s="185"/>
      <c r="G2016" s="185"/>
      <c r="H2016" s="185"/>
      <c r="I2016" s="185"/>
      <c r="J2016" s="185"/>
      <c r="K2016" s="185"/>
      <c r="L2016" s="187"/>
      <c r="M2016" s="188"/>
      <c r="N2016" s="188"/>
      <c r="O2016" s="208"/>
      <c r="P2016" s="208"/>
      <c r="Q2016" s="208"/>
      <c r="R2016" s="208"/>
    </row>
    <row r="2017">
      <c r="A2017" s="185"/>
      <c r="B2017" s="186"/>
      <c r="C2017" s="185"/>
      <c r="D2017" s="185"/>
      <c r="E2017" s="185"/>
      <c r="F2017" s="185"/>
      <c r="G2017" s="185"/>
      <c r="H2017" s="185"/>
      <c r="I2017" s="185"/>
      <c r="J2017" s="185"/>
      <c r="K2017" s="185"/>
      <c r="L2017" s="187"/>
      <c r="M2017" s="188"/>
      <c r="N2017" s="188"/>
      <c r="O2017" s="208"/>
      <c r="P2017" s="208"/>
      <c r="Q2017" s="208"/>
      <c r="R2017" s="208"/>
    </row>
    <row r="2018">
      <c r="A2018" s="185"/>
      <c r="B2018" s="186"/>
      <c r="C2018" s="185"/>
      <c r="D2018" s="185"/>
      <c r="E2018" s="185"/>
      <c r="F2018" s="185"/>
      <c r="G2018" s="185"/>
      <c r="H2018" s="185"/>
      <c r="I2018" s="185"/>
      <c r="J2018" s="185"/>
      <c r="K2018" s="185"/>
      <c r="L2018" s="187"/>
      <c r="M2018" s="188"/>
      <c r="N2018" s="188"/>
      <c r="O2018" s="208"/>
      <c r="P2018" s="208"/>
      <c r="Q2018" s="208"/>
      <c r="R2018" s="208"/>
    </row>
    <row r="2019">
      <c r="A2019" s="185"/>
      <c r="B2019" s="186"/>
      <c r="C2019" s="185"/>
      <c r="D2019" s="185"/>
      <c r="E2019" s="185"/>
      <c r="F2019" s="185"/>
      <c r="G2019" s="185"/>
      <c r="H2019" s="185"/>
      <c r="I2019" s="185"/>
      <c r="J2019" s="185"/>
      <c r="K2019" s="185"/>
      <c r="L2019" s="187"/>
      <c r="M2019" s="188"/>
      <c r="N2019" s="188"/>
      <c r="O2019" s="208"/>
      <c r="P2019" s="208"/>
      <c r="Q2019" s="208"/>
      <c r="R2019" s="208"/>
    </row>
    <row r="2020">
      <c r="A2020" s="185"/>
      <c r="B2020" s="186"/>
      <c r="C2020" s="185"/>
      <c r="D2020" s="185"/>
      <c r="E2020" s="185"/>
      <c r="F2020" s="185"/>
      <c r="G2020" s="185"/>
      <c r="H2020" s="185"/>
      <c r="I2020" s="185"/>
      <c r="J2020" s="185"/>
      <c r="K2020" s="185"/>
      <c r="L2020" s="187"/>
      <c r="M2020" s="188"/>
      <c r="N2020" s="188"/>
      <c r="O2020" s="208"/>
      <c r="P2020" s="208"/>
      <c r="Q2020" s="208"/>
      <c r="R2020" s="208"/>
    </row>
    <row r="2021">
      <c r="A2021" s="185"/>
      <c r="B2021" s="186"/>
      <c r="C2021" s="185"/>
      <c r="D2021" s="185"/>
      <c r="E2021" s="185"/>
      <c r="F2021" s="185"/>
      <c r="G2021" s="185"/>
      <c r="H2021" s="185"/>
      <c r="I2021" s="185"/>
      <c r="J2021" s="185"/>
      <c r="K2021" s="185"/>
      <c r="L2021" s="187"/>
      <c r="M2021" s="188"/>
      <c r="N2021" s="188"/>
      <c r="O2021" s="208"/>
      <c r="P2021" s="208"/>
      <c r="Q2021" s="208"/>
      <c r="R2021" s="208"/>
    </row>
    <row r="2022">
      <c r="A2022" s="185"/>
      <c r="B2022" s="186"/>
      <c r="C2022" s="185"/>
      <c r="D2022" s="185"/>
      <c r="E2022" s="185"/>
      <c r="F2022" s="185"/>
      <c r="G2022" s="185"/>
      <c r="H2022" s="185"/>
      <c r="I2022" s="185"/>
      <c r="J2022" s="185"/>
      <c r="K2022" s="185"/>
      <c r="L2022" s="187"/>
      <c r="M2022" s="188"/>
      <c r="N2022" s="188"/>
      <c r="O2022" s="208"/>
      <c r="P2022" s="208"/>
      <c r="Q2022" s="208"/>
      <c r="R2022" s="208"/>
    </row>
    <row r="2023">
      <c r="A2023" s="185"/>
      <c r="B2023" s="186"/>
      <c r="C2023" s="185"/>
      <c r="D2023" s="185"/>
      <c r="E2023" s="185"/>
      <c r="F2023" s="185"/>
      <c r="G2023" s="185"/>
      <c r="H2023" s="185"/>
      <c r="I2023" s="185"/>
      <c r="J2023" s="185"/>
      <c r="K2023" s="185"/>
      <c r="L2023" s="187"/>
      <c r="M2023" s="188"/>
      <c r="N2023" s="188"/>
      <c r="O2023" s="208"/>
      <c r="P2023" s="208"/>
      <c r="Q2023" s="208"/>
      <c r="R2023" s="208"/>
    </row>
    <row r="2024">
      <c r="A2024" s="185"/>
      <c r="B2024" s="186"/>
      <c r="C2024" s="185"/>
      <c r="D2024" s="185"/>
      <c r="E2024" s="185"/>
      <c r="F2024" s="185"/>
      <c r="G2024" s="185"/>
      <c r="H2024" s="185"/>
      <c r="I2024" s="185"/>
      <c r="J2024" s="185"/>
      <c r="K2024" s="185"/>
      <c r="L2024" s="187"/>
      <c r="M2024" s="188"/>
      <c r="N2024" s="188"/>
      <c r="O2024" s="208"/>
      <c r="P2024" s="208"/>
      <c r="Q2024" s="208"/>
      <c r="R2024" s="208"/>
    </row>
    <row r="2025">
      <c r="A2025" s="185"/>
      <c r="B2025" s="186"/>
      <c r="C2025" s="185"/>
      <c r="D2025" s="185"/>
      <c r="E2025" s="185"/>
      <c r="F2025" s="185"/>
      <c r="G2025" s="185"/>
      <c r="H2025" s="185"/>
      <c r="I2025" s="185"/>
      <c r="J2025" s="185"/>
      <c r="K2025" s="185"/>
      <c r="L2025" s="187"/>
      <c r="M2025" s="188"/>
      <c r="N2025" s="188"/>
      <c r="O2025" s="208"/>
      <c r="P2025" s="208"/>
      <c r="Q2025" s="208"/>
      <c r="R2025" s="208"/>
    </row>
    <row r="2026">
      <c r="A2026" s="185"/>
      <c r="B2026" s="186"/>
      <c r="C2026" s="185"/>
      <c r="D2026" s="185"/>
      <c r="E2026" s="185"/>
      <c r="F2026" s="185"/>
      <c r="G2026" s="185"/>
      <c r="H2026" s="185"/>
      <c r="I2026" s="185"/>
      <c r="J2026" s="185"/>
      <c r="K2026" s="185"/>
      <c r="L2026" s="187"/>
      <c r="M2026" s="188"/>
      <c r="N2026" s="188"/>
      <c r="O2026" s="208"/>
      <c r="P2026" s="208"/>
      <c r="Q2026" s="208"/>
      <c r="R2026" s="208"/>
    </row>
    <row r="2027">
      <c r="A2027" s="185"/>
      <c r="B2027" s="186"/>
      <c r="C2027" s="185"/>
      <c r="D2027" s="185"/>
      <c r="E2027" s="185"/>
      <c r="F2027" s="185"/>
      <c r="G2027" s="185"/>
      <c r="H2027" s="185"/>
      <c r="I2027" s="185"/>
      <c r="J2027" s="185"/>
      <c r="K2027" s="185"/>
      <c r="L2027" s="187"/>
      <c r="M2027" s="188"/>
      <c r="N2027" s="188"/>
      <c r="O2027" s="208"/>
      <c r="P2027" s="208"/>
      <c r="Q2027" s="208"/>
      <c r="R2027" s="208"/>
    </row>
    <row r="2028">
      <c r="A2028" s="185"/>
      <c r="B2028" s="186"/>
      <c r="C2028" s="185"/>
      <c r="D2028" s="185"/>
      <c r="E2028" s="185"/>
      <c r="F2028" s="185"/>
      <c r="G2028" s="185"/>
      <c r="H2028" s="185"/>
      <c r="I2028" s="185"/>
      <c r="J2028" s="185"/>
      <c r="K2028" s="185"/>
      <c r="L2028" s="187"/>
      <c r="M2028" s="188"/>
      <c r="N2028" s="188"/>
      <c r="O2028" s="208"/>
      <c r="P2028" s="208"/>
      <c r="Q2028" s="208"/>
      <c r="R2028" s="208"/>
    </row>
    <row r="2029">
      <c r="A2029" s="185"/>
      <c r="B2029" s="186"/>
      <c r="C2029" s="185"/>
      <c r="D2029" s="185"/>
      <c r="E2029" s="185"/>
      <c r="F2029" s="185"/>
      <c r="G2029" s="185"/>
      <c r="H2029" s="185"/>
      <c r="I2029" s="185"/>
      <c r="J2029" s="185"/>
      <c r="K2029" s="185"/>
      <c r="L2029" s="187"/>
      <c r="M2029" s="188"/>
      <c r="N2029" s="188"/>
      <c r="O2029" s="208"/>
      <c r="P2029" s="208"/>
      <c r="Q2029" s="208"/>
      <c r="R2029" s="208"/>
    </row>
    <row r="2030">
      <c r="A2030" s="185"/>
      <c r="B2030" s="186"/>
      <c r="C2030" s="185"/>
      <c r="D2030" s="185"/>
      <c r="E2030" s="185"/>
      <c r="F2030" s="185"/>
      <c r="G2030" s="185"/>
      <c r="H2030" s="185"/>
      <c r="I2030" s="185"/>
      <c r="J2030" s="185"/>
      <c r="K2030" s="185"/>
      <c r="L2030" s="187"/>
      <c r="M2030" s="188"/>
      <c r="N2030" s="188"/>
      <c r="O2030" s="208"/>
      <c r="P2030" s="208"/>
      <c r="Q2030" s="208"/>
      <c r="R2030" s="208"/>
    </row>
    <row r="2031">
      <c r="A2031" s="185"/>
      <c r="B2031" s="186"/>
      <c r="C2031" s="185"/>
      <c r="D2031" s="185"/>
      <c r="E2031" s="185"/>
      <c r="F2031" s="185"/>
      <c r="G2031" s="185"/>
      <c r="H2031" s="185"/>
      <c r="I2031" s="185"/>
      <c r="J2031" s="185"/>
      <c r="K2031" s="185"/>
      <c r="L2031" s="187"/>
      <c r="M2031" s="188"/>
      <c r="N2031" s="188"/>
      <c r="O2031" s="208"/>
      <c r="P2031" s="208"/>
      <c r="Q2031" s="208"/>
      <c r="R2031" s="208"/>
    </row>
    <row r="2032">
      <c r="A2032" s="185"/>
      <c r="B2032" s="186"/>
      <c r="C2032" s="185"/>
      <c r="D2032" s="185"/>
      <c r="E2032" s="185"/>
      <c r="F2032" s="185"/>
      <c r="G2032" s="185"/>
      <c r="H2032" s="185"/>
      <c r="I2032" s="185"/>
      <c r="J2032" s="185"/>
      <c r="K2032" s="185"/>
      <c r="L2032" s="187"/>
      <c r="M2032" s="188"/>
      <c r="N2032" s="188"/>
      <c r="O2032" s="208"/>
      <c r="P2032" s="208"/>
      <c r="Q2032" s="208"/>
      <c r="R2032" s="208"/>
    </row>
    <row r="2033">
      <c r="A2033" s="185"/>
      <c r="B2033" s="186"/>
      <c r="C2033" s="185"/>
      <c r="D2033" s="185"/>
      <c r="E2033" s="185"/>
      <c r="F2033" s="185"/>
      <c r="G2033" s="185"/>
      <c r="H2033" s="185"/>
      <c r="I2033" s="185"/>
      <c r="J2033" s="185"/>
      <c r="K2033" s="185"/>
      <c r="L2033" s="187"/>
      <c r="M2033" s="188"/>
      <c r="N2033" s="188"/>
      <c r="O2033" s="208"/>
      <c r="P2033" s="208"/>
      <c r="Q2033" s="208"/>
      <c r="R2033" s="208"/>
    </row>
    <row r="2034">
      <c r="A2034" s="185"/>
      <c r="B2034" s="186"/>
      <c r="C2034" s="185"/>
      <c r="D2034" s="185"/>
      <c r="E2034" s="185"/>
      <c r="F2034" s="185"/>
      <c r="G2034" s="185"/>
      <c r="H2034" s="185"/>
      <c r="I2034" s="185"/>
      <c r="J2034" s="185"/>
      <c r="K2034" s="185"/>
      <c r="L2034" s="187"/>
      <c r="M2034" s="188"/>
      <c r="N2034" s="188"/>
      <c r="O2034" s="208"/>
      <c r="P2034" s="208"/>
      <c r="Q2034" s="208"/>
      <c r="R2034" s="208"/>
    </row>
    <row r="2035">
      <c r="A2035" s="185"/>
      <c r="B2035" s="186"/>
      <c r="C2035" s="185"/>
      <c r="D2035" s="185"/>
      <c r="E2035" s="185"/>
      <c r="F2035" s="185"/>
      <c r="G2035" s="185"/>
      <c r="H2035" s="185"/>
      <c r="I2035" s="185"/>
      <c r="J2035" s="185"/>
      <c r="K2035" s="185"/>
      <c r="L2035" s="187"/>
      <c r="M2035" s="188"/>
      <c r="N2035" s="188"/>
      <c r="O2035" s="208"/>
      <c r="P2035" s="208"/>
      <c r="Q2035" s="208"/>
      <c r="R2035" s="208"/>
    </row>
    <row r="2036">
      <c r="A2036" s="185"/>
      <c r="B2036" s="186"/>
      <c r="C2036" s="185"/>
      <c r="D2036" s="185"/>
      <c r="E2036" s="185"/>
      <c r="F2036" s="185"/>
      <c r="G2036" s="185"/>
      <c r="H2036" s="185"/>
      <c r="I2036" s="185"/>
      <c r="J2036" s="185"/>
      <c r="K2036" s="185"/>
      <c r="L2036" s="187"/>
      <c r="M2036" s="188"/>
      <c r="N2036" s="188"/>
      <c r="O2036" s="208"/>
      <c r="P2036" s="208"/>
      <c r="Q2036" s="208"/>
      <c r="R2036" s="208"/>
    </row>
    <row r="2037">
      <c r="A2037" s="185"/>
      <c r="B2037" s="186"/>
      <c r="C2037" s="185"/>
      <c r="D2037" s="185"/>
      <c r="E2037" s="185"/>
      <c r="F2037" s="185"/>
      <c r="G2037" s="185"/>
      <c r="H2037" s="185"/>
      <c r="I2037" s="185"/>
      <c r="J2037" s="185"/>
      <c r="K2037" s="185"/>
      <c r="L2037" s="187"/>
      <c r="M2037" s="188"/>
      <c r="N2037" s="188"/>
      <c r="O2037" s="208"/>
      <c r="P2037" s="208"/>
      <c r="Q2037" s="208"/>
      <c r="R2037" s="208"/>
    </row>
    <row r="2038">
      <c r="A2038" s="185"/>
      <c r="B2038" s="186"/>
      <c r="C2038" s="185"/>
      <c r="D2038" s="185"/>
      <c r="E2038" s="185"/>
      <c r="F2038" s="185"/>
      <c r="G2038" s="185"/>
      <c r="H2038" s="185"/>
      <c r="I2038" s="185"/>
      <c r="J2038" s="185"/>
      <c r="K2038" s="185"/>
      <c r="L2038" s="187"/>
      <c r="M2038" s="188"/>
      <c r="N2038" s="188"/>
      <c r="O2038" s="208"/>
      <c r="P2038" s="208"/>
      <c r="Q2038" s="208"/>
      <c r="R2038" s="208"/>
    </row>
    <row r="2039">
      <c r="A2039" s="185"/>
      <c r="B2039" s="186"/>
      <c r="C2039" s="185"/>
      <c r="D2039" s="185"/>
      <c r="E2039" s="185"/>
      <c r="F2039" s="185"/>
      <c r="G2039" s="185"/>
      <c r="H2039" s="185"/>
      <c r="I2039" s="185"/>
      <c r="J2039" s="185"/>
      <c r="K2039" s="185"/>
      <c r="L2039" s="187"/>
      <c r="M2039" s="188"/>
      <c r="N2039" s="188"/>
      <c r="O2039" s="208"/>
      <c r="P2039" s="208"/>
      <c r="Q2039" s="208"/>
      <c r="R2039" s="208"/>
    </row>
    <row r="2040">
      <c r="A2040" s="185"/>
      <c r="B2040" s="186"/>
      <c r="C2040" s="185"/>
      <c r="D2040" s="185"/>
      <c r="E2040" s="185"/>
      <c r="F2040" s="185"/>
      <c r="G2040" s="185"/>
      <c r="H2040" s="185"/>
      <c r="I2040" s="185"/>
      <c r="J2040" s="185"/>
      <c r="K2040" s="185"/>
      <c r="L2040" s="187"/>
      <c r="M2040" s="188"/>
      <c r="N2040" s="188"/>
      <c r="O2040" s="208"/>
      <c r="P2040" s="208"/>
      <c r="Q2040" s="208"/>
      <c r="R2040" s="208"/>
    </row>
    <row r="2041">
      <c r="A2041" s="185"/>
      <c r="B2041" s="186"/>
      <c r="C2041" s="185"/>
      <c r="D2041" s="185"/>
      <c r="E2041" s="185"/>
      <c r="F2041" s="185"/>
      <c r="G2041" s="185"/>
      <c r="H2041" s="185"/>
      <c r="I2041" s="185"/>
      <c r="J2041" s="185"/>
      <c r="K2041" s="185"/>
      <c r="L2041" s="187"/>
      <c r="M2041" s="188"/>
      <c r="N2041" s="188"/>
      <c r="O2041" s="208"/>
      <c r="P2041" s="208"/>
      <c r="Q2041" s="208"/>
      <c r="R2041" s="208"/>
    </row>
    <row r="2042">
      <c r="A2042" s="185"/>
      <c r="B2042" s="186"/>
      <c r="C2042" s="185"/>
      <c r="D2042" s="185"/>
      <c r="E2042" s="185"/>
      <c r="F2042" s="185"/>
      <c r="G2042" s="185"/>
      <c r="H2042" s="185"/>
      <c r="I2042" s="185"/>
      <c r="J2042" s="185"/>
      <c r="K2042" s="185"/>
      <c r="L2042" s="187"/>
      <c r="M2042" s="188"/>
      <c r="N2042" s="188"/>
      <c r="O2042" s="208"/>
      <c r="P2042" s="208"/>
      <c r="Q2042" s="208"/>
      <c r="R2042" s="208"/>
    </row>
    <row r="2043">
      <c r="A2043" s="185"/>
      <c r="B2043" s="186"/>
      <c r="C2043" s="185"/>
      <c r="D2043" s="185"/>
      <c r="E2043" s="185"/>
      <c r="F2043" s="185"/>
      <c r="G2043" s="185"/>
      <c r="H2043" s="185"/>
      <c r="I2043" s="185"/>
      <c r="J2043" s="185"/>
      <c r="K2043" s="185"/>
      <c r="L2043" s="187"/>
      <c r="M2043" s="188"/>
      <c r="N2043" s="188"/>
      <c r="O2043" s="208"/>
      <c r="P2043" s="208"/>
      <c r="Q2043" s="208"/>
      <c r="R2043" s="208"/>
    </row>
    <row r="2044">
      <c r="A2044" s="185"/>
      <c r="B2044" s="186"/>
      <c r="C2044" s="185"/>
      <c r="D2044" s="185"/>
      <c r="E2044" s="185"/>
      <c r="F2044" s="185"/>
      <c r="G2044" s="185"/>
      <c r="H2044" s="185"/>
      <c r="I2044" s="185"/>
      <c r="J2044" s="185"/>
      <c r="K2044" s="185"/>
      <c r="L2044" s="187"/>
      <c r="M2044" s="188"/>
      <c r="N2044" s="188"/>
      <c r="O2044" s="208"/>
      <c r="P2044" s="208"/>
      <c r="Q2044" s="208"/>
      <c r="R2044" s="208"/>
    </row>
    <row r="2045">
      <c r="A2045" s="185"/>
      <c r="B2045" s="186"/>
      <c r="C2045" s="185"/>
      <c r="D2045" s="185"/>
      <c r="E2045" s="185"/>
      <c r="F2045" s="185"/>
      <c r="G2045" s="185"/>
      <c r="H2045" s="185"/>
      <c r="I2045" s="185"/>
      <c r="J2045" s="185"/>
      <c r="K2045" s="185"/>
      <c r="L2045" s="187"/>
      <c r="M2045" s="188"/>
      <c r="N2045" s="188"/>
      <c r="O2045" s="208"/>
      <c r="P2045" s="208"/>
      <c r="Q2045" s="208"/>
      <c r="R2045" s="208"/>
    </row>
    <row r="2046">
      <c r="A2046" s="185"/>
      <c r="B2046" s="186"/>
      <c r="C2046" s="185"/>
      <c r="D2046" s="185"/>
      <c r="E2046" s="185"/>
      <c r="F2046" s="185"/>
      <c r="G2046" s="185"/>
      <c r="H2046" s="185"/>
      <c r="I2046" s="185"/>
      <c r="J2046" s="185"/>
      <c r="K2046" s="185"/>
      <c r="L2046" s="187"/>
      <c r="M2046" s="188"/>
      <c r="N2046" s="188"/>
      <c r="O2046" s="208"/>
      <c r="P2046" s="208"/>
      <c r="Q2046" s="208"/>
      <c r="R2046" s="208"/>
    </row>
    <row r="2047">
      <c r="A2047" s="185"/>
      <c r="B2047" s="186"/>
      <c r="C2047" s="185"/>
      <c r="D2047" s="185"/>
      <c r="E2047" s="185"/>
      <c r="F2047" s="185"/>
      <c r="G2047" s="185"/>
      <c r="H2047" s="185"/>
      <c r="I2047" s="185"/>
      <c r="J2047" s="185"/>
      <c r="K2047" s="185"/>
      <c r="L2047" s="187"/>
      <c r="M2047" s="188"/>
      <c r="N2047" s="188"/>
      <c r="O2047" s="208"/>
      <c r="P2047" s="208"/>
      <c r="Q2047" s="208"/>
      <c r="R2047" s="208"/>
    </row>
    <row r="2048">
      <c r="A2048" s="185"/>
      <c r="B2048" s="186"/>
      <c r="C2048" s="185"/>
      <c r="D2048" s="185"/>
      <c r="E2048" s="185"/>
      <c r="F2048" s="185"/>
      <c r="G2048" s="185"/>
      <c r="H2048" s="185"/>
      <c r="I2048" s="185"/>
      <c r="J2048" s="185"/>
      <c r="K2048" s="185"/>
      <c r="L2048" s="187"/>
      <c r="M2048" s="188"/>
      <c r="N2048" s="188"/>
      <c r="O2048" s="208"/>
      <c r="P2048" s="208"/>
      <c r="Q2048" s="208"/>
      <c r="R2048" s="208"/>
    </row>
    <row r="2049">
      <c r="A2049" s="185"/>
      <c r="B2049" s="186"/>
      <c r="C2049" s="185"/>
      <c r="D2049" s="185"/>
      <c r="E2049" s="185"/>
      <c r="F2049" s="185"/>
      <c r="G2049" s="185"/>
      <c r="H2049" s="185"/>
      <c r="I2049" s="185"/>
      <c r="J2049" s="185"/>
      <c r="K2049" s="185"/>
      <c r="L2049" s="187"/>
      <c r="M2049" s="188"/>
      <c r="N2049" s="188"/>
      <c r="O2049" s="208"/>
      <c r="P2049" s="208"/>
      <c r="Q2049" s="208"/>
      <c r="R2049" s="208"/>
    </row>
    <row r="2050">
      <c r="A2050" s="185"/>
      <c r="B2050" s="186"/>
      <c r="C2050" s="185"/>
      <c r="D2050" s="185"/>
      <c r="E2050" s="185"/>
      <c r="F2050" s="185"/>
      <c r="G2050" s="185"/>
      <c r="H2050" s="185"/>
      <c r="I2050" s="185"/>
      <c r="J2050" s="185"/>
      <c r="K2050" s="185"/>
      <c r="L2050" s="187"/>
      <c r="M2050" s="188"/>
      <c r="N2050" s="188"/>
      <c r="O2050" s="208"/>
      <c r="P2050" s="208"/>
      <c r="Q2050" s="208"/>
      <c r="R2050" s="208"/>
    </row>
    <row r="2051">
      <c r="A2051" s="185"/>
      <c r="B2051" s="186"/>
      <c r="C2051" s="185"/>
      <c r="D2051" s="185"/>
      <c r="E2051" s="185"/>
      <c r="F2051" s="185"/>
      <c r="G2051" s="185"/>
      <c r="H2051" s="185"/>
      <c r="I2051" s="185"/>
      <c r="J2051" s="185"/>
      <c r="K2051" s="185"/>
      <c r="L2051" s="187"/>
      <c r="M2051" s="188"/>
      <c r="N2051" s="188"/>
      <c r="O2051" s="208"/>
      <c r="P2051" s="208"/>
      <c r="Q2051" s="208"/>
      <c r="R2051" s="208"/>
    </row>
    <row r="2052">
      <c r="A2052" s="185"/>
      <c r="B2052" s="186"/>
      <c r="C2052" s="185"/>
      <c r="D2052" s="185"/>
      <c r="E2052" s="185"/>
      <c r="F2052" s="185"/>
      <c r="G2052" s="185"/>
      <c r="H2052" s="185"/>
      <c r="I2052" s="185"/>
      <c r="J2052" s="185"/>
      <c r="K2052" s="185"/>
      <c r="L2052" s="187"/>
      <c r="M2052" s="188"/>
      <c r="N2052" s="188"/>
      <c r="O2052" s="208"/>
      <c r="P2052" s="208"/>
      <c r="Q2052" s="208"/>
      <c r="R2052" s="208"/>
    </row>
    <row r="2053">
      <c r="A2053" s="185"/>
      <c r="B2053" s="186"/>
      <c r="C2053" s="185"/>
      <c r="D2053" s="185"/>
      <c r="E2053" s="185"/>
      <c r="F2053" s="185"/>
      <c r="G2053" s="185"/>
      <c r="H2053" s="185"/>
      <c r="I2053" s="185"/>
      <c r="J2053" s="185"/>
      <c r="K2053" s="185"/>
      <c r="L2053" s="187"/>
      <c r="M2053" s="188"/>
      <c r="N2053" s="188"/>
      <c r="O2053" s="208"/>
      <c r="P2053" s="208"/>
      <c r="Q2053" s="208"/>
      <c r="R2053" s="208"/>
    </row>
    <row r="2054">
      <c r="A2054" s="185"/>
      <c r="B2054" s="186"/>
      <c r="C2054" s="185"/>
      <c r="D2054" s="185"/>
      <c r="E2054" s="185"/>
      <c r="F2054" s="185"/>
      <c r="G2054" s="185"/>
      <c r="H2054" s="185"/>
      <c r="I2054" s="185"/>
      <c r="J2054" s="185"/>
      <c r="K2054" s="185"/>
      <c r="L2054" s="187"/>
      <c r="M2054" s="188"/>
      <c r="N2054" s="188"/>
      <c r="O2054" s="208"/>
      <c r="P2054" s="208"/>
      <c r="Q2054" s="208"/>
      <c r="R2054" s="208"/>
    </row>
    <row r="2055">
      <c r="A2055" s="185"/>
      <c r="B2055" s="186"/>
      <c r="C2055" s="185"/>
      <c r="D2055" s="185"/>
      <c r="E2055" s="185"/>
      <c r="F2055" s="185"/>
      <c r="G2055" s="185"/>
      <c r="H2055" s="185"/>
      <c r="I2055" s="185"/>
      <c r="J2055" s="185"/>
      <c r="K2055" s="185"/>
      <c r="L2055" s="187"/>
      <c r="M2055" s="188"/>
      <c r="N2055" s="188"/>
      <c r="O2055" s="208"/>
      <c r="P2055" s="208"/>
      <c r="Q2055" s="208"/>
      <c r="R2055" s="208"/>
    </row>
    <row r="2056">
      <c r="A2056" s="185"/>
      <c r="B2056" s="186"/>
      <c r="C2056" s="185"/>
      <c r="D2056" s="185"/>
      <c r="E2056" s="185"/>
      <c r="F2056" s="185"/>
      <c r="G2056" s="185"/>
      <c r="H2056" s="185"/>
      <c r="I2056" s="185"/>
      <c r="J2056" s="185"/>
      <c r="K2056" s="185"/>
      <c r="L2056" s="187"/>
      <c r="M2056" s="188"/>
      <c r="N2056" s="188"/>
      <c r="O2056" s="208"/>
      <c r="P2056" s="208"/>
      <c r="Q2056" s="208"/>
      <c r="R2056" s="208"/>
    </row>
    <row r="2057">
      <c r="A2057" s="185"/>
      <c r="B2057" s="186"/>
      <c r="C2057" s="185"/>
      <c r="D2057" s="185"/>
      <c r="E2057" s="185"/>
      <c r="F2057" s="185"/>
      <c r="G2057" s="185"/>
      <c r="H2057" s="185"/>
      <c r="I2057" s="185"/>
      <c r="J2057" s="185"/>
      <c r="K2057" s="185"/>
      <c r="L2057" s="187"/>
      <c r="M2057" s="188"/>
      <c r="N2057" s="188"/>
      <c r="O2057" s="208"/>
      <c r="P2057" s="208"/>
      <c r="Q2057" s="208"/>
      <c r="R2057" s="208"/>
    </row>
    <row r="2058">
      <c r="A2058" s="185"/>
      <c r="B2058" s="186"/>
      <c r="C2058" s="185"/>
      <c r="D2058" s="185"/>
      <c r="E2058" s="185"/>
      <c r="F2058" s="185"/>
      <c r="G2058" s="185"/>
      <c r="H2058" s="185"/>
      <c r="I2058" s="185"/>
      <c r="J2058" s="185"/>
      <c r="K2058" s="185"/>
      <c r="L2058" s="187"/>
      <c r="M2058" s="188"/>
      <c r="N2058" s="188"/>
      <c r="O2058" s="208"/>
      <c r="P2058" s="208"/>
      <c r="Q2058" s="208"/>
      <c r="R2058" s="208"/>
    </row>
    <row r="2059">
      <c r="A2059" s="185"/>
      <c r="B2059" s="186"/>
      <c r="C2059" s="185"/>
      <c r="D2059" s="185"/>
      <c r="E2059" s="185"/>
      <c r="F2059" s="185"/>
      <c r="G2059" s="185"/>
      <c r="H2059" s="185"/>
      <c r="I2059" s="185"/>
      <c r="J2059" s="185"/>
      <c r="K2059" s="185"/>
      <c r="L2059" s="187"/>
      <c r="M2059" s="188"/>
      <c r="N2059" s="188"/>
      <c r="O2059" s="208"/>
      <c r="P2059" s="208"/>
      <c r="Q2059" s="208"/>
      <c r="R2059" s="208"/>
    </row>
    <row r="2060">
      <c r="A2060" s="185"/>
      <c r="B2060" s="186"/>
      <c r="C2060" s="185"/>
      <c r="D2060" s="185"/>
      <c r="E2060" s="185"/>
      <c r="F2060" s="185"/>
      <c r="G2060" s="185"/>
      <c r="H2060" s="185"/>
      <c r="I2060" s="185"/>
      <c r="J2060" s="185"/>
      <c r="K2060" s="185"/>
      <c r="L2060" s="187"/>
      <c r="M2060" s="188"/>
      <c r="N2060" s="188"/>
      <c r="O2060" s="208"/>
      <c r="P2060" s="208"/>
      <c r="Q2060" s="208"/>
      <c r="R2060" s="208"/>
    </row>
    <row r="2061">
      <c r="A2061" s="185"/>
      <c r="B2061" s="186"/>
      <c r="C2061" s="185"/>
      <c r="D2061" s="185"/>
      <c r="E2061" s="185"/>
      <c r="F2061" s="185"/>
      <c r="G2061" s="185"/>
      <c r="H2061" s="185"/>
      <c r="I2061" s="185"/>
      <c r="J2061" s="185"/>
      <c r="K2061" s="185"/>
      <c r="L2061" s="187"/>
      <c r="M2061" s="188"/>
      <c r="N2061" s="188"/>
      <c r="O2061" s="208"/>
      <c r="P2061" s="208"/>
      <c r="Q2061" s="208"/>
      <c r="R2061" s="208"/>
    </row>
    <row r="2062">
      <c r="A2062" s="185"/>
      <c r="B2062" s="186"/>
      <c r="C2062" s="185"/>
      <c r="D2062" s="185"/>
      <c r="E2062" s="185"/>
      <c r="F2062" s="185"/>
      <c r="G2062" s="185"/>
      <c r="H2062" s="185"/>
      <c r="I2062" s="185"/>
      <c r="J2062" s="185"/>
      <c r="K2062" s="185"/>
      <c r="L2062" s="187"/>
      <c r="M2062" s="188"/>
      <c r="N2062" s="188"/>
      <c r="O2062" s="208"/>
      <c r="P2062" s="208"/>
      <c r="Q2062" s="208"/>
      <c r="R2062" s="208"/>
    </row>
    <row r="2063">
      <c r="A2063" s="185"/>
      <c r="B2063" s="186"/>
      <c r="C2063" s="185"/>
      <c r="D2063" s="185"/>
      <c r="E2063" s="185"/>
      <c r="F2063" s="185"/>
      <c r="G2063" s="185"/>
      <c r="H2063" s="185"/>
      <c r="I2063" s="185"/>
      <c r="J2063" s="185"/>
      <c r="K2063" s="185"/>
      <c r="L2063" s="187"/>
      <c r="M2063" s="188"/>
      <c r="N2063" s="188"/>
      <c r="O2063" s="208"/>
      <c r="P2063" s="208"/>
      <c r="Q2063" s="208"/>
      <c r="R2063" s="208"/>
    </row>
    <row r="2064">
      <c r="A2064" s="185"/>
      <c r="B2064" s="186"/>
      <c r="C2064" s="185"/>
      <c r="D2064" s="185"/>
      <c r="E2064" s="185"/>
      <c r="F2064" s="185"/>
      <c r="G2064" s="185"/>
      <c r="H2064" s="185"/>
      <c r="I2064" s="185"/>
      <c r="J2064" s="185"/>
      <c r="K2064" s="185"/>
      <c r="L2064" s="187"/>
      <c r="M2064" s="188"/>
      <c r="N2064" s="188"/>
      <c r="O2064" s="208"/>
      <c r="P2064" s="208"/>
      <c r="Q2064" s="208"/>
      <c r="R2064" s="208"/>
    </row>
    <row r="2065">
      <c r="A2065" s="185"/>
      <c r="B2065" s="186"/>
      <c r="C2065" s="185"/>
      <c r="D2065" s="185"/>
      <c r="E2065" s="185"/>
      <c r="F2065" s="185"/>
      <c r="G2065" s="185"/>
      <c r="H2065" s="185"/>
      <c r="I2065" s="185"/>
      <c r="J2065" s="185"/>
      <c r="K2065" s="185"/>
      <c r="L2065" s="187"/>
      <c r="M2065" s="188"/>
      <c r="N2065" s="188"/>
      <c r="O2065" s="208"/>
      <c r="P2065" s="208"/>
      <c r="Q2065" s="208"/>
      <c r="R2065" s="208"/>
    </row>
    <row r="2066">
      <c r="A2066" s="185"/>
      <c r="B2066" s="186"/>
      <c r="C2066" s="185"/>
      <c r="D2066" s="185"/>
      <c r="E2066" s="185"/>
      <c r="F2066" s="185"/>
      <c r="G2066" s="185"/>
      <c r="H2066" s="185"/>
      <c r="I2066" s="185"/>
      <c r="J2066" s="185"/>
      <c r="K2066" s="185"/>
      <c r="L2066" s="187"/>
      <c r="M2066" s="188"/>
      <c r="N2066" s="188"/>
      <c r="O2066" s="208"/>
      <c r="P2066" s="208"/>
      <c r="Q2066" s="208"/>
      <c r="R2066" s="208"/>
    </row>
    <row r="2067">
      <c r="A2067" s="185"/>
      <c r="B2067" s="186"/>
      <c r="C2067" s="185"/>
      <c r="D2067" s="185"/>
      <c r="E2067" s="185"/>
      <c r="F2067" s="185"/>
      <c r="G2067" s="185"/>
      <c r="H2067" s="185"/>
      <c r="I2067" s="185"/>
      <c r="J2067" s="185"/>
      <c r="K2067" s="185"/>
      <c r="L2067" s="187"/>
      <c r="M2067" s="188"/>
      <c r="N2067" s="188"/>
      <c r="O2067" s="208"/>
      <c r="P2067" s="208"/>
      <c r="Q2067" s="208"/>
      <c r="R2067" s="208"/>
    </row>
    <row r="2068">
      <c r="A2068" s="185"/>
      <c r="B2068" s="186"/>
      <c r="C2068" s="185"/>
      <c r="D2068" s="185"/>
      <c r="E2068" s="185"/>
      <c r="F2068" s="185"/>
      <c r="G2068" s="185"/>
      <c r="H2068" s="185"/>
      <c r="I2068" s="185"/>
      <c r="J2068" s="185"/>
      <c r="K2068" s="185"/>
      <c r="L2068" s="187"/>
      <c r="M2068" s="188"/>
      <c r="N2068" s="188"/>
      <c r="O2068" s="208"/>
      <c r="P2068" s="208"/>
      <c r="Q2068" s="208"/>
      <c r="R2068" s="208"/>
    </row>
    <row r="2069">
      <c r="A2069" s="185"/>
      <c r="B2069" s="186"/>
      <c r="C2069" s="185"/>
      <c r="D2069" s="185"/>
      <c r="E2069" s="185"/>
      <c r="F2069" s="185"/>
      <c r="G2069" s="185"/>
      <c r="H2069" s="185"/>
      <c r="I2069" s="185"/>
      <c r="J2069" s="185"/>
      <c r="K2069" s="185"/>
      <c r="L2069" s="187"/>
      <c r="M2069" s="188"/>
      <c r="N2069" s="188"/>
      <c r="O2069" s="208"/>
      <c r="P2069" s="208"/>
      <c r="Q2069" s="208"/>
      <c r="R2069" s="208"/>
    </row>
    <row r="2070">
      <c r="A2070" s="185"/>
      <c r="B2070" s="186"/>
      <c r="C2070" s="185"/>
      <c r="D2070" s="185"/>
      <c r="E2070" s="185"/>
      <c r="F2070" s="185"/>
      <c r="G2070" s="185"/>
      <c r="H2070" s="185"/>
      <c r="I2070" s="185"/>
      <c r="J2070" s="185"/>
      <c r="K2070" s="185"/>
      <c r="L2070" s="187"/>
      <c r="M2070" s="188"/>
      <c r="N2070" s="188"/>
      <c r="O2070" s="208"/>
      <c r="P2070" s="208"/>
      <c r="Q2070" s="208"/>
      <c r="R2070" s="208"/>
    </row>
    <row r="2071">
      <c r="A2071" s="185"/>
      <c r="B2071" s="186"/>
      <c r="C2071" s="185"/>
      <c r="D2071" s="185"/>
      <c r="E2071" s="185"/>
      <c r="F2071" s="185"/>
      <c r="G2071" s="185"/>
      <c r="H2071" s="185"/>
      <c r="I2071" s="185"/>
      <c r="J2071" s="185"/>
      <c r="K2071" s="185"/>
      <c r="L2071" s="187"/>
      <c r="M2071" s="188"/>
      <c r="N2071" s="188"/>
      <c r="O2071" s="208"/>
      <c r="P2071" s="208"/>
      <c r="Q2071" s="208"/>
      <c r="R2071" s="208"/>
    </row>
    <row r="2072">
      <c r="A2072" s="185"/>
      <c r="B2072" s="186"/>
      <c r="C2072" s="185"/>
      <c r="D2072" s="185"/>
      <c r="E2072" s="185"/>
      <c r="F2072" s="185"/>
      <c r="G2072" s="185"/>
      <c r="H2072" s="185"/>
      <c r="I2072" s="185"/>
      <c r="J2072" s="185"/>
      <c r="K2072" s="185"/>
      <c r="L2072" s="187"/>
      <c r="M2072" s="188"/>
      <c r="N2072" s="188"/>
      <c r="O2072" s="208"/>
      <c r="P2072" s="208"/>
      <c r="Q2072" s="208"/>
      <c r="R2072" s="208"/>
    </row>
    <row r="2073">
      <c r="A2073" s="185"/>
      <c r="B2073" s="186"/>
      <c r="C2073" s="185"/>
      <c r="D2073" s="185"/>
      <c r="E2073" s="185"/>
      <c r="F2073" s="185"/>
      <c r="G2073" s="185"/>
      <c r="H2073" s="185"/>
      <c r="I2073" s="185"/>
      <c r="J2073" s="185"/>
      <c r="K2073" s="185"/>
      <c r="L2073" s="187"/>
      <c r="M2073" s="188"/>
      <c r="N2073" s="188"/>
      <c r="O2073" s="208"/>
      <c r="P2073" s="208"/>
      <c r="Q2073" s="208"/>
      <c r="R2073" s="208"/>
    </row>
    <row r="2074">
      <c r="A2074" s="185"/>
      <c r="B2074" s="186"/>
      <c r="C2074" s="185"/>
      <c r="D2074" s="185"/>
      <c r="E2074" s="185"/>
      <c r="F2074" s="185"/>
      <c r="G2074" s="185"/>
      <c r="H2074" s="185"/>
      <c r="I2074" s="185"/>
      <c r="J2074" s="185"/>
      <c r="K2074" s="185"/>
      <c r="L2074" s="187"/>
      <c r="M2074" s="188"/>
      <c r="N2074" s="188"/>
      <c r="O2074" s="208"/>
      <c r="P2074" s="208"/>
      <c r="Q2074" s="208"/>
      <c r="R2074" s="208"/>
    </row>
    <row r="2075">
      <c r="A2075" s="185"/>
      <c r="B2075" s="186"/>
      <c r="C2075" s="185"/>
      <c r="D2075" s="185"/>
      <c r="E2075" s="185"/>
      <c r="F2075" s="185"/>
      <c r="G2075" s="185"/>
      <c r="H2075" s="185"/>
      <c r="I2075" s="185"/>
      <c r="J2075" s="185"/>
      <c r="K2075" s="185"/>
      <c r="L2075" s="187"/>
      <c r="M2075" s="188"/>
      <c r="N2075" s="188"/>
      <c r="O2075" s="208"/>
      <c r="P2075" s="208"/>
      <c r="Q2075" s="208"/>
      <c r="R2075" s="208"/>
    </row>
    <row r="2076">
      <c r="A2076" s="185"/>
      <c r="B2076" s="186"/>
      <c r="C2076" s="185"/>
      <c r="D2076" s="185"/>
      <c r="E2076" s="185"/>
      <c r="F2076" s="185"/>
      <c r="G2076" s="185"/>
      <c r="H2076" s="185"/>
      <c r="I2076" s="185"/>
      <c r="J2076" s="185"/>
      <c r="K2076" s="185"/>
      <c r="L2076" s="187"/>
      <c r="M2076" s="188"/>
      <c r="N2076" s="188"/>
      <c r="O2076" s="208"/>
      <c r="P2076" s="208"/>
      <c r="Q2076" s="208"/>
      <c r="R2076" s="208"/>
    </row>
    <row r="2077">
      <c r="A2077" s="185"/>
      <c r="B2077" s="186"/>
      <c r="C2077" s="185"/>
      <c r="D2077" s="185"/>
      <c r="E2077" s="185"/>
      <c r="F2077" s="185"/>
      <c r="G2077" s="185"/>
      <c r="H2077" s="185"/>
      <c r="I2077" s="185"/>
      <c r="J2077" s="185"/>
      <c r="K2077" s="185"/>
      <c r="L2077" s="187"/>
      <c r="M2077" s="188"/>
      <c r="N2077" s="188"/>
      <c r="O2077" s="208"/>
      <c r="P2077" s="208"/>
      <c r="Q2077" s="208"/>
      <c r="R2077" s="208"/>
    </row>
    <row r="2078">
      <c r="A2078" s="185"/>
      <c r="B2078" s="186"/>
      <c r="C2078" s="185"/>
      <c r="D2078" s="185"/>
      <c r="E2078" s="185"/>
      <c r="F2078" s="185"/>
      <c r="G2078" s="185"/>
      <c r="H2078" s="185"/>
      <c r="I2078" s="185"/>
      <c r="J2078" s="185"/>
      <c r="K2078" s="185"/>
      <c r="L2078" s="187"/>
      <c r="M2078" s="188"/>
      <c r="N2078" s="188"/>
      <c r="O2078" s="208"/>
      <c r="P2078" s="208"/>
      <c r="Q2078" s="208"/>
      <c r="R2078" s="208"/>
    </row>
    <row r="2079">
      <c r="A2079" s="185"/>
      <c r="B2079" s="186"/>
      <c r="C2079" s="185"/>
      <c r="D2079" s="185"/>
      <c r="E2079" s="185"/>
      <c r="F2079" s="185"/>
      <c r="G2079" s="185"/>
      <c r="H2079" s="185"/>
      <c r="I2079" s="185"/>
      <c r="J2079" s="185"/>
      <c r="K2079" s="185"/>
      <c r="L2079" s="187"/>
      <c r="M2079" s="188"/>
      <c r="N2079" s="188"/>
      <c r="O2079" s="208"/>
      <c r="P2079" s="208"/>
      <c r="Q2079" s="208"/>
      <c r="R2079" s="208"/>
    </row>
    <row r="2080">
      <c r="A2080" s="185"/>
      <c r="B2080" s="186"/>
      <c r="C2080" s="185"/>
      <c r="D2080" s="185"/>
      <c r="E2080" s="185"/>
      <c r="F2080" s="185"/>
      <c r="G2080" s="185"/>
      <c r="H2080" s="185"/>
      <c r="I2080" s="185"/>
      <c r="J2080" s="185"/>
      <c r="K2080" s="185"/>
      <c r="L2080" s="187"/>
      <c r="M2080" s="188"/>
      <c r="N2080" s="188"/>
      <c r="O2080" s="208"/>
      <c r="P2080" s="208"/>
      <c r="Q2080" s="208"/>
      <c r="R2080" s="208"/>
    </row>
    <row r="2081">
      <c r="A2081" s="185"/>
      <c r="B2081" s="186"/>
      <c r="C2081" s="185"/>
      <c r="D2081" s="185"/>
      <c r="E2081" s="185"/>
      <c r="F2081" s="185"/>
      <c r="G2081" s="185"/>
      <c r="H2081" s="185"/>
      <c r="I2081" s="185"/>
      <c r="J2081" s="185"/>
      <c r="K2081" s="185"/>
      <c r="L2081" s="187"/>
      <c r="M2081" s="188"/>
      <c r="N2081" s="188"/>
      <c r="O2081" s="208"/>
      <c r="P2081" s="208"/>
      <c r="Q2081" s="208"/>
      <c r="R2081" s="208"/>
    </row>
    <row r="2082">
      <c r="A2082" s="185"/>
      <c r="B2082" s="186"/>
      <c r="C2082" s="185"/>
      <c r="D2082" s="185"/>
      <c r="E2082" s="185"/>
      <c r="F2082" s="185"/>
      <c r="G2082" s="185"/>
      <c r="H2082" s="185"/>
      <c r="I2082" s="185"/>
      <c r="J2082" s="185"/>
      <c r="K2082" s="185"/>
      <c r="L2082" s="187"/>
      <c r="M2082" s="188"/>
      <c r="N2082" s="188"/>
      <c r="O2082" s="208"/>
      <c r="P2082" s="208"/>
      <c r="Q2082" s="208"/>
      <c r="R2082" s="208"/>
    </row>
    <row r="2083">
      <c r="A2083" s="185"/>
      <c r="B2083" s="186"/>
      <c r="C2083" s="185"/>
      <c r="D2083" s="185"/>
      <c r="E2083" s="185"/>
      <c r="F2083" s="185"/>
      <c r="G2083" s="185"/>
      <c r="H2083" s="185"/>
      <c r="I2083" s="185"/>
      <c r="J2083" s="185"/>
      <c r="K2083" s="185"/>
      <c r="L2083" s="187"/>
      <c r="M2083" s="188"/>
      <c r="N2083" s="188"/>
      <c r="O2083" s="208"/>
      <c r="P2083" s="208"/>
      <c r="Q2083" s="208"/>
      <c r="R2083" s="208"/>
    </row>
    <row r="2084">
      <c r="A2084" s="185"/>
      <c r="B2084" s="186"/>
      <c r="C2084" s="185"/>
      <c r="D2084" s="185"/>
      <c r="E2084" s="185"/>
      <c r="F2084" s="185"/>
      <c r="G2084" s="185"/>
      <c r="H2084" s="185"/>
      <c r="I2084" s="185"/>
      <c r="J2084" s="185"/>
      <c r="K2084" s="185"/>
      <c r="L2084" s="187"/>
      <c r="M2084" s="188"/>
      <c r="N2084" s="188"/>
      <c r="O2084" s="208"/>
      <c r="P2084" s="208"/>
      <c r="Q2084" s="208"/>
      <c r="R2084" s="208"/>
    </row>
    <row r="2085">
      <c r="A2085" s="185"/>
      <c r="B2085" s="186"/>
      <c r="C2085" s="185"/>
      <c r="D2085" s="185"/>
      <c r="E2085" s="185"/>
      <c r="F2085" s="185"/>
      <c r="G2085" s="185"/>
      <c r="H2085" s="185"/>
      <c r="I2085" s="185"/>
      <c r="J2085" s="185"/>
      <c r="K2085" s="185"/>
      <c r="L2085" s="187"/>
      <c r="M2085" s="188"/>
      <c r="N2085" s="188"/>
      <c r="O2085" s="208"/>
      <c r="P2085" s="208"/>
      <c r="Q2085" s="208"/>
      <c r="R2085" s="208"/>
    </row>
    <row r="2086">
      <c r="A2086" s="185"/>
      <c r="B2086" s="186"/>
      <c r="C2086" s="185"/>
      <c r="D2086" s="185"/>
      <c r="E2086" s="185"/>
      <c r="F2086" s="185"/>
      <c r="G2086" s="185"/>
      <c r="H2086" s="185"/>
      <c r="I2086" s="185"/>
      <c r="J2086" s="185"/>
      <c r="K2086" s="185"/>
      <c r="L2086" s="187"/>
      <c r="M2086" s="188"/>
      <c r="N2086" s="188"/>
      <c r="O2086" s="208"/>
      <c r="P2086" s="208"/>
      <c r="Q2086" s="208"/>
      <c r="R2086" s="208"/>
    </row>
    <row r="2087">
      <c r="A2087" s="185"/>
      <c r="B2087" s="186"/>
      <c r="C2087" s="185"/>
      <c r="D2087" s="185"/>
      <c r="E2087" s="185"/>
      <c r="F2087" s="185"/>
      <c r="G2087" s="185"/>
      <c r="H2087" s="185"/>
      <c r="I2087" s="185"/>
      <c r="J2087" s="185"/>
      <c r="K2087" s="185"/>
      <c r="L2087" s="187"/>
      <c r="M2087" s="188"/>
      <c r="N2087" s="188"/>
      <c r="O2087" s="208"/>
      <c r="P2087" s="208"/>
      <c r="Q2087" s="208"/>
      <c r="R2087" s="208"/>
    </row>
    <row r="2088">
      <c r="A2088" s="185"/>
      <c r="B2088" s="186"/>
      <c r="C2088" s="185"/>
      <c r="D2088" s="185"/>
      <c r="E2088" s="185"/>
      <c r="F2088" s="185"/>
      <c r="G2088" s="185"/>
      <c r="H2088" s="185"/>
      <c r="I2088" s="185"/>
      <c r="J2088" s="185"/>
      <c r="K2088" s="185"/>
      <c r="L2088" s="187"/>
      <c r="M2088" s="188"/>
      <c r="N2088" s="188"/>
      <c r="O2088" s="208"/>
      <c r="P2088" s="208"/>
      <c r="Q2088" s="208"/>
      <c r="R2088" s="208"/>
    </row>
    <row r="2089">
      <c r="A2089" s="185"/>
      <c r="B2089" s="186"/>
      <c r="C2089" s="185"/>
      <c r="D2089" s="185"/>
      <c r="E2089" s="185"/>
      <c r="F2089" s="185"/>
      <c r="G2089" s="185"/>
      <c r="H2089" s="185"/>
      <c r="I2089" s="185"/>
      <c r="J2089" s="185"/>
      <c r="K2089" s="185"/>
      <c r="L2089" s="187"/>
      <c r="M2089" s="188"/>
      <c r="N2089" s="188"/>
      <c r="O2089" s="208"/>
      <c r="P2089" s="208"/>
      <c r="Q2089" s="208"/>
      <c r="R2089" s="208"/>
    </row>
    <row r="2090">
      <c r="A2090" s="185"/>
      <c r="B2090" s="186"/>
      <c r="C2090" s="185"/>
      <c r="D2090" s="185"/>
      <c r="E2090" s="185"/>
      <c r="F2090" s="185"/>
      <c r="G2090" s="185"/>
      <c r="H2090" s="185"/>
      <c r="I2090" s="185"/>
      <c r="J2090" s="185"/>
      <c r="K2090" s="185"/>
      <c r="L2090" s="187"/>
      <c r="M2090" s="188"/>
      <c r="N2090" s="188"/>
      <c r="O2090" s="208"/>
      <c r="P2090" s="208"/>
      <c r="Q2090" s="208"/>
      <c r="R2090" s="208"/>
    </row>
    <row r="2091">
      <c r="A2091" s="185"/>
      <c r="B2091" s="186"/>
      <c r="C2091" s="185"/>
      <c r="D2091" s="185"/>
      <c r="E2091" s="185"/>
      <c r="F2091" s="185"/>
      <c r="G2091" s="185"/>
      <c r="H2091" s="185"/>
      <c r="I2091" s="185"/>
      <c r="J2091" s="185"/>
      <c r="K2091" s="185"/>
      <c r="L2091" s="187"/>
      <c r="M2091" s="188"/>
      <c r="N2091" s="188"/>
      <c r="O2091" s="208"/>
      <c r="P2091" s="208"/>
      <c r="Q2091" s="208"/>
      <c r="R2091" s="208"/>
    </row>
    <row r="2092">
      <c r="A2092" s="185"/>
      <c r="B2092" s="186"/>
      <c r="C2092" s="185"/>
      <c r="D2092" s="185"/>
      <c r="E2092" s="185"/>
      <c r="F2092" s="185"/>
      <c r="G2092" s="185"/>
      <c r="H2092" s="185"/>
      <c r="I2092" s="185"/>
      <c r="J2092" s="185"/>
      <c r="K2092" s="185"/>
      <c r="L2092" s="187"/>
      <c r="M2092" s="188"/>
      <c r="N2092" s="188"/>
      <c r="O2092" s="208"/>
      <c r="P2092" s="208"/>
      <c r="Q2092" s="208"/>
      <c r="R2092" s="208"/>
    </row>
    <row r="2093">
      <c r="A2093" s="185"/>
      <c r="B2093" s="186"/>
      <c r="C2093" s="185"/>
      <c r="D2093" s="185"/>
      <c r="E2093" s="185"/>
      <c r="F2093" s="185"/>
      <c r="G2093" s="185"/>
      <c r="H2093" s="185"/>
      <c r="I2093" s="185"/>
      <c r="J2093" s="185"/>
      <c r="K2093" s="185"/>
      <c r="L2093" s="187"/>
      <c r="M2093" s="188"/>
      <c r="N2093" s="188"/>
      <c r="O2093" s="208"/>
      <c r="P2093" s="208"/>
      <c r="Q2093" s="208"/>
      <c r="R2093" s="208"/>
    </row>
    <row r="2094">
      <c r="A2094" s="185"/>
      <c r="B2094" s="186"/>
      <c r="C2094" s="185"/>
      <c r="D2094" s="185"/>
      <c r="E2094" s="185"/>
      <c r="F2094" s="185"/>
      <c r="G2094" s="185"/>
      <c r="H2094" s="185"/>
      <c r="I2094" s="185"/>
      <c r="J2094" s="185"/>
      <c r="K2094" s="185"/>
      <c r="L2094" s="187"/>
      <c r="M2094" s="188"/>
      <c r="N2094" s="188"/>
      <c r="O2094" s="208"/>
      <c r="P2094" s="208"/>
      <c r="Q2094" s="208"/>
      <c r="R2094" s="208"/>
    </row>
    <row r="2095">
      <c r="A2095" s="185"/>
      <c r="B2095" s="186"/>
      <c r="C2095" s="185"/>
      <c r="D2095" s="185"/>
      <c r="E2095" s="185"/>
      <c r="F2095" s="185"/>
      <c r="G2095" s="185"/>
      <c r="H2095" s="185"/>
      <c r="I2095" s="185"/>
      <c r="J2095" s="185"/>
      <c r="K2095" s="185"/>
      <c r="L2095" s="187"/>
      <c r="M2095" s="188"/>
      <c r="N2095" s="188"/>
      <c r="O2095" s="208"/>
      <c r="P2095" s="208"/>
      <c r="Q2095" s="208"/>
      <c r="R2095" s="208"/>
    </row>
    <row r="2096">
      <c r="A2096" s="185"/>
      <c r="B2096" s="186"/>
      <c r="C2096" s="185"/>
      <c r="D2096" s="185"/>
      <c r="E2096" s="185"/>
      <c r="F2096" s="185"/>
      <c r="G2096" s="185"/>
      <c r="H2096" s="185"/>
      <c r="I2096" s="185"/>
      <c r="J2096" s="185"/>
      <c r="K2096" s="185"/>
      <c r="L2096" s="187"/>
      <c r="M2096" s="188"/>
      <c r="N2096" s="188"/>
      <c r="O2096" s="208"/>
      <c r="P2096" s="208"/>
      <c r="Q2096" s="208"/>
      <c r="R2096" s="208"/>
    </row>
    <row r="2097">
      <c r="A2097" s="185"/>
      <c r="B2097" s="186"/>
      <c r="C2097" s="185"/>
      <c r="D2097" s="185"/>
      <c r="E2097" s="185"/>
      <c r="F2097" s="185"/>
      <c r="G2097" s="185"/>
      <c r="H2097" s="185"/>
      <c r="I2097" s="185"/>
      <c r="J2097" s="185"/>
      <c r="K2097" s="185"/>
      <c r="L2097" s="187"/>
      <c r="M2097" s="188"/>
      <c r="N2097" s="188"/>
      <c r="O2097" s="208"/>
      <c r="P2097" s="208"/>
      <c r="Q2097" s="208"/>
      <c r="R2097" s="208"/>
    </row>
    <row r="2098">
      <c r="A2098" s="185"/>
      <c r="B2098" s="186"/>
      <c r="C2098" s="185"/>
      <c r="D2098" s="185"/>
      <c r="E2098" s="185"/>
      <c r="F2098" s="185"/>
      <c r="G2098" s="185"/>
      <c r="H2098" s="185"/>
      <c r="I2098" s="185"/>
      <c r="J2098" s="185"/>
      <c r="K2098" s="185"/>
      <c r="L2098" s="187"/>
      <c r="M2098" s="188"/>
      <c r="N2098" s="188"/>
      <c r="O2098" s="208"/>
      <c r="P2098" s="208"/>
      <c r="Q2098" s="208"/>
      <c r="R2098" s="208"/>
    </row>
    <row r="2099">
      <c r="A2099" s="185"/>
      <c r="B2099" s="186"/>
      <c r="C2099" s="185"/>
      <c r="D2099" s="185"/>
      <c r="E2099" s="185"/>
      <c r="F2099" s="185"/>
      <c r="G2099" s="185"/>
      <c r="H2099" s="185"/>
      <c r="I2099" s="185"/>
      <c r="J2099" s="185"/>
      <c r="K2099" s="185"/>
      <c r="L2099" s="187"/>
      <c r="M2099" s="188"/>
      <c r="N2099" s="188"/>
      <c r="O2099" s="208"/>
      <c r="P2099" s="208"/>
      <c r="Q2099" s="208"/>
      <c r="R2099" s="208"/>
    </row>
    <row r="2100">
      <c r="A2100" s="185"/>
      <c r="B2100" s="186"/>
      <c r="C2100" s="185"/>
      <c r="D2100" s="185"/>
      <c r="E2100" s="185"/>
      <c r="F2100" s="185"/>
      <c r="G2100" s="185"/>
      <c r="H2100" s="185"/>
      <c r="I2100" s="185"/>
      <c r="J2100" s="185"/>
      <c r="K2100" s="185"/>
      <c r="L2100" s="187"/>
      <c r="M2100" s="188"/>
      <c r="N2100" s="188"/>
      <c r="O2100" s="208"/>
      <c r="P2100" s="208"/>
      <c r="Q2100" s="208"/>
      <c r="R2100" s="208"/>
    </row>
    <row r="2101">
      <c r="A2101" s="185"/>
      <c r="B2101" s="186"/>
      <c r="C2101" s="185"/>
      <c r="D2101" s="185"/>
      <c r="E2101" s="185"/>
      <c r="F2101" s="185"/>
      <c r="G2101" s="185"/>
      <c r="H2101" s="185"/>
      <c r="I2101" s="185"/>
      <c r="J2101" s="185"/>
      <c r="K2101" s="185"/>
      <c r="L2101" s="187"/>
      <c r="M2101" s="188"/>
      <c r="N2101" s="188"/>
      <c r="O2101" s="208"/>
      <c r="P2101" s="208"/>
      <c r="Q2101" s="208"/>
      <c r="R2101" s="208"/>
    </row>
    <row r="2102">
      <c r="A2102" s="185"/>
      <c r="B2102" s="186"/>
      <c r="C2102" s="185"/>
      <c r="D2102" s="185"/>
      <c r="E2102" s="185"/>
      <c r="F2102" s="185"/>
      <c r="G2102" s="185"/>
      <c r="H2102" s="185"/>
      <c r="I2102" s="185"/>
      <c r="J2102" s="185"/>
      <c r="K2102" s="185"/>
      <c r="L2102" s="187"/>
      <c r="M2102" s="188"/>
      <c r="N2102" s="188"/>
      <c r="O2102" s="208"/>
      <c r="P2102" s="208"/>
      <c r="Q2102" s="208"/>
      <c r="R2102" s="208"/>
    </row>
    <row r="2103">
      <c r="A2103" s="185"/>
      <c r="B2103" s="186"/>
      <c r="C2103" s="185"/>
      <c r="D2103" s="185"/>
      <c r="E2103" s="185"/>
      <c r="F2103" s="185"/>
      <c r="G2103" s="185"/>
      <c r="H2103" s="185"/>
      <c r="I2103" s="185"/>
      <c r="J2103" s="185"/>
      <c r="K2103" s="185"/>
      <c r="L2103" s="187"/>
      <c r="M2103" s="188"/>
      <c r="N2103" s="188"/>
      <c r="O2103" s="208"/>
      <c r="P2103" s="208"/>
      <c r="Q2103" s="208"/>
      <c r="R2103" s="208"/>
    </row>
    <row r="2104">
      <c r="A2104" s="185"/>
      <c r="B2104" s="186"/>
      <c r="C2104" s="185"/>
      <c r="D2104" s="185"/>
      <c r="E2104" s="185"/>
      <c r="F2104" s="185"/>
      <c r="G2104" s="185"/>
      <c r="H2104" s="185"/>
      <c r="I2104" s="185"/>
      <c r="J2104" s="185"/>
      <c r="K2104" s="185"/>
      <c r="L2104" s="187"/>
      <c r="M2104" s="188"/>
      <c r="N2104" s="188"/>
      <c r="O2104" s="208"/>
      <c r="P2104" s="208"/>
      <c r="Q2104" s="208"/>
      <c r="R2104" s="208"/>
    </row>
    <row r="2105">
      <c r="A2105" s="185"/>
      <c r="B2105" s="186"/>
      <c r="C2105" s="185"/>
      <c r="D2105" s="185"/>
      <c r="E2105" s="185"/>
      <c r="F2105" s="185"/>
      <c r="G2105" s="185"/>
      <c r="H2105" s="185"/>
      <c r="I2105" s="185"/>
      <c r="J2105" s="185"/>
      <c r="K2105" s="185"/>
      <c r="L2105" s="187"/>
      <c r="M2105" s="188"/>
      <c r="N2105" s="188"/>
      <c r="O2105" s="208"/>
      <c r="P2105" s="208"/>
      <c r="Q2105" s="208"/>
      <c r="R2105" s="208"/>
    </row>
    <row r="2106">
      <c r="A2106" s="185"/>
      <c r="B2106" s="186"/>
      <c r="C2106" s="185"/>
      <c r="D2106" s="185"/>
      <c r="E2106" s="185"/>
      <c r="F2106" s="185"/>
      <c r="G2106" s="185"/>
      <c r="H2106" s="185"/>
      <c r="I2106" s="185"/>
      <c r="J2106" s="185"/>
      <c r="K2106" s="185"/>
      <c r="L2106" s="187"/>
      <c r="M2106" s="188"/>
      <c r="N2106" s="188"/>
      <c r="O2106" s="208"/>
      <c r="P2106" s="208"/>
      <c r="Q2106" s="208"/>
      <c r="R2106" s="208"/>
    </row>
    <row r="2107">
      <c r="A2107" s="185"/>
      <c r="B2107" s="186"/>
      <c r="C2107" s="185"/>
      <c r="D2107" s="185"/>
      <c r="E2107" s="185"/>
      <c r="F2107" s="185"/>
      <c r="G2107" s="185"/>
      <c r="H2107" s="185"/>
      <c r="I2107" s="185"/>
      <c r="J2107" s="185"/>
      <c r="K2107" s="185"/>
      <c r="L2107" s="187"/>
      <c r="M2107" s="188"/>
      <c r="N2107" s="188"/>
      <c r="O2107" s="208"/>
      <c r="P2107" s="208"/>
      <c r="Q2107" s="208"/>
      <c r="R2107" s="208"/>
    </row>
    <row r="2108">
      <c r="A2108" s="185"/>
      <c r="B2108" s="186"/>
      <c r="C2108" s="185"/>
      <c r="D2108" s="185"/>
      <c r="E2108" s="185"/>
      <c r="F2108" s="185"/>
      <c r="G2108" s="185"/>
      <c r="H2108" s="185"/>
      <c r="I2108" s="185"/>
      <c r="J2108" s="185"/>
      <c r="K2108" s="185"/>
      <c r="L2108" s="187"/>
      <c r="M2108" s="188"/>
      <c r="N2108" s="188"/>
      <c r="O2108" s="208"/>
      <c r="P2108" s="208"/>
      <c r="Q2108" s="208"/>
      <c r="R2108" s="208"/>
    </row>
    <row r="2109">
      <c r="A2109" s="185"/>
      <c r="B2109" s="186"/>
      <c r="C2109" s="185"/>
      <c r="D2109" s="185"/>
      <c r="E2109" s="185"/>
      <c r="F2109" s="185"/>
      <c r="G2109" s="185"/>
      <c r="H2109" s="185"/>
      <c r="I2109" s="185"/>
      <c r="J2109" s="185"/>
      <c r="K2109" s="185"/>
      <c r="L2109" s="187"/>
      <c r="M2109" s="188"/>
      <c r="N2109" s="188"/>
      <c r="O2109" s="208"/>
      <c r="P2109" s="208"/>
      <c r="Q2109" s="208"/>
      <c r="R2109" s="208"/>
    </row>
    <row r="2110">
      <c r="A2110" s="185"/>
      <c r="B2110" s="186"/>
      <c r="C2110" s="185"/>
      <c r="D2110" s="185"/>
      <c r="E2110" s="185"/>
      <c r="F2110" s="185"/>
      <c r="G2110" s="185"/>
      <c r="H2110" s="185"/>
      <c r="I2110" s="185"/>
      <c r="J2110" s="185"/>
      <c r="K2110" s="185"/>
      <c r="L2110" s="187"/>
      <c r="M2110" s="188"/>
      <c r="N2110" s="188"/>
      <c r="O2110" s="208"/>
      <c r="P2110" s="208"/>
      <c r="Q2110" s="208"/>
      <c r="R2110" s="208"/>
    </row>
    <row r="2111">
      <c r="A2111" s="185"/>
      <c r="B2111" s="186"/>
      <c r="C2111" s="185"/>
      <c r="D2111" s="185"/>
      <c r="E2111" s="185"/>
      <c r="F2111" s="185"/>
      <c r="G2111" s="185"/>
      <c r="H2111" s="185"/>
      <c r="I2111" s="185"/>
      <c r="J2111" s="185"/>
      <c r="K2111" s="185"/>
      <c r="L2111" s="187"/>
      <c r="M2111" s="188"/>
      <c r="N2111" s="188"/>
      <c r="O2111" s="208"/>
      <c r="P2111" s="208"/>
      <c r="Q2111" s="208"/>
      <c r="R2111" s="208"/>
    </row>
    <row r="2112">
      <c r="A2112" s="185"/>
      <c r="B2112" s="186"/>
      <c r="C2112" s="185"/>
      <c r="D2112" s="185"/>
      <c r="E2112" s="185"/>
      <c r="F2112" s="185"/>
      <c r="G2112" s="185"/>
      <c r="H2112" s="185"/>
      <c r="I2112" s="185"/>
      <c r="J2112" s="185"/>
      <c r="K2112" s="185"/>
      <c r="L2112" s="187"/>
      <c r="M2112" s="188"/>
      <c r="N2112" s="188"/>
      <c r="O2112" s="208"/>
      <c r="P2112" s="208"/>
      <c r="Q2112" s="208"/>
      <c r="R2112" s="208"/>
    </row>
    <row r="2113">
      <c r="A2113" s="185"/>
      <c r="B2113" s="186"/>
      <c r="C2113" s="185"/>
      <c r="D2113" s="185"/>
      <c r="E2113" s="185"/>
      <c r="F2113" s="185"/>
      <c r="G2113" s="185"/>
      <c r="H2113" s="185"/>
      <c r="I2113" s="185"/>
      <c r="J2113" s="185"/>
      <c r="K2113" s="185"/>
      <c r="L2113" s="187"/>
      <c r="M2113" s="188"/>
      <c r="N2113" s="188"/>
      <c r="O2113" s="208"/>
      <c r="P2113" s="208"/>
      <c r="Q2113" s="208"/>
      <c r="R2113" s="208"/>
    </row>
    <row r="2114">
      <c r="A2114" s="185"/>
      <c r="B2114" s="186"/>
      <c r="C2114" s="185"/>
      <c r="D2114" s="185"/>
      <c r="E2114" s="185"/>
      <c r="F2114" s="185"/>
      <c r="G2114" s="185"/>
      <c r="H2114" s="185"/>
      <c r="I2114" s="185"/>
      <c r="J2114" s="185"/>
      <c r="K2114" s="185"/>
      <c r="L2114" s="187"/>
      <c r="M2114" s="188"/>
      <c r="N2114" s="188"/>
      <c r="O2114" s="208"/>
      <c r="P2114" s="208"/>
      <c r="Q2114" s="208"/>
      <c r="R2114" s="208"/>
    </row>
    <row r="2115">
      <c r="A2115" s="185"/>
      <c r="B2115" s="186"/>
      <c r="C2115" s="185"/>
      <c r="D2115" s="185"/>
      <c r="E2115" s="185"/>
      <c r="F2115" s="185"/>
      <c r="G2115" s="185"/>
      <c r="H2115" s="185"/>
      <c r="I2115" s="185"/>
      <c r="J2115" s="185"/>
      <c r="K2115" s="185"/>
      <c r="L2115" s="187"/>
      <c r="M2115" s="188"/>
      <c r="N2115" s="188"/>
      <c r="O2115" s="208"/>
      <c r="P2115" s="208"/>
      <c r="Q2115" s="208"/>
      <c r="R2115" s="208"/>
    </row>
    <row r="2116">
      <c r="A2116" s="185"/>
      <c r="B2116" s="186"/>
      <c r="C2116" s="185"/>
      <c r="D2116" s="185"/>
      <c r="E2116" s="185"/>
      <c r="F2116" s="185"/>
      <c r="G2116" s="185"/>
      <c r="H2116" s="185"/>
      <c r="I2116" s="185"/>
      <c r="J2116" s="185"/>
      <c r="K2116" s="185"/>
      <c r="L2116" s="187"/>
      <c r="M2116" s="188"/>
      <c r="N2116" s="188"/>
      <c r="O2116" s="208"/>
      <c r="P2116" s="208"/>
      <c r="Q2116" s="208"/>
      <c r="R2116" s="208"/>
    </row>
    <row r="2117">
      <c r="A2117" s="185"/>
      <c r="B2117" s="186"/>
      <c r="C2117" s="185"/>
      <c r="D2117" s="185"/>
      <c r="E2117" s="185"/>
      <c r="F2117" s="185"/>
      <c r="G2117" s="185"/>
      <c r="H2117" s="185"/>
      <c r="I2117" s="185"/>
      <c r="J2117" s="185"/>
      <c r="K2117" s="185"/>
      <c r="L2117" s="187"/>
      <c r="M2117" s="188"/>
      <c r="N2117" s="188"/>
      <c r="O2117" s="208"/>
      <c r="P2117" s="208"/>
      <c r="Q2117" s="208"/>
      <c r="R2117" s="208"/>
    </row>
    <row r="2118">
      <c r="A2118" s="185"/>
      <c r="B2118" s="186"/>
      <c r="C2118" s="185"/>
      <c r="D2118" s="185"/>
      <c r="E2118" s="185"/>
      <c r="F2118" s="185"/>
      <c r="G2118" s="185"/>
      <c r="H2118" s="185"/>
      <c r="I2118" s="185"/>
      <c r="J2118" s="185"/>
      <c r="K2118" s="185"/>
      <c r="L2118" s="187"/>
      <c r="M2118" s="188"/>
      <c r="N2118" s="188"/>
      <c r="O2118" s="208"/>
      <c r="P2118" s="208"/>
      <c r="Q2118" s="208"/>
      <c r="R2118" s="208"/>
    </row>
    <row r="2119">
      <c r="A2119" s="185"/>
      <c r="B2119" s="186"/>
      <c r="C2119" s="185"/>
      <c r="D2119" s="185"/>
      <c r="E2119" s="185"/>
      <c r="F2119" s="185"/>
      <c r="G2119" s="185"/>
      <c r="H2119" s="185"/>
      <c r="I2119" s="185"/>
      <c r="J2119" s="185"/>
      <c r="K2119" s="185"/>
      <c r="L2119" s="187"/>
      <c r="M2119" s="188"/>
      <c r="N2119" s="188"/>
      <c r="O2119" s="208"/>
      <c r="P2119" s="208"/>
      <c r="Q2119" s="208"/>
      <c r="R2119" s="208"/>
    </row>
    <row r="2120">
      <c r="A2120" s="185"/>
      <c r="B2120" s="186"/>
      <c r="C2120" s="185"/>
      <c r="D2120" s="185"/>
      <c r="E2120" s="185"/>
      <c r="F2120" s="185"/>
      <c r="G2120" s="185"/>
      <c r="H2120" s="185"/>
      <c r="I2120" s="185"/>
      <c r="J2120" s="185"/>
      <c r="K2120" s="185"/>
      <c r="L2120" s="187"/>
      <c r="M2120" s="188"/>
      <c r="N2120" s="188"/>
      <c r="O2120" s="208"/>
      <c r="P2120" s="208"/>
      <c r="Q2120" s="208"/>
      <c r="R2120" s="208"/>
    </row>
    <row r="2121">
      <c r="A2121" s="185"/>
      <c r="B2121" s="186"/>
      <c r="C2121" s="185"/>
      <c r="D2121" s="185"/>
      <c r="E2121" s="185"/>
      <c r="F2121" s="185"/>
      <c r="G2121" s="185"/>
      <c r="H2121" s="185"/>
      <c r="I2121" s="185"/>
      <c r="J2121" s="185"/>
      <c r="K2121" s="185"/>
      <c r="L2121" s="187"/>
      <c r="M2121" s="188"/>
      <c r="N2121" s="188"/>
      <c r="O2121" s="208"/>
      <c r="P2121" s="208"/>
      <c r="Q2121" s="208"/>
      <c r="R2121" s="208"/>
    </row>
    <row r="2122">
      <c r="A2122" s="185"/>
      <c r="B2122" s="186"/>
      <c r="C2122" s="185"/>
      <c r="D2122" s="185"/>
      <c r="E2122" s="185"/>
      <c r="F2122" s="185"/>
      <c r="G2122" s="185"/>
      <c r="H2122" s="185"/>
      <c r="I2122" s="185"/>
      <c r="J2122" s="185"/>
      <c r="K2122" s="185"/>
      <c r="L2122" s="187"/>
      <c r="M2122" s="188"/>
      <c r="N2122" s="188"/>
      <c r="O2122" s="208"/>
      <c r="P2122" s="208"/>
      <c r="Q2122" s="208"/>
      <c r="R2122" s="208"/>
    </row>
    <row r="2123">
      <c r="A2123" s="185"/>
      <c r="B2123" s="186"/>
      <c r="C2123" s="185"/>
      <c r="D2123" s="185"/>
      <c r="E2123" s="185"/>
      <c r="F2123" s="185"/>
      <c r="G2123" s="185"/>
      <c r="H2123" s="185"/>
      <c r="I2123" s="185"/>
      <c r="J2123" s="185"/>
      <c r="K2123" s="185"/>
      <c r="L2123" s="187"/>
      <c r="M2123" s="188"/>
      <c r="N2123" s="188"/>
      <c r="O2123" s="208"/>
      <c r="P2123" s="208"/>
      <c r="Q2123" s="208"/>
      <c r="R2123" s="208"/>
    </row>
    <row r="2124">
      <c r="A2124" s="185"/>
      <c r="B2124" s="186"/>
      <c r="C2124" s="185"/>
      <c r="D2124" s="185"/>
      <c r="E2124" s="185"/>
      <c r="F2124" s="185"/>
      <c r="G2124" s="185"/>
      <c r="H2124" s="185"/>
      <c r="I2124" s="185"/>
      <c r="J2124" s="185"/>
      <c r="K2124" s="185"/>
      <c r="L2124" s="187"/>
      <c r="M2124" s="188"/>
      <c r="N2124" s="188"/>
      <c r="O2124" s="208"/>
      <c r="P2124" s="208"/>
      <c r="Q2124" s="208"/>
      <c r="R2124" s="208"/>
    </row>
    <row r="2125">
      <c r="A2125" s="185"/>
      <c r="B2125" s="186"/>
      <c r="C2125" s="185"/>
      <c r="D2125" s="185"/>
      <c r="E2125" s="185"/>
      <c r="F2125" s="185"/>
      <c r="G2125" s="185"/>
      <c r="H2125" s="185"/>
      <c r="I2125" s="185"/>
      <c r="J2125" s="185"/>
      <c r="K2125" s="185"/>
      <c r="L2125" s="187"/>
      <c r="M2125" s="188"/>
      <c r="N2125" s="188"/>
      <c r="O2125" s="208"/>
      <c r="P2125" s="208"/>
      <c r="Q2125" s="208"/>
      <c r="R2125" s="208"/>
    </row>
    <row r="2126">
      <c r="A2126" s="185"/>
      <c r="B2126" s="186"/>
      <c r="C2126" s="185"/>
      <c r="D2126" s="185"/>
      <c r="E2126" s="185"/>
      <c r="F2126" s="185"/>
      <c r="G2126" s="185"/>
      <c r="H2126" s="185"/>
      <c r="I2126" s="185"/>
      <c r="J2126" s="185"/>
      <c r="K2126" s="185"/>
      <c r="L2126" s="187"/>
      <c r="M2126" s="188"/>
      <c r="N2126" s="188"/>
      <c r="O2126" s="208"/>
      <c r="P2126" s="208"/>
      <c r="Q2126" s="208"/>
      <c r="R2126" s="208"/>
    </row>
    <row r="2127">
      <c r="A2127" s="185"/>
      <c r="B2127" s="186"/>
      <c r="C2127" s="185"/>
      <c r="D2127" s="185"/>
      <c r="E2127" s="185"/>
      <c r="F2127" s="185"/>
      <c r="G2127" s="185"/>
      <c r="H2127" s="185"/>
      <c r="I2127" s="185"/>
      <c r="J2127" s="185"/>
      <c r="K2127" s="185"/>
      <c r="L2127" s="187"/>
      <c r="M2127" s="188"/>
      <c r="N2127" s="188"/>
      <c r="O2127" s="208"/>
      <c r="P2127" s="208"/>
      <c r="Q2127" s="208"/>
      <c r="R2127" s="208"/>
    </row>
    <row r="2128">
      <c r="A2128" s="185"/>
      <c r="B2128" s="186"/>
      <c r="C2128" s="185"/>
      <c r="D2128" s="185"/>
      <c r="E2128" s="185"/>
      <c r="F2128" s="185"/>
      <c r="G2128" s="185"/>
      <c r="H2128" s="185"/>
      <c r="I2128" s="185"/>
      <c r="J2128" s="185"/>
      <c r="K2128" s="185"/>
      <c r="L2128" s="187"/>
      <c r="M2128" s="188"/>
      <c r="N2128" s="188"/>
      <c r="O2128" s="208"/>
      <c r="P2128" s="208"/>
      <c r="Q2128" s="208"/>
      <c r="R2128" s="208"/>
    </row>
    <row r="2129">
      <c r="A2129" s="185"/>
      <c r="B2129" s="186"/>
      <c r="C2129" s="185"/>
      <c r="D2129" s="185"/>
      <c r="E2129" s="185"/>
      <c r="F2129" s="185"/>
      <c r="G2129" s="185"/>
      <c r="H2129" s="185"/>
      <c r="I2129" s="185"/>
      <c r="J2129" s="185"/>
      <c r="K2129" s="185"/>
      <c r="L2129" s="187"/>
      <c r="M2129" s="188"/>
      <c r="N2129" s="188"/>
      <c r="O2129" s="208"/>
      <c r="P2129" s="208"/>
      <c r="Q2129" s="208"/>
      <c r="R2129" s="208"/>
    </row>
    <row r="2130">
      <c r="A2130" s="185"/>
      <c r="B2130" s="186"/>
      <c r="C2130" s="185"/>
      <c r="D2130" s="185"/>
      <c r="E2130" s="185"/>
      <c r="F2130" s="185"/>
      <c r="G2130" s="185"/>
      <c r="H2130" s="185"/>
      <c r="I2130" s="185"/>
      <c r="J2130" s="185"/>
      <c r="K2130" s="185"/>
      <c r="L2130" s="187"/>
      <c r="M2130" s="188"/>
      <c r="N2130" s="188"/>
      <c r="O2130" s="208"/>
      <c r="P2130" s="208"/>
      <c r="Q2130" s="208"/>
      <c r="R2130" s="208"/>
    </row>
    <row r="2131">
      <c r="A2131" s="185"/>
      <c r="B2131" s="186"/>
      <c r="C2131" s="185"/>
      <c r="D2131" s="185"/>
      <c r="E2131" s="185"/>
      <c r="F2131" s="185"/>
      <c r="G2131" s="185"/>
      <c r="H2131" s="185"/>
      <c r="I2131" s="185"/>
      <c r="J2131" s="185"/>
      <c r="K2131" s="185"/>
      <c r="L2131" s="187"/>
      <c r="M2131" s="188"/>
      <c r="N2131" s="188"/>
      <c r="O2131" s="208"/>
      <c r="P2131" s="208"/>
      <c r="Q2131" s="208"/>
      <c r="R2131" s="208"/>
    </row>
    <row r="2132">
      <c r="A2132" s="185"/>
      <c r="B2132" s="186"/>
      <c r="C2132" s="185"/>
      <c r="D2132" s="185"/>
      <c r="E2132" s="185"/>
      <c r="F2132" s="185"/>
      <c r="G2132" s="185"/>
      <c r="H2132" s="185"/>
      <c r="I2132" s="185"/>
      <c r="J2132" s="185"/>
      <c r="K2132" s="185"/>
      <c r="L2132" s="187"/>
      <c r="M2132" s="188"/>
      <c r="N2132" s="188"/>
      <c r="O2132" s="208"/>
      <c r="P2132" s="208"/>
      <c r="Q2132" s="208"/>
      <c r="R2132" s="208"/>
    </row>
    <row r="2133">
      <c r="A2133" s="185"/>
      <c r="B2133" s="186"/>
      <c r="C2133" s="185"/>
      <c r="D2133" s="185"/>
      <c r="E2133" s="185"/>
      <c r="F2133" s="185"/>
      <c r="G2133" s="185"/>
      <c r="H2133" s="185"/>
      <c r="I2133" s="185"/>
      <c r="J2133" s="185"/>
      <c r="K2133" s="185"/>
      <c r="L2133" s="187"/>
      <c r="M2133" s="188"/>
      <c r="N2133" s="188"/>
      <c r="O2133" s="208"/>
      <c r="P2133" s="208"/>
      <c r="Q2133" s="208"/>
      <c r="R2133" s="208"/>
    </row>
    <row r="2134">
      <c r="A2134" s="185"/>
      <c r="B2134" s="186"/>
      <c r="C2134" s="185"/>
      <c r="D2134" s="185"/>
      <c r="E2134" s="185"/>
      <c r="F2134" s="185"/>
      <c r="G2134" s="185"/>
      <c r="H2134" s="185"/>
      <c r="I2134" s="185"/>
      <c r="J2134" s="185"/>
      <c r="K2134" s="185"/>
      <c r="L2134" s="187"/>
      <c r="M2134" s="188"/>
      <c r="N2134" s="188"/>
      <c r="O2134" s="208"/>
      <c r="P2134" s="208"/>
      <c r="Q2134" s="208"/>
      <c r="R2134" s="208"/>
    </row>
    <row r="2135">
      <c r="A2135" s="185"/>
      <c r="B2135" s="186"/>
      <c r="C2135" s="185"/>
      <c r="D2135" s="185"/>
      <c r="E2135" s="185"/>
      <c r="F2135" s="185"/>
      <c r="G2135" s="185"/>
      <c r="H2135" s="185"/>
      <c r="I2135" s="185"/>
      <c r="J2135" s="185"/>
      <c r="K2135" s="185"/>
      <c r="L2135" s="187"/>
      <c r="M2135" s="188"/>
      <c r="N2135" s="188"/>
      <c r="O2135" s="208"/>
      <c r="P2135" s="208"/>
      <c r="Q2135" s="208"/>
      <c r="R2135" s="208"/>
    </row>
    <row r="2136">
      <c r="A2136" s="185"/>
      <c r="B2136" s="186"/>
      <c r="C2136" s="185"/>
      <c r="D2136" s="185"/>
      <c r="E2136" s="185"/>
      <c r="F2136" s="185"/>
      <c r="G2136" s="185"/>
      <c r="H2136" s="185"/>
      <c r="I2136" s="185"/>
      <c r="J2136" s="185"/>
      <c r="K2136" s="185"/>
      <c r="L2136" s="187"/>
      <c r="M2136" s="188"/>
      <c r="N2136" s="188"/>
      <c r="O2136" s="208"/>
      <c r="P2136" s="208"/>
      <c r="Q2136" s="208"/>
      <c r="R2136" s="208"/>
    </row>
    <row r="2137">
      <c r="A2137" s="185"/>
      <c r="B2137" s="186"/>
      <c r="C2137" s="185"/>
      <c r="D2137" s="185"/>
      <c r="E2137" s="185"/>
      <c r="F2137" s="185"/>
      <c r="G2137" s="185"/>
      <c r="H2137" s="185"/>
      <c r="I2137" s="185"/>
      <c r="J2137" s="185"/>
      <c r="K2137" s="185"/>
      <c r="L2137" s="187"/>
      <c r="M2137" s="188"/>
      <c r="N2137" s="188"/>
      <c r="O2137" s="208"/>
      <c r="P2137" s="208"/>
      <c r="Q2137" s="208"/>
      <c r="R2137" s="208"/>
    </row>
    <row r="2138">
      <c r="A2138" s="185"/>
      <c r="B2138" s="186"/>
      <c r="C2138" s="185"/>
      <c r="D2138" s="185"/>
      <c r="E2138" s="185"/>
      <c r="F2138" s="185"/>
      <c r="G2138" s="185"/>
      <c r="H2138" s="185"/>
      <c r="I2138" s="185"/>
      <c r="J2138" s="185"/>
      <c r="K2138" s="185"/>
      <c r="L2138" s="187"/>
      <c r="M2138" s="188"/>
      <c r="N2138" s="188"/>
      <c r="O2138" s="208"/>
      <c r="P2138" s="208"/>
      <c r="Q2138" s="208"/>
      <c r="R2138" s="208"/>
    </row>
    <row r="2139">
      <c r="A2139" s="185"/>
      <c r="B2139" s="186"/>
      <c r="C2139" s="185"/>
      <c r="D2139" s="185"/>
      <c r="E2139" s="185"/>
      <c r="F2139" s="185"/>
      <c r="G2139" s="185"/>
      <c r="H2139" s="185"/>
      <c r="I2139" s="185"/>
      <c r="J2139" s="185"/>
      <c r="K2139" s="185"/>
      <c r="L2139" s="187"/>
      <c r="M2139" s="188"/>
      <c r="N2139" s="188"/>
      <c r="O2139" s="208"/>
      <c r="P2139" s="208"/>
      <c r="Q2139" s="208"/>
      <c r="R2139" s="208"/>
    </row>
    <row r="2140">
      <c r="A2140" s="185"/>
      <c r="B2140" s="186"/>
      <c r="C2140" s="185"/>
      <c r="D2140" s="185"/>
      <c r="E2140" s="185"/>
      <c r="F2140" s="185"/>
      <c r="G2140" s="185"/>
      <c r="H2140" s="185"/>
      <c r="I2140" s="185"/>
      <c r="J2140" s="185"/>
      <c r="K2140" s="185"/>
      <c r="L2140" s="187"/>
      <c r="M2140" s="188"/>
      <c r="N2140" s="188"/>
      <c r="O2140" s="208"/>
      <c r="P2140" s="208"/>
      <c r="Q2140" s="208"/>
      <c r="R2140" s="208"/>
    </row>
    <row r="2141">
      <c r="A2141" s="185"/>
      <c r="B2141" s="186"/>
      <c r="C2141" s="185"/>
      <c r="D2141" s="185"/>
      <c r="E2141" s="185"/>
      <c r="F2141" s="185"/>
      <c r="G2141" s="185"/>
      <c r="H2141" s="185"/>
      <c r="I2141" s="185"/>
      <c r="J2141" s="185"/>
      <c r="K2141" s="185"/>
      <c r="L2141" s="187"/>
      <c r="M2141" s="188"/>
      <c r="N2141" s="188"/>
      <c r="O2141" s="208"/>
      <c r="P2141" s="208"/>
      <c r="Q2141" s="208"/>
      <c r="R2141" s="208"/>
    </row>
    <row r="2142">
      <c r="A2142" s="185"/>
      <c r="B2142" s="186"/>
      <c r="C2142" s="185"/>
      <c r="D2142" s="185"/>
      <c r="E2142" s="185"/>
      <c r="F2142" s="185"/>
      <c r="G2142" s="185"/>
      <c r="H2142" s="185"/>
      <c r="I2142" s="185"/>
      <c r="J2142" s="185"/>
      <c r="K2142" s="185"/>
      <c r="L2142" s="187"/>
      <c r="M2142" s="188"/>
      <c r="N2142" s="188"/>
      <c r="O2142" s="208"/>
      <c r="P2142" s="208"/>
      <c r="Q2142" s="208"/>
      <c r="R2142" s="208"/>
    </row>
    <row r="2143">
      <c r="A2143" s="185"/>
      <c r="B2143" s="186"/>
      <c r="C2143" s="185"/>
      <c r="D2143" s="185"/>
      <c r="E2143" s="185"/>
      <c r="F2143" s="185"/>
      <c r="G2143" s="185"/>
      <c r="H2143" s="185"/>
      <c r="I2143" s="185"/>
      <c r="J2143" s="185"/>
      <c r="K2143" s="185"/>
      <c r="L2143" s="187"/>
      <c r="M2143" s="188"/>
      <c r="N2143" s="188"/>
      <c r="O2143" s="208"/>
      <c r="P2143" s="208"/>
      <c r="Q2143" s="208"/>
      <c r="R2143" s="208"/>
    </row>
    <row r="2144">
      <c r="A2144" s="185"/>
      <c r="B2144" s="186"/>
      <c r="C2144" s="185"/>
      <c r="D2144" s="185"/>
      <c r="E2144" s="185"/>
      <c r="F2144" s="185"/>
      <c r="G2144" s="185"/>
      <c r="H2144" s="185"/>
      <c r="I2144" s="185"/>
      <c r="J2144" s="185"/>
      <c r="K2144" s="185"/>
      <c r="L2144" s="187"/>
      <c r="M2144" s="188"/>
      <c r="N2144" s="188"/>
      <c r="O2144" s="208"/>
      <c r="P2144" s="208"/>
      <c r="Q2144" s="208"/>
      <c r="R2144" s="208"/>
    </row>
    <row r="2145">
      <c r="A2145" s="185"/>
      <c r="B2145" s="186"/>
      <c r="C2145" s="185"/>
      <c r="D2145" s="185"/>
      <c r="E2145" s="185"/>
      <c r="F2145" s="185"/>
      <c r="G2145" s="185"/>
      <c r="H2145" s="185"/>
      <c r="I2145" s="185"/>
      <c r="J2145" s="185"/>
      <c r="K2145" s="185"/>
      <c r="L2145" s="187"/>
      <c r="M2145" s="188"/>
      <c r="N2145" s="188"/>
      <c r="O2145" s="208"/>
      <c r="P2145" s="208"/>
      <c r="Q2145" s="208"/>
      <c r="R2145" s="208"/>
    </row>
    <row r="2146">
      <c r="A2146" s="185"/>
      <c r="B2146" s="186"/>
      <c r="C2146" s="185"/>
      <c r="D2146" s="185"/>
      <c r="E2146" s="185"/>
      <c r="F2146" s="185"/>
      <c r="G2146" s="185"/>
      <c r="H2146" s="185"/>
      <c r="I2146" s="185"/>
      <c r="J2146" s="185"/>
      <c r="K2146" s="185"/>
      <c r="L2146" s="187"/>
      <c r="M2146" s="188"/>
      <c r="N2146" s="188"/>
      <c r="O2146" s="208"/>
      <c r="P2146" s="208"/>
      <c r="Q2146" s="208"/>
      <c r="R2146" s="208"/>
    </row>
    <row r="2147">
      <c r="A2147" s="185"/>
      <c r="B2147" s="186"/>
      <c r="C2147" s="185"/>
      <c r="D2147" s="185"/>
      <c r="E2147" s="185"/>
      <c r="F2147" s="185"/>
      <c r="G2147" s="185"/>
      <c r="H2147" s="185"/>
      <c r="I2147" s="185"/>
      <c r="J2147" s="185"/>
      <c r="K2147" s="185"/>
      <c r="L2147" s="187"/>
      <c r="M2147" s="188"/>
      <c r="N2147" s="188"/>
      <c r="O2147" s="208"/>
      <c r="P2147" s="208"/>
      <c r="Q2147" s="208"/>
      <c r="R2147" s="208"/>
    </row>
    <row r="2148">
      <c r="A2148" s="185"/>
      <c r="B2148" s="186"/>
      <c r="C2148" s="185"/>
      <c r="D2148" s="185"/>
      <c r="E2148" s="185"/>
      <c r="F2148" s="185"/>
      <c r="G2148" s="185"/>
      <c r="H2148" s="185"/>
      <c r="I2148" s="185"/>
      <c r="J2148" s="185"/>
      <c r="K2148" s="185"/>
      <c r="L2148" s="187"/>
      <c r="M2148" s="188"/>
      <c r="N2148" s="188"/>
      <c r="O2148" s="208"/>
      <c r="P2148" s="208"/>
      <c r="Q2148" s="208"/>
      <c r="R2148" s="208"/>
    </row>
    <row r="2149">
      <c r="A2149" s="185"/>
      <c r="B2149" s="186"/>
      <c r="C2149" s="185"/>
      <c r="D2149" s="185"/>
      <c r="E2149" s="185"/>
      <c r="F2149" s="185"/>
      <c r="G2149" s="185"/>
      <c r="H2149" s="185"/>
      <c r="I2149" s="185"/>
      <c r="J2149" s="185"/>
      <c r="K2149" s="185"/>
      <c r="L2149" s="187"/>
      <c r="M2149" s="188"/>
      <c r="N2149" s="188"/>
      <c r="O2149" s="208"/>
      <c r="P2149" s="208"/>
      <c r="Q2149" s="208"/>
      <c r="R2149" s="208"/>
    </row>
    <row r="2150">
      <c r="A2150" s="185"/>
      <c r="B2150" s="186"/>
      <c r="C2150" s="185"/>
      <c r="D2150" s="185"/>
      <c r="E2150" s="185"/>
      <c r="F2150" s="185"/>
      <c r="G2150" s="185"/>
      <c r="H2150" s="185"/>
      <c r="I2150" s="185"/>
      <c r="J2150" s="185"/>
      <c r="K2150" s="185"/>
      <c r="L2150" s="187"/>
      <c r="M2150" s="188"/>
      <c r="N2150" s="188"/>
      <c r="O2150" s="208"/>
      <c r="P2150" s="208"/>
      <c r="Q2150" s="208"/>
      <c r="R2150" s="208"/>
    </row>
    <row r="2151">
      <c r="A2151" s="185"/>
      <c r="B2151" s="186"/>
      <c r="C2151" s="185"/>
      <c r="D2151" s="185"/>
      <c r="E2151" s="185"/>
      <c r="F2151" s="185"/>
      <c r="G2151" s="185"/>
      <c r="H2151" s="185"/>
      <c r="I2151" s="185"/>
      <c r="J2151" s="185"/>
      <c r="K2151" s="185"/>
      <c r="L2151" s="187"/>
      <c r="M2151" s="188"/>
      <c r="N2151" s="188"/>
      <c r="O2151" s="208"/>
      <c r="P2151" s="208"/>
      <c r="Q2151" s="208"/>
      <c r="R2151" s="208"/>
    </row>
    <row r="2152">
      <c r="A2152" s="185"/>
      <c r="B2152" s="186"/>
      <c r="C2152" s="185"/>
      <c r="D2152" s="185"/>
      <c r="E2152" s="185"/>
      <c r="F2152" s="185"/>
      <c r="G2152" s="185"/>
      <c r="H2152" s="185"/>
      <c r="I2152" s="185"/>
      <c r="J2152" s="185"/>
      <c r="K2152" s="185"/>
      <c r="L2152" s="187"/>
      <c r="M2152" s="188"/>
      <c r="N2152" s="188"/>
      <c r="O2152" s="208"/>
      <c r="P2152" s="208"/>
      <c r="Q2152" s="208"/>
      <c r="R2152" s="208"/>
    </row>
    <row r="2153">
      <c r="A2153" s="185"/>
      <c r="B2153" s="186"/>
      <c r="C2153" s="185"/>
      <c r="D2153" s="185"/>
      <c r="E2153" s="185"/>
      <c r="F2153" s="185"/>
      <c r="G2153" s="185"/>
      <c r="H2153" s="185"/>
      <c r="I2153" s="185"/>
      <c r="J2153" s="185"/>
      <c r="K2153" s="185"/>
      <c r="L2153" s="187"/>
      <c r="M2153" s="188"/>
      <c r="N2153" s="188"/>
      <c r="O2153" s="208"/>
      <c r="P2153" s="208"/>
      <c r="Q2153" s="208"/>
      <c r="R2153" s="208"/>
    </row>
    <row r="2154">
      <c r="A2154" s="185"/>
      <c r="B2154" s="186"/>
      <c r="C2154" s="185"/>
      <c r="D2154" s="185"/>
      <c r="E2154" s="185"/>
      <c r="F2154" s="185"/>
      <c r="G2154" s="185"/>
      <c r="H2154" s="185"/>
      <c r="I2154" s="185"/>
      <c r="J2154" s="185"/>
      <c r="K2154" s="185"/>
      <c r="L2154" s="187"/>
      <c r="M2154" s="188"/>
      <c r="N2154" s="188"/>
      <c r="O2154" s="208"/>
      <c r="P2154" s="208"/>
      <c r="Q2154" s="208"/>
      <c r="R2154" s="208"/>
    </row>
    <row r="2155">
      <c r="A2155" s="185"/>
      <c r="B2155" s="186"/>
      <c r="C2155" s="185"/>
      <c r="D2155" s="185"/>
      <c r="E2155" s="185"/>
      <c r="F2155" s="185"/>
      <c r="G2155" s="185"/>
      <c r="H2155" s="185"/>
      <c r="I2155" s="185"/>
      <c r="J2155" s="185"/>
      <c r="K2155" s="185"/>
      <c r="L2155" s="187"/>
      <c r="M2155" s="188"/>
      <c r="N2155" s="188"/>
      <c r="O2155" s="208"/>
      <c r="P2155" s="208"/>
      <c r="Q2155" s="208"/>
      <c r="R2155" s="208"/>
    </row>
    <row r="2156">
      <c r="A2156" s="185"/>
      <c r="B2156" s="186"/>
      <c r="C2156" s="185"/>
      <c r="D2156" s="185"/>
      <c r="E2156" s="185"/>
      <c r="F2156" s="185"/>
      <c r="G2156" s="185"/>
      <c r="H2156" s="185"/>
      <c r="I2156" s="185"/>
      <c r="J2156" s="185"/>
      <c r="K2156" s="185"/>
      <c r="L2156" s="187"/>
      <c r="M2156" s="188"/>
      <c r="N2156" s="188"/>
      <c r="O2156" s="208"/>
      <c r="P2156" s="208"/>
      <c r="Q2156" s="208"/>
      <c r="R2156" s="208"/>
    </row>
    <row r="2157">
      <c r="A2157" s="185"/>
      <c r="B2157" s="186"/>
      <c r="C2157" s="185"/>
      <c r="D2157" s="185"/>
      <c r="E2157" s="185"/>
      <c r="F2157" s="185"/>
      <c r="G2157" s="185"/>
      <c r="H2157" s="185"/>
      <c r="I2157" s="185"/>
      <c r="J2157" s="185"/>
      <c r="K2157" s="185"/>
      <c r="L2157" s="187"/>
      <c r="M2157" s="188"/>
      <c r="N2157" s="188"/>
      <c r="O2157" s="208"/>
      <c r="P2157" s="208"/>
      <c r="Q2157" s="208"/>
      <c r="R2157" s="208"/>
    </row>
    <row r="2158">
      <c r="A2158" s="185"/>
      <c r="B2158" s="186"/>
      <c r="C2158" s="185"/>
      <c r="D2158" s="185"/>
      <c r="E2158" s="185"/>
      <c r="F2158" s="185"/>
      <c r="G2158" s="185"/>
      <c r="H2158" s="185"/>
      <c r="I2158" s="185"/>
      <c r="J2158" s="185"/>
      <c r="K2158" s="185"/>
      <c r="L2158" s="187"/>
      <c r="M2158" s="188"/>
      <c r="N2158" s="188"/>
      <c r="O2158" s="208"/>
      <c r="P2158" s="208"/>
      <c r="Q2158" s="208"/>
      <c r="R2158" s="208"/>
    </row>
    <row r="2159">
      <c r="A2159" s="185"/>
      <c r="B2159" s="186"/>
      <c r="C2159" s="185"/>
      <c r="D2159" s="185"/>
      <c r="E2159" s="185"/>
      <c r="F2159" s="185"/>
      <c r="G2159" s="185"/>
      <c r="H2159" s="185"/>
      <c r="I2159" s="185"/>
      <c r="J2159" s="185"/>
      <c r="K2159" s="185"/>
      <c r="L2159" s="187"/>
      <c r="M2159" s="188"/>
      <c r="N2159" s="188"/>
      <c r="O2159" s="208"/>
      <c r="P2159" s="208"/>
      <c r="Q2159" s="208"/>
      <c r="R2159" s="208"/>
    </row>
    <row r="2160">
      <c r="A2160" s="185"/>
      <c r="B2160" s="186"/>
      <c r="C2160" s="185"/>
      <c r="D2160" s="185"/>
      <c r="E2160" s="185"/>
      <c r="F2160" s="185"/>
      <c r="G2160" s="185"/>
      <c r="H2160" s="185"/>
      <c r="I2160" s="185"/>
      <c r="J2160" s="185"/>
      <c r="K2160" s="185"/>
      <c r="L2160" s="187"/>
      <c r="M2160" s="188"/>
      <c r="N2160" s="188"/>
      <c r="O2160" s="208"/>
      <c r="P2160" s="208"/>
      <c r="Q2160" s="208"/>
      <c r="R2160" s="208"/>
    </row>
    <row r="2161">
      <c r="A2161" s="185"/>
      <c r="B2161" s="186"/>
      <c r="C2161" s="185"/>
      <c r="D2161" s="185"/>
      <c r="E2161" s="185"/>
      <c r="F2161" s="185"/>
      <c r="G2161" s="185"/>
      <c r="H2161" s="185"/>
      <c r="I2161" s="185"/>
      <c r="J2161" s="185"/>
      <c r="K2161" s="185"/>
      <c r="L2161" s="187"/>
      <c r="M2161" s="188"/>
      <c r="N2161" s="188"/>
      <c r="O2161" s="208"/>
      <c r="P2161" s="208"/>
      <c r="Q2161" s="208"/>
      <c r="R2161" s="208"/>
    </row>
    <row r="2162">
      <c r="A2162" s="185"/>
      <c r="B2162" s="186"/>
      <c r="C2162" s="185"/>
      <c r="D2162" s="185"/>
      <c r="E2162" s="185"/>
      <c r="F2162" s="185"/>
      <c r="G2162" s="185"/>
      <c r="H2162" s="185"/>
      <c r="I2162" s="185"/>
      <c r="J2162" s="185"/>
      <c r="K2162" s="185"/>
      <c r="L2162" s="187"/>
      <c r="M2162" s="188"/>
      <c r="N2162" s="188"/>
      <c r="O2162" s="208"/>
      <c r="P2162" s="208"/>
      <c r="Q2162" s="208"/>
      <c r="R2162" s="208"/>
    </row>
    <row r="2163">
      <c r="A2163" s="185"/>
      <c r="B2163" s="186"/>
      <c r="C2163" s="185"/>
      <c r="D2163" s="185"/>
      <c r="E2163" s="185"/>
      <c r="F2163" s="185"/>
      <c r="G2163" s="185"/>
      <c r="H2163" s="185"/>
      <c r="I2163" s="185"/>
      <c r="J2163" s="185"/>
      <c r="K2163" s="185"/>
      <c r="L2163" s="187"/>
      <c r="M2163" s="188"/>
      <c r="N2163" s="188"/>
      <c r="O2163" s="208"/>
      <c r="P2163" s="208"/>
      <c r="Q2163" s="208"/>
      <c r="R2163" s="208"/>
    </row>
    <row r="2164">
      <c r="A2164" s="185"/>
      <c r="B2164" s="186"/>
      <c r="C2164" s="185"/>
      <c r="D2164" s="185"/>
      <c r="E2164" s="185"/>
      <c r="F2164" s="185"/>
      <c r="G2164" s="185"/>
      <c r="H2164" s="185"/>
      <c r="I2164" s="185"/>
      <c r="J2164" s="185"/>
      <c r="K2164" s="185"/>
      <c r="L2164" s="187"/>
      <c r="M2164" s="188"/>
      <c r="N2164" s="188"/>
      <c r="O2164" s="208"/>
      <c r="P2164" s="208"/>
      <c r="Q2164" s="208"/>
      <c r="R2164" s="208"/>
    </row>
    <row r="2165">
      <c r="A2165" s="185"/>
      <c r="B2165" s="186"/>
      <c r="C2165" s="185"/>
      <c r="D2165" s="185"/>
      <c r="E2165" s="185"/>
      <c r="F2165" s="185"/>
      <c r="G2165" s="185"/>
      <c r="H2165" s="185"/>
      <c r="I2165" s="185"/>
      <c r="J2165" s="185"/>
      <c r="K2165" s="185"/>
      <c r="L2165" s="187"/>
      <c r="M2165" s="188"/>
      <c r="N2165" s="188"/>
      <c r="O2165" s="208"/>
      <c r="P2165" s="208"/>
      <c r="Q2165" s="208"/>
      <c r="R2165" s="208"/>
    </row>
    <row r="2166">
      <c r="A2166" s="185"/>
      <c r="B2166" s="186"/>
      <c r="C2166" s="185"/>
      <c r="D2166" s="185"/>
      <c r="E2166" s="185"/>
      <c r="F2166" s="185"/>
      <c r="G2166" s="185"/>
      <c r="H2166" s="185"/>
      <c r="I2166" s="185"/>
      <c r="J2166" s="185"/>
      <c r="K2166" s="185"/>
      <c r="L2166" s="187"/>
      <c r="M2166" s="188"/>
      <c r="N2166" s="188"/>
      <c r="O2166" s="208"/>
      <c r="P2166" s="208"/>
      <c r="Q2166" s="208"/>
      <c r="R2166" s="208"/>
    </row>
    <row r="2167">
      <c r="A2167" s="185"/>
      <c r="B2167" s="186"/>
      <c r="C2167" s="185"/>
      <c r="D2167" s="185"/>
      <c r="E2167" s="185"/>
      <c r="F2167" s="185"/>
      <c r="G2167" s="185"/>
      <c r="H2167" s="185"/>
      <c r="I2167" s="185"/>
      <c r="J2167" s="185"/>
      <c r="K2167" s="185"/>
      <c r="L2167" s="187"/>
      <c r="M2167" s="188"/>
      <c r="N2167" s="188"/>
      <c r="O2167" s="208"/>
      <c r="P2167" s="208"/>
      <c r="Q2167" s="208"/>
      <c r="R2167" s="208"/>
    </row>
    <row r="2168">
      <c r="A2168" s="185"/>
      <c r="B2168" s="186"/>
      <c r="C2168" s="185"/>
      <c r="D2168" s="185"/>
      <c r="E2168" s="185"/>
      <c r="F2168" s="185"/>
      <c r="G2168" s="185"/>
      <c r="H2168" s="185"/>
      <c r="I2168" s="185"/>
      <c r="J2168" s="185"/>
      <c r="K2168" s="185"/>
      <c r="L2168" s="187"/>
      <c r="M2168" s="188"/>
      <c r="N2168" s="188"/>
      <c r="O2168" s="208"/>
      <c r="P2168" s="208"/>
      <c r="Q2168" s="208"/>
      <c r="R2168" s="208"/>
    </row>
    <row r="2169">
      <c r="A2169" s="185"/>
      <c r="B2169" s="186"/>
      <c r="C2169" s="185"/>
      <c r="D2169" s="185"/>
      <c r="E2169" s="185"/>
      <c r="F2169" s="185"/>
      <c r="G2169" s="185"/>
      <c r="H2169" s="185"/>
      <c r="I2169" s="185"/>
      <c r="J2169" s="185"/>
      <c r="K2169" s="185"/>
      <c r="L2169" s="187"/>
      <c r="M2169" s="188"/>
      <c r="N2169" s="188"/>
      <c r="O2169" s="208"/>
      <c r="P2169" s="208"/>
      <c r="Q2169" s="208"/>
      <c r="R2169" s="208"/>
    </row>
    <row r="2170">
      <c r="A2170" s="185"/>
      <c r="B2170" s="186"/>
      <c r="C2170" s="185"/>
      <c r="D2170" s="185"/>
      <c r="E2170" s="185"/>
      <c r="F2170" s="185"/>
      <c r="G2170" s="185"/>
      <c r="H2170" s="185"/>
      <c r="I2170" s="185"/>
      <c r="J2170" s="185"/>
      <c r="K2170" s="185"/>
      <c r="L2170" s="187"/>
      <c r="M2170" s="188"/>
      <c r="N2170" s="188"/>
      <c r="O2170" s="208"/>
      <c r="P2170" s="208"/>
      <c r="Q2170" s="208"/>
      <c r="R2170" s="208"/>
    </row>
    <row r="2171">
      <c r="A2171" s="185"/>
      <c r="B2171" s="186"/>
      <c r="C2171" s="185"/>
      <c r="D2171" s="185"/>
      <c r="E2171" s="185"/>
      <c r="F2171" s="185"/>
      <c r="G2171" s="185"/>
      <c r="H2171" s="185"/>
      <c r="I2171" s="185"/>
      <c r="J2171" s="185"/>
      <c r="K2171" s="185"/>
      <c r="L2171" s="187"/>
      <c r="M2171" s="188"/>
      <c r="N2171" s="188"/>
      <c r="O2171" s="208"/>
      <c r="P2171" s="208"/>
      <c r="Q2171" s="208"/>
      <c r="R2171" s="208"/>
    </row>
    <row r="2172">
      <c r="A2172" s="185"/>
      <c r="B2172" s="186"/>
      <c r="C2172" s="185"/>
      <c r="D2172" s="185"/>
      <c r="E2172" s="185"/>
      <c r="F2172" s="185"/>
      <c r="G2172" s="185"/>
      <c r="H2172" s="185"/>
      <c r="I2172" s="185"/>
      <c r="J2172" s="185"/>
      <c r="K2172" s="185"/>
      <c r="L2172" s="187"/>
      <c r="M2172" s="188"/>
      <c r="N2172" s="188"/>
      <c r="O2172" s="208"/>
      <c r="P2172" s="208"/>
      <c r="Q2172" s="208"/>
      <c r="R2172" s="208"/>
    </row>
    <row r="2173">
      <c r="A2173" s="185"/>
      <c r="B2173" s="186"/>
      <c r="C2173" s="185"/>
      <c r="D2173" s="185"/>
      <c r="E2173" s="185"/>
      <c r="F2173" s="185"/>
      <c r="G2173" s="185"/>
      <c r="H2173" s="185"/>
      <c r="I2173" s="185"/>
      <c r="J2173" s="185"/>
      <c r="K2173" s="185"/>
      <c r="L2173" s="187"/>
      <c r="M2173" s="188"/>
      <c r="N2173" s="188"/>
      <c r="O2173" s="208"/>
      <c r="P2173" s="208"/>
      <c r="Q2173" s="208"/>
      <c r="R2173" s="208"/>
    </row>
    <row r="2174">
      <c r="A2174" s="185"/>
      <c r="B2174" s="186"/>
      <c r="C2174" s="185"/>
      <c r="D2174" s="185"/>
      <c r="E2174" s="185"/>
      <c r="F2174" s="185"/>
      <c r="G2174" s="185"/>
      <c r="H2174" s="185"/>
      <c r="I2174" s="185"/>
      <c r="J2174" s="185"/>
      <c r="K2174" s="185"/>
      <c r="L2174" s="187"/>
      <c r="M2174" s="188"/>
      <c r="N2174" s="188"/>
      <c r="O2174" s="208"/>
      <c r="P2174" s="208"/>
      <c r="Q2174" s="208"/>
      <c r="R2174" s="208"/>
    </row>
    <row r="2175">
      <c r="A2175" s="185"/>
      <c r="B2175" s="186"/>
      <c r="C2175" s="185"/>
      <c r="D2175" s="185"/>
      <c r="E2175" s="185"/>
      <c r="F2175" s="185"/>
      <c r="G2175" s="185"/>
      <c r="H2175" s="185"/>
      <c r="I2175" s="185"/>
      <c r="J2175" s="185"/>
      <c r="K2175" s="185"/>
      <c r="L2175" s="187"/>
      <c r="M2175" s="188"/>
      <c r="N2175" s="188"/>
      <c r="O2175" s="208"/>
      <c r="P2175" s="208"/>
      <c r="Q2175" s="208"/>
      <c r="R2175" s="208"/>
    </row>
    <row r="2176">
      <c r="A2176" s="185"/>
      <c r="B2176" s="186"/>
      <c r="C2176" s="185"/>
      <c r="D2176" s="185"/>
      <c r="E2176" s="185"/>
      <c r="F2176" s="185"/>
      <c r="G2176" s="185"/>
      <c r="H2176" s="185"/>
      <c r="I2176" s="185"/>
      <c r="J2176" s="185"/>
      <c r="K2176" s="185"/>
      <c r="L2176" s="187"/>
      <c r="M2176" s="188"/>
      <c r="N2176" s="188"/>
      <c r="O2176" s="208"/>
      <c r="P2176" s="208"/>
      <c r="Q2176" s="208"/>
      <c r="R2176" s="208"/>
    </row>
    <row r="2177">
      <c r="A2177" s="185"/>
      <c r="B2177" s="186"/>
      <c r="C2177" s="185"/>
      <c r="D2177" s="185"/>
      <c r="E2177" s="185"/>
      <c r="F2177" s="185"/>
      <c r="G2177" s="185"/>
      <c r="H2177" s="185"/>
      <c r="I2177" s="185"/>
      <c r="J2177" s="185"/>
      <c r="K2177" s="185"/>
      <c r="L2177" s="187"/>
      <c r="M2177" s="188"/>
      <c r="N2177" s="188"/>
      <c r="O2177" s="208"/>
      <c r="P2177" s="208"/>
      <c r="Q2177" s="208"/>
      <c r="R2177" s="208"/>
    </row>
    <row r="2178">
      <c r="A2178" s="185"/>
      <c r="B2178" s="186"/>
      <c r="C2178" s="185"/>
      <c r="D2178" s="185"/>
      <c r="E2178" s="185"/>
      <c r="F2178" s="185"/>
      <c r="G2178" s="185"/>
      <c r="H2178" s="185"/>
      <c r="I2178" s="185"/>
      <c r="J2178" s="185"/>
      <c r="K2178" s="185"/>
      <c r="L2178" s="187"/>
      <c r="M2178" s="188"/>
      <c r="N2178" s="188"/>
      <c r="O2178" s="208"/>
      <c r="P2178" s="208"/>
      <c r="Q2178" s="208"/>
      <c r="R2178" s="208"/>
    </row>
    <row r="2179">
      <c r="A2179" s="185"/>
      <c r="B2179" s="186"/>
      <c r="C2179" s="185"/>
      <c r="D2179" s="185"/>
      <c r="E2179" s="185"/>
      <c r="F2179" s="185"/>
      <c r="G2179" s="185"/>
      <c r="H2179" s="185"/>
      <c r="I2179" s="185"/>
      <c r="J2179" s="185"/>
      <c r="K2179" s="185"/>
      <c r="L2179" s="187"/>
      <c r="M2179" s="188"/>
      <c r="N2179" s="188"/>
      <c r="O2179" s="208"/>
      <c r="P2179" s="208"/>
      <c r="Q2179" s="208"/>
      <c r="R2179" s="208"/>
    </row>
    <row r="2180">
      <c r="A2180" s="185"/>
      <c r="B2180" s="186"/>
      <c r="C2180" s="185"/>
      <c r="D2180" s="185"/>
      <c r="E2180" s="185"/>
      <c r="F2180" s="185"/>
      <c r="G2180" s="185"/>
      <c r="H2180" s="185"/>
      <c r="I2180" s="185"/>
      <c r="J2180" s="185"/>
      <c r="K2180" s="185"/>
      <c r="L2180" s="187"/>
      <c r="M2180" s="188"/>
      <c r="N2180" s="188"/>
      <c r="O2180" s="208"/>
      <c r="P2180" s="208"/>
      <c r="Q2180" s="208"/>
      <c r="R2180" s="208"/>
    </row>
    <row r="2181">
      <c r="A2181" s="185"/>
      <c r="B2181" s="186"/>
      <c r="C2181" s="185"/>
      <c r="D2181" s="185"/>
      <c r="E2181" s="185"/>
      <c r="F2181" s="185"/>
      <c r="G2181" s="185"/>
      <c r="H2181" s="185"/>
      <c r="I2181" s="185"/>
      <c r="J2181" s="185"/>
      <c r="K2181" s="185"/>
      <c r="L2181" s="187"/>
      <c r="M2181" s="188"/>
      <c r="N2181" s="188"/>
      <c r="O2181" s="208"/>
      <c r="P2181" s="208"/>
      <c r="Q2181" s="208"/>
      <c r="R2181" s="208"/>
    </row>
    <row r="2182">
      <c r="A2182" s="185"/>
      <c r="B2182" s="186"/>
      <c r="C2182" s="185"/>
      <c r="D2182" s="185"/>
      <c r="E2182" s="185"/>
      <c r="F2182" s="185"/>
      <c r="G2182" s="185"/>
      <c r="H2182" s="185"/>
      <c r="I2182" s="185"/>
      <c r="J2182" s="185"/>
      <c r="K2182" s="185"/>
      <c r="L2182" s="187"/>
      <c r="M2182" s="188"/>
      <c r="N2182" s="188"/>
      <c r="O2182" s="208"/>
      <c r="P2182" s="208"/>
      <c r="Q2182" s="208"/>
      <c r="R2182" s="208"/>
    </row>
    <row r="2183">
      <c r="A2183" s="185"/>
      <c r="B2183" s="186"/>
      <c r="C2183" s="185"/>
      <c r="D2183" s="185"/>
      <c r="E2183" s="185"/>
      <c r="F2183" s="185"/>
      <c r="G2183" s="185"/>
      <c r="H2183" s="185"/>
      <c r="I2183" s="185"/>
      <c r="J2183" s="185"/>
      <c r="K2183" s="185"/>
      <c r="L2183" s="187"/>
      <c r="M2183" s="188"/>
      <c r="N2183" s="188"/>
      <c r="O2183" s="208"/>
      <c r="P2183" s="208"/>
      <c r="Q2183" s="208"/>
      <c r="R2183" s="208"/>
    </row>
    <row r="2184">
      <c r="A2184" s="185"/>
      <c r="B2184" s="186"/>
      <c r="C2184" s="185"/>
      <c r="D2184" s="185"/>
      <c r="E2184" s="185"/>
      <c r="F2184" s="185"/>
      <c r="G2184" s="185"/>
      <c r="H2184" s="185"/>
      <c r="I2184" s="185"/>
      <c r="J2184" s="185"/>
      <c r="K2184" s="185"/>
      <c r="L2184" s="187"/>
      <c r="M2184" s="188"/>
      <c r="N2184" s="188"/>
      <c r="O2184" s="208"/>
      <c r="P2184" s="208"/>
      <c r="Q2184" s="208"/>
      <c r="R2184" s="208"/>
    </row>
    <row r="2185">
      <c r="A2185" s="185"/>
      <c r="B2185" s="186"/>
      <c r="C2185" s="185"/>
      <c r="D2185" s="185"/>
      <c r="E2185" s="185"/>
      <c r="F2185" s="185"/>
      <c r="G2185" s="185"/>
      <c r="H2185" s="185"/>
      <c r="I2185" s="185"/>
      <c r="J2185" s="185"/>
      <c r="K2185" s="185"/>
      <c r="L2185" s="187"/>
      <c r="M2185" s="188"/>
      <c r="N2185" s="188"/>
      <c r="O2185" s="208"/>
      <c r="P2185" s="208"/>
      <c r="Q2185" s="208"/>
      <c r="R2185" s="208"/>
    </row>
    <row r="2186">
      <c r="A2186" s="185"/>
      <c r="B2186" s="186"/>
      <c r="C2186" s="185"/>
      <c r="D2186" s="185"/>
      <c r="E2186" s="185"/>
      <c r="F2186" s="185"/>
      <c r="G2186" s="185"/>
      <c r="H2186" s="185"/>
      <c r="I2186" s="185"/>
      <c r="J2186" s="185"/>
      <c r="K2186" s="185"/>
      <c r="L2186" s="187"/>
      <c r="M2186" s="188"/>
      <c r="N2186" s="188"/>
      <c r="O2186" s="208"/>
      <c r="P2186" s="208"/>
      <c r="Q2186" s="208"/>
      <c r="R2186" s="208"/>
    </row>
    <row r="2187">
      <c r="A2187" s="185"/>
      <c r="B2187" s="186"/>
      <c r="C2187" s="185"/>
      <c r="D2187" s="185"/>
      <c r="E2187" s="185"/>
      <c r="F2187" s="185"/>
      <c r="G2187" s="185"/>
      <c r="H2187" s="185"/>
      <c r="I2187" s="185"/>
      <c r="J2187" s="185"/>
      <c r="K2187" s="185"/>
      <c r="L2187" s="187"/>
      <c r="M2187" s="188"/>
      <c r="N2187" s="188"/>
      <c r="O2187" s="208"/>
      <c r="P2187" s="208"/>
      <c r="Q2187" s="208"/>
      <c r="R2187" s="208"/>
    </row>
    <row r="2188">
      <c r="A2188" s="185"/>
      <c r="B2188" s="186"/>
      <c r="C2188" s="185"/>
      <c r="D2188" s="185"/>
      <c r="E2188" s="185"/>
      <c r="F2188" s="185"/>
      <c r="G2188" s="185"/>
      <c r="H2188" s="185"/>
      <c r="I2188" s="185"/>
      <c r="J2188" s="185"/>
      <c r="K2188" s="185"/>
      <c r="L2188" s="187"/>
      <c r="M2188" s="188"/>
      <c r="N2188" s="188"/>
      <c r="O2188" s="208"/>
      <c r="P2188" s="208"/>
      <c r="Q2188" s="208"/>
      <c r="R2188" s="208"/>
    </row>
    <row r="2189">
      <c r="A2189" s="185"/>
      <c r="B2189" s="186"/>
      <c r="C2189" s="185"/>
      <c r="D2189" s="185"/>
      <c r="E2189" s="185"/>
      <c r="F2189" s="185"/>
      <c r="G2189" s="185"/>
      <c r="H2189" s="185"/>
      <c r="I2189" s="185"/>
      <c r="J2189" s="185"/>
      <c r="K2189" s="185"/>
      <c r="L2189" s="187"/>
      <c r="M2189" s="188"/>
      <c r="N2189" s="188"/>
      <c r="O2189" s="208"/>
      <c r="P2189" s="208"/>
      <c r="Q2189" s="208"/>
      <c r="R2189" s="208"/>
    </row>
    <row r="2190">
      <c r="A2190" s="185"/>
      <c r="B2190" s="186"/>
      <c r="C2190" s="185"/>
      <c r="D2190" s="185"/>
      <c r="E2190" s="185"/>
      <c r="F2190" s="185"/>
      <c r="G2190" s="185"/>
      <c r="H2190" s="185"/>
      <c r="I2190" s="185"/>
      <c r="J2190" s="185"/>
      <c r="K2190" s="185"/>
      <c r="L2190" s="187"/>
      <c r="M2190" s="188"/>
      <c r="N2190" s="188"/>
      <c r="O2190" s="208"/>
      <c r="P2190" s="208"/>
      <c r="Q2190" s="208"/>
      <c r="R2190" s="208"/>
    </row>
    <row r="2191">
      <c r="A2191" s="185"/>
      <c r="B2191" s="186"/>
      <c r="C2191" s="185"/>
      <c r="D2191" s="185"/>
      <c r="E2191" s="185"/>
      <c r="F2191" s="185"/>
      <c r="G2191" s="185"/>
      <c r="H2191" s="185"/>
      <c r="I2191" s="185"/>
      <c r="J2191" s="185"/>
      <c r="K2191" s="185"/>
      <c r="L2191" s="187"/>
      <c r="M2191" s="188"/>
      <c r="N2191" s="188"/>
      <c r="O2191" s="208"/>
      <c r="P2191" s="208"/>
      <c r="Q2191" s="208"/>
      <c r="R2191" s="208"/>
    </row>
    <row r="2192">
      <c r="A2192" s="185"/>
      <c r="B2192" s="186"/>
      <c r="C2192" s="185"/>
      <c r="D2192" s="185"/>
      <c r="E2192" s="185"/>
      <c r="F2192" s="185"/>
      <c r="G2192" s="185"/>
      <c r="H2192" s="185"/>
      <c r="I2192" s="185"/>
      <c r="J2192" s="185"/>
      <c r="K2192" s="185"/>
      <c r="L2192" s="187"/>
      <c r="M2192" s="188"/>
      <c r="N2192" s="188"/>
      <c r="O2192" s="208"/>
      <c r="P2192" s="208"/>
      <c r="Q2192" s="208"/>
      <c r="R2192" s="208"/>
    </row>
    <row r="2193">
      <c r="A2193" s="185"/>
      <c r="B2193" s="186"/>
      <c r="C2193" s="185"/>
      <c r="D2193" s="185"/>
      <c r="E2193" s="185"/>
      <c r="F2193" s="185"/>
      <c r="G2193" s="185"/>
      <c r="H2193" s="185"/>
      <c r="I2193" s="185"/>
      <c r="J2193" s="185"/>
      <c r="K2193" s="185"/>
      <c r="L2193" s="187"/>
      <c r="M2193" s="188"/>
      <c r="N2193" s="188"/>
      <c r="O2193" s="208"/>
      <c r="P2193" s="208"/>
      <c r="Q2193" s="208"/>
      <c r="R2193" s="208"/>
    </row>
    <row r="2194">
      <c r="A2194" s="185"/>
      <c r="B2194" s="186"/>
      <c r="C2194" s="185"/>
      <c r="D2194" s="185"/>
      <c r="E2194" s="185"/>
      <c r="F2194" s="185"/>
      <c r="G2194" s="185"/>
      <c r="H2194" s="185"/>
      <c r="I2194" s="185"/>
      <c r="J2194" s="185"/>
      <c r="K2194" s="185"/>
      <c r="L2194" s="187"/>
      <c r="M2194" s="188"/>
      <c r="N2194" s="188"/>
      <c r="O2194" s="208"/>
      <c r="P2194" s="208"/>
      <c r="Q2194" s="208"/>
      <c r="R2194" s="208"/>
    </row>
    <row r="2195">
      <c r="A2195" s="185"/>
      <c r="B2195" s="186"/>
      <c r="C2195" s="185"/>
      <c r="D2195" s="185"/>
      <c r="E2195" s="185"/>
      <c r="F2195" s="185"/>
      <c r="G2195" s="185"/>
      <c r="H2195" s="185"/>
      <c r="I2195" s="185"/>
      <c r="J2195" s="185"/>
      <c r="K2195" s="185"/>
      <c r="L2195" s="187"/>
      <c r="M2195" s="188"/>
      <c r="N2195" s="188"/>
      <c r="O2195" s="208"/>
      <c r="P2195" s="208"/>
      <c r="Q2195" s="208"/>
      <c r="R2195" s="208"/>
    </row>
    <row r="2196">
      <c r="A2196" s="185"/>
      <c r="B2196" s="186"/>
      <c r="C2196" s="185"/>
      <c r="D2196" s="185"/>
      <c r="E2196" s="185"/>
      <c r="F2196" s="185"/>
      <c r="G2196" s="185"/>
      <c r="H2196" s="185"/>
      <c r="I2196" s="185"/>
      <c r="J2196" s="185"/>
      <c r="K2196" s="185"/>
      <c r="L2196" s="187"/>
      <c r="M2196" s="188"/>
      <c r="N2196" s="188"/>
      <c r="O2196" s="208"/>
      <c r="P2196" s="208"/>
      <c r="Q2196" s="208"/>
      <c r="R2196" s="208"/>
    </row>
    <row r="2197">
      <c r="A2197" s="185"/>
      <c r="B2197" s="186"/>
      <c r="C2197" s="185"/>
      <c r="D2197" s="185"/>
      <c r="E2197" s="185"/>
      <c r="F2197" s="185"/>
      <c r="G2197" s="185"/>
      <c r="H2197" s="185"/>
      <c r="I2197" s="185"/>
      <c r="J2197" s="185"/>
      <c r="K2197" s="185"/>
      <c r="L2197" s="187"/>
      <c r="M2197" s="188"/>
      <c r="N2197" s="188"/>
      <c r="O2197" s="208"/>
      <c r="P2197" s="208"/>
      <c r="Q2197" s="208"/>
      <c r="R2197" s="208"/>
    </row>
    <row r="2198">
      <c r="A2198" s="185"/>
      <c r="B2198" s="186"/>
      <c r="C2198" s="185"/>
      <c r="D2198" s="185"/>
      <c r="E2198" s="185"/>
      <c r="F2198" s="185"/>
      <c r="G2198" s="185"/>
      <c r="H2198" s="185"/>
      <c r="I2198" s="185"/>
      <c r="J2198" s="185"/>
      <c r="K2198" s="185"/>
      <c r="L2198" s="187"/>
      <c r="M2198" s="188"/>
      <c r="N2198" s="188"/>
      <c r="O2198" s="208"/>
      <c r="P2198" s="208"/>
      <c r="Q2198" s="208"/>
      <c r="R2198" s="208"/>
    </row>
    <row r="2199">
      <c r="A2199" s="185"/>
      <c r="B2199" s="186"/>
      <c r="C2199" s="185"/>
      <c r="D2199" s="185"/>
      <c r="E2199" s="185"/>
      <c r="F2199" s="185"/>
      <c r="G2199" s="185"/>
      <c r="H2199" s="185"/>
      <c r="I2199" s="185"/>
      <c r="J2199" s="185"/>
      <c r="K2199" s="185"/>
      <c r="L2199" s="187"/>
      <c r="M2199" s="188"/>
      <c r="N2199" s="188"/>
      <c r="O2199" s="208"/>
      <c r="P2199" s="208"/>
      <c r="Q2199" s="208"/>
      <c r="R2199" s="208"/>
    </row>
    <row r="2200">
      <c r="A2200" s="185"/>
      <c r="B2200" s="186"/>
      <c r="C2200" s="185"/>
      <c r="D2200" s="185"/>
      <c r="E2200" s="185"/>
      <c r="F2200" s="185"/>
      <c r="G2200" s="185"/>
      <c r="H2200" s="185"/>
      <c r="I2200" s="185"/>
      <c r="J2200" s="185"/>
      <c r="K2200" s="185"/>
      <c r="L2200" s="187"/>
      <c r="M2200" s="188"/>
      <c r="N2200" s="188"/>
      <c r="O2200" s="208"/>
      <c r="P2200" s="208"/>
      <c r="Q2200" s="208"/>
      <c r="R2200" s="208"/>
    </row>
    <row r="2201">
      <c r="A2201" s="185"/>
      <c r="B2201" s="186"/>
      <c r="C2201" s="185"/>
      <c r="D2201" s="185"/>
      <c r="E2201" s="185"/>
      <c r="F2201" s="185"/>
      <c r="G2201" s="185"/>
      <c r="H2201" s="185"/>
      <c r="I2201" s="185"/>
      <c r="J2201" s="185"/>
      <c r="K2201" s="185"/>
      <c r="L2201" s="187"/>
      <c r="M2201" s="188"/>
      <c r="N2201" s="188"/>
      <c r="O2201" s="208"/>
      <c r="P2201" s="208"/>
      <c r="Q2201" s="208"/>
      <c r="R2201" s="208"/>
    </row>
    <row r="2202">
      <c r="A2202" s="185"/>
      <c r="B2202" s="186"/>
      <c r="C2202" s="185"/>
      <c r="D2202" s="185"/>
      <c r="E2202" s="185"/>
      <c r="F2202" s="185"/>
      <c r="G2202" s="185"/>
      <c r="H2202" s="185"/>
      <c r="I2202" s="185"/>
      <c r="J2202" s="185"/>
      <c r="K2202" s="185"/>
      <c r="L2202" s="187"/>
      <c r="M2202" s="188"/>
      <c r="N2202" s="188"/>
      <c r="O2202" s="208"/>
      <c r="P2202" s="208"/>
      <c r="Q2202" s="208"/>
      <c r="R2202" s="208"/>
    </row>
    <row r="2203">
      <c r="A2203" s="185"/>
      <c r="B2203" s="186"/>
      <c r="C2203" s="185"/>
      <c r="D2203" s="185"/>
      <c r="E2203" s="185"/>
      <c r="F2203" s="185"/>
      <c r="G2203" s="185"/>
      <c r="H2203" s="185"/>
      <c r="I2203" s="185"/>
      <c r="J2203" s="185"/>
      <c r="K2203" s="185"/>
      <c r="L2203" s="187"/>
      <c r="M2203" s="188"/>
      <c r="N2203" s="188"/>
      <c r="O2203" s="208"/>
      <c r="P2203" s="208"/>
      <c r="Q2203" s="208"/>
      <c r="R2203" s="208"/>
    </row>
    <row r="2204">
      <c r="A2204" s="185"/>
      <c r="B2204" s="186"/>
      <c r="C2204" s="185"/>
      <c r="D2204" s="185"/>
      <c r="E2204" s="185"/>
      <c r="F2204" s="185"/>
      <c r="G2204" s="185"/>
      <c r="H2204" s="185"/>
      <c r="I2204" s="185"/>
      <c r="J2204" s="185"/>
      <c r="K2204" s="185"/>
      <c r="L2204" s="187"/>
      <c r="M2204" s="188"/>
      <c r="N2204" s="188"/>
      <c r="O2204" s="208"/>
      <c r="P2204" s="208"/>
      <c r="Q2204" s="208"/>
      <c r="R2204" s="208"/>
    </row>
    <row r="2205">
      <c r="A2205" s="185"/>
      <c r="B2205" s="186"/>
      <c r="C2205" s="185"/>
      <c r="D2205" s="185"/>
      <c r="E2205" s="185"/>
      <c r="F2205" s="185"/>
      <c r="G2205" s="185"/>
      <c r="H2205" s="185"/>
      <c r="I2205" s="185"/>
      <c r="J2205" s="185"/>
      <c r="K2205" s="185"/>
      <c r="L2205" s="187"/>
      <c r="M2205" s="188"/>
      <c r="N2205" s="188"/>
      <c r="O2205" s="208"/>
      <c r="P2205" s="208"/>
      <c r="Q2205" s="208"/>
      <c r="R2205" s="208"/>
    </row>
    <row r="2206">
      <c r="A2206" s="185"/>
      <c r="B2206" s="186"/>
      <c r="C2206" s="185"/>
      <c r="D2206" s="185"/>
      <c r="E2206" s="185"/>
      <c r="F2206" s="185"/>
      <c r="G2206" s="185"/>
      <c r="H2206" s="185"/>
      <c r="I2206" s="185"/>
      <c r="J2206" s="185"/>
      <c r="K2206" s="185"/>
      <c r="L2206" s="187"/>
      <c r="M2206" s="188"/>
      <c r="N2206" s="188"/>
      <c r="O2206" s="208"/>
      <c r="P2206" s="208"/>
      <c r="Q2206" s="208"/>
      <c r="R2206" s="208"/>
    </row>
    <row r="2207">
      <c r="A2207" s="185"/>
      <c r="B2207" s="186"/>
      <c r="C2207" s="185"/>
      <c r="D2207" s="185"/>
      <c r="E2207" s="185"/>
      <c r="F2207" s="185"/>
      <c r="G2207" s="185"/>
      <c r="H2207" s="185"/>
      <c r="I2207" s="185"/>
      <c r="J2207" s="185"/>
      <c r="K2207" s="185"/>
      <c r="L2207" s="187"/>
      <c r="M2207" s="188"/>
      <c r="N2207" s="188"/>
      <c r="O2207" s="208"/>
      <c r="P2207" s="208"/>
      <c r="Q2207" s="208"/>
      <c r="R2207" s="208"/>
    </row>
    <row r="2208">
      <c r="A2208" s="185"/>
      <c r="B2208" s="186"/>
      <c r="C2208" s="185"/>
      <c r="D2208" s="185"/>
      <c r="E2208" s="185"/>
      <c r="F2208" s="185"/>
      <c r="G2208" s="185"/>
      <c r="H2208" s="185"/>
      <c r="I2208" s="185"/>
      <c r="J2208" s="185"/>
      <c r="K2208" s="185"/>
      <c r="L2208" s="187"/>
      <c r="M2208" s="188"/>
      <c r="N2208" s="188"/>
      <c r="O2208" s="208"/>
      <c r="P2208" s="208"/>
      <c r="Q2208" s="208"/>
      <c r="R2208" s="208"/>
    </row>
    <row r="2209">
      <c r="A2209" s="185"/>
      <c r="B2209" s="186"/>
      <c r="C2209" s="185"/>
      <c r="D2209" s="185"/>
      <c r="E2209" s="185"/>
      <c r="F2209" s="185"/>
      <c r="G2209" s="185"/>
      <c r="H2209" s="185"/>
      <c r="I2209" s="185"/>
      <c r="J2209" s="185"/>
      <c r="K2209" s="185"/>
      <c r="L2209" s="187"/>
      <c r="M2209" s="188"/>
      <c r="N2209" s="188"/>
      <c r="O2209" s="208"/>
      <c r="P2209" s="208"/>
      <c r="Q2209" s="208"/>
      <c r="R2209" s="208"/>
    </row>
    <row r="2210">
      <c r="A2210" s="185"/>
      <c r="B2210" s="186"/>
      <c r="C2210" s="185"/>
      <c r="D2210" s="185"/>
      <c r="E2210" s="185"/>
      <c r="F2210" s="185"/>
      <c r="G2210" s="185"/>
      <c r="H2210" s="185"/>
      <c r="I2210" s="185"/>
      <c r="J2210" s="185"/>
      <c r="K2210" s="185"/>
      <c r="L2210" s="187"/>
      <c r="M2210" s="188"/>
      <c r="N2210" s="188"/>
      <c r="O2210" s="208"/>
      <c r="P2210" s="208"/>
      <c r="Q2210" s="208"/>
      <c r="R2210" s="208"/>
    </row>
    <row r="2211">
      <c r="A2211" s="185"/>
      <c r="B2211" s="186"/>
      <c r="C2211" s="185"/>
      <c r="D2211" s="185"/>
      <c r="E2211" s="185"/>
      <c r="F2211" s="185"/>
      <c r="G2211" s="185"/>
      <c r="H2211" s="185"/>
      <c r="I2211" s="185"/>
      <c r="J2211" s="185"/>
      <c r="K2211" s="185"/>
      <c r="L2211" s="187"/>
      <c r="M2211" s="188"/>
      <c r="N2211" s="188"/>
      <c r="O2211" s="208"/>
      <c r="P2211" s="208"/>
      <c r="Q2211" s="208"/>
      <c r="R2211" s="208"/>
    </row>
    <row r="2212">
      <c r="A2212" s="185"/>
      <c r="B2212" s="186"/>
      <c r="C2212" s="185"/>
      <c r="D2212" s="185"/>
      <c r="E2212" s="185"/>
      <c r="F2212" s="185"/>
      <c r="G2212" s="185"/>
      <c r="H2212" s="185"/>
      <c r="I2212" s="185"/>
      <c r="J2212" s="185"/>
      <c r="K2212" s="185"/>
      <c r="L2212" s="187"/>
      <c r="M2212" s="188"/>
      <c r="N2212" s="188"/>
      <c r="O2212" s="208"/>
      <c r="P2212" s="208"/>
      <c r="Q2212" s="208"/>
      <c r="R2212" s="208"/>
    </row>
    <row r="2213">
      <c r="A2213" s="185"/>
      <c r="B2213" s="186"/>
      <c r="C2213" s="185"/>
      <c r="D2213" s="185"/>
      <c r="E2213" s="185"/>
      <c r="F2213" s="185"/>
      <c r="G2213" s="185"/>
      <c r="H2213" s="185"/>
      <c r="I2213" s="185"/>
      <c r="J2213" s="185"/>
      <c r="K2213" s="185"/>
      <c r="L2213" s="187"/>
      <c r="M2213" s="188"/>
      <c r="N2213" s="188"/>
      <c r="O2213" s="208"/>
      <c r="P2213" s="208"/>
      <c r="Q2213" s="208"/>
      <c r="R2213" s="208"/>
    </row>
    <row r="2214">
      <c r="A2214" s="185"/>
      <c r="B2214" s="186"/>
      <c r="C2214" s="185"/>
      <c r="D2214" s="185"/>
      <c r="E2214" s="185"/>
      <c r="F2214" s="185"/>
      <c r="G2214" s="185"/>
      <c r="H2214" s="185"/>
      <c r="I2214" s="185"/>
      <c r="J2214" s="185"/>
      <c r="K2214" s="185"/>
      <c r="L2214" s="187"/>
      <c r="M2214" s="188"/>
      <c r="N2214" s="188"/>
      <c r="O2214" s="208"/>
      <c r="P2214" s="208"/>
      <c r="Q2214" s="208"/>
      <c r="R2214" s="208"/>
    </row>
    <row r="2215">
      <c r="A2215" s="185"/>
      <c r="B2215" s="186"/>
      <c r="C2215" s="185"/>
      <c r="D2215" s="185"/>
      <c r="E2215" s="185"/>
      <c r="F2215" s="185"/>
      <c r="G2215" s="185"/>
      <c r="H2215" s="185"/>
      <c r="I2215" s="185"/>
      <c r="J2215" s="185"/>
      <c r="K2215" s="185"/>
      <c r="L2215" s="187"/>
      <c r="M2215" s="188"/>
      <c r="N2215" s="188"/>
      <c r="O2215" s="208"/>
      <c r="P2215" s="208"/>
      <c r="Q2215" s="208"/>
      <c r="R2215" s="208"/>
    </row>
    <row r="2216">
      <c r="A2216" s="185"/>
      <c r="B2216" s="186"/>
      <c r="C2216" s="185"/>
      <c r="D2216" s="185"/>
      <c r="E2216" s="185"/>
      <c r="F2216" s="185"/>
      <c r="G2216" s="185"/>
      <c r="H2216" s="185"/>
      <c r="I2216" s="185"/>
      <c r="J2216" s="185"/>
      <c r="K2216" s="185"/>
      <c r="L2216" s="187"/>
      <c r="M2216" s="188"/>
      <c r="N2216" s="188"/>
      <c r="O2216" s="208"/>
      <c r="P2216" s="208"/>
      <c r="Q2216" s="208"/>
      <c r="R2216" s="208"/>
    </row>
    <row r="2217">
      <c r="A2217" s="185"/>
      <c r="B2217" s="186"/>
      <c r="C2217" s="185"/>
      <c r="D2217" s="185"/>
      <c r="E2217" s="185"/>
      <c r="F2217" s="185"/>
      <c r="G2217" s="185"/>
      <c r="H2217" s="185"/>
      <c r="I2217" s="185"/>
      <c r="J2217" s="185"/>
      <c r="K2217" s="185"/>
      <c r="L2217" s="187"/>
      <c r="M2217" s="188"/>
      <c r="N2217" s="188"/>
      <c r="O2217" s="208"/>
      <c r="P2217" s="208"/>
      <c r="Q2217" s="208"/>
      <c r="R2217" s="208"/>
    </row>
    <row r="2218">
      <c r="A2218" s="185"/>
      <c r="B2218" s="186"/>
      <c r="C2218" s="185"/>
      <c r="D2218" s="185"/>
      <c r="E2218" s="185"/>
      <c r="F2218" s="185"/>
      <c r="G2218" s="185"/>
      <c r="H2218" s="185"/>
      <c r="I2218" s="185"/>
      <c r="J2218" s="185"/>
      <c r="K2218" s="185"/>
      <c r="L2218" s="187"/>
      <c r="M2218" s="188"/>
      <c r="N2218" s="188"/>
      <c r="O2218" s="208"/>
      <c r="P2218" s="208"/>
      <c r="Q2218" s="208"/>
      <c r="R2218" s="208"/>
    </row>
    <row r="2219">
      <c r="A2219" s="185"/>
      <c r="B2219" s="186"/>
      <c r="C2219" s="185"/>
      <c r="D2219" s="185"/>
      <c r="E2219" s="185"/>
      <c r="F2219" s="185"/>
      <c r="G2219" s="185"/>
      <c r="H2219" s="185"/>
      <c r="I2219" s="185"/>
      <c r="J2219" s="185"/>
      <c r="K2219" s="185"/>
      <c r="L2219" s="187"/>
      <c r="M2219" s="188"/>
      <c r="N2219" s="188"/>
      <c r="O2219" s="208"/>
      <c r="P2219" s="208"/>
      <c r="Q2219" s="208"/>
      <c r="R2219" s="208"/>
    </row>
    <row r="2220">
      <c r="A2220" s="185"/>
      <c r="B2220" s="186"/>
      <c r="C2220" s="185"/>
      <c r="D2220" s="185"/>
      <c r="E2220" s="185"/>
      <c r="F2220" s="185"/>
      <c r="G2220" s="185"/>
      <c r="H2220" s="185"/>
      <c r="I2220" s="185"/>
      <c r="J2220" s="185"/>
      <c r="K2220" s="185"/>
      <c r="L2220" s="187"/>
      <c r="M2220" s="188"/>
      <c r="N2220" s="188"/>
      <c r="O2220" s="208"/>
      <c r="P2220" s="208"/>
      <c r="Q2220" s="208"/>
      <c r="R2220" s="208"/>
    </row>
    <row r="2221">
      <c r="A2221" s="185"/>
      <c r="B2221" s="186"/>
      <c r="C2221" s="185"/>
      <c r="D2221" s="185"/>
      <c r="E2221" s="185"/>
      <c r="F2221" s="185"/>
      <c r="G2221" s="185"/>
      <c r="H2221" s="185"/>
      <c r="I2221" s="185"/>
      <c r="J2221" s="185"/>
      <c r="K2221" s="185"/>
      <c r="L2221" s="187"/>
      <c r="M2221" s="188"/>
      <c r="N2221" s="188"/>
      <c r="O2221" s="208"/>
      <c r="P2221" s="208"/>
      <c r="Q2221" s="208"/>
      <c r="R2221" s="208"/>
    </row>
    <row r="2222">
      <c r="A2222" s="185"/>
      <c r="B2222" s="186"/>
      <c r="C2222" s="185"/>
      <c r="D2222" s="185"/>
      <c r="E2222" s="185"/>
      <c r="F2222" s="185"/>
      <c r="G2222" s="185"/>
      <c r="H2222" s="185"/>
      <c r="I2222" s="185"/>
      <c r="J2222" s="185"/>
      <c r="K2222" s="185"/>
      <c r="L2222" s="187"/>
      <c r="M2222" s="188"/>
      <c r="N2222" s="188"/>
      <c r="O2222" s="208"/>
      <c r="P2222" s="208"/>
      <c r="Q2222" s="208"/>
      <c r="R2222" s="208"/>
    </row>
    <row r="2223">
      <c r="A2223" s="185"/>
      <c r="B2223" s="186"/>
      <c r="C2223" s="185"/>
      <c r="D2223" s="185"/>
      <c r="E2223" s="185"/>
      <c r="F2223" s="185"/>
      <c r="G2223" s="185"/>
      <c r="H2223" s="185"/>
      <c r="I2223" s="185"/>
      <c r="J2223" s="185"/>
      <c r="K2223" s="185"/>
      <c r="L2223" s="187"/>
      <c r="M2223" s="188"/>
      <c r="N2223" s="188"/>
      <c r="O2223" s="208"/>
      <c r="P2223" s="208"/>
      <c r="Q2223" s="208"/>
      <c r="R2223" s="208"/>
    </row>
    <row r="2224">
      <c r="A2224" s="185"/>
      <c r="B2224" s="186"/>
      <c r="C2224" s="185"/>
      <c r="D2224" s="185"/>
      <c r="E2224" s="185"/>
      <c r="F2224" s="185"/>
      <c r="G2224" s="185"/>
      <c r="H2224" s="185"/>
      <c r="I2224" s="185"/>
      <c r="J2224" s="185"/>
      <c r="K2224" s="185"/>
      <c r="L2224" s="187"/>
      <c r="M2224" s="188"/>
      <c r="N2224" s="188"/>
      <c r="O2224" s="208"/>
      <c r="P2224" s="208"/>
      <c r="Q2224" s="208"/>
      <c r="R2224" s="208"/>
    </row>
    <row r="2225">
      <c r="A2225" s="185"/>
      <c r="B2225" s="186"/>
      <c r="C2225" s="185"/>
      <c r="D2225" s="185"/>
      <c r="E2225" s="185"/>
      <c r="F2225" s="185"/>
      <c r="G2225" s="185"/>
      <c r="H2225" s="185"/>
      <c r="I2225" s="185"/>
      <c r="J2225" s="185"/>
      <c r="K2225" s="185"/>
      <c r="L2225" s="187"/>
      <c r="M2225" s="188"/>
      <c r="N2225" s="188"/>
      <c r="O2225" s="208"/>
      <c r="P2225" s="208"/>
      <c r="Q2225" s="208"/>
      <c r="R2225" s="208"/>
    </row>
    <row r="2226">
      <c r="A2226" s="185"/>
      <c r="B2226" s="186"/>
      <c r="C2226" s="185"/>
      <c r="D2226" s="185"/>
      <c r="E2226" s="185"/>
      <c r="F2226" s="185"/>
      <c r="G2226" s="185"/>
      <c r="H2226" s="185"/>
      <c r="I2226" s="185"/>
      <c r="J2226" s="185"/>
      <c r="K2226" s="185"/>
      <c r="L2226" s="187"/>
      <c r="M2226" s="188"/>
      <c r="N2226" s="188"/>
      <c r="O2226" s="208"/>
      <c r="P2226" s="208"/>
      <c r="Q2226" s="208"/>
      <c r="R2226" s="208"/>
    </row>
    <row r="2227">
      <c r="A2227" s="185"/>
      <c r="B2227" s="186"/>
      <c r="C2227" s="185"/>
      <c r="D2227" s="185"/>
      <c r="E2227" s="185"/>
      <c r="F2227" s="185"/>
      <c r="G2227" s="185"/>
      <c r="H2227" s="185"/>
      <c r="I2227" s="185"/>
      <c r="J2227" s="185"/>
      <c r="K2227" s="185"/>
      <c r="L2227" s="187"/>
      <c r="M2227" s="188"/>
      <c r="N2227" s="188"/>
      <c r="O2227" s="208"/>
      <c r="P2227" s="208"/>
      <c r="Q2227" s="208"/>
      <c r="R2227" s="208"/>
    </row>
    <row r="2228">
      <c r="A2228" s="185"/>
      <c r="B2228" s="186"/>
      <c r="C2228" s="185"/>
      <c r="D2228" s="185"/>
      <c r="E2228" s="185"/>
      <c r="F2228" s="185"/>
      <c r="G2228" s="185"/>
      <c r="H2228" s="185"/>
      <c r="I2228" s="185"/>
      <c r="J2228" s="185"/>
      <c r="K2228" s="185"/>
      <c r="L2228" s="187"/>
      <c r="M2228" s="188"/>
      <c r="N2228" s="188"/>
      <c r="O2228" s="208"/>
      <c r="P2228" s="208"/>
      <c r="Q2228" s="208"/>
      <c r="R2228" s="208"/>
    </row>
    <row r="2229">
      <c r="A2229" s="185"/>
      <c r="B2229" s="186"/>
      <c r="C2229" s="185"/>
      <c r="D2229" s="185"/>
      <c r="E2229" s="185"/>
      <c r="F2229" s="185"/>
      <c r="G2229" s="185"/>
      <c r="H2229" s="185"/>
      <c r="I2229" s="185"/>
      <c r="J2229" s="185"/>
      <c r="K2229" s="185"/>
      <c r="L2229" s="187"/>
      <c r="M2229" s="188"/>
      <c r="N2229" s="188"/>
      <c r="O2229" s="208"/>
      <c r="P2229" s="208"/>
      <c r="Q2229" s="208"/>
      <c r="R2229" s="208"/>
    </row>
    <row r="2230">
      <c r="A2230" s="185"/>
      <c r="B2230" s="186"/>
      <c r="C2230" s="185"/>
      <c r="D2230" s="185"/>
      <c r="E2230" s="185"/>
      <c r="F2230" s="185"/>
      <c r="G2230" s="185"/>
      <c r="H2230" s="185"/>
      <c r="I2230" s="185"/>
      <c r="J2230" s="185"/>
      <c r="K2230" s="185"/>
      <c r="L2230" s="187"/>
      <c r="M2230" s="188"/>
      <c r="N2230" s="188"/>
      <c r="O2230" s="208"/>
      <c r="P2230" s="208"/>
      <c r="Q2230" s="208"/>
      <c r="R2230" s="208"/>
    </row>
    <row r="2231">
      <c r="A2231" s="185"/>
      <c r="B2231" s="186"/>
      <c r="C2231" s="185"/>
      <c r="D2231" s="185"/>
      <c r="E2231" s="185"/>
      <c r="F2231" s="185"/>
      <c r="G2231" s="185"/>
      <c r="H2231" s="185"/>
      <c r="I2231" s="185"/>
      <c r="J2231" s="185"/>
      <c r="K2231" s="185"/>
      <c r="L2231" s="187"/>
      <c r="M2231" s="188"/>
      <c r="N2231" s="188"/>
      <c r="O2231" s="208"/>
      <c r="P2231" s="208"/>
      <c r="Q2231" s="208"/>
      <c r="R2231" s="208"/>
    </row>
    <row r="2232">
      <c r="A2232" s="185"/>
      <c r="B2232" s="186"/>
      <c r="C2232" s="185"/>
      <c r="D2232" s="185"/>
      <c r="E2232" s="185"/>
      <c r="F2232" s="185"/>
      <c r="G2232" s="185"/>
      <c r="H2232" s="185"/>
      <c r="I2232" s="185"/>
      <c r="J2232" s="185"/>
      <c r="K2232" s="185"/>
      <c r="L2232" s="187"/>
      <c r="M2232" s="188"/>
      <c r="N2232" s="188"/>
      <c r="O2232" s="208"/>
      <c r="P2232" s="208"/>
      <c r="Q2232" s="208"/>
      <c r="R2232" s="208"/>
    </row>
    <row r="2233">
      <c r="A2233" s="185"/>
      <c r="B2233" s="186"/>
      <c r="C2233" s="185"/>
      <c r="D2233" s="185"/>
      <c r="E2233" s="185"/>
      <c r="F2233" s="185"/>
      <c r="G2233" s="185"/>
      <c r="H2233" s="185"/>
      <c r="I2233" s="185"/>
      <c r="J2233" s="185"/>
      <c r="K2233" s="185"/>
      <c r="L2233" s="187"/>
      <c r="M2233" s="188"/>
      <c r="N2233" s="188"/>
      <c r="O2233" s="208"/>
      <c r="P2233" s="208"/>
      <c r="Q2233" s="208"/>
      <c r="R2233" s="208"/>
    </row>
    <row r="2234">
      <c r="A2234" s="185"/>
      <c r="B2234" s="186"/>
      <c r="C2234" s="185"/>
      <c r="D2234" s="185"/>
      <c r="E2234" s="185"/>
      <c r="F2234" s="185"/>
      <c r="G2234" s="185"/>
      <c r="H2234" s="185"/>
      <c r="I2234" s="185"/>
      <c r="J2234" s="185"/>
      <c r="K2234" s="185"/>
      <c r="L2234" s="187"/>
      <c r="M2234" s="188"/>
      <c r="N2234" s="188"/>
      <c r="O2234" s="208"/>
      <c r="P2234" s="208"/>
      <c r="Q2234" s="208"/>
      <c r="R2234" s="208"/>
    </row>
    <row r="2235">
      <c r="A2235" s="185"/>
      <c r="B2235" s="186"/>
      <c r="C2235" s="185"/>
      <c r="D2235" s="185"/>
      <c r="E2235" s="185"/>
      <c r="F2235" s="185"/>
      <c r="G2235" s="185"/>
      <c r="H2235" s="185"/>
      <c r="I2235" s="185"/>
      <c r="J2235" s="185"/>
      <c r="K2235" s="185"/>
      <c r="L2235" s="187"/>
      <c r="M2235" s="188"/>
      <c r="N2235" s="188"/>
      <c r="O2235" s="208"/>
      <c r="P2235" s="208"/>
      <c r="Q2235" s="208"/>
      <c r="R2235" s="208"/>
    </row>
    <row r="2236">
      <c r="A2236" s="185"/>
      <c r="B2236" s="186"/>
      <c r="C2236" s="185"/>
      <c r="D2236" s="185"/>
      <c r="E2236" s="185"/>
      <c r="F2236" s="185"/>
      <c r="G2236" s="185"/>
      <c r="H2236" s="185"/>
      <c r="I2236" s="185"/>
      <c r="J2236" s="185"/>
      <c r="K2236" s="185"/>
      <c r="L2236" s="187"/>
      <c r="M2236" s="188"/>
      <c r="N2236" s="188"/>
      <c r="O2236" s="208"/>
      <c r="P2236" s="208"/>
      <c r="Q2236" s="208"/>
      <c r="R2236" s="208"/>
    </row>
    <row r="2237">
      <c r="A2237" s="185"/>
      <c r="B2237" s="186"/>
      <c r="C2237" s="185"/>
      <c r="D2237" s="185"/>
      <c r="E2237" s="185"/>
      <c r="F2237" s="185"/>
      <c r="G2237" s="185"/>
      <c r="H2237" s="185"/>
      <c r="I2237" s="185"/>
      <c r="J2237" s="185"/>
      <c r="K2237" s="185"/>
      <c r="L2237" s="187"/>
      <c r="M2237" s="188"/>
      <c r="N2237" s="188"/>
      <c r="O2237" s="208"/>
      <c r="P2237" s="208"/>
      <c r="Q2237" s="208"/>
      <c r="R2237" s="208"/>
    </row>
    <row r="2238">
      <c r="A2238" s="185"/>
      <c r="B2238" s="186"/>
      <c r="C2238" s="185"/>
      <c r="D2238" s="185"/>
      <c r="E2238" s="185"/>
      <c r="F2238" s="185"/>
      <c r="G2238" s="185"/>
      <c r="H2238" s="185"/>
      <c r="I2238" s="185"/>
      <c r="J2238" s="185"/>
      <c r="K2238" s="185"/>
      <c r="L2238" s="187"/>
      <c r="M2238" s="188"/>
      <c r="N2238" s="188"/>
      <c r="O2238" s="208"/>
      <c r="P2238" s="208"/>
      <c r="Q2238" s="208"/>
      <c r="R2238" s="208"/>
    </row>
    <row r="2239">
      <c r="A2239" s="185"/>
      <c r="B2239" s="186"/>
      <c r="C2239" s="185"/>
      <c r="D2239" s="185"/>
      <c r="E2239" s="185"/>
      <c r="F2239" s="185"/>
      <c r="G2239" s="185"/>
      <c r="H2239" s="185"/>
      <c r="I2239" s="185"/>
      <c r="J2239" s="185"/>
      <c r="K2239" s="185"/>
      <c r="L2239" s="187"/>
      <c r="M2239" s="188"/>
      <c r="N2239" s="188"/>
      <c r="O2239" s="208"/>
      <c r="P2239" s="208"/>
      <c r="Q2239" s="208"/>
      <c r="R2239" s="208"/>
    </row>
    <row r="2240">
      <c r="A2240" s="185"/>
      <c r="B2240" s="186"/>
      <c r="C2240" s="185"/>
      <c r="D2240" s="185"/>
      <c r="E2240" s="185"/>
      <c r="F2240" s="185"/>
      <c r="G2240" s="185"/>
      <c r="H2240" s="185"/>
      <c r="I2240" s="185"/>
      <c r="J2240" s="185"/>
      <c r="K2240" s="185"/>
      <c r="L2240" s="187"/>
      <c r="M2240" s="188"/>
      <c r="N2240" s="188"/>
      <c r="O2240" s="208"/>
      <c r="P2240" s="208"/>
      <c r="Q2240" s="208"/>
      <c r="R2240" s="208"/>
    </row>
    <row r="2241">
      <c r="A2241" s="185"/>
      <c r="B2241" s="186"/>
      <c r="C2241" s="185"/>
      <c r="D2241" s="185"/>
      <c r="E2241" s="185"/>
      <c r="F2241" s="185"/>
      <c r="G2241" s="185"/>
      <c r="H2241" s="185"/>
      <c r="I2241" s="185"/>
      <c r="J2241" s="185"/>
      <c r="K2241" s="185"/>
      <c r="L2241" s="187"/>
      <c r="M2241" s="188"/>
      <c r="N2241" s="188"/>
      <c r="O2241" s="208"/>
      <c r="P2241" s="208"/>
      <c r="Q2241" s="208"/>
      <c r="R2241" s="208"/>
    </row>
    <row r="2242">
      <c r="A2242" s="185"/>
      <c r="B2242" s="186"/>
      <c r="C2242" s="185"/>
      <c r="D2242" s="185"/>
      <c r="E2242" s="185"/>
      <c r="F2242" s="185"/>
      <c r="G2242" s="185"/>
      <c r="H2242" s="185"/>
      <c r="I2242" s="185"/>
      <c r="J2242" s="185"/>
      <c r="K2242" s="185"/>
      <c r="L2242" s="187"/>
      <c r="M2242" s="188"/>
      <c r="N2242" s="188"/>
      <c r="O2242" s="208"/>
      <c r="P2242" s="208"/>
      <c r="Q2242" s="208"/>
      <c r="R2242" s="208"/>
    </row>
    <row r="2243">
      <c r="A2243" s="185"/>
      <c r="B2243" s="186"/>
      <c r="C2243" s="185"/>
      <c r="D2243" s="185"/>
      <c r="E2243" s="185"/>
      <c r="F2243" s="185"/>
      <c r="G2243" s="185"/>
      <c r="H2243" s="185"/>
      <c r="I2243" s="185"/>
      <c r="J2243" s="185"/>
      <c r="K2243" s="185"/>
      <c r="L2243" s="187"/>
      <c r="M2243" s="188"/>
      <c r="N2243" s="188"/>
      <c r="O2243" s="208"/>
      <c r="P2243" s="208"/>
      <c r="Q2243" s="208"/>
      <c r="R2243" s="208"/>
    </row>
    <row r="2244">
      <c r="A2244" s="185"/>
      <c r="B2244" s="186"/>
      <c r="C2244" s="185"/>
      <c r="D2244" s="185"/>
      <c r="E2244" s="185"/>
      <c r="F2244" s="185"/>
      <c r="G2244" s="185"/>
      <c r="H2244" s="185"/>
      <c r="I2244" s="185"/>
      <c r="J2244" s="185"/>
      <c r="K2244" s="185"/>
      <c r="L2244" s="187"/>
      <c r="M2244" s="188"/>
      <c r="N2244" s="188"/>
      <c r="O2244" s="208"/>
      <c r="P2244" s="208"/>
      <c r="Q2244" s="208"/>
      <c r="R2244" s="208"/>
    </row>
    <row r="2245">
      <c r="A2245" s="185"/>
      <c r="B2245" s="186"/>
      <c r="C2245" s="185"/>
      <c r="D2245" s="185"/>
      <c r="E2245" s="185"/>
      <c r="F2245" s="185"/>
      <c r="G2245" s="185"/>
      <c r="H2245" s="185"/>
      <c r="I2245" s="185"/>
      <c r="J2245" s="185"/>
      <c r="K2245" s="185"/>
      <c r="L2245" s="187"/>
      <c r="M2245" s="188"/>
      <c r="N2245" s="188"/>
      <c r="O2245" s="208"/>
      <c r="P2245" s="208"/>
      <c r="Q2245" s="208"/>
      <c r="R2245" s="208"/>
    </row>
    <row r="2246">
      <c r="A2246" s="185"/>
      <c r="B2246" s="186"/>
      <c r="C2246" s="185"/>
      <c r="D2246" s="185"/>
      <c r="E2246" s="185"/>
      <c r="F2246" s="185"/>
      <c r="G2246" s="185"/>
      <c r="H2246" s="185"/>
      <c r="I2246" s="185"/>
      <c r="J2246" s="185"/>
      <c r="K2246" s="185"/>
      <c r="L2246" s="187"/>
      <c r="M2246" s="188"/>
      <c r="N2246" s="188"/>
      <c r="O2246" s="208"/>
      <c r="P2246" s="208"/>
      <c r="Q2246" s="208"/>
      <c r="R2246" s="208"/>
    </row>
    <row r="2247">
      <c r="A2247" s="185"/>
      <c r="B2247" s="186"/>
      <c r="C2247" s="185"/>
      <c r="D2247" s="185"/>
      <c r="E2247" s="185"/>
      <c r="F2247" s="185"/>
      <c r="G2247" s="185"/>
      <c r="H2247" s="185"/>
      <c r="I2247" s="185"/>
      <c r="J2247" s="185"/>
      <c r="K2247" s="185"/>
      <c r="L2247" s="187"/>
      <c r="M2247" s="188"/>
      <c r="N2247" s="188"/>
      <c r="O2247" s="208"/>
      <c r="P2247" s="208"/>
      <c r="Q2247" s="208"/>
      <c r="R2247" s="208"/>
    </row>
    <row r="2248">
      <c r="A2248" s="185"/>
      <c r="B2248" s="186"/>
      <c r="C2248" s="185"/>
      <c r="D2248" s="185"/>
      <c r="E2248" s="185"/>
      <c r="F2248" s="185"/>
      <c r="G2248" s="185"/>
      <c r="H2248" s="185"/>
      <c r="I2248" s="185"/>
      <c r="J2248" s="185"/>
      <c r="K2248" s="185"/>
      <c r="L2248" s="187"/>
      <c r="M2248" s="188"/>
      <c r="N2248" s="188"/>
      <c r="O2248" s="208"/>
      <c r="P2248" s="208"/>
      <c r="Q2248" s="208"/>
      <c r="R2248" s="208"/>
    </row>
    <row r="2249">
      <c r="A2249" s="185"/>
      <c r="B2249" s="186"/>
      <c r="C2249" s="185"/>
      <c r="D2249" s="185"/>
      <c r="E2249" s="185"/>
      <c r="F2249" s="185"/>
      <c r="G2249" s="185"/>
      <c r="H2249" s="185"/>
      <c r="I2249" s="185"/>
      <c r="J2249" s="185"/>
      <c r="K2249" s="185"/>
      <c r="L2249" s="187"/>
      <c r="M2249" s="188"/>
      <c r="N2249" s="188"/>
      <c r="O2249" s="208"/>
      <c r="P2249" s="208"/>
      <c r="Q2249" s="208"/>
      <c r="R2249" s="208"/>
    </row>
    <row r="2250">
      <c r="A2250" s="185"/>
      <c r="B2250" s="186"/>
      <c r="C2250" s="185"/>
      <c r="D2250" s="185"/>
      <c r="E2250" s="185"/>
      <c r="F2250" s="185"/>
      <c r="G2250" s="185"/>
      <c r="H2250" s="185"/>
      <c r="I2250" s="185"/>
      <c r="J2250" s="185"/>
      <c r="K2250" s="185"/>
      <c r="L2250" s="187"/>
      <c r="M2250" s="188"/>
      <c r="N2250" s="188"/>
      <c r="O2250" s="208"/>
      <c r="P2250" s="208"/>
      <c r="Q2250" s="208"/>
      <c r="R2250" s="208"/>
    </row>
    <row r="2251">
      <c r="A2251" s="185"/>
      <c r="B2251" s="186"/>
      <c r="C2251" s="185"/>
      <c r="D2251" s="185"/>
      <c r="E2251" s="185"/>
      <c r="F2251" s="185"/>
      <c r="G2251" s="185"/>
      <c r="H2251" s="185"/>
      <c r="I2251" s="185"/>
      <c r="J2251" s="185"/>
      <c r="K2251" s="185"/>
      <c r="L2251" s="187"/>
      <c r="M2251" s="188"/>
      <c r="N2251" s="188"/>
      <c r="O2251" s="208"/>
      <c r="P2251" s="208"/>
      <c r="Q2251" s="208"/>
      <c r="R2251" s="208"/>
    </row>
    <row r="2252">
      <c r="A2252" s="185"/>
      <c r="B2252" s="186"/>
      <c r="C2252" s="185"/>
      <c r="D2252" s="185"/>
      <c r="E2252" s="185"/>
      <c r="F2252" s="185"/>
      <c r="G2252" s="185"/>
      <c r="H2252" s="185"/>
      <c r="I2252" s="185"/>
      <c r="J2252" s="185"/>
      <c r="K2252" s="185"/>
      <c r="L2252" s="187"/>
      <c r="M2252" s="188"/>
      <c r="N2252" s="188"/>
      <c r="O2252" s="208"/>
      <c r="P2252" s="208"/>
      <c r="Q2252" s="208"/>
      <c r="R2252" s="208"/>
    </row>
    <row r="2253">
      <c r="A2253" s="185"/>
      <c r="B2253" s="186"/>
      <c r="C2253" s="185"/>
      <c r="D2253" s="185"/>
      <c r="E2253" s="185"/>
      <c r="F2253" s="185"/>
      <c r="G2253" s="185"/>
      <c r="H2253" s="185"/>
      <c r="I2253" s="185"/>
      <c r="J2253" s="185"/>
      <c r="K2253" s="185"/>
      <c r="L2253" s="187"/>
      <c r="M2253" s="188"/>
      <c r="N2253" s="188"/>
      <c r="O2253" s="208"/>
      <c r="P2253" s="208"/>
      <c r="Q2253" s="208"/>
      <c r="R2253" s="208"/>
    </row>
    <row r="2254">
      <c r="A2254" s="185"/>
      <c r="B2254" s="186"/>
      <c r="C2254" s="185"/>
      <c r="D2254" s="185"/>
      <c r="E2254" s="185"/>
      <c r="F2254" s="185"/>
      <c r="G2254" s="185"/>
      <c r="H2254" s="185"/>
      <c r="I2254" s="185"/>
      <c r="J2254" s="185"/>
      <c r="K2254" s="185"/>
      <c r="L2254" s="187"/>
      <c r="M2254" s="188"/>
      <c r="N2254" s="188"/>
      <c r="O2254" s="208"/>
      <c r="P2254" s="208"/>
      <c r="Q2254" s="208"/>
      <c r="R2254" s="208"/>
    </row>
    <row r="2255">
      <c r="A2255" s="185"/>
      <c r="B2255" s="186"/>
      <c r="C2255" s="185"/>
      <c r="D2255" s="185"/>
      <c r="E2255" s="185"/>
      <c r="F2255" s="185"/>
      <c r="G2255" s="185"/>
      <c r="H2255" s="185"/>
      <c r="I2255" s="185"/>
      <c r="J2255" s="185"/>
      <c r="K2255" s="185"/>
      <c r="L2255" s="187"/>
      <c r="M2255" s="188"/>
      <c r="N2255" s="188"/>
      <c r="O2255" s="208"/>
      <c r="P2255" s="208"/>
      <c r="Q2255" s="208"/>
      <c r="R2255" s="208"/>
    </row>
    <row r="2256">
      <c r="A2256" s="185"/>
      <c r="B2256" s="186"/>
      <c r="C2256" s="185"/>
      <c r="D2256" s="185"/>
      <c r="E2256" s="185"/>
      <c r="F2256" s="185"/>
      <c r="G2256" s="185"/>
      <c r="H2256" s="185"/>
      <c r="I2256" s="185"/>
      <c r="J2256" s="185"/>
      <c r="K2256" s="185"/>
      <c r="L2256" s="187"/>
      <c r="M2256" s="188"/>
      <c r="N2256" s="188"/>
      <c r="O2256" s="208"/>
      <c r="P2256" s="208"/>
      <c r="Q2256" s="208"/>
      <c r="R2256" s="208"/>
    </row>
    <row r="2257">
      <c r="A2257" s="185"/>
      <c r="B2257" s="186"/>
      <c r="C2257" s="185"/>
      <c r="D2257" s="185"/>
      <c r="E2257" s="185"/>
      <c r="F2257" s="185"/>
      <c r="G2257" s="185"/>
      <c r="H2257" s="185"/>
      <c r="I2257" s="185"/>
      <c r="J2257" s="185"/>
      <c r="K2257" s="185"/>
      <c r="L2257" s="187"/>
      <c r="M2257" s="188"/>
      <c r="N2257" s="188"/>
      <c r="O2257" s="208"/>
      <c r="P2257" s="208"/>
      <c r="Q2257" s="208"/>
      <c r="R2257" s="208"/>
    </row>
    <row r="2258">
      <c r="A2258" s="185"/>
      <c r="B2258" s="186"/>
      <c r="C2258" s="185"/>
      <c r="D2258" s="185"/>
      <c r="E2258" s="185"/>
      <c r="F2258" s="185"/>
      <c r="G2258" s="185"/>
      <c r="H2258" s="185"/>
      <c r="I2258" s="185"/>
      <c r="J2258" s="185"/>
      <c r="K2258" s="185"/>
      <c r="L2258" s="187"/>
      <c r="M2258" s="188"/>
      <c r="N2258" s="188"/>
      <c r="O2258" s="208"/>
      <c r="P2258" s="208"/>
      <c r="Q2258" s="208"/>
      <c r="R2258" s="208"/>
    </row>
    <row r="2259">
      <c r="A2259" s="185"/>
      <c r="B2259" s="186"/>
      <c r="C2259" s="185"/>
      <c r="D2259" s="185"/>
      <c r="E2259" s="185"/>
      <c r="F2259" s="185"/>
      <c r="G2259" s="185"/>
      <c r="H2259" s="185"/>
      <c r="I2259" s="185"/>
      <c r="J2259" s="185"/>
      <c r="K2259" s="185"/>
      <c r="L2259" s="187"/>
      <c r="M2259" s="188"/>
      <c r="N2259" s="188"/>
      <c r="O2259" s="208"/>
      <c r="P2259" s="208"/>
      <c r="Q2259" s="208"/>
      <c r="R2259" s="208"/>
    </row>
    <row r="2260">
      <c r="A2260" s="185"/>
      <c r="B2260" s="186"/>
      <c r="C2260" s="185"/>
      <c r="D2260" s="185"/>
      <c r="E2260" s="185"/>
      <c r="F2260" s="185"/>
      <c r="G2260" s="185"/>
      <c r="H2260" s="185"/>
      <c r="I2260" s="185"/>
      <c r="J2260" s="185"/>
      <c r="K2260" s="185"/>
      <c r="L2260" s="187"/>
      <c r="M2260" s="188"/>
      <c r="N2260" s="188"/>
      <c r="O2260" s="208"/>
      <c r="P2260" s="208"/>
      <c r="Q2260" s="208"/>
      <c r="R2260" s="208"/>
    </row>
    <row r="2261">
      <c r="A2261" s="185"/>
      <c r="B2261" s="186"/>
      <c r="C2261" s="185"/>
      <c r="D2261" s="185"/>
      <c r="E2261" s="185"/>
      <c r="F2261" s="185"/>
      <c r="G2261" s="185"/>
      <c r="H2261" s="185"/>
      <c r="I2261" s="185"/>
      <c r="J2261" s="185"/>
      <c r="K2261" s="185"/>
      <c r="L2261" s="187"/>
      <c r="M2261" s="188"/>
      <c r="N2261" s="188"/>
      <c r="O2261" s="208"/>
      <c r="P2261" s="208"/>
      <c r="Q2261" s="208"/>
      <c r="R2261" s="208"/>
    </row>
    <row r="2262">
      <c r="A2262" s="185"/>
      <c r="B2262" s="186"/>
      <c r="C2262" s="185"/>
      <c r="D2262" s="185"/>
      <c r="E2262" s="185"/>
      <c r="F2262" s="185"/>
      <c r="G2262" s="185"/>
      <c r="H2262" s="185"/>
      <c r="I2262" s="185"/>
      <c r="J2262" s="185"/>
      <c r="K2262" s="185"/>
      <c r="L2262" s="187"/>
      <c r="M2262" s="188"/>
      <c r="N2262" s="188"/>
      <c r="O2262" s="208"/>
      <c r="P2262" s="208"/>
      <c r="Q2262" s="208"/>
      <c r="R2262" s="208"/>
    </row>
    <row r="2263">
      <c r="A2263" s="185"/>
      <c r="B2263" s="186"/>
      <c r="C2263" s="185"/>
      <c r="D2263" s="185"/>
      <c r="E2263" s="185"/>
      <c r="F2263" s="185"/>
      <c r="G2263" s="185"/>
      <c r="H2263" s="185"/>
      <c r="I2263" s="185"/>
      <c r="J2263" s="185"/>
      <c r="K2263" s="185"/>
      <c r="L2263" s="187"/>
      <c r="M2263" s="188"/>
      <c r="N2263" s="188"/>
      <c r="O2263" s="208"/>
      <c r="P2263" s="208"/>
      <c r="Q2263" s="208"/>
      <c r="R2263" s="208"/>
    </row>
    <row r="2264">
      <c r="A2264" s="185"/>
      <c r="B2264" s="186"/>
      <c r="C2264" s="185"/>
      <c r="D2264" s="185"/>
      <c r="E2264" s="185"/>
      <c r="F2264" s="185"/>
      <c r="G2264" s="185"/>
      <c r="H2264" s="185"/>
      <c r="I2264" s="185"/>
      <c r="J2264" s="185"/>
      <c r="K2264" s="185"/>
      <c r="L2264" s="187"/>
      <c r="M2264" s="188"/>
      <c r="N2264" s="188"/>
      <c r="O2264" s="208"/>
      <c r="P2264" s="208"/>
      <c r="Q2264" s="208"/>
      <c r="R2264" s="208"/>
    </row>
    <row r="2265">
      <c r="A2265" s="185"/>
      <c r="B2265" s="186"/>
      <c r="C2265" s="185"/>
      <c r="D2265" s="185"/>
      <c r="E2265" s="185"/>
      <c r="F2265" s="185"/>
      <c r="G2265" s="185"/>
      <c r="H2265" s="185"/>
      <c r="I2265" s="185"/>
      <c r="J2265" s="185"/>
      <c r="K2265" s="185"/>
      <c r="L2265" s="187"/>
      <c r="M2265" s="188"/>
      <c r="N2265" s="188"/>
      <c r="O2265" s="208"/>
      <c r="P2265" s="208"/>
      <c r="Q2265" s="208"/>
      <c r="R2265" s="208"/>
    </row>
    <row r="2266">
      <c r="A2266" s="185"/>
      <c r="B2266" s="186"/>
      <c r="C2266" s="185"/>
      <c r="D2266" s="185"/>
      <c r="E2266" s="185"/>
      <c r="F2266" s="185"/>
      <c r="G2266" s="185"/>
      <c r="H2266" s="185"/>
      <c r="I2266" s="185"/>
      <c r="J2266" s="185"/>
      <c r="K2266" s="185"/>
      <c r="L2266" s="187"/>
      <c r="M2266" s="188"/>
      <c r="N2266" s="188"/>
      <c r="O2266" s="208"/>
      <c r="P2266" s="208"/>
      <c r="Q2266" s="208"/>
      <c r="R2266" s="208"/>
    </row>
    <row r="2267">
      <c r="A2267" s="185"/>
      <c r="B2267" s="186"/>
      <c r="C2267" s="185"/>
      <c r="D2267" s="185"/>
      <c r="E2267" s="185"/>
      <c r="F2267" s="185"/>
      <c r="G2267" s="185"/>
      <c r="H2267" s="185"/>
      <c r="I2267" s="185"/>
      <c r="J2267" s="185"/>
      <c r="K2267" s="185"/>
      <c r="L2267" s="187"/>
      <c r="M2267" s="188"/>
      <c r="N2267" s="188"/>
      <c r="O2267" s="208"/>
      <c r="P2267" s="208"/>
      <c r="Q2267" s="208"/>
      <c r="R2267" s="208"/>
    </row>
    <row r="2268">
      <c r="A2268" s="185"/>
      <c r="B2268" s="186"/>
      <c r="C2268" s="185"/>
      <c r="D2268" s="185"/>
      <c r="E2268" s="185"/>
      <c r="F2268" s="185"/>
      <c r="G2268" s="185"/>
      <c r="H2268" s="185"/>
      <c r="I2268" s="185"/>
      <c r="J2268" s="185"/>
      <c r="K2268" s="185"/>
      <c r="L2268" s="187"/>
      <c r="M2268" s="188"/>
      <c r="N2268" s="188"/>
      <c r="O2268" s="208"/>
      <c r="P2268" s="208"/>
      <c r="Q2268" s="208"/>
      <c r="R2268" s="208"/>
    </row>
    <row r="2269">
      <c r="A2269" s="185"/>
      <c r="B2269" s="186"/>
      <c r="C2269" s="185"/>
      <c r="D2269" s="185"/>
      <c r="E2269" s="185"/>
      <c r="F2269" s="185"/>
      <c r="G2269" s="185"/>
      <c r="H2269" s="185"/>
      <c r="I2269" s="185"/>
      <c r="J2269" s="185"/>
      <c r="K2269" s="185"/>
      <c r="L2269" s="187"/>
      <c r="M2269" s="188"/>
      <c r="N2269" s="188"/>
      <c r="O2269" s="208"/>
      <c r="P2269" s="208"/>
      <c r="Q2269" s="208"/>
      <c r="R2269" s="208"/>
    </row>
    <row r="2270">
      <c r="A2270" s="185"/>
      <c r="B2270" s="186"/>
      <c r="C2270" s="185"/>
      <c r="D2270" s="185"/>
      <c r="E2270" s="185"/>
      <c r="F2270" s="185"/>
      <c r="G2270" s="185"/>
      <c r="H2270" s="185"/>
      <c r="I2270" s="185"/>
      <c r="J2270" s="185"/>
      <c r="K2270" s="185"/>
      <c r="L2270" s="187"/>
      <c r="M2270" s="188"/>
      <c r="N2270" s="188"/>
      <c r="O2270" s="208"/>
      <c r="P2270" s="208"/>
      <c r="Q2270" s="208"/>
      <c r="R2270" s="208"/>
    </row>
    <row r="2271">
      <c r="A2271" s="185"/>
      <c r="B2271" s="186"/>
      <c r="C2271" s="185"/>
      <c r="D2271" s="185"/>
      <c r="E2271" s="185"/>
      <c r="F2271" s="185"/>
      <c r="G2271" s="185"/>
      <c r="H2271" s="185"/>
      <c r="I2271" s="185"/>
      <c r="J2271" s="185"/>
      <c r="K2271" s="185"/>
      <c r="L2271" s="187"/>
      <c r="M2271" s="188"/>
      <c r="N2271" s="188"/>
      <c r="O2271" s="208"/>
      <c r="P2271" s="208"/>
      <c r="Q2271" s="208"/>
      <c r="R2271" s="208"/>
    </row>
    <row r="2272">
      <c r="A2272" s="185"/>
      <c r="B2272" s="186"/>
      <c r="C2272" s="185"/>
      <c r="D2272" s="185"/>
      <c r="E2272" s="185"/>
      <c r="F2272" s="185"/>
      <c r="G2272" s="185"/>
      <c r="H2272" s="185"/>
      <c r="I2272" s="185"/>
      <c r="J2272" s="185"/>
      <c r="K2272" s="185"/>
      <c r="L2272" s="187"/>
      <c r="M2272" s="188"/>
      <c r="N2272" s="188"/>
      <c r="O2272" s="208"/>
      <c r="P2272" s="208"/>
      <c r="Q2272" s="208"/>
      <c r="R2272" s="208"/>
    </row>
    <row r="2273">
      <c r="A2273" s="185"/>
      <c r="B2273" s="186"/>
      <c r="C2273" s="185"/>
      <c r="D2273" s="185"/>
      <c r="E2273" s="185"/>
      <c r="F2273" s="185"/>
      <c r="G2273" s="185"/>
      <c r="H2273" s="185"/>
      <c r="I2273" s="185"/>
      <c r="J2273" s="185"/>
      <c r="K2273" s="185"/>
      <c r="L2273" s="187"/>
      <c r="M2273" s="188"/>
      <c r="N2273" s="188"/>
      <c r="O2273" s="208"/>
      <c r="P2273" s="208"/>
      <c r="Q2273" s="208"/>
      <c r="R2273" s="208"/>
    </row>
    <row r="2274">
      <c r="A2274" s="185"/>
      <c r="B2274" s="186"/>
      <c r="C2274" s="185"/>
      <c r="D2274" s="185"/>
      <c r="E2274" s="185"/>
      <c r="F2274" s="185"/>
      <c r="G2274" s="185"/>
      <c r="H2274" s="185"/>
      <c r="I2274" s="185"/>
      <c r="J2274" s="185"/>
      <c r="K2274" s="185"/>
      <c r="L2274" s="187"/>
      <c r="M2274" s="188"/>
      <c r="N2274" s="188"/>
      <c r="O2274" s="208"/>
      <c r="P2274" s="208"/>
      <c r="Q2274" s="208"/>
      <c r="R2274" s="208"/>
    </row>
    <row r="2275">
      <c r="A2275" s="185"/>
      <c r="B2275" s="186"/>
      <c r="C2275" s="185"/>
      <c r="D2275" s="185"/>
      <c r="E2275" s="185"/>
      <c r="F2275" s="185"/>
      <c r="G2275" s="185"/>
      <c r="H2275" s="185"/>
      <c r="I2275" s="185"/>
      <c r="J2275" s="185"/>
      <c r="K2275" s="185"/>
      <c r="L2275" s="187"/>
      <c r="M2275" s="188"/>
      <c r="N2275" s="188"/>
      <c r="O2275" s="208"/>
      <c r="P2275" s="208"/>
      <c r="Q2275" s="208"/>
      <c r="R2275" s="208"/>
    </row>
    <row r="2276">
      <c r="A2276" s="185"/>
      <c r="B2276" s="186"/>
      <c r="C2276" s="185"/>
      <c r="D2276" s="185"/>
      <c r="E2276" s="185"/>
      <c r="F2276" s="185"/>
      <c r="G2276" s="185"/>
      <c r="H2276" s="185"/>
      <c r="I2276" s="185"/>
      <c r="J2276" s="185"/>
      <c r="K2276" s="185"/>
      <c r="L2276" s="187"/>
      <c r="M2276" s="188"/>
      <c r="N2276" s="188"/>
      <c r="O2276" s="208"/>
      <c r="P2276" s="208"/>
      <c r="Q2276" s="208"/>
      <c r="R2276" s="208"/>
    </row>
    <row r="2277">
      <c r="A2277" s="185"/>
      <c r="B2277" s="186"/>
      <c r="C2277" s="185"/>
      <c r="D2277" s="185"/>
      <c r="E2277" s="185"/>
      <c r="F2277" s="185"/>
      <c r="G2277" s="185"/>
      <c r="H2277" s="185"/>
      <c r="I2277" s="185"/>
      <c r="J2277" s="185"/>
      <c r="K2277" s="185"/>
      <c r="L2277" s="187"/>
      <c r="M2277" s="188"/>
      <c r="N2277" s="188"/>
      <c r="O2277" s="208"/>
      <c r="P2277" s="208"/>
      <c r="Q2277" s="208"/>
      <c r="R2277" s="208"/>
    </row>
    <row r="2278">
      <c r="A2278" s="185"/>
      <c r="B2278" s="186"/>
      <c r="C2278" s="185"/>
      <c r="D2278" s="185"/>
      <c r="E2278" s="185"/>
      <c r="F2278" s="185"/>
      <c r="G2278" s="185"/>
      <c r="H2278" s="185"/>
      <c r="I2278" s="185"/>
      <c r="J2278" s="185"/>
      <c r="K2278" s="185"/>
      <c r="L2278" s="187"/>
      <c r="M2278" s="188"/>
      <c r="N2278" s="188"/>
      <c r="O2278" s="208"/>
      <c r="P2278" s="208"/>
      <c r="Q2278" s="208"/>
      <c r="R2278" s="208"/>
    </row>
    <row r="2279">
      <c r="A2279" s="185"/>
      <c r="B2279" s="186"/>
      <c r="C2279" s="185"/>
      <c r="D2279" s="185"/>
      <c r="E2279" s="185"/>
      <c r="F2279" s="185"/>
      <c r="G2279" s="185"/>
      <c r="H2279" s="185"/>
      <c r="I2279" s="185"/>
      <c r="J2279" s="185"/>
      <c r="K2279" s="185"/>
      <c r="L2279" s="187"/>
      <c r="M2279" s="188"/>
      <c r="N2279" s="188"/>
      <c r="O2279" s="208"/>
      <c r="P2279" s="208"/>
      <c r="Q2279" s="208"/>
      <c r="R2279" s="208"/>
    </row>
    <row r="2280">
      <c r="A2280" s="185"/>
      <c r="B2280" s="186"/>
      <c r="C2280" s="185"/>
      <c r="D2280" s="185"/>
      <c r="E2280" s="185"/>
      <c r="F2280" s="185"/>
      <c r="G2280" s="185"/>
      <c r="H2280" s="185"/>
      <c r="I2280" s="185"/>
      <c r="J2280" s="185"/>
      <c r="K2280" s="185"/>
      <c r="L2280" s="187"/>
      <c r="M2280" s="188"/>
      <c r="N2280" s="188"/>
      <c r="O2280" s="208"/>
      <c r="P2280" s="208"/>
      <c r="Q2280" s="208"/>
      <c r="R2280" s="208"/>
    </row>
    <row r="2281">
      <c r="A2281" s="185"/>
      <c r="B2281" s="186"/>
      <c r="C2281" s="185"/>
      <c r="D2281" s="185"/>
      <c r="E2281" s="185"/>
      <c r="F2281" s="185"/>
      <c r="G2281" s="185"/>
      <c r="H2281" s="185"/>
      <c r="I2281" s="185"/>
      <c r="J2281" s="185"/>
      <c r="K2281" s="185"/>
      <c r="L2281" s="187"/>
      <c r="M2281" s="188"/>
      <c r="N2281" s="188"/>
      <c r="O2281" s="208"/>
      <c r="P2281" s="208"/>
      <c r="Q2281" s="208"/>
      <c r="R2281" s="208"/>
    </row>
    <row r="2282">
      <c r="A2282" s="185"/>
      <c r="B2282" s="186"/>
      <c r="C2282" s="185"/>
      <c r="D2282" s="185"/>
      <c r="E2282" s="185"/>
      <c r="F2282" s="185"/>
      <c r="G2282" s="185"/>
      <c r="H2282" s="185"/>
      <c r="I2282" s="185"/>
      <c r="J2282" s="185"/>
      <c r="K2282" s="185"/>
      <c r="L2282" s="187"/>
      <c r="M2282" s="188"/>
      <c r="N2282" s="188"/>
      <c r="O2282" s="208"/>
      <c r="P2282" s="208"/>
      <c r="Q2282" s="208"/>
      <c r="R2282" s="208"/>
    </row>
    <row r="2283">
      <c r="A2283" s="185"/>
      <c r="B2283" s="186"/>
      <c r="C2283" s="185"/>
      <c r="D2283" s="185"/>
      <c r="E2283" s="185"/>
      <c r="F2283" s="185"/>
      <c r="G2283" s="185"/>
      <c r="H2283" s="185"/>
      <c r="I2283" s="185"/>
      <c r="J2283" s="185"/>
      <c r="K2283" s="185"/>
      <c r="L2283" s="187"/>
      <c r="M2283" s="188"/>
      <c r="N2283" s="188"/>
      <c r="O2283" s="208"/>
      <c r="P2283" s="208"/>
      <c r="Q2283" s="208"/>
      <c r="R2283" s="208"/>
    </row>
    <row r="2284">
      <c r="A2284" s="185"/>
      <c r="B2284" s="186"/>
      <c r="C2284" s="185"/>
      <c r="D2284" s="185"/>
      <c r="E2284" s="185"/>
      <c r="F2284" s="185"/>
      <c r="G2284" s="185"/>
      <c r="H2284" s="185"/>
      <c r="I2284" s="185"/>
      <c r="J2284" s="185"/>
      <c r="K2284" s="185"/>
      <c r="L2284" s="187"/>
      <c r="M2284" s="188"/>
      <c r="N2284" s="188"/>
      <c r="O2284" s="208"/>
      <c r="P2284" s="208"/>
      <c r="Q2284" s="208"/>
      <c r="R2284" s="208"/>
    </row>
    <row r="2285">
      <c r="A2285" s="185"/>
      <c r="B2285" s="186"/>
      <c r="C2285" s="185"/>
      <c r="D2285" s="185"/>
      <c r="E2285" s="185"/>
      <c r="F2285" s="185"/>
      <c r="G2285" s="185"/>
      <c r="H2285" s="185"/>
      <c r="I2285" s="185"/>
      <c r="J2285" s="185"/>
      <c r="K2285" s="185"/>
      <c r="L2285" s="187"/>
      <c r="M2285" s="188"/>
      <c r="N2285" s="188"/>
      <c r="O2285" s="208"/>
      <c r="P2285" s="208"/>
      <c r="Q2285" s="208"/>
      <c r="R2285" s="208"/>
    </row>
    <row r="2286">
      <c r="A2286" s="185"/>
      <c r="B2286" s="186"/>
      <c r="C2286" s="185"/>
      <c r="D2286" s="185"/>
      <c r="E2286" s="185"/>
      <c r="F2286" s="185"/>
      <c r="G2286" s="185"/>
      <c r="H2286" s="185"/>
      <c r="I2286" s="185"/>
      <c r="J2286" s="185"/>
      <c r="K2286" s="185"/>
      <c r="L2286" s="187"/>
      <c r="M2286" s="188"/>
      <c r="N2286" s="188"/>
      <c r="O2286" s="208"/>
      <c r="P2286" s="208"/>
      <c r="Q2286" s="208"/>
      <c r="R2286" s="208"/>
    </row>
    <row r="2287">
      <c r="A2287" s="185"/>
      <c r="B2287" s="186"/>
      <c r="C2287" s="185"/>
      <c r="D2287" s="185"/>
      <c r="E2287" s="185"/>
      <c r="F2287" s="185"/>
      <c r="G2287" s="185"/>
      <c r="H2287" s="185"/>
      <c r="I2287" s="185"/>
      <c r="J2287" s="185"/>
      <c r="K2287" s="185"/>
      <c r="L2287" s="187"/>
      <c r="M2287" s="188"/>
      <c r="N2287" s="188"/>
      <c r="O2287" s="208"/>
      <c r="P2287" s="208"/>
      <c r="Q2287" s="208"/>
      <c r="R2287" s="208"/>
    </row>
    <row r="2288">
      <c r="A2288" s="185"/>
      <c r="B2288" s="186"/>
      <c r="C2288" s="185"/>
      <c r="D2288" s="185"/>
      <c r="E2288" s="185"/>
      <c r="F2288" s="185"/>
      <c r="G2288" s="185"/>
      <c r="H2288" s="185"/>
      <c r="I2288" s="185"/>
      <c r="J2288" s="185"/>
      <c r="K2288" s="185"/>
      <c r="L2288" s="187"/>
      <c r="M2288" s="188"/>
      <c r="N2288" s="188"/>
      <c r="O2288" s="208"/>
      <c r="P2288" s="208"/>
      <c r="Q2288" s="208"/>
      <c r="R2288" s="208"/>
    </row>
    <row r="2289">
      <c r="A2289" s="185"/>
      <c r="B2289" s="186"/>
      <c r="C2289" s="185"/>
      <c r="D2289" s="185"/>
      <c r="E2289" s="185"/>
      <c r="F2289" s="185"/>
      <c r="G2289" s="185"/>
      <c r="H2289" s="185"/>
      <c r="I2289" s="185"/>
      <c r="J2289" s="185"/>
      <c r="K2289" s="185"/>
      <c r="L2289" s="187"/>
      <c r="M2289" s="188"/>
      <c r="N2289" s="188"/>
      <c r="O2289" s="208"/>
      <c r="P2289" s="208"/>
      <c r="Q2289" s="208"/>
      <c r="R2289" s="208"/>
    </row>
    <row r="2290">
      <c r="A2290" s="185"/>
      <c r="B2290" s="186"/>
      <c r="C2290" s="185"/>
      <c r="D2290" s="185"/>
      <c r="E2290" s="185"/>
      <c r="F2290" s="185"/>
      <c r="G2290" s="185"/>
      <c r="H2290" s="185"/>
      <c r="I2290" s="185"/>
      <c r="J2290" s="185"/>
      <c r="K2290" s="185"/>
      <c r="L2290" s="187"/>
      <c r="M2290" s="188"/>
      <c r="N2290" s="188"/>
      <c r="O2290" s="208"/>
      <c r="P2290" s="208"/>
      <c r="Q2290" s="208"/>
      <c r="R2290" s="208"/>
    </row>
    <row r="2291">
      <c r="A2291" s="185"/>
      <c r="B2291" s="186"/>
      <c r="C2291" s="185"/>
      <c r="D2291" s="185"/>
      <c r="E2291" s="185"/>
      <c r="F2291" s="185"/>
      <c r="G2291" s="185"/>
      <c r="H2291" s="185"/>
      <c r="I2291" s="185"/>
      <c r="J2291" s="185"/>
      <c r="K2291" s="185"/>
      <c r="L2291" s="187"/>
      <c r="M2291" s="188"/>
      <c r="N2291" s="188"/>
      <c r="O2291" s="208"/>
      <c r="P2291" s="208"/>
      <c r="Q2291" s="208"/>
      <c r="R2291" s="208"/>
    </row>
    <row r="2292">
      <c r="A2292" s="185"/>
      <c r="B2292" s="186"/>
      <c r="C2292" s="185"/>
      <c r="D2292" s="185"/>
      <c r="E2292" s="185"/>
      <c r="F2292" s="185"/>
      <c r="G2292" s="185"/>
      <c r="H2292" s="185"/>
      <c r="I2292" s="185"/>
      <c r="J2292" s="185"/>
      <c r="K2292" s="185"/>
      <c r="L2292" s="187"/>
      <c r="M2292" s="188"/>
      <c r="N2292" s="188"/>
      <c r="O2292" s="208"/>
      <c r="P2292" s="208"/>
      <c r="Q2292" s="208"/>
      <c r="R2292" s="208"/>
    </row>
    <row r="2293">
      <c r="A2293" s="185"/>
      <c r="B2293" s="186"/>
      <c r="C2293" s="185"/>
      <c r="D2293" s="185"/>
      <c r="E2293" s="185"/>
      <c r="F2293" s="185"/>
      <c r="G2293" s="185"/>
      <c r="H2293" s="185"/>
      <c r="I2293" s="185"/>
      <c r="J2293" s="185"/>
      <c r="K2293" s="185"/>
      <c r="L2293" s="187"/>
      <c r="M2293" s="188"/>
      <c r="N2293" s="188"/>
      <c r="O2293" s="208"/>
      <c r="P2293" s="208"/>
      <c r="Q2293" s="208"/>
      <c r="R2293" s="208"/>
    </row>
    <row r="2294">
      <c r="A2294" s="185"/>
      <c r="B2294" s="186"/>
      <c r="C2294" s="185"/>
      <c r="D2294" s="185"/>
      <c r="E2294" s="185"/>
      <c r="F2294" s="185"/>
      <c r="G2294" s="185"/>
      <c r="H2294" s="185"/>
      <c r="I2294" s="185"/>
      <c r="J2294" s="185"/>
      <c r="K2294" s="185"/>
      <c r="L2294" s="187"/>
      <c r="M2294" s="188"/>
      <c r="N2294" s="188"/>
      <c r="O2294" s="208"/>
      <c r="P2294" s="208"/>
      <c r="Q2294" s="208"/>
      <c r="R2294" s="208"/>
    </row>
    <row r="2295">
      <c r="A2295" s="185"/>
      <c r="B2295" s="186"/>
      <c r="C2295" s="185"/>
      <c r="D2295" s="185"/>
      <c r="E2295" s="185"/>
      <c r="F2295" s="185"/>
      <c r="G2295" s="185"/>
      <c r="H2295" s="185"/>
      <c r="I2295" s="185"/>
      <c r="J2295" s="185"/>
      <c r="K2295" s="185"/>
      <c r="L2295" s="187"/>
      <c r="M2295" s="188"/>
      <c r="N2295" s="188"/>
      <c r="O2295" s="208"/>
      <c r="P2295" s="208"/>
      <c r="Q2295" s="208"/>
      <c r="R2295" s="208"/>
    </row>
    <row r="2296">
      <c r="A2296" s="185"/>
      <c r="B2296" s="186"/>
      <c r="C2296" s="185"/>
      <c r="D2296" s="185"/>
      <c r="E2296" s="185"/>
      <c r="F2296" s="185"/>
      <c r="G2296" s="185"/>
      <c r="H2296" s="185"/>
      <c r="I2296" s="185"/>
      <c r="J2296" s="185"/>
      <c r="K2296" s="185"/>
      <c r="L2296" s="187"/>
      <c r="M2296" s="188"/>
      <c r="N2296" s="188"/>
      <c r="O2296" s="208"/>
      <c r="P2296" s="208"/>
      <c r="Q2296" s="208"/>
      <c r="R2296" s="208"/>
    </row>
    <row r="2297">
      <c r="A2297" s="185"/>
      <c r="B2297" s="186"/>
      <c r="C2297" s="185"/>
      <c r="D2297" s="185"/>
      <c r="E2297" s="185"/>
      <c r="F2297" s="185"/>
      <c r="G2297" s="185"/>
      <c r="H2297" s="185"/>
      <c r="I2297" s="185"/>
      <c r="J2297" s="185"/>
      <c r="K2297" s="185"/>
      <c r="L2297" s="187"/>
      <c r="M2297" s="188"/>
      <c r="N2297" s="188"/>
      <c r="O2297" s="208"/>
      <c r="P2297" s="208"/>
      <c r="Q2297" s="208"/>
      <c r="R2297" s="208"/>
    </row>
    <row r="2298">
      <c r="A2298" s="185"/>
      <c r="B2298" s="186"/>
      <c r="C2298" s="185"/>
      <c r="D2298" s="185"/>
      <c r="E2298" s="185"/>
      <c r="F2298" s="185"/>
      <c r="G2298" s="185"/>
      <c r="H2298" s="185"/>
      <c r="I2298" s="185"/>
      <c r="J2298" s="185"/>
      <c r="K2298" s="185"/>
      <c r="L2298" s="187"/>
      <c r="M2298" s="188"/>
      <c r="N2298" s="188"/>
      <c r="O2298" s="208"/>
      <c r="P2298" s="208"/>
      <c r="Q2298" s="208"/>
      <c r="R2298" s="208"/>
    </row>
    <row r="2299">
      <c r="A2299" s="185"/>
      <c r="B2299" s="186"/>
      <c r="C2299" s="185"/>
      <c r="D2299" s="185"/>
      <c r="E2299" s="185"/>
      <c r="F2299" s="185"/>
      <c r="G2299" s="185"/>
      <c r="H2299" s="185"/>
      <c r="I2299" s="185"/>
      <c r="J2299" s="185"/>
      <c r="K2299" s="185"/>
      <c r="L2299" s="187"/>
      <c r="M2299" s="188"/>
      <c r="N2299" s="188"/>
      <c r="O2299" s="208"/>
      <c r="P2299" s="208"/>
      <c r="Q2299" s="208"/>
      <c r="R2299" s="208"/>
    </row>
    <row r="2300">
      <c r="A2300" s="185"/>
      <c r="B2300" s="186"/>
      <c r="C2300" s="185"/>
      <c r="D2300" s="185"/>
      <c r="E2300" s="185"/>
      <c r="F2300" s="185"/>
      <c r="G2300" s="185"/>
      <c r="H2300" s="185"/>
      <c r="I2300" s="185"/>
      <c r="J2300" s="185"/>
      <c r="K2300" s="185"/>
      <c r="L2300" s="187"/>
      <c r="M2300" s="188"/>
      <c r="N2300" s="188"/>
      <c r="O2300" s="208"/>
      <c r="P2300" s="208"/>
      <c r="Q2300" s="208"/>
      <c r="R2300" s="208"/>
    </row>
    <row r="2301">
      <c r="A2301" s="185"/>
      <c r="B2301" s="186"/>
      <c r="C2301" s="185"/>
      <c r="D2301" s="185"/>
      <c r="E2301" s="185"/>
      <c r="F2301" s="185"/>
      <c r="G2301" s="185"/>
      <c r="H2301" s="185"/>
      <c r="I2301" s="185"/>
      <c r="J2301" s="185"/>
      <c r="K2301" s="185"/>
      <c r="L2301" s="187"/>
      <c r="M2301" s="188"/>
      <c r="N2301" s="188"/>
      <c r="O2301" s="208"/>
      <c r="P2301" s="208"/>
      <c r="Q2301" s="208"/>
      <c r="R2301" s="208"/>
    </row>
    <row r="2302">
      <c r="A2302" s="185"/>
      <c r="B2302" s="186"/>
      <c r="C2302" s="185"/>
      <c r="D2302" s="185"/>
      <c r="E2302" s="185"/>
      <c r="F2302" s="185"/>
      <c r="G2302" s="185"/>
      <c r="H2302" s="185"/>
      <c r="I2302" s="185"/>
      <c r="J2302" s="185"/>
      <c r="K2302" s="185"/>
      <c r="L2302" s="187"/>
      <c r="M2302" s="188"/>
      <c r="N2302" s="188"/>
      <c r="O2302" s="208"/>
      <c r="P2302" s="208"/>
      <c r="Q2302" s="208"/>
      <c r="R2302" s="208"/>
    </row>
    <row r="2303">
      <c r="A2303" s="185"/>
      <c r="B2303" s="186"/>
      <c r="C2303" s="185"/>
      <c r="D2303" s="185"/>
      <c r="E2303" s="185"/>
      <c r="F2303" s="185"/>
      <c r="G2303" s="185"/>
      <c r="H2303" s="185"/>
      <c r="I2303" s="185"/>
      <c r="J2303" s="185"/>
      <c r="K2303" s="185"/>
      <c r="L2303" s="187"/>
      <c r="M2303" s="188"/>
      <c r="N2303" s="188"/>
      <c r="O2303" s="208"/>
      <c r="P2303" s="208"/>
      <c r="Q2303" s="208"/>
      <c r="R2303" s="208"/>
    </row>
    <row r="2304">
      <c r="A2304" s="185"/>
      <c r="B2304" s="186"/>
      <c r="C2304" s="185"/>
      <c r="D2304" s="185"/>
      <c r="E2304" s="185"/>
      <c r="F2304" s="185"/>
      <c r="G2304" s="185"/>
      <c r="H2304" s="185"/>
      <c r="I2304" s="185"/>
      <c r="J2304" s="185"/>
      <c r="K2304" s="185"/>
      <c r="L2304" s="187"/>
      <c r="M2304" s="188"/>
      <c r="N2304" s="188"/>
      <c r="O2304" s="208"/>
      <c r="P2304" s="208"/>
      <c r="Q2304" s="208"/>
      <c r="R2304" s="208"/>
    </row>
    <row r="2305">
      <c r="A2305" s="185"/>
      <c r="B2305" s="186"/>
      <c r="C2305" s="185"/>
      <c r="D2305" s="185"/>
      <c r="E2305" s="185"/>
      <c r="F2305" s="185"/>
      <c r="G2305" s="185"/>
      <c r="H2305" s="185"/>
      <c r="I2305" s="185"/>
      <c r="J2305" s="185"/>
      <c r="K2305" s="185"/>
      <c r="L2305" s="187"/>
      <c r="M2305" s="188"/>
      <c r="N2305" s="188"/>
      <c r="O2305" s="208"/>
      <c r="P2305" s="208"/>
      <c r="Q2305" s="208"/>
      <c r="R2305" s="208"/>
    </row>
    <row r="2306">
      <c r="A2306" s="185"/>
      <c r="B2306" s="186"/>
      <c r="C2306" s="185"/>
      <c r="D2306" s="185"/>
      <c r="E2306" s="185"/>
      <c r="F2306" s="185"/>
      <c r="G2306" s="185"/>
      <c r="H2306" s="185"/>
      <c r="I2306" s="185"/>
      <c r="J2306" s="185"/>
      <c r="K2306" s="185"/>
      <c r="L2306" s="187"/>
      <c r="M2306" s="188"/>
      <c r="N2306" s="188"/>
      <c r="O2306" s="208"/>
      <c r="P2306" s="208"/>
      <c r="Q2306" s="208"/>
      <c r="R2306" s="208"/>
    </row>
    <row r="2307">
      <c r="A2307" s="185"/>
      <c r="B2307" s="186"/>
      <c r="C2307" s="185"/>
      <c r="D2307" s="185"/>
      <c r="E2307" s="185"/>
      <c r="F2307" s="185"/>
      <c r="G2307" s="185"/>
      <c r="H2307" s="185"/>
      <c r="I2307" s="185"/>
      <c r="J2307" s="185"/>
      <c r="K2307" s="185"/>
      <c r="L2307" s="187"/>
      <c r="M2307" s="188"/>
      <c r="N2307" s="188"/>
      <c r="O2307" s="208"/>
      <c r="P2307" s="208"/>
      <c r="Q2307" s="208"/>
      <c r="R2307" s="208"/>
    </row>
    <row r="2308">
      <c r="A2308" s="185"/>
      <c r="B2308" s="186"/>
      <c r="C2308" s="185"/>
      <c r="D2308" s="185"/>
      <c r="E2308" s="185"/>
      <c r="F2308" s="185"/>
      <c r="G2308" s="185"/>
      <c r="H2308" s="185"/>
      <c r="I2308" s="185"/>
      <c r="J2308" s="185"/>
      <c r="K2308" s="185"/>
      <c r="L2308" s="187"/>
      <c r="M2308" s="188"/>
      <c r="N2308" s="188"/>
      <c r="O2308" s="208"/>
      <c r="P2308" s="208"/>
      <c r="Q2308" s="208"/>
      <c r="R2308" s="208"/>
    </row>
    <row r="2309">
      <c r="A2309" s="185"/>
      <c r="B2309" s="186"/>
      <c r="C2309" s="185"/>
      <c r="D2309" s="185"/>
      <c r="E2309" s="185"/>
      <c r="F2309" s="185"/>
      <c r="G2309" s="185"/>
      <c r="H2309" s="185"/>
      <c r="I2309" s="185"/>
      <c r="J2309" s="185"/>
      <c r="K2309" s="185"/>
      <c r="L2309" s="187"/>
      <c r="M2309" s="188"/>
      <c r="N2309" s="188"/>
      <c r="O2309" s="208"/>
      <c r="P2309" s="208"/>
      <c r="Q2309" s="208"/>
      <c r="R2309" s="208"/>
    </row>
    <row r="2310">
      <c r="A2310" s="185"/>
      <c r="B2310" s="186"/>
      <c r="C2310" s="185"/>
      <c r="D2310" s="185"/>
      <c r="E2310" s="185"/>
      <c r="F2310" s="185"/>
      <c r="G2310" s="185"/>
      <c r="H2310" s="185"/>
      <c r="I2310" s="185"/>
      <c r="J2310" s="185"/>
      <c r="K2310" s="185"/>
      <c r="L2310" s="187"/>
      <c r="M2310" s="188"/>
      <c r="N2310" s="188"/>
      <c r="O2310" s="208"/>
      <c r="P2310" s="208"/>
      <c r="Q2310" s="208"/>
      <c r="R2310" s="208"/>
    </row>
    <row r="2311">
      <c r="A2311" s="185"/>
      <c r="B2311" s="186"/>
      <c r="C2311" s="185"/>
      <c r="D2311" s="185"/>
      <c r="E2311" s="185"/>
      <c r="F2311" s="185"/>
      <c r="G2311" s="185"/>
      <c r="H2311" s="185"/>
      <c r="I2311" s="185"/>
      <c r="J2311" s="185"/>
      <c r="K2311" s="185"/>
      <c r="L2311" s="187"/>
      <c r="M2311" s="188"/>
      <c r="N2311" s="188"/>
      <c r="O2311" s="208"/>
      <c r="P2311" s="208"/>
      <c r="Q2311" s="208"/>
      <c r="R2311" s="208"/>
    </row>
    <row r="2312">
      <c r="A2312" s="185"/>
      <c r="B2312" s="186"/>
      <c r="C2312" s="185"/>
      <c r="D2312" s="185"/>
      <c r="E2312" s="185"/>
      <c r="F2312" s="185"/>
      <c r="G2312" s="185"/>
      <c r="H2312" s="185"/>
      <c r="I2312" s="185"/>
      <c r="J2312" s="185"/>
      <c r="K2312" s="185"/>
      <c r="L2312" s="187"/>
      <c r="M2312" s="188"/>
      <c r="N2312" s="188"/>
      <c r="O2312" s="208"/>
      <c r="P2312" s="208"/>
      <c r="Q2312" s="208"/>
      <c r="R2312" s="208"/>
    </row>
    <row r="2313">
      <c r="A2313" s="185"/>
      <c r="B2313" s="186"/>
      <c r="C2313" s="185"/>
      <c r="D2313" s="185"/>
      <c r="E2313" s="185"/>
      <c r="F2313" s="185"/>
      <c r="G2313" s="185"/>
      <c r="H2313" s="185"/>
      <c r="I2313" s="185"/>
      <c r="J2313" s="185"/>
      <c r="K2313" s="185"/>
      <c r="L2313" s="187"/>
      <c r="M2313" s="188"/>
      <c r="N2313" s="188"/>
      <c r="O2313" s="208"/>
      <c r="P2313" s="208"/>
      <c r="Q2313" s="208"/>
      <c r="R2313" s="208"/>
    </row>
    <row r="2314">
      <c r="A2314" s="185"/>
      <c r="B2314" s="186"/>
      <c r="C2314" s="185"/>
      <c r="D2314" s="185"/>
      <c r="E2314" s="185"/>
      <c r="F2314" s="185"/>
      <c r="G2314" s="185"/>
      <c r="H2314" s="185"/>
      <c r="I2314" s="185"/>
      <c r="J2314" s="185"/>
      <c r="K2314" s="185"/>
      <c r="L2314" s="187"/>
      <c r="M2314" s="188"/>
      <c r="N2314" s="188"/>
      <c r="O2314" s="208"/>
      <c r="P2314" s="208"/>
      <c r="Q2314" s="208"/>
      <c r="R2314" s="208"/>
    </row>
    <row r="2315">
      <c r="A2315" s="185"/>
      <c r="B2315" s="186"/>
      <c r="C2315" s="185"/>
      <c r="D2315" s="185"/>
      <c r="E2315" s="185"/>
      <c r="F2315" s="185"/>
      <c r="G2315" s="185"/>
      <c r="H2315" s="185"/>
      <c r="I2315" s="185"/>
      <c r="J2315" s="185"/>
      <c r="K2315" s="185"/>
      <c r="L2315" s="187"/>
      <c r="M2315" s="188"/>
      <c r="N2315" s="188"/>
      <c r="O2315" s="208"/>
      <c r="P2315" s="208"/>
      <c r="Q2315" s="208"/>
      <c r="R2315" s="208"/>
    </row>
    <row r="2316">
      <c r="A2316" s="185"/>
      <c r="B2316" s="186"/>
      <c r="C2316" s="185"/>
      <c r="D2316" s="185"/>
      <c r="E2316" s="185"/>
      <c r="F2316" s="185"/>
      <c r="G2316" s="185"/>
      <c r="H2316" s="185"/>
      <c r="I2316" s="185"/>
      <c r="J2316" s="185"/>
      <c r="K2316" s="185"/>
      <c r="L2316" s="187"/>
      <c r="M2316" s="188"/>
      <c r="N2316" s="188"/>
      <c r="O2316" s="208"/>
      <c r="P2316" s="208"/>
      <c r="Q2316" s="208"/>
      <c r="R2316" s="208"/>
    </row>
    <row r="2317">
      <c r="A2317" s="185"/>
      <c r="B2317" s="186"/>
      <c r="C2317" s="185"/>
      <c r="D2317" s="185"/>
      <c r="E2317" s="185"/>
      <c r="F2317" s="185"/>
      <c r="G2317" s="185"/>
      <c r="H2317" s="185"/>
      <c r="I2317" s="185"/>
      <c r="J2317" s="185"/>
      <c r="K2317" s="185"/>
      <c r="L2317" s="187"/>
      <c r="M2317" s="188"/>
      <c r="N2317" s="188"/>
      <c r="O2317" s="208"/>
      <c r="P2317" s="208"/>
      <c r="Q2317" s="208"/>
      <c r="R2317" s="208"/>
    </row>
    <row r="2318">
      <c r="A2318" s="185"/>
      <c r="B2318" s="186"/>
      <c r="C2318" s="185"/>
      <c r="D2318" s="185"/>
      <c r="E2318" s="185"/>
      <c r="F2318" s="185"/>
      <c r="G2318" s="185"/>
      <c r="H2318" s="185"/>
      <c r="I2318" s="185"/>
      <c r="J2318" s="185"/>
      <c r="K2318" s="185"/>
      <c r="L2318" s="187"/>
      <c r="M2318" s="188"/>
      <c r="N2318" s="188"/>
      <c r="O2318" s="208"/>
      <c r="P2318" s="208"/>
      <c r="Q2318" s="208"/>
      <c r="R2318" s="208"/>
    </row>
    <row r="2319">
      <c r="A2319" s="185"/>
      <c r="B2319" s="186"/>
      <c r="C2319" s="185"/>
      <c r="D2319" s="185"/>
      <c r="E2319" s="185"/>
      <c r="F2319" s="185"/>
      <c r="G2319" s="185"/>
      <c r="H2319" s="185"/>
      <c r="I2319" s="185"/>
      <c r="J2319" s="185"/>
      <c r="K2319" s="185"/>
      <c r="L2319" s="187"/>
      <c r="M2319" s="188"/>
      <c r="N2319" s="188"/>
      <c r="O2319" s="208"/>
      <c r="P2319" s="208"/>
      <c r="Q2319" s="208"/>
      <c r="R2319" s="208"/>
    </row>
    <row r="2320">
      <c r="A2320" s="185"/>
      <c r="B2320" s="186"/>
      <c r="C2320" s="185"/>
      <c r="D2320" s="185"/>
      <c r="E2320" s="185"/>
      <c r="F2320" s="185"/>
      <c r="G2320" s="185"/>
      <c r="H2320" s="185"/>
      <c r="I2320" s="185"/>
      <c r="J2320" s="185"/>
      <c r="K2320" s="185"/>
      <c r="L2320" s="187"/>
      <c r="M2320" s="188"/>
      <c r="N2320" s="188"/>
      <c r="O2320" s="208"/>
      <c r="P2320" s="208"/>
      <c r="Q2320" s="208"/>
      <c r="R2320" s="208"/>
    </row>
    <row r="2321">
      <c r="A2321" s="185"/>
      <c r="B2321" s="186"/>
      <c r="C2321" s="185"/>
      <c r="D2321" s="185"/>
      <c r="E2321" s="185"/>
      <c r="F2321" s="185"/>
      <c r="G2321" s="185"/>
      <c r="H2321" s="185"/>
      <c r="I2321" s="185"/>
      <c r="J2321" s="185"/>
      <c r="K2321" s="185"/>
      <c r="L2321" s="187"/>
      <c r="M2321" s="188"/>
      <c r="N2321" s="188"/>
      <c r="O2321" s="208"/>
      <c r="P2321" s="208"/>
      <c r="Q2321" s="208"/>
      <c r="R2321" s="208"/>
    </row>
    <row r="2322">
      <c r="A2322" s="185"/>
      <c r="B2322" s="186"/>
      <c r="C2322" s="185"/>
      <c r="D2322" s="185"/>
      <c r="E2322" s="185"/>
      <c r="F2322" s="185"/>
      <c r="G2322" s="185"/>
      <c r="H2322" s="185"/>
      <c r="I2322" s="185"/>
      <c r="J2322" s="185"/>
      <c r="K2322" s="185"/>
      <c r="L2322" s="187"/>
      <c r="M2322" s="188"/>
      <c r="N2322" s="188"/>
      <c r="O2322" s="208"/>
      <c r="P2322" s="208"/>
      <c r="Q2322" s="208"/>
      <c r="R2322" s="208"/>
    </row>
    <row r="2323">
      <c r="A2323" s="185"/>
      <c r="B2323" s="186"/>
      <c r="C2323" s="185"/>
      <c r="D2323" s="185"/>
      <c r="E2323" s="185"/>
      <c r="F2323" s="185"/>
      <c r="G2323" s="185"/>
      <c r="H2323" s="185"/>
      <c r="I2323" s="185"/>
      <c r="J2323" s="185"/>
      <c r="K2323" s="185"/>
      <c r="L2323" s="187"/>
      <c r="M2323" s="188"/>
      <c r="N2323" s="188"/>
      <c r="O2323" s="208"/>
      <c r="P2323" s="208"/>
      <c r="Q2323" s="208"/>
      <c r="R2323" s="208"/>
    </row>
    <row r="2324">
      <c r="A2324" s="185"/>
      <c r="B2324" s="186"/>
      <c r="C2324" s="185"/>
      <c r="D2324" s="185"/>
      <c r="E2324" s="185"/>
      <c r="F2324" s="185"/>
      <c r="G2324" s="185"/>
      <c r="H2324" s="185"/>
      <c r="I2324" s="185"/>
      <c r="J2324" s="185"/>
      <c r="K2324" s="185"/>
      <c r="L2324" s="187"/>
      <c r="M2324" s="188"/>
      <c r="N2324" s="188"/>
      <c r="O2324" s="208"/>
      <c r="P2324" s="208"/>
      <c r="Q2324" s="208"/>
      <c r="R2324" s="208"/>
    </row>
    <row r="2325">
      <c r="A2325" s="185"/>
      <c r="B2325" s="186"/>
      <c r="C2325" s="185"/>
      <c r="D2325" s="185"/>
      <c r="E2325" s="185"/>
      <c r="F2325" s="185"/>
      <c r="G2325" s="185"/>
      <c r="H2325" s="185"/>
      <c r="I2325" s="185"/>
      <c r="J2325" s="185"/>
      <c r="K2325" s="185"/>
      <c r="L2325" s="187"/>
      <c r="M2325" s="188"/>
      <c r="N2325" s="188"/>
      <c r="O2325" s="208"/>
      <c r="P2325" s="208"/>
      <c r="Q2325" s="208"/>
      <c r="R2325" s="208"/>
    </row>
    <row r="2326">
      <c r="A2326" s="185"/>
      <c r="B2326" s="186"/>
      <c r="C2326" s="185"/>
      <c r="D2326" s="185"/>
      <c r="E2326" s="185"/>
      <c r="F2326" s="185"/>
      <c r="G2326" s="185"/>
      <c r="H2326" s="185"/>
      <c r="I2326" s="185"/>
      <c r="J2326" s="185"/>
      <c r="K2326" s="185"/>
      <c r="L2326" s="187"/>
      <c r="M2326" s="188"/>
      <c r="N2326" s="188"/>
      <c r="O2326" s="208"/>
      <c r="P2326" s="208"/>
      <c r="Q2326" s="208"/>
      <c r="R2326" s="208"/>
    </row>
    <row r="2327">
      <c r="A2327" s="185"/>
      <c r="B2327" s="186"/>
      <c r="C2327" s="185"/>
      <c r="D2327" s="185"/>
      <c r="E2327" s="185"/>
      <c r="F2327" s="185"/>
      <c r="G2327" s="185"/>
      <c r="H2327" s="185"/>
      <c r="I2327" s="185"/>
      <c r="J2327" s="185"/>
      <c r="K2327" s="185"/>
      <c r="L2327" s="187"/>
      <c r="M2327" s="188"/>
      <c r="N2327" s="188"/>
      <c r="O2327" s="208"/>
      <c r="P2327" s="208"/>
      <c r="Q2327" s="208"/>
      <c r="R2327" s="208"/>
    </row>
    <row r="2328">
      <c r="A2328" s="185"/>
      <c r="B2328" s="186"/>
      <c r="C2328" s="185"/>
      <c r="D2328" s="185"/>
      <c r="E2328" s="185"/>
      <c r="F2328" s="185"/>
      <c r="G2328" s="185"/>
      <c r="H2328" s="185"/>
      <c r="I2328" s="185"/>
      <c r="J2328" s="185"/>
      <c r="K2328" s="185"/>
      <c r="L2328" s="187"/>
      <c r="M2328" s="188"/>
      <c r="N2328" s="188"/>
      <c r="O2328" s="208"/>
      <c r="P2328" s="208"/>
      <c r="Q2328" s="208"/>
      <c r="R2328" s="208"/>
    </row>
    <row r="2329">
      <c r="A2329" s="185"/>
      <c r="B2329" s="186"/>
      <c r="C2329" s="185"/>
      <c r="D2329" s="185"/>
      <c r="E2329" s="185"/>
      <c r="F2329" s="185"/>
      <c r="G2329" s="185"/>
      <c r="H2329" s="185"/>
      <c r="I2329" s="185"/>
      <c r="J2329" s="185"/>
      <c r="K2329" s="185"/>
      <c r="L2329" s="187"/>
      <c r="M2329" s="188"/>
      <c r="N2329" s="188"/>
      <c r="O2329" s="208"/>
      <c r="P2329" s="208"/>
      <c r="Q2329" s="208"/>
      <c r="R2329" s="208"/>
    </row>
    <row r="2330">
      <c r="A2330" s="185"/>
      <c r="B2330" s="186"/>
      <c r="C2330" s="185"/>
      <c r="D2330" s="185"/>
      <c r="E2330" s="185"/>
      <c r="F2330" s="185"/>
      <c r="G2330" s="185"/>
      <c r="H2330" s="185"/>
      <c r="I2330" s="185"/>
      <c r="J2330" s="185"/>
      <c r="K2330" s="185"/>
      <c r="L2330" s="187"/>
      <c r="M2330" s="188"/>
      <c r="N2330" s="188"/>
      <c r="O2330" s="208"/>
      <c r="P2330" s="208"/>
      <c r="Q2330" s="208"/>
      <c r="R2330" s="208"/>
    </row>
    <row r="2331">
      <c r="A2331" s="185"/>
      <c r="B2331" s="186"/>
      <c r="C2331" s="185"/>
      <c r="D2331" s="185"/>
      <c r="E2331" s="185"/>
      <c r="F2331" s="185"/>
      <c r="G2331" s="185"/>
      <c r="H2331" s="185"/>
      <c r="I2331" s="185"/>
      <c r="J2331" s="185"/>
      <c r="K2331" s="185"/>
      <c r="L2331" s="187"/>
      <c r="M2331" s="188"/>
      <c r="N2331" s="188"/>
      <c r="O2331" s="208"/>
      <c r="P2331" s="208"/>
      <c r="Q2331" s="208"/>
      <c r="R2331" s="208"/>
    </row>
    <row r="2332">
      <c r="A2332" s="185"/>
      <c r="B2332" s="186"/>
      <c r="C2332" s="185"/>
      <c r="D2332" s="185"/>
      <c r="E2332" s="185"/>
      <c r="F2332" s="185"/>
      <c r="G2332" s="185"/>
      <c r="H2332" s="185"/>
      <c r="I2332" s="185"/>
      <c r="J2332" s="185"/>
      <c r="K2332" s="185"/>
      <c r="L2332" s="187"/>
      <c r="M2332" s="188"/>
      <c r="N2332" s="188"/>
      <c r="O2332" s="208"/>
      <c r="P2332" s="208"/>
      <c r="Q2332" s="208"/>
      <c r="R2332" s="208"/>
    </row>
    <row r="2333">
      <c r="A2333" s="185"/>
      <c r="B2333" s="186"/>
      <c r="C2333" s="185"/>
      <c r="D2333" s="185"/>
      <c r="E2333" s="185"/>
      <c r="F2333" s="185"/>
      <c r="G2333" s="185"/>
      <c r="H2333" s="185"/>
      <c r="I2333" s="185"/>
      <c r="J2333" s="185"/>
      <c r="K2333" s="185"/>
      <c r="L2333" s="187"/>
      <c r="M2333" s="188"/>
      <c r="N2333" s="188"/>
      <c r="O2333" s="208"/>
      <c r="P2333" s="208"/>
      <c r="Q2333" s="208"/>
      <c r="R2333" s="208"/>
    </row>
    <row r="2334">
      <c r="A2334" s="185"/>
      <c r="B2334" s="186"/>
      <c r="C2334" s="185"/>
      <c r="D2334" s="185"/>
      <c r="E2334" s="185"/>
      <c r="F2334" s="185"/>
      <c r="G2334" s="185"/>
      <c r="H2334" s="185"/>
      <c r="I2334" s="185"/>
      <c r="J2334" s="185"/>
      <c r="K2334" s="185"/>
      <c r="L2334" s="187"/>
      <c r="M2334" s="188"/>
      <c r="N2334" s="188"/>
      <c r="O2334" s="208"/>
      <c r="P2334" s="208"/>
      <c r="Q2334" s="208"/>
      <c r="R2334" s="208"/>
    </row>
    <row r="2335">
      <c r="A2335" s="185"/>
      <c r="B2335" s="186"/>
      <c r="C2335" s="185"/>
      <c r="D2335" s="185"/>
      <c r="E2335" s="185"/>
      <c r="F2335" s="185"/>
      <c r="G2335" s="185"/>
      <c r="H2335" s="185"/>
      <c r="I2335" s="185"/>
      <c r="J2335" s="185"/>
      <c r="K2335" s="185"/>
      <c r="L2335" s="187"/>
      <c r="M2335" s="188"/>
      <c r="N2335" s="188"/>
      <c r="O2335" s="208"/>
      <c r="P2335" s="208"/>
      <c r="Q2335" s="208"/>
      <c r="R2335" s="208"/>
    </row>
    <row r="2336">
      <c r="A2336" s="185"/>
      <c r="B2336" s="186"/>
      <c r="C2336" s="185"/>
      <c r="D2336" s="185"/>
      <c r="E2336" s="185"/>
      <c r="F2336" s="185"/>
      <c r="G2336" s="185"/>
      <c r="H2336" s="185"/>
      <c r="I2336" s="185"/>
      <c r="J2336" s="185"/>
      <c r="K2336" s="185"/>
      <c r="L2336" s="187"/>
      <c r="M2336" s="188"/>
      <c r="N2336" s="188"/>
      <c r="O2336" s="208"/>
      <c r="P2336" s="208"/>
      <c r="Q2336" s="208"/>
      <c r="R2336" s="208"/>
    </row>
    <row r="2337">
      <c r="A2337" s="185"/>
      <c r="B2337" s="186"/>
      <c r="C2337" s="185"/>
      <c r="D2337" s="185"/>
      <c r="E2337" s="185"/>
      <c r="F2337" s="185"/>
      <c r="G2337" s="185"/>
      <c r="H2337" s="185"/>
      <c r="I2337" s="185"/>
      <c r="J2337" s="185"/>
      <c r="K2337" s="185"/>
      <c r="L2337" s="187"/>
      <c r="M2337" s="188"/>
      <c r="N2337" s="188"/>
      <c r="O2337" s="208"/>
      <c r="P2337" s="208"/>
      <c r="Q2337" s="208"/>
      <c r="R2337" s="208"/>
    </row>
    <row r="2338">
      <c r="A2338" s="185"/>
      <c r="B2338" s="186"/>
      <c r="C2338" s="185"/>
      <c r="D2338" s="185"/>
      <c r="E2338" s="185"/>
      <c r="F2338" s="185"/>
      <c r="G2338" s="185"/>
      <c r="H2338" s="185"/>
      <c r="I2338" s="185"/>
      <c r="J2338" s="185"/>
      <c r="K2338" s="185"/>
      <c r="L2338" s="187"/>
      <c r="M2338" s="188"/>
      <c r="N2338" s="188"/>
      <c r="O2338" s="208"/>
      <c r="P2338" s="208"/>
      <c r="Q2338" s="208"/>
      <c r="R2338" s="208"/>
    </row>
    <row r="2339">
      <c r="A2339" s="185"/>
      <c r="B2339" s="186"/>
      <c r="C2339" s="185"/>
      <c r="D2339" s="185"/>
      <c r="E2339" s="185"/>
      <c r="F2339" s="185"/>
      <c r="G2339" s="185"/>
      <c r="H2339" s="185"/>
      <c r="I2339" s="185"/>
      <c r="J2339" s="185"/>
      <c r="K2339" s="185"/>
      <c r="L2339" s="187"/>
      <c r="M2339" s="188"/>
      <c r="N2339" s="188"/>
      <c r="O2339" s="208"/>
      <c r="P2339" s="208"/>
      <c r="Q2339" s="208"/>
      <c r="R2339" s="208"/>
    </row>
    <row r="2340">
      <c r="A2340" s="185"/>
      <c r="B2340" s="186"/>
      <c r="C2340" s="185"/>
      <c r="D2340" s="185"/>
      <c r="E2340" s="185"/>
      <c r="F2340" s="185"/>
      <c r="G2340" s="185"/>
      <c r="H2340" s="185"/>
      <c r="I2340" s="185"/>
      <c r="J2340" s="185"/>
      <c r="K2340" s="185"/>
      <c r="L2340" s="187"/>
      <c r="M2340" s="188"/>
      <c r="N2340" s="188"/>
      <c r="O2340" s="208"/>
      <c r="P2340" s="208"/>
      <c r="Q2340" s="208"/>
      <c r="R2340" s="208"/>
    </row>
    <row r="2341">
      <c r="A2341" s="185"/>
      <c r="B2341" s="186"/>
      <c r="C2341" s="185"/>
      <c r="D2341" s="185"/>
      <c r="E2341" s="185"/>
      <c r="F2341" s="185"/>
      <c r="G2341" s="185"/>
      <c r="H2341" s="185"/>
      <c r="I2341" s="185"/>
      <c r="J2341" s="185"/>
      <c r="K2341" s="185"/>
      <c r="L2341" s="187"/>
      <c r="M2341" s="188"/>
      <c r="N2341" s="188"/>
      <c r="O2341" s="208"/>
      <c r="P2341" s="208"/>
      <c r="Q2341" s="208"/>
      <c r="R2341" s="208"/>
    </row>
    <row r="2342">
      <c r="A2342" s="185"/>
      <c r="B2342" s="186"/>
      <c r="C2342" s="185"/>
      <c r="D2342" s="185"/>
      <c r="E2342" s="185"/>
      <c r="F2342" s="185"/>
      <c r="G2342" s="185"/>
      <c r="H2342" s="185"/>
      <c r="I2342" s="185"/>
      <c r="J2342" s="185"/>
      <c r="K2342" s="185"/>
      <c r="L2342" s="187"/>
      <c r="M2342" s="188"/>
      <c r="N2342" s="188"/>
      <c r="O2342" s="208"/>
      <c r="P2342" s="208"/>
      <c r="Q2342" s="208"/>
      <c r="R2342" s="208"/>
    </row>
    <row r="2343">
      <c r="A2343" s="185"/>
      <c r="B2343" s="186"/>
      <c r="C2343" s="185"/>
      <c r="D2343" s="185"/>
      <c r="E2343" s="185"/>
      <c r="F2343" s="185"/>
      <c r="G2343" s="185"/>
      <c r="H2343" s="185"/>
      <c r="I2343" s="185"/>
      <c r="J2343" s="185"/>
      <c r="K2343" s="185"/>
      <c r="L2343" s="187"/>
      <c r="M2343" s="188"/>
      <c r="N2343" s="188"/>
      <c r="O2343" s="208"/>
      <c r="P2343" s="208"/>
      <c r="Q2343" s="208"/>
      <c r="R2343" s="208"/>
    </row>
    <row r="2344">
      <c r="A2344" s="185"/>
      <c r="B2344" s="186"/>
      <c r="C2344" s="185"/>
      <c r="D2344" s="185"/>
      <c r="E2344" s="185"/>
      <c r="F2344" s="185"/>
      <c r="G2344" s="185"/>
      <c r="H2344" s="185"/>
      <c r="I2344" s="185"/>
      <c r="J2344" s="185"/>
      <c r="K2344" s="185"/>
      <c r="L2344" s="187"/>
      <c r="M2344" s="188"/>
      <c r="N2344" s="188"/>
      <c r="O2344" s="208"/>
      <c r="P2344" s="208"/>
      <c r="Q2344" s="208"/>
      <c r="R2344" s="208"/>
    </row>
    <row r="2345">
      <c r="A2345" s="185"/>
      <c r="B2345" s="186"/>
      <c r="C2345" s="185"/>
      <c r="D2345" s="185"/>
      <c r="E2345" s="185"/>
      <c r="F2345" s="185"/>
      <c r="G2345" s="185"/>
      <c r="H2345" s="185"/>
      <c r="I2345" s="185"/>
      <c r="J2345" s="185"/>
      <c r="K2345" s="185"/>
      <c r="L2345" s="187"/>
      <c r="M2345" s="188"/>
      <c r="N2345" s="188"/>
      <c r="O2345" s="208"/>
      <c r="P2345" s="208"/>
      <c r="Q2345" s="208"/>
      <c r="R2345" s="208"/>
    </row>
    <row r="2346">
      <c r="A2346" s="185"/>
      <c r="B2346" s="186"/>
      <c r="C2346" s="185"/>
      <c r="D2346" s="185"/>
      <c r="E2346" s="185"/>
      <c r="F2346" s="185"/>
      <c r="G2346" s="185"/>
      <c r="H2346" s="185"/>
      <c r="I2346" s="185"/>
      <c r="J2346" s="185"/>
      <c r="K2346" s="185"/>
      <c r="L2346" s="187"/>
      <c r="M2346" s="188"/>
      <c r="N2346" s="188"/>
      <c r="O2346" s="208"/>
      <c r="P2346" s="208"/>
      <c r="Q2346" s="208"/>
      <c r="R2346" s="208"/>
    </row>
    <row r="2347">
      <c r="A2347" s="185"/>
      <c r="B2347" s="186"/>
      <c r="C2347" s="185"/>
      <c r="D2347" s="185"/>
      <c r="E2347" s="185"/>
      <c r="F2347" s="185"/>
      <c r="G2347" s="185"/>
      <c r="H2347" s="185"/>
      <c r="I2347" s="185"/>
      <c r="J2347" s="185"/>
      <c r="K2347" s="185"/>
      <c r="L2347" s="187"/>
      <c r="M2347" s="188"/>
      <c r="N2347" s="188"/>
      <c r="O2347" s="208"/>
      <c r="P2347" s="208"/>
      <c r="Q2347" s="208"/>
      <c r="R2347" s="208"/>
    </row>
    <row r="2348">
      <c r="A2348" s="185"/>
      <c r="B2348" s="186"/>
      <c r="C2348" s="185"/>
      <c r="D2348" s="185"/>
      <c r="E2348" s="185"/>
      <c r="F2348" s="185"/>
      <c r="G2348" s="185"/>
      <c r="H2348" s="185"/>
      <c r="I2348" s="185"/>
      <c r="J2348" s="185"/>
      <c r="K2348" s="185"/>
      <c r="L2348" s="187"/>
      <c r="M2348" s="188"/>
      <c r="N2348" s="188"/>
      <c r="O2348" s="208"/>
      <c r="P2348" s="208"/>
      <c r="Q2348" s="208"/>
      <c r="R2348" s="208"/>
    </row>
    <row r="2349">
      <c r="A2349" s="185"/>
      <c r="B2349" s="186"/>
      <c r="C2349" s="185"/>
      <c r="D2349" s="185"/>
      <c r="E2349" s="185"/>
      <c r="F2349" s="185"/>
      <c r="G2349" s="185"/>
      <c r="H2349" s="185"/>
      <c r="I2349" s="185"/>
      <c r="J2349" s="185"/>
      <c r="K2349" s="185"/>
      <c r="L2349" s="187"/>
      <c r="M2349" s="188"/>
      <c r="N2349" s="188"/>
      <c r="O2349" s="208"/>
      <c r="P2349" s="208"/>
      <c r="Q2349" s="208"/>
      <c r="R2349" s="208"/>
    </row>
    <row r="2350">
      <c r="A2350" s="185"/>
      <c r="B2350" s="186"/>
      <c r="C2350" s="185"/>
      <c r="D2350" s="185"/>
      <c r="E2350" s="185"/>
      <c r="F2350" s="185"/>
      <c r="G2350" s="185"/>
      <c r="H2350" s="185"/>
      <c r="I2350" s="185"/>
      <c r="J2350" s="185"/>
      <c r="K2350" s="185"/>
      <c r="L2350" s="187"/>
      <c r="M2350" s="188"/>
      <c r="N2350" s="188"/>
      <c r="O2350" s="208"/>
      <c r="P2350" s="208"/>
      <c r="Q2350" s="208"/>
      <c r="R2350" s="208"/>
    </row>
    <row r="2351">
      <c r="A2351" s="185"/>
      <c r="B2351" s="186"/>
      <c r="C2351" s="185"/>
      <c r="D2351" s="185"/>
      <c r="E2351" s="185"/>
      <c r="F2351" s="185"/>
      <c r="G2351" s="185"/>
      <c r="H2351" s="185"/>
      <c r="I2351" s="185"/>
      <c r="J2351" s="185"/>
      <c r="K2351" s="185"/>
      <c r="L2351" s="187"/>
      <c r="M2351" s="188"/>
      <c r="N2351" s="188"/>
      <c r="O2351" s="208"/>
      <c r="P2351" s="208"/>
      <c r="Q2351" s="208"/>
      <c r="R2351" s="208"/>
    </row>
    <row r="2352">
      <c r="A2352" s="185"/>
      <c r="B2352" s="186"/>
      <c r="C2352" s="185"/>
      <c r="D2352" s="185"/>
      <c r="E2352" s="185"/>
      <c r="F2352" s="185"/>
      <c r="G2352" s="185"/>
      <c r="H2352" s="185"/>
      <c r="I2352" s="185"/>
      <c r="J2352" s="185"/>
      <c r="K2352" s="185"/>
      <c r="L2352" s="187"/>
      <c r="M2352" s="188"/>
      <c r="N2352" s="188"/>
      <c r="O2352" s="208"/>
      <c r="P2352" s="208"/>
      <c r="Q2352" s="208"/>
      <c r="R2352" s="208"/>
    </row>
    <row r="2353">
      <c r="A2353" s="185"/>
      <c r="B2353" s="186"/>
      <c r="C2353" s="185"/>
      <c r="D2353" s="185"/>
      <c r="E2353" s="185"/>
      <c r="F2353" s="185"/>
      <c r="G2353" s="185"/>
      <c r="H2353" s="185"/>
      <c r="I2353" s="185"/>
      <c r="J2353" s="185"/>
      <c r="K2353" s="185"/>
      <c r="L2353" s="187"/>
      <c r="M2353" s="188"/>
      <c r="N2353" s="188"/>
      <c r="O2353" s="208"/>
      <c r="P2353" s="208"/>
      <c r="Q2353" s="208"/>
      <c r="R2353" s="208"/>
    </row>
    <row r="2354">
      <c r="A2354" s="185"/>
      <c r="B2354" s="186"/>
      <c r="C2354" s="185"/>
      <c r="D2354" s="185"/>
      <c r="E2354" s="185"/>
      <c r="F2354" s="185"/>
      <c r="G2354" s="185"/>
      <c r="H2354" s="185"/>
      <c r="I2354" s="185"/>
      <c r="J2354" s="185"/>
      <c r="K2354" s="185"/>
      <c r="L2354" s="187"/>
      <c r="M2354" s="188"/>
      <c r="N2354" s="188"/>
      <c r="O2354" s="208"/>
      <c r="P2354" s="208"/>
      <c r="Q2354" s="208"/>
      <c r="R2354" s="208"/>
    </row>
    <row r="2355">
      <c r="A2355" s="185"/>
      <c r="B2355" s="186"/>
      <c r="C2355" s="185"/>
      <c r="D2355" s="185"/>
      <c r="E2355" s="185"/>
      <c r="F2355" s="185"/>
      <c r="G2355" s="185"/>
      <c r="H2355" s="185"/>
      <c r="I2355" s="185"/>
      <c r="J2355" s="185"/>
      <c r="K2355" s="185"/>
      <c r="L2355" s="187"/>
      <c r="M2355" s="188"/>
      <c r="N2355" s="188"/>
      <c r="O2355" s="208"/>
      <c r="P2355" s="208"/>
      <c r="Q2355" s="208"/>
      <c r="R2355" s="208"/>
    </row>
    <row r="2356">
      <c r="A2356" s="185"/>
      <c r="B2356" s="186"/>
      <c r="C2356" s="185"/>
      <c r="D2356" s="185"/>
      <c r="E2356" s="185"/>
      <c r="F2356" s="185"/>
      <c r="G2356" s="185"/>
      <c r="H2356" s="185"/>
      <c r="I2356" s="185"/>
      <c r="J2356" s="185"/>
      <c r="K2356" s="185"/>
      <c r="L2356" s="187"/>
      <c r="M2356" s="188"/>
      <c r="N2356" s="188"/>
      <c r="O2356" s="208"/>
      <c r="P2356" s="208"/>
      <c r="Q2356" s="208"/>
      <c r="R2356" s="208"/>
    </row>
    <row r="2357">
      <c r="A2357" s="185"/>
      <c r="B2357" s="186"/>
      <c r="C2357" s="185"/>
      <c r="D2357" s="185"/>
      <c r="E2357" s="185"/>
      <c r="F2357" s="185"/>
      <c r="G2357" s="185"/>
      <c r="H2357" s="185"/>
      <c r="I2357" s="185"/>
      <c r="J2357" s="185"/>
      <c r="K2357" s="185"/>
      <c r="L2357" s="187"/>
      <c r="M2357" s="188"/>
      <c r="N2357" s="188"/>
      <c r="O2357" s="208"/>
      <c r="P2357" s="208"/>
      <c r="Q2357" s="208"/>
      <c r="R2357" s="208"/>
    </row>
    <row r="2358">
      <c r="A2358" s="185"/>
      <c r="B2358" s="186"/>
      <c r="C2358" s="185"/>
      <c r="D2358" s="185"/>
      <c r="E2358" s="185"/>
      <c r="F2358" s="185"/>
      <c r="G2358" s="185"/>
      <c r="H2358" s="185"/>
      <c r="I2358" s="185"/>
      <c r="J2358" s="185"/>
      <c r="K2358" s="185"/>
      <c r="L2358" s="187"/>
      <c r="M2358" s="188"/>
      <c r="N2358" s="188"/>
      <c r="O2358" s="208"/>
      <c r="P2358" s="208"/>
      <c r="Q2358" s="208"/>
      <c r="R2358" s="208"/>
    </row>
    <row r="2359">
      <c r="A2359" s="185"/>
      <c r="B2359" s="186"/>
      <c r="C2359" s="185"/>
      <c r="D2359" s="185"/>
      <c r="E2359" s="185"/>
      <c r="F2359" s="185"/>
      <c r="G2359" s="185"/>
      <c r="H2359" s="185"/>
      <c r="I2359" s="185"/>
      <c r="J2359" s="185"/>
      <c r="K2359" s="185"/>
      <c r="L2359" s="187"/>
      <c r="M2359" s="188"/>
      <c r="N2359" s="188"/>
      <c r="O2359" s="208"/>
      <c r="P2359" s="208"/>
      <c r="Q2359" s="208"/>
      <c r="R2359" s="208"/>
    </row>
    <row r="2360">
      <c r="A2360" s="185"/>
      <c r="B2360" s="186"/>
      <c r="C2360" s="185"/>
      <c r="D2360" s="185"/>
      <c r="E2360" s="185"/>
      <c r="F2360" s="185"/>
      <c r="G2360" s="185"/>
      <c r="H2360" s="185"/>
      <c r="I2360" s="185"/>
      <c r="J2360" s="185"/>
      <c r="K2360" s="185"/>
      <c r="L2360" s="187"/>
      <c r="M2360" s="188"/>
      <c r="N2360" s="188"/>
      <c r="O2360" s="208"/>
      <c r="P2360" s="208"/>
      <c r="Q2360" s="208"/>
      <c r="R2360" s="208"/>
    </row>
    <row r="2361">
      <c r="A2361" s="185"/>
      <c r="B2361" s="186"/>
      <c r="C2361" s="185"/>
      <c r="D2361" s="185"/>
      <c r="E2361" s="185"/>
      <c r="F2361" s="185"/>
      <c r="G2361" s="185"/>
      <c r="H2361" s="185"/>
      <c r="I2361" s="185"/>
      <c r="J2361" s="185"/>
      <c r="K2361" s="185"/>
      <c r="L2361" s="187"/>
      <c r="M2361" s="188"/>
      <c r="N2361" s="188"/>
      <c r="O2361" s="208"/>
      <c r="P2361" s="208"/>
      <c r="Q2361" s="208"/>
      <c r="R2361" s="208"/>
    </row>
    <row r="2362">
      <c r="A2362" s="185"/>
      <c r="B2362" s="186"/>
      <c r="C2362" s="185"/>
      <c r="D2362" s="185"/>
      <c r="E2362" s="185"/>
      <c r="F2362" s="185"/>
      <c r="G2362" s="185"/>
      <c r="H2362" s="185"/>
      <c r="I2362" s="185"/>
      <c r="J2362" s="185"/>
      <c r="K2362" s="185"/>
      <c r="L2362" s="187"/>
      <c r="M2362" s="188"/>
      <c r="N2362" s="188"/>
      <c r="O2362" s="208"/>
      <c r="P2362" s="208"/>
      <c r="Q2362" s="208"/>
      <c r="R2362" s="208"/>
    </row>
    <row r="2363">
      <c r="A2363" s="185"/>
      <c r="B2363" s="186"/>
      <c r="C2363" s="185"/>
      <c r="D2363" s="185"/>
      <c r="E2363" s="185"/>
      <c r="F2363" s="185"/>
      <c r="G2363" s="185"/>
      <c r="H2363" s="185"/>
      <c r="I2363" s="185"/>
      <c r="J2363" s="185"/>
      <c r="K2363" s="185"/>
      <c r="L2363" s="187"/>
      <c r="M2363" s="188"/>
      <c r="N2363" s="188"/>
      <c r="O2363" s="208"/>
      <c r="P2363" s="208"/>
      <c r="Q2363" s="208"/>
      <c r="R2363" s="208"/>
    </row>
    <row r="2364">
      <c r="A2364" s="185"/>
      <c r="B2364" s="186"/>
      <c r="C2364" s="185"/>
      <c r="D2364" s="185"/>
      <c r="E2364" s="185"/>
      <c r="F2364" s="185"/>
      <c r="G2364" s="185"/>
      <c r="H2364" s="185"/>
      <c r="I2364" s="185"/>
      <c r="J2364" s="185"/>
      <c r="K2364" s="185"/>
      <c r="L2364" s="187"/>
      <c r="M2364" s="188"/>
      <c r="N2364" s="188"/>
      <c r="O2364" s="208"/>
      <c r="P2364" s="208"/>
      <c r="Q2364" s="208"/>
      <c r="R2364" s="208"/>
    </row>
    <row r="2365">
      <c r="A2365" s="185"/>
      <c r="B2365" s="186"/>
      <c r="C2365" s="185"/>
      <c r="D2365" s="185"/>
      <c r="E2365" s="185"/>
      <c r="F2365" s="185"/>
      <c r="G2365" s="185"/>
      <c r="H2365" s="185"/>
      <c r="I2365" s="185"/>
      <c r="J2365" s="185"/>
      <c r="K2365" s="185"/>
      <c r="L2365" s="187"/>
      <c r="M2365" s="188"/>
      <c r="N2365" s="188"/>
      <c r="O2365" s="208"/>
      <c r="P2365" s="208"/>
      <c r="Q2365" s="208"/>
      <c r="R2365" s="208"/>
    </row>
    <row r="2366">
      <c r="A2366" s="185"/>
      <c r="B2366" s="186"/>
      <c r="C2366" s="185"/>
      <c r="D2366" s="185"/>
      <c r="E2366" s="185"/>
      <c r="F2366" s="185"/>
      <c r="G2366" s="185"/>
      <c r="H2366" s="185"/>
      <c r="I2366" s="185"/>
      <c r="J2366" s="185"/>
      <c r="K2366" s="185"/>
      <c r="L2366" s="187"/>
      <c r="M2366" s="188"/>
      <c r="N2366" s="188"/>
      <c r="O2366" s="208"/>
      <c r="P2366" s="208"/>
      <c r="Q2366" s="208"/>
      <c r="R2366" s="208"/>
    </row>
    <row r="2367">
      <c r="A2367" s="185"/>
      <c r="B2367" s="186"/>
      <c r="C2367" s="185"/>
      <c r="D2367" s="185"/>
      <c r="E2367" s="185"/>
      <c r="F2367" s="185"/>
      <c r="G2367" s="185"/>
      <c r="H2367" s="185"/>
      <c r="I2367" s="185"/>
      <c r="J2367" s="185"/>
      <c r="K2367" s="185"/>
      <c r="L2367" s="187"/>
      <c r="M2367" s="188"/>
      <c r="N2367" s="188"/>
      <c r="O2367" s="208"/>
      <c r="P2367" s="208"/>
      <c r="Q2367" s="208"/>
      <c r="R2367" s="208"/>
    </row>
    <row r="2368">
      <c r="A2368" s="185"/>
      <c r="B2368" s="186"/>
      <c r="C2368" s="185"/>
      <c r="D2368" s="185"/>
      <c r="E2368" s="185"/>
      <c r="F2368" s="185"/>
      <c r="G2368" s="185"/>
      <c r="H2368" s="185"/>
      <c r="I2368" s="185"/>
      <c r="J2368" s="185"/>
      <c r="K2368" s="185"/>
      <c r="L2368" s="187"/>
      <c r="M2368" s="188"/>
      <c r="N2368" s="188"/>
      <c r="O2368" s="208"/>
      <c r="P2368" s="208"/>
      <c r="Q2368" s="208"/>
      <c r="R2368" s="208"/>
    </row>
    <row r="2369">
      <c r="A2369" s="185"/>
      <c r="B2369" s="186"/>
      <c r="C2369" s="185"/>
      <c r="D2369" s="185"/>
      <c r="E2369" s="185"/>
      <c r="F2369" s="185"/>
      <c r="G2369" s="185"/>
      <c r="H2369" s="185"/>
      <c r="I2369" s="185"/>
      <c r="J2369" s="185"/>
      <c r="K2369" s="185"/>
      <c r="L2369" s="187"/>
      <c r="M2369" s="188"/>
      <c r="N2369" s="188"/>
      <c r="O2369" s="208"/>
      <c r="P2369" s="208"/>
      <c r="Q2369" s="208"/>
      <c r="R2369" s="208"/>
    </row>
    <row r="2370">
      <c r="A2370" s="185"/>
      <c r="B2370" s="186"/>
      <c r="C2370" s="185"/>
      <c r="D2370" s="185"/>
      <c r="E2370" s="185"/>
      <c r="F2370" s="185"/>
      <c r="G2370" s="185"/>
      <c r="H2370" s="185"/>
      <c r="I2370" s="185"/>
      <c r="J2370" s="185"/>
      <c r="K2370" s="185"/>
      <c r="L2370" s="187"/>
      <c r="M2370" s="188"/>
      <c r="N2370" s="188"/>
      <c r="O2370" s="208"/>
      <c r="P2370" s="208"/>
      <c r="Q2370" s="208"/>
      <c r="R2370" s="208"/>
    </row>
    <row r="2371">
      <c r="A2371" s="185"/>
      <c r="B2371" s="186"/>
      <c r="C2371" s="185"/>
      <c r="D2371" s="185"/>
      <c r="E2371" s="185"/>
      <c r="F2371" s="185"/>
      <c r="G2371" s="185"/>
      <c r="H2371" s="185"/>
      <c r="I2371" s="185"/>
      <c r="J2371" s="185"/>
      <c r="K2371" s="185"/>
      <c r="L2371" s="187"/>
      <c r="M2371" s="188"/>
      <c r="N2371" s="188"/>
      <c r="O2371" s="208"/>
      <c r="P2371" s="208"/>
      <c r="Q2371" s="208"/>
      <c r="R2371" s="208"/>
    </row>
    <row r="2372">
      <c r="A2372" s="185"/>
      <c r="B2372" s="186"/>
      <c r="C2372" s="185"/>
      <c r="D2372" s="185"/>
      <c r="E2372" s="185"/>
      <c r="F2372" s="185"/>
      <c r="G2372" s="185"/>
      <c r="H2372" s="185"/>
      <c r="I2372" s="185"/>
      <c r="J2372" s="185"/>
      <c r="K2372" s="185"/>
      <c r="L2372" s="187"/>
      <c r="M2372" s="188"/>
      <c r="N2372" s="188"/>
      <c r="O2372" s="208"/>
      <c r="P2372" s="208"/>
      <c r="Q2372" s="208"/>
      <c r="R2372" s="208"/>
    </row>
    <row r="2373">
      <c r="A2373" s="185"/>
      <c r="B2373" s="186"/>
      <c r="C2373" s="185"/>
      <c r="D2373" s="185"/>
      <c r="E2373" s="185"/>
      <c r="F2373" s="185"/>
      <c r="G2373" s="185"/>
      <c r="H2373" s="185"/>
      <c r="I2373" s="185"/>
      <c r="J2373" s="185"/>
      <c r="K2373" s="185"/>
      <c r="L2373" s="187"/>
      <c r="M2373" s="188"/>
      <c r="N2373" s="188"/>
      <c r="O2373" s="208"/>
      <c r="P2373" s="208"/>
      <c r="Q2373" s="208"/>
      <c r="R2373" s="208"/>
    </row>
    <row r="2374">
      <c r="A2374" s="185"/>
      <c r="B2374" s="186"/>
      <c r="C2374" s="185"/>
      <c r="D2374" s="185"/>
      <c r="E2374" s="185"/>
      <c r="F2374" s="185"/>
      <c r="G2374" s="185"/>
      <c r="H2374" s="185"/>
      <c r="I2374" s="185"/>
      <c r="J2374" s="185"/>
      <c r="K2374" s="185"/>
      <c r="L2374" s="187"/>
      <c r="M2374" s="188"/>
      <c r="N2374" s="188"/>
      <c r="O2374" s="208"/>
      <c r="P2374" s="208"/>
      <c r="Q2374" s="208"/>
      <c r="R2374" s="208"/>
    </row>
    <row r="2375">
      <c r="A2375" s="185"/>
      <c r="B2375" s="186"/>
      <c r="C2375" s="185"/>
      <c r="D2375" s="185"/>
      <c r="E2375" s="185"/>
      <c r="F2375" s="185"/>
      <c r="G2375" s="185"/>
      <c r="H2375" s="185"/>
      <c r="I2375" s="185"/>
      <c r="J2375" s="185"/>
      <c r="K2375" s="185"/>
      <c r="L2375" s="187"/>
      <c r="M2375" s="188"/>
      <c r="N2375" s="188"/>
      <c r="O2375" s="208"/>
      <c r="P2375" s="208"/>
      <c r="Q2375" s="208"/>
      <c r="R2375" s="208"/>
    </row>
    <row r="2376">
      <c r="A2376" s="185"/>
      <c r="B2376" s="186"/>
      <c r="C2376" s="185"/>
      <c r="D2376" s="185"/>
      <c r="E2376" s="185"/>
      <c r="F2376" s="185"/>
      <c r="G2376" s="185"/>
      <c r="H2376" s="185"/>
      <c r="I2376" s="185"/>
      <c r="J2376" s="185"/>
      <c r="K2376" s="185"/>
      <c r="L2376" s="187"/>
      <c r="M2376" s="188"/>
      <c r="N2376" s="188"/>
      <c r="O2376" s="208"/>
      <c r="P2376" s="208"/>
      <c r="Q2376" s="208"/>
      <c r="R2376" s="208"/>
    </row>
    <row r="2377">
      <c r="A2377" s="185"/>
      <c r="B2377" s="186"/>
      <c r="C2377" s="185"/>
      <c r="D2377" s="185"/>
      <c r="E2377" s="185"/>
      <c r="F2377" s="185"/>
      <c r="G2377" s="185"/>
      <c r="H2377" s="185"/>
      <c r="I2377" s="185"/>
      <c r="J2377" s="185"/>
      <c r="K2377" s="185"/>
      <c r="L2377" s="187"/>
      <c r="M2377" s="188"/>
      <c r="N2377" s="188"/>
      <c r="O2377" s="208"/>
      <c r="P2377" s="208"/>
      <c r="Q2377" s="208"/>
      <c r="R2377" s="208"/>
    </row>
    <row r="2378">
      <c r="A2378" s="185"/>
      <c r="B2378" s="186"/>
      <c r="C2378" s="185"/>
      <c r="D2378" s="185"/>
      <c r="E2378" s="185"/>
      <c r="F2378" s="185"/>
      <c r="G2378" s="185"/>
      <c r="H2378" s="185"/>
      <c r="I2378" s="185"/>
      <c r="J2378" s="185"/>
      <c r="K2378" s="185"/>
      <c r="L2378" s="187"/>
      <c r="M2378" s="188"/>
      <c r="N2378" s="188"/>
      <c r="O2378" s="208"/>
      <c r="P2378" s="208"/>
      <c r="Q2378" s="208"/>
      <c r="R2378" s="208"/>
    </row>
    <row r="2379">
      <c r="A2379" s="185"/>
      <c r="B2379" s="186"/>
      <c r="C2379" s="185"/>
      <c r="D2379" s="185"/>
      <c r="E2379" s="185"/>
      <c r="F2379" s="185"/>
      <c r="G2379" s="185"/>
      <c r="H2379" s="185"/>
      <c r="I2379" s="185"/>
      <c r="J2379" s="185"/>
      <c r="K2379" s="185"/>
      <c r="L2379" s="187"/>
      <c r="M2379" s="188"/>
      <c r="N2379" s="188"/>
      <c r="O2379" s="208"/>
      <c r="P2379" s="208"/>
      <c r="Q2379" s="208"/>
      <c r="R2379" s="208"/>
    </row>
    <row r="2380">
      <c r="A2380" s="185"/>
      <c r="B2380" s="186"/>
      <c r="C2380" s="185"/>
      <c r="D2380" s="185"/>
      <c r="E2380" s="185"/>
      <c r="F2380" s="185"/>
      <c r="G2380" s="185"/>
      <c r="H2380" s="185"/>
      <c r="I2380" s="185"/>
      <c r="J2380" s="185"/>
      <c r="K2380" s="185"/>
      <c r="L2380" s="187"/>
      <c r="M2380" s="188"/>
      <c r="N2380" s="188"/>
      <c r="O2380" s="208"/>
      <c r="P2380" s="208"/>
      <c r="Q2380" s="208"/>
      <c r="R2380" s="208"/>
    </row>
    <row r="2381">
      <c r="A2381" s="185"/>
      <c r="B2381" s="186"/>
      <c r="C2381" s="185"/>
      <c r="D2381" s="185"/>
      <c r="E2381" s="185"/>
      <c r="F2381" s="185"/>
      <c r="G2381" s="185"/>
      <c r="H2381" s="185"/>
      <c r="I2381" s="185"/>
      <c r="J2381" s="185"/>
      <c r="K2381" s="185"/>
      <c r="L2381" s="187"/>
      <c r="M2381" s="188"/>
      <c r="N2381" s="188"/>
      <c r="O2381" s="208"/>
      <c r="P2381" s="208"/>
      <c r="Q2381" s="208"/>
      <c r="R2381" s="208"/>
    </row>
    <row r="2382">
      <c r="A2382" s="185"/>
      <c r="B2382" s="186"/>
      <c r="C2382" s="185"/>
      <c r="D2382" s="185"/>
      <c r="E2382" s="185"/>
      <c r="F2382" s="185"/>
      <c r="G2382" s="185"/>
      <c r="H2382" s="185"/>
      <c r="I2382" s="185"/>
      <c r="J2382" s="185"/>
      <c r="K2382" s="185"/>
      <c r="L2382" s="187"/>
      <c r="M2382" s="188"/>
      <c r="N2382" s="188"/>
      <c r="O2382" s="208"/>
      <c r="P2382" s="208"/>
      <c r="Q2382" s="208"/>
      <c r="R2382" s="208"/>
    </row>
    <row r="2383">
      <c r="A2383" s="185"/>
      <c r="B2383" s="186"/>
      <c r="C2383" s="185"/>
      <c r="D2383" s="185"/>
      <c r="E2383" s="185"/>
      <c r="F2383" s="185"/>
      <c r="G2383" s="185"/>
      <c r="H2383" s="185"/>
      <c r="I2383" s="185"/>
      <c r="J2383" s="185"/>
      <c r="K2383" s="185"/>
      <c r="L2383" s="187"/>
      <c r="M2383" s="188"/>
      <c r="N2383" s="188"/>
      <c r="O2383" s="208"/>
      <c r="P2383" s="208"/>
      <c r="Q2383" s="208"/>
      <c r="R2383" s="208"/>
    </row>
    <row r="2384">
      <c r="A2384" s="185"/>
      <c r="B2384" s="186"/>
      <c r="C2384" s="185"/>
      <c r="D2384" s="185"/>
      <c r="E2384" s="185"/>
      <c r="F2384" s="185"/>
      <c r="G2384" s="185"/>
      <c r="H2384" s="185"/>
      <c r="I2384" s="185"/>
      <c r="J2384" s="185"/>
      <c r="K2384" s="185"/>
      <c r="L2384" s="187"/>
      <c r="M2384" s="188"/>
      <c r="N2384" s="188"/>
      <c r="O2384" s="208"/>
      <c r="P2384" s="208"/>
      <c r="Q2384" s="208"/>
      <c r="R2384" s="208"/>
    </row>
    <row r="2385">
      <c r="A2385" s="185"/>
      <c r="B2385" s="186"/>
      <c r="C2385" s="185"/>
      <c r="D2385" s="185"/>
      <c r="E2385" s="185"/>
      <c r="F2385" s="185"/>
      <c r="G2385" s="185"/>
      <c r="H2385" s="185"/>
      <c r="I2385" s="185"/>
      <c r="J2385" s="185"/>
      <c r="K2385" s="185"/>
      <c r="L2385" s="187"/>
      <c r="M2385" s="188"/>
      <c r="N2385" s="188"/>
      <c r="O2385" s="208"/>
      <c r="P2385" s="208"/>
      <c r="Q2385" s="208"/>
      <c r="R2385" s="208"/>
    </row>
    <row r="2386">
      <c r="A2386" s="185"/>
      <c r="B2386" s="186"/>
      <c r="C2386" s="185"/>
      <c r="D2386" s="185"/>
      <c r="E2386" s="185"/>
      <c r="F2386" s="185"/>
      <c r="G2386" s="185"/>
      <c r="H2386" s="185"/>
      <c r="I2386" s="185"/>
      <c r="J2386" s="185"/>
      <c r="K2386" s="185"/>
      <c r="L2386" s="187"/>
      <c r="M2386" s="188"/>
      <c r="N2386" s="188"/>
      <c r="O2386" s="208"/>
      <c r="P2386" s="208"/>
      <c r="Q2386" s="208"/>
      <c r="R2386" s="208"/>
    </row>
    <row r="2387">
      <c r="A2387" s="185"/>
      <c r="B2387" s="186"/>
      <c r="C2387" s="185"/>
      <c r="D2387" s="185"/>
      <c r="E2387" s="185"/>
      <c r="F2387" s="185"/>
      <c r="G2387" s="185"/>
      <c r="H2387" s="185"/>
      <c r="I2387" s="185"/>
      <c r="J2387" s="185"/>
      <c r="K2387" s="185"/>
      <c r="L2387" s="187"/>
      <c r="M2387" s="188"/>
      <c r="N2387" s="188"/>
      <c r="O2387" s="208"/>
      <c r="P2387" s="208"/>
      <c r="Q2387" s="208"/>
      <c r="R2387" s="208"/>
    </row>
    <row r="2388">
      <c r="A2388" s="185"/>
      <c r="B2388" s="186"/>
      <c r="C2388" s="185"/>
      <c r="D2388" s="185"/>
      <c r="E2388" s="185"/>
      <c r="F2388" s="185"/>
      <c r="G2388" s="185"/>
      <c r="H2388" s="185"/>
      <c r="I2388" s="185"/>
      <c r="J2388" s="185"/>
      <c r="K2388" s="185"/>
      <c r="L2388" s="187"/>
      <c r="M2388" s="188"/>
      <c r="N2388" s="188"/>
      <c r="O2388" s="208"/>
      <c r="P2388" s="208"/>
      <c r="Q2388" s="208"/>
      <c r="R2388" s="208"/>
    </row>
    <row r="2389">
      <c r="A2389" s="185"/>
      <c r="B2389" s="186"/>
      <c r="C2389" s="185"/>
      <c r="D2389" s="185"/>
      <c r="E2389" s="185"/>
      <c r="F2389" s="185"/>
      <c r="G2389" s="185"/>
      <c r="H2389" s="185"/>
      <c r="I2389" s="185"/>
      <c r="J2389" s="185"/>
      <c r="K2389" s="185"/>
      <c r="L2389" s="187"/>
      <c r="M2389" s="188"/>
      <c r="N2389" s="188"/>
      <c r="O2389" s="208"/>
      <c r="P2389" s="208"/>
      <c r="Q2389" s="208"/>
      <c r="R2389" s="208"/>
    </row>
    <row r="2390">
      <c r="A2390" s="185"/>
      <c r="B2390" s="186"/>
      <c r="C2390" s="185"/>
      <c r="D2390" s="185"/>
      <c r="E2390" s="185"/>
      <c r="F2390" s="185"/>
      <c r="G2390" s="185"/>
      <c r="H2390" s="185"/>
      <c r="I2390" s="185"/>
      <c r="J2390" s="185"/>
      <c r="K2390" s="185"/>
      <c r="L2390" s="187"/>
      <c r="M2390" s="188"/>
      <c r="N2390" s="188"/>
      <c r="O2390" s="208"/>
      <c r="P2390" s="208"/>
      <c r="Q2390" s="208"/>
      <c r="R2390" s="208"/>
    </row>
    <row r="2391">
      <c r="A2391" s="185"/>
      <c r="B2391" s="186"/>
      <c r="C2391" s="185"/>
      <c r="D2391" s="185"/>
      <c r="E2391" s="185"/>
      <c r="F2391" s="185"/>
      <c r="G2391" s="185"/>
      <c r="H2391" s="185"/>
      <c r="I2391" s="185"/>
      <c r="J2391" s="185"/>
      <c r="K2391" s="185"/>
      <c r="L2391" s="187"/>
      <c r="M2391" s="188"/>
      <c r="N2391" s="188"/>
      <c r="O2391" s="208"/>
      <c r="P2391" s="208"/>
      <c r="Q2391" s="208"/>
      <c r="R2391" s="208"/>
    </row>
    <row r="2392">
      <c r="A2392" s="185"/>
      <c r="B2392" s="186"/>
      <c r="C2392" s="185"/>
      <c r="D2392" s="185"/>
      <c r="E2392" s="185"/>
      <c r="F2392" s="185"/>
      <c r="G2392" s="185"/>
      <c r="H2392" s="185"/>
      <c r="I2392" s="185"/>
      <c r="J2392" s="185"/>
      <c r="K2392" s="185"/>
      <c r="L2392" s="187"/>
      <c r="M2392" s="188"/>
      <c r="N2392" s="188"/>
      <c r="O2392" s="208"/>
      <c r="P2392" s="208"/>
      <c r="Q2392" s="208"/>
      <c r="R2392" s="208"/>
    </row>
    <row r="2393">
      <c r="A2393" s="185"/>
      <c r="B2393" s="186"/>
      <c r="C2393" s="185"/>
      <c r="D2393" s="185"/>
      <c r="E2393" s="185"/>
      <c r="F2393" s="185"/>
      <c r="G2393" s="185"/>
      <c r="H2393" s="185"/>
      <c r="I2393" s="185"/>
      <c r="J2393" s="185"/>
      <c r="K2393" s="185"/>
      <c r="L2393" s="187"/>
      <c r="M2393" s="188"/>
      <c r="N2393" s="188"/>
      <c r="O2393" s="208"/>
      <c r="P2393" s="208"/>
      <c r="Q2393" s="208"/>
      <c r="R2393" s="208"/>
    </row>
    <row r="2394">
      <c r="A2394" s="185"/>
      <c r="B2394" s="186"/>
      <c r="C2394" s="185"/>
      <c r="D2394" s="185"/>
      <c r="E2394" s="185"/>
      <c r="F2394" s="185"/>
      <c r="G2394" s="185"/>
      <c r="H2394" s="185"/>
      <c r="I2394" s="185"/>
      <c r="J2394" s="185"/>
      <c r="K2394" s="185"/>
      <c r="L2394" s="187"/>
      <c r="M2394" s="188"/>
      <c r="N2394" s="188"/>
      <c r="O2394" s="208"/>
      <c r="P2394" s="208"/>
      <c r="Q2394" s="208"/>
      <c r="R2394" s="208"/>
    </row>
    <row r="2395">
      <c r="A2395" s="185"/>
      <c r="B2395" s="186"/>
      <c r="C2395" s="185"/>
      <c r="D2395" s="185"/>
      <c r="E2395" s="185"/>
      <c r="F2395" s="185"/>
      <c r="G2395" s="185"/>
      <c r="H2395" s="185"/>
      <c r="I2395" s="185"/>
      <c r="J2395" s="185"/>
      <c r="K2395" s="185"/>
      <c r="L2395" s="187"/>
      <c r="M2395" s="188"/>
      <c r="N2395" s="188"/>
      <c r="O2395" s="208"/>
      <c r="P2395" s="208"/>
      <c r="Q2395" s="208"/>
      <c r="R2395" s="208"/>
    </row>
    <row r="2396">
      <c r="A2396" s="185"/>
      <c r="B2396" s="186"/>
      <c r="C2396" s="185"/>
      <c r="D2396" s="185"/>
      <c r="E2396" s="185"/>
      <c r="F2396" s="185"/>
      <c r="G2396" s="185"/>
      <c r="H2396" s="185"/>
      <c r="I2396" s="185"/>
      <c r="J2396" s="185"/>
      <c r="K2396" s="185"/>
      <c r="L2396" s="187"/>
      <c r="M2396" s="188"/>
      <c r="N2396" s="188"/>
      <c r="O2396" s="208"/>
      <c r="P2396" s="208"/>
      <c r="Q2396" s="208"/>
      <c r="R2396" s="208"/>
    </row>
    <row r="2397">
      <c r="A2397" s="185"/>
      <c r="B2397" s="186"/>
      <c r="C2397" s="185"/>
      <c r="D2397" s="185"/>
      <c r="E2397" s="185"/>
      <c r="F2397" s="185"/>
      <c r="G2397" s="185"/>
      <c r="H2397" s="185"/>
      <c r="I2397" s="185"/>
      <c r="J2397" s="185"/>
      <c r="K2397" s="185"/>
      <c r="L2397" s="187"/>
      <c r="M2397" s="188"/>
      <c r="N2397" s="188"/>
      <c r="O2397" s="208"/>
      <c r="P2397" s="208"/>
      <c r="Q2397" s="208"/>
      <c r="R2397" s="208"/>
    </row>
    <row r="2398">
      <c r="A2398" s="185"/>
      <c r="B2398" s="186"/>
      <c r="C2398" s="185"/>
      <c r="D2398" s="185"/>
      <c r="E2398" s="185"/>
      <c r="F2398" s="185"/>
      <c r="G2398" s="185"/>
      <c r="H2398" s="185"/>
      <c r="I2398" s="185"/>
      <c r="J2398" s="185"/>
      <c r="K2398" s="185"/>
      <c r="L2398" s="187"/>
      <c r="M2398" s="188"/>
      <c r="N2398" s="188"/>
      <c r="O2398" s="208"/>
      <c r="P2398" s="208"/>
      <c r="Q2398" s="208"/>
      <c r="R2398" s="208"/>
    </row>
    <row r="2399">
      <c r="A2399" s="185"/>
      <c r="B2399" s="186"/>
      <c r="C2399" s="185"/>
      <c r="D2399" s="185"/>
      <c r="E2399" s="185"/>
      <c r="F2399" s="185"/>
      <c r="G2399" s="185"/>
      <c r="H2399" s="185"/>
      <c r="I2399" s="185"/>
      <c r="J2399" s="185"/>
      <c r="K2399" s="185"/>
      <c r="L2399" s="187"/>
      <c r="M2399" s="188"/>
      <c r="N2399" s="188"/>
      <c r="O2399" s="208"/>
      <c r="P2399" s="208"/>
      <c r="Q2399" s="208"/>
      <c r="R2399" s="208"/>
    </row>
    <row r="2400">
      <c r="A2400" s="185"/>
      <c r="B2400" s="186"/>
      <c r="C2400" s="185"/>
      <c r="D2400" s="185"/>
      <c r="E2400" s="185"/>
      <c r="F2400" s="185"/>
      <c r="G2400" s="185"/>
      <c r="H2400" s="185"/>
      <c r="I2400" s="185"/>
      <c r="J2400" s="185"/>
      <c r="K2400" s="185"/>
      <c r="L2400" s="187"/>
      <c r="M2400" s="188"/>
      <c r="N2400" s="188"/>
      <c r="O2400" s="208"/>
      <c r="P2400" s="208"/>
      <c r="Q2400" s="208"/>
      <c r="R2400" s="208"/>
    </row>
    <row r="2401">
      <c r="A2401" s="185"/>
      <c r="B2401" s="186"/>
      <c r="C2401" s="185"/>
      <c r="D2401" s="185"/>
      <c r="E2401" s="185"/>
      <c r="F2401" s="185"/>
      <c r="G2401" s="185"/>
      <c r="H2401" s="185"/>
      <c r="I2401" s="185"/>
      <c r="J2401" s="185"/>
      <c r="K2401" s="185"/>
      <c r="L2401" s="187"/>
      <c r="M2401" s="188"/>
      <c r="N2401" s="188"/>
      <c r="O2401" s="208"/>
      <c r="P2401" s="208"/>
      <c r="Q2401" s="208"/>
      <c r="R2401" s="208"/>
    </row>
    <row r="2402">
      <c r="A2402" s="185"/>
      <c r="B2402" s="186"/>
      <c r="C2402" s="185"/>
      <c r="D2402" s="185"/>
      <c r="E2402" s="185"/>
      <c r="F2402" s="185"/>
      <c r="G2402" s="185"/>
      <c r="H2402" s="185"/>
      <c r="I2402" s="185"/>
      <c r="J2402" s="185"/>
      <c r="K2402" s="185"/>
      <c r="L2402" s="187"/>
      <c r="M2402" s="188"/>
      <c r="N2402" s="188"/>
      <c r="O2402" s="208"/>
      <c r="P2402" s="208"/>
      <c r="Q2402" s="208"/>
      <c r="R2402" s="208"/>
    </row>
    <row r="2403">
      <c r="A2403" s="185"/>
      <c r="B2403" s="186"/>
      <c r="C2403" s="185"/>
      <c r="D2403" s="185"/>
      <c r="E2403" s="185"/>
      <c r="F2403" s="185"/>
      <c r="G2403" s="185"/>
      <c r="H2403" s="185"/>
      <c r="I2403" s="185"/>
      <c r="J2403" s="185"/>
      <c r="K2403" s="185"/>
      <c r="L2403" s="187"/>
      <c r="M2403" s="188"/>
      <c r="N2403" s="188"/>
      <c r="O2403" s="208"/>
      <c r="P2403" s="208"/>
      <c r="Q2403" s="208"/>
      <c r="R2403" s="208"/>
    </row>
    <row r="2404">
      <c r="A2404" s="185"/>
      <c r="B2404" s="186"/>
      <c r="C2404" s="185"/>
      <c r="D2404" s="185"/>
      <c r="E2404" s="185"/>
      <c r="F2404" s="185"/>
      <c r="G2404" s="185"/>
      <c r="H2404" s="185"/>
      <c r="I2404" s="185"/>
      <c r="J2404" s="185"/>
      <c r="K2404" s="185"/>
      <c r="L2404" s="187"/>
      <c r="M2404" s="188"/>
      <c r="N2404" s="188"/>
      <c r="O2404" s="208"/>
      <c r="P2404" s="208"/>
      <c r="Q2404" s="208"/>
      <c r="R2404" s="208"/>
    </row>
    <row r="2405">
      <c r="A2405" s="185"/>
      <c r="B2405" s="186"/>
      <c r="C2405" s="185"/>
      <c r="D2405" s="185"/>
      <c r="E2405" s="185"/>
      <c r="F2405" s="185"/>
      <c r="G2405" s="185"/>
      <c r="H2405" s="185"/>
      <c r="I2405" s="185"/>
      <c r="J2405" s="185"/>
      <c r="K2405" s="185"/>
      <c r="L2405" s="187"/>
      <c r="M2405" s="188"/>
      <c r="N2405" s="188"/>
      <c r="O2405" s="208"/>
      <c r="P2405" s="208"/>
      <c r="Q2405" s="208"/>
      <c r="R2405" s="208"/>
    </row>
    <row r="2406">
      <c r="A2406" s="185"/>
      <c r="B2406" s="186"/>
      <c r="C2406" s="185"/>
      <c r="D2406" s="185"/>
      <c r="E2406" s="185"/>
      <c r="F2406" s="185"/>
      <c r="G2406" s="185"/>
      <c r="H2406" s="185"/>
      <c r="I2406" s="185"/>
      <c r="J2406" s="185"/>
      <c r="K2406" s="185"/>
      <c r="L2406" s="187"/>
      <c r="M2406" s="188"/>
      <c r="N2406" s="188"/>
      <c r="O2406" s="208"/>
      <c r="P2406" s="208"/>
      <c r="Q2406" s="208"/>
      <c r="R2406" s="208"/>
    </row>
    <row r="2407">
      <c r="A2407" s="185"/>
      <c r="B2407" s="186"/>
      <c r="C2407" s="185"/>
      <c r="D2407" s="185"/>
      <c r="E2407" s="185"/>
      <c r="F2407" s="185"/>
      <c r="G2407" s="185"/>
      <c r="H2407" s="185"/>
      <c r="I2407" s="185"/>
      <c r="J2407" s="185"/>
      <c r="K2407" s="185"/>
      <c r="L2407" s="187"/>
      <c r="M2407" s="188"/>
      <c r="N2407" s="188"/>
      <c r="O2407" s="208"/>
      <c r="P2407" s="208"/>
      <c r="Q2407" s="208"/>
      <c r="R2407" s="208"/>
    </row>
    <row r="2408">
      <c r="A2408" s="185"/>
      <c r="B2408" s="186"/>
      <c r="C2408" s="185"/>
      <c r="D2408" s="185"/>
      <c r="E2408" s="185"/>
      <c r="F2408" s="185"/>
      <c r="G2408" s="185"/>
      <c r="H2408" s="185"/>
      <c r="I2408" s="185"/>
      <c r="J2408" s="185"/>
      <c r="K2408" s="185"/>
      <c r="L2408" s="187"/>
      <c r="M2408" s="188"/>
      <c r="N2408" s="188"/>
      <c r="O2408" s="208"/>
      <c r="P2408" s="208"/>
      <c r="Q2408" s="208"/>
      <c r="R2408" s="208"/>
    </row>
    <row r="2409">
      <c r="A2409" s="185"/>
      <c r="B2409" s="186"/>
      <c r="C2409" s="185"/>
      <c r="D2409" s="185"/>
      <c r="E2409" s="185"/>
      <c r="F2409" s="185"/>
      <c r="G2409" s="185"/>
      <c r="H2409" s="185"/>
      <c r="I2409" s="185"/>
      <c r="J2409" s="185"/>
      <c r="K2409" s="185"/>
      <c r="L2409" s="187"/>
      <c r="M2409" s="188"/>
      <c r="N2409" s="188"/>
      <c r="O2409" s="208"/>
      <c r="P2409" s="208"/>
      <c r="Q2409" s="208"/>
      <c r="R2409" s="208"/>
    </row>
    <row r="2410">
      <c r="A2410" s="185"/>
      <c r="B2410" s="186"/>
      <c r="C2410" s="185"/>
      <c r="D2410" s="185"/>
      <c r="E2410" s="185"/>
      <c r="F2410" s="185"/>
      <c r="G2410" s="185"/>
      <c r="H2410" s="185"/>
      <c r="I2410" s="185"/>
      <c r="J2410" s="185"/>
      <c r="K2410" s="185"/>
      <c r="L2410" s="187"/>
      <c r="M2410" s="188"/>
      <c r="N2410" s="188"/>
      <c r="O2410" s="208"/>
      <c r="P2410" s="208"/>
      <c r="Q2410" s="208"/>
      <c r="R2410" s="208"/>
    </row>
    <row r="2411">
      <c r="A2411" s="185"/>
      <c r="B2411" s="186"/>
      <c r="C2411" s="185"/>
      <c r="D2411" s="185"/>
      <c r="E2411" s="185"/>
      <c r="F2411" s="185"/>
      <c r="G2411" s="185"/>
      <c r="H2411" s="185"/>
      <c r="I2411" s="185"/>
      <c r="J2411" s="185"/>
      <c r="K2411" s="185"/>
      <c r="L2411" s="187"/>
      <c r="M2411" s="188"/>
      <c r="N2411" s="188"/>
      <c r="O2411" s="208"/>
      <c r="P2411" s="208"/>
      <c r="Q2411" s="208"/>
      <c r="R2411" s="208"/>
    </row>
    <row r="2412">
      <c r="A2412" s="185"/>
      <c r="B2412" s="186"/>
      <c r="C2412" s="185"/>
      <c r="D2412" s="185"/>
      <c r="E2412" s="185"/>
      <c r="F2412" s="185"/>
      <c r="G2412" s="185"/>
      <c r="H2412" s="185"/>
      <c r="I2412" s="185"/>
      <c r="J2412" s="185"/>
      <c r="K2412" s="185"/>
      <c r="L2412" s="187"/>
      <c r="M2412" s="188"/>
      <c r="N2412" s="188"/>
      <c r="O2412" s="208"/>
      <c r="P2412" s="208"/>
      <c r="Q2412" s="208"/>
      <c r="R2412" s="208"/>
    </row>
    <row r="2413">
      <c r="A2413" s="185"/>
      <c r="B2413" s="186"/>
      <c r="C2413" s="185"/>
      <c r="D2413" s="185"/>
      <c r="E2413" s="185"/>
      <c r="F2413" s="185"/>
      <c r="G2413" s="185"/>
      <c r="H2413" s="185"/>
      <c r="I2413" s="185"/>
      <c r="J2413" s="185"/>
      <c r="K2413" s="185"/>
      <c r="L2413" s="187"/>
      <c r="M2413" s="188"/>
      <c r="N2413" s="188"/>
      <c r="O2413" s="208"/>
      <c r="P2413" s="208"/>
      <c r="Q2413" s="208"/>
      <c r="R2413" s="208"/>
    </row>
    <row r="2414">
      <c r="A2414" s="185"/>
      <c r="B2414" s="186"/>
      <c r="C2414" s="185"/>
      <c r="D2414" s="185"/>
      <c r="E2414" s="185"/>
      <c r="F2414" s="185"/>
      <c r="G2414" s="185"/>
      <c r="H2414" s="185"/>
      <c r="I2414" s="185"/>
      <c r="J2414" s="185"/>
      <c r="K2414" s="185"/>
      <c r="L2414" s="187"/>
      <c r="M2414" s="188"/>
      <c r="N2414" s="188"/>
      <c r="O2414" s="208"/>
      <c r="P2414" s="208"/>
      <c r="Q2414" s="208"/>
      <c r="R2414" s="208"/>
    </row>
    <row r="2415">
      <c r="A2415" s="185"/>
      <c r="B2415" s="186"/>
      <c r="C2415" s="185"/>
      <c r="D2415" s="185"/>
      <c r="E2415" s="185"/>
      <c r="F2415" s="185"/>
      <c r="G2415" s="185"/>
      <c r="H2415" s="185"/>
      <c r="I2415" s="185"/>
      <c r="J2415" s="185"/>
      <c r="K2415" s="185"/>
      <c r="L2415" s="187"/>
      <c r="M2415" s="188"/>
      <c r="N2415" s="188"/>
      <c r="O2415" s="208"/>
      <c r="P2415" s="208"/>
      <c r="Q2415" s="208"/>
      <c r="R2415" s="208"/>
    </row>
    <row r="2416">
      <c r="A2416" s="185"/>
      <c r="B2416" s="186"/>
      <c r="C2416" s="185"/>
      <c r="D2416" s="185"/>
      <c r="E2416" s="185"/>
      <c r="F2416" s="185"/>
      <c r="G2416" s="185"/>
      <c r="H2416" s="185"/>
      <c r="I2416" s="185"/>
      <c r="J2416" s="185"/>
      <c r="K2416" s="185"/>
      <c r="L2416" s="187"/>
      <c r="M2416" s="188"/>
      <c r="N2416" s="188"/>
      <c r="O2416" s="208"/>
      <c r="P2416" s="208"/>
      <c r="Q2416" s="208"/>
      <c r="R2416" s="208"/>
    </row>
    <row r="2417">
      <c r="A2417" s="185"/>
      <c r="B2417" s="186"/>
      <c r="C2417" s="185"/>
      <c r="D2417" s="185"/>
      <c r="E2417" s="185"/>
      <c r="F2417" s="185"/>
      <c r="G2417" s="185"/>
      <c r="H2417" s="185"/>
      <c r="I2417" s="185"/>
      <c r="J2417" s="185"/>
      <c r="K2417" s="185"/>
      <c r="L2417" s="187"/>
      <c r="M2417" s="188"/>
      <c r="N2417" s="188"/>
      <c r="O2417" s="208"/>
      <c r="P2417" s="208"/>
      <c r="Q2417" s="208"/>
      <c r="R2417" s="208"/>
    </row>
    <row r="2418">
      <c r="A2418" s="185"/>
      <c r="B2418" s="186"/>
      <c r="C2418" s="185"/>
      <c r="D2418" s="185"/>
      <c r="E2418" s="185"/>
      <c r="F2418" s="185"/>
      <c r="G2418" s="185"/>
      <c r="H2418" s="185"/>
      <c r="I2418" s="185"/>
      <c r="J2418" s="185"/>
      <c r="K2418" s="185"/>
      <c r="L2418" s="187"/>
      <c r="M2418" s="188"/>
      <c r="N2418" s="188"/>
      <c r="O2418" s="208"/>
      <c r="P2418" s="208"/>
      <c r="Q2418" s="208"/>
      <c r="R2418" s="208"/>
    </row>
    <row r="2419">
      <c r="A2419" s="185"/>
      <c r="B2419" s="186"/>
      <c r="C2419" s="185"/>
      <c r="D2419" s="185"/>
      <c r="E2419" s="185"/>
      <c r="F2419" s="185"/>
      <c r="G2419" s="185"/>
      <c r="H2419" s="185"/>
      <c r="I2419" s="185"/>
      <c r="J2419" s="185"/>
      <c r="K2419" s="185"/>
      <c r="L2419" s="187"/>
      <c r="M2419" s="188"/>
      <c r="N2419" s="188"/>
      <c r="O2419" s="208"/>
      <c r="P2419" s="208"/>
      <c r="Q2419" s="208"/>
      <c r="R2419" s="208"/>
    </row>
    <row r="2420">
      <c r="A2420" s="185"/>
      <c r="B2420" s="186"/>
      <c r="C2420" s="185"/>
      <c r="D2420" s="185"/>
      <c r="E2420" s="185"/>
      <c r="F2420" s="185"/>
      <c r="G2420" s="185"/>
      <c r="H2420" s="185"/>
      <c r="I2420" s="185"/>
      <c r="J2420" s="185"/>
      <c r="K2420" s="185"/>
      <c r="L2420" s="187"/>
      <c r="M2420" s="188"/>
      <c r="N2420" s="188"/>
      <c r="O2420" s="208"/>
      <c r="P2420" s="208"/>
      <c r="Q2420" s="208"/>
      <c r="R2420" s="208"/>
    </row>
    <row r="2421">
      <c r="A2421" s="185"/>
      <c r="B2421" s="186"/>
      <c r="C2421" s="185"/>
      <c r="D2421" s="185"/>
      <c r="E2421" s="185"/>
      <c r="F2421" s="185"/>
      <c r="G2421" s="185"/>
      <c r="H2421" s="185"/>
      <c r="I2421" s="185"/>
      <c r="J2421" s="185"/>
      <c r="K2421" s="185"/>
      <c r="L2421" s="187"/>
      <c r="M2421" s="188"/>
      <c r="N2421" s="188"/>
      <c r="O2421" s="208"/>
      <c r="P2421" s="208"/>
      <c r="Q2421" s="208"/>
      <c r="R2421" s="208"/>
    </row>
    <row r="2422">
      <c r="A2422" s="185"/>
      <c r="B2422" s="186"/>
      <c r="C2422" s="185"/>
      <c r="D2422" s="185"/>
      <c r="E2422" s="185"/>
      <c r="F2422" s="185"/>
      <c r="G2422" s="185"/>
      <c r="H2422" s="185"/>
      <c r="I2422" s="185"/>
      <c r="J2422" s="185"/>
      <c r="K2422" s="185"/>
      <c r="L2422" s="187"/>
      <c r="M2422" s="188"/>
      <c r="N2422" s="188"/>
      <c r="O2422" s="208"/>
      <c r="P2422" s="208"/>
      <c r="Q2422" s="208"/>
      <c r="R2422" s="208"/>
    </row>
    <row r="2423">
      <c r="A2423" s="185"/>
      <c r="B2423" s="186"/>
      <c r="C2423" s="185"/>
      <c r="D2423" s="185"/>
      <c r="E2423" s="185"/>
      <c r="F2423" s="185"/>
      <c r="G2423" s="185"/>
      <c r="H2423" s="185"/>
      <c r="I2423" s="185"/>
      <c r="J2423" s="185"/>
      <c r="K2423" s="185"/>
      <c r="L2423" s="187"/>
      <c r="M2423" s="188"/>
      <c r="N2423" s="188"/>
      <c r="O2423" s="208"/>
      <c r="P2423" s="208"/>
      <c r="Q2423" s="208"/>
      <c r="R2423" s="208"/>
    </row>
    <row r="2424">
      <c r="A2424" s="185"/>
      <c r="B2424" s="186"/>
      <c r="C2424" s="185"/>
      <c r="D2424" s="185"/>
      <c r="E2424" s="185"/>
      <c r="F2424" s="185"/>
      <c r="G2424" s="185"/>
      <c r="H2424" s="185"/>
      <c r="I2424" s="185"/>
      <c r="J2424" s="185"/>
      <c r="K2424" s="185"/>
      <c r="L2424" s="187"/>
      <c r="M2424" s="188"/>
      <c r="N2424" s="188"/>
      <c r="O2424" s="208"/>
      <c r="P2424" s="208"/>
      <c r="Q2424" s="208"/>
      <c r="R2424" s="208"/>
    </row>
    <row r="2425">
      <c r="A2425" s="185"/>
      <c r="B2425" s="186"/>
      <c r="C2425" s="185"/>
      <c r="D2425" s="185"/>
      <c r="E2425" s="185"/>
      <c r="F2425" s="185"/>
      <c r="G2425" s="185"/>
      <c r="H2425" s="185"/>
      <c r="I2425" s="185"/>
      <c r="J2425" s="185"/>
      <c r="K2425" s="185"/>
      <c r="L2425" s="187"/>
      <c r="M2425" s="188"/>
      <c r="N2425" s="188"/>
      <c r="O2425" s="208"/>
      <c r="P2425" s="208"/>
      <c r="Q2425" s="208"/>
      <c r="R2425" s="208"/>
    </row>
    <row r="2426">
      <c r="A2426" s="185"/>
      <c r="B2426" s="186"/>
      <c r="C2426" s="185"/>
      <c r="D2426" s="185"/>
      <c r="E2426" s="185"/>
      <c r="F2426" s="185"/>
      <c r="G2426" s="185"/>
      <c r="H2426" s="185"/>
      <c r="I2426" s="185"/>
      <c r="J2426" s="185"/>
      <c r="K2426" s="185"/>
      <c r="L2426" s="187"/>
      <c r="M2426" s="188"/>
      <c r="N2426" s="188"/>
      <c r="O2426" s="208"/>
      <c r="P2426" s="208"/>
      <c r="Q2426" s="208"/>
      <c r="R2426" s="208"/>
    </row>
    <row r="2427">
      <c r="A2427" s="185"/>
      <c r="B2427" s="186"/>
      <c r="C2427" s="185"/>
      <c r="D2427" s="185"/>
      <c r="E2427" s="185"/>
      <c r="F2427" s="185"/>
      <c r="G2427" s="185"/>
      <c r="H2427" s="185"/>
      <c r="I2427" s="185"/>
      <c r="J2427" s="185"/>
      <c r="K2427" s="185"/>
      <c r="L2427" s="187"/>
      <c r="M2427" s="188"/>
      <c r="N2427" s="188"/>
      <c r="O2427" s="208"/>
      <c r="P2427" s="208"/>
      <c r="Q2427" s="208"/>
      <c r="R2427" s="208"/>
    </row>
    <row r="2428">
      <c r="A2428" s="185"/>
      <c r="B2428" s="186"/>
      <c r="C2428" s="185"/>
      <c r="D2428" s="185"/>
      <c r="E2428" s="185"/>
      <c r="F2428" s="185"/>
      <c r="G2428" s="185"/>
      <c r="H2428" s="185"/>
      <c r="I2428" s="185"/>
      <c r="J2428" s="185"/>
      <c r="K2428" s="185"/>
      <c r="L2428" s="187"/>
      <c r="M2428" s="188"/>
      <c r="N2428" s="188"/>
      <c r="O2428" s="208"/>
      <c r="P2428" s="208"/>
      <c r="Q2428" s="208"/>
      <c r="R2428" s="208"/>
    </row>
    <row r="2429">
      <c r="A2429" s="185"/>
      <c r="B2429" s="186"/>
      <c r="C2429" s="185"/>
      <c r="D2429" s="185"/>
      <c r="E2429" s="185"/>
      <c r="F2429" s="185"/>
      <c r="G2429" s="185"/>
      <c r="H2429" s="185"/>
      <c r="I2429" s="185"/>
      <c r="J2429" s="185"/>
      <c r="K2429" s="185"/>
      <c r="L2429" s="187"/>
      <c r="M2429" s="188"/>
      <c r="N2429" s="188"/>
      <c r="O2429" s="208"/>
      <c r="P2429" s="208"/>
      <c r="Q2429" s="208"/>
      <c r="R2429" s="208"/>
    </row>
    <row r="2430">
      <c r="A2430" s="185"/>
      <c r="B2430" s="186"/>
      <c r="C2430" s="185"/>
      <c r="D2430" s="185"/>
      <c r="E2430" s="185"/>
      <c r="F2430" s="185"/>
      <c r="G2430" s="185"/>
      <c r="H2430" s="185"/>
      <c r="I2430" s="185"/>
      <c r="J2430" s="185"/>
      <c r="K2430" s="185"/>
      <c r="L2430" s="187"/>
      <c r="M2430" s="188"/>
      <c r="N2430" s="188"/>
      <c r="O2430" s="208"/>
      <c r="P2430" s="208"/>
      <c r="Q2430" s="208"/>
      <c r="R2430" s="208"/>
    </row>
    <row r="2431">
      <c r="A2431" s="185"/>
      <c r="B2431" s="186"/>
      <c r="C2431" s="185"/>
      <c r="D2431" s="185"/>
      <c r="E2431" s="185"/>
      <c r="F2431" s="185"/>
      <c r="G2431" s="185"/>
      <c r="H2431" s="185"/>
      <c r="I2431" s="185"/>
      <c r="J2431" s="185"/>
      <c r="K2431" s="185"/>
      <c r="L2431" s="187"/>
      <c r="M2431" s="188"/>
      <c r="N2431" s="188"/>
      <c r="O2431" s="208"/>
      <c r="P2431" s="208"/>
      <c r="Q2431" s="208"/>
      <c r="R2431" s="208"/>
    </row>
    <row r="2432">
      <c r="A2432" s="185"/>
      <c r="B2432" s="186"/>
      <c r="C2432" s="185"/>
      <c r="D2432" s="185"/>
      <c r="E2432" s="185"/>
      <c r="F2432" s="185"/>
      <c r="G2432" s="185"/>
      <c r="H2432" s="185"/>
      <c r="I2432" s="185"/>
      <c r="J2432" s="185"/>
      <c r="K2432" s="185"/>
      <c r="L2432" s="187"/>
      <c r="M2432" s="188"/>
      <c r="N2432" s="188"/>
      <c r="O2432" s="208"/>
      <c r="P2432" s="208"/>
      <c r="Q2432" s="208"/>
      <c r="R2432" s="208"/>
    </row>
    <row r="2433">
      <c r="A2433" s="185"/>
      <c r="B2433" s="186"/>
      <c r="C2433" s="185"/>
      <c r="D2433" s="185"/>
      <c r="E2433" s="185"/>
      <c r="F2433" s="185"/>
      <c r="G2433" s="185"/>
      <c r="H2433" s="185"/>
      <c r="I2433" s="185"/>
      <c r="J2433" s="185"/>
      <c r="K2433" s="185"/>
      <c r="L2433" s="187"/>
      <c r="M2433" s="188"/>
      <c r="N2433" s="188"/>
      <c r="O2433" s="208"/>
      <c r="P2433" s="208"/>
      <c r="Q2433" s="208"/>
      <c r="R2433" s="208"/>
    </row>
    <row r="2434">
      <c r="A2434" s="185"/>
      <c r="B2434" s="186"/>
      <c r="C2434" s="185"/>
      <c r="D2434" s="185"/>
      <c r="E2434" s="185"/>
      <c r="F2434" s="185"/>
      <c r="G2434" s="185"/>
      <c r="H2434" s="185"/>
      <c r="I2434" s="185"/>
      <c r="J2434" s="185"/>
      <c r="K2434" s="185"/>
      <c r="L2434" s="187"/>
      <c r="M2434" s="188"/>
      <c r="N2434" s="188"/>
      <c r="O2434" s="208"/>
      <c r="P2434" s="208"/>
      <c r="Q2434" s="208"/>
      <c r="R2434" s="208"/>
    </row>
    <row r="2435">
      <c r="A2435" s="185"/>
      <c r="B2435" s="186"/>
      <c r="C2435" s="185"/>
      <c r="D2435" s="185"/>
      <c r="E2435" s="185"/>
      <c r="F2435" s="185"/>
      <c r="G2435" s="185"/>
      <c r="H2435" s="185"/>
      <c r="I2435" s="185"/>
      <c r="J2435" s="185"/>
      <c r="K2435" s="185"/>
      <c r="L2435" s="187"/>
      <c r="M2435" s="188"/>
      <c r="N2435" s="188"/>
      <c r="O2435" s="208"/>
      <c r="P2435" s="208"/>
      <c r="Q2435" s="208"/>
      <c r="R2435" s="208"/>
    </row>
    <row r="2436">
      <c r="A2436" s="185"/>
      <c r="B2436" s="186"/>
      <c r="C2436" s="185"/>
      <c r="D2436" s="185"/>
      <c r="E2436" s="185"/>
      <c r="F2436" s="185"/>
      <c r="G2436" s="185"/>
      <c r="H2436" s="185"/>
      <c r="I2436" s="185"/>
      <c r="J2436" s="185"/>
      <c r="K2436" s="185"/>
      <c r="L2436" s="187"/>
      <c r="M2436" s="188"/>
      <c r="N2436" s="188"/>
      <c r="O2436" s="208"/>
      <c r="P2436" s="208"/>
      <c r="Q2436" s="208"/>
      <c r="R2436" s="208"/>
    </row>
    <row r="2437">
      <c r="A2437" s="185"/>
      <c r="B2437" s="186"/>
      <c r="C2437" s="185"/>
      <c r="D2437" s="185"/>
      <c r="E2437" s="185"/>
      <c r="F2437" s="185"/>
      <c r="G2437" s="185"/>
      <c r="H2437" s="185"/>
      <c r="I2437" s="185"/>
      <c r="J2437" s="185"/>
      <c r="K2437" s="185"/>
      <c r="L2437" s="187"/>
      <c r="M2437" s="188"/>
      <c r="N2437" s="188"/>
      <c r="O2437" s="208"/>
      <c r="P2437" s="208"/>
      <c r="Q2437" s="208"/>
      <c r="R2437" s="208"/>
    </row>
    <row r="2438">
      <c r="A2438" s="185"/>
      <c r="B2438" s="186"/>
      <c r="C2438" s="185"/>
      <c r="D2438" s="185"/>
      <c r="E2438" s="185"/>
      <c r="F2438" s="185"/>
      <c r="G2438" s="185"/>
      <c r="H2438" s="185"/>
      <c r="I2438" s="185"/>
      <c r="J2438" s="185"/>
      <c r="K2438" s="185"/>
      <c r="L2438" s="187"/>
      <c r="M2438" s="188"/>
      <c r="N2438" s="188"/>
      <c r="O2438" s="208"/>
      <c r="P2438" s="208"/>
      <c r="Q2438" s="208"/>
      <c r="R2438" s="208"/>
    </row>
    <row r="2439">
      <c r="A2439" s="185"/>
      <c r="B2439" s="186"/>
      <c r="C2439" s="185"/>
      <c r="D2439" s="185"/>
      <c r="E2439" s="185"/>
      <c r="F2439" s="185"/>
      <c r="G2439" s="185"/>
      <c r="H2439" s="185"/>
      <c r="I2439" s="185"/>
      <c r="J2439" s="185"/>
      <c r="K2439" s="185"/>
      <c r="L2439" s="187"/>
      <c r="M2439" s="188"/>
      <c r="N2439" s="188"/>
      <c r="O2439" s="208"/>
      <c r="P2439" s="208"/>
      <c r="Q2439" s="208"/>
      <c r="R2439" s="208"/>
    </row>
    <row r="2440">
      <c r="A2440" s="185"/>
      <c r="B2440" s="186"/>
      <c r="C2440" s="185"/>
      <c r="D2440" s="185"/>
      <c r="E2440" s="185"/>
      <c r="F2440" s="185"/>
      <c r="G2440" s="185"/>
      <c r="H2440" s="185"/>
      <c r="I2440" s="185"/>
      <c r="J2440" s="185"/>
      <c r="K2440" s="185"/>
      <c r="L2440" s="187"/>
      <c r="M2440" s="188"/>
      <c r="N2440" s="188"/>
      <c r="O2440" s="208"/>
      <c r="P2440" s="208"/>
      <c r="Q2440" s="208"/>
      <c r="R2440" s="208"/>
    </row>
    <row r="2441">
      <c r="A2441" s="185"/>
      <c r="B2441" s="186"/>
      <c r="C2441" s="185"/>
      <c r="D2441" s="185"/>
      <c r="E2441" s="185"/>
      <c r="F2441" s="185"/>
      <c r="G2441" s="185"/>
      <c r="H2441" s="185"/>
      <c r="I2441" s="185"/>
      <c r="J2441" s="185"/>
      <c r="K2441" s="185"/>
      <c r="L2441" s="187"/>
      <c r="M2441" s="188"/>
      <c r="N2441" s="188"/>
      <c r="O2441" s="208"/>
      <c r="P2441" s="208"/>
      <c r="Q2441" s="208"/>
      <c r="R2441" s="208"/>
    </row>
    <row r="2442">
      <c r="A2442" s="185"/>
      <c r="B2442" s="186"/>
      <c r="C2442" s="185"/>
      <c r="D2442" s="185"/>
      <c r="E2442" s="185"/>
      <c r="F2442" s="185"/>
      <c r="G2442" s="185"/>
      <c r="H2442" s="185"/>
      <c r="I2442" s="185"/>
      <c r="J2442" s="185"/>
      <c r="K2442" s="185"/>
      <c r="L2442" s="187"/>
      <c r="M2442" s="188"/>
      <c r="N2442" s="188"/>
      <c r="O2442" s="208"/>
      <c r="P2442" s="208"/>
      <c r="Q2442" s="208"/>
      <c r="R2442" s="208"/>
    </row>
    <row r="2443">
      <c r="A2443" s="185"/>
      <c r="B2443" s="186"/>
      <c r="C2443" s="185"/>
      <c r="D2443" s="185"/>
      <c r="E2443" s="185"/>
      <c r="F2443" s="185"/>
      <c r="G2443" s="185"/>
      <c r="H2443" s="185"/>
      <c r="I2443" s="185"/>
      <c r="J2443" s="185"/>
      <c r="K2443" s="185"/>
      <c r="L2443" s="187"/>
      <c r="M2443" s="188"/>
      <c r="N2443" s="188"/>
      <c r="O2443" s="208"/>
      <c r="P2443" s="208"/>
      <c r="Q2443" s="208"/>
      <c r="R2443" s="208"/>
    </row>
    <row r="2444">
      <c r="A2444" s="185"/>
      <c r="B2444" s="186"/>
      <c r="C2444" s="185"/>
      <c r="D2444" s="185"/>
      <c r="E2444" s="185"/>
      <c r="F2444" s="185"/>
      <c r="G2444" s="185"/>
      <c r="H2444" s="185"/>
      <c r="I2444" s="185"/>
      <c r="J2444" s="185"/>
      <c r="K2444" s="185"/>
      <c r="L2444" s="187"/>
      <c r="M2444" s="188"/>
      <c r="N2444" s="188"/>
      <c r="O2444" s="208"/>
      <c r="P2444" s="208"/>
      <c r="Q2444" s="208"/>
      <c r="R2444" s="208"/>
    </row>
    <row r="2445">
      <c r="A2445" s="185"/>
      <c r="B2445" s="186"/>
      <c r="C2445" s="185"/>
      <c r="D2445" s="185"/>
      <c r="E2445" s="185"/>
      <c r="F2445" s="185"/>
      <c r="G2445" s="185"/>
      <c r="H2445" s="185"/>
      <c r="I2445" s="185"/>
      <c r="J2445" s="185"/>
      <c r="K2445" s="185"/>
      <c r="L2445" s="187"/>
      <c r="M2445" s="188"/>
      <c r="N2445" s="188"/>
      <c r="O2445" s="208"/>
      <c r="P2445" s="208"/>
      <c r="Q2445" s="208"/>
      <c r="R2445" s="208"/>
    </row>
    <row r="2446">
      <c r="A2446" s="185"/>
      <c r="B2446" s="186"/>
      <c r="C2446" s="185"/>
      <c r="D2446" s="185"/>
      <c r="E2446" s="185"/>
      <c r="F2446" s="185"/>
      <c r="G2446" s="185"/>
      <c r="H2446" s="185"/>
      <c r="I2446" s="185"/>
      <c r="J2446" s="185"/>
      <c r="K2446" s="185"/>
      <c r="L2446" s="187"/>
      <c r="M2446" s="188"/>
      <c r="N2446" s="188"/>
      <c r="O2446" s="208"/>
      <c r="P2446" s="208"/>
      <c r="Q2446" s="208"/>
      <c r="R2446" s="208"/>
    </row>
    <row r="2447">
      <c r="A2447" s="185"/>
      <c r="B2447" s="186"/>
      <c r="C2447" s="185"/>
      <c r="D2447" s="185"/>
      <c r="E2447" s="185"/>
      <c r="F2447" s="185"/>
      <c r="G2447" s="185"/>
      <c r="H2447" s="185"/>
      <c r="I2447" s="185"/>
      <c r="J2447" s="185"/>
      <c r="K2447" s="185"/>
      <c r="L2447" s="187"/>
      <c r="M2447" s="188"/>
      <c r="N2447" s="188"/>
      <c r="O2447" s="208"/>
      <c r="P2447" s="208"/>
      <c r="Q2447" s="208"/>
      <c r="R2447" s="208"/>
    </row>
    <row r="2448">
      <c r="A2448" s="185"/>
      <c r="B2448" s="186"/>
      <c r="C2448" s="185"/>
      <c r="D2448" s="185"/>
      <c r="E2448" s="185"/>
      <c r="F2448" s="185"/>
      <c r="G2448" s="185"/>
      <c r="H2448" s="185"/>
      <c r="I2448" s="185"/>
      <c r="J2448" s="185"/>
      <c r="K2448" s="185"/>
      <c r="L2448" s="187"/>
      <c r="M2448" s="188"/>
      <c r="N2448" s="188"/>
      <c r="O2448" s="208"/>
      <c r="P2448" s="208"/>
      <c r="Q2448" s="208"/>
      <c r="R2448" s="208"/>
    </row>
    <row r="2449">
      <c r="A2449" s="185"/>
      <c r="B2449" s="186"/>
      <c r="C2449" s="185"/>
      <c r="D2449" s="185"/>
      <c r="E2449" s="185"/>
      <c r="F2449" s="185"/>
      <c r="G2449" s="185"/>
      <c r="H2449" s="185"/>
      <c r="I2449" s="185"/>
      <c r="J2449" s="185"/>
      <c r="K2449" s="185"/>
      <c r="L2449" s="187"/>
      <c r="M2449" s="188"/>
      <c r="N2449" s="188"/>
      <c r="O2449" s="208"/>
      <c r="P2449" s="208"/>
      <c r="Q2449" s="208"/>
      <c r="R2449" s="208"/>
    </row>
    <row r="2450">
      <c r="A2450" s="185"/>
      <c r="B2450" s="186"/>
      <c r="C2450" s="185"/>
      <c r="D2450" s="185"/>
      <c r="E2450" s="185"/>
      <c r="F2450" s="185"/>
      <c r="G2450" s="185"/>
      <c r="H2450" s="185"/>
      <c r="I2450" s="185"/>
      <c r="J2450" s="185"/>
      <c r="K2450" s="185"/>
      <c r="L2450" s="187"/>
      <c r="M2450" s="188"/>
      <c r="N2450" s="188"/>
      <c r="O2450" s="208"/>
      <c r="P2450" s="208"/>
      <c r="Q2450" s="208"/>
      <c r="R2450" s="208"/>
    </row>
    <row r="2451">
      <c r="A2451" s="185"/>
      <c r="B2451" s="186"/>
      <c r="C2451" s="185"/>
      <c r="D2451" s="185"/>
      <c r="E2451" s="185"/>
      <c r="F2451" s="185"/>
      <c r="G2451" s="185"/>
      <c r="H2451" s="185"/>
      <c r="I2451" s="185"/>
      <c r="J2451" s="185"/>
      <c r="K2451" s="185"/>
      <c r="L2451" s="187"/>
      <c r="M2451" s="188"/>
      <c r="N2451" s="188"/>
      <c r="O2451" s="208"/>
      <c r="P2451" s="208"/>
      <c r="Q2451" s="208"/>
      <c r="R2451" s="208"/>
    </row>
    <row r="2452">
      <c r="A2452" s="185"/>
      <c r="B2452" s="186"/>
      <c r="C2452" s="185"/>
      <c r="D2452" s="185"/>
      <c r="E2452" s="185"/>
      <c r="F2452" s="185"/>
      <c r="G2452" s="185"/>
      <c r="H2452" s="185"/>
      <c r="I2452" s="185"/>
      <c r="J2452" s="185"/>
      <c r="K2452" s="185"/>
      <c r="L2452" s="187"/>
      <c r="M2452" s="188"/>
      <c r="N2452" s="188"/>
      <c r="O2452" s="208"/>
      <c r="P2452" s="208"/>
      <c r="Q2452" s="208"/>
      <c r="R2452" s="208"/>
    </row>
    <row r="2453">
      <c r="A2453" s="185"/>
      <c r="B2453" s="186"/>
      <c r="C2453" s="185"/>
      <c r="D2453" s="185"/>
      <c r="E2453" s="185"/>
      <c r="F2453" s="185"/>
      <c r="G2453" s="185"/>
      <c r="H2453" s="185"/>
      <c r="I2453" s="185"/>
      <c r="J2453" s="185"/>
      <c r="K2453" s="185"/>
      <c r="L2453" s="187"/>
      <c r="M2453" s="188"/>
      <c r="N2453" s="188"/>
      <c r="O2453" s="208"/>
      <c r="P2453" s="208"/>
      <c r="Q2453" s="208"/>
      <c r="R2453" s="208"/>
    </row>
    <row r="2454">
      <c r="A2454" s="185"/>
      <c r="B2454" s="186"/>
      <c r="C2454" s="185"/>
      <c r="D2454" s="185"/>
      <c r="E2454" s="185"/>
      <c r="F2454" s="185"/>
      <c r="G2454" s="185"/>
      <c r="H2454" s="185"/>
      <c r="I2454" s="185"/>
      <c r="J2454" s="185"/>
      <c r="K2454" s="185"/>
      <c r="L2454" s="187"/>
      <c r="M2454" s="188"/>
      <c r="N2454" s="188"/>
      <c r="O2454" s="208"/>
      <c r="P2454" s="208"/>
      <c r="Q2454" s="208"/>
      <c r="R2454" s="208"/>
    </row>
    <row r="2455">
      <c r="A2455" s="185"/>
      <c r="B2455" s="186"/>
      <c r="C2455" s="185"/>
      <c r="D2455" s="185"/>
      <c r="E2455" s="185"/>
      <c r="F2455" s="185"/>
      <c r="G2455" s="185"/>
      <c r="H2455" s="185"/>
      <c r="I2455" s="185"/>
      <c r="J2455" s="185"/>
      <c r="K2455" s="185"/>
      <c r="L2455" s="187"/>
      <c r="M2455" s="188"/>
      <c r="N2455" s="188"/>
      <c r="O2455" s="208"/>
      <c r="P2455" s="208"/>
      <c r="Q2455" s="208"/>
      <c r="R2455" s="208"/>
    </row>
    <row r="2456">
      <c r="A2456" s="185"/>
      <c r="B2456" s="186"/>
      <c r="C2456" s="185"/>
      <c r="D2456" s="185"/>
      <c r="E2456" s="185"/>
      <c r="F2456" s="185"/>
      <c r="G2456" s="185"/>
      <c r="H2456" s="185"/>
      <c r="I2456" s="185"/>
      <c r="J2456" s="185"/>
      <c r="K2456" s="185"/>
      <c r="L2456" s="187"/>
      <c r="M2456" s="188"/>
      <c r="N2456" s="188"/>
      <c r="O2456" s="208"/>
      <c r="P2456" s="208"/>
      <c r="Q2456" s="208"/>
      <c r="R2456" s="208"/>
    </row>
    <row r="2457">
      <c r="A2457" s="185"/>
      <c r="B2457" s="186"/>
      <c r="C2457" s="185"/>
      <c r="D2457" s="185"/>
      <c r="E2457" s="185"/>
      <c r="F2457" s="185"/>
      <c r="G2457" s="185"/>
      <c r="H2457" s="185"/>
      <c r="I2457" s="185"/>
      <c r="J2457" s="185"/>
      <c r="K2457" s="185"/>
      <c r="L2457" s="187"/>
      <c r="M2457" s="188"/>
      <c r="N2457" s="188"/>
      <c r="O2457" s="208"/>
      <c r="P2457" s="208"/>
      <c r="Q2457" s="208"/>
      <c r="R2457" s="208"/>
    </row>
    <row r="2458">
      <c r="A2458" s="185"/>
      <c r="B2458" s="186"/>
      <c r="C2458" s="185"/>
      <c r="D2458" s="185"/>
      <c r="E2458" s="185"/>
      <c r="F2458" s="185"/>
      <c r="G2458" s="185"/>
      <c r="H2458" s="185"/>
      <c r="I2458" s="185"/>
      <c r="J2458" s="185"/>
      <c r="K2458" s="185"/>
      <c r="L2458" s="187"/>
      <c r="M2458" s="188"/>
      <c r="N2458" s="188"/>
      <c r="O2458" s="208"/>
      <c r="P2458" s="208"/>
      <c r="Q2458" s="208"/>
      <c r="R2458" s="208"/>
    </row>
    <row r="2459">
      <c r="A2459" s="185"/>
      <c r="B2459" s="186"/>
      <c r="C2459" s="185"/>
      <c r="D2459" s="185"/>
      <c r="E2459" s="185"/>
      <c r="F2459" s="185"/>
      <c r="G2459" s="185"/>
      <c r="H2459" s="185"/>
      <c r="I2459" s="185"/>
      <c r="J2459" s="185"/>
      <c r="K2459" s="185"/>
      <c r="L2459" s="187"/>
      <c r="M2459" s="188"/>
      <c r="N2459" s="188"/>
      <c r="O2459" s="208"/>
      <c r="P2459" s="208"/>
      <c r="Q2459" s="208"/>
      <c r="R2459" s="208"/>
    </row>
    <row r="2460">
      <c r="A2460" s="185"/>
      <c r="B2460" s="186"/>
      <c r="C2460" s="185"/>
      <c r="D2460" s="185"/>
      <c r="E2460" s="185"/>
      <c r="F2460" s="185"/>
      <c r="G2460" s="185"/>
      <c r="H2460" s="185"/>
      <c r="I2460" s="185"/>
      <c r="J2460" s="185"/>
      <c r="K2460" s="185"/>
      <c r="L2460" s="187"/>
      <c r="M2460" s="188"/>
      <c r="N2460" s="188"/>
      <c r="O2460" s="208"/>
      <c r="P2460" s="208"/>
      <c r="Q2460" s="208"/>
      <c r="R2460" s="208"/>
    </row>
    <row r="2461">
      <c r="A2461" s="185"/>
      <c r="B2461" s="186"/>
      <c r="C2461" s="185"/>
      <c r="D2461" s="185"/>
      <c r="E2461" s="185"/>
      <c r="F2461" s="185"/>
      <c r="G2461" s="185"/>
      <c r="H2461" s="185"/>
      <c r="I2461" s="185"/>
      <c r="J2461" s="185"/>
      <c r="K2461" s="185"/>
      <c r="L2461" s="187"/>
      <c r="M2461" s="188"/>
      <c r="N2461" s="188"/>
      <c r="O2461" s="208"/>
      <c r="P2461" s="208"/>
      <c r="Q2461" s="208"/>
      <c r="R2461" s="208"/>
    </row>
    <row r="2462">
      <c r="A2462" s="185"/>
      <c r="B2462" s="186"/>
      <c r="C2462" s="185"/>
      <c r="D2462" s="185"/>
      <c r="E2462" s="185"/>
      <c r="F2462" s="185"/>
      <c r="G2462" s="185"/>
      <c r="H2462" s="185"/>
      <c r="I2462" s="185"/>
      <c r="J2462" s="185"/>
      <c r="K2462" s="185"/>
      <c r="L2462" s="187"/>
      <c r="M2462" s="188"/>
      <c r="N2462" s="188"/>
      <c r="O2462" s="208"/>
      <c r="P2462" s="208"/>
      <c r="Q2462" s="208"/>
      <c r="R2462" s="208"/>
    </row>
    <row r="2463">
      <c r="A2463" s="185"/>
      <c r="B2463" s="186"/>
      <c r="C2463" s="185"/>
      <c r="D2463" s="185"/>
      <c r="E2463" s="185"/>
      <c r="F2463" s="185"/>
      <c r="G2463" s="185"/>
      <c r="H2463" s="185"/>
      <c r="I2463" s="185"/>
      <c r="J2463" s="185"/>
      <c r="K2463" s="185"/>
      <c r="L2463" s="187"/>
      <c r="M2463" s="188"/>
      <c r="N2463" s="188"/>
      <c r="O2463" s="208"/>
      <c r="P2463" s="208"/>
      <c r="Q2463" s="208"/>
      <c r="R2463" s="208"/>
    </row>
    <row r="2464">
      <c r="A2464" s="185"/>
      <c r="B2464" s="186"/>
      <c r="C2464" s="185"/>
      <c r="D2464" s="185"/>
      <c r="E2464" s="185"/>
      <c r="F2464" s="185"/>
      <c r="G2464" s="185"/>
      <c r="H2464" s="185"/>
      <c r="I2464" s="185"/>
      <c r="J2464" s="185"/>
      <c r="K2464" s="185"/>
      <c r="L2464" s="187"/>
      <c r="M2464" s="188"/>
      <c r="N2464" s="188"/>
      <c r="O2464" s="208"/>
      <c r="P2464" s="208"/>
      <c r="Q2464" s="208"/>
      <c r="R2464" s="208"/>
    </row>
    <row r="2465">
      <c r="A2465" s="185"/>
      <c r="B2465" s="186"/>
      <c r="C2465" s="185"/>
      <c r="D2465" s="185"/>
      <c r="E2465" s="185"/>
      <c r="F2465" s="185"/>
      <c r="G2465" s="185"/>
      <c r="H2465" s="185"/>
      <c r="I2465" s="185"/>
      <c r="J2465" s="185"/>
      <c r="K2465" s="185"/>
      <c r="L2465" s="187"/>
      <c r="M2465" s="188"/>
      <c r="N2465" s="188"/>
      <c r="O2465" s="208"/>
      <c r="P2465" s="208"/>
      <c r="Q2465" s="208"/>
      <c r="R2465" s="208"/>
    </row>
    <row r="2466">
      <c r="A2466" s="185"/>
      <c r="B2466" s="186"/>
      <c r="C2466" s="185"/>
      <c r="D2466" s="185"/>
      <c r="E2466" s="185"/>
      <c r="F2466" s="185"/>
      <c r="G2466" s="185"/>
      <c r="H2466" s="185"/>
      <c r="I2466" s="185"/>
      <c r="J2466" s="185"/>
      <c r="K2466" s="185"/>
      <c r="L2466" s="187"/>
      <c r="M2466" s="188"/>
      <c r="N2466" s="188"/>
      <c r="O2466" s="208"/>
      <c r="P2466" s="208"/>
      <c r="Q2466" s="208"/>
      <c r="R2466" s="208"/>
    </row>
    <row r="2467">
      <c r="A2467" s="185"/>
      <c r="B2467" s="186"/>
      <c r="C2467" s="185"/>
      <c r="D2467" s="185"/>
      <c r="E2467" s="185"/>
      <c r="F2467" s="185"/>
      <c r="G2467" s="185"/>
      <c r="H2467" s="185"/>
      <c r="I2467" s="185"/>
      <c r="J2467" s="185"/>
      <c r="K2467" s="185"/>
      <c r="L2467" s="187"/>
      <c r="M2467" s="188"/>
      <c r="N2467" s="188"/>
      <c r="O2467" s="208"/>
      <c r="P2467" s="208"/>
      <c r="Q2467" s="208"/>
      <c r="R2467" s="208"/>
    </row>
    <row r="2468">
      <c r="A2468" s="185"/>
      <c r="B2468" s="186"/>
      <c r="C2468" s="185"/>
      <c r="D2468" s="185"/>
      <c r="E2468" s="185"/>
      <c r="F2468" s="185"/>
      <c r="G2468" s="185"/>
      <c r="H2468" s="185"/>
      <c r="I2468" s="185"/>
      <c r="J2468" s="185"/>
      <c r="K2468" s="185"/>
      <c r="L2468" s="187"/>
      <c r="M2468" s="188"/>
      <c r="N2468" s="188"/>
      <c r="O2468" s="208"/>
      <c r="P2468" s="208"/>
      <c r="Q2468" s="208"/>
      <c r="R2468" s="208"/>
    </row>
    <row r="2469">
      <c r="A2469" s="185"/>
      <c r="B2469" s="186"/>
      <c r="C2469" s="185"/>
      <c r="D2469" s="185"/>
      <c r="E2469" s="185"/>
      <c r="F2469" s="185"/>
      <c r="G2469" s="185"/>
      <c r="H2469" s="185"/>
      <c r="I2469" s="185"/>
      <c r="J2469" s="185"/>
      <c r="K2469" s="185"/>
      <c r="L2469" s="187"/>
      <c r="M2469" s="188"/>
      <c r="N2469" s="188"/>
      <c r="O2469" s="208"/>
      <c r="P2469" s="208"/>
      <c r="Q2469" s="208"/>
      <c r="R2469" s="208"/>
    </row>
    <row r="2470">
      <c r="A2470" s="185"/>
      <c r="B2470" s="186"/>
      <c r="C2470" s="185"/>
      <c r="D2470" s="185"/>
      <c r="E2470" s="185"/>
      <c r="F2470" s="185"/>
      <c r="G2470" s="185"/>
      <c r="H2470" s="185"/>
      <c r="I2470" s="185"/>
      <c r="J2470" s="185"/>
      <c r="K2470" s="185"/>
      <c r="L2470" s="187"/>
      <c r="M2470" s="188"/>
      <c r="N2470" s="188"/>
      <c r="O2470" s="208"/>
      <c r="P2470" s="208"/>
      <c r="Q2470" s="208"/>
      <c r="R2470" s="208"/>
    </row>
    <row r="2471">
      <c r="A2471" s="185"/>
      <c r="B2471" s="186"/>
      <c r="C2471" s="185"/>
      <c r="D2471" s="185"/>
      <c r="E2471" s="185"/>
      <c r="F2471" s="185"/>
      <c r="G2471" s="185"/>
      <c r="H2471" s="185"/>
      <c r="I2471" s="185"/>
      <c r="J2471" s="185"/>
      <c r="K2471" s="185"/>
      <c r="L2471" s="187"/>
      <c r="M2471" s="188"/>
      <c r="N2471" s="188"/>
      <c r="O2471" s="208"/>
      <c r="P2471" s="208"/>
      <c r="Q2471" s="208"/>
      <c r="R2471" s="208"/>
    </row>
    <row r="2472">
      <c r="A2472" s="185"/>
      <c r="B2472" s="186"/>
      <c r="C2472" s="185"/>
      <c r="D2472" s="185"/>
      <c r="E2472" s="185"/>
      <c r="F2472" s="185"/>
      <c r="G2472" s="185"/>
      <c r="H2472" s="185"/>
      <c r="I2472" s="185"/>
      <c r="J2472" s="185"/>
      <c r="K2472" s="185"/>
      <c r="L2472" s="187"/>
      <c r="M2472" s="188"/>
      <c r="N2472" s="188"/>
      <c r="O2472" s="208"/>
      <c r="P2472" s="208"/>
      <c r="Q2472" s="208"/>
      <c r="R2472" s="208"/>
    </row>
    <row r="2473">
      <c r="A2473" s="185"/>
      <c r="B2473" s="186"/>
      <c r="C2473" s="185"/>
      <c r="D2473" s="185"/>
      <c r="E2473" s="185"/>
      <c r="F2473" s="185"/>
      <c r="G2473" s="185"/>
      <c r="H2473" s="185"/>
      <c r="I2473" s="185"/>
      <c r="J2473" s="185"/>
      <c r="K2473" s="185"/>
      <c r="L2473" s="187"/>
      <c r="M2473" s="188"/>
      <c r="N2473" s="188"/>
      <c r="O2473" s="208"/>
      <c r="P2473" s="208"/>
      <c r="Q2473" s="208"/>
      <c r="R2473" s="208"/>
    </row>
    <row r="2474">
      <c r="A2474" s="185"/>
      <c r="B2474" s="186"/>
      <c r="C2474" s="185"/>
      <c r="D2474" s="185"/>
      <c r="E2474" s="185"/>
      <c r="F2474" s="185"/>
      <c r="G2474" s="185"/>
      <c r="H2474" s="185"/>
      <c r="I2474" s="185"/>
      <c r="J2474" s="185"/>
      <c r="K2474" s="185"/>
      <c r="L2474" s="187"/>
      <c r="M2474" s="188"/>
      <c r="N2474" s="188"/>
      <c r="O2474" s="208"/>
      <c r="P2474" s="208"/>
      <c r="Q2474" s="208"/>
      <c r="R2474" s="208"/>
    </row>
    <row r="2475">
      <c r="A2475" s="185"/>
      <c r="B2475" s="186"/>
      <c r="C2475" s="185"/>
      <c r="D2475" s="185"/>
      <c r="E2475" s="185"/>
      <c r="F2475" s="185"/>
      <c r="G2475" s="185"/>
      <c r="H2475" s="185"/>
      <c r="I2475" s="185"/>
      <c r="J2475" s="185"/>
      <c r="K2475" s="185"/>
      <c r="L2475" s="187"/>
      <c r="M2475" s="188"/>
      <c r="N2475" s="188"/>
      <c r="O2475" s="208"/>
      <c r="P2475" s="208"/>
      <c r="Q2475" s="208"/>
      <c r="R2475" s="208"/>
    </row>
    <row r="2476">
      <c r="A2476" s="185"/>
      <c r="B2476" s="186"/>
      <c r="C2476" s="185"/>
      <c r="D2476" s="185"/>
      <c r="E2476" s="185"/>
      <c r="F2476" s="185"/>
      <c r="G2476" s="185"/>
      <c r="H2476" s="185"/>
      <c r="I2476" s="185"/>
      <c r="J2476" s="185"/>
      <c r="K2476" s="185"/>
      <c r="L2476" s="187"/>
      <c r="M2476" s="188"/>
      <c r="N2476" s="188"/>
      <c r="O2476" s="208"/>
      <c r="P2476" s="208"/>
      <c r="Q2476" s="208"/>
      <c r="R2476" s="208"/>
    </row>
    <row r="2477">
      <c r="A2477" s="185"/>
      <c r="B2477" s="186"/>
      <c r="C2477" s="185"/>
      <c r="D2477" s="185"/>
      <c r="E2477" s="185"/>
      <c r="F2477" s="185"/>
      <c r="G2477" s="185"/>
      <c r="H2477" s="185"/>
      <c r="I2477" s="185"/>
      <c r="J2477" s="185"/>
      <c r="K2477" s="185"/>
      <c r="L2477" s="187"/>
      <c r="M2477" s="188"/>
      <c r="N2477" s="188"/>
      <c r="O2477" s="208"/>
      <c r="P2477" s="208"/>
      <c r="Q2477" s="208"/>
      <c r="R2477" s="208"/>
    </row>
    <row r="2478">
      <c r="A2478" s="185"/>
      <c r="B2478" s="186"/>
      <c r="C2478" s="185"/>
      <c r="D2478" s="185"/>
      <c r="E2478" s="185"/>
      <c r="F2478" s="185"/>
      <c r="G2478" s="185"/>
      <c r="H2478" s="185"/>
      <c r="I2478" s="185"/>
      <c r="J2478" s="185"/>
      <c r="K2478" s="185"/>
      <c r="L2478" s="187"/>
      <c r="M2478" s="188"/>
      <c r="N2478" s="188"/>
      <c r="O2478" s="208"/>
      <c r="P2478" s="208"/>
      <c r="Q2478" s="208"/>
      <c r="R2478" s="208"/>
    </row>
    <row r="2479">
      <c r="A2479" s="185"/>
      <c r="B2479" s="186"/>
      <c r="C2479" s="185"/>
      <c r="D2479" s="185"/>
      <c r="E2479" s="185"/>
      <c r="F2479" s="185"/>
      <c r="G2479" s="185"/>
      <c r="H2479" s="185"/>
      <c r="I2479" s="185"/>
      <c r="J2479" s="185"/>
      <c r="K2479" s="185"/>
      <c r="L2479" s="187"/>
      <c r="M2479" s="188"/>
      <c r="N2479" s="188"/>
      <c r="O2479" s="208"/>
      <c r="P2479" s="208"/>
      <c r="Q2479" s="208"/>
      <c r="R2479" s="208"/>
    </row>
    <row r="2480">
      <c r="A2480" s="185"/>
      <c r="B2480" s="186"/>
      <c r="C2480" s="185"/>
      <c r="D2480" s="185"/>
      <c r="E2480" s="185"/>
      <c r="F2480" s="185"/>
      <c r="G2480" s="185"/>
      <c r="H2480" s="185"/>
      <c r="I2480" s="185"/>
      <c r="J2480" s="185"/>
      <c r="K2480" s="185"/>
      <c r="L2480" s="187"/>
      <c r="M2480" s="188"/>
      <c r="N2480" s="188"/>
      <c r="O2480" s="208"/>
      <c r="P2480" s="208"/>
      <c r="Q2480" s="208"/>
      <c r="R2480" s="208"/>
    </row>
    <row r="2481">
      <c r="A2481" s="185"/>
      <c r="B2481" s="186"/>
      <c r="C2481" s="185"/>
      <c r="D2481" s="185"/>
      <c r="E2481" s="185"/>
      <c r="F2481" s="185"/>
      <c r="G2481" s="185"/>
      <c r="H2481" s="185"/>
      <c r="I2481" s="185"/>
      <c r="J2481" s="185"/>
      <c r="K2481" s="185"/>
      <c r="L2481" s="187"/>
      <c r="M2481" s="188"/>
      <c r="N2481" s="188"/>
      <c r="O2481" s="208"/>
      <c r="P2481" s="208"/>
      <c r="Q2481" s="208"/>
      <c r="R2481" s="208"/>
    </row>
    <row r="2482">
      <c r="A2482" s="185"/>
      <c r="B2482" s="186"/>
      <c r="C2482" s="185"/>
      <c r="D2482" s="185"/>
      <c r="E2482" s="185"/>
      <c r="F2482" s="185"/>
      <c r="G2482" s="185"/>
      <c r="H2482" s="185"/>
      <c r="I2482" s="185"/>
      <c r="J2482" s="185"/>
      <c r="K2482" s="185"/>
      <c r="L2482" s="187"/>
      <c r="M2482" s="188"/>
      <c r="N2482" s="188"/>
      <c r="O2482" s="208"/>
      <c r="P2482" s="208"/>
      <c r="Q2482" s="208"/>
      <c r="R2482" s="208"/>
    </row>
    <row r="2483">
      <c r="A2483" s="185"/>
      <c r="B2483" s="186"/>
      <c r="C2483" s="185"/>
      <c r="D2483" s="185"/>
      <c r="E2483" s="185"/>
      <c r="F2483" s="185"/>
      <c r="G2483" s="185"/>
      <c r="H2483" s="185"/>
      <c r="I2483" s="185"/>
      <c r="J2483" s="185"/>
      <c r="K2483" s="185"/>
      <c r="L2483" s="187"/>
      <c r="M2483" s="188"/>
      <c r="N2483" s="188"/>
      <c r="O2483" s="208"/>
      <c r="P2483" s="208"/>
      <c r="Q2483" s="208"/>
      <c r="R2483" s="208"/>
    </row>
    <row r="2484">
      <c r="A2484" s="185"/>
      <c r="B2484" s="186"/>
      <c r="C2484" s="185"/>
      <c r="D2484" s="185"/>
      <c r="E2484" s="185"/>
      <c r="F2484" s="185"/>
      <c r="G2484" s="185"/>
      <c r="H2484" s="185"/>
      <c r="I2484" s="185"/>
      <c r="J2484" s="185"/>
      <c r="K2484" s="185"/>
      <c r="L2484" s="187"/>
      <c r="M2484" s="188"/>
      <c r="N2484" s="188"/>
      <c r="O2484" s="208"/>
      <c r="P2484" s="208"/>
      <c r="Q2484" s="208"/>
      <c r="R2484" s="208"/>
    </row>
    <row r="2485">
      <c r="A2485" s="185"/>
      <c r="B2485" s="186"/>
      <c r="C2485" s="185"/>
      <c r="D2485" s="185"/>
      <c r="E2485" s="185"/>
      <c r="F2485" s="185"/>
      <c r="G2485" s="185"/>
      <c r="H2485" s="185"/>
      <c r="I2485" s="185"/>
      <c r="J2485" s="185"/>
      <c r="K2485" s="185"/>
      <c r="L2485" s="187"/>
      <c r="M2485" s="188"/>
      <c r="N2485" s="188"/>
      <c r="O2485" s="208"/>
      <c r="P2485" s="208"/>
      <c r="Q2485" s="208"/>
      <c r="R2485" s="208"/>
    </row>
    <row r="2486">
      <c r="A2486" s="185"/>
      <c r="B2486" s="186"/>
      <c r="C2486" s="185"/>
      <c r="D2486" s="185"/>
      <c r="E2486" s="185"/>
      <c r="F2486" s="185"/>
      <c r="G2486" s="185"/>
      <c r="H2486" s="185"/>
      <c r="I2486" s="185"/>
      <c r="J2486" s="185"/>
      <c r="K2486" s="185"/>
      <c r="L2486" s="187"/>
      <c r="M2486" s="188"/>
      <c r="N2486" s="188"/>
      <c r="O2486" s="208"/>
      <c r="P2486" s="208"/>
      <c r="Q2486" s="208"/>
      <c r="R2486" s="208"/>
    </row>
    <row r="2487">
      <c r="A2487" s="185"/>
      <c r="B2487" s="186"/>
      <c r="C2487" s="185"/>
      <c r="D2487" s="185"/>
      <c r="E2487" s="185"/>
      <c r="F2487" s="185"/>
      <c r="G2487" s="185"/>
      <c r="H2487" s="185"/>
      <c r="I2487" s="185"/>
      <c r="J2487" s="185"/>
      <c r="K2487" s="185"/>
      <c r="L2487" s="187"/>
      <c r="M2487" s="188"/>
      <c r="N2487" s="188"/>
      <c r="O2487" s="208"/>
      <c r="P2487" s="208"/>
      <c r="Q2487" s="208"/>
      <c r="R2487" s="208"/>
    </row>
    <row r="2488">
      <c r="A2488" s="185"/>
      <c r="B2488" s="186"/>
      <c r="C2488" s="185"/>
      <c r="D2488" s="185"/>
      <c r="E2488" s="185"/>
      <c r="F2488" s="185"/>
      <c r="G2488" s="185"/>
      <c r="H2488" s="185"/>
      <c r="I2488" s="185"/>
      <c r="J2488" s="185"/>
      <c r="K2488" s="185"/>
      <c r="L2488" s="187"/>
      <c r="M2488" s="188"/>
      <c r="N2488" s="188"/>
      <c r="O2488" s="208"/>
      <c r="P2488" s="208"/>
      <c r="Q2488" s="208"/>
      <c r="R2488" s="208"/>
    </row>
    <row r="2489">
      <c r="A2489" s="185"/>
      <c r="B2489" s="186"/>
      <c r="C2489" s="185"/>
      <c r="D2489" s="185"/>
      <c r="E2489" s="185"/>
      <c r="F2489" s="185"/>
      <c r="G2489" s="185"/>
      <c r="H2489" s="185"/>
      <c r="I2489" s="185"/>
      <c r="J2489" s="185"/>
      <c r="K2489" s="185"/>
      <c r="L2489" s="187"/>
      <c r="M2489" s="188"/>
      <c r="N2489" s="188"/>
      <c r="O2489" s="208"/>
      <c r="P2489" s="208"/>
      <c r="Q2489" s="208"/>
      <c r="R2489" s="208"/>
    </row>
    <row r="2490">
      <c r="A2490" s="185"/>
      <c r="B2490" s="186"/>
      <c r="C2490" s="185"/>
      <c r="D2490" s="185"/>
      <c r="E2490" s="185"/>
      <c r="F2490" s="185"/>
      <c r="G2490" s="185"/>
      <c r="H2490" s="185"/>
      <c r="I2490" s="185"/>
      <c r="J2490" s="185"/>
      <c r="K2490" s="185"/>
      <c r="L2490" s="187"/>
      <c r="M2490" s="188"/>
      <c r="N2490" s="188"/>
      <c r="O2490" s="208"/>
      <c r="P2490" s="208"/>
      <c r="Q2490" s="208"/>
      <c r="R2490" s="208"/>
    </row>
    <row r="2491">
      <c r="A2491" s="185"/>
      <c r="B2491" s="186"/>
      <c r="C2491" s="185"/>
      <c r="D2491" s="185"/>
      <c r="E2491" s="185"/>
      <c r="F2491" s="185"/>
      <c r="G2491" s="185"/>
      <c r="H2491" s="185"/>
      <c r="I2491" s="185"/>
      <c r="J2491" s="185"/>
      <c r="K2491" s="185"/>
      <c r="L2491" s="187"/>
      <c r="M2491" s="188"/>
      <c r="N2491" s="188"/>
      <c r="O2491" s="208"/>
      <c r="P2491" s="208"/>
      <c r="Q2491" s="208"/>
      <c r="R2491" s="208"/>
    </row>
    <row r="2492">
      <c r="A2492" s="185"/>
      <c r="B2492" s="186"/>
      <c r="C2492" s="185"/>
      <c r="D2492" s="185"/>
      <c r="E2492" s="185"/>
      <c r="F2492" s="185"/>
      <c r="G2492" s="185"/>
      <c r="H2492" s="185"/>
      <c r="I2492" s="185"/>
      <c r="J2492" s="185"/>
      <c r="K2492" s="185"/>
      <c r="L2492" s="187"/>
      <c r="M2492" s="188"/>
      <c r="N2492" s="188"/>
      <c r="O2492" s="208"/>
      <c r="P2492" s="208"/>
      <c r="Q2492" s="208"/>
      <c r="R2492" s="208"/>
    </row>
    <row r="2493">
      <c r="A2493" s="185"/>
      <c r="B2493" s="186"/>
      <c r="C2493" s="185"/>
      <c r="D2493" s="185"/>
      <c r="E2493" s="185"/>
      <c r="F2493" s="185"/>
      <c r="G2493" s="185"/>
      <c r="H2493" s="185"/>
      <c r="I2493" s="185"/>
      <c r="J2493" s="185"/>
      <c r="K2493" s="185"/>
      <c r="L2493" s="187"/>
      <c r="M2493" s="188"/>
      <c r="N2493" s="188"/>
      <c r="O2493" s="208"/>
      <c r="P2493" s="208"/>
      <c r="Q2493" s="208"/>
      <c r="R2493" s="208"/>
    </row>
    <row r="2494">
      <c r="A2494" s="185"/>
      <c r="B2494" s="186"/>
      <c r="C2494" s="185"/>
      <c r="D2494" s="185"/>
      <c r="E2494" s="185"/>
      <c r="F2494" s="185"/>
      <c r="G2494" s="185"/>
      <c r="H2494" s="185"/>
      <c r="I2494" s="185"/>
      <c r="J2494" s="185"/>
      <c r="K2494" s="185"/>
      <c r="L2494" s="187"/>
      <c r="M2494" s="188"/>
      <c r="N2494" s="188"/>
      <c r="O2494" s="208"/>
      <c r="P2494" s="208"/>
      <c r="Q2494" s="208"/>
      <c r="R2494" s="208"/>
    </row>
    <row r="2495">
      <c r="A2495" s="185"/>
      <c r="B2495" s="186"/>
      <c r="C2495" s="185"/>
      <c r="D2495" s="185"/>
      <c r="E2495" s="185"/>
      <c r="F2495" s="185"/>
      <c r="G2495" s="185"/>
      <c r="H2495" s="185"/>
      <c r="I2495" s="185"/>
      <c r="J2495" s="185"/>
      <c r="K2495" s="185"/>
      <c r="L2495" s="187"/>
      <c r="M2495" s="188"/>
      <c r="N2495" s="188"/>
      <c r="O2495" s="208"/>
      <c r="P2495" s="208"/>
      <c r="Q2495" s="208"/>
      <c r="R2495" s="208"/>
    </row>
    <row r="2496">
      <c r="A2496" s="185"/>
      <c r="B2496" s="186"/>
      <c r="C2496" s="185"/>
      <c r="D2496" s="185"/>
      <c r="E2496" s="185"/>
      <c r="F2496" s="185"/>
      <c r="G2496" s="185"/>
      <c r="H2496" s="185"/>
      <c r="I2496" s="185"/>
      <c r="J2496" s="185"/>
      <c r="K2496" s="185"/>
      <c r="L2496" s="187"/>
      <c r="M2496" s="188"/>
      <c r="N2496" s="188"/>
      <c r="O2496" s="208"/>
      <c r="P2496" s="208"/>
      <c r="Q2496" s="208"/>
      <c r="R2496" s="208"/>
    </row>
    <row r="2497">
      <c r="A2497" s="185"/>
      <c r="B2497" s="186"/>
      <c r="C2497" s="185"/>
      <c r="D2497" s="185"/>
      <c r="E2497" s="185"/>
      <c r="F2497" s="185"/>
      <c r="G2497" s="185"/>
      <c r="H2497" s="185"/>
      <c r="I2497" s="185"/>
      <c r="J2497" s="185"/>
      <c r="K2497" s="185"/>
      <c r="L2497" s="187"/>
      <c r="M2497" s="188"/>
      <c r="N2497" s="188"/>
      <c r="O2497" s="208"/>
      <c r="P2497" s="208"/>
      <c r="Q2497" s="208"/>
      <c r="R2497" s="208"/>
    </row>
    <row r="2498">
      <c r="A2498" s="185"/>
      <c r="B2498" s="186"/>
      <c r="C2498" s="185"/>
      <c r="D2498" s="185"/>
      <c r="E2498" s="185"/>
      <c r="F2498" s="185"/>
      <c r="G2498" s="185"/>
      <c r="H2498" s="185"/>
      <c r="I2498" s="185"/>
      <c r="J2498" s="185"/>
      <c r="K2498" s="185"/>
      <c r="L2498" s="187"/>
      <c r="M2498" s="188"/>
      <c r="N2498" s="188"/>
      <c r="O2498" s="208"/>
      <c r="P2498" s="208"/>
      <c r="Q2498" s="208"/>
      <c r="R2498" s="208"/>
    </row>
    <row r="2499">
      <c r="A2499" s="185"/>
      <c r="B2499" s="186"/>
      <c r="C2499" s="185"/>
      <c r="D2499" s="185"/>
      <c r="E2499" s="185"/>
      <c r="F2499" s="185"/>
      <c r="G2499" s="185"/>
      <c r="H2499" s="185"/>
      <c r="I2499" s="185"/>
      <c r="J2499" s="185"/>
      <c r="K2499" s="185"/>
      <c r="L2499" s="187"/>
      <c r="M2499" s="188"/>
      <c r="N2499" s="188"/>
      <c r="O2499" s="208"/>
      <c r="P2499" s="208"/>
      <c r="Q2499" s="208"/>
      <c r="R2499" s="208"/>
    </row>
    <row r="2500">
      <c r="A2500" s="185"/>
      <c r="B2500" s="186"/>
      <c r="C2500" s="185"/>
      <c r="D2500" s="185"/>
      <c r="E2500" s="185"/>
      <c r="F2500" s="185"/>
      <c r="G2500" s="185"/>
      <c r="H2500" s="185"/>
      <c r="I2500" s="185"/>
      <c r="J2500" s="185"/>
      <c r="K2500" s="185"/>
      <c r="L2500" s="187"/>
      <c r="M2500" s="188"/>
      <c r="N2500" s="188"/>
      <c r="O2500" s="208"/>
      <c r="P2500" s="208"/>
      <c r="Q2500" s="208"/>
      <c r="R2500" s="208"/>
    </row>
    <row r="2501">
      <c r="A2501" s="185"/>
      <c r="B2501" s="186"/>
      <c r="C2501" s="185"/>
      <c r="D2501" s="185"/>
      <c r="E2501" s="185"/>
      <c r="F2501" s="185"/>
      <c r="G2501" s="185"/>
      <c r="H2501" s="185"/>
      <c r="I2501" s="185"/>
      <c r="J2501" s="185"/>
      <c r="K2501" s="185"/>
      <c r="L2501" s="187"/>
      <c r="M2501" s="188"/>
      <c r="N2501" s="188"/>
      <c r="O2501" s="208"/>
      <c r="P2501" s="208"/>
      <c r="Q2501" s="208"/>
      <c r="R2501" s="208"/>
    </row>
    <row r="2502">
      <c r="A2502" s="185"/>
      <c r="B2502" s="186"/>
      <c r="C2502" s="185"/>
      <c r="D2502" s="185"/>
      <c r="E2502" s="185"/>
      <c r="F2502" s="185"/>
      <c r="G2502" s="185"/>
      <c r="H2502" s="185"/>
      <c r="I2502" s="185"/>
      <c r="J2502" s="185"/>
      <c r="K2502" s="185"/>
      <c r="L2502" s="187"/>
      <c r="M2502" s="188"/>
      <c r="N2502" s="188"/>
      <c r="O2502" s="208"/>
      <c r="P2502" s="208"/>
      <c r="Q2502" s="208"/>
      <c r="R2502" s="208"/>
    </row>
    <row r="2503">
      <c r="A2503" s="185"/>
      <c r="B2503" s="186"/>
      <c r="C2503" s="185"/>
      <c r="D2503" s="185"/>
      <c r="E2503" s="185"/>
      <c r="F2503" s="185"/>
      <c r="G2503" s="185"/>
      <c r="H2503" s="185"/>
      <c r="I2503" s="185"/>
      <c r="J2503" s="185"/>
      <c r="K2503" s="185"/>
      <c r="L2503" s="187"/>
      <c r="M2503" s="188"/>
      <c r="N2503" s="188"/>
      <c r="O2503" s="208"/>
      <c r="P2503" s="208"/>
      <c r="Q2503" s="208"/>
      <c r="R2503" s="208"/>
    </row>
    <row r="2504">
      <c r="A2504" s="185"/>
      <c r="B2504" s="186"/>
      <c r="C2504" s="185"/>
      <c r="D2504" s="185"/>
      <c r="E2504" s="185"/>
      <c r="F2504" s="185"/>
      <c r="G2504" s="185"/>
      <c r="H2504" s="185"/>
      <c r="I2504" s="185"/>
      <c r="J2504" s="185"/>
      <c r="K2504" s="185"/>
      <c r="L2504" s="187"/>
      <c r="M2504" s="188"/>
      <c r="N2504" s="188"/>
      <c r="O2504" s="208"/>
      <c r="P2504" s="208"/>
      <c r="Q2504" s="208"/>
      <c r="R2504" s="208"/>
    </row>
    <row r="2505">
      <c r="A2505" s="185"/>
      <c r="B2505" s="186"/>
      <c r="C2505" s="185"/>
      <c r="D2505" s="185"/>
      <c r="E2505" s="185"/>
      <c r="F2505" s="185"/>
      <c r="G2505" s="185"/>
      <c r="H2505" s="185"/>
      <c r="I2505" s="185"/>
      <c r="J2505" s="185"/>
      <c r="K2505" s="185"/>
      <c r="L2505" s="187"/>
      <c r="M2505" s="188"/>
      <c r="N2505" s="188"/>
      <c r="O2505" s="208"/>
      <c r="P2505" s="208"/>
      <c r="Q2505" s="208"/>
      <c r="R2505" s="208"/>
    </row>
    <row r="2506">
      <c r="A2506" s="185"/>
      <c r="B2506" s="186"/>
      <c r="C2506" s="185"/>
      <c r="D2506" s="185"/>
      <c r="E2506" s="185"/>
      <c r="F2506" s="185"/>
      <c r="G2506" s="185"/>
      <c r="H2506" s="185"/>
      <c r="I2506" s="185"/>
      <c r="J2506" s="185"/>
      <c r="K2506" s="185"/>
      <c r="L2506" s="187"/>
      <c r="M2506" s="188"/>
      <c r="N2506" s="188"/>
      <c r="O2506" s="208"/>
      <c r="P2506" s="208"/>
      <c r="Q2506" s="208"/>
      <c r="R2506" s="208"/>
    </row>
    <row r="2507">
      <c r="A2507" s="185"/>
      <c r="B2507" s="186"/>
      <c r="C2507" s="185"/>
      <c r="D2507" s="185"/>
      <c r="E2507" s="185"/>
      <c r="F2507" s="185"/>
      <c r="G2507" s="185"/>
      <c r="H2507" s="185"/>
      <c r="I2507" s="185"/>
      <c r="J2507" s="185"/>
      <c r="K2507" s="185"/>
      <c r="L2507" s="187"/>
      <c r="M2507" s="188"/>
      <c r="N2507" s="188"/>
      <c r="O2507" s="208"/>
      <c r="P2507" s="208"/>
      <c r="Q2507" s="208"/>
      <c r="R2507" s="208"/>
    </row>
    <row r="2508">
      <c r="A2508" s="185"/>
      <c r="B2508" s="186"/>
      <c r="C2508" s="185"/>
      <c r="D2508" s="185"/>
      <c r="E2508" s="185"/>
      <c r="F2508" s="185"/>
      <c r="G2508" s="185"/>
      <c r="H2508" s="185"/>
      <c r="I2508" s="185"/>
      <c r="J2508" s="185"/>
      <c r="K2508" s="185"/>
      <c r="L2508" s="187"/>
      <c r="M2508" s="188"/>
      <c r="N2508" s="188"/>
      <c r="O2508" s="208"/>
      <c r="P2508" s="208"/>
      <c r="Q2508" s="208"/>
      <c r="R2508" s="208"/>
    </row>
    <row r="2509">
      <c r="A2509" s="185"/>
      <c r="B2509" s="186"/>
      <c r="C2509" s="185"/>
      <c r="D2509" s="185"/>
      <c r="E2509" s="185"/>
      <c r="F2509" s="185"/>
      <c r="G2509" s="185"/>
      <c r="H2509" s="185"/>
      <c r="I2509" s="185"/>
      <c r="J2509" s="185"/>
      <c r="K2509" s="185"/>
      <c r="L2509" s="187"/>
      <c r="M2509" s="188"/>
      <c r="N2509" s="188"/>
      <c r="O2509" s="208"/>
      <c r="P2509" s="208"/>
      <c r="Q2509" s="208"/>
      <c r="R2509" s="208"/>
    </row>
    <row r="2510">
      <c r="A2510" s="185"/>
      <c r="B2510" s="186"/>
      <c r="C2510" s="185"/>
      <c r="D2510" s="185"/>
      <c r="E2510" s="185"/>
      <c r="F2510" s="185"/>
      <c r="G2510" s="185"/>
      <c r="H2510" s="185"/>
      <c r="I2510" s="185"/>
      <c r="J2510" s="185"/>
      <c r="K2510" s="185"/>
      <c r="L2510" s="187"/>
      <c r="M2510" s="188"/>
      <c r="N2510" s="188"/>
      <c r="O2510" s="208"/>
      <c r="P2510" s="208"/>
      <c r="Q2510" s="208"/>
      <c r="R2510" s="208"/>
    </row>
    <row r="2511">
      <c r="A2511" s="185"/>
      <c r="B2511" s="186"/>
      <c r="C2511" s="185"/>
      <c r="D2511" s="185"/>
      <c r="E2511" s="185"/>
      <c r="F2511" s="185"/>
      <c r="G2511" s="185"/>
      <c r="H2511" s="185"/>
      <c r="I2511" s="185"/>
      <c r="J2511" s="185"/>
      <c r="K2511" s="185"/>
      <c r="L2511" s="187"/>
      <c r="M2511" s="188"/>
      <c r="N2511" s="188"/>
      <c r="O2511" s="208"/>
      <c r="P2511" s="208"/>
      <c r="Q2511" s="208"/>
      <c r="R2511" s="208"/>
    </row>
    <row r="2512">
      <c r="A2512" s="185"/>
      <c r="B2512" s="186"/>
      <c r="C2512" s="185"/>
      <c r="D2512" s="185"/>
      <c r="E2512" s="185"/>
      <c r="F2512" s="185"/>
      <c r="G2512" s="185"/>
      <c r="H2512" s="185"/>
      <c r="I2512" s="185"/>
      <c r="J2512" s="185"/>
      <c r="K2512" s="185"/>
      <c r="L2512" s="187"/>
      <c r="M2512" s="188"/>
      <c r="N2512" s="188"/>
      <c r="O2512" s="208"/>
      <c r="P2512" s="208"/>
      <c r="Q2512" s="208"/>
      <c r="R2512" s="208"/>
    </row>
    <row r="2513">
      <c r="A2513" s="185"/>
      <c r="B2513" s="186"/>
      <c r="C2513" s="185"/>
      <c r="D2513" s="185"/>
      <c r="E2513" s="185"/>
      <c r="F2513" s="185"/>
      <c r="G2513" s="185"/>
      <c r="H2513" s="185"/>
      <c r="I2513" s="185"/>
      <c r="J2513" s="185"/>
      <c r="K2513" s="185"/>
      <c r="L2513" s="187"/>
      <c r="M2513" s="188"/>
      <c r="N2513" s="188"/>
      <c r="O2513" s="208"/>
      <c r="P2513" s="208"/>
      <c r="Q2513" s="208"/>
      <c r="R2513" s="208"/>
    </row>
    <row r="2514">
      <c r="A2514" s="185"/>
      <c r="B2514" s="186"/>
      <c r="C2514" s="185"/>
      <c r="D2514" s="185"/>
      <c r="E2514" s="185"/>
      <c r="F2514" s="185"/>
      <c r="G2514" s="185"/>
      <c r="H2514" s="185"/>
      <c r="I2514" s="185"/>
      <c r="J2514" s="185"/>
      <c r="K2514" s="185"/>
      <c r="L2514" s="187"/>
      <c r="M2514" s="188"/>
      <c r="N2514" s="188"/>
      <c r="O2514" s="208"/>
      <c r="P2514" s="208"/>
      <c r="Q2514" s="208"/>
      <c r="R2514" s="208"/>
    </row>
    <row r="2515">
      <c r="A2515" s="185"/>
      <c r="B2515" s="186"/>
      <c r="C2515" s="185"/>
      <c r="D2515" s="185"/>
      <c r="E2515" s="185"/>
      <c r="F2515" s="185"/>
      <c r="G2515" s="185"/>
      <c r="H2515" s="185"/>
      <c r="I2515" s="185"/>
      <c r="J2515" s="185"/>
      <c r="K2515" s="185"/>
      <c r="L2515" s="187"/>
      <c r="M2515" s="188"/>
      <c r="N2515" s="188"/>
      <c r="O2515" s="208"/>
      <c r="P2515" s="208"/>
      <c r="Q2515" s="208"/>
      <c r="R2515" s="208"/>
    </row>
    <row r="2516">
      <c r="A2516" s="185"/>
      <c r="B2516" s="186"/>
      <c r="C2516" s="185"/>
      <c r="D2516" s="185"/>
      <c r="E2516" s="185"/>
      <c r="F2516" s="185"/>
      <c r="G2516" s="185"/>
      <c r="H2516" s="185"/>
      <c r="I2516" s="185"/>
      <c r="J2516" s="185"/>
      <c r="K2516" s="185"/>
      <c r="L2516" s="187"/>
      <c r="M2516" s="188"/>
      <c r="N2516" s="188"/>
      <c r="O2516" s="208"/>
      <c r="P2516" s="208"/>
      <c r="Q2516" s="208"/>
      <c r="R2516" s="208"/>
    </row>
    <row r="2517">
      <c r="A2517" s="185"/>
      <c r="B2517" s="186"/>
      <c r="C2517" s="185"/>
      <c r="D2517" s="185"/>
      <c r="E2517" s="185"/>
      <c r="F2517" s="185"/>
      <c r="G2517" s="185"/>
      <c r="H2517" s="185"/>
      <c r="I2517" s="185"/>
      <c r="J2517" s="185"/>
      <c r="K2517" s="185"/>
      <c r="L2517" s="187"/>
      <c r="M2517" s="188"/>
      <c r="N2517" s="188"/>
      <c r="O2517" s="208"/>
      <c r="P2517" s="208"/>
      <c r="Q2517" s="208"/>
      <c r="R2517" s="208"/>
    </row>
    <row r="2518">
      <c r="A2518" s="185"/>
      <c r="B2518" s="186"/>
      <c r="C2518" s="185"/>
      <c r="D2518" s="185"/>
      <c r="E2518" s="185"/>
      <c r="F2518" s="185"/>
      <c r="G2518" s="185"/>
      <c r="H2518" s="185"/>
      <c r="I2518" s="185"/>
      <c r="J2518" s="185"/>
      <c r="K2518" s="185"/>
      <c r="L2518" s="187"/>
      <c r="M2518" s="188"/>
      <c r="N2518" s="188"/>
      <c r="O2518" s="208"/>
      <c r="P2518" s="208"/>
      <c r="Q2518" s="208"/>
      <c r="R2518" s="208"/>
    </row>
    <row r="2519">
      <c r="A2519" s="185"/>
      <c r="B2519" s="186"/>
      <c r="C2519" s="185"/>
      <c r="D2519" s="185"/>
      <c r="E2519" s="185"/>
      <c r="F2519" s="185"/>
      <c r="G2519" s="185"/>
      <c r="H2519" s="185"/>
      <c r="I2519" s="185"/>
      <c r="J2519" s="185"/>
      <c r="K2519" s="185"/>
      <c r="L2519" s="187"/>
      <c r="M2519" s="188"/>
      <c r="N2519" s="188"/>
      <c r="O2519" s="208"/>
      <c r="P2519" s="208"/>
      <c r="Q2519" s="208"/>
      <c r="R2519" s="208"/>
    </row>
    <row r="2520">
      <c r="A2520" s="185"/>
      <c r="B2520" s="186"/>
      <c r="C2520" s="185"/>
      <c r="D2520" s="185"/>
      <c r="E2520" s="185"/>
      <c r="F2520" s="185"/>
      <c r="G2520" s="185"/>
      <c r="H2520" s="185"/>
      <c r="I2520" s="185"/>
      <c r="J2520" s="185"/>
      <c r="K2520" s="185"/>
      <c r="L2520" s="187"/>
      <c r="M2520" s="188"/>
      <c r="N2520" s="188"/>
      <c r="O2520" s="208"/>
      <c r="P2520" s="208"/>
      <c r="Q2520" s="208"/>
      <c r="R2520" s="208"/>
    </row>
    <row r="2521">
      <c r="A2521" s="185"/>
      <c r="B2521" s="186"/>
      <c r="C2521" s="185"/>
      <c r="D2521" s="185"/>
      <c r="E2521" s="185"/>
      <c r="F2521" s="185"/>
      <c r="G2521" s="185"/>
      <c r="H2521" s="185"/>
      <c r="I2521" s="185"/>
      <c r="J2521" s="185"/>
      <c r="K2521" s="185"/>
      <c r="L2521" s="187"/>
      <c r="M2521" s="188"/>
      <c r="N2521" s="188"/>
      <c r="O2521" s="208"/>
      <c r="P2521" s="208"/>
      <c r="Q2521" s="208"/>
      <c r="R2521" s="208"/>
    </row>
    <row r="2522">
      <c r="A2522" s="185"/>
      <c r="B2522" s="186"/>
      <c r="C2522" s="185"/>
      <c r="D2522" s="185"/>
      <c r="E2522" s="185"/>
      <c r="F2522" s="185"/>
      <c r="G2522" s="185"/>
      <c r="H2522" s="185"/>
      <c r="I2522" s="185"/>
      <c r="J2522" s="185"/>
      <c r="K2522" s="185"/>
      <c r="L2522" s="187"/>
      <c r="M2522" s="188"/>
      <c r="N2522" s="188"/>
      <c r="O2522" s="208"/>
      <c r="P2522" s="208"/>
      <c r="Q2522" s="208"/>
      <c r="R2522" s="208"/>
    </row>
    <row r="2523">
      <c r="A2523" s="185"/>
      <c r="B2523" s="186"/>
      <c r="C2523" s="185"/>
      <c r="D2523" s="185"/>
      <c r="E2523" s="185"/>
      <c r="F2523" s="185"/>
      <c r="G2523" s="185"/>
      <c r="H2523" s="185"/>
      <c r="I2523" s="185"/>
      <c r="J2523" s="185"/>
      <c r="K2523" s="185"/>
      <c r="L2523" s="187"/>
      <c r="M2523" s="188"/>
      <c r="N2523" s="188"/>
      <c r="O2523" s="208"/>
      <c r="P2523" s="208"/>
      <c r="Q2523" s="208"/>
      <c r="R2523" s="208"/>
    </row>
    <row r="2524">
      <c r="A2524" s="185"/>
      <c r="B2524" s="186"/>
      <c r="C2524" s="185"/>
      <c r="D2524" s="185"/>
      <c r="E2524" s="185"/>
      <c r="F2524" s="185"/>
      <c r="G2524" s="185"/>
      <c r="H2524" s="185"/>
      <c r="I2524" s="185"/>
      <c r="J2524" s="185"/>
      <c r="K2524" s="185"/>
      <c r="L2524" s="187"/>
      <c r="M2524" s="188"/>
      <c r="N2524" s="188"/>
      <c r="O2524" s="208"/>
      <c r="P2524" s="208"/>
      <c r="Q2524" s="208"/>
      <c r="R2524" s="208"/>
    </row>
    <row r="2525">
      <c r="A2525" s="185"/>
      <c r="B2525" s="186"/>
      <c r="C2525" s="185"/>
      <c r="D2525" s="185"/>
      <c r="E2525" s="185"/>
      <c r="F2525" s="185"/>
      <c r="G2525" s="185"/>
      <c r="H2525" s="185"/>
      <c r="I2525" s="185"/>
      <c r="J2525" s="185"/>
      <c r="K2525" s="185"/>
      <c r="L2525" s="187"/>
      <c r="M2525" s="188"/>
      <c r="N2525" s="188"/>
      <c r="O2525" s="208"/>
      <c r="P2525" s="208"/>
      <c r="Q2525" s="208"/>
      <c r="R2525" s="208"/>
    </row>
    <row r="2526">
      <c r="A2526" s="185"/>
      <c r="B2526" s="186"/>
      <c r="C2526" s="185"/>
      <c r="D2526" s="185"/>
      <c r="E2526" s="185"/>
      <c r="F2526" s="185"/>
      <c r="G2526" s="185"/>
      <c r="H2526" s="185"/>
      <c r="I2526" s="185"/>
      <c r="J2526" s="185"/>
      <c r="K2526" s="185"/>
      <c r="L2526" s="187"/>
      <c r="M2526" s="188"/>
      <c r="N2526" s="188"/>
      <c r="O2526" s="208"/>
      <c r="P2526" s="208"/>
      <c r="Q2526" s="208"/>
      <c r="R2526" s="208"/>
    </row>
    <row r="2527">
      <c r="A2527" s="185"/>
      <c r="B2527" s="186"/>
      <c r="C2527" s="185"/>
      <c r="D2527" s="185"/>
      <c r="E2527" s="185"/>
      <c r="F2527" s="185"/>
      <c r="G2527" s="185"/>
      <c r="H2527" s="185"/>
      <c r="I2527" s="185"/>
      <c r="J2527" s="185"/>
      <c r="K2527" s="185"/>
      <c r="L2527" s="187"/>
      <c r="M2527" s="188"/>
      <c r="N2527" s="188"/>
      <c r="O2527" s="208"/>
      <c r="P2527" s="208"/>
      <c r="Q2527" s="208"/>
      <c r="R2527" s="208"/>
    </row>
    <row r="2528">
      <c r="A2528" s="185"/>
      <c r="B2528" s="186"/>
      <c r="C2528" s="185"/>
      <c r="D2528" s="185"/>
      <c r="E2528" s="185"/>
      <c r="F2528" s="185"/>
      <c r="G2528" s="185"/>
      <c r="H2528" s="185"/>
      <c r="I2528" s="185"/>
      <c r="J2528" s="185"/>
      <c r="K2528" s="185"/>
      <c r="L2528" s="187"/>
      <c r="M2528" s="188"/>
      <c r="N2528" s="188"/>
      <c r="O2528" s="208"/>
      <c r="P2528" s="208"/>
      <c r="Q2528" s="208"/>
      <c r="R2528" s="208"/>
    </row>
    <row r="2529">
      <c r="A2529" s="185"/>
      <c r="B2529" s="186"/>
      <c r="C2529" s="185"/>
      <c r="D2529" s="185"/>
      <c r="E2529" s="185"/>
      <c r="F2529" s="185"/>
      <c r="G2529" s="185"/>
      <c r="H2529" s="185"/>
      <c r="I2529" s="185"/>
      <c r="J2529" s="185"/>
      <c r="K2529" s="185"/>
      <c r="L2529" s="187"/>
      <c r="M2529" s="188"/>
      <c r="N2529" s="188"/>
      <c r="O2529" s="208"/>
      <c r="P2529" s="208"/>
      <c r="Q2529" s="208"/>
      <c r="R2529" s="208"/>
    </row>
    <row r="2530">
      <c r="A2530" s="185"/>
      <c r="B2530" s="186"/>
      <c r="C2530" s="185"/>
      <c r="D2530" s="185"/>
      <c r="E2530" s="185"/>
      <c r="F2530" s="185"/>
      <c r="G2530" s="185"/>
      <c r="H2530" s="185"/>
      <c r="I2530" s="185"/>
      <c r="J2530" s="185"/>
      <c r="K2530" s="185"/>
      <c r="L2530" s="187"/>
      <c r="M2530" s="188"/>
      <c r="N2530" s="188"/>
      <c r="O2530" s="208"/>
      <c r="P2530" s="208"/>
      <c r="Q2530" s="208"/>
      <c r="R2530" s="208"/>
    </row>
    <row r="2531">
      <c r="A2531" s="185"/>
      <c r="B2531" s="186"/>
      <c r="C2531" s="185"/>
      <c r="D2531" s="185"/>
      <c r="E2531" s="185"/>
      <c r="F2531" s="185"/>
      <c r="G2531" s="185"/>
      <c r="H2531" s="185"/>
      <c r="I2531" s="185"/>
      <c r="J2531" s="185"/>
      <c r="K2531" s="185"/>
      <c r="L2531" s="187"/>
      <c r="M2531" s="188"/>
      <c r="N2531" s="188"/>
      <c r="O2531" s="208"/>
      <c r="P2531" s="208"/>
      <c r="Q2531" s="208"/>
      <c r="R2531" s="208"/>
    </row>
    <row r="2532">
      <c r="A2532" s="185"/>
      <c r="B2532" s="186"/>
      <c r="C2532" s="185"/>
      <c r="D2532" s="185"/>
      <c r="E2532" s="185"/>
      <c r="F2532" s="185"/>
      <c r="G2532" s="185"/>
      <c r="H2532" s="185"/>
      <c r="I2532" s="185"/>
      <c r="J2532" s="185"/>
      <c r="K2532" s="185"/>
      <c r="L2532" s="187"/>
      <c r="M2532" s="188"/>
      <c r="N2532" s="188"/>
      <c r="O2532" s="208"/>
      <c r="P2532" s="208"/>
      <c r="Q2532" s="208"/>
      <c r="R2532" s="208"/>
    </row>
    <row r="2533">
      <c r="A2533" s="185"/>
      <c r="B2533" s="186"/>
      <c r="C2533" s="185"/>
      <c r="D2533" s="185"/>
      <c r="E2533" s="185"/>
      <c r="F2533" s="185"/>
      <c r="G2533" s="185"/>
      <c r="H2533" s="185"/>
      <c r="I2533" s="185"/>
      <c r="J2533" s="185"/>
      <c r="K2533" s="185"/>
      <c r="L2533" s="187"/>
      <c r="M2533" s="188"/>
      <c r="N2533" s="188"/>
      <c r="O2533" s="208"/>
      <c r="P2533" s="208"/>
      <c r="Q2533" s="208"/>
      <c r="R2533" s="208"/>
    </row>
    <row r="2534">
      <c r="A2534" s="185"/>
      <c r="B2534" s="186"/>
      <c r="C2534" s="185"/>
      <c r="D2534" s="185"/>
      <c r="E2534" s="185"/>
      <c r="F2534" s="185"/>
      <c r="G2534" s="185"/>
      <c r="H2534" s="185"/>
      <c r="I2534" s="185"/>
      <c r="J2534" s="185"/>
      <c r="K2534" s="185"/>
      <c r="L2534" s="187"/>
      <c r="M2534" s="188"/>
      <c r="N2534" s="188"/>
      <c r="O2534" s="208"/>
      <c r="P2534" s="208"/>
      <c r="Q2534" s="208"/>
      <c r="R2534" s="208"/>
    </row>
    <row r="2535">
      <c r="A2535" s="185"/>
      <c r="B2535" s="186"/>
      <c r="C2535" s="185"/>
      <c r="D2535" s="185"/>
      <c r="E2535" s="185"/>
      <c r="F2535" s="185"/>
      <c r="G2535" s="185"/>
      <c r="H2535" s="185"/>
      <c r="I2535" s="185"/>
      <c r="J2535" s="185"/>
      <c r="K2535" s="185"/>
      <c r="L2535" s="187"/>
      <c r="M2535" s="188"/>
      <c r="N2535" s="188"/>
      <c r="O2535" s="208"/>
      <c r="P2535" s="208"/>
      <c r="Q2535" s="208"/>
      <c r="R2535" s="208"/>
    </row>
    <row r="2536">
      <c r="A2536" s="185"/>
      <c r="B2536" s="186"/>
      <c r="C2536" s="185"/>
      <c r="D2536" s="185"/>
      <c r="E2536" s="185"/>
      <c r="F2536" s="185"/>
      <c r="G2536" s="185"/>
      <c r="H2536" s="185"/>
      <c r="I2536" s="185"/>
      <c r="J2536" s="185"/>
      <c r="K2536" s="185"/>
      <c r="L2536" s="187"/>
      <c r="M2536" s="188"/>
      <c r="N2536" s="188"/>
      <c r="O2536" s="208"/>
      <c r="P2536" s="208"/>
      <c r="Q2536" s="208"/>
      <c r="R2536" s="208"/>
    </row>
    <row r="2537">
      <c r="A2537" s="185"/>
      <c r="B2537" s="186"/>
      <c r="C2537" s="185"/>
      <c r="D2537" s="185"/>
      <c r="E2537" s="185"/>
      <c r="F2537" s="185"/>
      <c r="G2537" s="185"/>
      <c r="H2537" s="185"/>
      <c r="I2537" s="185"/>
      <c r="J2537" s="185"/>
      <c r="K2537" s="185"/>
      <c r="L2537" s="187"/>
      <c r="M2537" s="188"/>
      <c r="N2537" s="188"/>
      <c r="O2537" s="208"/>
      <c r="P2537" s="208"/>
      <c r="Q2537" s="208"/>
      <c r="R2537" s="208"/>
    </row>
    <row r="2538">
      <c r="A2538" s="185"/>
      <c r="B2538" s="186"/>
      <c r="C2538" s="185"/>
      <c r="D2538" s="185"/>
      <c r="E2538" s="185"/>
      <c r="F2538" s="185"/>
      <c r="G2538" s="185"/>
      <c r="H2538" s="185"/>
      <c r="I2538" s="185"/>
      <c r="J2538" s="185"/>
      <c r="K2538" s="185"/>
      <c r="L2538" s="187"/>
      <c r="M2538" s="188"/>
      <c r="N2538" s="188"/>
      <c r="O2538" s="208"/>
      <c r="P2538" s="208"/>
      <c r="Q2538" s="208"/>
      <c r="R2538" s="208"/>
    </row>
    <row r="2539">
      <c r="A2539" s="185"/>
      <c r="B2539" s="186"/>
      <c r="C2539" s="185"/>
      <c r="D2539" s="185"/>
      <c r="E2539" s="185"/>
      <c r="F2539" s="185"/>
      <c r="G2539" s="185"/>
      <c r="H2539" s="185"/>
      <c r="I2539" s="185"/>
      <c r="J2539" s="185"/>
      <c r="K2539" s="185"/>
      <c r="L2539" s="187"/>
      <c r="M2539" s="188"/>
      <c r="N2539" s="188"/>
      <c r="O2539" s="208"/>
      <c r="P2539" s="208"/>
      <c r="Q2539" s="208"/>
      <c r="R2539" s="208"/>
    </row>
    <row r="2540">
      <c r="A2540" s="185"/>
      <c r="B2540" s="186"/>
      <c r="C2540" s="185"/>
      <c r="D2540" s="185"/>
      <c r="E2540" s="185"/>
      <c r="F2540" s="185"/>
      <c r="G2540" s="185"/>
      <c r="H2540" s="185"/>
      <c r="I2540" s="185"/>
      <c r="J2540" s="185"/>
      <c r="K2540" s="185"/>
      <c r="L2540" s="187"/>
      <c r="M2540" s="188"/>
      <c r="N2540" s="188"/>
      <c r="O2540" s="208"/>
      <c r="P2540" s="208"/>
      <c r="Q2540" s="208"/>
      <c r="R2540" s="208"/>
    </row>
    <row r="2541">
      <c r="A2541" s="185"/>
      <c r="B2541" s="186"/>
      <c r="C2541" s="185"/>
      <c r="D2541" s="185"/>
      <c r="E2541" s="185"/>
      <c r="F2541" s="185"/>
      <c r="G2541" s="185"/>
      <c r="H2541" s="185"/>
      <c r="I2541" s="185"/>
      <c r="J2541" s="185"/>
      <c r="K2541" s="185"/>
      <c r="L2541" s="187"/>
      <c r="M2541" s="188"/>
      <c r="N2541" s="188"/>
      <c r="O2541" s="208"/>
      <c r="P2541" s="208"/>
      <c r="Q2541" s="208"/>
      <c r="R2541" s="208"/>
    </row>
    <row r="2542">
      <c r="A2542" s="185"/>
      <c r="B2542" s="186"/>
      <c r="C2542" s="185"/>
      <c r="D2542" s="185"/>
      <c r="E2542" s="185"/>
      <c r="F2542" s="185"/>
      <c r="G2542" s="185"/>
      <c r="H2542" s="185"/>
      <c r="I2542" s="185"/>
      <c r="J2542" s="185"/>
      <c r="K2542" s="185"/>
      <c r="L2542" s="187"/>
      <c r="M2542" s="188"/>
      <c r="N2542" s="188"/>
      <c r="O2542" s="208"/>
      <c r="P2542" s="208"/>
      <c r="Q2542" s="208"/>
      <c r="R2542" s="208"/>
    </row>
    <row r="2543">
      <c r="A2543" s="185"/>
      <c r="B2543" s="186"/>
      <c r="C2543" s="185"/>
      <c r="D2543" s="185"/>
      <c r="E2543" s="185"/>
      <c r="F2543" s="185"/>
      <c r="G2543" s="185"/>
      <c r="H2543" s="185"/>
      <c r="I2543" s="185"/>
      <c r="J2543" s="185"/>
      <c r="K2543" s="185"/>
      <c r="L2543" s="187"/>
      <c r="M2543" s="188"/>
      <c r="N2543" s="188"/>
      <c r="O2543" s="208"/>
      <c r="P2543" s="208"/>
      <c r="Q2543" s="208"/>
      <c r="R2543" s="208"/>
    </row>
    <row r="2544">
      <c r="A2544" s="185"/>
      <c r="B2544" s="186"/>
      <c r="C2544" s="185"/>
      <c r="D2544" s="185"/>
      <c r="E2544" s="185"/>
      <c r="F2544" s="185"/>
      <c r="G2544" s="185"/>
      <c r="H2544" s="185"/>
      <c r="I2544" s="185"/>
      <c r="J2544" s="185"/>
      <c r="K2544" s="185"/>
      <c r="L2544" s="187"/>
      <c r="M2544" s="188"/>
      <c r="N2544" s="188"/>
      <c r="O2544" s="208"/>
      <c r="P2544" s="208"/>
      <c r="Q2544" s="208"/>
      <c r="R2544" s="208"/>
    </row>
    <row r="2545">
      <c r="A2545" s="185"/>
      <c r="B2545" s="186"/>
      <c r="C2545" s="185"/>
      <c r="D2545" s="185"/>
      <c r="E2545" s="185"/>
      <c r="F2545" s="185"/>
      <c r="G2545" s="185"/>
      <c r="H2545" s="185"/>
      <c r="I2545" s="185"/>
      <c r="J2545" s="185"/>
      <c r="K2545" s="185"/>
      <c r="L2545" s="187"/>
      <c r="M2545" s="188"/>
      <c r="N2545" s="188"/>
      <c r="O2545" s="208"/>
      <c r="P2545" s="208"/>
      <c r="Q2545" s="208"/>
      <c r="R2545" s="208"/>
    </row>
    <row r="2546">
      <c r="A2546" s="185"/>
      <c r="B2546" s="186"/>
      <c r="C2546" s="185"/>
      <c r="D2546" s="185"/>
      <c r="E2546" s="185"/>
      <c r="F2546" s="185"/>
      <c r="G2546" s="185"/>
      <c r="H2546" s="185"/>
      <c r="I2546" s="185"/>
      <c r="J2546" s="185"/>
      <c r="K2546" s="185"/>
      <c r="L2546" s="187"/>
      <c r="M2546" s="188"/>
      <c r="N2546" s="188"/>
      <c r="O2546" s="208"/>
      <c r="P2546" s="208"/>
      <c r="Q2546" s="208"/>
      <c r="R2546" s="208"/>
    </row>
    <row r="2547">
      <c r="A2547" s="185"/>
      <c r="B2547" s="186"/>
      <c r="C2547" s="185"/>
      <c r="D2547" s="185"/>
      <c r="E2547" s="185"/>
      <c r="F2547" s="185"/>
      <c r="G2547" s="185"/>
      <c r="H2547" s="185"/>
      <c r="I2547" s="185"/>
      <c r="J2547" s="185"/>
      <c r="K2547" s="185"/>
      <c r="L2547" s="187"/>
      <c r="M2547" s="188"/>
      <c r="N2547" s="188"/>
      <c r="O2547" s="208"/>
      <c r="P2547" s="208"/>
      <c r="Q2547" s="208"/>
      <c r="R2547" s="208"/>
    </row>
    <row r="2548">
      <c r="A2548" s="185"/>
      <c r="B2548" s="186"/>
      <c r="C2548" s="185"/>
      <c r="D2548" s="185"/>
      <c r="E2548" s="185"/>
      <c r="F2548" s="185"/>
      <c r="G2548" s="185"/>
      <c r="H2548" s="185"/>
      <c r="I2548" s="185"/>
      <c r="J2548" s="185"/>
      <c r="K2548" s="185"/>
      <c r="L2548" s="187"/>
      <c r="M2548" s="188"/>
      <c r="N2548" s="188"/>
      <c r="O2548" s="208"/>
      <c r="P2548" s="208"/>
      <c r="Q2548" s="208"/>
      <c r="R2548" s="208"/>
    </row>
    <row r="2549">
      <c r="A2549" s="185"/>
      <c r="B2549" s="186"/>
      <c r="C2549" s="185"/>
      <c r="D2549" s="185"/>
      <c r="E2549" s="185"/>
      <c r="F2549" s="185"/>
      <c r="G2549" s="185"/>
      <c r="H2549" s="185"/>
      <c r="I2549" s="185"/>
      <c r="J2549" s="185"/>
      <c r="K2549" s="185"/>
      <c r="L2549" s="187"/>
      <c r="M2549" s="188"/>
      <c r="N2549" s="188"/>
      <c r="O2549" s="208"/>
      <c r="P2549" s="208"/>
      <c r="Q2549" s="208"/>
      <c r="R2549" s="208"/>
    </row>
    <row r="2550">
      <c r="A2550" s="185"/>
      <c r="B2550" s="186"/>
      <c r="C2550" s="185"/>
      <c r="D2550" s="185"/>
      <c r="E2550" s="185"/>
      <c r="F2550" s="185"/>
      <c r="G2550" s="185"/>
      <c r="H2550" s="185"/>
      <c r="I2550" s="185"/>
      <c r="J2550" s="185"/>
      <c r="K2550" s="185"/>
      <c r="L2550" s="187"/>
      <c r="M2550" s="188"/>
      <c r="N2550" s="188"/>
      <c r="O2550" s="208"/>
      <c r="P2550" s="208"/>
      <c r="Q2550" s="208"/>
      <c r="R2550" s="208"/>
    </row>
    <row r="2551">
      <c r="A2551" s="185"/>
      <c r="B2551" s="186"/>
      <c r="C2551" s="185"/>
      <c r="D2551" s="185"/>
      <c r="E2551" s="185"/>
      <c r="F2551" s="185"/>
      <c r="G2551" s="185"/>
      <c r="H2551" s="185"/>
      <c r="I2551" s="185"/>
      <c r="J2551" s="185"/>
      <c r="K2551" s="185"/>
      <c r="L2551" s="187"/>
      <c r="M2551" s="188"/>
      <c r="N2551" s="188"/>
      <c r="O2551" s="208"/>
      <c r="P2551" s="208"/>
      <c r="Q2551" s="208"/>
      <c r="R2551" s="208"/>
    </row>
    <row r="2552">
      <c r="A2552" s="185"/>
      <c r="B2552" s="186"/>
      <c r="C2552" s="185"/>
      <c r="D2552" s="185"/>
      <c r="E2552" s="185"/>
      <c r="F2552" s="185"/>
      <c r="G2552" s="185"/>
      <c r="H2552" s="185"/>
      <c r="I2552" s="185"/>
      <c r="J2552" s="185"/>
      <c r="K2552" s="185"/>
      <c r="L2552" s="187"/>
      <c r="M2552" s="188"/>
      <c r="N2552" s="188"/>
      <c r="O2552" s="208"/>
      <c r="P2552" s="208"/>
      <c r="Q2552" s="208"/>
      <c r="R2552" s="208"/>
    </row>
    <row r="2553">
      <c r="A2553" s="185"/>
      <c r="B2553" s="186"/>
      <c r="C2553" s="185"/>
      <c r="D2553" s="185"/>
      <c r="E2553" s="185"/>
      <c r="F2553" s="185"/>
      <c r="G2553" s="185"/>
      <c r="H2553" s="185"/>
      <c r="I2553" s="185"/>
      <c r="J2553" s="185"/>
      <c r="K2553" s="185"/>
      <c r="L2553" s="187"/>
      <c r="M2553" s="188"/>
      <c r="N2553" s="188"/>
      <c r="O2553" s="208"/>
      <c r="P2553" s="208"/>
      <c r="Q2553" s="208"/>
      <c r="R2553" s="208"/>
    </row>
    <row r="2554">
      <c r="A2554" s="185"/>
      <c r="B2554" s="186"/>
      <c r="C2554" s="185"/>
      <c r="D2554" s="185"/>
      <c r="E2554" s="185"/>
      <c r="F2554" s="185"/>
      <c r="G2554" s="185"/>
      <c r="H2554" s="185"/>
      <c r="I2554" s="185"/>
      <c r="J2554" s="185"/>
      <c r="K2554" s="185"/>
      <c r="L2554" s="187"/>
      <c r="M2554" s="188"/>
      <c r="N2554" s="188"/>
      <c r="O2554" s="208"/>
      <c r="P2554" s="208"/>
      <c r="Q2554" s="208"/>
      <c r="R2554" s="208"/>
    </row>
    <row r="2555">
      <c r="A2555" s="185"/>
      <c r="B2555" s="186"/>
      <c r="C2555" s="185"/>
      <c r="D2555" s="185"/>
      <c r="E2555" s="185"/>
      <c r="F2555" s="185"/>
      <c r="G2555" s="185"/>
      <c r="H2555" s="185"/>
      <c r="I2555" s="185"/>
      <c r="J2555" s="185"/>
      <c r="K2555" s="185"/>
      <c r="L2555" s="187"/>
      <c r="M2555" s="188"/>
      <c r="N2555" s="188"/>
      <c r="O2555" s="208"/>
      <c r="P2555" s="208"/>
      <c r="Q2555" s="208"/>
      <c r="R2555" s="208"/>
    </row>
    <row r="2556">
      <c r="A2556" s="185"/>
      <c r="B2556" s="186"/>
      <c r="C2556" s="185"/>
      <c r="D2556" s="185"/>
      <c r="E2556" s="185"/>
      <c r="F2556" s="185"/>
      <c r="G2556" s="185"/>
      <c r="H2556" s="185"/>
      <c r="I2556" s="185"/>
      <c r="J2556" s="185"/>
      <c r="K2556" s="185"/>
      <c r="L2556" s="187"/>
      <c r="M2556" s="188"/>
      <c r="N2556" s="188"/>
      <c r="O2556" s="208"/>
      <c r="P2556" s="208"/>
      <c r="Q2556" s="208"/>
      <c r="R2556" s="208"/>
    </row>
    <row r="2557">
      <c r="A2557" s="185"/>
      <c r="B2557" s="186"/>
      <c r="C2557" s="185"/>
      <c r="D2557" s="185"/>
      <c r="E2557" s="185"/>
      <c r="F2557" s="185"/>
      <c r="G2557" s="185"/>
      <c r="H2557" s="185"/>
      <c r="I2557" s="185"/>
      <c r="J2557" s="185"/>
      <c r="K2557" s="185"/>
      <c r="L2557" s="187"/>
      <c r="M2557" s="188"/>
      <c r="N2557" s="188"/>
      <c r="O2557" s="208"/>
      <c r="P2557" s="208"/>
      <c r="Q2557" s="208"/>
      <c r="R2557" s="208"/>
    </row>
    <row r="2558">
      <c r="A2558" s="185"/>
      <c r="B2558" s="186"/>
      <c r="C2558" s="185"/>
      <c r="D2558" s="185"/>
      <c r="E2558" s="185"/>
      <c r="F2558" s="185"/>
      <c r="G2558" s="185"/>
      <c r="H2558" s="185"/>
      <c r="I2558" s="185"/>
      <c r="J2558" s="185"/>
      <c r="K2558" s="185"/>
      <c r="L2558" s="187"/>
      <c r="M2558" s="188"/>
      <c r="N2558" s="188"/>
      <c r="O2558" s="208"/>
      <c r="P2558" s="208"/>
      <c r="Q2558" s="208"/>
      <c r="R2558" s="208"/>
    </row>
    <row r="2559">
      <c r="A2559" s="185"/>
      <c r="B2559" s="186"/>
      <c r="C2559" s="185"/>
      <c r="D2559" s="185"/>
      <c r="E2559" s="185"/>
      <c r="F2559" s="185"/>
      <c r="G2559" s="185"/>
      <c r="H2559" s="185"/>
      <c r="I2559" s="185"/>
      <c r="J2559" s="185"/>
      <c r="K2559" s="185"/>
      <c r="L2559" s="187"/>
      <c r="M2559" s="188"/>
      <c r="N2559" s="188"/>
      <c r="O2559" s="208"/>
      <c r="P2559" s="208"/>
      <c r="Q2559" s="208"/>
      <c r="R2559" s="208"/>
    </row>
    <row r="2560">
      <c r="A2560" s="185"/>
      <c r="B2560" s="186"/>
      <c r="C2560" s="185"/>
      <c r="D2560" s="185"/>
      <c r="E2560" s="185"/>
      <c r="F2560" s="185"/>
      <c r="G2560" s="185"/>
      <c r="H2560" s="185"/>
      <c r="I2560" s="185"/>
      <c r="J2560" s="185"/>
      <c r="K2560" s="185"/>
      <c r="L2560" s="187"/>
      <c r="M2560" s="188"/>
      <c r="N2560" s="188"/>
      <c r="O2560" s="208"/>
      <c r="P2560" s="208"/>
      <c r="Q2560" s="208"/>
      <c r="R2560" s="208"/>
    </row>
    <row r="2561">
      <c r="A2561" s="185"/>
      <c r="B2561" s="186"/>
      <c r="C2561" s="185"/>
      <c r="D2561" s="185"/>
      <c r="E2561" s="185"/>
      <c r="F2561" s="185"/>
      <c r="G2561" s="185"/>
      <c r="H2561" s="185"/>
      <c r="I2561" s="185"/>
      <c r="J2561" s="185"/>
      <c r="K2561" s="185"/>
      <c r="L2561" s="187"/>
      <c r="M2561" s="188"/>
      <c r="N2561" s="188"/>
      <c r="O2561" s="208"/>
      <c r="P2561" s="208"/>
      <c r="Q2561" s="208"/>
      <c r="R2561" s="208"/>
    </row>
    <row r="2562">
      <c r="A2562" s="185"/>
      <c r="B2562" s="186"/>
      <c r="C2562" s="185"/>
      <c r="D2562" s="185"/>
      <c r="E2562" s="185"/>
      <c r="F2562" s="185"/>
      <c r="G2562" s="185"/>
      <c r="H2562" s="185"/>
      <c r="I2562" s="185"/>
      <c r="J2562" s="185"/>
      <c r="K2562" s="185"/>
      <c r="L2562" s="187"/>
      <c r="M2562" s="188"/>
      <c r="N2562" s="188"/>
      <c r="O2562" s="208"/>
      <c r="P2562" s="208"/>
      <c r="Q2562" s="208"/>
      <c r="R2562" s="208"/>
    </row>
    <row r="2563">
      <c r="A2563" s="185"/>
      <c r="B2563" s="186"/>
      <c r="C2563" s="185"/>
      <c r="D2563" s="185"/>
      <c r="E2563" s="185"/>
      <c r="F2563" s="185"/>
      <c r="G2563" s="185"/>
      <c r="H2563" s="185"/>
      <c r="I2563" s="185"/>
      <c r="J2563" s="185"/>
      <c r="K2563" s="185"/>
      <c r="L2563" s="187"/>
      <c r="M2563" s="188"/>
      <c r="N2563" s="188"/>
      <c r="O2563" s="208"/>
      <c r="P2563" s="208"/>
      <c r="Q2563" s="208"/>
      <c r="R2563" s="208"/>
    </row>
    <row r="2564">
      <c r="A2564" s="185"/>
      <c r="B2564" s="186"/>
      <c r="C2564" s="185"/>
      <c r="D2564" s="185"/>
      <c r="E2564" s="185"/>
      <c r="F2564" s="185"/>
      <c r="G2564" s="185"/>
      <c r="H2564" s="185"/>
      <c r="I2564" s="185"/>
      <c r="J2564" s="185"/>
      <c r="K2564" s="185"/>
      <c r="L2564" s="187"/>
      <c r="M2564" s="188"/>
      <c r="N2564" s="188"/>
      <c r="O2564" s="208"/>
      <c r="P2564" s="208"/>
      <c r="Q2564" s="208"/>
      <c r="R2564" s="208"/>
    </row>
    <row r="2565">
      <c r="A2565" s="185"/>
      <c r="B2565" s="186"/>
      <c r="C2565" s="185"/>
      <c r="D2565" s="185"/>
      <c r="E2565" s="185"/>
      <c r="F2565" s="185"/>
      <c r="G2565" s="185"/>
      <c r="H2565" s="185"/>
      <c r="I2565" s="185"/>
      <c r="J2565" s="185"/>
      <c r="K2565" s="185"/>
      <c r="L2565" s="187"/>
      <c r="M2565" s="188"/>
      <c r="N2565" s="188"/>
      <c r="O2565" s="208"/>
      <c r="P2565" s="208"/>
      <c r="Q2565" s="208"/>
      <c r="R2565" s="208"/>
    </row>
    <row r="2566">
      <c r="A2566" s="185"/>
      <c r="B2566" s="186"/>
      <c r="C2566" s="185"/>
      <c r="D2566" s="185"/>
      <c r="E2566" s="185"/>
      <c r="F2566" s="185"/>
      <c r="G2566" s="185"/>
      <c r="H2566" s="185"/>
      <c r="I2566" s="185"/>
      <c r="J2566" s="185"/>
      <c r="K2566" s="185"/>
      <c r="L2566" s="187"/>
      <c r="M2566" s="188"/>
      <c r="N2566" s="188"/>
      <c r="O2566" s="208"/>
      <c r="P2566" s="208"/>
      <c r="Q2566" s="208"/>
      <c r="R2566" s="208"/>
    </row>
    <row r="2567">
      <c r="A2567" s="185"/>
      <c r="B2567" s="186"/>
      <c r="C2567" s="185"/>
      <c r="D2567" s="185"/>
      <c r="E2567" s="185"/>
      <c r="F2567" s="185"/>
      <c r="G2567" s="185"/>
      <c r="H2567" s="185"/>
      <c r="I2567" s="185"/>
      <c r="J2567" s="185"/>
      <c r="K2567" s="185"/>
      <c r="L2567" s="187"/>
      <c r="M2567" s="188"/>
      <c r="N2567" s="188"/>
      <c r="O2567" s="208"/>
      <c r="P2567" s="208"/>
      <c r="Q2567" s="208"/>
      <c r="R2567" s="208"/>
    </row>
    <row r="2568">
      <c r="A2568" s="185"/>
      <c r="B2568" s="186"/>
      <c r="C2568" s="185"/>
      <c r="D2568" s="185"/>
      <c r="E2568" s="185"/>
      <c r="F2568" s="185"/>
      <c r="G2568" s="185"/>
      <c r="H2568" s="185"/>
      <c r="I2568" s="185"/>
      <c r="J2568" s="185"/>
      <c r="K2568" s="185"/>
      <c r="L2568" s="187"/>
      <c r="M2568" s="188"/>
      <c r="N2568" s="188"/>
      <c r="O2568" s="208"/>
      <c r="P2568" s="208"/>
      <c r="Q2568" s="208"/>
      <c r="R2568" s="208"/>
    </row>
    <row r="2569">
      <c r="A2569" s="185"/>
      <c r="B2569" s="186"/>
      <c r="C2569" s="185"/>
      <c r="D2569" s="185"/>
      <c r="E2569" s="185"/>
      <c r="F2569" s="185"/>
      <c r="G2569" s="185"/>
      <c r="H2569" s="185"/>
      <c r="I2569" s="185"/>
      <c r="J2569" s="185"/>
      <c r="K2569" s="185"/>
      <c r="L2569" s="187"/>
      <c r="M2569" s="188"/>
      <c r="N2569" s="188"/>
      <c r="O2569" s="208"/>
      <c r="P2569" s="208"/>
      <c r="Q2569" s="208"/>
      <c r="R2569" s="208"/>
    </row>
    <row r="2570">
      <c r="A2570" s="185"/>
      <c r="B2570" s="186"/>
      <c r="C2570" s="185"/>
      <c r="D2570" s="185"/>
      <c r="E2570" s="185"/>
      <c r="F2570" s="185"/>
      <c r="G2570" s="185"/>
      <c r="H2570" s="185"/>
      <c r="I2570" s="185"/>
      <c r="J2570" s="185"/>
      <c r="K2570" s="185"/>
      <c r="L2570" s="187"/>
      <c r="M2570" s="188"/>
      <c r="N2570" s="188"/>
      <c r="O2570" s="208"/>
      <c r="P2570" s="208"/>
      <c r="Q2570" s="208"/>
      <c r="R2570" s="208"/>
    </row>
    <row r="2571">
      <c r="A2571" s="185"/>
      <c r="B2571" s="186"/>
      <c r="C2571" s="185"/>
      <c r="D2571" s="185"/>
      <c r="E2571" s="185"/>
      <c r="F2571" s="185"/>
      <c r="G2571" s="185"/>
      <c r="H2571" s="185"/>
      <c r="I2571" s="185"/>
      <c r="J2571" s="185"/>
      <c r="K2571" s="185"/>
      <c r="L2571" s="187"/>
      <c r="M2571" s="188"/>
      <c r="N2571" s="188"/>
      <c r="O2571" s="208"/>
      <c r="P2571" s="208"/>
      <c r="Q2571" s="208"/>
      <c r="R2571" s="208"/>
    </row>
    <row r="2572">
      <c r="A2572" s="185"/>
      <c r="B2572" s="186"/>
      <c r="C2572" s="185"/>
      <c r="D2572" s="185"/>
      <c r="E2572" s="185"/>
      <c r="F2572" s="185"/>
      <c r="G2572" s="185"/>
      <c r="H2572" s="185"/>
      <c r="I2572" s="185"/>
      <c r="J2572" s="185"/>
      <c r="K2572" s="185"/>
      <c r="L2572" s="187"/>
      <c r="M2572" s="188"/>
      <c r="N2572" s="188"/>
      <c r="O2572" s="208"/>
      <c r="P2572" s="208"/>
      <c r="Q2572" s="208"/>
      <c r="R2572" s="208"/>
    </row>
    <row r="2573">
      <c r="A2573" s="185"/>
      <c r="B2573" s="186"/>
      <c r="C2573" s="185"/>
      <c r="D2573" s="185"/>
      <c r="E2573" s="185"/>
      <c r="F2573" s="185"/>
      <c r="G2573" s="185"/>
      <c r="H2573" s="185"/>
      <c r="I2573" s="185"/>
      <c r="J2573" s="185"/>
      <c r="K2573" s="185"/>
      <c r="L2573" s="187"/>
      <c r="M2573" s="188"/>
      <c r="N2573" s="188"/>
      <c r="O2573" s="208"/>
      <c r="P2573" s="208"/>
      <c r="Q2573" s="208"/>
      <c r="R2573" s="208"/>
    </row>
    <row r="2574">
      <c r="A2574" s="185"/>
      <c r="B2574" s="186"/>
      <c r="C2574" s="185"/>
      <c r="D2574" s="185"/>
      <c r="E2574" s="185"/>
      <c r="F2574" s="185"/>
      <c r="G2574" s="185"/>
      <c r="H2574" s="185"/>
      <c r="I2574" s="185"/>
      <c r="J2574" s="185"/>
      <c r="K2574" s="185"/>
      <c r="L2574" s="187"/>
      <c r="M2574" s="188"/>
      <c r="N2574" s="188"/>
      <c r="O2574" s="208"/>
      <c r="P2574" s="208"/>
      <c r="Q2574" s="208"/>
      <c r="R2574" s="208"/>
    </row>
    <row r="2575">
      <c r="A2575" s="185"/>
      <c r="B2575" s="186"/>
      <c r="C2575" s="185"/>
      <c r="D2575" s="185"/>
      <c r="E2575" s="185"/>
      <c r="F2575" s="185"/>
      <c r="G2575" s="185"/>
      <c r="H2575" s="185"/>
      <c r="I2575" s="185"/>
      <c r="J2575" s="185"/>
      <c r="K2575" s="185"/>
      <c r="L2575" s="187"/>
      <c r="M2575" s="188"/>
      <c r="N2575" s="188"/>
      <c r="O2575" s="208"/>
      <c r="P2575" s="208"/>
      <c r="Q2575" s="208"/>
      <c r="R2575" s="208"/>
    </row>
    <row r="2576">
      <c r="A2576" s="185"/>
      <c r="B2576" s="186"/>
      <c r="C2576" s="185"/>
      <c r="D2576" s="185"/>
      <c r="E2576" s="185"/>
      <c r="F2576" s="185"/>
      <c r="G2576" s="185"/>
      <c r="H2576" s="185"/>
      <c r="I2576" s="185"/>
      <c r="J2576" s="185"/>
      <c r="K2576" s="185"/>
      <c r="L2576" s="187"/>
      <c r="M2576" s="188"/>
      <c r="N2576" s="188"/>
      <c r="O2576" s="208"/>
      <c r="P2576" s="208"/>
      <c r="Q2576" s="208"/>
      <c r="R2576" s="208"/>
    </row>
    <row r="2577">
      <c r="A2577" s="185"/>
      <c r="B2577" s="186"/>
      <c r="C2577" s="185"/>
      <c r="D2577" s="185"/>
      <c r="E2577" s="185"/>
      <c r="F2577" s="185"/>
      <c r="G2577" s="185"/>
      <c r="H2577" s="185"/>
      <c r="I2577" s="185"/>
      <c r="J2577" s="185"/>
      <c r="K2577" s="185"/>
      <c r="L2577" s="187"/>
      <c r="M2577" s="188"/>
      <c r="N2577" s="188"/>
      <c r="O2577" s="208"/>
      <c r="P2577" s="208"/>
      <c r="Q2577" s="208"/>
      <c r="R2577" s="208"/>
    </row>
    <row r="2578">
      <c r="A2578" s="185"/>
      <c r="B2578" s="186"/>
      <c r="C2578" s="185"/>
      <c r="D2578" s="185"/>
      <c r="E2578" s="185"/>
      <c r="F2578" s="185"/>
      <c r="G2578" s="185"/>
      <c r="H2578" s="185"/>
      <c r="I2578" s="185"/>
      <c r="J2578" s="185"/>
      <c r="K2578" s="185"/>
      <c r="L2578" s="187"/>
      <c r="M2578" s="188"/>
      <c r="N2578" s="188"/>
      <c r="O2578" s="208"/>
      <c r="P2578" s="208"/>
      <c r="Q2578" s="208"/>
      <c r="R2578" s="208"/>
    </row>
    <row r="2579">
      <c r="A2579" s="185"/>
      <c r="B2579" s="186"/>
      <c r="C2579" s="185"/>
      <c r="D2579" s="185"/>
      <c r="E2579" s="185"/>
      <c r="F2579" s="185"/>
      <c r="G2579" s="185"/>
      <c r="H2579" s="185"/>
      <c r="I2579" s="185"/>
      <c r="J2579" s="185"/>
      <c r="K2579" s="185"/>
      <c r="L2579" s="187"/>
      <c r="M2579" s="188"/>
      <c r="N2579" s="188"/>
      <c r="O2579" s="208"/>
      <c r="P2579" s="208"/>
      <c r="Q2579" s="208"/>
      <c r="R2579" s="208"/>
    </row>
    <row r="2580">
      <c r="A2580" s="185"/>
      <c r="B2580" s="186"/>
      <c r="C2580" s="185"/>
      <c r="D2580" s="185"/>
      <c r="E2580" s="185"/>
      <c r="F2580" s="185"/>
      <c r="G2580" s="185"/>
      <c r="H2580" s="185"/>
      <c r="I2580" s="185"/>
      <c r="J2580" s="185"/>
      <c r="K2580" s="185"/>
      <c r="L2580" s="187"/>
      <c r="M2580" s="188"/>
      <c r="N2580" s="188"/>
      <c r="O2580" s="208"/>
      <c r="P2580" s="208"/>
      <c r="Q2580" s="208"/>
      <c r="R2580" s="208"/>
    </row>
    <row r="2581">
      <c r="A2581" s="185"/>
      <c r="B2581" s="186"/>
      <c r="C2581" s="185"/>
      <c r="D2581" s="185"/>
      <c r="E2581" s="185"/>
      <c r="F2581" s="185"/>
      <c r="G2581" s="185"/>
      <c r="H2581" s="185"/>
      <c r="I2581" s="185"/>
      <c r="J2581" s="185"/>
      <c r="K2581" s="185"/>
      <c r="L2581" s="187"/>
      <c r="M2581" s="188"/>
      <c r="N2581" s="188"/>
      <c r="O2581" s="208"/>
      <c r="P2581" s="208"/>
      <c r="Q2581" s="208"/>
      <c r="R2581" s="208"/>
    </row>
    <row r="2582">
      <c r="A2582" s="185"/>
      <c r="B2582" s="186"/>
      <c r="C2582" s="185"/>
      <c r="D2582" s="185"/>
      <c r="E2582" s="185"/>
      <c r="F2582" s="185"/>
      <c r="G2582" s="185"/>
      <c r="H2582" s="185"/>
      <c r="I2582" s="185"/>
      <c r="J2582" s="185"/>
      <c r="K2582" s="185"/>
      <c r="L2582" s="187"/>
      <c r="M2582" s="188"/>
      <c r="N2582" s="188"/>
      <c r="O2582" s="208"/>
      <c r="P2582" s="208"/>
      <c r="Q2582" s="208"/>
      <c r="R2582" s="208"/>
    </row>
    <row r="2583">
      <c r="A2583" s="185"/>
      <c r="B2583" s="186"/>
      <c r="C2583" s="185"/>
      <c r="D2583" s="185"/>
      <c r="E2583" s="185"/>
      <c r="F2583" s="185"/>
      <c r="G2583" s="185"/>
      <c r="H2583" s="185"/>
      <c r="I2583" s="185"/>
      <c r="J2583" s="185"/>
      <c r="K2583" s="185"/>
      <c r="L2583" s="187"/>
      <c r="M2583" s="188"/>
      <c r="N2583" s="188"/>
      <c r="O2583" s="208"/>
      <c r="P2583" s="208"/>
      <c r="Q2583" s="208"/>
      <c r="R2583" s="208"/>
    </row>
    <row r="2584">
      <c r="A2584" s="185"/>
      <c r="B2584" s="186"/>
      <c r="C2584" s="185"/>
      <c r="D2584" s="185"/>
      <c r="E2584" s="185"/>
      <c r="F2584" s="185"/>
      <c r="G2584" s="185"/>
      <c r="H2584" s="185"/>
      <c r="I2584" s="185"/>
      <c r="J2584" s="185"/>
      <c r="K2584" s="185"/>
      <c r="L2584" s="187"/>
      <c r="M2584" s="188"/>
      <c r="N2584" s="188"/>
      <c r="O2584" s="208"/>
      <c r="P2584" s="208"/>
      <c r="Q2584" s="208"/>
      <c r="R2584" s="208"/>
    </row>
    <row r="2585">
      <c r="A2585" s="185"/>
      <c r="B2585" s="186"/>
      <c r="C2585" s="185"/>
      <c r="D2585" s="185"/>
      <c r="E2585" s="185"/>
      <c r="F2585" s="185"/>
      <c r="G2585" s="185"/>
      <c r="H2585" s="185"/>
      <c r="I2585" s="185"/>
      <c r="J2585" s="185"/>
      <c r="K2585" s="185"/>
      <c r="L2585" s="187"/>
      <c r="M2585" s="188"/>
      <c r="N2585" s="188"/>
      <c r="O2585" s="208"/>
      <c r="P2585" s="208"/>
      <c r="Q2585" s="208"/>
      <c r="R2585" s="208"/>
    </row>
    <row r="2586">
      <c r="A2586" s="185"/>
      <c r="B2586" s="186"/>
      <c r="C2586" s="185"/>
      <c r="D2586" s="185"/>
      <c r="E2586" s="185"/>
      <c r="F2586" s="185"/>
      <c r="G2586" s="185"/>
      <c r="H2586" s="185"/>
      <c r="I2586" s="185"/>
      <c r="J2586" s="185"/>
      <c r="K2586" s="185"/>
      <c r="L2586" s="187"/>
      <c r="M2586" s="188"/>
      <c r="N2586" s="188"/>
      <c r="O2586" s="208"/>
      <c r="P2586" s="208"/>
      <c r="Q2586" s="208"/>
      <c r="R2586" s="208"/>
    </row>
    <row r="2587">
      <c r="A2587" s="185"/>
      <c r="B2587" s="186"/>
      <c r="C2587" s="185"/>
      <c r="D2587" s="185"/>
      <c r="E2587" s="185"/>
      <c r="F2587" s="185"/>
      <c r="G2587" s="185"/>
      <c r="H2587" s="185"/>
      <c r="I2587" s="185"/>
      <c r="J2587" s="185"/>
      <c r="K2587" s="185"/>
      <c r="L2587" s="187"/>
      <c r="M2587" s="188"/>
      <c r="N2587" s="188"/>
      <c r="O2587" s="208"/>
      <c r="P2587" s="208"/>
      <c r="Q2587" s="208"/>
      <c r="R2587" s="208"/>
    </row>
    <row r="2588">
      <c r="A2588" s="185"/>
      <c r="B2588" s="186"/>
      <c r="C2588" s="185"/>
      <c r="D2588" s="185"/>
      <c r="E2588" s="185"/>
      <c r="F2588" s="185"/>
      <c r="G2588" s="185"/>
      <c r="H2588" s="185"/>
      <c r="I2588" s="185"/>
      <c r="J2588" s="185"/>
      <c r="K2588" s="185"/>
      <c r="L2588" s="187"/>
      <c r="M2588" s="188"/>
      <c r="N2588" s="188"/>
      <c r="O2588" s="208"/>
      <c r="P2588" s="208"/>
      <c r="Q2588" s="208"/>
      <c r="R2588" s="208"/>
    </row>
    <row r="2589">
      <c r="A2589" s="185"/>
      <c r="B2589" s="186"/>
      <c r="C2589" s="185"/>
      <c r="D2589" s="185"/>
      <c r="E2589" s="185"/>
      <c r="F2589" s="185"/>
      <c r="G2589" s="185"/>
      <c r="H2589" s="185"/>
      <c r="I2589" s="185"/>
      <c r="J2589" s="185"/>
      <c r="K2589" s="185"/>
      <c r="L2589" s="187"/>
      <c r="M2589" s="188"/>
      <c r="N2589" s="188"/>
      <c r="O2589" s="208"/>
      <c r="P2589" s="208"/>
      <c r="Q2589" s="208"/>
      <c r="R2589" s="208"/>
    </row>
    <row r="2590">
      <c r="A2590" s="185"/>
      <c r="B2590" s="186"/>
      <c r="C2590" s="185"/>
      <c r="D2590" s="185"/>
      <c r="E2590" s="185"/>
      <c r="F2590" s="185"/>
      <c r="G2590" s="185"/>
      <c r="H2590" s="185"/>
      <c r="I2590" s="185"/>
      <c r="J2590" s="185"/>
      <c r="K2590" s="185"/>
      <c r="L2590" s="187"/>
      <c r="M2590" s="188"/>
      <c r="N2590" s="188"/>
      <c r="O2590" s="208"/>
      <c r="P2590" s="208"/>
      <c r="Q2590" s="208"/>
      <c r="R2590" s="208"/>
    </row>
    <row r="2591">
      <c r="A2591" s="185"/>
      <c r="B2591" s="186"/>
      <c r="C2591" s="185"/>
      <c r="D2591" s="185"/>
      <c r="E2591" s="185"/>
      <c r="F2591" s="185"/>
      <c r="G2591" s="185"/>
      <c r="H2591" s="185"/>
      <c r="I2591" s="185"/>
      <c r="J2591" s="185"/>
      <c r="K2591" s="185"/>
      <c r="L2591" s="187"/>
      <c r="M2591" s="188"/>
      <c r="N2591" s="188"/>
      <c r="O2591" s="208"/>
      <c r="P2591" s="208"/>
      <c r="Q2591" s="208"/>
      <c r="R2591" s="208"/>
    </row>
    <row r="2592">
      <c r="A2592" s="185"/>
      <c r="B2592" s="186"/>
      <c r="C2592" s="185"/>
      <c r="D2592" s="185"/>
      <c r="E2592" s="185"/>
      <c r="F2592" s="185"/>
      <c r="G2592" s="185"/>
      <c r="H2592" s="185"/>
      <c r="I2592" s="185"/>
      <c r="J2592" s="185"/>
      <c r="K2592" s="185"/>
      <c r="L2592" s="187"/>
      <c r="M2592" s="188"/>
      <c r="N2592" s="188"/>
      <c r="O2592" s="208"/>
      <c r="P2592" s="208"/>
      <c r="Q2592" s="208"/>
      <c r="R2592" s="208"/>
    </row>
    <row r="2593">
      <c r="A2593" s="185"/>
      <c r="B2593" s="186"/>
      <c r="C2593" s="185"/>
      <c r="D2593" s="185"/>
      <c r="E2593" s="185"/>
      <c r="F2593" s="185"/>
      <c r="G2593" s="185"/>
      <c r="H2593" s="185"/>
      <c r="I2593" s="185"/>
      <c r="J2593" s="185"/>
      <c r="K2593" s="185"/>
      <c r="L2593" s="187"/>
      <c r="M2593" s="188"/>
      <c r="N2593" s="188"/>
      <c r="O2593" s="208"/>
      <c r="P2593" s="208"/>
      <c r="Q2593" s="208"/>
      <c r="R2593" s="208"/>
    </row>
    <row r="2594">
      <c r="A2594" s="185"/>
      <c r="B2594" s="186"/>
      <c r="C2594" s="185"/>
      <c r="D2594" s="185"/>
      <c r="E2594" s="185"/>
      <c r="F2594" s="185"/>
      <c r="G2594" s="185"/>
      <c r="H2594" s="185"/>
      <c r="I2594" s="185"/>
      <c r="J2594" s="185"/>
      <c r="K2594" s="185"/>
      <c r="L2594" s="187"/>
      <c r="M2594" s="188"/>
      <c r="N2594" s="188"/>
      <c r="O2594" s="208"/>
      <c r="P2594" s="208"/>
      <c r="Q2594" s="208"/>
      <c r="R2594" s="208"/>
    </row>
    <row r="2595">
      <c r="A2595" s="185"/>
      <c r="B2595" s="186"/>
      <c r="C2595" s="185"/>
      <c r="D2595" s="185"/>
      <c r="E2595" s="185"/>
      <c r="F2595" s="185"/>
      <c r="G2595" s="185"/>
      <c r="H2595" s="185"/>
      <c r="I2595" s="185"/>
      <c r="J2595" s="185"/>
      <c r="K2595" s="185"/>
      <c r="L2595" s="187"/>
      <c r="M2595" s="188"/>
      <c r="N2595" s="188"/>
      <c r="O2595" s="208"/>
      <c r="P2595" s="208"/>
      <c r="Q2595" s="208"/>
      <c r="R2595" s="208"/>
    </row>
    <row r="2596">
      <c r="A2596" s="185"/>
      <c r="B2596" s="186"/>
      <c r="C2596" s="185"/>
      <c r="D2596" s="185"/>
      <c r="E2596" s="185"/>
      <c r="F2596" s="185"/>
      <c r="G2596" s="185"/>
      <c r="H2596" s="185"/>
      <c r="I2596" s="185"/>
      <c r="J2596" s="185"/>
      <c r="K2596" s="185"/>
      <c r="L2596" s="187"/>
      <c r="M2596" s="188"/>
      <c r="N2596" s="188"/>
      <c r="O2596" s="208"/>
      <c r="P2596" s="208"/>
      <c r="Q2596" s="208"/>
      <c r="R2596" s="208"/>
    </row>
    <row r="2597">
      <c r="A2597" s="185"/>
      <c r="B2597" s="186"/>
      <c r="C2597" s="185"/>
      <c r="D2597" s="185"/>
      <c r="E2597" s="185"/>
      <c r="F2597" s="185"/>
      <c r="G2597" s="185"/>
      <c r="H2597" s="185"/>
      <c r="I2597" s="185"/>
      <c r="J2597" s="185"/>
      <c r="K2597" s="185"/>
      <c r="L2597" s="187"/>
      <c r="M2597" s="188"/>
      <c r="N2597" s="188"/>
      <c r="O2597" s="208"/>
      <c r="P2597" s="208"/>
      <c r="Q2597" s="208"/>
      <c r="R2597" s="208"/>
    </row>
    <row r="2598">
      <c r="A2598" s="185"/>
      <c r="B2598" s="186"/>
      <c r="C2598" s="185"/>
      <c r="D2598" s="185"/>
      <c r="E2598" s="185"/>
      <c r="F2598" s="185"/>
      <c r="G2598" s="185"/>
      <c r="H2598" s="185"/>
      <c r="I2598" s="185"/>
      <c r="J2598" s="185"/>
      <c r="K2598" s="185"/>
      <c r="L2598" s="187"/>
      <c r="M2598" s="188"/>
      <c r="N2598" s="188"/>
      <c r="O2598" s="208"/>
      <c r="P2598" s="208"/>
      <c r="Q2598" s="208"/>
      <c r="R2598" s="208"/>
    </row>
    <row r="2599">
      <c r="A2599" s="185"/>
      <c r="B2599" s="186"/>
      <c r="C2599" s="185"/>
      <c r="D2599" s="185"/>
      <c r="E2599" s="185"/>
      <c r="F2599" s="185"/>
      <c r="G2599" s="185"/>
      <c r="H2599" s="185"/>
      <c r="I2599" s="185"/>
      <c r="J2599" s="185"/>
      <c r="K2599" s="185"/>
      <c r="L2599" s="187"/>
      <c r="M2599" s="188"/>
      <c r="N2599" s="188"/>
      <c r="O2599" s="208"/>
      <c r="P2599" s="208"/>
      <c r="Q2599" s="208"/>
      <c r="R2599" s="208"/>
    </row>
    <row r="2600">
      <c r="A2600" s="185"/>
      <c r="B2600" s="186"/>
      <c r="C2600" s="185"/>
      <c r="D2600" s="185"/>
      <c r="E2600" s="185"/>
      <c r="F2600" s="185"/>
      <c r="G2600" s="185"/>
      <c r="H2600" s="185"/>
      <c r="I2600" s="185"/>
      <c r="J2600" s="185"/>
      <c r="K2600" s="185"/>
      <c r="L2600" s="187"/>
      <c r="M2600" s="188"/>
      <c r="N2600" s="188"/>
      <c r="O2600" s="208"/>
      <c r="P2600" s="208"/>
      <c r="Q2600" s="208"/>
      <c r="R2600" s="208"/>
    </row>
    <row r="2601">
      <c r="A2601" s="185"/>
      <c r="B2601" s="186"/>
      <c r="C2601" s="185"/>
      <c r="D2601" s="185"/>
      <c r="E2601" s="185"/>
      <c r="F2601" s="185"/>
      <c r="G2601" s="185"/>
      <c r="H2601" s="185"/>
      <c r="I2601" s="185"/>
      <c r="J2601" s="185"/>
      <c r="K2601" s="185"/>
      <c r="L2601" s="187"/>
      <c r="M2601" s="188"/>
      <c r="N2601" s="188"/>
      <c r="O2601" s="208"/>
      <c r="P2601" s="208"/>
      <c r="Q2601" s="208"/>
      <c r="R2601" s="208"/>
    </row>
    <row r="2602">
      <c r="A2602" s="185"/>
      <c r="B2602" s="186"/>
      <c r="C2602" s="185"/>
      <c r="D2602" s="185"/>
      <c r="E2602" s="185"/>
      <c r="F2602" s="185"/>
      <c r="G2602" s="185"/>
      <c r="H2602" s="185"/>
      <c r="I2602" s="185"/>
      <c r="J2602" s="185"/>
      <c r="K2602" s="185"/>
      <c r="L2602" s="187"/>
      <c r="M2602" s="188"/>
      <c r="N2602" s="188"/>
      <c r="O2602" s="208"/>
      <c r="P2602" s="208"/>
      <c r="Q2602" s="208"/>
      <c r="R2602" s="208"/>
    </row>
    <row r="2603">
      <c r="A2603" s="185"/>
      <c r="B2603" s="186"/>
      <c r="C2603" s="185"/>
      <c r="D2603" s="185"/>
      <c r="E2603" s="185"/>
      <c r="F2603" s="185"/>
      <c r="G2603" s="185"/>
      <c r="H2603" s="185"/>
      <c r="I2603" s="185"/>
      <c r="J2603" s="185"/>
      <c r="K2603" s="185"/>
      <c r="L2603" s="187"/>
      <c r="M2603" s="188"/>
      <c r="N2603" s="188"/>
      <c r="O2603" s="208"/>
      <c r="P2603" s="208"/>
      <c r="Q2603" s="208"/>
      <c r="R2603" s="208"/>
    </row>
    <row r="2604">
      <c r="A2604" s="185"/>
      <c r="B2604" s="186"/>
      <c r="C2604" s="185"/>
      <c r="D2604" s="185"/>
      <c r="E2604" s="185"/>
      <c r="F2604" s="185"/>
      <c r="G2604" s="185"/>
      <c r="H2604" s="185"/>
      <c r="I2604" s="185"/>
      <c r="J2604" s="185"/>
      <c r="K2604" s="185"/>
      <c r="L2604" s="187"/>
      <c r="M2604" s="188"/>
      <c r="N2604" s="188"/>
      <c r="O2604" s="208"/>
      <c r="P2604" s="208"/>
      <c r="Q2604" s="208"/>
      <c r="R2604" s="208"/>
    </row>
    <row r="2605">
      <c r="A2605" s="185"/>
      <c r="B2605" s="186"/>
      <c r="C2605" s="185"/>
      <c r="D2605" s="185"/>
      <c r="E2605" s="185"/>
      <c r="F2605" s="185"/>
      <c r="G2605" s="185"/>
      <c r="H2605" s="185"/>
      <c r="I2605" s="185"/>
      <c r="J2605" s="185"/>
      <c r="K2605" s="185"/>
      <c r="L2605" s="187"/>
      <c r="M2605" s="188"/>
      <c r="N2605" s="188"/>
      <c r="O2605" s="208"/>
      <c r="P2605" s="208"/>
      <c r="Q2605" s="208"/>
      <c r="R2605" s="208"/>
    </row>
    <row r="2606">
      <c r="A2606" s="185"/>
      <c r="B2606" s="186"/>
      <c r="C2606" s="185"/>
      <c r="D2606" s="185"/>
      <c r="E2606" s="185"/>
      <c r="F2606" s="185"/>
      <c r="G2606" s="185"/>
      <c r="H2606" s="185"/>
      <c r="I2606" s="185"/>
      <c r="J2606" s="185"/>
      <c r="K2606" s="185"/>
      <c r="L2606" s="187"/>
      <c r="M2606" s="188"/>
      <c r="N2606" s="188"/>
      <c r="O2606" s="208"/>
      <c r="P2606" s="208"/>
      <c r="Q2606" s="208"/>
      <c r="R2606" s="208"/>
    </row>
    <row r="2607">
      <c r="A2607" s="185"/>
      <c r="B2607" s="186"/>
      <c r="C2607" s="185"/>
      <c r="D2607" s="185"/>
      <c r="E2607" s="185"/>
      <c r="F2607" s="185"/>
      <c r="G2607" s="185"/>
      <c r="H2607" s="185"/>
      <c r="I2607" s="185"/>
      <c r="J2607" s="185"/>
      <c r="K2607" s="185"/>
      <c r="L2607" s="187"/>
      <c r="M2607" s="188"/>
      <c r="N2607" s="188"/>
      <c r="O2607" s="208"/>
      <c r="P2607" s="208"/>
      <c r="Q2607" s="208"/>
      <c r="R2607" s="208"/>
    </row>
    <row r="2608">
      <c r="A2608" s="185"/>
      <c r="B2608" s="186"/>
      <c r="C2608" s="185"/>
      <c r="D2608" s="185"/>
      <c r="E2608" s="185"/>
      <c r="F2608" s="185"/>
      <c r="G2608" s="185"/>
      <c r="H2608" s="185"/>
      <c r="I2608" s="185"/>
      <c r="J2608" s="185"/>
      <c r="K2608" s="185"/>
      <c r="L2608" s="187"/>
      <c r="M2608" s="188"/>
      <c r="N2608" s="188"/>
      <c r="O2608" s="208"/>
      <c r="P2608" s="208"/>
      <c r="Q2608" s="208"/>
      <c r="R2608" s="208"/>
    </row>
    <row r="2609">
      <c r="A2609" s="185"/>
      <c r="B2609" s="186"/>
      <c r="C2609" s="185"/>
      <c r="D2609" s="185"/>
      <c r="E2609" s="185"/>
      <c r="F2609" s="185"/>
      <c r="G2609" s="185"/>
      <c r="H2609" s="185"/>
      <c r="I2609" s="185"/>
      <c r="J2609" s="185"/>
      <c r="K2609" s="185"/>
      <c r="L2609" s="187"/>
      <c r="M2609" s="188"/>
      <c r="N2609" s="188"/>
      <c r="O2609" s="208"/>
      <c r="P2609" s="208"/>
      <c r="Q2609" s="208"/>
      <c r="R2609" s="208"/>
    </row>
    <row r="2610">
      <c r="A2610" s="185"/>
      <c r="B2610" s="186"/>
      <c r="C2610" s="185"/>
      <c r="D2610" s="185"/>
      <c r="E2610" s="185"/>
      <c r="F2610" s="185"/>
      <c r="G2610" s="185"/>
      <c r="H2610" s="185"/>
      <c r="I2610" s="185"/>
      <c r="J2610" s="185"/>
      <c r="K2610" s="185"/>
      <c r="L2610" s="187"/>
      <c r="M2610" s="188"/>
      <c r="N2610" s="188"/>
      <c r="O2610" s="208"/>
      <c r="P2610" s="208"/>
      <c r="Q2610" s="208"/>
      <c r="R2610" s="208"/>
    </row>
    <row r="2611">
      <c r="A2611" s="185"/>
      <c r="B2611" s="186"/>
      <c r="C2611" s="185"/>
      <c r="D2611" s="185"/>
      <c r="E2611" s="185"/>
      <c r="F2611" s="185"/>
      <c r="G2611" s="185"/>
      <c r="H2611" s="185"/>
      <c r="I2611" s="185"/>
      <c r="J2611" s="185"/>
      <c r="K2611" s="185"/>
      <c r="L2611" s="187"/>
      <c r="M2611" s="188"/>
      <c r="N2611" s="188"/>
      <c r="O2611" s="208"/>
      <c r="P2611" s="208"/>
      <c r="Q2611" s="208"/>
      <c r="R2611" s="208"/>
    </row>
    <row r="2612">
      <c r="A2612" s="185"/>
      <c r="B2612" s="186"/>
      <c r="C2612" s="185"/>
      <c r="D2612" s="185"/>
      <c r="E2612" s="185"/>
      <c r="F2612" s="185"/>
      <c r="G2612" s="185"/>
      <c r="H2612" s="185"/>
      <c r="I2612" s="185"/>
      <c r="J2612" s="185"/>
      <c r="K2612" s="185"/>
      <c r="L2612" s="187"/>
      <c r="M2612" s="188"/>
      <c r="N2612" s="188"/>
      <c r="O2612" s="208"/>
      <c r="P2612" s="208"/>
      <c r="Q2612" s="208"/>
      <c r="R2612" s="208"/>
    </row>
    <row r="2613">
      <c r="A2613" s="185"/>
      <c r="B2613" s="186"/>
      <c r="C2613" s="185"/>
      <c r="D2613" s="185"/>
      <c r="E2613" s="185"/>
      <c r="F2613" s="185"/>
      <c r="G2613" s="185"/>
      <c r="H2613" s="185"/>
      <c r="I2613" s="185"/>
      <c r="J2613" s="185"/>
      <c r="K2613" s="185"/>
      <c r="L2613" s="187"/>
      <c r="M2613" s="188"/>
      <c r="N2613" s="188"/>
      <c r="O2613" s="208"/>
      <c r="P2613" s="208"/>
      <c r="Q2613" s="208"/>
      <c r="R2613" s="208"/>
    </row>
    <row r="2614">
      <c r="A2614" s="185"/>
      <c r="B2614" s="186"/>
      <c r="C2614" s="185"/>
      <c r="D2614" s="185"/>
      <c r="E2614" s="185"/>
      <c r="F2614" s="185"/>
      <c r="G2614" s="185"/>
      <c r="H2614" s="185"/>
      <c r="I2614" s="185"/>
      <c r="J2614" s="185"/>
      <c r="K2614" s="185"/>
      <c r="L2614" s="187"/>
      <c r="M2614" s="188"/>
      <c r="N2614" s="188"/>
      <c r="O2614" s="208"/>
      <c r="P2614" s="208"/>
      <c r="Q2614" s="208"/>
      <c r="R2614" s="208"/>
    </row>
    <row r="2615">
      <c r="A2615" s="185"/>
      <c r="B2615" s="186"/>
      <c r="C2615" s="185"/>
      <c r="D2615" s="185"/>
      <c r="E2615" s="185"/>
      <c r="F2615" s="185"/>
      <c r="G2615" s="185"/>
      <c r="H2615" s="185"/>
      <c r="I2615" s="185"/>
      <c r="J2615" s="185"/>
      <c r="K2615" s="185"/>
      <c r="L2615" s="187"/>
      <c r="M2615" s="188"/>
      <c r="N2615" s="188"/>
      <c r="O2615" s="208"/>
      <c r="P2615" s="208"/>
      <c r="Q2615" s="208"/>
      <c r="R2615" s="208"/>
    </row>
    <row r="2616">
      <c r="A2616" s="185"/>
      <c r="B2616" s="186"/>
      <c r="C2616" s="185"/>
      <c r="D2616" s="185"/>
      <c r="E2616" s="185"/>
      <c r="F2616" s="185"/>
      <c r="G2616" s="185"/>
      <c r="H2616" s="185"/>
      <c r="I2616" s="185"/>
      <c r="J2616" s="185"/>
      <c r="K2616" s="185"/>
      <c r="L2616" s="187"/>
      <c r="M2616" s="188"/>
      <c r="N2616" s="188"/>
      <c r="O2616" s="208"/>
      <c r="P2616" s="208"/>
      <c r="Q2616" s="208"/>
      <c r="R2616" s="208"/>
    </row>
    <row r="2617">
      <c r="A2617" s="185"/>
      <c r="B2617" s="186"/>
      <c r="C2617" s="185"/>
      <c r="D2617" s="185"/>
      <c r="E2617" s="185"/>
      <c r="F2617" s="185"/>
      <c r="G2617" s="185"/>
      <c r="H2617" s="185"/>
      <c r="I2617" s="185"/>
      <c r="J2617" s="185"/>
      <c r="K2617" s="185"/>
      <c r="L2617" s="187"/>
      <c r="M2617" s="188"/>
      <c r="N2617" s="188"/>
      <c r="O2617" s="208"/>
      <c r="P2617" s="208"/>
      <c r="Q2617" s="208"/>
      <c r="R2617" s="208"/>
    </row>
    <row r="2618">
      <c r="A2618" s="185"/>
      <c r="B2618" s="186"/>
      <c r="C2618" s="185"/>
      <c r="D2618" s="185"/>
      <c r="E2618" s="185"/>
      <c r="F2618" s="185"/>
      <c r="G2618" s="185"/>
      <c r="H2618" s="185"/>
      <c r="I2618" s="185"/>
      <c r="J2618" s="185"/>
      <c r="K2618" s="185"/>
      <c r="L2618" s="187"/>
      <c r="M2618" s="188"/>
      <c r="N2618" s="188"/>
      <c r="O2618" s="208"/>
      <c r="P2618" s="208"/>
      <c r="Q2618" s="208"/>
      <c r="R2618" s="208"/>
    </row>
    <row r="2619">
      <c r="A2619" s="185"/>
      <c r="B2619" s="186"/>
      <c r="C2619" s="185"/>
      <c r="D2619" s="185"/>
      <c r="E2619" s="185"/>
      <c r="F2619" s="185"/>
      <c r="G2619" s="185"/>
      <c r="H2619" s="185"/>
      <c r="I2619" s="185"/>
      <c r="J2619" s="185"/>
      <c r="K2619" s="185"/>
      <c r="L2619" s="187"/>
      <c r="M2619" s="188"/>
      <c r="N2619" s="188"/>
      <c r="O2619" s="208"/>
      <c r="P2619" s="208"/>
      <c r="Q2619" s="208"/>
      <c r="R2619" s="208"/>
    </row>
    <row r="2620">
      <c r="A2620" s="185"/>
      <c r="B2620" s="186"/>
      <c r="C2620" s="185"/>
      <c r="D2620" s="185"/>
      <c r="E2620" s="185"/>
      <c r="F2620" s="185"/>
      <c r="G2620" s="185"/>
      <c r="H2620" s="185"/>
      <c r="I2620" s="185"/>
      <c r="J2620" s="185"/>
      <c r="K2620" s="185"/>
      <c r="L2620" s="187"/>
      <c r="M2620" s="188"/>
      <c r="N2620" s="188"/>
      <c r="O2620" s="208"/>
      <c r="P2620" s="208"/>
      <c r="Q2620" s="208"/>
      <c r="R2620" s="208"/>
    </row>
    <row r="2621">
      <c r="A2621" s="185"/>
      <c r="B2621" s="186"/>
      <c r="C2621" s="185"/>
      <c r="D2621" s="185"/>
      <c r="E2621" s="185"/>
      <c r="F2621" s="185"/>
      <c r="G2621" s="185"/>
      <c r="H2621" s="185"/>
      <c r="I2621" s="185"/>
      <c r="J2621" s="185"/>
      <c r="K2621" s="185"/>
      <c r="L2621" s="187"/>
      <c r="M2621" s="188"/>
      <c r="N2621" s="188"/>
      <c r="O2621" s="208"/>
      <c r="P2621" s="208"/>
      <c r="Q2621" s="208"/>
      <c r="R2621" s="208"/>
    </row>
    <row r="2622">
      <c r="A2622" s="185"/>
      <c r="B2622" s="186"/>
      <c r="C2622" s="185"/>
      <c r="D2622" s="185"/>
      <c r="E2622" s="185"/>
      <c r="F2622" s="185"/>
      <c r="G2622" s="185"/>
      <c r="H2622" s="185"/>
      <c r="I2622" s="185"/>
      <c r="J2622" s="185"/>
      <c r="K2622" s="185"/>
      <c r="L2622" s="187"/>
      <c r="M2622" s="188"/>
      <c r="N2622" s="188"/>
      <c r="O2622" s="208"/>
      <c r="P2622" s="208"/>
      <c r="Q2622" s="208"/>
      <c r="R2622" s="208"/>
    </row>
    <row r="2623">
      <c r="A2623" s="185"/>
      <c r="B2623" s="186"/>
      <c r="C2623" s="185"/>
      <c r="D2623" s="185"/>
      <c r="E2623" s="185"/>
      <c r="F2623" s="185"/>
      <c r="G2623" s="185"/>
      <c r="H2623" s="185"/>
      <c r="I2623" s="185"/>
      <c r="J2623" s="185"/>
      <c r="K2623" s="185"/>
      <c r="L2623" s="187"/>
      <c r="M2623" s="188"/>
      <c r="N2623" s="188"/>
      <c r="O2623" s="208"/>
      <c r="P2623" s="208"/>
      <c r="Q2623" s="208"/>
      <c r="R2623" s="208"/>
    </row>
    <row r="2624">
      <c r="A2624" s="185"/>
      <c r="B2624" s="186"/>
      <c r="C2624" s="185"/>
      <c r="D2624" s="185"/>
      <c r="E2624" s="185"/>
      <c r="F2624" s="185"/>
      <c r="G2624" s="185"/>
      <c r="H2624" s="185"/>
      <c r="I2624" s="185"/>
      <c r="J2624" s="185"/>
      <c r="K2624" s="185"/>
      <c r="L2624" s="187"/>
      <c r="M2624" s="188"/>
      <c r="N2624" s="188"/>
      <c r="O2624" s="208"/>
      <c r="P2624" s="208"/>
      <c r="Q2624" s="208"/>
      <c r="R2624" s="208"/>
    </row>
    <row r="2625">
      <c r="A2625" s="185"/>
      <c r="B2625" s="186"/>
      <c r="C2625" s="185"/>
      <c r="D2625" s="185"/>
      <c r="E2625" s="185"/>
      <c r="F2625" s="185"/>
      <c r="G2625" s="185"/>
      <c r="H2625" s="185"/>
      <c r="I2625" s="185"/>
      <c r="J2625" s="185"/>
      <c r="K2625" s="185"/>
      <c r="L2625" s="187"/>
      <c r="M2625" s="188"/>
      <c r="N2625" s="188"/>
      <c r="O2625" s="208"/>
      <c r="P2625" s="208"/>
      <c r="Q2625" s="208"/>
      <c r="R2625" s="208"/>
    </row>
    <row r="2626">
      <c r="A2626" s="185"/>
      <c r="B2626" s="186"/>
      <c r="C2626" s="185"/>
      <c r="D2626" s="185"/>
      <c r="E2626" s="185"/>
      <c r="F2626" s="185"/>
      <c r="G2626" s="185"/>
      <c r="H2626" s="185"/>
      <c r="I2626" s="185"/>
      <c r="J2626" s="185"/>
      <c r="K2626" s="185"/>
      <c r="L2626" s="187"/>
      <c r="M2626" s="188"/>
      <c r="N2626" s="188"/>
      <c r="O2626" s="208"/>
      <c r="P2626" s="208"/>
      <c r="Q2626" s="208"/>
      <c r="R2626" s="208"/>
    </row>
    <row r="2627">
      <c r="A2627" s="185"/>
      <c r="B2627" s="186"/>
      <c r="C2627" s="185"/>
      <c r="D2627" s="185"/>
      <c r="E2627" s="185"/>
      <c r="F2627" s="185"/>
      <c r="G2627" s="185"/>
      <c r="H2627" s="185"/>
      <c r="I2627" s="185"/>
      <c r="J2627" s="185"/>
      <c r="K2627" s="185"/>
      <c r="L2627" s="187"/>
      <c r="M2627" s="188"/>
      <c r="N2627" s="188"/>
      <c r="O2627" s="208"/>
      <c r="P2627" s="208"/>
      <c r="Q2627" s="208"/>
      <c r="R2627" s="208"/>
    </row>
    <row r="2628">
      <c r="A2628" s="185"/>
      <c r="B2628" s="186"/>
      <c r="C2628" s="185"/>
      <c r="D2628" s="185"/>
      <c r="E2628" s="185"/>
      <c r="F2628" s="185"/>
      <c r="G2628" s="185"/>
      <c r="H2628" s="185"/>
      <c r="I2628" s="185"/>
      <c r="J2628" s="185"/>
      <c r="K2628" s="185"/>
      <c r="L2628" s="187"/>
      <c r="M2628" s="188"/>
      <c r="N2628" s="188"/>
      <c r="O2628" s="208"/>
      <c r="P2628" s="208"/>
      <c r="Q2628" s="208"/>
      <c r="R2628" s="208"/>
    </row>
    <row r="2629">
      <c r="A2629" s="185"/>
      <c r="B2629" s="186"/>
      <c r="C2629" s="185"/>
      <c r="D2629" s="185"/>
      <c r="E2629" s="185"/>
      <c r="F2629" s="185"/>
      <c r="G2629" s="185"/>
      <c r="H2629" s="185"/>
      <c r="I2629" s="185"/>
      <c r="J2629" s="185"/>
      <c r="K2629" s="185"/>
      <c r="L2629" s="187"/>
      <c r="M2629" s="188"/>
      <c r="N2629" s="188"/>
      <c r="O2629" s="208"/>
      <c r="P2629" s="208"/>
      <c r="Q2629" s="208"/>
      <c r="R2629" s="208"/>
    </row>
    <row r="2630">
      <c r="A2630" s="185"/>
      <c r="B2630" s="186"/>
      <c r="C2630" s="185"/>
      <c r="D2630" s="185"/>
      <c r="E2630" s="185"/>
      <c r="F2630" s="185"/>
      <c r="G2630" s="185"/>
      <c r="H2630" s="185"/>
      <c r="I2630" s="185"/>
      <c r="J2630" s="185"/>
      <c r="K2630" s="185"/>
      <c r="L2630" s="187"/>
      <c r="M2630" s="188"/>
      <c r="N2630" s="188"/>
      <c r="O2630" s="208"/>
      <c r="P2630" s="208"/>
      <c r="Q2630" s="208"/>
      <c r="R2630" s="208"/>
    </row>
    <row r="2631">
      <c r="A2631" s="185"/>
      <c r="B2631" s="186"/>
      <c r="C2631" s="185"/>
      <c r="D2631" s="185"/>
      <c r="E2631" s="185"/>
      <c r="F2631" s="185"/>
      <c r="G2631" s="185"/>
      <c r="H2631" s="185"/>
      <c r="I2631" s="185"/>
      <c r="J2631" s="185"/>
      <c r="K2631" s="185"/>
      <c r="L2631" s="187"/>
      <c r="M2631" s="188"/>
      <c r="N2631" s="188"/>
      <c r="O2631" s="208"/>
      <c r="P2631" s="208"/>
      <c r="Q2631" s="208"/>
      <c r="R2631" s="208"/>
    </row>
    <row r="2632">
      <c r="A2632" s="185"/>
      <c r="B2632" s="186"/>
      <c r="C2632" s="185"/>
      <c r="D2632" s="185"/>
      <c r="E2632" s="185"/>
      <c r="F2632" s="185"/>
      <c r="G2632" s="185"/>
      <c r="H2632" s="185"/>
      <c r="I2632" s="185"/>
      <c r="J2632" s="185"/>
      <c r="K2632" s="185"/>
      <c r="L2632" s="187"/>
      <c r="M2632" s="188"/>
      <c r="N2632" s="188"/>
      <c r="O2632" s="208"/>
      <c r="P2632" s="208"/>
      <c r="Q2632" s="208"/>
      <c r="R2632" s="208"/>
    </row>
    <row r="2633">
      <c r="A2633" s="185"/>
      <c r="B2633" s="186"/>
      <c r="C2633" s="185"/>
      <c r="D2633" s="185"/>
      <c r="E2633" s="185"/>
      <c r="F2633" s="185"/>
      <c r="G2633" s="185"/>
      <c r="H2633" s="185"/>
      <c r="I2633" s="185"/>
      <c r="J2633" s="185"/>
      <c r="K2633" s="185"/>
      <c r="L2633" s="187"/>
      <c r="M2633" s="188"/>
      <c r="N2633" s="188"/>
      <c r="O2633" s="208"/>
      <c r="P2633" s="208"/>
      <c r="Q2633" s="208"/>
      <c r="R2633" s="208"/>
    </row>
    <row r="2634">
      <c r="A2634" s="185"/>
      <c r="B2634" s="186"/>
      <c r="C2634" s="185"/>
      <c r="D2634" s="185"/>
      <c r="E2634" s="185"/>
      <c r="F2634" s="185"/>
      <c r="G2634" s="185"/>
      <c r="H2634" s="185"/>
      <c r="I2634" s="185"/>
      <c r="J2634" s="185"/>
      <c r="K2634" s="185"/>
      <c r="L2634" s="187"/>
      <c r="M2634" s="188"/>
      <c r="N2634" s="188"/>
      <c r="O2634" s="208"/>
      <c r="P2634" s="208"/>
      <c r="Q2634" s="208"/>
      <c r="R2634" s="208"/>
    </row>
    <row r="2635">
      <c r="A2635" s="185"/>
      <c r="B2635" s="186"/>
      <c r="C2635" s="185"/>
      <c r="D2635" s="185"/>
      <c r="E2635" s="185"/>
      <c r="F2635" s="185"/>
      <c r="G2635" s="185"/>
      <c r="H2635" s="185"/>
      <c r="I2635" s="185"/>
      <c r="J2635" s="185"/>
      <c r="K2635" s="185"/>
      <c r="L2635" s="187"/>
      <c r="M2635" s="188"/>
      <c r="N2635" s="188"/>
      <c r="O2635" s="208"/>
      <c r="P2635" s="208"/>
      <c r="Q2635" s="208"/>
      <c r="R2635" s="208"/>
    </row>
    <row r="2636">
      <c r="A2636" s="185"/>
      <c r="B2636" s="186"/>
      <c r="C2636" s="185"/>
      <c r="D2636" s="185"/>
      <c r="E2636" s="185"/>
      <c r="F2636" s="185"/>
      <c r="G2636" s="185"/>
      <c r="H2636" s="185"/>
      <c r="I2636" s="185"/>
      <c r="J2636" s="185"/>
      <c r="K2636" s="185"/>
      <c r="L2636" s="187"/>
      <c r="M2636" s="188"/>
      <c r="N2636" s="188"/>
      <c r="O2636" s="208"/>
      <c r="P2636" s="208"/>
      <c r="Q2636" s="208"/>
      <c r="R2636" s="208"/>
    </row>
    <row r="2637">
      <c r="A2637" s="185"/>
      <c r="B2637" s="186"/>
      <c r="C2637" s="185"/>
      <c r="D2637" s="185"/>
      <c r="E2637" s="185"/>
      <c r="F2637" s="185"/>
      <c r="G2637" s="185"/>
      <c r="H2637" s="185"/>
      <c r="I2637" s="185"/>
      <c r="J2637" s="185"/>
      <c r="K2637" s="185"/>
      <c r="L2637" s="187"/>
      <c r="M2637" s="188"/>
      <c r="N2637" s="188"/>
      <c r="O2637" s="208"/>
      <c r="P2637" s="208"/>
      <c r="Q2637" s="208"/>
      <c r="R2637" s="208"/>
    </row>
    <row r="2638">
      <c r="A2638" s="185"/>
      <c r="B2638" s="186"/>
      <c r="C2638" s="185"/>
      <c r="D2638" s="185"/>
      <c r="E2638" s="185"/>
      <c r="F2638" s="185"/>
      <c r="G2638" s="185"/>
      <c r="H2638" s="185"/>
      <c r="I2638" s="185"/>
      <c r="J2638" s="185"/>
      <c r="K2638" s="185"/>
      <c r="L2638" s="187"/>
      <c r="M2638" s="188"/>
      <c r="N2638" s="188"/>
      <c r="O2638" s="208"/>
      <c r="P2638" s="208"/>
      <c r="Q2638" s="208"/>
      <c r="R2638" s="208"/>
    </row>
    <row r="2639">
      <c r="A2639" s="185"/>
      <c r="B2639" s="186"/>
      <c r="C2639" s="185"/>
      <c r="D2639" s="185"/>
      <c r="E2639" s="185"/>
      <c r="F2639" s="185"/>
      <c r="G2639" s="185"/>
      <c r="H2639" s="185"/>
      <c r="I2639" s="185"/>
      <c r="J2639" s="185"/>
      <c r="K2639" s="185"/>
      <c r="L2639" s="187"/>
      <c r="M2639" s="188"/>
      <c r="N2639" s="188"/>
      <c r="O2639" s="208"/>
      <c r="P2639" s="208"/>
      <c r="Q2639" s="208"/>
      <c r="R2639" s="208"/>
    </row>
    <row r="2640">
      <c r="A2640" s="185"/>
      <c r="B2640" s="186"/>
      <c r="C2640" s="185"/>
      <c r="D2640" s="185"/>
      <c r="E2640" s="185"/>
      <c r="F2640" s="185"/>
      <c r="G2640" s="185"/>
      <c r="H2640" s="185"/>
      <c r="I2640" s="185"/>
      <c r="J2640" s="185"/>
      <c r="K2640" s="185"/>
      <c r="L2640" s="187"/>
      <c r="M2640" s="188"/>
      <c r="N2640" s="188"/>
      <c r="O2640" s="208"/>
      <c r="P2640" s="208"/>
      <c r="Q2640" s="208"/>
      <c r="R2640" s="208"/>
    </row>
    <row r="2641">
      <c r="A2641" s="185"/>
      <c r="B2641" s="186"/>
      <c r="C2641" s="185"/>
      <c r="D2641" s="185"/>
      <c r="E2641" s="185"/>
      <c r="F2641" s="185"/>
      <c r="G2641" s="185"/>
      <c r="H2641" s="185"/>
      <c r="I2641" s="185"/>
      <c r="J2641" s="185"/>
      <c r="K2641" s="185"/>
      <c r="L2641" s="187"/>
      <c r="M2641" s="188"/>
      <c r="N2641" s="188"/>
      <c r="O2641" s="208"/>
      <c r="P2641" s="208"/>
      <c r="Q2641" s="208"/>
      <c r="R2641" s="208"/>
    </row>
    <row r="2642">
      <c r="A2642" s="185"/>
      <c r="B2642" s="186"/>
      <c r="C2642" s="185"/>
      <c r="D2642" s="185"/>
      <c r="E2642" s="185"/>
      <c r="F2642" s="185"/>
      <c r="G2642" s="185"/>
      <c r="H2642" s="185"/>
      <c r="I2642" s="185"/>
      <c r="J2642" s="185"/>
      <c r="K2642" s="185"/>
      <c r="L2642" s="187"/>
      <c r="M2642" s="188"/>
      <c r="N2642" s="188"/>
      <c r="O2642" s="208"/>
      <c r="P2642" s="208"/>
      <c r="Q2642" s="208"/>
      <c r="R2642" s="208"/>
    </row>
    <row r="2643">
      <c r="A2643" s="185"/>
      <c r="B2643" s="186"/>
      <c r="C2643" s="185"/>
      <c r="D2643" s="185"/>
      <c r="E2643" s="185"/>
      <c r="F2643" s="185"/>
      <c r="G2643" s="185"/>
      <c r="H2643" s="185"/>
      <c r="I2643" s="185"/>
      <c r="J2643" s="185"/>
      <c r="K2643" s="185"/>
      <c r="L2643" s="187"/>
      <c r="M2643" s="188"/>
      <c r="N2643" s="188"/>
      <c r="O2643" s="208"/>
      <c r="P2643" s="208"/>
      <c r="Q2643" s="208"/>
      <c r="R2643" s="208"/>
    </row>
    <row r="2644">
      <c r="A2644" s="185"/>
      <c r="B2644" s="186"/>
      <c r="C2644" s="185"/>
      <c r="D2644" s="185"/>
      <c r="E2644" s="185"/>
      <c r="F2644" s="185"/>
      <c r="G2644" s="185"/>
      <c r="H2644" s="185"/>
      <c r="I2644" s="185"/>
      <c r="J2644" s="185"/>
      <c r="K2644" s="185"/>
      <c r="L2644" s="187"/>
      <c r="M2644" s="188"/>
      <c r="N2644" s="188"/>
      <c r="O2644" s="208"/>
      <c r="P2644" s="208"/>
      <c r="Q2644" s="208"/>
      <c r="R2644" s="208"/>
    </row>
    <row r="2645">
      <c r="A2645" s="185"/>
      <c r="B2645" s="186"/>
      <c r="C2645" s="185"/>
      <c r="D2645" s="185"/>
      <c r="E2645" s="185"/>
      <c r="F2645" s="185"/>
      <c r="G2645" s="185"/>
      <c r="H2645" s="185"/>
      <c r="I2645" s="185"/>
      <c r="J2645" s="185"/>
      <c r="K2645" s="185"/>
      <c r="L2645" s="187"/>
      <c r="M2645" s="188"/>
      <c r="N2645" s="188"/>
      <c r="O2645" s="208"/>
      <c r="P2645" s="208"/>
      <c r="Q2645" s="208"/>
      <c r="R2645" s="208"/>
    </row>
    <row r="2646">
      <c r="A2646" s="185"/>
      <c r="B2646" s="186"/>
      <c r="C2646" s="185"/>
      <c r="D2646" s="185"/>
      <c r="E2646" s="185"/>
      <c r="F2646" s="185"/>
      <c r="G2646" s="185"/>
      <c r="H2646" s="185"/>
      <c r="I2646" s="185"/>
      <c r="J2646" s="185"/>
      <c r="K2646" s="185"/>
      <c r="L2646" s="187"/>
      <c r="M2646" s="188"/>
      <c r="N2646" s="188"/>
      <c r="O2646" s="208"/>
      <c r="P2646" s="208"/>
      <c r="Q2646" s="208"/>
      <c r="R2646" s="208"/>
    </row>
    <row r="2647">
      <c r="A2647" s="185"/>
      <c r="B2647" s="186"/>
      <c r="C2647" s="185"/>
      <c r="D2647" s="185"/>
      <c r="E2647" s="185"/>
      <c r="F2647" s="185"/>
      <c r="G2647" s="185"/>
      <c r="H2647" s="185"/>
      <c r="I2647" s="185"/>
      <c r="J2647" s="185"/>
      <c r="K2647" s="185"/>
      <c r="L2647" s="187"/>
      <c r="M2647" s="188"/>
      <c r="N2647" s="188"/>
      <c r="O2647" s="208"/>
      <c r="P2647" s="208"/>
      <c r="Q2647" s="208"/>
      <c r="R2647" s="208"/>
    </row>
    <row r="2648">
      <c r="A2648" s="185"/>
      <c r="B2648" s="186"/>
      <c r="C2648" s="185"/>
      <c r="D2648" s="185"/>
      <c r="E2648" s="185"/>
      <c r="F2648" s="185"/>
      <c r="G2648" s="185"/>
      <c r="H2648" s="185"/>
      <c r="I2648" s="185"/>
      <c r="J2648" s="185"/>
      <c r="K2648" s="185"/>
      <c r="L2648" s="187"/>
      <c r="M2648" s="188"/>
      <c r="N2648" s="188"/>
      <c r="O2648" s="208"/>
      <c r="P2648" s="208"/>
      <c r="Q2648" s="208"/>
      <c r="R2648" s="208"/>
    </row>
    <row r="2649">
      <c r="A2649" s="185"/>
      <c r="B2649" s="186"/>
      <c r="C2649" s="185"/>
      <c r="D2649" s="185"/>
      <c r="E2649" s="185"/>
      <c r="F2649" s="185"/>
      <c r="G2649" s="185"/>
      <c r="H2649" s="185"/>
      <c r="I2649" s="185"/>
      <c r="J2649" s="185"/>
      <c r="K2649" s="185"/>
      <c r="L2649" s="187"/>
      <c r="M2649" s="188"/>
      <c r="N2649" s="188"/>
      <c r="O2649" s="208"/>
      <c r="P2649" s="208"/>
      <c r="Q2649" s="208"/>
      <c r="R2649" s="208"/>
    </row>
    <row r="2650">
      <c r="A2650" s="185"/>
      <c r="B2650" s="186"/>
      <c r="C2650" s="185"/>
      <c r="D2650" s="185"/>
      <c r="E2650" s="185"/>
      <c r="F2650" s="185"/>
      <c r="G2650" s="185"/>
      <c r="H2650" s="185"/>
      <c r="I2650" s="185"/>
      <c r="J2650" s="185"/>
      <c r="K2650" s="185"/>
      <c r="L2650" s="187"/>
      <c r="M2650" s="188"/>
      <c r="N2650" s="188"/>
      <c r="O2650" s="208"/>
      <c r="P2650" s="208"/>
      <c r="Q2650" s="208"/>
      <c r="R2650" s="208"/>
    </row>
    <row r="2651">
      <c r="A2651" s="185"/>
      <c r="B2651" s="186"/>
      <c r="C2651" s="185"/>
      <c r="D2651" s="185"/>
      <c r="E2651" s="185"/>
      <c r="F2651" s="185"/>
      <c r="G2651" s="185"/>
      <c r="H2651" s="185"/>
      <c r="I2651" s="185"/>
      <c r="J2651" s="185"/>
      <c r="K2651" s="185"/>
      <c r="L2651" s="187"/>
      <c r="M2651" s="188"/>
      <c r="N2651" s="188"/>
      <c r="O2651" s="208"/>
      <c r="P2651" s="208"/>
      <c r="Q2651" s="208"/>
      <c r="R2651" s="208"/>
    </row>
    <row r="2652">
      <c r="A2652" s="185"/>
      <c r="B2652" s="186"/>
      <c r="C2652" s="185"/>
      <c r="D2652" s="185"/>
      <c r="E2652" s="185"/>
      <c r="F2652" s="185"/>
      <c r="G2652" s="185"/>
      <c r="H2652" s="185"/>
      <c r="I2652" s="185"/>
      <c r="J2652" s="185"/>
      <c r="K2652" s="185"/>
      <c r="L2652" s="187"/>
      <c r="M2652" s="188"/>
      <c r="N2652" s="188"/>
      <c r="O2652" s="208"/>
      <c r="P2652" s="208"/>
      <c r="Q2652" s="208"/>
      <c r="R2652" s="208"/>
    </row>
    <row r="2653">
      <c r="A2653" s="185"/>
      <c r="B2653" s="186"/>
      <c r="C2653" s="185"/>
      <c r="D2653" s="185"/>
      <c r="E2653" s="185"/>
      <c r="F2653" s="185"/>
      <c r="G2653" s="185"/>
      <c r="H2653" s="185"/>
      <c r="I2653" s="185"/>
      <c r="J2653" s="185"/>
      <c r="K2653" s="185"/>
      <c r="L2653" s="187"/>
      <c r="M2653" s="188"/>
      <c r="N2653" s="188"/>
      <c r="O2653" s="208"/>
      <c r="P2653" s="208"/>
      <c r="Q2653" s="208"/>
      <c r="R2653" s="208"/>
    </row>
    <row r="2654">
      <c r="A2654" s="185"/>
      <c r="B2654" s="186"/>
      <c r="C2654" s="185"/>
      <c r="D2654" s="185"/>
      <c r="E2654" s="185"/>
      <c r="F2654" s="185"/>
      <c r="G2654" s="185"/>
      <c r="H2654" s="185"/>
      <c r="I2654" s="185"/>
      <c r="J2654" s="185"/>
      <c r="K2654" s="185"/>
      <c r="L2654" s="187"/>
      <c r="M2654" s="188"/>
      <c r="N2654" s="188"/>
      <c r="O2654" s="208"/>
      <c r="P2654" s="208"/>
      <c r="Q2654" s="208"/>
      <c r="R2654" s="208"/>
    </row>
    <row r="2655">
      <c r="A2655" s="185"/>
      <c r="B2655" s="186"/>
      <c r="C2655" s="185"/>
      <c r="D2655" s="185"/>
      <c r="E2655" s="185"/>
      <c r="F2655" s="185"/>
      <c r="G2655" s="185"/>
      <c r="H2655" s="185"/>
      <c r="I2655" s="185"/>
      <c r="J2655" s="185"/>
      <c r="K2655" s="185"/>
      <c r="L2655" s="187"/>
      <c r="M2655" s="188"/>
      <c r="N2655" s="188"/>
      <c r="O2655" s="208"/>
      <c r="P2655" s="208"/>
      <c r="Q2655" s="208"/>
      <c r="R2655" s="208"/>
    </row>
    <row r="2656">
      <c r="A2656" s="185"/>
      <c r="B2656" s="186"/>
      <c r="C2656" s="185"/>
      <c r="D2656" s="185"/>
      <c r="E2656" s="185"/>
      <c r="F2656" s="185"/>
      <c r="G2656" s="185"/>
      <c r="H2656" s="185"/>
      <c r="I2656" s="185"/>
      <c r="J2656" s="185"/>
      <c r="K2656" s="185"/>
      <c r="L2656" s="187"/>
      <c r="M2656" s="188"/>
      <c r="N2656" s="188"/>
      <c r="O2656" s="208"/>
      <c r="P2656" s="208"/>
      <c r="Q2656" s="208"/>
      <c r="R2656" s="208"/>
    </row>
    <row r="2657">
      <c r="A2657" s="185"/>
      <c r="B2657" s="186"/>
      <c r="C2657" s="185"/>
      <c r="D2657" s="185"/>
      <c r="E2657" s="185"/>
      <c r="F2657" s="185"/>
      <c r="G2657" s="185"/>
      <c r="H2657" s="185"/>
      <c r="I2657" s="185"/>
      <c r="J2657" s="185"/>
      <c r="K2657" s="185"/>
      <c r="L2657" s="187"/>
      <c r="M2657" s="188"/>
      <c r="N2657" s="188"/>
      <c r="O2657" s="208"/>
      <c r="P2657" s="208"/>
      <c r="Q2657" s="208"/>
      <c r="R2657" s="208"/>
    </row>
    <row r="2658">
      <c r="A2658" s="185"/>
      <c r="B2658" s="186"/>
      <c r="C2658" s="185"/>
      <c r="D2658" s="185"/>
      <c r="E2658" s="185"/>
      <c r="F2658" s="185"/>
      <c r="G2658" s="185"/>
      <c r="H2658" s="185"/>
      <c r="I2658" s="185"/>
      <c r="J2658" s="185"/>
      <c r="K2658" s="185"/>
      <c r="L2658" s="187"/>
      <c r="M2658" s="188"/>
      <c r="N2658" s="188"/>
      <c r="O2658" s="208"/>
      <c r="P2658" s="208"/>
      <c r="Q2658" s="208"/>
      <c r="R2658" s="208"/>
    </row>
    <row r="2659">
      <c r="A2659" s="185"/>
      <c r="B2659" s="186"/>
      <c r="C2659" s="185"/>
      <c r="D2659" s="185"/>
      <c r="E2659" s="185"/>
      <c r="F2659" s="185"/>
      <c r="G2659" s="185"/>
      <c r="H2659" s="185"/>
      <c r="I2659" s="185"/>
      <c r="J2659" s="185"/>
      <c r="K2659" s="185"/>
      <c r="L2659" s="187"/>
      <c r="M2659" s="188"/>
      <c r="N2659" s="188"/>
      <c r="O2659" s="208"/>
      <c r="P2659" s="208"/>
      <c r="Q2659" s="208"/>
      <c r="R2659" s="208"/>
    </row>
    <row r="2660">
      <c r="A2660" s="185"/>
      <c r="B2660" s="186"/>
      <c r="C2660" s="185"/>
      <c r="D2660" s="185"/>
      <c r="E2660" s="185"/>
      <c r="F2660" s="185"/>
      <c r="G2660" s="185"/>
      <c r="H2660" s="185"/>
      <c r="I2660" s="185"/>
      <c r="J2660" s="185"/>
      <c r="K2660" s="185"/>
      <c r="L2660" s="187"/>
      <c r="M2660" s="188"/>
      <c r="N2660" s="188"/>
      <c r="O2660" s="208"/>
      <c r="P2660" s="208"/>
      <c r="Q2660" s="208"/>
      <c r="R2660" s="208"/>
    </row>
    <row r="2661">
      <c r="A2661" s="185"/>
      <c r="B2661" s="186"/>
      <c r="C2661" s="185"/>
      <c r="D2661" s="185"/>
      <c r="E2661" s="185"/>
      <c r="F2661" s="185"/>
      <c r="G2661" s="185"/>
      <c r="H2661" s="185"/>
      <c r="I2661" s="185"/>
      <c r="J2661" s="185"/>
      <c r="K2661" s="185"/>
      <c r="L2661" s="187"/>
      <c r="M2661" s="188"/>
      <c r="N2661" s="188"/>
      <c r="O2661" s="208"/>
      <c r="P2661" s="208"/>
      <c r="Q2661" s="208"/>
      <c r="R2661" s="208"/>
    </row>
    <row r="2662">
      <c r="A2662" s="185"/>
      <c r="B2662" s="186"/>
      <c r="C2662" s="185"/>
      <c r="D2662" s="185"/>
      <c r="E2662" s="185"/>
      <c r="F2662" s="185"/>
      <c r="G2662" s="185"/>
      <c r="H2662" s="185"/>
      <c r="I2662" s="185"/>
      <c r="J2662" s="185"/>
      <c r="K2662" s="185"/>
      <c r="L2662" s="187"/>
      <c r="M2662" s="188"/>
      <c r="N2662" s="188"/>
      <c r="O2662" s="208"/>
      <c r="P2662" s="208"/>
      <c r="Q2662" s="208"/>
      <c r="R2662" s="208"/>
    </row>
    <row r="2663">
      <c r="A2663" s="185"/>
      <c r="B2663" s="186"/>
      <c r="C2663" s="185"/>
      <c r="D2663" s="185"/>
      <c r="E2663" s="185"/>
      <c r="F2663" s="185"/>
      <c r="G2663" s="185"/>
      <c r="H2663" s="185"/>
      <c r="I2663" s="185"/>
      <c r="J2663" s="185"/>
      <c r="K2663" s="185"/>
      <c r="L2663" s="187"/>
      <c r="M2663" s="188"/>
      <c r="N2663" s="188"/>
      <c r="O2663" s="208"/>
      <c r="P2663" s="208"/>
      <c r="Q2663" s="208"/>
      <c r="R2663" s="208"/>
    </row>
    <row r="2664">
      <c r="A2664" s="185"/>
      <c r="B2664" s="186"/>
      <c r="C2664" s="185"/>
      <c r="D2664" s="185"/>
      <c r="E2664" s="185"/>
      <c r="F2664" s="185"/>
      <c r="G2664" s="185"/>
      <c r="H2664" s="185"/>
      <c r="I2664" s="185"/>
      <c r="J2664" s="185"/>
      <c r="K2664" s="185"/>
      <c r="L2664" s="187"/>
      <c r="M2664" s="188"/>
      <c r="N2664" s="188"/>
      <c r="O2664" s="208"/>
      <c r="P2664" s="208"/>
      <c r="Q2664" s="208"/>
      <c r="R2664" s="208"/>
    </row>
    <row r="2665">
      <c r="A2665" s="185"/>
      <c r="B2665" s="186"/>
      <c r="C2665" s="185"/>
      <c r="D2665" s="185"/>
      <c r="E2665" s="185"/>
      <c r="F2665" s="185"/>
      <c r="G2665" s="185"/>
      <c r="H2665" s="185"/>
      <c r="I2665" s="185"/>
      <c r="J2665" s="185"/>
      <c r="K2665" s="185"/>
      <c r="L2665" s="187"/>
      <c r="M2665" s="188"/>
      <c r="N2665" s="188"/>
      <c r="O2665" s="208"/>
      <c r="P2665" s="208"/>
      <c r="Q2665" s="208"/>
      <c r="R2665" s="208"/>
    </row>
    <row r="2666">
      <c r="A2666" s="185"/>
      <c r="B2666" s="186"/>
      <c r="C2666" s="185"/>
      <c r="D2666" s="185"/>
      <c r="E2666" s="185"/>
      <c r="F2666" s="185"/>
      <c r="G2666" s="185"/>
      <c r="H2666" s="185"/>
      <c r="I2666" s="185"/>
      <c r="J2666" s="185"/>
      <c r="K2666" s="185"/>
      <c r="L2666" s="187"/>
      <c r="M2666" s="188"/>
      <c r="N2666" s="188"/>
      <c r="O2666" s="208"/>
      <c r="P2666" s="208"/>
      <c r="Q2666" s="208"/>
      <c r="R2666" s="208"/>
    </row>
    <row r="2667">
      <c r="A2667" s="185"/>
      <c r="B2667" s="186"/>
      <c r="C2667" s="185"/>
      <c r="D2667" s="185"/>
      <c r="E2667" s="185"/>
      <c r="F2667" s="185"/>
      <c r="G2667" s="185"/>
      <c r="H2667" s="185"/>
      <c r="I2667" s="185"/>
      <c r="J2667" s="185"/>
      <c r="K2667" s="185"/>
      <c r="L2667" s="187"/>
      <c r="M2667" s="188"/>
      <c r="N2667" s="188"/>
      <c r="O2667" s="208"/>
      <c r="P2667" s="208"/>
      <c r="Q2667" s="208"/>
      <c r="R2667" s="208"/>
    </row>
    <row r="2668">
      <c r="A2668" s="185"/>
      <c r="B2668" s="186"/>
      <c r="C2668" s="185"/>
      <c r="D2668" s="185"/>
      <c r="E2668" s="185"/>
      <c r="F2668" s="185"/>
      <c r="G2668" s="185"/>
      <c r="H2668" s="185"/>
      <c r="I2668" s="185"/>
      <c r="J2668" s="185"/>
      <c r="K2668" s="185"/>
      <c r="L2668" s="187"/>
      <c r="M2668" s="188"/>
      <c r="N2668" s="188"/>
      <c r="O2668" s="208"/>
      <c r="P2668" s="208"/>
      <c r="Q2668" s="208"/>
      <c r="R2668" s="208"/>
    </row>
    <row r="2669">
      <c r="A2669" s="185"/>
      <c r="B2669" s="186"/>
      <c r="C2669" s="185"/>
      <c r="D2669" s="185"/>
      <c r="E2669" s="185"/>
      <c r="F2669" s="185"/>
      <c r="G2669" s="185"/>
      <c r="H2669" s="185"/>
      <c r="I2669" s="185"/>
      <c r="J2669" s="185"/>
      <c r="K2669" s="185"/>
      <c r="L2669" s="187"/>
      <c r="M2669" s="188"/>
      <c r="N2669" s="188"/>
      <c r="O2669" s="208"/>
      <c r="P2669" s="208"/>
      <c r="Q2669" s="208"/>
      <c r="R2669" s="208"/>
    </row>
    <row r="2670">
      <c r="A2670" s="185"/>
      <c r="B2670" s="186"/>
      <c r="C2670" s="185"/>
      <c r="D2670" s="185"/>
      <c r="E2670" s="185"/>
      <c r="F2670" s="185"/>
      <c r="G2670" s="185"/>
      <c r="H2670" s="185"/>
      <c r="I2670" s="185"/>
      <c r="J2670" s="185"/>
      <c r="K2670" s="185"/>
      <c r="L2670" s="187"/>
      <c r="M2670" s="188"/>
      <c r="N2670" s="188"/>
      <c r="O2670" s="208"/>
      <c r="P2670" s="208"/>
      <c r="Q2670" s="208"/>
      <c r="R2670" s="208"/>
    </row>
    <row r="2671">
      <c r="A2671" s="185"/>
      <c r="B2671" s="186"/>
      <c r="C2671" s="185"/>
      <c r="D2671" s="185"/>
      <c r="E2671" s="185"/>
      <c r="F2671" s="185"/>
      <c r="G2671" s="185"/>
      <c r="H2671" s="185"/>
      <c r="I2671" s="185"/>
      <c r="J2671" s="185"/>
      <c r="K2671" s="185"/>
      <c r="L2671" s="187"/>
      <c r="M2671" s="188"/>
      <c r="N2671" s="188"/>
      <c r="O2671" s="208"/>
      <c r="P2671" s="208"/>
      <c r="Q2671" s="208"/>
      <c r="R2671" s="208"/>
    </row>
    <row r="2672">
      <c r="A2672" s="185"/>
      <c r="B2672" s="186"/>
      <c r="C2672" s="185"/>
      <c r="D2672" s="185"/>
      <c r="E2672" s="185"/>
      <c r="F2672" s="185"/>
      <c r="G2672" s="185"/>
      <c r="H2672" s="185"/>
      <c r="I2672" s="185"/>
      <c r="J2672" s="185"/>
      <c r="K2672" s="185"/>
      <c r="L2672" s="187"/>
      <c r="M2672" s="188"/>
      <c r="N2672" s="188"/>
      <c r="O2672" s="208"/>
      <c r="P2672" s="208"/>
      <c r="Q2672" s="208"/>
      <c r="R2672" s="208"/>
    </row>
    <row r="2673">
      <c r="A2673" s="185"/>
      <c r="B2673" s="186"/>
      <c r="C2673" s="185"/>
      <c r="D2673" s="185"/>
      <c r="E2673" s="185"/>
      <c r="F2673" s="185"/>
      <c r="G2673" s="185"/>
      <c r="H2673" s="185"/>
      <c r="I2673" s="185"/>
      <c r="J2673" s="185"/>
      <c r="K2673" s="185"/>
      <c r="L2673" s="187"/>
      <c r="M2673" s="188"/>
      <c r="N2673" s="188"/>
      <c r="O2673" s="208"/>
      <c r="P2673" s="208"/>
      <c r="Q2673" s="208"/>
      <c r="R2673" s="208"/>
    </row>
    <row r="2674">
      <c r="A2674" s="185"/>
      <c r="B2674" s="186"/>
      <c r="C2674" s="185"/>
      <c r="D2674" s="185"/>
      <c r="E2674" s="185"/>
      <c r="F2674" s="185"/>
      <c r="G2674" s="185"/>
      <c r="H2674" s="185"/>
      <c r="I2674" s="185"/>
      <c r="J2674" s="185"/>
      <c r="K2674" s="185"/>
      <c r="L2674" s="187"/>
      <c r="M2674" s="188"/>
      <c r="N2674" s="188"/>
      <c r="O2674" s="208"/>
      <c r="P2674" s="208"/>
      <c r="Q2674" s="208"/>
      <c r="R2674" s="208"/>
    </row>
    <row r="2675">
      <c r="A2675" s="185"/>
      <c r="B2675" s="186"/>
      <c r="C2675" s="185"/>
      <c r="D2675" s="185"/>
      <c r="E2675" s="185"/>
      <c r="F2675" s="185"/>
      <c r="G2675" s="185"/>
      <c r="H2675" s="185"/>
      <c r="I2675" s="185"/>
      <c r="J2675" s="185"/>
      <c r="K2675" s="185"/>
      <c r="L2675" s="187"/>
      <c r="M2675" s="188"/>
      <c r="N2675" s="188"/>
      <c r="O2675" s="208"/>
      <c r="P2675" s="208"/>
      <c r="Q2675" s="208"/>
      <c r="R2675" s="208"/>
    </row>
    <row r="2676">
      <c r="A2676" s="185"/>
      <c r="B2676" s="186"/>
      <c r="C2676" s="185"/>
      <c r="D2676" s="185"/>
      <c r="E2676" s="185"/>
      <c r="F2676" s="185"/>
      <c r="G2676" s="185"/>
      <c r="H2676" s="185"/>
      <c r="I2676" s="185"/>
      <c r="J2676" s="185"/>
      <c r="K2676" s="185"/>
      <c r="L2676" s="187"/>
      <c r="M2676" s="188"/>
      <c r="N2676" s="188"/>
      <c r="O2676" s="208"/>
      <c r="P2676" s="208"/>
      <c r="Q2676" s="208"/>
      <c r="R2676" s="208"/>
    </row>
    <row r="2677">
      <c r="A2677" s="185"/>
      <c r="B2677" s="186"/>
      <c r="C2677" s="185"/>
      <c r="D2677" s="185"/>
      <c r="E2677" s="185"/>
      <c r="F2677" s="185"/>
      <c r="G2677" s="185"/>
      <c r="H2677" s="185"/>
      <c r="I2677" s="185"/>
      <c r="J2677" s="185"/>
      <c r="K2677" s="185"/>
      <c r="L2677" s="187"/>
      <c r="M2677" s="188"/>
      <c r="N2677" s="188"/>
      <c r="O2677" s="208"/>
      <c r="P2677" s="208"/>
      <c r="Q2677" s="208"/>
      <c r="R2677" s="208"/>
    </row>
    <row r="2678">
      <c r="A2678" s="185"/>
      <c r="B2678" s="186"/>
      <c r="C2678" s="185"/>
      <c r="D2678" s="185"/>
      <c r="E2678" s="185"/>
      <c r="F2678" s="185"/>
      <c r="G2678" s="185"/>
      <c r="H2678" s="185"/>
      <c r="I2678" s="185"/>
      <c r="J2678" s="185"/>
      <c r="K2678" s="185"/>
      <c r="L2678" s="187"/>
      <c r="M2678" s="188"/>
      <c r="N2678" s="188"/>
      <c r="O2678" s="208"/>
      <c r="P2678" s="208"/>
      <c r="Q2678" s="208"/>
      <c r="R2678" s="208"/>
    </row>
    <row r="2679">
      <c r="A2679" s="185"/>
      <c r="B2679" s="186"/>
      <c r="C2679" s="185"/>
      <c r="D2679" s="185"/>
      <c r="E2679" s="185"/>
      <c r="F2679" s="185"/>
      <c r="G2679" s="185"/>
      <c r="H2679" s="185"/>
      <c r="I2679" s="185"/>
      <c r="J2679" s="185"/>
      <c r="K2679" s="185"/>
      <c r="L2679" s="187"/>
      <c r="M2679" s="188"/>
      <c r="N2679" s="188"/>
      <c r="O2679" s="208"/>
      <c r="P2679" s="208"/>
      <c r="Q2679" s="208"/>
      <c r="R2679" s="208"/>
    </row>
    <row r="2680">
      <c r="A2680" s="185"/>
      <c r="B2680" s="186"/>
      <c r="C2680" s="185"/>
      <c r="D2680" s="185"/>
      <c r="E2680" s="185"/>
      <c r="F2680" s="185"/>
      <c r="G2680" s="185"/>
      <c r="H2680" s="185"/>
      <c r="I2680" s="185"/>
      <c r="J2680" s="185"/>
      <c r="K2680" s="185"/>
      <c r="L2680" s="187"/>
      <c r="M2680" s="188"/>
      <c r="N2680" s="188"/>
      <c r="O2680" s="208"/>
      <c r="P2680" s="208"/>
      <c r="Q2680" s="208"/>
      <c r="R2680" s="208"/>
    </row>
    <row r="2681">
      <c r="A2681" s="185"/>
      <c r="B2681" s="186"/>
      <c r="C2681" s="185"/>
      <c r="D2681" s="185"/>
      <c r="E2681" s="185"/>
      <c r="F2681" s="185"/>
      <c r="G2681" s="185"/>
      <c r="H2681" s="185"/>
      <c r="I2681" s="185"/>
      <c r="J2681" s="185"/>
      <c r="K2681" s="185"/>
      <c r="L2681" s="187"/>
      <c r="M2681" s="188"/>
      <c r="N2681" s="188"/>
      <c r="O2681" s="208"/>
      <c r="P2681" s="208"/>
      <c r="Q2681" s="208"/>
      <c r="R2681" s="208"/>
    </row>
    <row r="2682">
      <c r="A2682" s="185"/>
      <c r="B2682" s="186"/>
      <c r="C2682" s="185"/>
      <c r="D2682" s="185"/>
      <c r="E2682" s="185"/>
      <c r="F2682" s="185"/>
      <c r="G2682" s="185"/>
      <c r="H2682" s="185"/>
      <c r="I2682" s="185"/>
      <c r="J2682" s="185"/>
      <c r="K2682" s="185"/>
      <c r="L2682" s="187"/>
      <c r="M2682" s="188"/>
      <c r="N2682" s="188"/>
      <c r="O2682" s="208"/>
      <c r="P2682" s="208"/>
      <c r="Q2682" s="208"/>
      <c r="R2682" s="208"/>
    </row>
    <row r="2683">
      <c r="A2683" s="185"/>
      <c r="B2683" s="186"/>
      <c r="C2683" s="185"/>
      <c r="D2683" s="185"/>
      <c r="E2683" s="185"/>
      <c r="F2683" s="185"/>
      <c r="G2683" s="185"/>
      <c r="H2683" s="185"/>
      <c r="I2683" s="185"/>
      <c r="J2683" s="185"/>
      <c r="K2683" s="185"/>
      <c r="L2683" s="187"/>
      <c r="M2683" s="188"/>
      <c r="N2683" s="188"/>
      <c r="O2683" s="208"/>
      <c r="P2683" s="208"/>
      <c r="Q2683" s="208"/>
      <c r="R2683" s="208"/>
    </row>
    <row r="2684">
      <c r="A2684" s="185"/>
      <c r="B2684" s="186"/>
      <c r="C2684" s="185"/>
      <c r="D2684" s="185"/>
      <c r="E2684" s="185"/>
      <c r="F2684" s="185"/>
      <c r="G2684" s="185"/>
      <c r="H2684" s="185"/>
      <c r="I2684" s="185"/>
      <c r="J2684" s="185"/>
      <c r="K2684" s="185"/>
      <c r="L2684" s="187"/>
      <c r="M2684" s="188"/>
      <c r="N2684" s="188"/>
      <c r="O2684" s="208"/>
      <c r="P2684" s="208"/>
      <c r="Q2684" s="208"/>
      <c r="R2684" s="208"/>
    </row>
    <row r="2685">
      <c r="A2685" s="185"/>
      <c r="B2685" s="186"/>
      <c r="C2685" s="185"/>
      <c r="D2685" s="185"/>
      <c r="E2685" s="185"/>
      <c r="F2685" s="185"/>
      <c r="G2685" s="185"/>
      <c r="H2685" s="185"/>
      <c r="I2685" s="185"/>
      <c r="J2685" s="185"/>
      <c r="K2685" s="185"/>
      <c r="L2685" s="187"/>
      <c r="M2685" s="188"/>
      <c r="N2685" s="188"/>
      <c r="O2685" s="208"/>
      <c r="P2685" s="208"/>
      <c r="Q2685" s="208"/>
      <c r="R2685" s="208"/>
    </row>
    <row r="2686">
      <c r="A2686" s="185"/>
      <c r="B2686" s="186"/>
      <c r="C2686" s="185"/>
      <c r="D2686" s="185"/>
      <c r="E2686" s="185"/>
      <c r="F2686" s="185"/>
      <c r="G2686" s="185"/>
      <c r="H2686" s="185"/>
      <c r="I2686" s="185"/>
      <c r="J2686" s="185"/>
      <c r="K2686" s="185"/>
      <c r="L2686" s="187"/>
      <c r="M2686" s="188"/>
      <c r="N2686" s="188"/>
      <c r="O2686" s="208"/>
      <c r="P2686" s="208"/>
      <c r="Q2686" s="208"/>
      <c r="R2686" s="208"/>
    </row>
    <row r="2687">
      <c r="A2687" s="185"/>
      <c r="B2687" s="186"/>
      <c r="C2687" s="185"/>
      <c r="D2687" s="185"/>
      <c r="E2687" s="185"/>
      <c r="F2687" s="185"/>
      <c r="G2687" s="185"/>
      <c r="H2687" s="185"/>
      <c r="I2687" s="185"/>
      <c r="J2687" s="185"/>
      <c r="K2687" s="185"/>
      <c r="L2687" s="187"/>
      <c r="M2687" s="188"/>
      <c r="N2687" s="188"/>
      <c r="O2687" s="208"/>
      <c r="P2687" s="208"/>
      <c r="Q2687" s="208"/>
      <c r="R2687" s="208"/>
    </row>
    <row r="2688">
      <c r="A2688" s="185"/>
      <c r="B2688" s="186"/>
      <c r="C2688" s="185"/>
      <c r="D2688" s="185"/>
      <c r="E2688" s="185"/>
      <c r="F2688" s="185"/>
      <c r="G2688" s="185"/>
      <c r="H2688" s="185"/>
      <c r="I2688" s="185"/>
      <c r="J2688" s="185"/>
      <c r="K2688" s="185"/>
      <c r="L2688" s="187"/>
      <c r="M2688" s="188"/>
      <c r="N2688" s="188"/>
      <c r="O2688" s="208"/>
      <c r="P2688" s="208"/>
      <c r="Q2688" s="208"/>
      <c r="R2688" s="208"/>
    </row>
    <row r="2689">
      <c r="A2689" s="185"/>
      <c r="B2689" s="186"/>
      <c r="C2689" s="185"/>
      <c r="D2689" s="185"/>
      <c r="E2689" s="185"/>
      <c r="F2689" s="185"/>
      <c r="G2689" s="185"/>
      <c r="H2689" s="185"/>
      <c r="I2689" s="185"/>
      <c r="J2689" s="185"/>
      <c r="K2689" s="185"/>
      <c r="L2689" s="187"/>
      <c r="M2689" s="188"/>
      <c r="N2689" s="188"/>
      <c r="O2689" s="208"/>
      <c r="P2689" s="208"/>
      <c r="Q2689" s="208"/>
      <c r="R2689" s="208"/>
    </row>
    <row r="2690">
      <c r="A2690" s="185"/>
      <c r="B2690" s="186"/>
      <c r="C2690" s="185"/>
      <c r="D2690" s="185"/>
      <c r="E2690" s="185"/>
      <c r="F2690" s="185"/>
      <c r="G2690" s="185"/>
      <c r="H2690" s="185"/>
      <c r="I2690" s="185"/>
      <c r="J2690" s="185"/>
      <c r="K2690" s="185"/>
      <c r="L2690" s="187"/>
      <c r="M2690" s="188"/>
      <c r="N2690" s="188"/>
      <c r="O2690" s="208"/>
      <c r="P2690" s="208"/>
      <c r="Q2690" s="208"/>
      <c r="R2690" s="208"/>
    </row>
    <row r="2691">
      <c r="A2691" s="185"/>
      <c r="B2691" s="186"/>
      <c r="C2691" s="185"/>
      <c r="D2691" s="185"/>
      <c r="E2691" s="185"/>
      <c r="F2691" s="185"/>
      <c r="G2691" s="185"/>
      <c r="H2691" s="185"/>
      <c r="I2691" s="185"/>
      <c r="J2691" s="185"/>
      <c r="K2691" s="185"/>
      <c r="L2691" s="187"/>
      <c r="M2691" s="188"/>
      <c r="N2691" s="188"/>
      <c r="O2691" s="208"/>
      <c r="P2691" s="208"/>
      <c r="Q2691" s="208"/>
      <c r="R2691" s="208"/>
    </row>
    <row r="2692">
      <c r="A2692" s="185"/>
      <c r="B2692" s="186"/>
      <c r="C2692" s="185"/>
      <c r="D2692" s="185"/>
      <c r="E2692" s="185"/>
      <c r="F2692" s="185"/>
      <c r="G2692" s="185"/>
      <c r="H2692" s="185"/>
      <c r="I2692" s="185"/>
      <c r="J2692" s="185"/>
      <c r="K2692" s="185"/>
      <c r="L2692" s="187"/>
      <c r="M2692" s="188"/>
      <c r="N2692" s="188"/>
      <c r="O2692" s="208"/>
      <c r="P2692" s="208"/>
      <c r="Q2692" s="208"/>
      <c r="R2692" s="208"/>
    </row>
    <row r="2693">
      <c r="A2693" s="185"/>
      <c r="B2693" s="186"/>
      <c r="C2693" s="185"/>
      <c r="D2693" s="185"/>
      <c r="E2693" s="185"/>
      <c r="F2693" s="185"/>
      <c r="G2693" s="185"/>
      <c r="H2693" s="185"/>
      <c r="I2693" s="185"/>
      <c r="J2693" s="185"/>
      <c r="K2693" s="185"/>
      <c r="L2693" s="187"/>
      <c r="M2693" s="188"/>
      <c r="N2693" s="188"/>
      <c r="O2693" s="208"/>
      <c r="P2693" s="208"/>
      <c r="Q2693" s="208"/>
      <c r="R2693" s="208"/>
    </row>
    <row r="2694">
      <c r="A2694" s="185"/>
      <c r="B2694" s="186"/>
      <c r="C2694" s="185"/>
      <c r="D2694" s="185"/>
      <c r="E2694" s="185"/>
      <c r="F2694" s="185"/>
      <c r="G2694" s="185"/>
      <c r="H2694" s="185"/>
      <c r="I2694" s="185"/>
      <c r="J2694" s="185"/>
      <c r="K2694" s="185"/>
      <c r="L2694" s="187"/>
      <c r="M2694" s="188"/>
      <c r="N2694" s="188"/>
      <c r="O2694" s="208"/>
      <c r="P2694" s="208"/>
      <c r="Q2694" s="208"/>
      <c r="R2694" s="208"/>
    </row>
    <row r="2695">
      <c r="A2695" s="185"/>
      <c r="B2695" s="186"/>
      <c r="C2695" s="185"/>
      <c r="D2695" s="185"/>
      <c r="E2695" s="185"/>
      <c r="F2695" s="185"/>
      <c r="G2695" s="185"/>
      <c r="H2695" s="185"/>
      <c r="I2695" s="185"/>
      <c r="J2695" s="185"/>
      <c r="K2695" s="185"/>
      <c r="L2695" s="187"/>
      <c r="M2695" s="188"/>
      <c r="N2695" s="188"/>
      <c r="O2695" s="208"/>
      <c r="P2695" s="208"/>
      <c r="Q2695" s="208"/>
      <c r="R2695" s="208"/>
    </row>
    <row r="2696">
      <c r="A2696" s="185"/>
      <c r="B2696" s="186"/>
      <c r="C2696" s="185"/>
      <c r="D2696" s="185"/>
      <c r="E2696" s="185"/>
      <c r="F2696" s="185"/>
      <c r="G2696" s="185"/>
      <c r="H2696" s="185"/>
      <c r="I2696" s="185"/>
      <c r="J2696" s="185"/>
      <c r="K2696" s="185"/>
      <c r="L2696" s="187"/>
      <c r="M2696" s="188"/>
      <c r="N2696" s="188"/>
      <c r="O2696" s="208"/>
      <c r="P2696" s="208"/>
      <c r="Q2696" s="208"/>
      <c r="R2696" s="208"/>
    </row>
    <row r="2697">
      <c r="A2697" s="185"/>
      <c r="B2697" s="186"/>
      <c r="C2697" s="185"/>
      <c r="D2697" s="185"/>
      <c r="E2697" s="185"/>
      <c r="F2697" s="185"/>
      <c r="G2697" s="185"/>
      <c r="H2697" s="185"/>
      <c r="I2697" s="185"/>
      <c r="J2697" s="185"/>
      <c r="K2697" s="185"/>
      <c r="L2697" s="187"/>
      <c r="M2697" s="188"/>
      <c r="N2697" s="188"/>
      <c r="O2697" s="208"/>
      <c r="P2697" s="208"/>
      <c r="Q2697" s="208"/>
      <c r="R2697" s="208"/>
    </row>
    <row r="2698">
      <c r="A2698" s="185"/>
      <c r="B2698" s="186"/>
      <c r="C2698" s="185"/>
      <c r="D2698" s="185"/>
      <c r="E2698" s="185"/>
      <c r="F2698" s="185"/>
      <c r="G2698" s="185"/>
      <c r="H2698" s="185"/>
      <c r="I2698" s="185"/>
      <c r="J2698" s="185"/>
      <c r="K2698" s="185"/>
      <c r="L2698" s="187"/>
      <c r="M2698" s="188"/>
      <c r="N2698" s="188"/>
      <c r="O2698" s="208"/>
      <c r="P2698" s="208"/>
      <c r="Q2698" s="208"/>
      <c r="R2698" s="208"/>
    </row>
    <row r="2699">
      <c r="A2699" s="185"/>
      <c r="B2699" s="186"/>
      <c r="C2699" s="185"/>
      <c r="D2699" s="185"/>
      <c r="E2699" s="185"/>
      <c r="F2699" s="185"/>
      <c r="G2699" s="185"/>
      <c r="H2699" s="185"/>
      <c r="I2699" s="185"/>
      <c r="J2699" s="185"/>
      <c r="K2699" s="185"/>
      <c r="L2699" s="187"/>
      <c r="M2699" s="188"/>
      <c r="N2699" s="188"/>
      <c r="O2699" s="208"/>
      <c r="P2699" s="208"/>
      <c r="Q2699" s="208"/>
      <c r="R2699" s="208"/>
    </row>
    <row r="2700">
      <c r="A2700" s="185"/>
      <c r="B2700" s="186"/>
      <c r="C2700" s="185"/>
      <c r="D2700" s="185"/>
      <c r="E2700" s="185"/>
      <c r="F2700" s="185"/>
      <c r="G2700" s="185"/>
      <c r="H2700" s="185"/>
      <c r="I2700" s="185"/>
      <c r="J2700" s="185"/>
      <c r="K2700" s="185"/>
      <c r="L2700" s="187"/>
      <c r="M2700" s="188"/>
      <c r="N2700" s="188"/>
      <c r="O2700" s="208"/>
      <c r="P2700" s="208"/>
      <c r="Q2700" s="208"/>
      <c r="R2700" s="208"/>
    </row>
    <row r="2701">
      <c r="A2701" s="185"/>
      <c r="B2701" s="186"/>
      <c r="C2701" s="185"/>
      <c r="D2701" s="185"/>
      <c r="E2701" s="185"/>
      <c r="F2701" s="185"/>
      <c r="G2701" s="185"/>
      <c r="H2701" s="185"/>
      <c r="I2701" s="185"/>
      <c r="J2701" s="185"/>
      <c r="K2701" s="185"/>
      <c r="L2701" s="187"/>
      <c r="M2701" s="188"/>
      <c r="N2701" s="188"/>
      <c r="O2701" s="208"/>
      <c r="P2701" s="208"/>
      <c r="Q2701" s="208"/>
      <c r="R2701" s="208"/>
    </row>
    <row r="2702">
      <c r="A2702" s="185"/>
      <c r="B2702" s="186"/>
      <c r="C2702" s="185"/>
      <c r="D2702" s="185"/>
      <c r="E2702" s="185"/>
      <c r="F2702" s="185"/>
      <c r="G2702" s="185"/>
      <c r="H2702" s="185"/>
      <c r="I2702" s="185"/>
      <c r="J2702" s="185"/>
      <c r="K2702" s="185"/>
      <c r="L2702" s="187"/>
      <c r="M2702" s="188"/>
      <c r="N2702" s="188"/>
      <c r="O2702" s="208"/>
      <c r="P2702" s="208"/>
      <c r="Q2702" s="208"/>
      <c r="R2702" s="208"/>
    </row>
    <row r="2703">
      <c r="A2703" s="185"/>
      <c r="B2703" s="186"/>
      <c r="C2703" s="185"/>
      <c r="D2703" s="185"/>
      <c r="E2703" s="185"/>
      <c r="F2703" s="185"/>
      <c r="G2703" s="185"/>
      <c r="H2703" s="185"/>
      <c r="I2703" s="185"/>
      <c r="J2703" s="185"/>
      <c r="K2703" s="185"/>
      <c r="L2703" s="187"/>
      <c r="M2703" s="188"/>
      <c r="N2703" s="188"/>
      <c r="O2703" s="208"/>
      <c r="P2703" s="208"/>
      <c r="Q2703" s="208"/>
      <c r="R2703" s="208"/>
    </row>
    <row r="2704">
      <c r="A2704" s="185"/>
      <c r="B2704" s="186"/>
      <c r="C2704" s="185"/>
      <c r="D2704" s="185"/>
      <c r="E2704" s="185"/>
      <c r="F2704" s="185"/>
      <c r="G2704" s="185"/>
      <c r="H2704" s="185"/>
      <c r="I2704" s="185"/>
      <c r="J2704" s="185"/>
      <c r="K2704" s="185"/>
      <c r="L2704" s="187"/>
      <c r="M2704" s="188"/>
      <c r="N2704" s="188"/>
      <c r="O2704" s="208"/>
      <c r="P2704" s="208"/>
      <c r="Q2704" s="208"/>
      <c r="R2704" s="208"/>
    </row>
    <row r="2705">
      <c r="A2705" s="185"/>
      <c r="B2705" s="186"/>
      <c r="C2705" s="185"/>
      <c r="D2705" s="185"/>
      <c r="E2705" s="185"/>
      <c r="F2705" s="185"/>
      <c r="G2705" s="185"/>
      <c r="H2705" s="185"/>
      <c r="I2705" s="185"/>
      <c r="J2705" s="185"/>
      <c r="K2705" s="185"/>
      <c r="L2705" s="187"/>
      <c r="M2705" s="188"/>
      <c r="N2705" s="188"/>
      <c r="O2705" s="208"/>
      <c r="P2705" s="208"/>
      <c r="Q2705" s="208"/>
      <c r="R2705" s="208"/>
    </row>
    <row r="2706">
      <c r="A2706" s="185"/>
      <c r="B2706" s="186"/>
      <c r="C2706" s="185"/>
      <c r="D2706" s="185"/>
      <c r="E2706" s="185"/>
      <c r="F2706" s="185"/>
      <c r="G2706" s="185"/>
      <c r="H2706" s="185"/>
      <c r="I2706" s="185"/>
      <c r="J2706" s="185"/>
      <c r="K2706" s="185"/>
      <c r="L2706" s="187"/>
      <c r="M2706" s="188"/>
      <c r="N2706" s="188"/>
      <c r="O2706" s="208"/>
      <c r="P2706" s="208"/>
      <c r="Q2706" s="208"/>
      <c r="R2706" s="208"/>
    </row>
    <row r="2707">
      <c r="A2707" s="185"/>
      <c r="B2707" s="186"/>
      <c r="C2707" s="185"/>
      <c r="D2707" s="185"/>
      <c r="E2707" s="185"/>
      <c r="F2707" s="185"/>
      <c r="G2707" s="185"/>
      <c r="H2707" s="185"/>
      <c r="I2707" s="185"/>
      <c r="J2707" s="185"/>
      <c r="K2707" s="185"/>
      <c r="L2707" s="187"/>
      <c r="M2707" s="188"/>
      <c r="N2707" s="188"/>
      <c r="O2707" s="208"/>
      <c r="P2707" s="208"/>
      <c r="Q2707" s="208"/>
      <c r="R2707" s="208"/>
    </row>
    <row r="2708">
      <c r="A2708" s="185"/>
      <c r="B2708" s="186"/>
      <c r="C2708" s="185"/>
      <c r="D2708" s="185"/>
      <c r="E2708" s="185"/>
      <c r="F2708" s="185"/>
      <c r="G2708" s="185"/>
      <c r="H2708" s="185"/>
      <c r="I2708" s="185"/>
      <c r="J2708" s="185"/>
      <c r="K2708" s="185"/>
      <c r="L2708" s="187"/>
      <c r="M2708" s="188"/>
      <c r="N2708" s="188"/>
      <c r="O2708" s="208"/>
      <c r="P2708" s="208"/>
      <c r="Q2708" s="208"/>
      <c r="R2708" s="208"/>
    </row>
    <row r="2709">
      <c r="A2709" s="185"/>
      <c r="B2709" s="186"/>
      <c r="C2709" s="185"/>
      <c r="D2709" s="185"/>
      <c r="E2709" s="185"/>
      <c r="F2709" s="185"/>
      <c r="G2709" s="185"/>
      <c r="H2709" s="185"/>
      <c r="I2709" s="185"/>
      <c r="J2709" s="185"/>
      <c r="K2709" s="185"/>
      <c r="L2709" s="187"/>
      <c r="M2709" s="188"/>
      <c r="N2709" s="188"/>
      <c r="O2709" s="208"/>
      <c r="P2709" s="208"/>
      <c r="Q2709" s="208"/>
      <c r="R2709" s="208"/>
    </row>
    <row r="2710">
      <c r="A2710" s="185"/>
      <c r="B2710" s="186"/>
      <c r="C2710" s="185"/>
      <c r="D2710" s="185"/>
      <c r="E2710" s="185"/>
      <c r="F2710" s="185"/>
      <c r="G2710" s="185"/>
      <c r="H2710" s="185"/>
      <c r="I2710" s="185"/>
      <c r="J2710" s="185"/>
      <c r="K2710" s="185"/>
      <c r="L2710" s="187"/>
      <c r="M2710" s="188"/>
      <c r="N2710" s="188"/>
      <c r="O2710" s="208"/>
      <c r="P2710" s="208"/>
      <c r="Q2710" s="208"/>
      <c r="R2710" s="208"/>
    </row>
    <row r="2711">
      <c r="A2711" s="185"/>
      <c r="B2711" s="186"/>
      <c r="C2711" s="185"/>
      <c r="D2711" s="185"/>
      <c r="E2711" s="185"/>
      <c r="F2711" s="185"/>
      <c r="G2711" s="185"/>
      <c r="H2711" s="185"/>
      <c r="I2711" s="185"/>
      <c r="J2711" s="185"/>
      <c r="K2711" s="185"/>
      <c r="L2711" s="187"/>
      <c r="M2711" s="188"/>
      <c r="N2711" s="188"/>
      <c r="O2711" s="208"/>
      <c r="P2711" s="208"/>
      <c r="Q2711" s="208"/>
      <c r="R2711" s="208"/>
    </row>
    <row r="2712">
      <c r="A2712" s="185"/>
      <c r="B2712" s="186"/>
      <c r="C2712" s="185"/>
      <c r="D2712" s="185"/>
      <c r="E2712" s="185"/>
      <c r="F2712" s="185"/>
      <c r="G2712" s="185"/>
      <c r="H2712" s="185"/>
      <c r="I2712" s="185"/>
      <c r="J2712" s="185"/>
      <c r="K2712" s="185"/>
      <c r="L2712" s="187"/>
      <c r="M2712" s="188"/>
      <c r="N2712" s="188"/>
      <c r="O2712" s="208"/>
      <c r="P2712" s="208"/>
      <c r="Q2712" s="208"/>
      <c r="R2712" s="208"/>
    </row>
    <row r="2713">
      <c r="A2713" s="185"/>
      <c r="B2713" s="186"/>
      <c r="C2713" s="185"/>
      <c r="D2713" s="185"/>
      <c r="E2713" s="185"/>
      <c r="F2713" s="185"/>
      <c r="G2713" s="185"/>
      <c r="H2713" s="185"/>
      <c r="I2713" s="185"/>
      <c r="J2713" s="185"/>
      <c r="K2713" s="185"/>
      <c r="L2713" s="187"/>
      <c r="M2713" s="188"/>
      <c r="N2713" s="188"/>
      <c r="O2713" s="208"/>
      <c r="P2713" s="208"/>
      <c r="Q2713" s="208"/>
      <c r="R2713" s="208"/>
    </row>
    <row r="2714">
      <c r="A2714" s="185"/>
      <c r="B2714" s="186"/>
      <c r="C2714" s="185"/>
      <c r="D2714" s="185"/>
      <c r="E2714" s="185"/>
      <c r="F2714" s="185"/>
      <c r="G2714" s="185"/>
      <c r="H2714" s="185"/>
      <c r="I2714" s="185"/>
      <c r="J2714" s="185"/>
      <c r="K2714" s="185"/>
      <c r="L2714" s="187"/>
      <c r="M2714" s="188"/>
      <c r="N2714" s="188"/>
      <c r="O2714" s="208"/>
      <c r="P2714" s="208"/>
      <c r="Q2714" s="208"/>
      <c r="R2714" s="208"/>
    </row>
    <row r="2715">
      <c r="A2715" s="185"/>
      <c r="B2715" s="186"/>
      <c r="C2715" s="185"/>
      <c r="D2715" s="185"/>
      <c r="E2715" s="185"/>
      <c r="F2715" s="185"/>
      <c r="G2715" s="185"/>
      <c r="H2715" s="185"/>
      <c r="I2715" s="185"/>
      <c r="J2715" s="185"/>
      <c r="K2715" s="185"/>
      <c r="L2715" s="187"/>
      <c r="M2715" s="188"/>
      <c r="N2715" s="188"/>
      <c r="O2715" s="208"/>
      <c r="P2715" s="208"/>
      <c r="Q2715" s="208"/>
      <c r="R2715" s="208"/>
    </row>
    <row r="2716">
      <c r="A2716" s="185"/>
      <c r="B2716" s="186"/>
      <c r="C2716" s="185"/>
      <c r="D2716" s="185"/>
      <c r="E2716" s="185"/>
      <c r="F2716" s="185"/>
      <c r="G2716" s="185"/>
      <c r="H2716" s="185"/>
      <c r="I2716" s="185"/>
      <c r="J2716" s="185"/>
      <c r="K2716" s="185"/>
      <c r="L2716" s="187"/>
      <c r="M2716" s="188"/>
      <c r="N2716" s="188"/>
      <c r="O2716" s="208"/>
      <c r="P2716" s="208"/>
      <c r="Q2716" s="208"/>
      <c r="R2716" s="208"/>
    </row>
    <row r="2717">
      <c r="A2717" s="185"/>
      <c r="B2717" s="186"/>
      <c r="C2717" s="185"/>
      <c r="D2717" s="185"/>
      <c r="E2717" s="185"/>
      <c r="F2717" s="185"/>
      <c r="G2717" s="185"/>
      <c r="H2717" s="185"/>
      <c r="I2717" s="185"/>
      <c r="J2717" s="185"/>
      <c r="K2717" s="185"/>
      <c r="L2717" s="187"/>
      <c r="M2717" s="188"/>
      <c r="N2717" s="188"/>
      <c r="O2717" s="208"/>
      <c r="P2717" s="208"/>
      <c r="Q2717" s="208"/>
      <c r="R2717" s="208"/>
    </row>
    <row r="2718">
      <c r="A2718" s="185"/>
      <c r="B2718" s="186"/>
      <c r="C2718" s="185"/>
      <c r="D2718" s="185"/>
      <c r="E2718" s="185"/>
      <c r="F2718" s="185"/>
      <c r="G2718" s="185"/>
      <c r="H2718" s="185"/>
      <c r="I2718" s="185"/>
      <c r="J2718" s="185"/>
      <c r="K2718" s="185"/>
      <c r="L2718" s="187"/>
      <c r="M2718" s="188"/>
      <c r="N2718" s="188"/>
      <c r="O2718" s="208"/>
      <c r="P2718" s="208"/>
      <c r="Q2718" s="208"/>
      <c r="R2718" s="208"/>
    </row>
    <row r="2719">
      <c r="A2719" s="185"/>
      <c r="B2719" s="186"/>
      <c r="C2719" s="185"/>
      <c r="D2719" s="185"/>
      <c r="E2719" s="185"/>
      <c r="F2719" s="185"/>
      <c r="G2719" s="185"/>
      <c r="H2719" s="185"/>
      <c r="I2719" s="185"/>
      <c r="J2719" s="185"/>
      <c r="K2719" s="185"/>
      <c r="L2719" s="187"/>
      <c r="M2719" s="188"/>
      <c r="N2719" s="188"/>
      <c r="O2719" s="208"/>
      <c r="P2719" s="208"/>
      <c r="Q2719" s="208"/>
      <c r="R2719" s="208"/>
    </row>
    <row r="2720">
      <c r="A2720" s="185"/>
      <c r="B2720" s="186"/>
      <c r="C2720" s="185"/>
      <c r="D2720" s="185"/>
      <c r="E2720" s="185"/>
      <c r="F2720" s="185"/>
      <c r="G2720" s="185"/>
      <c r="H2720" s="185"/>
      <c r="I2720" s="185"/>
      <c r="J2720" s="185"/>
      <c r="K2720" s="185"/>
      <c r="L2720" s="187"/>
      <c r="M2720" s="188"/>
      <c r="N2720" s="188"/>
      <c r="O2720" s="208"/>
      <c r="P2720" s="208"/>
      <c r="Q2720" s="208"/>
      <c r="R2720" s="208"/>
    </row>
    <row r="2721">
      <c r="A2721" s="185"/>
      <c r="B2721" s="186"/>
      <c r="C2721" s="185"/>
      <c r="D2721" s="185"/>
      <c r="E2721" s="185"/>
      <c r="F2721" s="185"/>
      <c r="G2721" s="185"/>
      <c r="H2721" s="185"/>
      <c r="I2721" s="185"/>
      <c r="J2721" s="185"/>
      <c r="K2721" s="185"/>
      <c r="L2721" s="187"/>
      <c r="M2721" s="188"/>
      <c r="N2721" s="188"/>
      <c r="O2721" s="208"/>
      <c r="P2721" s="208"/>
      <c r="Q2721" s="208"/>
      <c r="R2721" s="208"/>
    </row>
    <row r="2722">
      <c r="A2722" s="185"/>
      <c r="B2722" s="186"/>
      <c r="C2722" s="185"/>
      <c r="D2722" s="185"/>
      <c r="E2722" s="185"/>
      <c r="F2722" s="185"/>
      <c r="G2722" s="185"/>
      <c r="H2722" s="185"/>
      <c r="I2722" s="185"/>
      <c r="J2722" s="185"/>
      <c r="K2722" s="185"/>
      <c r="L2722" s="187"/>
      <c r="M2722" s="188"/>
      <c r="N2722" s="188"/>
      <c r="O2722" s="208"/>
      <c r="P2722" s="208"/>
      <c r="Q2722" s="208"/>
      <c r="R2722" s="208"/>
    </row>
    <row r="2723">
      <c r="A2723" s="185"/>
      <c r="B2723" s="186"/>
      <c r="C2723" s="185"/>
      <c r="D2723" s="185"/>
      <c r="E2723" s="185"/>
      <c r="F2723" s="185"/>
      <c r="G2723" s="185"/>
      <c r="H2723" s="185"/>
      <c r="I2723" s="185"/>
      <c r="J2723" s="185"/>
      <c r="K2723" s="185"/>
      <c r="L2723" s="187"/>
      <c r="M2723" s="188"/>
      <c r="N2723" s="188"/>
      <c r="O2723" s="208"/>
      <c r="P2723" s="208"/>
      <c r="Q2723" s="208"/>
      <c r="R2723" s="208"/>
    </row>
    <row r="2724">
      <c r="A2724" s="185"/>
      <c r="B2724" s="186"/>
      <c r="C2724" s="185"/>
      <c r="D2724" s="185"/>
      <c r="E2724" s="185"/>
      <c r="F2724" s="185"/>
      <c r="G2724" s="185"/>
      <c r="H2724" s="185"/>
      <c r="I2724" s="185"/>
      <c r="J2724" s="185"/>
      <c r="K2724" s="185"/>
      <c r="L2724" s="187"/>
      <c r="M2724" s="188"/>
      <c r="N2724" s="188"/>
      <c r="O2724" s="208"/>
      <c r="P2724" s="208"/>
      <c r="Q2724" s="208"/>
      <c r="R2724" s="208"/>
    </row>
    <row r="2725">
      <c r="A2725" s="185"/>
      <c r="B2725" s="186"/>
      <c r="C2725" s="185"/>
      <c r="D2725" s="185"/>
      <c r="E2725" s="185"/>
      <c r="F2725" s="185"/>
      <c r="G2725" s="185"/>
      <c r="H2725" s="185"/>
      <c r="I2725" s="185"/>
      <c r="J2725" s="185"/>
      <c r="K2725" s="185"/>
      <c r="L2725" s="187"/>
      <c r="M2725" s="188"/>
      <c r="N2725" s="188"/>
      <c r="O2725" s="208"/>
      <c r="P2725" s="208"/>
      <c r="Q2725" s="208"/>
      <c r="R2725" s="208"/>
    </row>
    <row r="2726">
      <c r="A2726" s="185"/>
      <c r="B2726" s="186"/>
      <c r="C2726" s="185"/>
      <c r="D2726" s="185"/>
      <c r="E2726" s="185"/>
      <c r="F2726" s="185"/>
      <c r="G2726" s="185"/>
      <c r="H2726" s="185"/>
      <c r="I2726" s="185"/>
      <c r="J2726" s="185"/>
      <c r="K2726" s="185"/>
      <c r="L2726" s="187"/>
      <c r="M2726" s="188"/>
      <c r="N2726" s="188"/>
      <c r="O2726" s="208"/>
      <c r="P2726" s="208"/>
      <c r="Q2726" s="208"/>
      <c r="R2726" s="208"/>
    </row>
    <row r="2727">
      <c r="A2727" s="185"/>
      <c r="B2727" s="186"/>
      <c r="C2727" s="185"/>
      <c r="D2727" s="185"/>
      <c r="E2727" s="185"/>
      <c r="F2727" s="185"/>
      <c r="G2727" s="185"/>
      <c r="H2727" s="185"/>
      <c r="I2727" s="185"/>
      <c r="J2727" s="185"/>
      <c r="K2727" s="185"/>
      <c r="L2727" s="187"/>
      <c r="M2727" s="188"/>
      <c r="N2727" s="188"/>
      <c r="O2727" s="208"/>
      <c r="P2727" s="208"/>
      <c r="Q2727" s="208"/>
      <c r="R2727" s="208"/>
    </row>
    <row r="2728">
      <c r="A2728" s="185"/>
      <c r="B2728" s="186"/>
      <c r="C2728" s="185"/>
      <c r="D2728" s="185"/>
      <c r="E2728" s="185"/>
      <c r="F2728" s="185"/>
      <c r="G2728" s="185"/>
      <c r="H2728" s="185"/>
      <c r="I2728" s="185"/>
      <c r="J2728" s="185"/>
      <c r="K2728" s="185"/>
      <c r="L2728" s="187"/>
      <c r="M2728" s="188"/>
      <c r="N2728" s="188"/>
      <c r="O2728" s="208"/>
      <c r="P2728" s="208"/>
      <c r="Q2728" s="208"/>
      <c r="R2728" s="208"/>
    </row>
    <row r="2729">
      <c r="A2729" s="185"/>
      <c r="B2729" s="186"/>
      <c r="C2729" s="185"/>
      <c r="D2729" s="185"/>
      <c r="E2729" s="185"/>
      <c r="F2729" s="185"/>
      <c r="G2729" s="185"/>
      <c r="H2729" s="185"/>
      <c r="I2729" s="185"/>
      <c r="J2729" s="185"/>
      <c r="K2729" s="185"/>
      <c r="L2729" s="187"/>
      <c r="M2729" s="188"/>
      <c r="N2729" s="188"/>
      <c r="O2729" s="208"/>
      <c r="P2729" s="208"/>
      <c r="Q2729" s="208"/>
      <c r="R2729" s="208"/>
    </row>
    <row r="2730">
      <c r="A2730" s="185"/>
      <c r="B2730" s="186"/>
      <c r="C2730" s="185"/>
      <c r="D2730" s="185"/>
      <c r="E2730" s="185"/>
      <c r="F2730" s="185"/>
      <c r="G2730" s="185"/>
      <c r="H2730" s="185"/>
      <c r="I2730" s="185"/>
      <c r="J2730" s="185"/>
      <c r="K2730" s="185"/>
      <c r="L2730" s="187"/>
      <c r="M2730" s="188"/>
      <c r="N2730" s="188"/>
      <c r="O2730" s="208"/>
      <c r="P2730" s="208"/>
      <c r="Q2730" s="208"/>
      <c r="R2730" s="208"/>
    </row>
    <row r="2731">
      <c r="A2731" s="185"/>
      <c r="B2731" s="186"/>
      <c r="C2731" s="185"/>
      <c r="D2731" s="185"/>
      <c r="E2731" s="185"/>
      <c r="F2731" s="185"/>
      <c r="G2731" s="185"/>
      <c r="H2731" s="185"/>
      <c r="I2731" s="185"/>
      <c r="J2731" s="185"/>
      <c r="K2731" s="185"/>
      <c r="L2731" s="187"/>
      <c r="M2731" s="188"/>
      <c r="N2731" s="188"/>
      <c r="O2731" s="208"/>
      <c r="P2731" s="208"/>
      <c r="Q2731" s="208"/>
      <c r="R2731" s="208"/>
    </row>
    <row r="2732">
      <c r="A2732" s="185"/>
      <c r="B2732" s="186"/>
      <c r="C2732" s="185"/>
      <c r="D2732" s="185"/>
      <c r="E2732" s="185"/>
      <c r="F2732" s="185"/>
      <c r="G2732" s="185"/>
      <c r="H2732" s="185"/>
      <c r="I2732" s="185"/>
      <c r="J2732" s="185"/>
      <c r="K2732" s="185"/>
      <c r="L2732" s="187"/>
      <c r="M2732" s="188"/>
      <c r="N2732" s="188"/>
      <c r="O2732" s="208"/>
      <c r="P2732" s="208"/>
      <c r="Q2732" s="208"/>
      <c r="R2732" s="208"/>
    </row>
    <row r="2733">
      <c r="A2733" s="185"/>
      <c r="B2733" s="186"/>
      <c r="C2733" s="185"/>
      <c r="D2733" s="185"/>
      <c r="E2733" s="185"/>
      <c r="F2733" s="185"/>
      <c r="G2733" s="185"/>
      <c r="H2733" s="185"/>
      <c r="I2733" s="185"/>
      <c r="J2733" s="185"/>
      <c r="K2733" s="185"/>
      <c r="L2733" s="187"/>
      <c r="M2733" s="188"/>
      <c r="N2733" s="188"/>
      <c r="O2733" s="208"/>
      <c r="P2733" s="208"/>
      <c r="Q2733" s="208"/>
      <c r="R2733" s="208"/>
    </row>
    <row r="2734">
      <c r="A2734" s="185"/>
      <c r="B2734" s="186"/>
      <c r="C2734" s="185"/>
      <c r="D2734" s="185"/>
      <c r="E2734" s="185"/>
      <c r="F2734" s="185"/>
      <c r="G2734" s="185"/>
      <c r="H2734" s="185"/>
      <c r="I2734" s="185"/>
      <c r="J2734" s="185"/>
      <c r="K2734" s="185"/>
      <c r="L2734" s="187"/>
      <c r="M2734" s="188"/>
      <c r="N2734" s="188"/>
      <c r="O2734" s="208"/>
      <c r="P2734" s="208"/>
      <c r="Q2734" s="208"/>
      <c r="R2734" s="208"/>
    </row>
    <row r="2735">
      <c r="A2735" s="185"/>
      <c r="B2735" s="186"/>
      <c r="C2735" s="185"/>
      <c r="D2735" s="185"/>
      <c r="E2735" s="185"/>
      <c r="F2735" s="185"/>
      <c r="G2735" s="185"/>
      <c r="H2735" s="185"/>
      <c r="I2735" s="185"/>
      <c r="J2735" s="185"/>
      <c r="K2735" s="185"/>
      <c r="L2735" s="187"/>
      <c r="M2735" s="188"/>
      <c r="N2735" s="188"/>
      <c r="O2735" s="208"/>
      <c r="P2735" s="208"/>
      <c r="Q2735" s="208"/>
      <c r="R2735" s="208"/>
    </row>
    <row r="2736">
      <c r="A2736" s="185"/>
      <c r="B2736" s="186"/>
      <c r="C2736" s="185"/>
      <c r="D2736" s="185"/>
      <c r="E2736" s="185"/>
      <c r="F2736" s="185"/>
      <c r="G2736" s="185"/>
      <c r="H2736" s="185"/>
      <c r="I2736" s="185"/>
      <c r="J2736" s="185"/>
      <c r="K2736" s="185"/>
      <c r="L2736" s="187"/>
      <c r="M2736" s="188"/>
      <c r="N2736" s="188"/>
      <c r="O2736" s="208"/>
      <c r="P2736" s="208"/>
      <c r="Q2736" s="208"/>
      <c r="R2736" s="208"/>
    </row>
    <row r="2737">
      <c r="A2737" s="185"/>
      <c r="B2737" s="186"/>
      <c r="C2737" s="185"/>
      <c r="D2737" s="185"/>
      <c r="E2737" s="185"/>
      <c r="F2737" s="185"/>
      <c r="G2737" s="185"/>
      <c r="H2737" s="185"/>
      <c r="I2737" s="185"/>
      <c r="J2737" s="185"/>
      <c r="K2737" s="185"/>
      <c r="L2737" s="187"/>
      <c r="M2737" s="188"/>
      <c r="N2737" s="188"/>
      <c r="O2737" s="208"/>
      <c r="P2737" s="208"/>
      <c r="Q2737" s="208"/>
      <c r="R2737" s="208"/>
    </row>
    <row r="2738">
      <c r="A2738" s="185"/>
      <c r="B2738" s="186"/>
      <c r="C2738" s="185"/>
      <c r="D2738" s="185"/>
      <c r="E2738" s="185"/>
      <c r="F2738" s="185"/>
      <c r="G2738" s="185"/>
      <c r="H2738" s="185"/>
      <c r="I2738" s="185"/>
      <c r="J2738" s="185"/>
      <c r="K2738" s="185"/>
      <c r="L2738" s="187"/>
      <c r="M2738" s="188"/>
      <c r="N2738" s="188"/>
      <c r="O2738" s="208"/>
      <c r="P2738" s="208"/>
      <c r="Q2738" s="208"/>
      <c r="R2738" s="208"/>
    </row>
    <row r="2739">
      <c r="A2739" s="185"/>
      <c r="B2739" s="186"/>
      <c r="C2739" s="185"/>
      <c r="D2739" s="185"/>
      <c r="E2739" s="185"/>
      <c r="F2739" s="185"/>
      <c r="G2739" s="185"/>
      <c r="H2739" s="185"/>
      <c r="I2739" s="185"/>
      <c r="J2739" s="185"/>
      <c r="K2739" s="185"/>
      <c r="L2739" s="187"/>
      <c r="M2739" s="188"/>
      <c r="N2739" s="188"/>
      <c r="O2739" s="208"/>
      <c r="P2739" s="208"/>
      <c r="Q2739" s="208"/>
      <c r="R2739" s="208"/>
    </row>
    <row r="2740">
      <c r="A2740" s="185"/>
      <c r="B2740" s="186"/>
      <c r="C2740" s="185"/>
      <c r="D2740" s="185"/>
      <c r="E2740" s="185"/>
      <c r="F2740" s="185"/>
      <c r="G2740" s="185"/>
      <c r="H2740" s="185"/>
      <c r="I2740" s="185"/>
      <c r="J2740" s="185"/>
      <c r="K2740" s="185"/>
      <c r="L2740" s="187"/>
      <c r="M2740" s="188"/>
      <c r="N2740" s="188"/>
      <c r="O2740" s="208"/>
      <c r="P2740" s="208"/>
      <c r="Q2740" s="208"/>
      <c r="R2740" s="208"/>
    </row>
    <row r="2741">
      <c r="A2741" s="185"/>
      <c r="B2741" s="186"/>
      <c r="C2741" s="185"/>
      <c r="D2741" s="185"/>
      <c r="E2741" s="185"/>
      <c r="F2741" s="185"/>
      <c r="G2741" s="185"/>
      <c r="H2741" s="185"/>
      <c r="I2741" s="185"/>
      <c r="J2741" s="185"/>
      <c r="K2741" s="185"/>
      <c r="L2741" s="187"/>
      <c r="M2741" s="188"/>
      <c r="N2741" s="188"/>
      <c r="O2741" s="208"/>
      <c r="P2741" s="208"/>
      <c r="Q2741" s="208"/>
      <c r="R2741" s="208"/>
    </row>
    <row r="2742">
      <c r="A2742" s="185"/>
      <c r="B2742" s="186"/>
      <c r="C2742" s="185"/>
      <c r="D2742" s="185"/>
      <c r="E2742" s="185"/>
      <c r="F2742" s="185"/>
      <c r="G2742" s="185"/>
      <c r="H2742" s="185"/>
      <c r="I2742" s="185"/>
      <c r="J2742" s="185"/>
      <c r="K2742" s="185"/>
      <c r="L2742" s="187"/>
      <c r="M2742" s="188"/>
      <c r="N2742" s="188"/>
      <c r="O2742" s="208"/>
      <c r="P2742" s="208"/>
      <c r="Q2742" s="208"/>
      <c r="R2742" s="208"/>
    </row>
    <row r="2743">
      <c r="A2743" s="185"/>
      <c r="B2743" s="186"/>
      <c r="C2743" s="185"/>
      <c r="D2743" s="185"/>
      <c r="E2743" s="185"/>
      <c r="F2743" s="185"/>
      <c r="G2743" s="185"/>
      <c r="H2743" s="185"/>
      <c r="I2743" s="185"/>
      <c r="J2743" s="185"/>
      <c r="K2743" s="185"/>
      <c r="L2743" s="187"/>
      <c r="M2743" s="188"/>
      <c r="N2743" s="188"/>
      <c r="O2743" s="208"/>
      <c r="P2743" s="208"/>
      <c r="Q2743" s="208"/>
      <c r="R2743" s="208"/>
    </row>
    <row r="2744">
      <c r="A2744" s="185"/>
      <c r="B2744" s="186"/>
      <c r="C2744" s="185"/>
      <c r="D2744" s="185"/>
      <c r="E2744" s="185"/>
      <c r="F2744" s="185"/>
      <c r="G2744" s="185"/>
      <c r="H2744" s="185"/>
      <c r="I2744" s="185"/>
      <c r="J2744" s="185"/>
      <c r="K2744" s="185"/>
      <c r="L2744" s="187"/>
      <c r="M2744" s="188"/>
      <c r="N2744" s="188"/>
      <c r="O2744" s="208"/>
      <c r="P2744" s="208"/>
      <c r="Q2744" s="208"/>
      <c r="R2744" s="208"/>
    </row>
    <row r="2745">
      <c r="A2745" s="185"/>
      <c r="B2745" s="186"/>
      <c r="C2745" s="185"/>
      <c r="D2745" s="185"/>
      <c r="E2745" s="185"/>
      <c r="F2745" s="185"/>
      <c r="G2745" s="185"/>
      <c r="H2745" s="185"/>
      <c r="I2745" s="185"/>
      <c r="J2745" s="185"/>
      <c r="K2745" s="185"/>
      <c r="L2745" s="187"/>
      <c r="M2745" s="188"/>
      <c r="N2745" s="188"/>
      <c r="O2745" s="208"/>
      <c r="P2745" s="208"/>
      <c r="Q2745" s="208"/>
      <c r="R2745" s="208"/>
    </row>
    <row r="2746">
      <c r="A2746" s="185"/>
      <c r="B2746" s="186"/>
      <c r="C2746" s="185"/>
      <c r="D2746" s="185"/>
      <c r="E2746" s="185"/>
      <c r="F2746" s="185"/>
      <c r="G2746" s="185"/>
      <c r="H2746" s="185"/>
      <c r="I2746" s="185"/>
      <c r="J2746" s="185"/>
      <c r="K2746" s="185"/>
      <c r="L2746" s="187"/>
      <c r="M2746" s="188"/>
      <c r="N2746" s="188"/>
      <c r="O2746" s="208"/>
      <c r="P2746" s="208"/>
      <c r="Q2746" s="208"/>
      <c r="R2746" s="208"/>
    </row>
    <row r="2747">
      <c r="A2747" s="185"/>
      <c r="B2747" s="186"/>
      <c r="C2747" s="185"/>
      <c r="D2747" s="185"/>
      <c r="E2747" s="185"/>
      <c r="F2747" s="185"/>
      <c r="G2747" s="185"/>
      <c r="H2747" s="185"/>
      <c r="I2747" s="185"/>
      <c r="J2747" s="185"/>
      <c r="K2747" s="185"/>
      <c r="L2747" s="187"/>
      <c r="M2747" s="188"/>
      <c r="N2747" s="188"/>
      <c r="O2747" s="208"/>
      <c r="P2747" s="208"/>
      <c r="Q2747" s="208"/>
      <c r="R2747" s="208"/>
    </row>
    <row r="2748">
      <c r="A2748" s="185"/>
      <c r="B2748" s="186"/>
      <c r="C2748" s="185"/>
      <c r="D2748" s="185"/>
      <c r="E2748" s="185"/>
      <c r="F2748" s="185"/>
      <c r="G2748" s="185"/>
      <c r="H2748" s="185"/>
      <c r="I2748" s="185"/>
      <c r="J2748" s="185"/>
      <c r="K2748" s="185"/>
      <c r="L2748" s="187"/>
      <c r="M2748" s="188"/>
      <c r="N2748" s="188"/>
      <c r="O2748" s="208"/>
      <c r="P2748" s="208"/>
      <c r="Q2748" s="208"/>
      <c r="R2748" s="208"/>
    </row>
    <row r="2749">
      <c r="A2749" s="185"/>
      <c r="B2749" s="186"/>
      <c r="C2749" s="185"/>
      <c r="D2749" s="185"/>
      <c r="E2749" s="185"/>
      <c r="F2749" s="185"/>
      <c r="G2749" s="185"/>
      <c r="H2749" s="185"/>
      <c r="I2749" s="185"/>
      <c r="J2749" s="185"/>
      <c r="K2749" s="185"/>
      <c r="L2749" s="187"/>
      <c r="M2749" s="188"/>
      <c r="N2749" s="188"/>
      <c r="O2749" s="208"/>
      <c r="P2749" s="208"/>
      <c r="Q2749" s="208"/>
      <c r="R2749" s="208"/>
    </row>
    <row r="2750">
      <c r="A2750" s="185"/>
      <c r="B2750" s="186"/>
      <c r="C2750" s="185"/>
      <c r="D2750" s="185"/>
      <c r="E2750" s="185"/>
      <c r="F2750" s="185"/>
      <c r="G2750" s="185"/>
      <c r="H2750" s="185"/>
      <c r="I2750" s="185"/>
      <c r="J2750" s="185"/>
      <c r="K2750" s="185"/>
      <c r="L2750" s="187"/>
      <c r="M2750" s="188"/>
      <c r="N2750" s="188"/>
      <c r="O2750" s="208"/>
      <c r="P2750" s="208"/>
      <c r="Q2750" s="208"/>
      <c r="R2750" s="208"/>
    </row>
    <row r="2751">
      <c r="A2751" s="185"/>
      <c r="B2751" s="186"/>
      <c r="C2751" s="185"/>
      <c r="D2751" s="185"/>
      <c r="E2751" s="185"/>
      <c r="F2751" s="185"/>
      <c r="G2751" s="185"/>
      <c r="H2751" s="185"/>
      <c r="I2751" s="185"/>
      <c r="J2751" s="185"/>
      <c r="K2751" s="185"/>
      <c r="L2751" s="187"/>
      <c r="M2751" s="188"/>
      <c r="N2751" s="188"/>
      <c r="O2751" s="208"/>
      <c r="P2751" s="208"/>
      <c r="Q2751" s="208"/>
      <c r="R2751" s="208"/>
    </row>
    <row r="2752">
      <c r="A2752" s="185"/>
      <c r="B2752" s="186"/>
      <c r="C2752" s="185"/>
      <c r="D2752" s="185"/>
      <c r="E2752" s="185"/>
      <c r="F2752" s="185"/>
      <c r="G2752" s="185"/>
      <c r="H2752" s="185"/>
      <c r="I2752" s="185"/>
      <c r="J2752" s="185"/>
      <c r="K2752" s="185"/>
      <c r="L2752" s="187"/>
      <c r="M2752" s="188"/>
      <c r="N2752" s="188"/>
      <c r="O2752" s="208"/>
      <c r="P2752" s="208"/>
      <c r="Q2752" s="208"/>
      <c r="R2752" s="208"/>
    </row>
    <row r="2753">
      <c r="A2753" s="185"/>
      <c r="B2753" s="186"/>
      <c r="C2753" s="185"/>
      <c r="D2753" s="185"/>
      <c r="E2753" s="185"/>
      <c r="F2753" s="185"/>
      <c r="G2753" s="185"/>
      <c r="H2753" s="185"/>
      <c r="I2753" s="185"/>
      <c r="J2753" s="185"/>
      <c r="K2753" s="185"/>
      <c r="L2753" s="187"/>
      <c r="M2753" s="188"/>
      <c r="N2753" s="188"/>
      <c r="O2753" s="208"/>
      <c r="P2753" s="208"/>
      <c r="Q2753" s="208"/>
      <c r="R2753" s="208"/>
    </row>
    <row r="2754">
      <c r="A2754" s="185"/>
      <c r="B2754" s="186"/>
      <c r="C2754" s="185"/>
      <c r="D2754" s="185"/>
      <c r="E2754" s="185"/>
      <c r="F2754" s="185"/>
      <c r="G2754" s="185"/>
      <c r="H2754" s="185"/>
      <c r="I2754" s="185"/>
      <c r="J2754" s="185"/>
      <c r="K2754" s="185"/>
      <c r="L2754" s="187"/>
      <c r="M2754" s="188"/>
      <c r="N2754" s="188"/>
      <c r="O2754" s="208"/>
      <c r="P2754" s="208"/>
      <c r="Q2754" s="208"/>
      <c r="R2754" s="208"/>
    </row>
    <row r="2755">
      <c r="A2755" s="185"/>
      <c r="B2755" s="186"/>
      <c r="C2755" s="185"/>
      <c r="D2755" s="185"/>
      <c r="E2755" s="185"/>
      <c r="F2755" s="185"/>
      <c r="G2755" s="185"/>
      <c r="H2755" s="185"/>
      <c r="I2755" s="185"/>
      <c r="J2755" s="185"/>
      <c r="K2755" s="185"/>
      <c r="L2755" s="187"/>
      <c r="M2755" s="188"/>
      <c r="N2755" s="188"/>
      <c r="O2755" s="208"/>
      <c r="P2755" s="208"/>
      <c r="Q2755" s="208"/>
      <c r="R2755" s="208"/>
    </row>
    <row r="2756">
      <c r="A2756" s="185"/>
      <c r="B2756" s="186"/>
      <c r="C2756" s="185"/>
      <c r="D2756" s="185"/>
      <c r="E2756" s="185"/>
      <c r="F2756" s="185"/>
      <c r="G2756" s="185"/>
      <c r="H2756" s="185"/>
      <c r="I2756" s="185"/>
      <c r="J2756" s="185"/>
      <c r="K2756" s="185"/>
      <c r="L2756" s="187"/>
      <c r="M2756" s="188"/>
      <c r="N2756" s="188"/>
      <c r="O2756" s="208"/>
      <c r="P2756" s="208"/>
      <c r="Q2756" s="208"/>
      <c r="R2756" s="208"/>
    </row>
    <row r="2757">
      <c r="A2757" s="185"/>
      <c r="B2757" s="186"/>
      <c r="C2757" s="185"/>
      <c r="D2757" s="185"/>
      <c r="E2757" s="185"/>
      <c r="F2757" s="185"/>
      <c r="G2757" s="185"/>
      <c r="H2757" s="185"/>
      <c r="I2757" s="185"/>
      <c r="J2757" s="185"/>
      <c r="K2757" s="185"/>
      <c r="L2757" s="187"/>
      <c r="M2757" s="188"/>
      <c r="N2757" s="188"/>
      <c r="O2757" s="208"/>
      <c r="P2757" s="208"/>
      <c r="Q2757" s="208"/>
      <c r="R2757" s="208"/>
    </row>
    <row r="2758">
      <c r="A2758" s="185"/>
      <c r="B2758" s="186"/>
      <c r="C2758" s="185"/>
      <c r="D2758" s="185"/>
      <c r="E2758" s="185"/>
      <c r="F2758" s="185"/>
      <c r="G2758" s="185"/>
      <c r="H2758" s="185"/>
      <c r="I2758" s="185"/>
      <c r="J2758" s="185"/>
      <c r="K2758" s="185"/>
      <c r="L2758" s="187"/>
      <c r="M2758" s="188"/>
      <c r="N2758" s="188"/>
      <c r="O2758" s="208"/>
      <c r="P2758" s="208"/>
      <c r="Q2758" s="208"/>
      <c r="R2758" s="208"/>
    </row>
    <row r="2759">
      <c r="A2759" s="185"/>
      <c r="B2759" s="186"/>
      <c r="C2759" s="185"/>
      <c r="D2759" s="185"/>
      <c r="E2759" s="185"/>
      <c r="F2759" s="185"/>
      <c r="G2759" s="185"/>
      <c r="H2759" s="185"/>
      <c r="I2759" s="185"/>
      <c r="J2759" s="185"/>
      <c r="K2759" s="185"/>
      <c r="L2759" s="187"/>
      <c r="M2759" s="188"/>
      <c r="N2759" s="188"/>
      <c r="O2759" s="208"/>
      <c r="P2759" s="208"/>
      <c r="Q2759" s="208"/>
      <c r="R2759" s="208"/>
    </row>
    <row r="2760">
      <c r="A2760" s="185"/>
      <c r="B2760" s="186"/>
      <c r="C2760" s="185"/>
      <c r="D2760" s="185"/>
      <c r="E2760" s="185"/>
      <c r="F2760" s="185"/>
      <c r="G2760" s="185"/>
      <c r="H2760" s="185"/>
      <c r="I2760" s="185"/>
      <c r="J2760" s="185"/>
      <c r="K2760" s="185"/>
      <c r="L2760" s="187"/>
      <c r="M2760" s="188"/>
      <c r="N2760" s="188"/>
      <c r="O2760" s="208"/>
      <c r="P2760" s="208"/>
      <c r="Q2760" s="208"/>
      <c r="R2760" s="208"/>
    </row>
    <row r="2761">
      <c r="A2761" s="185"/>
      <c r="B2761" s="186"/>
      <c r="C2761" s="185"/>
      <c r="D2761" s="185"/>
      <c r="E2761" s="185"/>
      <c r="F2761" s="185"/>
      <c r="G2761" s="185"/>
      <c r="H2761" s="185"/>
      <c r="I2761" s="185"/>
      <c r="J2761" s="185"/>
      <c r="K2761" s="185"/>
      <c r="L2761" s="187"/>
      <c r="M2761" s="188"/>
      <c r="N2761" s="188"/>
      <c r="O2761" s="208"/>
      <c r="P2761" s="208"/>
      <c r="Q2761" s="208"/>
      <c r="R2761" s="208"/>
    </row>
    <row r="2762">
      <c r="A2762" s="185"/>
      <c r="B2762" s="186"/>
      <c r="C2762" s="185"/>
      <c r="D2762" s="185"/>
      <c r="E2762" s="185"/>
      <c r="F2762" s="185"/>
      <c r="G2762" s="185"/>
      <c r="H2762" s="185"/>
      <c r="I2762" s="185"/>
      <c r="J2762" s="185"/>
      <c r="K2762" s="185"/>
      <c r="L2762" s="187"/>
      <c r="M2762" s="188"/>
      <c r="N2762" s="188"/>
      <c r="O2762" s="208"/>
      <c r="P2762" s="208"/>
      <c r="Q2762" s="208"/>
      <c r="R2762" s="208"/>
    </row>
    <row r="2763">
      <c r="A2763" s="185"/>
      <c r="B2763" s="186"/>
      <c r="C2763" s="185"/>
      <c r="D2763" s="185"/>
      <c r="E2763" s="185"/>
      <c r="F2763" s="185"/>
      <c r="G2763" s="185"/>
      <c r="H2763" s="185"/>
      <c r="I2763" s="185"/>
      <c r="J2763" s="185"/>
      <c r="K2763" s="185"/>
      <c r="L2763" s="187"/>
      <c r="M2763" s="188"/>
      <c r="N2763" s="188"/>
      <c r="O2763" s="208"/>
      <c r="P2763" s="208"/>
      <c r="Q2763" s="208"/>
      <c r="R2763" s="208"/>
    </row>
    <row r="2764">
      <c r="A2764" s="185"/>
      <c r="B2764" s="186"/>
      <c r="C2764" s="185"/>
      <c r="D2764" s="185"/>
      <c r="E2764" s="185"/>
      <c r="F2764" s="185"/>
      <c r="G2764" s="185"/>
      <c r="H2764" s="185"/>
      <c r="I2764" s="185"/>
      <c r="J2764" s="185"/>
      <c r="K2764" s="185"/>
      <c r="L2764" s="187"/>
      <c r="M2764" s="188"/>
      <c r="N2764" s="188"/>
      <c r="O2764" s="208"/>
      <c r="P2764" s="208"/>
      <c r="Q2764" s="208"/>
      <c r="R2764" s="208"/>
    </row>
    <row r="2765">
      <c r="A2765" s="185"/>
      <c r="B2765" s="186"/>
      <c r="C2765" s="185"/>
      <c r="D2765" s="185"/>
      <c r="E2765" s="185"/>
      <c r="F2765" s="185"/>
      <c r="G2765" s="185"/>
      <c r="H2765" s="185"/>
      <c r="I2765" s="185"/>
      <c r="J2765" s="185"/>
      <c r="K2765" s="185"/>
      <c r="L2765" s="187"/>
      <c r="M2765" s="188"/>
      <c r="N2765" s="188"/>
      <c r="O2765" s="208"/>
      <c r="P2765" s="208"/>
      <c r="Q2765" s="208"/>
      <c r="R2765" s="208"/>
    </row>
    <row r="2766">
      <c r="A2766" s="185"/>
      <c r="B2766" s="186"/>
      <c r="C2766" s="185"/>
      <c r="D2766" s="185"/>
      <c r="E2766" s="185"/>
      <c r="F2766" s="185"/>
      <c r="G2766" s="185"/>
      <c r="H2766" s="185"/>
      <c r="I2766" s="185"/>
      <c r="J2766" s="185"/>
      <c r="K2766" s="185"/>
      <c r="L2766" s="187"/>
      <c r="M2766" s="188"/>
      <c r="N2766" s="188"/>
      <c r="O2766" s="208"/>
      <c r="P2766" s="208"/>
      <c r="Q2766" s="208"/>
      <c r="R2766" s="208"/>
    </row>
    <row r="2767">
      <c r="A2767" s="185"/>
      <c r="B2767" s="186"/>
      <c r="C2767" s="185"/>
      <c r="D2767" s="185"/>
      <c r="E2767" s="185"/>
      <c r="F2767" s="185"/>
      <c r="G2767" s="185"/>
      <c r="H2767" s="185"/>
      <c r="I2767" s="185"/>
      <c r="J2767" s="185"/>
      <c r="K2767" s="185"/>
      <c r="L2767" s="187"/>
      <c r="M2767" s="188"/>
      <c r="N2767" s="188"/>
      <c r="O2767" s="208"/>
      <c r="P2767" s="208"/>
      <c r="Q2767" s="208"/>
      <c r="R2767" s="208"/>
    </row>
    <row r="2768">
      <c r="A2768" s="185"/>
      <c r="B2768" s="186"/>
      <c r="C2768" s="185"/>
      <c r="D2768" s="185"/>
      <c r="E2768" s="185"/>
      <c r="F2768" s="185"/>
      <c r="G2768" s="185"/>
      <c r="H2768" s="185"/>
      <c r="I2768" s="185"/>
      <c r="J2768" s="185"/>
      <c r="K2768" s="185"/>
      <c r="L2768" s="187"/>
      <c r="M2768" s="188"/>
      <c r="N2768" s="188"/>
      <c r="O2768" s="208"/>
      <c r="P2768" s="208"/>
      <c r="Q2768" s="208"/>
      <c r="R2768" s="208"/>
    </row>
    <row r="2769">
      <c r="A2769" s="185"/>
      <c r="B2769" s="186"/>
      <c r="C2769" s="185"/>
      <c r="D2769" s="185"/>
      <c r="E2769" s="185"/>
      <c r="F2769" s="185"/>
      <c r="G2769" s="185"/>
      <c r="H2769" s="185"/>
      <c r="I2769" s="185"/>
      <c r="J2769" s="185"/>
      <c r="K2769" s="185"/>
      <c r="L2769" s="187"/>
      <c r="M2769" s="188"/>
      <c r="N2769" s="188"/>
      <c r="O2769" s="208"/>
      <c r="P2769" s="208"/>
      <c r="Q2769" s="208"/>
      <c r="R2769" s="208"/>
    </row>
    <row r="2770">
      <c r="A2770" s="185"/>
      <c r="B2770" s="186"/>
      <c r="C2770" s="185"/>
      <c r="D2770" s="185"/>
      <c r="E2770" s="185"/>
      <c r="F2770" s="185"/>
      <c r="G2770" s="185"/>
      <c r="H2770" s="185"/>
      <c r="I2770" s="185"/>
      <c r="J2770" s="185"/>
      <c r="K2770" s="185"/>
      <c r="L2770" s="187"/>
      <c r="M2770" s="188"/>
      <c r="N2770" s="188"/>
      <c r="O2770" s="208"/>
      <c r="P2770" s="208"/>
      <c r="Q2770" s="208"/>
      <c r="R2770" s="208"/>
    </row>
    <row r="2771">
      <c r="A2771" s="185"/>
      <c r="B2771" s="186"/>
      <c r="C2771" s="185"/>
      <c r="D2771" s="185"/>
      <c r="E2771" s="185"/>
      <c r="F2771" s="185"/>
      <c r="G2771" s="185"/>
      <c r="H2771" s="185"/>
      <c r="I2771" s="185"/>
      <c r="J2771" s="185"/>
      <c r="K2771" s="185"/>
      <c r="L2771" s="187"/>
      <c r="M2771" s="188"/>
      <c r="N2771" s="188"/>
      <c r="O2771" s="208"/>
      <c r="P2771" s="208"/>
      <c r="Q2771" s="208"/>
      <c r="R2771" s="208"/>
    </row>
    <row r="2772">
      <c r="A2772" s="185"/>
      <c r="B2772" s="186"/>
      <c r="C2772" s="185"/>
      <c r="D2772" s="185"/>
      <c r="E2772" s="185"/>
      <c r="F2772" s="185"/>
      <c r="G2772" s="185"/>
      <c r="H2772" s="185"/>
      <c r="I2772" s="185"/>
      <c r="J2772" s="185"/>
      <c r="K2772" s="185"/>
      <c r="L2772" s="187"/>
      <c r="M2772" s="188"/>
      <c r="N2772" s="188"/>
      <c r="O2772" s="208"/>
      <c r="P2772" s="208"/>
      <c r="Q2772" s="208"/>
      <c r="R2772" s="208"/>
    </row>
    <row r="2773">
      <c r="A2773" s="185"/>
      <c r="B2773" s="186"/>
      <c r="C2773" s="185"/>
      <c r="D2773" s="185"/>
      <c r="E2773" s="185"/>
      <c r="F2773" s="185"/>
      <c r="G2773" s="185"/>
      <c r="H2773" s="185"/>
      <c r="I2773" s="185"/>
      <c r="J2773" s="185"/>
      <c r="K2773" s="185"/>
      <c r="L2773" s="187"/>
      <c r="M2773" s="188"/>
      <c r="N2773" s="188"/>
      <c r="O2773" s="208"/>
      <c r="P2773" s="208"/>
      <c r="Q2773" s="208"/>
      <c r="R2773" s="208"/>
    </row>
    <row r="2774">
      <c r="A2774" s="185"/>
      <c r="B2774" s="186"/>
      <c r="C2774" s="185"/>
      <c r="D2774" s="185"/>
      <c r="E2774" s="185"/>
      <c r="F2774" s="185"/>
      <c r="G2774" s="185"/>
      <c r="H2774" s="185"/>
      <c r="I2774" s="185"/>
      <c r="J2774" s="185"/>
      <c r="K2774" s="185"/>
      <c r="L2774" s="187"/>
      <c r="M2774" s="188"/>
      <c r="N2774" s="188"/>
      <c r="O2774" s="208"/>
      <c r="P2774" s="208"/>
      <c r="Q2774" s="208"/>
      <c r="R2774" s="208"/>
    </row>
    <row r="2775">
      <c r="A2775" s="185"/>
      <c r="B2775" s="186"/>
      <c r="C2775" s="185"/>
      <c r="D2775" s="185"/>
      <c r="E2775" s="185"/>
      <c r="F2775" s="185"/>
      <c r="G2775" s="185"/>
      <c r="H2775" s="185"/>
      <c r="I2775" s="185"/>
      <c r="J2775" s="185"/>
      <c r="K2775" s="185"/>
      <c r="L2775" s="187"/>
      <c r="M2775" s="188"/>
      <c r="N2775" s="188"/>
      <c r="O2775" s="208"/>
      <c r="P2775" s="208"/>
      <c r="Q2775" s="208"/>
      <c r="R2775" s="208"/>
    </row>
    <row r="2776">
      <c r="A2776" s="185"/>
      <c r="B2776" s="186"/>
      <c r="C2776" s="185"/>
      <c r="D2776" s="185"/>
      <c r="E2776" s="185"/>
      <c r="F2776" s="185"/>
      <c r="G2776" s="185"/>
      <c r="H2776" s="185"/>
      <c r="I2776" s="185"/>
      <c r="J2776" s="185"/>
      <c r="K2776" s="185"/>
      <c r="L2776" s="187"/>
      <c r="M2776" s="188"/>
      <c r="N2776" s="188"/>
      <c r="O2776" s="208"/>
      <c r="P2776" s="208"/>
      <c r="Q2776" s="208"/>
      <c r="R2776" s="208"/>
    </row>
    <row r="2777">
      <c r="A2777" s="185"/>
      <c r="B2777" s="186"/>
      <c r="C2777" s="185"/>
      <c r="D2777" s="185"/>
      <c r="E2777" s="185"/>
      <c r="F2777" s="185"/>
      <c r="G2777" s="185"/>
      <c r="H2777" s="185"/>
      <c r="I2777" s="185"/>
      <c r="J2777" s="185"/>
      <c r="K2777" s="185"/>
      <c r="L2777" s="187"/>
      <c r="M2777" s="188"/>
      <c r="N2777" s="188"/>
      <c r="O2777" s="208"/>
      <c r="P2777" s="208"/>
      <c r="Q2777" s="208"/>
      <c r="R2777" s="208"/>
    </row>
    <row r="2778">
      <c r="A2778" s="185"/>
      <c r="B2778" s="186"/>
      <c r="C2778" s="185"/>
      <c r="D2778" s="185"/>
      <c r="E2778" s="185"/>
      <c r="F2778" s="185"/>
      <c r="G2778" s="185"/>
      <c r="H2778" s="185"/>
      <c r="I2778" s="185"/>
      <c r="J2778" s="185"/>
      <c r="K2778" s="185"/>
      <c r="L2778" s="187"/>
      <c r="M2778" s="188"/>
      <c r="N2778" s="188"/>
      <c r="O2778" s="208"/>
      <c r="P2778" s="208"/>
      <c r="Q2778" s="208"/>
      <c r="R2778" s="208"/>
    </row>
    <row r="2779">
      <c r="A2779" s="185"/>
      <c r="B2779" s="186"/>
      <c r="C2779" s="185"/>
      <c r="D2779" s="185"/>
      <c r="E2779" s="185"/>
      <c r="F2779" s="185"/>
      <c r="G2779" s="185"/>
      <c r="H2779" s="185"/>
      <c r="I2779" s="185"/>
      <c r="J2779" s="185"/>
      <c r="K2779" s="185"/>
      <c r="L2779" s="187"/>
      <c r="M2779" s="188"/>
      <c r="N2779" s="188"/>
      <c r="O2779" s="208"/>
      <c r="P2779" s="208"/>
      <c r="Q2779" s="208"/>
      <c r="R2779" s="208"/>
    </row>
    <row r="2780">
      <c r="A2780" s="185"/>
      <c r="B2780" s="186"/>
      <c r="C2780" s="185"/>
      <c r="D2780" s="185"/>
      <c r="E2780" s="185"/>
      <c r="F2780" s="185"/>
      <c r="G2780" s="185"/>
      <c r="H2780" s="185"/>
      <c r="I2780" s="185"/>
      <c r="J2780" s="185"/>
      <c r="K2780" s="185"/>
      <c r="L2780" s="187"/>
      <c r="M2780" s="188"/>
      <c r="N2780" s="188"/>
      <c r="O2780" s="208"/>
      <c r="P2780" s="208"/>
      <c r="Q2780" s="208"/>
      <c r="R2780" s="208"/>
    </row>
    <row r="2781">
      <c r="A2781" s="185"/>
      <c r="B2781" s="186"/>
      <c r="C2781" s="185"/>
      <c r="D2781" s="185"/>
      <c r="E2781" s="185"/>
      <c r="F2781" s="185"/>
      <c r="G2781" s="185"/>
      <c r="H2781" s="185"/>
      <c r="I2781" s="185"/>
      <c r="J2781" s="185"/>
      <c r="K2781" s="185"/>
      <c r="L2781" s="187"/>
      <c r="M2781" s="188"/>
      <c r="N2781" s="188"/>
      <c r="O2781" s="208"/>
      <c r="P2781" s="208"/>
      <c r="Q2781" s="208"/>
      <c r="R2781" s="208"/>
    </row>
    <row r="2782">
      <c r="A2782" s="185"/>
      <c r="B2782" s="186"/>
      <c r="C2782" s="185"/>
      <c r="D2782" s="185"/>
      <c r="E2782" s="185"/>
      <c r="F2782" s="185"/>
      <c r="G2782" s="185"/>
      <c r="H2782" s="185"/>
      <c r="I2782" s="185"/>
      <c r="J2782" s="185"/>
      <c r="K2782" s="185"/>
      <c r="L2782" s="187"/>
      <c r="M2782" s="188"/>
      <c r="N2782" s="188"/>
      <c r="O2782" s="208"/>
      <c r="P2782" s="208"/>
      <c r="Q2782" s="208"/>
      <c r="R2782" s="208"/>
    </row>
    <row r="2783">
      <c r="A2783" s="185"/>
      <c r="B2783" s="186"/>
      <c r="C2783" s="185"/>
      <c r="D2783" s="185"/>
      <c r="E2783" s="185"/>
      <c r="F2783" s="185"/>
      <c r="G2783" s="185"/>
      <c r="H2783" s="185"/>
      <c r="I2783" s="185"/>
      <c r="J2783" s="185"/>
      <c r="K2783" s="185"/>
      <c r="L2783" s="187"/>
      <c r="M2783" s="188"/>
      <c r="N2783" s="188"/>
      <c r="O2783" s="208"/>
      <c r="P2783" s="208"/>
      <c r="Q2783" s="208"/>
      <c r="R2783" s="208"/>
    </row>
    <row r="2784">
      <c r="A2784" s="185"/>
      <c r="B2784" s="186"/>
      <c r="C2784" s="185"/>
      <c r="D2784" s="185"/>
      <c r="E2784" s="185"/>
      <c r="F2784" s="185"/>
      <c r="G2784" s="185"/>
      <c r="H2784" s="185"/>
      <c r="I2784" s="185"/>
      <c r="J2784" s="185"/>
      <c r="K2784" s="185"/>
      <c r="L2784" s="187"/>
      <c r="M2784" s="188"/>
      <c r="N2784" s="188"/>
      <c r="O2784" s="208"/>
      <c r="P2784" s="208"/>
      <c r="Q2784" s="208"/>
      <c r="R2784" s="208"/>
    </row>
    <row r="2785">
      <c r="A2785" s="185"/>
      <c r="B2785" s="186"/>
      <c r="C2785" s="185"/>
      <c r="D2785" s="185"/>
      <c r="E2785" s="185"/>
      <c r="F2785" s="185"/>
      <c r="G2785" s="185"/>
      <c r="H2785" s="185"/>
      <c r="I2785" s="185"/>
      <c r="J2785" s="185"/>
      <c r="K2785" s="185"/>
      <c r="L2785" s="187"/>
      <c r="M2785" s="188"/>
      <c r="N2785" s="188"/>
      <c r="O2785" s="208"/>
      <c r="P2785" s="208"/>
      <c r="Q2785" s="208"/>
      <c r="R2785" s="208"/>
    </row>
    <row r="2786">
      <c r="A2786" s="185"/>
      <c r="B2786" s="186"/>
      <c r="C2786" s="185"/>
      <c r="D2786" s="185"/>
      <c r="E2786" s="185"/>
      <c r="F2786" s="185"/>
      <c r="G2786" s="185"/>
      <c r="H2786" s="185"/>
      <c r="I2786" s="185"/>
      <c r="J2786" s="185"/>
      <c r="K2786" s="185"/>
      <c r="L2786" s="187"/>
      <c r="M2786" s="188"/>
      <c r="N2786" s="188"/>
      <c r="O2786" s="208"/>
      <c r="P2786" s="208"/>
      <c r="Q2786" s="208"/>
      <c r="R2786" s="208"/>
    </row>
    <row r="2787">
      <c r="A2787" s="185"/>
      <c r="B2787" s="186"/>
      <c r="C2787" s="185"/>
      <c r="D2787" s="185"/>
      <c r="E2787" s="185"/>
      <c r="F2787" s="185"/>
      <c r="G2787" s="185"/>
      <c r="H2787" s="185"/>
      <c r="I2787" s="185"/>
      <c r="J2787" s="185"/>
      <c r="K2787" s="185"/>
      <c r="L2787" s="187"/>
      <c r="M2787" s="188"/>
      <c r="N2787" s="188"/>
      <c r="O2787" s="208"/>
      <c r="P2787" s="208"/>
      <c r="Q2787" s="208"/>
      <c r="R2787" s="208"/>
    </row>
    <row r="2788">
      <c r="A2788" s="185"/>
      <c r="B2788" s="186"/>
      <c r="C2788" s="185"/>
      <c r="D2788" s="185"/>
      <c r="E2788" s="185"/>
      <c r="F2788" s="185"/>
      <c r="G2788" s="185"/>
      <c r="H2788" s="185"/>
      <c r="I2788" s="185"/>
      <c r="J2788" s="185"/>
      <c r="K2788" s="185"/>
      <c r="L2788" s="187"/>
      <c r="M2788" s="188"/>
      <c r="N2788" s="188"/>
      <c r="O2788" s="208"/>
      <c r="P2788" s="208"/>
      <c r="Q2788" s="208"/>
      <c r="R2788" s="208"/>
    </row>
    <row r="2789">
      <c r="A2789" s="185"/>
      <c r="B2789" s="186"/>
      <c r="C2789" s="185"/>
      <c r="D2789" s="185"/>
      <c r="E2789" s="185"/>
      <c r="F2789" s="185"/>
      <c r="G2789" s="185"/>
      <c r="H2789" s="185"/>
      <c r="I2789" s="185"/>
      <c r="J2789" s="185"/>
      <c r="K2789" s="185"/>
      <c r="L2789" s="187"/>
      <c r="M2789" s="188"/>
      <c r="N2789" s="188"/>
      <c r="O2789" s="208"/>
      <c r="P2789" s="208"/>
      <c r="Q2789" s="208"/>
      <c r="R2789" s="208"/>
    </row>
    <row r="2790">
      <c r="A2790" s="185"/>
      <c r="B2790" s="186"/>
      <c r="C2790" s="185"/>
      <c r="D2790" s="185"/>
      <c r="E2790" s="185"/>
      <c r="F2790" s="185"/>
      <c r="G2790" s="185"/>
      <c r="H2790" s="185"/>
      <c r="I2790" s="185"/>
      <c r="J2790" s="185"/>
      <c r="K2790" s="185"/>
      <c r="L2790" s="187"/>
      <c r="M2790" s="188"/>
      <c r="N2790" s="188"/>
      <c r="O2790" s="208"/>
      <c r="P2790" s="208"/>
      <c r="Q2790" s="208"/>
      <c r="R2790" s="208"/>
    </row>
    <row r="2791">
      <c r="A2791" s="185"/>
      <c r="B2791" s="186"/>
      <c r="C2791" s="185"/>
      <c r="D2791" s="185"/>
      <c r="E2791" s="185"/>
      <c r="F2791" s="185"/>
      <c r="G2791" s="185"/>
      <c r="H2791" s="185"/>
      <c r="I2791" s="185"/>
      <c r="J2791" s="185"/>
      <c r="K2791" s="185"/>
      <c r="L2791" s="187"/>
      <c r="M2791" s="188"/>
      <c r="N2791" s="188"/>
      <c r="O2791" s="208"/>
      <c r="P2791" s="208"/>
      <c r="Q2791" s="208"/>
      <c r="R2791" s="208"/>
    </row>
    <row r="2792">
      <c r="A2792" s="185"/>
      <c r="B2792" s="186"/>
      <c r="C2792" s="185"/>
      <c r="D2792" s="185"/>
      <c r="E2792" s="185"/>
      <c r="F2792" s="185"/>
      <c r="G2792" s="185"/>
      <c r="H2792" s="185"/>
      <c r="I2792" s="185"/>
      <c r="J2792" s="185"/>
      <c r="K2792" s="185"/>
      <c r="L2792" s="187"/>
      <c r="M2792" s="188"/>
      <c r="N2792" s="188"/>
      <c r="O2792" s="208"/>
      <c r="P2792" s="208"/>
      <c r="Q2792" s="208"/>
      <c r="R2792" s="208"/>
    </row>
    <row r="2793">
      <c r="A2793" s="185"/>
      <c r="B2793" s="186"/>
      <c r="C2793" s="185"/>
      <c r="D2793" s="185"/>
      <c r="E2793" s="185"/>
      <c r="F2793" s="185"/>
      <c r="G2793" s="185"/>
      <c r="H2793" s="185"/>
      <c r="I2793" s="185"/>
      <c r="J2793" s="185"/>
      <c r="K2793" s="185"/>
      <c r="L2793" s="187"/>
      <c r="M2793" s="188"/>
      <c r="N2793" s="188"/>
      <c r="O2793" s="208"/>
      <c r="P2793" s="208"/>
      <c r="Q2793" s="208"/>
      <c r="R2793" s="208"/>
    </row>
    <row r="2794">
      <c r="A2794" s="185"/>
      <c r="B2794" s="186"/>
      <c r="C2794" s="185"/>
      <c r="D2794" s="185"/>
      <c r="E2794" s="185"/>
      <c r="F2794" s="185"/>
      <c r="G2794" s="185"/>
      <c r="H2794" s="185"/>
      <c r="I2794" s="185"/>
      <c r="J2794" s="185"/>
      <c r="K2794" s="185"/>
      <c r="L2794" s="187"/>
      <c r="M2794" s="188"/>
      <c r="N2794" s="188"/>
      <c r="O2794" s="208"/>
      <c r="P2794" s="208"/>
      <c r="Q2794" s="208"/>
      <c r="R2794" s="208"/>
    </row>
    <row r="2795">
      <c r="A2795" s="185"/>
      <c r="B2795" s="186"/>
      <c r="C2795" s="185"/>
      <c r="D2795" s="185"/>
      <c r="E2795" s="185"/>
      <c r="F2795" s="185"/>
      <c r="G2795" s="185"/>
      <c r="H2795" s="185"/>
      <c r="I2795" s="185"/>
      <c r="J2795" s="185"/>
      <c r="K2795" s="185"/>
      <c r="L2795" s="187"/>
      <c r="M2795" s="188"/>
      <c r="N2795" s="188"/>
      <c r="O2795" s="208"/>
      <c r="P2795" s="208"/>
      <c r="Q2795" s="208"/>
      <c r="R2795" s="208"/>
    </row>
    <row r="2796">
      <c r="A2796" s="185"/>
      <c r="B2796" s="186"/>
      <c r="C2796" s="185"/>
      <c r="D2796" s="185"/>
      <c r="E2796" s="185"/>
      <c r="F2796" s="185"/>
      <c r="G2796" s="185"/>
      <c r="H2796" s="185"/>
      <c r="I2796" s="185"/>
      <c r="J2796" s="185"/>
      <c r="K2796" s="185"/>
      <c r="L2796" s="187"/>
      <c r="M2796" s="188"/>
      <c r="N2796" s="188"/>
      <c r="O2796" s="208"/>
      <c r="P2796" s="208"/>
      <c r="Q2796" s="208"/>
      <c r="R2796" s="208"/>
    </row>
    <row r="2797">
      <c r="A2797" s="185"/>
      <c r="B2797" s="186"/>
      <c r="C2797" s="185"/>
      <c r="D2797" s="185"/>
      <c r="E2797" s="185"/>
      <c r="F2797" s="185"/>
      <c r="G2797" s="185"/>
      <c r="H2797" s="185"/>
      <c r="I2797" s="185"/>
      <c r="J2797" s="185"/>
      <c r="K2797" s="185"/>
      <c r="L2797" s="187"/>
      <c r="M2797" s="188"/>
      <c r="N2797" s="188"/>
      <c r="O2797" s="208"/>
      <c r="P2797" s="208"/>
      <c r="Q2797" s="208"/>
      <c r="R2797" s="208"/>
    </row>
    <row r="2798">
      <c r="A2798" s="185"/>
      <c r="B2798" s="186"/>
      <c r="C2798" s="185"/>
      <c r="D2798" s="185"/>
      <c r="E2798" s="185"/>
      <c r="F2798" s="185"/>
      <c r="G2798" s="185"/>
      <c r="H2798" s="185"/>
      <c r="I2798" s="185"/>
      <c r="J2798" s="185"/>
      <c r="K2798" s="185"/>
      <c r="L2798" s="187"/>
      <c r="M2798" s="188"/>
      <c r="N2798" s="188"/>
      <c r="O2798" s="208"/>
      <c r="P2798" s="208"/>
      <c r="Q2798" s="208"/>
      <c r="R2798" s="208"/>
    </row>
    <row r="2799">
      <c r="A2799" s="185"/>
      <c r="B2799" s="186"/>
      <c r="C2799" s="185"/>
      <c r="D2799" s="185"/>
      <c r="E2799" s="185"/>
      <c r="F2799" s="185"/>
      <c r="G2799" s="185"/>
      <c r="H2799" s="185"/>
      <c r="I2799" s="185"/>
      <c r="J2799" s="185"/>
      <c r="K2799" s="185"/>
      <c r="L2799" s="187"/>
      <c r="M2799" s="188"/>
      <c r="N2799" s="188"/>
      <c r="O2799" s="208"/>
      <c r="P2799" s="208"/>
      <c r="Q2799" s="208"/>
      <c r="R2799" s="208"/>
    </row>
    <row r="2800">
      <c r="A2800" s="185"/>
      <c r="B2800" s="186"/>
      <c r="C2800" s="185"/>
      <c r="D2800" s="185"/>
      <c r="E2800" s="185"/>
      <c r="F2800" s="185"/>
      <c r="G2800" s="185"/>
      <c r="H2800" s="185"/>
      <c r="I2800" s="185"/>
      <c r="J2800" s="185"/>
      <c r="K2800" s="185"/>
      <c r="L2800" s="187"/>
      <c r="M2800" s="188"/>
      <c r="N2800" s="188"/>
      <c r="O2800" s="208"/>
      <c r="P2800" s="208"/>
      <c r="Q2800" s="208"/>
      <c r="R2800" s="208"/>
    </row>
    <row r="2801">
      <c r="A2801" s="185"/>
      <c r="B2801" s="186"/>
      <c r="C2801" s="185"/>
      <c r="D2801" s="185"/>
      <c r="E2801" s="185"/>
      <c r="F2801" s="185"/>
      <c r="G2801" s="185"/>
      <c r="H2801" s="185"/>
      <c r="I2801" s="185"/>
      <c r="J2801" s="185"/>
      <c r="K2801" s="185"/>
      <c r="L2801" s="187"/>
      <c r="M2801" s="188"/>
      <c r="N2801" s="188"/>
      <c r="O2801" s="208"/>
      <c r="P2801" s="208"/>
      <c r="Q2801" s="208"/>
      <c r="R2801" s="208"/>
    </row>
    <row r="2802">
      <c r="A2802" s="185"/>
      <c r="B2802" s="186"/>
      <c r="C2802" s="185"/>
      <c r="D2802" s="185"/>
      <c r="E2802" s="185"/>
      <c r="F2802" s="185"/>
      <c r="G2802" s="185"/>
      <c r="H2802" s="185"/>
      <c r="I2802" s="185"/>
      <c r="J2802" s="185"/>
      <c r="K2802" s="185"/>
      <c r="L2802" s="187"/>
      <c r="M2802" s="188"/>
      <c r="N2802" s="188"/>
      <c r="O2802" s="208"/>
      <c r="P2802" s="208"/>
      <c r="Q2802" s="208"/>
      <c r="R2802" s="208"/>
    </row>
    <row r="2803">
      <c r="A2803" s="185"/>
      <c r="B2803" s="186"/>
      <c r="C2803" s="185"/>
      <c r="D2803" s="185"/>
      <c r="E2803" s="185"/>
      <c r="F2803" s="185"/>
      <c r="G2803" s="185"/>
      <c r="H2803" s="185"/>
      <c r="I2803" s="185"/>
      <c r="J2803" s="185"/>
      <c r="K2803" s="185"/>
      <c r="L2803" s="187"/>
      <c r="M2803" s="188"/>
      <c r="N2803" s="188"/>
      <c r="O2803" s="208"/>
      <c r="P2803" s="208"/>
      <c r="Q2803" s="208"/>
      <c r="R2803" s="208"/>
    </row>
    <row r="2804">
      <c r="A2804" s="185"/>
      <c r="B2804" s="186"/>
      <c r="C2804" s="185"/>
      <c r="D2804" s="185"/>
      <c r="E2804" s="185"/>
      <c r="F2804" s="185"/>
      <c r="G2804" s="185"/>
      <c r="H2804" s="185"/>
      <c r="I2804" s="185"/>
      <c r="J2804" s="185"/>
      <c r="K2804" s="185"/>
      <c r="L2804" s="187"/>
      <c r="M2804" s="188"/>
      <c r="N2804" s="188"/>
      <c r="O2804" s="208"/>
      <c r="P2804" s="208"/>
      <c r="Q2804" s="208"/>
      <c r="R2804" s="208"/>
    </row>
    <row r="2805">
      <c r="A2805" s="185"/>
      <c r="B2805" s="186"/>
      <c r="C2805" s="185"/>
      <c r="D2805" s="185"/>
      <c r="E2805" s="185"/>
      <c r="F2805" s="185"/>
      <c r="G2805" s="185"/>
      <c r="H2805" s="185"/>
      <c r="I2805" s="185"/>
      <c r="J2805" s="185"/>
      <c r="K2805" s="185"/>
      <c r="L2805" s="187"/>
      <c r="M2805" s="188"/>
      <c r="N2805" s="188"/>
      <c r="O2805" s="208"/>
      <c r="P2805" s="208"/>
      <c r="Q2805" s="208"/>
      <c r="R2805" s="208"/>
    </row>
    <row r="2806">
      <c r="A2806" s="185"/>
      <c r="B2806" s="186"/>
      <c r="C2806" s="185"/>
      <c r="D2806" s="185"/>
      <c r="E2806" s="185"/>
      <c r="F2806" s="185"/>
      <c r="G2806" s="185"/>
      <c r="H2806" s="185"/>
      <c r="I2806" s="185"/>
      <c r="J2806" s="185"/>
      <c r="K2806" s="185"/>
      <c r="L2806" s="187"/>
      <c r="M2806" s="188"/>
      <c r="N2806" s="188"/>
      <c r="O2806" s="208"/>
      <c r="P2806" s="208"/>
      <c r="Q2806" s="208"/>
      <c r="R2806" s="208"/>
    </row>
    <row r="2807">
      <c r="A2807" s="185"/>
      <c r="B2807" s="186"/>
      <c r="C2807" s="185"/>
      <c r="D2807" s="185"/>
      <c r="E2807" s="185"/>
      <c r="F2807" s="185"/>
      <c r="G2807" s="185"/>
      <c r="H2807" s="185"/>
      <c r="I2807" s="185"/>
      <c r="J2807" s="185"/>
      <c r="K2807" s="185"/>
      <c r="L2807" s="187"/>
      <c r="M2807" s="188"/>
      <c r="N2807" s="188"/>
      <c r="O2807" s="208"/>
      <c r="P2807" s="208"/>
      <c r="Q2807" s="208"/>
      <c r="R2807" s="208"/>
    </row>
    <row r="2808">
      <c r="A2808" s="185"/>
      <c r="B2808" s="186"/>
      <c r="C2808" s="185"/>
      <c r="D2808" s="185"/>
      <c r="E2808" s="185"/>
      <c r="F2808" s="185"/>
      <c r="G2808" s="185"/>
      <c r="H2808" s="185"/>
      <c r="I2808" s="185"/>
      <c r="J2808" s="185"/>
      <c r="K2808" s="185"/>
      <c r="L2808" s="187"/>
      <c r="M2808" s="188"/>
      <c r="N2808" s="188"/>
      <c r="O2808" s="208"/>
      <c r="P2808" s="208"/>
      <c r="Q2808" s="208"/>
      <c r="R2808" s="208"/>
    </row>
    <row r="2809">
      <c r="A2809" s="185"/>
      <c r="B2809" s="186"/>
      <c r="C2809" s="185"/>
      <c r="D2809" s="185"/>
      <c r="E2809" s="185"/>
      <c r="F2809" s="185"/>
      <c r="G2809" s="185"/>
      <c r="H2809" s="185"/>
      <c r="I2809" s="185"/>
      <c r="J2809" s="185"/>
      <c r="K2809" s="185"/>
      <c r="L2809" s="187"/>
      <c r="M2809" s="188"/>
      <c r="N2809" s="188"/>
      <c r="O2809" s="208"/>
      <c r="P2809" s="208"/>
      <c r="Q2809" s="208"/>
      <c r="R2809" s="208"/>
    </row>
    <row r="2810">
      <c r="A2810" s="185"/>
      <c r="B2810" s="186"/>
      <c r="C2810" s="185"/>
      <c r="D2810" s="185"/>
      <c r="E2810" s="185"/>
      <c r="F2810" s="185"/>
      <c r="G2810" s="185"/>
      <c r="H2810" s="185"/>
      <c r="I2810" s="185"/>
      <c r="J2810" s="185"/>
      <c r="K2810" s="185"/>
      <c r="L2810" s="187"/>
      <c r="M2810" s="188"/>
      <c r="N2810" s="188"/>
      <c r="O2810" s="208"/>
      <c r="P2810" s="208"/>
      <c r="Q2810" s="208"/>
      <c r="R2810" s="208"/>
    </row>
    <row r="2811">
      <c r="A2811" s="185"/>
      <c r="B2811" s="186"/>
      <c r="C2811" s="185"/>
      <c r="D2811" s="185"/>
      <c r="E2811" s="185"/>
      <c r="F2811" s="185"/>
      <c r="G2811" s="185"/>
      <c r="H2811" s="185"/>
      <c r="I2811" s="185"/>
      <c r="J2811" s="185"/>
      <c r="K2811" s="185"/>
      <c r="L2811" s="187"/>
      <c r="M2811" s="188"/>
      <c r="N2811" s="188"/>
      <c r="O2811" s="208"/>
      <c r="P2811" s="208"/>
      <c r="Q2811" s="208"/>
      <c r="R2811" s="208"/>
    </row>
    <row r="2812">
      <c r="A2812" s="185"/>
      <c r="B2812" s="186"/>
      <c r="C2812" s="185"/>
      <c r="D2812" s="185"/>
      <c r="E2812" s="185"/>
      <c r="F2812" s="185"/>
      <c r="G2812" s="185"/>
      <c r="H2812" s="185"/>
      <c r="I2812" s="185"/>
      <c r="J2812" s="185"/>
      <c r="K2812" s="185"/>
      <c r="L2812" s="187"/>
      <c r="M2812" s="188"/>
      <c r="N2812" s="188"/>
      <c r="O2812" s="208"/>
      <c r="P2812" s="208"/>
      <c r="Q2812" s="208"/>
      <c r="R2812" s="208"/>
    </row>
    <row r="2813">
      <c r="A2813" s="185"/>
      <c r="B2813" s="186"/>
      <c r="C2813" s="185"/>
      <c r="D2813" s="185"/>
      <c r="E2813" s="185"/>
      <c r="F2813" s="185"/>
      <c r="G2813" s="185"/>
      <c r="H2813" s="185"/>
      <c r="I2813" s="185"/>
      <c r="J2813" s="185"/>
      <c r="K2813" s="185"/>
      <c r="L2813" s="187"/>
      <c r="M2813" s="188"/>
      <c r="N2813" s="188"/>
      <c r="O2813" s="208"/>
      <c r="P2813" s="208"/>
      <c r="Q2813" s="208"/>
      <c r="R2813" s="208"/>
    </row>
    <row r="2814">
      <c r="A2814" s="185"/>
      <c r="B2814" s="186"/>
      <c r="C2814" s="185"/>
      <c r="D2814" s="185"/>
      <c r="E2814" s="185"/>
      <c r="F2814" s="185"/>
      <c r="G2814" s="185"/>
      <c r="H2814" s="185"/>
      <c r="I2814" s="185"/>
      <c r="J2814" s="185"/>
      <c r="K2814" s="185"/>
      <c r="L2814" s="187"/>
      <c r="M2814" s="188"/>
      <c r="N2814" s="188"/>
      <c r="O2814" s="208"/>
      <c r="P2814" s="208"/>
      <c r="Q2814" s="208"/>
      <c r="R2814" s="208"/>
    </row>
    <row r="2815">
      <c r="A2815" s="185"/>
      <c r="B2815" s="186"/>
      <c r="C2815" s="185"/>
      <c r="D2815" s="185"/>
      <c r="E2815" s="185"/>
      <c r="F2815" s="185"/>
      <c r="G2815" s="185"/>
      <c r="H2815" s="185"/>
      <c r="I2815" s="185"/>
      <c r="J2815" s="185"/>
      <c r="K2815" s="185"/>
      <c r="L2815" s="187"/>
      <c r="M2815" s="188"/>
      <c r="N2815" s="188"/>
      <c r="O2815" s="208"/>
      <c r="P2815" s="208"/>
      <c r="Q2815" s="208"/>
      <c r="R2815" s="208"/>
    </row>
    <row r="2816">
      <c r="A2816" s="185"/>
      <c r="B2816" s="186"/>
      <c r="C2816" s="185"/>
      <c r="D2816" s="185"/>
      <c r="E2816" s="185"/>
      <c r="F2816" s="185"/>
      <c r="G2816" s="185"/>
      <c r="H2816" s="185"/>
      <c r="I2816" s="185"/>
      <c r="J2816" s="185"/>
      <c r="K2816" s="185"/>
      <c r="L2816" s="187"/>
      <c r="M2816" s="188"/>
      <c r="N2816" s="188"/>
      <c r="O2816" s="208"/>
      <c r="P2816" s="208"/>
      <c r="Q2816" s="208"/>
      <c r="R2816" s="208"/>
    </row>
    <row r="2817">
      <c r="A2817" s="185"/>
      <c r="B2817" s="186"/>
      <c r="C2817" s="185"/>
      <c r="D2817" s="185"/>
      <c r="E2817" s="185"/>
      <c r="F2817" s="185"/>
      <c r="G2817" s="185"/>
      <c r="H2817" s="185"/>
      <c r="I2817" s="185"/>
      <c r="J2817" s="185"/>
      <c r="K2817" s="185"/>
      <c r="L2817" s="187"/>
      <c r="M2817" s="188"/>
      <c r="N2817" s="188"/>
      <c r="O2817" s="208"/>
      <c r="P2817" s="208"/>
      <c r="Q2817" s="208"/>
      <c r="R2817" s="208"/>
    </row>
    <row r="2818">
      <c r="A2818" s="185"/>
      <c r="B2818" s="186"/>
      <c r="C2818" s="185"/>
      <c r="D2818" s="185"/>
      <c r="E2818" s="185"/>
      <c r="F2818" s="185"/>
      <c r="G2818" s="185"/>
      <c r="H2818" s="185"/>
      <c r="I2818" s="185"/>
      <c r="J2818" s="185"/>
      <c r="K2818" s="185"/>
      <c r="L2818" s="187"/>
      <c r="M2818" s="188"/>
      <c r="N2818" s="188"/>
      <c r="O2818" s="208"/>
      <c r="P2818" s="208"/>
      <c r="Q2818" s="208"/>
      <c r="R2818" s="208"/>
    </row>
    <row r="2819">
      <c r="A2819" s="185"/>
      <c r="B2819" s="186"/>
      <c r="C2819" s="185"/>
      <c r="D2819" s="185"/>
      <c r="E2819" s="185"/>
      <c r="F2819" s="185"/>
      <c r="G2819" s="185"/>
      <c r="H2819" s="185"/>
      <c r="I2819" s="185"/>
      <c r="J2819" s="185"/>
      <c r="K2819" s="185"/>
      <c r="L2819" s="187"/>
      <c r="M2819" s="188"/>
      <c r="N2819" s="188"/>
      <c r="O2819" s="208"/>
      <c r="P2819" s="208"/>
      <c r="Q2819" s="208"/>
      <c r="R2819" s="208"/>
    </row>
    <row r="2820">
      <c r="A2820" s="185"/>
      <c r="B2820" s="186"/>
      <c r="C2820" s="185"/>
      <c r="D2820" s="185"/>
      <c r="E2820" s="185"/>
      <c r="F2820" s="185"/>
      <c r="G2820" s="185"/>
      <c r="H2820" s="185"/>
      <c r="I2820" s="185"/>
      <c r="J2820" s="185"/>
      <c r="K2820" s="185"/>
      <c r="L2820" s="187"/>
      <c r="M2820" s="188"/>
      <c r="N2820" s="188"/>
      <c r="O2820" s="208"/>
      <c r="P2820" s="208"/>
      <c r="Q2820" s="208"/>
      <c r="R2820" s="208"/>
    </row>
    <row r="2821">
      <c r="A2821" s="185"/>
      <c r="B2821" s="186"/>
      <c r="C2821" s="185"/>
      <c r="D2821" s="185"/>
      <c r="E2821" s="185"/>
      <c r="F2821" s="185"/>
      <c r="G2821" s="185"/>
      <c r="H2821" s="185"/>
      <c r="I2821" s="185"/>
      <c r="J2821" s="185"/>
      <c r="K2821" s="185"/>
      <c r="L2821" s="187"/>
      <c r="M2821" s="188"/>
      <c r="N2821" s="188"/>
      <c r="O2821" s="208"/>
      <c r="P2821" s="208"/>
      <c r="Q2821" s="208"/>
      <c r="R2821" s="208"/>
    </row>
    <row r="2822">
      <c r="A2822" s="185"/>
      <c r="B2822" s="186"/>
      <c r="C2822" s="185"/>
      <c r="D2822" s="185"/>
      <c r="E2822" s="185"/>
      <c r="F2822" s="185"/>
      <c r="G2822" s="185"/>
      <c r="H2822" s="185"/>
      <c r="I2822" s="185"/>
      <c r="J2822" s="185"/>
      <c r="K2822" s="185"/>
      <c r="L2822" s="187"/>
      <c r="M2822" s="188"/>
      <c r="N2822" s="188"/>
      <c r="O2822" s="208"/>
      <c r="P2822" s="208"/>
      <c r="Q2822" s="208"/>
      <c r="R2822" s="208"/>
    </row>
    <row r="2823">
      <c r="A2823" s="185"/>
      <c r="B2823" s="186"/>
      <c r="C2823" s="185"/>
      <c r="D2823" s="185"/>
      <c r="E2823" s="185"/>
      <c r="F2823" s="185"/>
      <c r="G2823" s="185"/>
      <c r="H2823" s="185"/>
      <c r="I2823" s="185"/>
      <c r="J2823" s="185"/>
      <c r="K2823" s="185"/>
      <c r="L2823" s="187"/>
      <c r="M2823" s="188"/>
      <c r="N2823" s="188"/>
      <c r="O2823" s="208"/>
      <c r="P2823" s="208"/>
      <c r="Q2823" s="208"/>
      <c r="R2823" s="208"/>
    </row>
    <row r="2824">
      <c r="A2824" s="185"/>
      <c r="B2824" s="186"/>
      <c r="C2824" s="185"/>
      <c r="D2824" s="185"/>
      <c r="E2824" s="185"/>
      <c r="F2824" s="185"/>
      <c r="G2824" s="185"/>
      <c r="H2824" s="185"/>
      <c r="I2824" s="185"/>
      <c r="J2824" s="185"/>
      <c r="K2824" s="185"/>
      <c r="L2824" s="187"/>
      <c r="M2824" s="188"/>
      <c r="N2824" s="188"/>
      <c r="O2824" s="208"/>
      <c r="P2824" s="208"/>
      <c r="Q2824" s="208"/>
      <c r="R2824" s="208"/>
    </row>
    <row r="2825">
      <c r="A2825" s="185"/>
      <c r="B2825" s="186"/>
      <c r="C2825" s="185"/>
      <c r="D2825" s="185"/>
      <c r="E2825" s="185"/>
      <c r="F2825" s="185"/>
      <c r="G2825" s="185"/>
      <c r="H2825" s="185"/>
      <c r="I2825" s="185"/>
      <c r="J2825" s="185"/>
      <c r="K2825" s="185"/>
      <c r="L2825" s="187"/>
      <c r="M2825" s="188"/>
      <c r="N2825" s="188"/>
      <c r="O2825" s="208"/>
      <c r="P2825" s="208"/>
      <c r="Q2825" s="208"/>
      <c r="R2825" s="208"/>
    </row>
    <row r="2826">
      <c r="A2826" s="185"/>
      <c r="B2826" s="186"/>
      <c r="C2826" s="185"/>
      <c r="D2826" s="185"/>
      <c r="E2826" s="185"/>
      <c r="F2826" s="185"/>
      <c r="G2826" s="185"/>
      <c r="H2826" s="185"/>
      <c r="I2826" s="185"/>
      <c r="J2826" s="185"/>
      <c r="K2826" s="185"/>
      <c r="L2826" s="187"/>
      <c r="M2826" s="188"/>
      <c r="N2826" s="188"/>
      <c r="O2826" s="208"/>
      <c r="P2826" s="208"/>
      <c r="Q2826" s="208"/>
      <c r="R2826" s="208"/>
    </row>
    <row r="2827">
      <c r="A2827" s="185"/>
      <c r="B2827" s="186"/>
      <c r="C2827" s="185"/>
      <c r="D2827" s="185"/>
      <c r="E2827" s="185"/>
      <c r="F2827" s="185"/>
      <c r="G2827" s="185"/>
      <c r="H2827" s="185"/>
      <c r="I2827" s="185"/>
      <c r="J2827" s="185"/>
      <c r="K2827" s="185"/>
      <c r="L2827" s="187"/>
      <c r="M2827" s="188"/>
      <c r="N2827" s="188"/>
      <c r="O2827" s="208"/>
      <c r="P2827" s="208"/>
      <c r="Q2827" s="208"/>
      <c r="R2827" s="208"/>
    </row>
    <row r="2828">
      <c r="A2828" s="185"/>
      <c r="B2828" s="186"/>
      <c r="C2828" s="185"/>
      <c r="D2828" s="185"/>
      <c r="E2828" s="185"/>
      <c r="F2828" s="185"/>
      <c r="G2828" s="185"/>
      <c r="H2828" s="185"/>
      <c r="I2828" s="185"/>
      <c r="J2828" s="185"/>
      <c r="K2828" s="185"/>
      <c r="L2828" s="187"/>
      <c r="M2828" s="188"/>
      <c r="N2828" s="188"/>
      <c r="O2828" s="208"/>
      <c r="P2828" s="208"/>
      <c r="Q2828" s="208"/>
      <c r="R2828" s="208"/>
    </row>
    <row r="2829">
      <c r="A2829" s="185"/>
      <c r="B2829" s="186"/>
      <c r="C2829" s="185"/>
      <c r="D2829" s="185"/>
      <c r="E2829" s="185"/>
      <c r="F2829" s="185"/>
      <c r="G2829" s="185"/>
      <c r="H2829" s="185"/>
      <c r="I2829" s="185"/>
      <c r="J2829" s="185"/>
      <c r="K2829" s="185"/>
      <c r="L2829" s="187"/>
      <c r="M2829" s="188"/>
      <c r="N2829" s="188"/>
      <c r="O2829" s="208"/>
      <c r="P2829" s="208"/>
      <c r="Q2829" s="208"/>
      <c r="R2829" s="208"/>
    </row>
    <row r="2830">
      <c r="A2830" s="185"/>
      <c r="B2830" s="186"/>
      <c r="C2830" s="185"/>
      <c r="D2830" s="185"/>
      <c r="E2830" s="185"/>
      <c r="F2830" s="185"/>
      <c r="G2830" s="185"/>
      <c r="H2830" s="185"/>
      <c r="I2830" s="185"/>
      <c r="J2830" s="185"/>
      <c r="K2830" s="185"/>
      <c r="L2830" s="187"/>
      <c r="M2830" s="188"/>
      <c r="N2830" s="188"/>
      <c r="O2830" s="208"/>
      <c r="P2830" s="208"/>
      <c r="Q2830" s="208"/>
      <c r="R2830" s="208"/>
    </row>
    <row r="2831">
      <c r="A2831" s="185"/>
      <c r="B2831" s="186"/>
      <c r="C2831" s="185"/>
      <c r="D2831" s="185"/>
      <c r="E2831" s="185"/>
      <c r="F2831" s="185"/>
      <c r="G2831" s="185"/>
      <c r="H2831" s="185"/>
      <c r="I2831" s="185"/>
      <c r="J2831" s="185"/>
      <c r="K2831" s="185"/>
      <c r="L2831" s="187"/>
      <c r="M2831" s="188"/>
      <c r="N2831" s="188"/>
      <c r="O2831" s="208"/>
      <c r="P2831" s="208"/>
      <c r="Q2831" s="208"/>
      <c r="R2831" s="208"/>
    </row>
    <row r="2832">
      <c r="A2832" s="185"/>
      <c r="B2832" s="186"/>
      <c r="C2832" s="185"/>
      <c r="D2832" s="185"/>
      <c r="E2832" s="185"/>
      <c r="F2832" s="185"/>
      <c r="G2832" s="185"/>
      <c r="H2832" s="185"/>
      <c r="I2832" s="185"/>
      <c r="J2832" s="185"/>
      <c r="K2832" s="185"/>
      <c r="L2832" s="187"/>
      <c r="M2832" s="188"/>
      <c r="N2832" s="188"/>
      <c r="O2832" s="208"/>
      <c r="P2832" s="208"/>
      <c r="Q2832" s="208"/>
      <c r="R2832" s="208"/>
    </row>
    <row r="2833">
      <c r="A2833" s="185"/>
      <c r="B2833" s="186"/>
      <c r="C2833" s="185"/>
      <c r="D2833" s="185"/>
      <c r="E2833" s="185"/>
      <c r="F2833" s="185"/>
      <c r="G2833" s="185"/>
      <c r="H2833" s="185"/>
      <c r="I2833" s="185"/>
      <c r="J2833" s="185"/>
      <c r="K2833" s="185"/>
      <c r="L2833" s="187"/>
      <c r="M2833" s="188"/>
      <c r="N2833" s="188"/>
      <c r="O2833" s="208"/>
      <c r="P2833" s="208"/>
      <c r="Q2833" s="208"/>
      <c r="R2833" s="208"/>
    </row>
    <row r="2834">
      <c r="A2834" s="185"/>
      <c r="B2834" s="186"/>
      <c r="C2834" s="185"/>
      <c r="D2834" s="185"/>
      <c r="E2834" s="185"/>
      <c r="F2834" s="185"/>
      <c r="G2834" s="185"/>
      <c r="H2834" s="185"/>
      <c r="I2834" s="185"/>
      <c r="J2834" s="185"/>
      <c r="K2834" s="185"/>
      <c r="L2834" s="187"/>
      <c r="M2834" s="188"/>
      <c r="N2834" s="188"/>
      <c r="O2834" s="208"/>
      <c r="P2834" s="208"/>
      <c r="Q2834" s="208"/>
      <c r="R2834" s="208"/>
    </row>
    <row r="2835">
      <c r="A2835" s="185"/>
      <c r="B2835" s="186"/>
      <c r="C2835" s="185"/>
      <c r="D2835" s="185"/>
      <c r="E2835" s="185"/>
      <c r="F2835" s="185"/>
      <c r="G2835" s="185"/>
      <c r="H2835" s="185"/>
      <c r="I2835" s="185"/>
      <c r="J2835" s="185"/>
      <c r="K2835" s="185"/>
      <c r="L2835" s="187"/>
      <c r="M2835" s="188"/>
      <c r="N2835" s="188"/>
      <c r="O2835" s="208"/>
      <c r="P2835" s="208"/>
      <c r="Q2835" s="208"/>
      <c r="R2835" s="208"/>
    </row>
    <row r="2836">
      <c r="A2836" s="185"/>
      <c r="B2836" s="186"/>
      <c r="C2836" s="185"/>
      <c r="D2836" s="185"/>
      <c r="E2836" s="185"/>
      <c r="F2836" s="185"/>
      <c r="G2836" s="185"/>
      <c r="H2836" s="185"/>
      <c r="I2836" s="185"/>
      <c r="J2836" s="185"/>
      <c r="K2836" s="185"/>
      <c r="L2836" s="187"/>
      <c r="M2836" s="188"/>
      <c r="N2836" s="188"/>
      <c r="O2836" s="208"/>
      <c r="P2836" s="208"/>
      <c r="Q2836" s="208"/>
      <c r="R2836" s="208"/>
    </row>
    <row r="2837">
      <c r="A2837" s="185"/>
      <c r="B2837" s="186"/>
      <c r="C2837" s="185"/>
      <c r="D2837" s="185"/>
      <c r="E2837" s="185"/>
      <c r="F2837" s="185"/>
      <c r="G2837" s="185"/>
      <c r="H2837" s="185"/>
      <c r="I2837" s="185"/>
      <c r="J2837" s="185"/>
      <c r="K2837" s="185"/>
      <c r="L2837" s="187"/>
      <c r="M2837" s="188"/>
      <c r="N2837" s="188"/>
      <c r="O2837" s="208"/>
      <c r="P2837" s="208"/>
      <c r="Q2837" s="208"/>
      <c r="R2837" s="208"/>
    </row>
    <row r="2838">
      <c r="A2838" s="185"/>
      <c r="B2838" s="186"/>
      <c r="C2838" s="185"/>
      <c r="D2838" s="185"/>
      <c r="E2838" s="185"/>
      <c r="F2838" s="185"/>
      <c r="G2838" s="185"/>
      <c r="H2838" s="185"/>
      <c r="I2838" s="185"/>
      <c r="J2838" s="185"/>
      <c r="K2838" s="185"/>
      <c r="L2838" s="187"/>
      <c r="M2838" s="188"/>
      <c r="N2838" s="188"/>
      <c r="O2838" s="208"/>
      <c r="P2838" s="208"/>
      <c r="Q2838" s="208"/>
      <c r="R2838" s="208"/>
    </row>
    <row r="2839">
      <c r="A2839" s="185"/>
      <c r="B2839" s="186"/>
      <c r="C2839" s="185"/>
      <c r="D2839" s="185"/>
      <c r="E2839" s="185"/>
      <c r="F2839" s="185"/>
      <c r="G2839" s="185"/>
      <c r="H2839" s="185"/>
      <c r="I2839" s="185"/>
      <c r="J2839" s="185"/>
      <c r="K2839" s="185"/>
      <c r="L2839" s="187"/>
      <c r="M2839" s="188"/>
      <c r="N2839" s="188"/>
      <c r="O2839" s="208"/>
      <c r="P2839" s="208"/>
      <c r="Q2839" s="208"/>
      <c r="R2839" s="208"/>
    </row>
    <row r="2840">
      <c r="A2840" s="185"/>
      <c r="B2840" s="186"/>
      <c r="C2840" s="185"/>
      <c r="D2840" s="185"/>
      <c r="E2840" s="185"/>
      <c r="F2840" s="185"/>
      <c r="G2840" s="185"/>
      <c r="H2840" s="185"/>
      <c r="I2840" s="185"/>
      <c r="J2840" s="185"/>
      <c r="K2840" s="185"/>
      <c r="L2840" s="187"/>
      <c r="M2840" s="188"/>
      <c r="N2840" s="188"/>
      <c r="O2840" s="208"/>
      <c r="P2840" s="208"/>
      <c r="Q2840" s="208"/>
      <c r="R2840" s="208"/>
    </row>
    <row r="2841">
      <c r="A2841" s="185"/>
      <c r="B2841" s="186"/>
      <c r="C2841" s="185"/>
      <c r="D2841" s="185"/>
      <c r="E2841" s="185"/>
      <c r="F2841" s="185"/>
      <c r="G2841" s="185"/>
      <c r="H2841" s="185"/>
      <c r="I2841" s="185"/>
      <c r="J2841" s="185"/>
      <c r="K2841" s="185"/>
      <c r="L2841" s="187"/>
      <c r="M2841" s="188"/>
      <c r="N2841" s="188"/>
      <c r="O2841" s="208"/>
      <c r="P2841" s="208"/>
      <c r="Q2841" s="208"/>
      <c r="R2841" s="208"/>
    </row>
    <row r="2842">
      <c r="A2842" s="185"/>
      <c r="B2842" s="186"/>
      <c r="C2842" s="185"/>
      <c r="D2842" s="185"/>
      <c r="E2842" s="185"/>
      <c r="F2842" s="185"/>
      <c r="G2842" s="185"/>
      <c r="H2842" s="185"/>
      <c r="I2842" s="185"/>
      <c r="J2842" s="185"/>
      <c r="K2842" s="185"/>
      <c r="L2842" s="187"/>
      <c r="M2842" s="188"/>
      <c r="N2842" s="188"/>
      <c r="O2842" s="208"/>
      <c r="P2842" s="208"/>
      <c r="Q2842" s="208"/>
      <c r="R2842" s="208"/>
    </row>
    <row r="2843">
      <c r="A2843" s="185"/>
      <c r="B2843" s="186"/>
      <c r="C2843" s="185"/>
      <c r="D2843" s="185"/>
      <c r="E2843" s="185"/>
      <c r="F2843" s="185"/>
      <c r="G2843" s="185"/>
      <c r="H2843" s="185"/>
      <c r="I2843" s="185"/>
      <c r="J2843" s="185"/>
      <c r="K2843" s="185"/>
      <c r="L2843" s="187"/>
      <c r="M2843" s="188"/>
      <c r="N2843" s="188"/>
      <c r="O2843" s="208"/>
      <c r="P2843" s="208"/>
      <c r="Q2843" s="208"/>
      <c r="R2843" s="208"/>
    </row>
    <row r="2844">
      <c r="A2844" s="185"/>
      <c r="B2844" s="186"/>
      <c r="C2844" s="185"/>
      <c r="D2844" s="185"/>
      <c r="E2844" s="185"/>
      <c r="F2844" s="185"/>
      <c r="G2844" s="185"/>
      <c r="H2844" s="185"/>
      <c r="I2844" s="185"/>
      <c r="J2844" s="185"/>
      <c r="K2844" s="185"/>
      <c r="L2844" s="187"/>
      <c r="M2844" s="188"/>
      <c r="N2844" s="188"/>
      <c r="O2844" s="208"/>
      <c r="P2844" s="208"/>
      <c r="Q2844" s="208"/>
      <c r="R2844" s="208"/>
    </row>
    <row r="2845">
      <c r="A2845" s="185"/>
      <c r="B2845" s="186"/>
      <c r="C2845" s="185"/>
      <c r="D2845" s="185"/>
      <c r="E2845" s="185"/>
      <c r="F2845" s="185"/>
      <c r="G2845" s="185"/>
      <c r="H2845" s="185"/>
      <c r="I2845" s="185"/>
      <c r="J2845" s="185"/>
      <c r="K2845" s="185"/>
      <c r="L2845" s="187"/>
      <c r="M2845" s="188"/>
      <c r="N2845" s="188"/>
      <c r="O2845" s="208"/>
      <c r="P2845" s="208"/>
      <c r="Q2845" s="208"/>
      <c r="R2845" s="208"/>
    </row>
    <row r="2846">
      <c r="A2846" s="185"/>
      <c r="B2846" s="186"/>
      <c r="C2846" s="185"/>
      <c r="D2846" s="185"/>
      <c r="E2846" s="185"/>
      <c r="F2846" s="185"/>
      <c r="G2846" s="185"/>
      <c r="H2846" s="185"/>
      <c r="I2846" s="185"/>
      <c r="J2846" s="185"/>
      <c r="K2846" s="185"/>
      <c r="L2846" s="187"/>
      <c r="M2846" s="188"/>
      <c r="N2846" s="188"/>
      <c r="O2846" s="208"/>
      <c r="P2846" s="208"/>
      <c r="Q2846" s="208"/>
      <c r="R2846" s="208"/>
    </row>
    <row r="2847">
      <c r="A2847" s="185"/>
      <c r="B2847" s="186"/>
      <c r="C2847" s="185"/>
      <c r="D2847" s="185"/>
      <c r="E2847" s="185"/>
      <c r="F2847" s="185"/>
      <c r="G2847" s="185"/>
      <c r="H2847" s="185"/>
      <c r="I2847" s="185"/>
      <c r="J2847" s="185"/>
      <c r="K2847" s="185"/>
      <c r="L2847" s="187"/>
      <c r="M2847" s="188"/>
      <c r="N2847" s="188"/>
      <c r="O2847" s="208"/>
      <c r="P2847" s="208"/>
      <c r="Q2847" s="208"/>
      <c r="R2847" s="208"/>
    </row>
    <row r="2848">
      <c r="A2848" s="185"/>
      <c r="B2848" s="186"/>
      <c r="C2848" s="185"/>
      <c r="D2848" s="185"/>
      <c r="E2848" s="185"/>
      <c r="F2848" s="185"/>
      <c r="G2848" s="185"/>
      <c r="H2848" s="185"/>
      <c r="I2848" s="185"/>
      <c r="J2848" s="185"/>
      <c r="K2848" s="185"/>
      <c r="L2848" s="187"/>
      <c r="M2848" s="188"/>
      <c r="N2848" s="188"/>
      <c r="O2848" s="208"/>
      <c r="P2848" s="208"/>
      <c r="Q2848" s="208"/>
      <c r="R2848" s="208"/>
    </row>
    <row r="2849">
      <c r="A2849" s="185"/>
      <c r="B2849" s="186"/>
      <c r="C2849" s="185"/>
      <c r="D2849" s="185"/>
      <c r="E2849" s="185"/>
      <c r="F2849" s="185"/>
      <c r="G2849" s="185"/>
      <c r="H2849" s="185"/>
      <c r="I2849" s="185"/>
      <c r="J2849" s="185"/>
      <c r="K2849" s="185"/>
      <c r="L2849" s="187"/>
      <c r="M2849" s="188"/>
      <c r="N2849" s="188"/>
      <c r="O2849" s="208"/>
      <c r="P2849" s="208"/>
      <c r="Q2849" s="208"/>
      <c r="R2849" s="208"/>
    </row>
    <row r="2850">
      <c r="A2850" s="185"/>
      <c r="B2850" s="186"/>
      <c r="C2850" s="185"/>
      <c r="D2850" s="185"/>
      <c r="E2850" s="185"/>
      <c r="F2850" s="185"/>
      <c r="G2850" s="185"/>
      <c r="H2850" s="185"/>
      <c r="I2850" s="185"/>
      <c r="J2850" s="185"/>
      <c r="K2850" s="185"/>
      <c r="L2850" s="187"/>
      <c r="M2850" s="188"/>
      <c r="N2850" s="188"/>
      <c r="O2850" s="208"/>
      <c r="P2850" s="208"/>
      <c r="Q2850" s="208"/>
      <c r="R2850" s="208"/>
    </row>
    <row r="2851">
      <c r="A2851" s="185"/>
      <c r="B2851" s="186"/>
      <c r="C2851" s="185"/>
      <c r="D2851" s="185"/>
      <c r="E2851" s="185"/>
      <c r="F2851" s="185"/>
      <c r="G2851" s="185"/>
      <c r="H2851" s="185"/>
      <c r="I2851" s="185"/>
      <c r="J2851" s="185"/>
      <c r="K2851" s="185"/>
      <c r="L2851" s="187"/>
      <c r="M2851" s="188"/>
      <c r="N2851" s="188"/>
      <c r="O2851" s="208"/>
      <c r="P2851" s="208"/>
      <c r="Q2851" s="208"/>
      <c r="R2851" s="208"/>
    </row>
    <row r="2852">
      <c r="A2852" s="185"/>
      <c r="B2852" s="186"/>
      <c r="C2852" s="185"/>
      <c r="D2852" s="185"/>
      <c r="E2852" s="185"/>
      <c r="F2852" s="185"/>
      <c r="G2852" s="185"/>
      <c r="H2852" s="185"/>
      <c r="I2852" s="185"/>
      <c r="J2852" s="185"/>
      <c r="K2852" s="185"/>
      <c r="L2852" s="187"/>
      <c r="M2852" s="188"/>
      <c r="N2852" s="188"/>
      <c r="O2852" s="208"/>
      <c r="P2852" s="208"/>
      <c r="Q2852" s="208"/>
      <c r="R2852" s="208"/>
    </row>
    <row r="2853">
      <c r="A2853" s="185"/>
      <c r="B2853" s="186"/>
      <c r="C2853" s="185"/>
      <c r="D2853" s="185"/>
      <c r="E2853" s="185"/>
      <c r="F2853" s="185"/>
      <c r="G2853" s="185"/>
      <c r="H2853" s="185"/>
      <c r="I2853" s="185"/>
      <c r="J2853" s="185"/>
      <c r="K2853" s="185"/>
      <c r="L2853" s="187"/>
      <c r="M2853" s="188"/>
      <c r="N2853" s="188"/>
      <c r="O2853" s="208"/>
      <c r="P2853" s="208"/>
      <c r="Q2853" s="208"/>
      <c r="R2853" s="208"/>
    </row>
    <row r="2854">
      <c r="A2854" s="185"/>
      <c r="B2854" s="186"/>
      <c r="C2854" s="185"/>
      <c r="D2854" s="185"/>
      <c r="E2854" s="185"/>
      <c r="F2854" s="185"/>
      <c r="G2854" s="185"/>
      <c r="H2854" s="185"/>
      <c r="I2854" s="185"/>
      <c r="J2854" s="185"/>
      <c r="K2854" s="185"/>
      <c r="L2854" s="187"/>
      <c r="M2854" s="188"/>
      <c r="N2854" s="188"/>
      <c r="O2854" s="208"/>
      <c r="P2854" s="208"/>
      <c r="Q2854" s="208"/>
      <c r="R2854" s="208"/>
    </row>
    <row r="2855">
      <c r="A2855" s="185"/>
      <c r="B2855" s="186"/>
      <c r="C2855" s="185"/>
      <c r="D2855" s="185"/>
      <c r="E2855" s="185"/>
      <c r="F2855" s="185"/>
      <c r="G2855" s="185"/>
      <c r="H2855" s="185"/>
      <c r="I2855" s="185"/>
      <c r="J2855" s="185"/>
      <c r="K2855" s="185"/>
      <c r="L2855" s="187"/>
      <c r="M2855" s="188"/>
      <c r="N2855" s="188"/>
      <c r="O2855" s="208"/>
      <c r="P2855" s="208"/>
      <c r="Q2855" s="208"/>
      <c r="R2855" s="208"/>
    </row>
    <row r="2856">
      <c r="A2856" s="185"/>
      <c r="B2856" s="186"/>
      <c r="C2856" s="185"/>
      <c r="D2856" s="185"/>
      <c r="E2856" s="185"/>
      <c r="F2856" s="185"/>
      <c r="G2856" s="185"/>
      <c r="H2856" s="185"/>
      <c r="I2856" s="185"/>
      <c r="J2856" s="185"/>
      <c r="K2856" s="185"/>
      <c r="L2856" s="187"/>
      <c r="M2856" s="188"/>
      <c r="N2856" s="188"/>
      <c r="O2856" s="208"/>
      <c r="P2856" s="208"/>
      <c r="Q2856" s="208"/>
      <c r="R2856" s="208"/>
    </row>
    <row r="2857">
      <c r="A2857" s="185"/>
      <c r="B2857" s="186"/>
      <c r="C2857" s="185"/>
      <c r="D2857" s="185"/>
      <c r="E2857" s="185"/>
      <c r="F2857" s="185"/>
      <c r="G2857" s="185"/>
      <c r="H2857" s="185"/>
      <c r="I2857" s="185"/>
      <c r="J2857" s="185"/>
      <c r="K2857" s="185"/>
      <c r="L2857" s="187"/>
      <c r="M2857" s="188"/>
      <c r="N2857" s="188"/>
      <c r="O2857" s="208"/>
      <c r="P2857" s="208"/>
      <c r="Q2857" s="208"/>
      <c r="R2857" s="208"/>
    </row>
    <row r="2858">
      <c r="A2858" s="185"/>
      <c r="B2858" s="186"/>
      <c r="C2858" s="185"/>
      <c r="D2858" s="185"/>
      <c r="E2858" s="185"/>
      <c r="F2858" s="185"/>
      <c r="G2858" s="185"/>
      <c r="H2858" s="185"/>
      <c r="I2858" s="185"/>
      <c r="J2858" s="185"/>
      <c r="K2858" s="185"/>
      <c r="L2858" s="187"/>
      <c r="M2858" s="188"/>
      <c r="N2858" s="188"/>
      <c r="O2858" s="208"/>
      <c r="P2858" s="208"/>
      <c r="Q2858" s="208"/>
      <c r="R2858" s="208"/>
    </row>
    <row r="2859">
      <c r="A2859" s="185"/>
      <c r="B2859" s="186"/>
      <c r="C2859" s="185"/>
      <c r="D2859" s="185"/>
      <c r="E2859" s="185"/>
      <c r="F2859" s="185"/>
      <c r="G2859" s="185"/>
      <c r="H2859" s="185"/>
      <c r="I2859" s="185"/>
      <c r="J2859" s="185"/>
      <c r="K2859" s="185"/>
      <c r="L2859" s="187"/>
      <c r="M2859" s="188"/>
      <c r="N2859" s="188"/>
      <c r="O2859" s="208"/>
      <c r="P2859" s="208"/>
      <c r="Q2859" s="208"/>
      <c r="R2859" s="208"/>
    </row>
    <row r="2860">
      <c r="A2860" s="185"/>
      <c r="B2860" s="186"/>
      <c r="C2860" s="185"/>
      <c r="D2860" s="185"/>
      <c r="E2860" s="185"/>
      <c r="F2860" s="185"/>
      <c r="G2860" s="185"/>
      <c r="H2860" s="185"/>
      <c r="I2860" s="185"/>
      <c r="J2860" s="185"/>
      <c r="K2860" s="185"/>
      <c r="L2860" s="187"/>
      <c r="M2860" s="188"/>
      <c r="N2860" s="188"/>
      <c r="O2860" s="208"/>
      <c r="P2860" s="208"/>
      <c r="Q2860" s="208"/>
      <c r="R2860" s="208"/>
    </row>
    <row r="2861">
      <c r="A2861" s="185"/>
      <c r="B2861" s="186"/>
      <c r="C2861" s="185"/>
      <c r="D2861" s="185"/>
      <c r="E2861" s="185"/>
      <c r="F2861" s="185"/>
      <c r="G2861" s="185"/>
      <c r="H2861" s="185"/>
      <c r="I2861" s="185"/>
      <c r="J2861" s="185"/>
      <c r="K2861" s="185"/>
      <c r="L2861" s="187"/>
      <c r="M2861" s="188"/>
      <c r="N2861" s="188"/>
      <c r="O2861" s="208"/>
      <c r="P2861" s="208"/>
      <c r="Q2861" s="208"/>
      <c r="R2861" s="208"/>
    </row>
    <row r="2862">
      <c r="A2862" s="185"/>
      <c r="B2862" s="186"/>
      <c r="C2862" s="185"/>
      <c r="D2862" s="185"/>
      <c r="E2862" s="185"/>
      <c r="F2862" s="185"/>
      <c r="G2862" s="185"/>
      <c r="H2862" s="185"/>
      <c r="I2862" s="185"/>
      <c r="J2862" s="185"/>
      <c r="K2862" s="185"/>
      <c r="L2862" s="187"/>
      <c r="M2862" s="188"/>
      <c r="N2862" s="188"/>
      <c r="O2862" s="208"/>
      <c r="P2862" s="208"/>
      <c r="Q2862" s="208"/>
      <c r="R2862" s="208"/>
    </row>
    <row r="2863">
      <c r="A2863" s="185"/>
      <c r="B2863" s="186"/>
      <c r="C2863" s="185"/>
      <c r="D2863" s="185"/>
      <c r="E2863" s="185"/>
      <c r="F2863" s="185"/>
      <c r="G2863" s="185"/>
      <c r="H2863" s="185"/>
      <c r="I2863" s="185"/>
      <c r="J2863" s="185"/>
      <c r="K2863" s="185"/>
      <c r="L2863" s="187"/>
      <c r="M2863" s="188"/>
      <c r="N2863" s="188"/>
      <c r="O2863" s="208"/>
      <c r="P2863" s="208"/>
      <c r="Q2863" s="208"/>
      <c r="R2863" s="208"/>
    </row>
    <row r="2864">
      <c r="A2864" s="185"/>
      <c r="B2864" s="186"/>
      <c r="C2864" s="185"/>
      <c r="D2864" s="185"/>
      <c r="E2864" s="185"/>
      <c r="F2864" s="185"/>
      <c r="G2864" s="185"/>
      <c r="H2864" s="185"/>
      <c r="I2864" s="185"/>
      <c r="J2864" s="185"/>
      <c r="K2864" s="185"/>
      <c r="L2864" s="187"/>
      <c r="M2864" s="188"/>
      <c r="N2864" s="188"/>
      <c r="O2864" s="208"/>
      <c r="P2864" s="208"/>
      <c r="Q2864" s="208"/>
      <c r="R2864" s="208"/>
    </row>
    <row r="2865">
      <c r="A2865" s="185"/>
      <c r="B2865" s="186"/>
      <c r="C2865" s="185"/>
      <c r="D2865" s="185"/>
      <c r="E2865" s="185"/>
      <c r="F2865" s="185"/>
      <c r="G2865" s="185"/>
      <c r="H2865" s="185"/>
      <c r="I2865" s="185"/>
      <c r="J2865" s="185"/>
      <c r="K2865" s="185"/>
      <c r="L2865" s="187"/>
      <c r="M2865" s="188"/>
      <c r="N2865" s="188"/>
      <c r="O2865" s="208"/>
      <c r="P2865" s="208"/>
      <c r="Q2865" s="208"/>
      <c r="R2865" s="208"/>
    </row>
    <row r="2866">
      <c r="A2866" s="185"/>
      <c r="B2866" s="186"/>
      <c r="C2866" s="185"/>
      <c r="D2866" s="185"/>
      <c r="E2866" s="185"/>
      <c r="F2866" s="185"/>
      <c r="G2866" s="185"/>
      <c r="H2866" s="185"/>
      <c r="I2866" s="185"/>
      <c r="J2866" s="185"/>
      <c r="K2866" s="185"/>
      <c r="L2866" s="187"/>
      <c r="M2866" s="188"/>
      <c r="N2866" s="188"/>
      <c r="O2866" s="208"/>
      <c r="P2866" s="208"/>
      <c r="Q2866" s="208"/>
      <c r="R2866" s="208"/>
    </row>
    <row r="2867">
      <c r="A2867" s="185"/>
      <c r="B2867" s="186"/>
      <c r="C2867" s="185"/>
      <c r="D2867" s="185"/>
      <c r="E2867" s="185"/>
      <c r="F2867" s="185"/>
      <c r="G2867" s="185"/>
      <c r="H2867" s="185"/>
      <c r="I2867" s="185"/>
      <c r="J2867" s="185"/>
      <c r="K2867" s="185"/>
      <c r="L2867" s="187"/>
      <c r="M2867" s="188"/>
      <c r="N2867" s="188"/>
      <c r="O2867" s="208"/>
      <c r="P2867" s="208"/>
      <c r="Q2867" s="208"/>
      <c r="R2867" s="208"/>
    </row>
    <row r="2868">
      <c r="A2868" s="185"/>
      <c r="B2868" s="186"/>
      <c r="C2868" s="185"/>
      <c r="D2868" s="185"/>
      <c r="E2868" s="185"/>
      <c r="F2868" s="185"/>
      <c r="G2868" s="185"/>
      <c r="H2868" s="185"/>
      <c r="I2868" s="185"/>
      <c r="J2868" s="185"/>
      <c r="K2868" s="185"/>
      <c r="L2868" s="187"/>
      <c r="M2868" s="188"/>
      <c r="N2868" s="188"/>
      <c r="O2868" s="208"/>
      <c r="P2868" s="208"/>
      <c r="Q2868" s="208"/>
      <c r="R2868" s="208"/>
    </row>
    <row r="2869">
      <c r="A2869" s="185"/>
      <c r="B2869" s="186"/>
      <c r="C2869" s="185"/>
      <c r="D2869" s="185"/>
      <c r="E2869" s="185"/>
      <c r="F2869" s="185"/>
      <c r="G2869" s="185"/>
      <c r="H2869" s="185"/>
      <c r="I2869" s="185"/>
      <c r="J2869" s="185"/>
      <c r="K2869" s="185"/>
      <c r="L2869" s="187"/>
      <c r="M2869" s="188"/>
      <c r="N2869" s="188"/>
      <c r="O2869" s="208"/>
      <c r="P2869" s="208"/>
      <c r="Q2869" s="208"/>
      <c r="R2869" s="208"/>
    </row>
    <row r="2870">
      <c r="A2870" s="185"/>
      <c r="B2870" s="186"/>
      <c r="C2870" s="185"/>
      <c r="D2870" s="185"/>
      <c r="E2870" s="185"/>
      <c r="F2870" s="185"/>
      <c r="G2870" s="185"/>
      <c r="H2870" s="185"/>
      <c r="I2870" s="185"/>
      <c r="J2870" s="185"/>
      <c r="K2870" s="185"/>
      <c r="L2870" s="187"/>
      <c r="M2870" s="188"/>
      <c r="N2870" s="188"/>
      <c r="O2870" s="208"/>
      <c r="P2870" s="208"/>
      <c r="Q2870" s="208"/>
      <c r="R2870" s="208"/>
    </row>
    <row r="2871">
      <c r="A2871" s="185"/>
      <c r="B2871" s="186"/>
      <c r="C2871" s="185"/>
      <c r="D2871" s="185"/>
      <c r="E2871" s="185"/>
      <c r="F2871" s="185"/>
      <c r="G2871" s="185"/>
      <c r="H2871" s="185"/>
      <c r="I2871" s="185"/>
      <c r="J2871" s="185"/>
      <c r="K2871" s="185"/>
      <c r="L2871" s="187"/>
      <c r="M2871" s="188"/>
      <c r="N2871" s="188"/>
      <c r="O2871" s="208"/>
      <c r="P2871" s="208"/>
      <c r="Q2871" s="208"/>
      <c r="R2871" s="208"/>
    </row>
    <row r="2872">
      <c r="A2872" s="185"/>
      <c r="B2872" s="186"/>
      <c r="C2872" s="185"/>
      <c r="D2872" s="185"/>
      <c r="E2872" s="185"/>
      <c r="F2872" s="185"/>
      <c r="G2872" s="185"/>
      <c r="H2872" s="185"/>
      <c r="I2872" s="185"/>
      <c r="J2872" s="185"/>
      <c r="K2872" s="185"/>
      <c r="L2872" s="187"/>
      <c r="M2872" s="188"/>
      <c r="N2872" s="188"/>
      <c r="O2872" s="208"/>
      <c r="P2872" s="208"/>
      <c r="Q2872" s="208"/>
      <c r="R2872" s="208"/>
    </row>
    <row r="2873">
      <c r="A2873" s="185"/>
      <c r="B2873" s="186"/>
      <c r="C2873" s="185"/>
      <c r="D2873" s="185"/>
      <c r="E2873" s="185"/>
      <c r="F2873" s="185"/>
      <c r="G2873" s="185"/>
      <c r="H2873" s="185"/>
      <c r="I2873" s="185"/>
      <c r="J2873" s="185"/>
      <c r="K2873" s="185"/>
      <c r="L2873" s="187"/>
      <c r="M2873" s="188"/>
      <c r="N2873" s="188"/>
      <c r="O2873" s="208"/>
      <c r="P2873" s="208"/>
      <c r="Q2873" s="208"/>
      <c r="R2873" s="208"/>
    </row>
    <row r="2874">
      <c r="A2874" s="185"/>
      <c r="B2874" s="186"/>
      <c r="C2874" s="185"/>
      <c r="D2874" s="185"/>
      <c r="E2874" s="185"/>
      <c r="F2874" s="185"/>
      <c r="G2874" s="185"/>
      <c r="H2874" s="185"/>
      <c r="I2874" s="185"/>
      <c r="J2874" s="185"/>
      <c r="K2874" s="185"/>
      <c r="L2874" s="187"/>
      <c r="M2874" s="188"/>
      <c r="N2874" s="188"/>
      <c r="O2874" s="208"/>
      <c r="P2874" s="208"/>
      <c r="Q2874" s="208"/>
      <c r="R2874" s="208"/>
    </row>
    <row r="2875">
      <c r="A2875" s="185"/>
      <c r="B2875" s="186"/>
      <c r="C2875" s="185"/>
      <c r="D2875" s="185"/>
      <c r="E2875" s="185"/>
      <c r="F2875" s="185"/>
      <c r="G2875" s="185"/>
      <c r="H2875" s="185"/>
      <c r="I2875" s="185"/>
      <c r="J2875" s="185"/>
      <c r="K2875" s="185"/>
      <c r="L2875" s="187"/>
      <c r="M2875" s="188"/>
      <c r="N2875" s="188"/>
      <c r="O2875" s="208"/>
      <c r="P2875" s="208"/>
      <c r="Q2875" s="208"/>
      <c r="R2875" s="208"/>
    </row>
    <row r="2876">
      <c r="A2876" s="185"/>
      <c r="B2876" s="186"/>
      <c r="C2876" s="185"/>
      <c r="D2876" s="185"/>
      <c r="E2876" s="185"/>
      <c r="F2876" s="185"/>
      <c r="G2876" s="185"/>
      <c r="H2876" s="185"/>
      <c r="I2876" s="185"/>
      <c r="J2876" s="185"/>
      <c r="K2876" s="185"/>
      <c r="L2876" s="187"/>
      <c r="M2876" s="188"/>
      <c r="N2876" s="188"/>
      <c r="O2876" s="208"/>
      <c r="P2876" s="208"/>
      <c r="Q2876" s="208"/>
      <c r="R2876" s="208"/>
    </row>
    <row r="2877">
      <c r="A2877" s="185"/>
      <c r="B2877" s="186"/>
      <c r="C2877" s="185"/>
      <c r="D2877" s="185"/>
      <c r="E2877" s="185"/>
      <c r="F2877" s="185"/>
      <c r="G2877" s="185"/>
      <c r="H2877" s="185"/>
      <c r="I2877" s="185"/>
      <c r="J2877" s="185"/>
      <c r="K2877" s="185"/>
      <c r="L2877" s="187"/>
      <c r="M2877" s="188"/>
      <c r="N2877" s="188"/>
      <c r="O2877" s="208"/>
      <c r="P2877" s="208"/>
      <c r="Q2877" s="208"/>
      <c r="R2877" s="208"/>
    </row>
    <row r="2878">
      <c r="A2878" s="185"/>
      <c r="B2878" s="186"/>
      <c r="C2878" s="185"/>
      <c r="D2878" s="185"/>
      <c r="E2878" s="185"/>
      <c r="F2878" s="185"/>
      <c r="G2878" s="185"/>
      <c r="H2878" s="185"/>
      <c r="I2878" s="185"/>
      <c r="J2878" s="185"/>
      <c r="K2878" s="185"/>
      <c r="L2878" s="187"/>
      <c r="M2878" s="188"/>
      <c r="N2878" s="188"/>
      <c r="O2878" s="208"/>
      <c r="P2878" s="208"/>
      <c r="Q2878" s="208"/>
      <c r="R2878" s="208"/>
    </row>
    <row r="2879">
      <c r="A2879" s="185"/>
      <c r="B2879" s="186"/>
      <c r="C2879" s="185"/>
      <c r="D2879" s="185"/>
      <c r="E2879" s="185"/>
      <c r="F2879" s="185"/>
      <c r="G2879" s="185"/>
      <c r="H2879" s="185"/>
      <c r="I2879" s="185"/>
      <c r="J2879" s="185"/>
      <c r="K2879" s="185"/>
      <c r="L2879" s="187"/>
      <c r="M2879" s="188"/>
      <c r="N2879" s="188"/>
      <c r="O2879" s="208"/>
      <c r="P2879" s="208"/>
      <c r="Q2879" s="208"/>
      <c r="R2879" s="208"/>
    </row>
    <row r="2880">
      <c r="A2880" s="185"/>
      <c r="B2880" s="186"/>
      <c r="C2880" s="185"/>
      <c r="D2880" s="185"/>
      <c r="E2880" s="185"/>
      <c r="F2880" s="185"/>
      <c r="G2880" s="185"/>
      <c r="H2880" s="185"/>
      <c r="I2880" s="185"/>
      <c r="J2880" s="185"/>
      <c r="K2880" s="185"/>
      <c r="L2880" s="187"/>
      <c r="M2880" s="188"/>
      <c r="N2880" s="188"/>
      <c r="O2880" s="208"/>
      <c r="P2880" s="208"/>
      <c r="Q2880" s="208"/>
      <c r="R2880" s="208"/>
    </row>
    <row r="2881">
      <c r="A2881" s="185"/>
      <c r="B2881" s="186"/>
      <c r="C2881" s="185"/>
      <c r="D2881" s="185"/>
      <c r="E2881" s="185"/>
      <c r="F2881" s="185"/>
      <c r="G2881" s="185"/>
      <c r="H2881" s="185"/>
      <c r="I2881" s="185"/>
      <c r="J2881" s="185"/>
      <c r="K2881" s="185"/>
      <c r="L2881" s="187"/>
      <c r="M2881" s="188"/>
      <c r="N2881" s="188"/>
      <c r="O2881" s="208"/>
      <c r="P2881" s="208"/>
      <c r="Q2881" s="208"/>
      <c r="R2881" s="208"/>
    </row>
    <row r="2882">
      <c r="A2882" s="185"/>
      <c r="B2882" s="186"/>
      <c r="C2882" s="185"/>
      <c r="D2882" s="185"/>
      <c r="E2882" s="185"/>
      <c r="F2882" s="185"/>
      <c r="G2882" s="185"/>
      <c r="H2882" s="185"/>
      <c r="I2882" s="185"/>
      <c r="J2882" s="185"/>
      <c r="K2882" s="185"/>
      <c r="L2882" s="187"/>
      <c r="M2882" s="188"/>
      <c r="N2882" s="188"/>
      <c r="O2882" s="208"/>
      <c r="P2882" s="208"/>
      <c r="Q2882" s="208"/>
      <c r="R2882" s="208"/>
    </row>
    <row r="2883">
      <c r="A2883" s="185"/>
      <c r="B2883" s="186"/>
      <c r="C2883" s="185"/>
      <c r="D2883" s="185"/>
      <c r="E2883" s="185"/>
      <c r="F2883" s="185"/>
      <c r="G2883" s="185"/>
      <c r="H2883" s="185"/>
      <c r="I2883" s="185"/>
      <c r="J2883" s="185"/>
      <c r="K2883" s="185"/>
      <c r="L2883" s="187"/>
      <c r="M2883" s="188"/>
      <c r="N2883" s="188"/>
      <c r="O2883" s="208"/>
      <c r="P2883" s="208"/>
      <c r="Q2883" s="208"/>
      <c r="R2883" s="208"/>
    </row>
    <row r="2884">
      <c r="A2884" s="185"/>
      <c r="B2884" s="186"/>
      <c r="C2884" s="185"/>
      <c r="D2884" s="185"/>
      <c r="E2884" s="185"/>
      <c r="F2884" s="185"/>
      <c r="G2884" s="185"/>
      <c r="H2884" s="185"/>
      <c r="I2884" s="185"/>
      <c r="J2884" s="185"/>
      <c r="K2884" s="185"/>
      <c r="L2884" s="187"/>
      <c r="M2884" s="188"/>
      <c r="N2884" s="188"/>
      <c r="O2884" s="208"/>
      <c r="P2884" s="208"/>
      <c r="Q2884" s="208"/>
      <c r="R2884" s="208"/>
    </row>
    <row r="2885">
      <c r="A2885" s="185"/>
      <c r="B2885" s="186"/>
      <c r="C2885" s="185"/>
      <c r="D2885" s="185"/>
      <c r="E2885" s="185"/>
      <c r="F2885" s="185"/>
      <c r="G2885" s="185"/>
      <c r="H2885" s="185"/>
      <c r="I2885" s="185"/>
      <c r="J2885" s="185"/>
      <c r="K2885" s="185"/>
      <c r="L2885" s="187"/>
      <c r="M2885" s="188"/>
      <c r="N2885" s="188"/>
      <c r="O2885" s="208"/>
      <c r="P2885" s="208"/>
      <c r="Q2885" s="208"/>
      <c r="R2885" s="208"/>
    </row>
    <row r="2886">
      <c r="A2886" s="185"/>
      <c r="B2886" s="186"/>
      <c r="C2886" s="185"/>
      <c r="D2886" s="185"/>
      <c r="E2886" s="185"/>
      <c r="F2886" s="185"/>
      <c r="G2886" s="185"/>
      <c r="H2886" s="185"/>
      <c r="I2886" s="185"/>
      <c r="J2886" s="185"/>
      <c r="K2886" s="185"/>
      <c r="L2886" s="187"/>
      <c r="M2886" s="188"/>
      <c r="N2886" s="188"/>
      <c r="O2886" s="208"/>
      <c r="P2886" s="208"/>
      <c r="Q2886" s="208"/>
      <c r="R2886" s="208"/>
    </row>
    <row r="2887">
      <c r="A2887" s="185"/>
      <c r="B2887" s="186"/>
      <c r="C2887" s="185"/>
      <c r="D2887" s="185"/>
      <c r="E2887" s="185"/>
      <c r="F2887" s="185"/>
      <c r="G2887" s="185"/>
      <c r="H2887" s="185"/>
      <c r="I2887" s="185"/>
      <c r="J2887" s="185"/>
      <c r="K2887" s="185"/>
      <c r="L2887" s="187"/>
      <c r="M2887" s="188"/>
      <c r="N2887" s="188"/>
      <c r="O2887" s="208"/>
      <c r="P2887" s="208"/>
      <c r="Q2887" s="208"/>
      <c r="R2887" s="208"/>
    </row>
    <row r="2888">
      <c r="A2888" s="185"/>
      <c r="B2888" s="186"/>
      <c r="C2888" s="185"/>
      <c r="D2888" s="185"/>
      <c r="E2888" s="185"/>
      <c r="F2888" s="185"/>
      <c r="G2888" s="185"/>
      <c r="H2888" s="185"/>
      <c r="I2888" s="185"/>
      <c r="J2888" s="185"/>
      <c r="K2888" s="185"/>
      <c r="L2888" s="187"/>
      <c r="M2888" s="188"/>
      <c r="N2888" s="188"/>
      <c r="O2888" s="208"/>
      <c r="P2888" s="208"/>
      <c r="Q2888" s="208"/>
      <c r="R2888" s="208"/>
    </row>
    <row r="2889">
      <c r="A2889" s="185"/>
      <c r="B2889" s="186"/>
      <c r="C2889" s="185"/>
      <c r="D2889" s="185"/>
      <c r="E2889" s="185"/>
      <c r="F2889" s="185"/>
      <c r="G2889" s="185"/>
      <c r="H2889" s="185"/>
      <c r="I2889" s="185"/>
      <c r="J2889" s="185"/>
      <c r="K2889" s="185"/>
      <c r="L2889" s="187"/>
      <c r="M2889" s="188"/>
      <c r="N2889" s="188"/>
      <c r="O2889" s="208"/>
      <c r="P2889" s="208"/>
      <c r="Q2889" s="208"/>
      <c r="R2889" s="208"/>
    </row>
    <row r="2890">
      <c r="A2890" s="185"/>
      <c r="B2890" s="186"/>
      <c r="C2890" s="185"/>
      <c r="D2890" s="185"/>
      <c r="E2890" s="185"/>
      <c r="F2890" s="185"/>
      <c r="G2890" s="185"/>
      <c r="H2890" s="185"/>
      <c r="I2890" s="185"/>
      <c r="J2890" s="185"/>
      <c r="K2890" s="185"/>
      <c r="L2890" s="187"/>
      <c r="M2890" s="188"/>
      <c r="N2890" s="188"/>
      <c r="O2890" s="208"/>
      <c r="P2890" s="208"/>
      <c r="Q2890" s="208"/>
      <c r="R2890" s="208"/>
    </row>
    <row r="2891">
      <c r="A2891" s="185"/>
      <c r="B2891" s="186"/>
      <c r="C2891" s="185"/>
      <c r="D2891" s="185"/>
      <c r="E2891" s="185"/>
      <c r="F2891" s="185"/>
      <c r="G2891" s="185"/>
      <c r="H2891" s="185"/>
      <c r="I2891" s="185"/>
      <c r="J2891" s="185"/>
      <c r="K2891" s="185"/>
      <c r="L2891" s="187"/>
      <c r="M2891" s="188"/>
      <c r="N2891" s="188"/>
      <c r="O2891" s="208"/>
      <c r="P2891" s="208"/>
      <c r="Q2891" s="208"/>
      <c r="R2891" s="208"/>
    </row>
    <row r="2892">
      <c r="A2892" s="185"/>
      <c r="B2892" s="186"/>
      <c r="C2892" s="185"/>
      <c r="D2892" s="185"/>
      <c r="E2892" s="185"/>
      <c r="F2892" s="185"/>
      <c r="G2892" s="185"/>
      <c r="H2892" s="185"/>
      <c r="I2892" s="185"/>
      <c r="J2892" s="185"/>
      <c r="K2892" s="185"/>
      <c r="L2892" s="187"/>
      <c r="M2892" s="188"/>
      <c r="N2892" s="188"/>
      <c r="O2892" s="208"/>
      <c r="P2892" s="208"/>
      <c r="Q2892" s="208"/>
      <c r="R2892" s="208"/>
    </row>
    <row r="2893">
      <c r="A2893" s="185"/>
      <c r="B2893" s="186"/>
      <c r="C2893" s="185"/>
      <c r="D2893" s="185"/>
      <c r="E2893" s="185"/>
      <c r="F2893" s="185"/>
      <c r="G2893" s="185"/>
      <c r="H2893" s="185"/>
      <c r="I2893" s="185"/>
      <c r="J2893" s="185"/>
      <c r="K2893" s="185"/>
      <c r="L2893" s="187"/>
      <c r="M2893" s="188"/>
      <c r="N2893" s="188"/>
      <c r="O2893" s="208"/>
      <c r="P2893" s="208"/>
      <c r="Q2893" s="208"/>
      <c r="R2893" s="208"/>
    </row>
    <row r="2894">
      <c r="A2894" s="185"/>
      <c r="B2894" s="186"/>
      <c r="C2894" s="185"/>
      <c r="D2894" s="185"/>
      <c r="E2894" s="185"/>
      <c r="F2894" s="185"/>
      <c r="G2894" s="185"/>
      <c r="H2894" s="185"/>
      <c r="I2894" s="185"/>
      <c r="J2894" s="185"/>
      <c r="K2894" s="185"/>
      <c r="L2894" s="187"/>
      <c r="M2894" s="188"/>
      <c r="N2894" s="188"/>
      <c r="O2894" s="208"/>
      <c r="P2894" s="208"/>
      <c r="Q2894" s="208"/>
      <c r="R2894" s="208"/>
    </row>
    <row r="2895">
      <c r="A2895" s="185"/>
      <c r="B2895" s="186"/>
      <c r="C2895" s="185"/>
      <c r="D2895" s="185"/>
      <c r="E2895" s="185"/>
      <c r="F2895" s="185"/>
      <c r="G2895" s="185"/>
      <c r="H2895" s="185"/>
      <c r="I2895" s="185"/>
      <c r="J2895" s="185"/>
      <c r="K2895" s="185"/>
      <c r="L2895" s="187"/>
      <c r="M2895" s="188"/>
      <c r="N2895" s="188"/>
      <c r="O2895" s="208"/>
      <c r="P2895" s="208"/>
      <c r="Q2895" s="208"/>
      <c r="R2895" s="208"/>
    </row>
    <row r="2896">
      <c r="A2896" s="185"/>
      <c r="B2896" s="186"/>
      <c r="C2896" s="185"/>
      <c r="D2896" s="185"/>
      <c r="E2896" s="185"/>
      <c r="F2896" s="185"/>
      <c r="G2896" s="185"/>
      <c r="H2896" s="185"/>
      <c r="I2896" s="185"/>
      <c r="J2896" s="185"/>
      <c r="K2896" s="185"/>
      <c r="L2896" s="187"/>
      <c r="M2896" s="188"/>
      <c r="N2896" s="188"/>
      <c r="O2896" s="208"/>
      <c r="P2896" s="208"/>
      <c r="Q2896" s="208"/>
      <c r="R2896" s="208"/>
    </row>
    <row r="2897">
      <c r="A2897" s="185"/>
      <c r="B2897" s="186"/>
      <c r="C2897" s="185"/>
      <c r="D2897" s="185"/>
      <c r="E2897" s="185"/>
      <c r="F2897" s="185"/>
      <c r="G2897" s="185"/>
      <c r="H2897" s="185"/>
      <c r="I2897" s="185"/>
      <c r="J2897" s="185"/>
      <c r="K2897" s="185"/>
      <c r="L2897" s="187"/>
      <c r="M2897" s="188"/>
      <c r="N2897" s="188"/>
      <c r="O2897" s="208"/>
      <c r="P2897" s="208"/>
      <c r="Q2897" s="208"/>
      <c r="R2897" s="208"/>
    </row>
    <row r="2898">
      <c r="A2898" s="185"/>
      <c r="B2898" s="186"/>
      <c r="C2898" s="185"/>
      <c r="D2898" s="185"/>
      <c r="E2898" s="185"/>
      <c r="F2898" s="185"/>
      <c r="G2898" s="185"/>
      <c r="H2898" s="185"/>
      <c r="I2898" s="185"/>
      <c r="J2898" s="185"/>
      <c r="K2898" s="185"/>
      <c r="L2898" s="187"/>
      <c r="M2898" s="188"/>
      <c r="N2898" s="188"/>
      <c r="O2898" s="208"/>
      <c r="P2898" s="208"/>
      <c r="Q2898" s="208"/>
      <c r="R2898" s="208"/>
    </row>
    <row r="2899">
      <c r="A2899" s="185"/>
      <c r="B2899" s="186"/>
      <c r="C2899" s="185"/>
      <c r="D2899" s="185"/>
      <c r="E2899" s="185"/>
      <c r="F2899" s="185"/>
      <c r="G2899" s="185"/>
      <c r="H2899" s="185"/>
      <c r="I2899" s="185"/>
      <c r="J2899" s="185"/>
      <c r="K2899" s="185"/>
      <c r="L2899" s="187"/>
      <c r="M2899" s="188"/>
      <c r="N2899" s="188"/>
      <c r="O2899" s="208"/>
      <c r="P2899" s="208"/>
      <c r="Q2899" s="208"/>
      <c r="R2899" s="208"/>
    </row>
    <row r="2900">
      <c r="A2900" s="185"/>
      <c r="B2900" s="186"/>
      <c r="C2900" s="185"/>
      <c r="D2900" s="185"/>
      <c r="E2900" s="185"/>
      <c r="F2900" s="185"/>
      <c r="G2900" s="185"/>
      <c r="H2900" s="185"/>
      <c r="I2900" s="185"/>
      <c r="J2900" s="185"/>
      <c r="K2900" s="185"/>
      <c r="L2900" s="187"/>
      <c r="M2900" s="188"/>
      <c r="N2900" s="188"/>
      <c r="O2900" s="208"/>
      <c r="P2900" s="208"/>
      <c r="Q2900" s="208"/>
      <c r="R2900" s="208"/>
    </row>
    <row r="2901">
      <c r="A2901" s="185"/>
      <c r="B2901" s="186"/>
      <c r="C2901" s="185"/>
      <c r="D2901" s="185"/>
      <c r="E2901" s="185"/>
      <c r="F2901" s="185"/>
      <c r="G2901" s="185"/>
      <c r="H2901" s="185"/>
      <c r="I2901" s="185"/>
      <c r="J2901" s="185"/>
      <c r="K2901" s="185"/>
      <c r="L2901" s="187"/>
      <c r="M2901" s="188"/>
      <c r="N2901" s="188"/>
      <c r="O2901" s="208"/>
      <c r="P2901" s="208"/>
      <c r="Q2901" s="208"/>
      <c r="R2901" s="208"/>
    </row>
    <row r="2902">
      <c r="A2902" s="185"/>
      <c r="B2902" s="186"/>
      <c r="C2902" s="185"/>
      <c r="D2902" s="185"/>
      <c r="E2902" s="185"/>
      <c r="F2902" s="185"/>
      <c r="G2902" s="185"/>
      <c r="H2902" s="185"/>
      <c r="I2902" s="185"/>
      <c r="J2902" s="185"/>
      <c r="K2902" s="185"/>
      <c r="L2902" s="187"/>
      <c r="M2902" s="188"/>
      <c r="N2902" s="188"/>
      <c r="O2902" s="208"/>
      <c r="P2902" s="208"/>
      <c r="Q2902" s="208"/>
      <c r="R2902" s="208"/>
    </row>
    <row r="2903">
      <c r="A2903" s="185"/>
      <c r="B2903" s="186"/>
      <c r="C2903" s="185"/>
      <c r="D2903" s="185"/>
      <c r="E2903" s="185"/>
      <c r="F2903" s="185"/>
      <c r="G2903" s="185"/>
      <c r="H2903" s="185"/>
      <c r="I2903" s="185"/>
      <c r="J2903" s="185"/>
      <c r="K2903" s="185"/>
      <c r="L2903" s="187"/>
      <c r="M2903" s="188"/>
      <c r="N2903" s="188"/>
      <c r="O2903" s="208"/>
      <c r="P2903" s="208"/>
      <c r="Q2903" s="208"/>
      <c r="R2903" s="208"/>
    </row>
    <row r="2904">
      <c r="A2904" s="185"/>
      <c r="B2904" s="186"/>
      <c r="C2904" s="185"/>
      <c r="D2904" s="185"/>
      <c r="E2904" s="185"/>
      <c r="F2904" s="185"/>
      <c r="G2904" s="185"/>
      <c r="H2904" s="185"/>
      <c r="I2904" s="185"/>
      <c r="J2904" s="185"/>
      <c r="K2904" s="185"/>
      <c r="L2904" s="187"/>
      <c r="M2904" s="188"/>
      <c r="N2904" s="188"/>
      <c r="O2904" s="208"/>
      <c r="P2904" s="208"/>
      <c r="Q2904" s="208"/>
      <c r="R2904" s="208"/>
    </row>
    <row r="2905">
      <c r="A2905" s="185"/>
      <c r="B2905" s="186"/>
      <c r="C2905" s="185"/>
      <c r="D2905" s="185"/>
      <c r="E2905" s="185"/>
      <c r="F2905" s="185"/>
      <c r="G2905" s="185"/>
      <c r="H2905" s="185"/>
      <c r="I2905" s="185"/>
      <c r="J2905" s="185"/>
      <c r="K2905" s="185"/>
      <c r="L2905" s="187"/>
      <c r="M2905" s="188"/>
      <c r="N2905" s="188"/>
      <c r="O2905" s="208"/>
      <c r="P2905" s="208"/>
      <c r="Q2905" s="208"/>
      <c r="R2905" s="208"/>
    </row>
    <row r="2906">
      <c r="A2906" s="185"/>
      <c r="B2906" s="186"/>
      <c r="C2906" s="185"/>
      <c r="D2906" s="185"/>
      <c r="E2906" s="185"/>
      <c r="F2906" s="185"/>
      <c r="G2906" s="185"/>
      <c r="H2906" s="185"/>
      <c r="I2906" s="185"/>
      <c r="J2906" s="185"/>
      <c r="K2906" s="185"/>
      <c r="L2906" s="187"/>
      <c r="M2906" s="188"/>
      <c r="N2906" s="188"/>
      <c r="O2906" s="208"/>
      <c r="P2906" s="208"/>
      <c r="Q2906" s="208"/>
      <c r="R2906" s="208"/>
    </row>
    <row r="2907">
      <c r="A2907" s="185"/>
      <c r="B2907" s="186"/>
      <c r="C2907" s="185"/>
      <c r="D2907" s="185"/>
      <c r="E2907" s="185"/>
      <c r="F2907" s="185"/>
      <c r="G2907" s="185"/>
      <c r="H2907" s="185"/>
      <c r="I2907" s="185"/>
      <c r="J2907" s="185"/>
      <c r="K2907" s="185"/>
      <c r="L2907" s="187"/>
      <c r="M2907" s="188"/>
      <c r="N2907" s="188"/>
      <c r="O2907" s="208"/>
      <c r="P2907" s="208"/>
      <c r="Q2907" s="208"/>
      <c r="R2907" s="208"/>
    </row>
    <row r="2908">
      <c r="A2908" s="185"/>
      <c r="B2908" s="186"/>
      <c r="C2908" s="185"/>
      <c r="D2908" s="185"/>
      <c r="E2908" s="185"/>
      <c r="F2908" s="185"/>
      <c r="G2908" s="185"/>
      <c r="H2908" s="185"/>
      <c r="I2908" s="185"/>
      <c r="J2908" s="185"/>
      <c r="K2908" s="185"/>
      <c r="L2908" s="187"/>
      <c r="M2908" s="188"/>
      <c r="N2908" s="188"/>
      <c r="O2908" s="208"/>
      <c r="P2908" s="208"/>
      <c r="Q2908" s="208"/>
      <c r="R2908" s="208"/>
    </row>
    <row r="2909">
      <c r="A2909" s="185"/>
      <c r="B2909" s="186"/>
      <c r="C2909" s="185"/>
      <c r="D2909" s="185"/>
      <c r="E2909" s="185"/>
      <c r="F2909" s="185"/>
      <c r="G2909" s="185"/>
      <c r="H2909" s="185"/>
      <c r="I2909" s="185"/>
      <c r="J2909" s="185"/>
      <c r="K2909" s="185"/>
      <c r="L2909" s="187"/>
      <c r="M2909" s="188"/>
      <c r="N2909" s="188"/>
      <c r="O2909" s="208"/>
      <c r="P2909" s="208"/>
      <c r="Q2909" s="208"/>
      <c r="R2909" s="208"/>
    </row>
    <row r="2910">
      <c r="A2910" s="185"/>
      <c r="B2910" s="186"/>
      <c r="C2910" s="185"/>
      <c r="D2910" s="185"/>
      <c r="E2910" s="185"/>
      <c r="F2910" s="185"/>
      <c r="G2910" s="185"/>
      <c r="H2910" s="185"/>
      <c r="I2910" s="185"/>
      <c r="J2910" s="185"/>
      <c r="K2910" s="185"/>
      <c r="L2910" s="187"/>
      <c r="M2910" s="188"/>
      <c r="N2910" s="188"/>
      <c r="O2910" s="208"/>
      <c r="P2910" s="208"/>
      <c r="Q2910" s="208"/>
      <c r="R2910" s="208"/>
    </row>
    <row r="2911">
      <c r="A2911" s="185"/>
      <c r="B2911" s="186"/>
      <c r="C2911" s="185"/>
      <c r="D2911" s="185"/>
      <c r="E2911" s="185"/>
      <c r="F2911" s="185"/>
      <c r="G2911" s="185"/>
      <c r="H2911" s="185"/>
      <c r="I2911" s="185"/>
      <c r="J2911" s="185"/>
      <c r="K2911" s="185"/>
      <c r="L2911" s="187"/>
      <c r="M2911" s="188"/>
      <c r="N2911" s="188"/>
      <c r="O2911" s="208"/>
      <c r="P2911" s="208"/>
      <c r="Q2911" s="208"/>
      <c r="R2911" s="208"/>
    </row>
    <row r="2912">
      <c r="A2912" s="185"/>
      <c r="B2912" s="186"/>
      <c r="C2912" s="185"/>
      <c r="D2912" s="185"/>
      <c r="E2912" s="185"/>
      <c r="F2912" s="185"/>
      <c r="G2912" s="185"/>
      <c r="H2912" s="185"/>
      <c r="I2912" s="185"/>
      <c r="J2912" s="185"/>
      <c r="K2912" s="185"/>
      <c r="L2912" s="187"/>
      <c r="M2912" s="188"/>
      <c r="N2912" s="188"/>
      <c r="O2912" s="208"/>
      <c r="P2912" s="208"/>
      <c r="Q2912" s="208"/>
      <c r="R2912" s="208"/>
    </row>
    <row r="2913">
      <c r="A2913" s="185"/>
      <c r="B2913" s="186"/>
      <c r="C2913" s="185"/>
      <c r="D2913" s="185"/>
      <c r="E2913" s="185"/>
      <c r="F2913" s="185"/>
      <c r="G2913" s="185"/>
      <c r="H2913" s="185"/>
      <c r="I2913" s="185"/>
      <c r="J2913" s="185"/>
      <c r="K2913" s="185"/>
      <c r="L2913" s="187"/>
      <c r="M2913" s="188"/>
      <c r="N2913" s="188"/>
      <c r="O2913" s="208"/>
      <c r="P2913" s="208"/>
      <c r="Q2913" s="208"/>
      <c r="R2913" s="208"/>
    </row>
    <row r="2914">
      <c r="A2914" s="185"/>
      <c r="B2914" s="186"/>
      <c r="C2914" s="185"/>
      <c r="D2914" s="185"/>
      <c r="E2914" s="185"/>
      <c r="F2914" s="185"/>
      <c r="G2914" s="185"/>
      <c r="H2914" s="185"/>
      <c r="I2914" s="185"/>
      <c r="J2914" s="185"/>
      <c r="K2914" s="185"/>
      <c r="L2914" s="187"/>
      <c r="M2914" s="188"/>
      <c r="N2914" s="188"/>
      <c r="O2914" s="208"/>
      <c r="P2914" s="208"/>
      <c r="Q2914" s="208"/>
      <c r="R2914" s="208"/>
    </row>
    <row r="2915">
      <c r="A2915" s="185"/>
      <c r="B2915" s="186"/>
      <c r="C2915" s="185"/>
      <c r="D2915" s="185"/>
      <c r="E2915" s="185"/>
      <c r="F2915" s="185"/>
      <c r="G2915" s="185"/>
      <c r="H2915" s="185"/>
      <c r="I2915" s="185"/>
      <c r="J2915" s="185"/>
      <c r="K2915" s="185"/>
      <c r="L2915" s="187"/>
      <c r="M2915" s="188"/>
      <c r="N2915" s="188"/>
      <c r="O2915" s="208"/>
      <c r="P2915" s="208"/>
      <c r="Q2915" s="208"/>
      <c r="R2915" s="208"/>
    </row>
    <row r="2916">
      <c r="A2916" s="185"/>
      <c r="B2916" s="186"/>
      <c r="C2916" s="185"/>
      <c r="D2916" s="185"/>
      <c r="E2916" s="185"/>
      <c r="F2916" s="185"/>
      <c r="G2916" s="185"/>
      <c r="H2916" s="185"/>
      <c r="I2916" s="185"/>
      <c r="J2916" s="185"/>
      <c r="K2916" s="185"/>
      <c r="L2916" s="187"/>
      <c r="M2916" s="188"/>
      <c r="N2916" s="188"/>
      <c r="O2916" s="208"/>
      <c r="P2916" s="208"/>
      <c r="Q2916" s="208"/>
      <c r="R2916" s="208"/>
    </row>
    <row r="2917">
      <c r="A2917" s="185"/>
      <c r="B2917" s="186"/>
      <c r="C2917" s="185"/>
      <c r="D2917" s="185"/>
      <c r="E2917" s="185"/>
      <c r="F2917" s="185"/>
      <c r="G2917" s="185"/>
      <c r="H2917" s="185"/>
      <c r="I2917" s="185"/>
      <c r="J2917" s="185"/>
      <c r="K2917" s="185"/>
      <c r="L2917" s="187"/>
      <c r="M2917" s="188"/>
      <c r="N2917" s="188"/>
      <c r="O2917" s="208"/>
      <c r="P2917" s="208"/>
      <c r="Q2917" s="208"/>
      <c r="R2917" s="208"/>
    </row>
    <row r="2918">
      <c r="A2918" s="185"/>
      <c r="B2918" s="186"/>
      <c r="C2918" s="185"/>
      <c r="D2918" s="185"/>
      <c r="E2918" s="185"/>
      <c r="F2918" s="185"/>
      <c r="G2918" s="185"/>
      <c r="H2918" s="185"/>
      <c r="I2918" s="185"/>
      <c r="J2918" s="185"/>
      <c r="K2918" s="185"/>
      <c r="L2918" s="187"/>
      <c r="M2918" s="188"/>
      <c r="N2918" s="188"/>
      <c r="O2918" s="208"/>
      <c r="P2918" s="208"/>
      <c r="Q2918" s="208"/>
      <c r="R2918" s="208"/>
    </row>
    <row r="2919">
      <c r="A2919" s="185"/>
      <c r="B2919" s="186"/>
      <c r="C2919" s="185"/>
      <c r="D2919" s="185"/>
      <c r="E2919" s="185"/>
      <c r="F2919" s="185"/>
      <c r="G2919" s="185"/>
      <c r="H2919" s="185"/>
      <c r="I2919" s="185"/>
      <c r="J2919" s="185"/>
      <c r="K2919" s="185"/>
      <c r="L2919" s="187"/>
      <c r="M2919" s="188"/>
      <c r="N2919" s="188"/>
      <c r="O2919" s="208"/>
      <c r="P2919" s="208"/>
      <c r="Q2919" s="208"/>
      <c r="R2919" s="208"/>
    </row>
    <row r="2920">
      <c r="A2920" s="185"/>
      <c r="B2920" s="186"/>
      <c r="C2920" s="185"/>
      <c r="D2920" s="185"/>
      <c r="E2920" s="185"/>
      <c r="F2920" s="185"/>
      <c r="G2920" s="185"/>
      <c r="H2920" s="185"/>
      <c r="I2920" s="185"/>
      <c r="J2920" s="185"/>
      <c r="K2920" s="185"/>
      <c r="L2920" s="187"/>
      <c r="M2920" s="188"/>
      <c r="N2920" s="188"/>
      <c r="O2920" s="208"/>
      <c r="P2920" s="208"/>
      <c r="Q2920" s="208"/>
      <c r="R2920" s="208"/>
    </row>
    <row r="2921">
      <c r="A2921" s="185"/>
      <c r="B2921" s="186"/>
      <c r="C2921" s="185"/>
      <c r="D2921" s="185"/>
      <c r="E2921" s="185"/>
      <c r="F2921" s="185"/>
      <c r="G2921" s="185"/>
      <c r="H2921" s="185"/>
      <c r="I2921" s="185"/>
      <c r="J2921" s="185"/>
      <c r="K2921" s="185"/>
      <c r="L2921" s="187"/>
      <c r="M2921" s="188"/>
      <c r="N2921" s="188"/>
      <c r="O2921" s="208"/>
      <c r="P2921" s="208"/>
      <c r="Q2921" s="208"/>
      <c r="R2921" s="208"/>
    </row>
    <row r="2922">
      <c r="A2922" s="185"/>
      <c r="B2922" s="186"/>
      <c r="C2922" s="185"/>
      <c r="D2922" s="185"/>
      <c r="E2922" s="185"/>
      <c r="F2922" s="185"/>
      <c r="G2922" s="185"/>
      <c r="H2922" s="185"/>
      <c r="I2922" s="185"/>
      <c r="J2922" s="185"/>
      <c r="K2922" s="185"/>
      <c r="L2922" s="187"/>
      <c r="M2922" s="188"/>
      <c r="N2922" s="188"/>
      <c r="O2922" s="208"/>
      <c r="P2922" s="208"/>
      <c r="Q2922" s="208"/>
      <c r="R2922" s="208"/>
    </row>
    <row r="2923">
      <c r="A2923" s="185"/>
      <c r="B2923" s="186"/>
      <c r="C2923" s="185"/>
      <c r="D2923" s="185"/>
      <c r="E2923" s="185"/>
      <c r="F2923" s="185"/>
      <c r="G2923" s="185"/>
      <c r="H2923" s="185"/>
      <c r="I2923" s="185"/>
      <c r="J2923" s="185"/>
      <c r="K2923" s="185"/>
      <c r="L2923" s="187"/>
      <c r="M2923" s="188"/>
      <c r="N2923" s="188"/>
      <c r="O2923" s="208"/>
      <c r="P2923" s="208"/>
      <c r="Q2923" s="208"/>
      <c r="R2923" s="208"/>
    </row>
    <row r="2924">
      <c r="A2924" s="185"/>
      <c r="B2924" s="186"/>
      <c r="C2924" s="185"/>
      <c r="D2924" s="185"/>
      <c r="E2924" s="185"/>
      <c r="F2924" s="185"/>
      <c r="G2924" s="185"/>
      <c r="H2924" s="185"/>
      <c r="I2924" s="185"/>
      <c r="J2924" s="185"/>
      <c r="K2924" s="185"/>
      <c r="L2924" s="187"/>
      <c r="M2924" s="188"/>
      <c r="N2924" s="188"/>
      <c r="O2924" s="208"/>
      <c r="P2924" s="208"/>
      <c r="Q2924" s="208"/>
      <c r="R2924" s="208"/>
    </row>
    <row r="2925">
      <c r="A2925" s="185"/>
      <c r="B2925" s="186"/>
      <c r="C2925" s="185"/>
      <c r="D2925" s="185"/>
      <c r="E2925" s="185"/>
      <c r="F2925" s="185"/>
      <c r="G2925" s="185"/>
      <c r="H2925" s="185"/>
      <c r="I2925" s="185"/>
      <c r="J2925" s="185"/>
      <c r="K2925" s="185"/>
      <c r="L2925" s="187"/>
      <c r="M2925" s="188"/>
      <c r="N2925" s="188"/>
      <c r="O2925" s="208"/>
      <c r="P2925" s="208"/>
      <c r="Q2925" s="208"/>
      <c r="R2925" s="208"/>
    </row>
    <row r="2926">
      <c r="A2926" s="185"/>
      <c r="B2926" s="186"/>
      <c r="C2926" s="185"/>
      <c r="D2926" s="185"/>
      <c r="E2926" s="185"/>
      <c r="F2926" s="185"/>
      <c r="G2926" s="185"/>
      <c r="H2926" s="185"/>
      <c r="I2926" s="185"/>
      <c r="J2926" s="185"/>
      <c r="K2926" s="185"/>
      <c r="L2926" s="187"/>
      <c r="M2926" s="188"/>
      <c r="N2926" s="188"/>
      <c r="O2926" s="208"/>
      <c r="P2926" s="208"/>
      <c r="Q2926" s="208"/>
      <c r="R2926" s="208"/>
    </row>
    <row r="2927">
      <c r="A2927" s="185"/>
      <c r="B2927" s="186"/>
      <c r="C2927" s="185"/>
      <c r="D2927" s="185"/>
      <c r="E2927" s="185"/>
      <c r="F2927" s="185"/>
      <c r="G2927" s="185"/>
      <c r="H2927" s="185"/>
      <c r="I2927" s="185"/>
      <c r="J2927" s="185"/>
      <c r="K2927" s="185"/>
      <c r="L2927" s="187"/>
      <c r="M2927" s="188"/>
      <c r="N2927" s="188"/>
      <c r="O2927" s="208"/>
      <c r="P2927" s="208"/>
      <c r="Q2927" s="208"/>
      <c r="R2927" s="208"/>
    </row>
    <row r="2928">
      <c r="A2928" s="185"/>
      <c r="B2928" s="186"/>
      <c r="C2928" s="185"/>
      <c r="D2928" s="185"/>
      <c r="E2928" s="185"/>
      <c r="F2928" s="185"/>
      <c r="G2928" s="185"/>
      <c r="H2928" s="185"/>
      <c r="I2928" s="185"/>
      <c r="J2928" s="185"/>
      <c r="K2928" s="185"/>
      <c r="L2928" s="187"/>
      <c r="M2928" s="188"/>
      <c r="N2928" s="188"/>
      <c r="O2928" s="208"/>
      <c r="P2928" s="208"/>
      <c r="Q2928" s="208"/>
      <c r="R2928" s="208"/>
    </row>
    <row r="2929">
      <c r="A2929" s="185"/>
      <c r="B2929" s="186"/>
      <c r="C2929" s="185"/>
      <c r="D2929" s="185"/>
      <c r="E2929" s="185"/>
      <c r="F2929" s="185"/>
      <c r="G2929" s="185"/>
      <c r="H2929" s="185"/>
      <c r="I2929" s="185"/>
      <c r="J2929" s="185"/>
      <c r="K2929" s="185"/>
      <c r="L2929" s="187"/>
      <c r="M2929" s="188"/>
      <c r="N2929" s="188"/>
      <c r="O2929" s="208"/>
      <c r="P2929" s="208"/>
      <c r="Q2929" s="208"/>
      <c r="R2929" s="208"/>
    </row>
    <row r="2930">
      <c r="A2930" s="185"/>
      <c r="B2930" s="186"/>
      <c r="C2930" s="185"/>
      <c r="D2930" s="185"/>
      <c r="E2930" s="185"/>
      <c r="F2930" s="185"/>
      <c r="G2930" s="185"/>
      <c r="H2930" s="185"/>
      <c r="I2930" s="185"/>
      <c r="J2930" s="185"/>
      <c r="K2930" s="185"/>
      <c r="L2930" s="187"/>
      <c r="M2930" s="188"/>
      <c r="N2930" s="188"/>
      <c r="O2930" s="208"/>
      <c r="P2930" s="208"/>
      <c r="Q2930" s="208"/>
      <c r="R2930" s="208"/>
    </row>
    <row r="2931">
      <c r="A2931" s="185"/>
      <c r="B2931" s="186"/>
      <c r="C2931" s="185"/>
      <c r="D2931" s="185"/>
      <c r="E2931" s="185"/>
      <c r="F2931" s="185"/>
      <c r="G2931" s="185"/>
      <c r="H2931" s="185"/>
      <c r="I2931" s="185"/>
      <c r="J2931" s="185"/>
      <c r="K2931" s="185"/>
      <c r="L2931" s="187"/>
      <c r="M2931" s="188"/>
      <c r="N2931" s="188"/>
      <c r="O2931" s="208"/>
      <c r="P2931" s="208"/>
      <c r="Q2931" s="208"/>
      <c r="R2931" s="208"/>
    </row>
    <row r="2932">
      <c r="A2932" s="185"/>
      <c r="B2932" s="186"/>
      <c r="C2932" s="185"/>
      <c r="D2932" s="185"/>
      <c r="E2932" s="185"/>
      <c r="F2932" s="185"/>
      <c r="G2932" s="185"/>
      <c r="H2932" s="185"/>
      <c r="I2932" s="185"/>
      <c r="J2932" s="185"/>
      <c r="K2932" s="185"/>
      <c r="L2932" s="187"/>
      <c r="M2932" s="188"/>
      <c r="N2932" s="188"/>
      <c r="O2932" s="208"/>
      <c r="P2932" s="208"/>
      <c r="Q2932" s="208"/>
      <c r="R2932" s="208"/>
    </row>
    <row r="2933">
      <c r="A2933" s="185"/>
      <c r="B2933" s="186"/>
      <c r="C2933" s="185"/>
      <c r="D2933" s="185"/>
      <c r="E2933" s="185"/>
      <c r="F2933" s="185"/>
      <c r="G2933" s="185"/>
      <c r="H2933" s="185"/>
      <c r="I2933" s="185"/>
      <c r="J2933" s="185"/>
      <c r="K2933" s="185"/>
      <c r="L2933" s="187"/>
      <c r="M2933" s="188"/>
      <c r="N2933" s="188"/>
      <c r="O2933" s="208"/>
      <c r="P2933" s="208"/>
      <c r="Q2933" s="208"/>
      <c r="R2933" s="208"/>
    </row>
    <row r="2934">
      <c r="A2934" s="185"/>
      <c r="B2934" s="186"/>
      <c r="C2934" s="185"/>
      <c r="D2934" s="185"/>
      <c r="E2934" s="185"/>
      <c r="F2934" s="185"/>
      <c r="G2934" s="185"/>
      <c r="H2934" s="185"/>
      <c r="I2934" s="185"/>
      <c r="J2934" s="185"/>
      <c r="K2934" s="185"/>
      <c r="L2934" s="187"/>
      <c r="M2934" s="188"/>
      <c r="N2934" s="188"/>
      <c r="O2934" s="208"/>
      <c r="P2934" s="208"/>
      <c r="Q2934" s="208"/>
      <c r="R2934" s="208"/>
    </row>
    <row r="2935">
      <c r="A2935" s="185"/>
      <c r="B2935" s="186"/>
      <c r="C2935" s="185"/>
      <c r="D2935" s="185"/>
      <c r="E2935" s="185"/>
      <c r="F2935" s="185"/>
      <c r="G2935" s="185"/>
      <c r="H2935" s="185"/>
      <c r="I2935" s="185"/>
      <c r="J2935" s="185"/>
      <c r="K2935" s="185"/>
      <c r="L2935" s="187"/>
      <c r="M2935" s="188"/>
      <c r="N2935" s="188"/>
      <c r="O2935" s="208"/>
      <c r="P2935" s="208"/>
      <c r="Q2935" s="208"/>
      <c r="R2935" s="208"/>
    </row>
    <row r="2936">
      <c r="A2936" s="185"/>
      <c r="B2936" s="186"/>
      <c r="C2936" s="185"/>
      <c r="D2936" s="185"/>
      <c r="E2936" s="185"/>
      <c r="F2936" s="185"/>
      <c r="G2936" s="185"/>
      <c r="H2936" s="185"/>
      <c r="I2936" s="185"/>
      <c r="J2936" s="185"/>
      <c r="K2936" s="185"/>
      <c r="L2936" s="187"/>
      <c r="M2936" s="188"/>
      <c r="N2936" s="188"/>
      <c r="O2936" s="208"/>
      <c r="P2936" s="208"/>
      <c r="Q2936" s="208"/>
      <c r="R2936" s="208"/>
    </row>
    <row r="2937">
      <c r="A2937" s="185"/>
      <c r="B2937" s="186"/>
      <c r="C2937" s="185"/>
      <c r="D2937" s="185"/>
      <c r="E2937" s="185"/>
      <c r="F2937" s="185"/>
      <c r="G2937" s="185"/>
      <c r="H2937" s="185"/>
      <c r="I2937" s="185"/>
      <c r="J2937" s="185"/>
      <c r="K2937" s="185"/>
      <c r="L2937" s="187"/>
      <c r="M2937" s="188"/>
      <c r="N2937" s="188"/>
      <c r="O2937" s="208"/>
      <c r="P2937" s="208"/>
      <c r="Q2937" s="208"/>
      <c r="R2937" s="208"/>
    </row>
    <row r="2938">
      <c r="A2938" s="185"/>
      <c r="B2938" s="186"/>
      <c r="C2938" s="185"/>
      <c r="D2938" s="185"/>
      <c r="E2938" s="185"/>
      <c r="F2938" s="185"/>
      <c r="G2938" s="185"/>
      <c r="H2938" s="185"/>
      <c r="I2938" s="185"/>
      <c r="J2938" s="185"/>
      <c r="K2938" s="185"/>
      <c r="L2938" s="187"/>
      <c r="M2938" s="188"/>
      <c r="N2938" s="188"/>
      <c r="O2938" s="208"/>
      <c r="P2938" s="208"/>
      <c r="Q2938" s="208"/>
      <c r="R2938" s="208"/>
    </row>
    <row r="2939">
      <c r="A2939" s="185"/>
      <c r="B2939" s="186"/>
      <c r="C2939" s="185"/>
      <c r="D2939" s="185"/>
      <c r="E2939" s="185"/>
      <c r="F2939" s="185"/>
      <c r="G2939" s="185"/>
      <c r="H2939" s="185"/>
      <c r="I2939" s="185"/>
      <c r="J2939" s="185"/>
      <c r="K2939" s="185"/>
      <c r="L2939" s="187"/>
      <c r="M2939" s="188"/>
      <c r="N2939" s="188"/>
      <c r="O2939" s="208"/>
      <c r="P2939" s="208"/>
      <c r="Q2939" s="208"/>
      <c r="R2939" s="208"/>
    </row>
    <row r="2940">
      <c r="A2940" s="185"/>
      <c r="B2940" s="186"/>
      <c r="C2940" s="185"/>
      <c r="D2940" s="185"/>
      <c r="E2940" s="185"/>
      <c r="F2940" s="185"/>
      <c r="G2940" s="185"/>
      <c r="H2940" s="185"/>
      <c r="I2940" s="185"/>
      <c r="J2940" s="185"/>
      <c r="K2940" s="185"/>
      <c r="L2940" s="187"/>
      <c r="M2940" s="188"/>
      <c r="N2940" s="188"/>
      <c r="O2940" s="208"/>
      <c r="P2940" s="208"/>
      <c r="Q2940" s="208"/>
      <c r="R2940" s="208"/>
    </row>
    <row r="2941">
      <c r="A2941" s="185"/>
      <c r="B2941" s="186"/>
      <c r="C2941" s="185"/>
      <c r="D2941" s="185"/>
      <c r="E2941" s="185"/>
      <c r="F2941" s="185"/>
      <c r="G2941" s="185"/>
      <c r="H2941" s="185"/>
      <c r="I2941" s="185"/>
      <c r="J2941" s="185"/>
      <c r="K2941" s="185"/>
      <c r="L2941" s="187"/>
      <c r="M2941" s="188"/>
      <c r="N2941" s="188"/>
      <c r="O2941" s="208"/>
      <c r="P2941" s="208"/>
      <c r="Q2941" s="208"/>
      <c r="R2941" s="208"/>
    </row>
    <row r="2942">
      <c r="A2942" s="185"/>
      <c r="B2942" s="186"/>
      <c r="C2942" s="185"/>
      <c r="D2942" s="185"/>
      <c r="E2942" s="185"/>
      <c r="F2942" s="185"/>
      <c r="G2942" s="185"/>
      <c r="H2942" s="185"/>
      <c r="I2942" s="185"/>
      <c r="J2942" s="185"/>
      <c r="K2942" s="185"/>
      <c r="L2942" s="187"/>
      <c r="M2942" s="188"/>
      <c r="N2942" s="188"/>
      <c r="O2942" s="208"/>
      <c r="P2942" s="208"/>
      <c r="Q2942" s="208"/>
      <c r="R2942" s="208"/>
    </row>
    <row r="2943">
      <c r="A2943" s="185"/>
      <c r="B2943" s="186"/>
      <c r="C2943" s="185"/>
      <c r="D2943" s="185"/>
      <c r="E2943" s="185"/>
      <c r="F2943" s="185"/>
      <c r="G2943" s="185"/>
      <c r="H2943" s="185"/>
      <c r="I2943" s="185"/>
      <c r="J2943" s="185"/>
      <c r="K2943" s="185"/>
      <c r="L2943" s="187"/>
      <c r="M2943" s="188"/>
      <c r="N2943" s="188"/>
      <c r="O2943" s="208"/>
      <c r="P2943" s="208"/>
      <c r="Q2943" s="208"/>
      <c r="R2943" s="208"/>
    </row>
    <row r="2944">
      <c r="A2944" s="185"/>
      <c r="B2944" s="186"/>
      <c r="C2944" s="185"/>
      <c r="D2944" s="185"/>
      <c r="E2944" s="185"/>
      <c r="F2944" s="185"/>
      <c r="G2944" s="185"/>
      <c r="H2944" s="185"/>
      <c r="I2944" s="185"/>
      <c r="J2944" s="185"/>
      <c r="K2944" s="185"/>
      <c r="L2944" s="187"/>
      <c r="M2944" s="188"/>
      <c r="N2944" s="188"/>
      <c r="O2944" s="208"/>
      <c r="P2944" s="208"/>
      <c r="Q2944" s="208"/>
      <c r="R2944" s="208"/>
    </row>
    <row r="2945">
      <c r="A2945" s="185"/>
      <c r="B2945" s="186"/>
      <c r="C2945" s="185"/>
      <c r="D2945" s="185"/>
      <c r="E2945" s="185"/>
      <c r="F2945" s="185"/>
      <c r="G2945" s="185"/>
      <c r="H2945" s="185"/>
      <c r="I2945" s="185"/>
      <c r="J2945" s="185"/>
      <c r="K2945" s="185"/>
      <c r="L2945" s="187"/>
      <c r="M2945" s="188"/>
      <c r="N2945" s="188"/>
      <c r="O2945" s="208"/>
      <c r="P2945" s="208"/>
      <c r="Q2945" s="208"/>
      <c r="R2945" s="208"/>
    </row>
    <row r="2946">
      <c r="A2946" s="185"/>
      <c r="B2946" s="186"/>
      <c r="C2946" s="185"/>
      <c r="D2946" s="185"/>
      <c r="E2946" s="185"/>
      <c r="F2946" s="185"/>
      <c r="G2946" s="185"/>
      <c r="H2946" s="185"/>
      <c r="I2946" s="185"/>
      <c r="J2946" s="185"/>
      <c r="K2946" s="185"/>
      <c r="L2946" s="187"/>
      <c r="M2946" s="188"/>
      <c r="N2946" s="188"/>
      <c r="O2946" s="208"/>
      <c r="P2946" s="208"/>
      <c r="Q2946" s="208"/>
      <c r="R2946" s="208"/>
    </row>
    <row r="2947">
      <c r="A2947" s="185"/>
      <c r="B2947" s="186"/>
      <c r="C2947" s="185"/>
      <c r="D2947" s="185"/>
      <c r="E2947" s="185"/>
      <c r="F2947" s="185"/>
      <c r="G2947" s="185"/>
      <c r="H2947" s="185"/>
      <c r="I2947" s="185"/>
      <c r="J2947" s="185"/>
      <c r="K2947" s="185"/>
      <c r="L2947" s="187"/>
      <c r="M2947" s="188"/>
      <c r="N2947" s="188"/>
      <c r="O2947" s="208"/>
      <c r="P2947" s="208"/>
      <c r="Q2947" s="208"/>
      <c r="R2947" s="208"/>
    </row>
    <row r="2948">
      <c r="A2948" s="185"/>
      <c r="B2948" s="186"/>
      <c r="C2948" s="185"/>
      <c r="D2948" s="185"/>
      <c r="E2948" s="185"/>
      <c r="F2948" s="185"/>
      <c r="G2948" s="185"/>
      <c r="H2948" s="185"/>
      <c r="I2948" s="185"/>
      <c r="J2948" s="185"/>
      <c r="K2948" s="185"/>
      <c r="L2948" s="187"/>
      <c r="M2948" s="188"/>
      <c r="N2948" s="188"/>
      <c r="O2948" s="208"/>
      <c r="P2948" s="208"/>
      <c r="Q2948" s="208"/>
      <c r="R2948" s="208"/>
    </row>
    <row r="2949">
      <c r="A2949" s="185"/>
      <c r="B2949" s="186"/>
      <c r="C2949" s="185"/>
      <c r="D2949" s="185"/>
      <c r="E2949" s="185"/>
      <c r="F2949" s="185"/>
      <c r="G2949" s="185"/>
      <c r="H2949" s="185"/>
      <c r="I2949" s="185"/>
      <c r="J2949" s="185"/>
      <c r="K2949" s="185"/>
      <c r="L2949" s="187"/>
      <c r="M2949" s="188"/>
      <c r="N2949" s="188"/>
      <c r="O2949" s="208"/>
      <c r="P2949" s="208"/>
      <c r="Q2949" s="208"/>
      <c r="R2949" s="208"/>
    </row>
    <row r="2950">
      <c r="A2950" s="185"/>
      <c r="B2950" s="186"/>
      <c r="C2950" s="185"/>
      <c r="D2950" s="185"/>
      <c r="E2950" s="185"/>
      <c r="F2950" s="185"/>
      <c r="G2950" s="185"/>
      <c r="H2950" s="185"/>
      <c r="I2950" s="185"/>
      <c r="J2950" s="185"/>
      <c r="K2950" s="185"/>
      <c r="L2950" s="187"/>
      <c r="M2950" s="188"/>
      <c r="N2950" s="188"/>
      <c r="O2950" s="208"/>
      <c r="P2950" s="208"/>
      <c r="Q2950" s="208"/>
      <c r="R2950" s="208"/>
    </row>
    <row r="2951">
      <c r="A2951" s="185"/>
      <c r="B2951" s="186"/>
      <c r="C2951" s="185"/>
      <c r="D2951" s="185"/>
      <c r="E2951" s="185"/>
      <c r="F2951" s="185"/>
      <c r="G2951" s="185"/>
      <c r="H2951" s="185"/>
      <c r="I2951" s="185"/>
      <c r="J2951" s="185"/>
      <c r="K2951" s="185"/>
      <c r="L2951" s="187"/>
      <c r="M2951" s="188"/>
      <c r="N2951" s="188"/>
      <c r="O2951" s="208"/>
      <c r="P2951" s="208"/>
      <c r="Q2951" s="208"/>
      <c r="R2951" s="208"/>
    </row>
    <row r="2952">
      <c r="A2952" s="185"/>
      <c r="B2952" s="186"/>
      <c r="C2952" s="185"/>
      <c r="D2952" s="185"/>
      <c r="E2952" s="185"/>
      <c r="F2952" s="185"/>
      <c r="G2952" s="185"/>
      <c r="H2952" s="185"/>
      <c r="I2952" s="185"/>
      <c r="J2952" s="185"/>
      <c r="K2952" s="185"/>
      <c r="L2952" s="187"/>
      <c r="M2952" s="188"/>
      <c r="N2952" s="188"/>
      <c r="O2952" s="208"/>
      <c r="P2952" s="208"/>
      <c r="Q2952" s="208"/>
      <c r="R2952" s="208"/>
    </row>
    <row r="2953">
      <c r="A2953" s="185"/>
      <c r="B2953" s="186"/>
      <c r="C2953" s="185"/>
      <c r="D2953" s="185"/>
      <c r="E2953" s="185"/>
      <c r="F2953" s="185"/>
      <c r="G2953" s="185"/>
      <c r="H2953" s="185"/>
      <c r="I2953" s="185"/>
      <c r="J2953" s="185"/>
      <c r="K2953" s="185"/>
      <c r="L2953" s="187"/>
      <c r="M2953" s="188"/>
      <c r="N2953" s="188"/>
      <c r="O2953" s="208"/>
      <c r="P2953" s="208"/>
      <c r="Q2953" s="208"/>
      <c r="R2953" s="208"/>
    </row>
    <row r="2954">
      <c r="A2954" s="185"/>
      <c r="B2954" s="186"/>
      <c r="C2954" s="185"/>
      <c r="D2954" s="185"/>
      <c r="E2954" s="185"/>
      <c r="F2954" s="185"/>
      <c r="G2954" s="185"/>
      <c r="H2954" s="185"/>
      <c r="I2954" s="185"/>
      <c r="J2954" s="185"/>
      <c r="K2954" s="185"/>
      <c r="L2954" s="187"/>
      <c r="M2954" s="188"/>
      <c r="N2954" s="188"/>
      <c r="O2954" s="208"/>
      <c r="P2954" s="208"/>
      <c r="Q2954" s="208"/>
      <c r="R2954" s="208"/>
    </row>
    <row r="2955">
      <c r="A2955" s="185"/>
      <c r="B2955" s="186"/>
      <c r="C2955" s="185"/>
      <c r="D2955" s="185"/>
      <c r="E2955" s="185"/>
      <c r="F2955" s="185"/>
      <c r="G2955" s="185"/>
      <c r="H2955" s="185"/>
      <c r="I2955" s="185"/>
      <c r="J2955" s="185"/>
      <c r="K2955" s="185"/>
      <c r="L2955" s="187"/>
      <c r="M2955" s="188"/>
      <c r="N2955" s="188"/>
      <c r="O2955" s="208"/>
      <c r="P2955" s="208"/>
      <c r="Q2955" s="208"/>
      <c r="R2955" s="208"/>
    </row>
    <row r="2956">
      <c r="A2956" s="185"/>
      <c r="B2956" s="186"/>
      <c r="C2956" s="185"/>
      <c r="D2956" s="185"/>
      <c r="E2956" s="185"/>
      <c r="F2956" s="185"/>
      <c r="G2956" s="185"/>
      <c r="H2956" s="185"/>
      <c r="I2956" s="185"/>
      <c r="J2956" s="185"/>
      <c r="K2956" s="185"/>
      <c r="L2956" s="187"/>
      <c r="M2956" s="188"/>
      <c r="N2956" s="188"/>
      <c r="O2956" s="208"/>
      <c r="P2956" s="208"/>
      <c r="Q2956" s="208"/>
      <c r="R2956" s="208"/>
    </row>
    <row r="2957">
      <c r="A2957" s="185"/>
      <c r="B2957" s="186"/>
      <c r="C2957" s="185"/>
      <c r="D2957" s="185"/>
      <c r="E2957" s="185"/>
      <c r="F2957" s="185"/>
      <c r="G2957" s="185"/>
      <c r="H2957" s="185"/>
      <c r="I2957" s="185"/>
      <c r="J2957" s="185"/>
      <c r="K2957" s="185"/>
      <c r="L2957" s="187"/>
      <c r="M2957" s="188"/>
      <c r="N2957" s="188"/>
      <c r="O2957" s="208"/>
      <c r="P2957" s="208"/>
      <c r="Q2957" s="208"/>
      <c r="R2957" s="208"/>
    </row>
    <row r="2958">
      <c r="A2958" s="185"/>
      <c r="B2958" s="186"/>
      <c r="C2958" s="185"/>
      <c r="D2958" s="185"/>
      <c r="E2958" s="185"/>
      <c r="F2958" s="185"/>
      <c r="G2958" s="185"/>
      <c r="H2958" s="185"/>
      <c r="I2958" s="185"/>
      <c r="J2958" s="185"/>
      <c r="K2958" s="185"/>
      <c r="L2958" s="187"/>
      <c r="M2958" s="188"/>
      <c r="N2958" s="188"/>
      <c r="O2958" s="208"/>
      <c r="P2958" s="208"/>
      <c r="Q2958" s="208"/>
      <c r="R2958" s="208"/>
    </row>
    <row r="2959">
      <c r="A2959" s="185"/>
      <c r="B2959" s="186"/>
      <c r="C2959" s="185"/>
      <c r="D2959" s="185"/>
      <c r="E2959" s="185"/>
      <c r="F2959" s="185"/>
      <c r="G2959" s="185"/>
      <c r="H2959" s="185"/>
      <c r="I2959" s="185"/>
      <c r="J2959" s="185"/>
      <c r="K2959" s="185"/>
      <c r="L2959" s="187"/>
      <c r="M2959" s="188"/>
      <c r="N2959" s="188"/>
      <c r="O2959" s="208"/>
      <c r="P2959" s="208"/>
      <c r="Q2959" s="208"/>
      <c r="R2959" s="208"/>
    </row>
    <row r="2960">
      <c r="A2960" s="185"/>
      <c r="B2960" s="186"/>
      <c r="C2960" s="185"/>
      <c r="D2960" s="185"/>
      <c r="E2960" s="185"/>
      <c r="F2960" s="185"/>
      <c r="G2960" s="185"/>
      <c r="H2960" s="185"/>
      <c r="I2960" s="185"/>
      <c r="J2960" s="185"/>
      <c r="K2960" s="185"/>
      <c r="L2960" s="187"/>
      <c r="M2960" s="188"/>
      <c r="N2960" s="188"/>
      <c r="O2960" s="208"/>
      <c r="P2960" s="208"/>
      <c r="Q2960" s="208"/>
      <c r="R2960" s="208"/>
    </row>
    <row r="2961">
      <c r="A2961" s="185"/>
      <c r="B2961" s="186"/>
      <c r="C2961" s="185"/>
      <c r="D2961" s="185"/>
      <c r="E2961" s="185"/>
      <c r="F2961" s="185"/>
      <c r="G2961" s="185"/>
      <c r="H2961" s="185"/>
      <c r="I2961" s="185"/>
      <c r="J2961" s="185"/>
      <c r="K2961" s="185"/>
      <c r="L2961" s="187"/>
      <c r="M2961" s="188"/>
      <c r="N2961" s="188"/>
      <c r="O2961" s="208"/>
      <c r="P2961" s="208"/>
      <c r="Q2961" s="208"/>
      <c r="R2961" s="208"/>
    </row>
    <row r="2962">
      <c r="A2962" s="185"/>
      <c r="B2962" s="186"/>
      <c r="C2962" s="185"/>
      <c r="D2962" s="185"/>
      <c r="E2962" s="185"/>
      <c r="F2962" s="185"/>
      <c r="G2962" s="185"/>
      <c r="H2962" s="185"/>
      <c r="I2962" s="185"/>
      <c r="J2962" s="185"/>
      <c r="K2962" s="185"/>
      <c r="L2962" s="187"/>
      <c r="M2962" s="188"/>
      <c r="N2962" s="188"/>
      <c r="O2962" s="208"/>
      <c r="P2962" s="208"/>
      <c r="Q2962" s="208"/>
      <c r="R2962" s="208"/>
    </row>
    <row r="2963">
      <c r="A2963" s="185"/>
      <c r="B2963" s="186"/>
      <c r="C2963" s="185"/>
      <c r="D2963" s="185"/>
      <c r="E2963" s="185"/>
      <c r="F2963" s="185"/>
      <c r="G2963" s="185"/>
      <c r="H2963" s="185"/>
      <c r="I2963" s="185"/>
      <c r="J2963" s="185"/>
      <c r="K2963" s="185"/>
      <c r="L2963" s="187"/>
      <c r="M2963" s="188"/>
      <c r="N2963" s="188"/>
      <c r="O2963" s="208"/>
      <c r="P2963" s="208"/>
      <c r="Q2963" s="208"/>
      <c r="R2963" s="208"/>
    </row>
    <row r="2964">
      <c r="A2964" s="185"/>
      <c r="B2964" s="186"/>
      <c r="C2964" s="185"/>
      <c r="D2964" s="185"/>
      <c r="E2964" s="185"/>
      <c r="F2964" s="185"/>
      <c r="G2964" s="185"/>
      <c r="H2964" s="185"/>
      <c r="I2964" s="185"/>
      <c r="J2964" s="185"/>
      <c r="K2964" s="185"/>
      <c r="L2964" s="187"/>
      <c r="M2964" s="188"/>
      <c r="N2964" s="188"/>
      <c r="O2964" s="208"/>
      <c r="P2964" s="208"/>
      <c r="Q2964" s="208"/>
      <c r="R2964" s="208"/>
    </row>
    <row r="2965">
      <c r="A2965" s="185"/>
      <c r="B2965" s="186"/>
      <c r="C2965" s="185"/>
      <c r="D2965" s="185"/>
      <c r="E2965" s="185"/>
      <c r="F2965" s="185"/>
      <c r="G2965" s="185"/>
      <c r="H2965" s="185"/>
      <c r="I2965" s="185"/>
      <c r="J2965" s="185"/>
      <c r="K2965" s="185"/>
      <c r="L2965" s="187"/>
      <c r="M2965" s="188"/>
      <c r="N2965" s="188"/>
      <c r="O2965" s="208"/>
      <c r="P2965" s="208"/>
      <c r="Q2965" s="208"/>
      <c r="R2965" s="208"/>
    </row>
    <row r="2966">
      <c r="A2966" s="185"/>
      <c r="B2966" s="186"/>
      <c r="C2966" s="185"/>
      <c r="D2966" s="185"/>
      <c r="E2966" s="185"/>
      <c r="F2966" s="185"/>
      <c r="G2966" s="185"/>
      <c r="H2966" s="185"/>
      <c r="I2966" s="185"/>
      <c r="J2966" s="185"/>
      <c r="K2966" s="185"/>
      <c r="L2966" s="187"/>
      <c r="M2966" s="188"/>
      <c r="N2966" s="188"/>
      <c r="O2966" s="208"/>
      <c r="P2966" s="208"/>
      <c r="Q2966" s="208"/>
      <c r="R2966" s="208"/>
    </row>
    <row r="2967">
      <c r="A2967" s="185"/>
      <c r="B2967" s="186"/>
      <c r="C2967" s="185"/>
      <c r="D2967" s="185"/>
      <c r="E2967" s="185"/>
      <c r="F2967" s="185"/>
      <c r="G2967" s="185"/>
      <c r="H2967" s="185"/>
      <c r="I2967" s="185"/>
      <c r="J2967" s="185"/>
      <c r="K2967" s="185"/>
      <c r="L2967" s="187"/>
      <c r="M2967" s="188"/>
      <c r="N2967" s="188"/>
      <c r="O2967" s="208"/>
      <c r="P2967" s="208"/>
      <c r="Q2967" s="208"/>
      <c r="R2967" s="208"/>
    </row>
    <row r="2968">
      <c r="A2968" s="185"/>
      <c r="B2968" s="186"/>
      <c r="C2968" s="185"/>
      <c r="D2968" s="185"/>
      <c r="E2968" s="185"/>
      <c r="F2968" s="185"/>
      <c r="G2968" s="185"/>
      <c r="H2968" s="185"/>
      <c r="I2968" s="185"/>
      <c r="J2968" s="185"/>
      <c r="K2968" s="185"/>
      <c r="L2968" s="187"/>
      <c r="M2968" s="188"/>
      <c r="N2968" s="188"/>
      <c r="O2968" s="208"/>
      <c r="P2968" s="208"/>
      <c r="Q2968" s="208"/>
      <c r="R2968" s="208"/>
    </row>
    <row r="2969">
      <c r="A2969" s="185"/>
      <c r="B2969" s="186"/>
      <c r="C2969" s="185"/>
      <c r="D2969" s="185"/>
      <c r="E2969" s="185"/>
      <c r="F2969" s="185"/>
      <c r="G2969" s="185"/>
      <c r="H2969" s="185"/>
      <c r="I2969" s="185"/>
      <c r="J2969" s="185"/>
      <c r="K2969" s="185"/>
      <c r="L2969" s="187"/>
      <c r="M2969" s="188"/>
      <c r="N2969" s="188"/>
      <c r="O2969" s="208"/>
      <c r="P2969" s="208"/>
      <c r="Q2969" s="208"/>
      <c r="R2969" s="208"/>
    </row>
    <row r="2970">
      <c r="A2970" s="185"/>
      <c r="B2970" s="186"/>
      <c r="C2970" s="185"/>
      <c r="D2970" s="185"/>
      <c r="E2970" s="185"/>
      <c r="F2970" s="185"/>
      <c r="G2970" s="185"/>
      <c r="H2970" s="185"/>
      <c r="I2970" s="185"/>
      <c r="J2970" s="185"/>
      <c r="K2970" s="185"/>
      <c r="L2970" s="187"/>
      <c r="M2970" s="188"/>
      <c r="N2970" s="188"/>
      <c r="O2970" s="208"/>
      <c r="P2970" s="208"/>
      <c r="Q2970" s="208"/>
      <c r="R2970" s="208"/>
    </row>
    <row r="2971">
      <c r="A2971" s="185"/>
      <c r="B2971" s="186"/>
      <c r="C2971" s="185"/>
      <c r="D2971" s="185"/>
      <c r="E2971" s="185"/>
      <c r="F2971" s="185"/>
      <c r="G2971" s="185"/>
      <c r="H2971" s="185"/>
      <c r="I2971" s="185"/>
      <c r="J2971" s="185"/>
      <c r="K2971" s="185"/>
      <c r="L2971" s="187"/>
      <c r="M2971" s="188"/>
      <c r="N2971" s="188"/>
      <c r="O2971" s="208"/>
      <c r="P2971" s="208"/>
      <c r="Q2971" s="208"/>
      <c r="R2971" s="208"/>
    </row>
    <row r="2972">
      <c r="A2972" s="185"/>
      <c r="B2972" s="186"/>
      <c r="C2972" s="185"/>
      <c r="D2972" s="185"/>
      <c r="E2972" s="185"/>
      <c r="F2972" s="185"/>
      <c r="G2972" s="185"/>
      <c r="H2972" s="185"/>
      <c r="I2972" s="185"/>
      <c r="J2972" s="185"/>
      <c r="K2972" s="185"/>
      <c r="L2972" s="187"/>
      <c r="M2972" s="188"/>
      <c r="N2972" s="188"/>
      <c r="O2972" s="208"/>
      <c r="P2972" s="208"/>
      <c r="Q2972" s="208"/>
      <c r="R2972" s="208"/>
    </row>
    <row r="2973">
      <c r="A2973" s="185"/>
      <c r="B2973" s="186"/>
      <c r="C2973" s="185"/>
      <c r="D2973" s="185"/>
      <c r="E2973" s="185"/>
      <c r="F2973" s="185"/>
      <c r="G2973" s="185"/>
      <c r="H2973" s="185"/>
      <c r="I2973" s="185"/>
      <c r="J2973" s="185"/>
      <c r="K2973" s="185"/>
      <c r="L2973" s="187"/>
      <c r="M2973" s="188"/>
      <c r="N2973" s="188"/>
      <c r="O2973" s="208"/>
      <c r="P2973" s="208"/>
      <c r="Q2973" s="208"/>
      <c r="R2973" s="208"/>
    </row>
    <row r="2974">
      <c r="A2974" s="185"/>
      <c r="B2974" s="186"/>
      <c r="C2974" s="185"/>
      <c r="D2974" s="185"/>
      <c r="E2974" s="185"/>
      <c r="F2974" s="185"/>
      <c r="G2974" s="185"/>
      <c r="H2974" s="185"/>
      <c r="I2974" s="185"/>
      <c r="J2974" s="185"/>
      <c r="K2974" s="185"/>
      <c r="L2974" s="187"/>
      <c r="M2974" s="188"/>
      <c r="N2974" s="188"/>
      <c r="O2974" s="208"/>
      <c r="P2974" s="208"/>
      <c r="Q2974" s="208"/>
      <c r="R2974" s="208"/>
    </row>
    <row r="2975">
      <c r="A2975" s="185"/>
      <c r="B2975" s="186"/>
      <c r="C2975" s="185"/>
      <c r="D2975" s="185"/>
      <c r="E2975" s="185"/>
      <c r="F2975" s="185"/>
      <c r="G2975" s="185"/>
      <c r="H2975" s="185"/>
      <c r="I2975" s="185"/>
      <c r="J2975" s="185"/>
      <c r="K2975" s="185"/>
      <c r="L2975" s="187"/>
      <c r="M2975" s="188"/>
      <c r="N2975" s="188"/>
      <c r="O2975" s="208"/>
      <c r="P2975" s="208"/>
      <c r="Q2975" s="208"/>
      <c r="R2975" s="208"/>
    </row>
    <row r="2976">
      <c r="A2976" s="185"/>
      <c r="B2976" s="186"/>
      <c r="C2976" s="185"/>
      <c r="D2976" s="185"/>
      <c r="E2976" s="185"/>
      <c r="F2976" s="185"/>
      <c r="G2976" s="185"/>
      <c r="H2976" s="185"/>
      <c r="I2976" s="185"/>
      <c r="J2976" s="185"/>
      <c r="K2976" s="185"/>
      <c r="L2976" s="187"/>
      <c r="M2976" s="188"/>
      <c r="N2976" s="188"/>
      <c r="O2976" s="208"/>
      <c r="P2976" s="208"/>
      <c r="Q2976" s="208"/>
      <c r="R2976" s="208"/>
    </row>
    <row r="2977">
      <c r="A2977" s="185"/>
      <c r="B2977" s="186"/>
      <c r="C2977" s="185"/>
      <c r="D2977" s="185"/>
      <c r="E2977" s="185"/>
      <c r="F2977" s="185"/>
      <c r="G2977" s="185"/>
      <c r="H2977" s="185"/>
      <c r="I2977" s="185"/>
      <c r="J2977" s="185"/>
      <c r="K2977" s="185"/>
      <c r="L2977" s="187"/>
      <c r="M2977" s="188"/>
      <c r="N2977" s="188"/>
      <c r="O2977" s="208"/>
      <c r="P2977" s="208"/>
      <c r="Q2977" s="208"/>
      <c r="R2977" s="208"/>
    </row>
    <row r="2978">
      <c r="A2978" s="185"/>
      <c r="B2978" s="186"/>
      <c r="C2978" s="185"/>
      <c r="D2978" s="185"/>
      <c r="E2978" s="185"/>
      <c r="F2978" s="185"/>
      <c r="G2978" s="185"/>
      <c r="H2978" s="185"/>
      <c r="I2978" s="185"/>
      <c r="J2978" s="185"/>
      <c r="K2978" s="185"/>
      <c r="L2978" s="187"/>
      <c r="M2978" s="188"/>
      <c r="N2978" s="188"/>
      <c r="O2978" s="208"/>
      <c r="P2978" s="208"/>
      <c r="Q2978" s="208"/>
      <c r="R2978" s="208"/>
    </row>
    <row r="2979">
      <c r="A2979" s="185"/>
      <c r="B2979" s="186"/>
      <c r="C2979" s="185"/>
      <c r="D2979" s="185"/>
      <c r="E2979" s="185"/>
      <c r="F2979" s="185"/>
      <c r="G2979" s="185"/>
      <c r="H2979" s="185"/>
      <c r="I2979" s="185"/>
      <c r="J2979" s="185"/>
      <c r="K2979" s="185"/>
      <c r="L2979" s="187"/>
      <c r="M2979" s="188"/>
      <c r="N2979" s="188"/>
      <c r="O2979" s="208"/>
      <c r="P2979" s="208"/>
      <c r="Q2979" s="208"/>
      <c r="R2979" s="208"/>
    </row>
    <row r="2980">
      <c r="A2980" s="185"/>
      <c r="B2980" s="186"/>
      <c r="C2980" s="185"/>
      <c r="D2980" s="185"/>
      <c r="E2980" s="185"/>
      <c r="F2980" s="185"/>
      <c r="G2980" s="185"/>
      <c r="H2980" s="185"/>
      <c r="I2980" s="185"/>
      <c r="J2980" s="185"/>
      <c r="K2980" s="185"/>
      <c r="L2980" s="187"/>
      <c r="M2980" s="188"/>
      <c r="N2980" s="188"/>
      <c r="O2980" s="208"/>
      <c r="P2980" s="208"/>
      <c r="Q2980" s="208"/>
      <c r="R2980" s="208"/>
    </row>
    <row r="2981">
      <c r="A2981" s="185"/>
      <c r="B2981" s="186"/>
      <c r="C2981" s="185"/>
      <c r="D2981" s="185"/>
      <c r="E2981" s="185"/>
      <c r="F2981" s="185"/>
      <c r="G2981" s="185"/>
      <c r="H2981" s="185"/>
      <c r="I2981" s="185"/>
      <c r="J2981" s="185"/>
      <c r="K2981" s="185"/>
      <c r="L2981" s="187"/>
      <c r="M2981" s="188"/>
      <c r="N2981" s="188"/>
      <c r="O2981" s="208"/>
      <c r="P2981" s="208"/>
      <c r="Q2981" s="208"/>
      <c r="R2981" s="208"/>
    </row>
    <row r="2982">
      <c r="A2982" s="185"/>
      <c r="B2982" s="186"/>
      <c r="C2982" s="185"/>
      <c r="D2982" s="185"/>
      <c r="E2982" s="185"/>
      <c r="F2982" s="185"/>
      <c r="G2982" s="185"/>
      <c r="H2982" s="185"/>
      <c r="I2982" s="185"/>
      <c r="J2982" s="185"/>
      <c r="K2982" s="185"/>
      <c r="L2982" s="187"/>
      <c r="M2982" s="188"/>
      <c r="N2982" s="188"/>
      <c r="O2982" s="208"/>
      <c r="P2982" s="208"/>
      <c r="Q2982" s="208"/>
      <c r="R2982" s="208"/>
    </row>
    <row r="2983">
      <c r="A2983" s="185"/>
      <c r="B2983" s="186"/>
      <c r="C2983" s="185"/>
      <c r="D2983" s="185"/>
      <c r="E2983" s="185"/>
      <c r="F2983" s="185"/>
      <c r="G2983" s="185"/>
      <c r="H2983" s="185"/>
      <c r="I2983" s="185"/>
      <c r="J2983" s="185"/>
      <c r="K2983" s="185"/>
      <c r="L2983" s="187"/>
      <c r="M2983" s="188"/>
      <c r="N2983" s="188"/>
      <c r="O2983" s="208"/>
      <c r="P2983" s="208"/>
      <c r="Q2983" s="208"/>
      <c r="R2983" s="208"/>
    </row>
    <row r="2984">
      <c r="A2984" s="185"/>
      <c r="B2984" s="186"/>
      <c r="C2984" s="185"/>
      <c r="D2984" s="185"/>
      <c r="E2984" s="185"/>
      <c r="F2984" s="185"/>
      <c r="G2984" s="185"/>
      <c r="H2984" s="185"/>
      <c r="I2984" s="185"/>
      <c r="J2984" s="185"/>
      <c r="K2984" s="185"/>
      <c r="L2984" s="187"/>
      <c r="M2984" s="188"/>
      <c r="N2984" s="188"/>
      <c r="O2984" s="208"/>
      <c r="P2984" s="208"/>
      <c r="Q2984" s="208"/>
      <c r="R2984" s="208"/>
    </row>
    <row r="2985">
      <c r="A2985" s="185"/>
      <c r="B2985" s="186"/>
      <c r="C2985" s="185"/>
      <c r="D2985" s="185"/>
      <c r="E2985" s="185"/>
      <c r="F2985" s="185"/>
      <c r="G2985" s="185"/>
      <c r="H2985" s="185"/>
      <c r="I2985" s="185"/>
      <c r="J2985" s="185"/>
      <c r="K2985" s="185"/>
      <c r="L2985" s="187"/>
      <c r="M2985" s="188"/>
      <c r="N2985" s="188"/>
      <c r="O2985" s="208"/>
      <c r="P2985" s="208"/>
      <c r="Q2985" s="208"/>
      <c r="R2985" s="208"/>
    </row>
    <row r="2986">
      <c r="A2986" s="185"/>
      <c r="B2986" s="186"/>
      <c r="C2986" s="185"/>
      <c r="D2986" s="185"/>
      <c r="E2986" s="185"/>
      <c r="F2986" s="185"/>
      <c r="G2986" s="185"/>
      <c r="H2986" s="185"/>
      <c r="I2986" s="185"/>
      <c r="J2986" s="185"/>
      <c r="K2986" s="185"/>
      <c r="L2986" s="187"/>
      <c r="M2986" s="188"/>
      <c r="N2986" s="188"/>
      <c r="O2986" s="208"/>
      <c r="P2986" s="208"/>
      <c r="Q2986" s="208"/>
      <c r="R2986" s="208"/>
    </row>
    <row r="2987">
      <c r="A2987" s="185"/>
      <c r="B2987" s="186"/>
      <c r="C2987" s="185"/>
      <c r="D2987" s="185"/>
      <c r="E2987" s="185"/>
      <c r="F2987" s="185"/>
      <c r="G2987" s="185"/>
      <c r="H2987" s="185"/>
      <c r="I2987" s="185"/>
      <c r="J2987" s="185"/>
      <c r="K2987" s="185"/>
      <c r="L2987" s="187"/>
      <c r="M2987" s="188"/>
      <c r="N2987" s="188"/>
      <c r="O2987" s="208"/>
      <c r="P2987" s="208"/>
      <c r="Q2987" s="208"/>
      <c r="R2987" s="208"/>
    </row>
    <row r="2988">
      <c r="A2988" s="185"/>
      <c r="B2988" s="186"/>
      <c r="C2988" s="185"/>
      <c r="D2988" s="185"/>
      <c r="E2988" s="185"/>
      <c r="F2988" s="185"/>
      <c r="G2988" s="185"/>
      <c r="H2988" s="185"/>
      <c r="I2988" s="185"/>
      <c r="J2988" s="185"/>
      <c r="K2988" s="185"/>
      <c r="L2988" s="187"/>
      <c r="M2988" s="188"/>
      <c r="N2988" s="188"/>
      <c r="O2988" s="208"/>
      <c r="P2988" s="208"/>
      <c r="Q2988" s="208"/>
      <c r="R2988" s="208"/>
    </row>
    <row r="2989">
      <c r="A2989" s="185"/>
      <c r="B2989" s="186"/>
      <c r="C2989" s="185"/>
      <c r="D2989" s="185"/>
      <c r="E2989" s="185"/>
      <c r="F2989" s="185"/>
      <c r="G2989" s="185"/>
      <c r="H2989" s="185"/>
      <c r="I2989" s="185"/>
      <c r="J2989" s="185"/>
      <c r="K2989" s="185"/>
      <c r="L2989" s="187"/>
      <c r="M2989" s="188"/>
      <c r="N2989" s="188"/>
      <c r="O2989" s="208"/>
      <c r="P2989" s="208"/>
      <c r="Q2989" s="208"/>
      <c r="R2989" s="208"/>
    </row>
    <row r="2990">
      <c r="A2990" s="185"/>
      <c r="B2990" s="186"/>
      <c r="C2990" s="185"/>
      <c r="D2990" s="185"/>
      <c r="E2990" s="185"/>
      <c r="F2990" s="185"/>
      <c r="G2990" s="185"/>
      <c r="H2990" s="185"/>
      <c r="I2990" s="185"/>
      <c r="J2990" s="185"/>
      <c r="K2990" s="185"/>
      <c r="L2990" s="187"/>
      <c r="M2990" s="188"/>
      <c r="N2990" s="188"/>
      <c r="O2990" s="208"/>
      <c r="P2990" s="208"/>
      <c r="Q2990" s="208"/>
      <c r="R2990" s="208"/>
    </row>
    <row r="2991">
      <c r="A2991" s="185"/>
      <c r="B2991" s="186"/>
      <c r="C2991" s="185"/>
      <c r="D2991" s="185"/>
      <c r="E2991" s="185"/>
      <c r="F2991" s="185"/>
      <c r="G2991" s="185"/>
      <c r="H2991" s="185"/>
      <c r="I2991" s="185"/>
      <c r="J2991" s="185"/>
      <c r="K2991" s="185"/>
      <c r="L2991" s="187"/>
      <c r="M2991" s="188"/>
      <c r="N2991" s="188"/>
      <c r="O2991" s="208"/>
      <c r="P2991" s="208"/>
      <c r="Q2991" s="208"/>
      <c r="R2991" s="208"/>
    </row>
    <row r="2992">
      <c r="A2992" s="185"/>
      <c r="B2992" s="186"/>
      <c r="C2992" s="185"/>
      <c r="D2992" s="185"/>
      <c r="E2992" s="185"/>
      <c r="F2992" s="185"/>
      <c r="G2992" s="185"/>
      <c r="H2992" s="185"/>
      <c r="I2992" s="185"/>
      <c r="J2992" s="185"/>
      <c r="K2992" s="185"/>
      <c r="L2992" s="187"/>
      <c r="M2992" s="188"/>
      <c r="N2992" s="188"/>
      <c r="O2992" s="208"/>
      <c r="P2992" s="208"/>
      <c r="Q2992" s="208"/>
      <c r="R2992" s="208"/>
    </row>
    <row r="2993">
      <c r="A2993" s="185"/>
      <c r="B2993" s="186"/>
      <c r="C2993" s="185"/>
      <c r="D2993" s="185"/>
      <c r="E2993" s="185"/>
      <c r="F2993" s="185"/>
      <c r="G2993" s="185"/>
      <c r="H2993" s="185"/>
      <c r="I2993" s="185"/>
      <c r="J2993" s="185"/>
      <c r="K2993" s="185"/>
      <c r="L2993" s="187"/>
      <c r="M2993" s="188"/>
      <c r="N2993" s="188"/>
      <c r="O2993" s="208"/>
      <c r="P2993" s="208"/>
      <c r="Q2993" s="208"/>
      <c r="R2993" s="208"/>
    </row>
    <row r="2994">
      <c r="A2994" s="185"/>
      <c r="B2994" s="186"/>
      <c r="C2994" s="185"/>
      <c r="D2994" s="185"/>
      <c r="E2994" s="185"/>
      <c r="F2994" s="185"/>
      <c r="G2994" s="185"/>
      <c r="H2994" s="185"/>
      <c r="I2994" s="185"/>
      <c r="J2994" s="185"/>
      <c r="K2994" s="185"/>
      <c r="L2994" s="187"/>
      <c r="M2994" s="188"/>
      <c r="N2994" s="188"/>
      <c r="O2994" s="208"/>
      <c r="P2994" s="208"/>
      <c r="Q2994" s="208"/>
      <c r="R2994" s="208"/>
    </row>
    <row r="2995">
      <c r="A2995" s="185"/>
      <c r="B2995" s="186"/>
      <c r="C2995" s="185"/>
      <c r="D2995" s="185"/>
      <c r="E2995" s="185"/>
      <c r="F2995" s="185"/>
      <c r="G2995" s="185"/>
      <c r="H2995" s="185"/>
      <c r="I2995" s="185"/>
      <c r="J2995" s="185"/>
      <c r="K2995" s="185"/>
      <c r="L2995" s="187"/>
      <c r="M2995" s="188"/>
      <c r="N2995" s="188"/>
      <c r="O2995" s="208"/>
      <c r="P2995" s="208"/>
      <c r="Q2995" s="208"/>
      <c r="R2995" s="208"/>
    </row>
    <row r="2996">
      <c r="A2996" s="185"/>
      <c r="B2996" s="186"/>
      <c r="C2996" s="185"/>
      <c r="D2996" s="185"/>
      <c r="E2996" s="185"/>
      <c r="F2996" s="185"/>
      <c r="G2996" s="185"/>
      <c r="H2996" s="185"/>
      <c r="I2996" s="185"/>
      <c r="J2996" s="185"/>
      <c r="K2996" s="185"/>
      <c r="L2996" s="187"/>
      <c r="M2996" s="188"/>
      <c r="N2996" s="188"/>
      <c r="O2996" s="208"/>
      <c r="P2996" s="208"/>
      <c r="Q2996" s="208"/>
      <c r="R2996" s="208"/>
    </row>
    <row r="2997">
      <c r="A2997" s="185"/>
      <c r="B2997" s="186"/>
      <c r="C2997" s="185"/>
      <c r="D2997" s="185"/>
      <c r="E2997" s="185"/>
      <c r="F2997" s="185"/>
      <c r="G2997" s="185"/>
      <c r="H2997" s="185"/>
      <c r="I2997" s="185"/>
      <c r="J2997" s="185"/>
      <c r="K2997" s="185"/>
      <c r="L2997" s="187"/>
      <c r="M2997" s="188"/>
      <c r="N2997" s="188"/>
      <c r="O2997" s="208"/>
      <c r="P2997" s="208"/>
      <c r="Q2997" s="208"/>
      <c r="R2997" s="208"/>
    </row>
    <row r="2998">
      <c r="A2998" s="185"/>
      <c r="B2998" s="186"/>
      <c r="C2998" s="185"/>
      <c r="D2998" s="185"/>
      <c r="E2998" s="185"/>
      <c r="F2998" s="185"/>
      <c r="G2998" s="185"/>
      <c r="H2998" s="185"/>
      <c r="I2998" s="185"/>
      <c r="J2998" s="185"/>
      <c r="K2998" s="185"/>
      <c r="L2998" s="187"/>
      <c r="M2998" s="188"/>
      <c r="N2998" s="188"/>
      <c r="O2998" s="208"/>
      <c r="P2998" s="208"/>
      <c r="Q2998" s="208"/>
      <c r="R2998" s="208"/>
    </row>
    <row r="2999">
      <c r="A2999" s="185"/>
      <c r="B2999" s="186"/>
      <c r="C2999" s="185"/>
      <c r="D2999" s="185"/>
      <c r="E2999" s="185"/>
      <c r="F2999" s="185"/>
      <c r="G2999" s="185"/>
      <c r="H2999" s="185"/>
      <c r="I2999" s="185"/>
      <c r="J2999" s="185"/>
      <c r="K2999" s="185"/>
      <c r="L2999" s="187"/>
      <c r="M2999" s="188"/>
      <c r="N2999" s="188"/>
      <c r="O2999" s="208"/>
      <c r="P2999" s="208"/>
      <c r="Q2999" s="208"/>
      <c r="R2999" s="208"/>
    </row>
    <row r="3000">
      <c r="A3000" s="185"/>
      <c r="B3000" s="186"/>
      <c r="C3000" s="185"/>
      <c r="D3000" s="185"/>
      <c r="E3000" s="185"/>
      <c r="F3000" s="185"/>
      <c r="G3000" s="185"/>
      <c r="H3000" s="185"/>
      <c r="I3000" s="185"/>
      <c r="J3000" s="185"/>
      <c r="K3000" s="185"/>
      <c r="L3000" s="187"/>
      <c r="M3000" s="188"/>
      <c r="N3000" s="188"/>
      <c r="O3000" s="208"/>
      <c r="P3000" s="208"/>
      <c r="Q3000" s="208"/>
      <c r="R3000" s="208"/>
    </row>
    <row r="3001">
      <c r="A3001" s="185"/>
      <c r="B3001" s="186"/>
      <c r="C3001" s="185"/>
      <c r="D3001" s="185"/>
      <c r="E3001" s="185"/>
      <c r="F3001" s="185"/>
      <c r="G3001" s="185"/>
      <c r="H3001" s="185"/>
      <c r="I3001" s="185"/>
      <c r="J3001" s="185"/>
      <c r="K3001" s="185"/>
      <c r="L3001" s="187"/>
      <c r="M3001" s="188"/>
      <c r="N3001" s="188"/>
      <c r="O3001" s="208"/>
      <c r="P3001" s="208"/>
      <c r="Q3001" s="208"/>
      <c r="R3001" s="208"/>
    </row>
    <row r="3002">
      <c r="A3002" s="185"/>
      <c r="B3002" s="186"/>
      <c r="C3002" s="185"/>
      <c r="D3002" s="185"/>
      <c r="E3002" s="185"/>
      <c r="F3002" s="185"/>
      <c r="G3002" s="185"/>
      <c r="H3002" s="185"/>
      <c r="I3002" s="185"/>
      <c r="J3002" s="185"/>
      <c r="K3002" s="185"/>
      <c r="L3002" s="187"/>
      <c r="M3002" s="188"/>
      <c r="N3002" s="188"/>
      <c r="O3002" s="208"/>
      <c r="P3002" s="208"/>
      <c r="Q3002" s="208"/>
      <c r="R3002" s="208"/>
    </row>
    <row r="3003">
      <c r="A3003" s="185"/>
      <c r="B3003" s="186"/>
      <c r="C3003" s="185"/>
      <c r="D3003" s="185"/>
      <c r="E3003" s="185"/>
      <c r="F3003" s="185"/>
      <c r="G3003" s="185"/>
      <c r="H3003" s="185"/>
      <c r="I3003" s="185"/>
      <c r="J3003" s="185"/>
      <c r="K3003" s="185"/>
      <c r="L3003" s="187"/>
      <c r="M3003" s="188"/>
      <c r="N3003" s="188"/>
      <c r="O3003" s="208"/>
      <c r="P3003" s="208"/>
      <c r="Q3003" s="208"/>
      <c r="R3003" s="208"/>
    </row>
    <row r="3004">
      <c r="A3004" s="185"/>
      <c r="B3004" s="186"/>
      <c r="C3004" s="185"/>
      <c r="D3004" s="185"/>
      <c r="E3004" s="185"/>
      <c r="F3004" s="185"/>
      <c r="G3004" s="185"/>
      <c r="H3004" s="185"/>
      <c r="I3004" s="185"/>
      <c r="J3004" s="185"/>
      <c r="K3004" s="185"/>
      <c r="L3004" s="187"/>
      <c r="M3004" s="188"/>
      <c r="N3004" s="188"/>
      <c r="O3004" s="208"/>
      <c r="P3004" s="208"/>
      <c r="Q3004" s="208"/>
      <c r="R3004" s="208"/>
    </row>
    <row r="3005">
      <c r="A3005" s="185"/>
      <c r="B3005" s="186"/>
      <c r="C3005" s="185"/>
      <c r="D3005" s="185"/>
      <c r="E3005" s="185"/>
      <c r="F3005" s="185"/>
      <c r="G3005" s="185"/>
      <c r="H3005" s="185"/>
      <c r="I3005" s="185"/>
      <c r="J3005" s="185"/>
      <c r="K3005" s="185"/>
      <c r="L3005" s="187"/>
      <c r="M3005" s="188"/>
      <c r="N3005" s="188"/>
      <c r="O3005" s="208"/>
      <c r="P3005" s="208"/>
      <c r="Q3005" s="208"/>
      <c r="R3005" s="208"/>
    </row>
    <row r="3006">
      <c r="A3006" s="185"/>
      <c r="B3006" s="186"/>
      <c r="C3006" s="185"/>
      <c r="D3006" s="185"/>
      <c r="E3006" s="185"/>
      <c r="F3006" s="185"/>
      <c r="G3006" s="185"/>
      <c r="H3006" s="185"/>
      <c r="I3006" s="185"/>
      <c r="J3006" s="185"/>
      <c r="K3006" s="185"/>
      <c r="L3006" s="187"/>
      <c r="M3006" s="188"/>
      <c r="N3006" s="188"/>
      <c r="O3006" s="208"/>
      <c r="P3006" s="208"/>
      <c r="Q3006" s="208"/>
      <c r="R3006" s="208"/>
    </row>
    <row r="3007">
      <c r="A3007" s="185"/>
      <c r="B3007" s="186"/>
      <c r="C3007" s="185"/>
      <c r="D3007" s="185"/>
      <c r="E3007" s="185"/>
      <c r="F3007" s="185"/>
      <c r="G3007" s="185"/>
      <c r="H3007" s="185"/>
      <c r="I3007" s="185"/>
      <c r="J3007" s="185"/>
      <c r="K3007" s="185"/>
      <c r="L3007" s="187"/>
      <c r="M3007" s="188"/>
      <c r="N3007" s="188"/>
      <c r="O3007" s="208"/>
      <c r="P3007" s="208"/>
      <c r="Q3007" s="208"/>
      <c r="R3007" s="208"/>
    </row>
    <row r="3008">
      <c r="A3008" s="185"/>
      <c r="B3008" s="186"/>
      <c r="C3008" s="185"/>
      <c r="D3008" s="185"/>
      <c r="E3008" s="185"/>
      <c r="F3008" s="185"/>
      <c r="G3008" s="185"/>
      <c r="H3008" s="185"/>
      <c r="I3008" s="185"/>
      <c r="J3008" s="185"/>
      <c r="K3008" s="185"/>
      <c r="L3008" s="187"/>
      <c r="M3008" s="188"/>
      <c r="N3008" s="188"/>
      <c r="O3008" s="208"/>
      <c r="P3008" s="208"/>
      <c r="Q3008" s="208"/>
      <c r="R3008" s="208"/>
    </row>
    <row r="3009">
      <c r="A3009" s="185"/>
      <c r="B3009" s="186"/>
      <c r="C3009" s="185"/>
      <c r="D3009" s="185"/>
      <c r="E3009" s="185"/>
      <c r="F3009" s="185"/>
      <c r="G3009" s="185"/>
      <c r="H3009" s="185"/>
      <c r="I3009" s="185"/>
      <c r="J3009" s="185"/>
      <c r="K3009" s="185"/>
      <c r="L3009" s="187"/>
      <c r="M3009" s="188"/>
      <c r="N3009" s="188"/>
      <c r="O3009" s="208"/>
      <c r="P3009" s="208"/>
      <c r="Q3009" s="208"/>
      <c r="R3009" s="208"/>
    </row>
    <row r="3010">
      <c r="A3010" s="185"/>
      <c r="B3010" s="186"/>
      <c r="C3010" s="185"/>
      <c r="D3010" s="185"/>
      <c r="E3010" s="185"/>
      <c r="F3010" s="185"/>
      <c r="G3010" s="185"/>
      <c r="H3010" s="185"/>
      <c r="I3010" s="185"/>
      <c r="J3010" s="185"/>
      <c r="K3010" s="185"/>
      <c r="L3010" s="187"/>
      <c r="M3010" s="188"/>
      <c r="N3010" s="188"/>
      <c r="O3010" s="208"/>
      <c r="P3010" s="208"/>
      <c r="Q3010" s="208"/>
      <c r="R3010" s="208"/>
    </row>
    <row r="3011">
      <c r="A3011" s="185"/>
      <c r="B3011" s="186"/>
      <c r="C3011" s="185"/>
      <c r="D3011" s="185"/>
      <c r="E3011" s="185"/>
      <c r="F3011" s="185"/>
      <c r="G3011" s="185"/>
      <c r="H3011" s="185"/>
      <c r="I3011" s="185"/>
      <c r="J3011" s="185"/>
      <c r="K3011" s="185"/>
      <c r="L3011" s="187"/>
      <c r="M3011" s="188"/>
      <c r="N3011" s="188"/>
      <c r="O3011" s="208"/>
      <c r="P3011" s="208"/>
      <c r="Q3011" s="208"/>
      <c r="R3011" s="208"/>
    </row>
    <row r="3012">
      <c r="A3012" s="185"/>
      <c r="B3012" s="186"/>
      <c r="C3012" s="185"/>
      <c r="D3012" s="185"/>
      <c r="E3012" s="185"/>
      <c r="F3012" s="185"/>
      <c r="G3012" s="185"/>
      <c r="H3012" s="185"/>
      <c r="I3012" s="185"/>
      <c r="J3012" s="185"/>
      <c r="K3012" s="185"/>
      <c r="L3012" s="187"/>
      <c r="M3012" s="188"/>
      <c r="N3012" s="188"/>
      <c r="O3012" s="208"/>
      <c r="P3012" s="208"/>
      <c r="Q3012" s="208"/>
      <c r="R3012" s="208"/>
    </row>
    <row r="3013">
      <c r="A3013" s="185"/>
      <c r="B3013" s="186"/>
      <c r="C3013" s="185"/>
      <c r="D3013" s="185"/>
      <c r="E3013" s="185"/>
      <c r="F3013" s="185"/>
      <c r="G3013" s="185"/>
      <c r="H3013" s="185"/>
      <c r="I3013" s="185"/>
      <c r="J3013" s="185"/>
      <c r="K3013" s="185"/>
      <c r="L3013" s="187"/>
      <c r="M3013" s="188"/>
      <c r="N3013" s="188"/>
      <c r="O3013" s="208"/>
      <c r="P3013" s="208"/>
      <c r="Q3013" s="208"/>
      <c r="R3013" s="208"/>
    </row>
    <row r="3014">
      <c r="A3014" s="185"/>
      <c r="B3014" s="186"/>
      <c r="C3014" s="185"/>
      <c r="D3014" s="185"/>
      <c r="E3014" s="185"/>
      <c r="F3014" s="185"/>
      <c r="G3014" s="185"/>
      <c r="H3014" s="185"/>
      <c r="I3014" s="185"/>
      <c r="J3014" s="185"/>
      <c r="K3014" s="185"/>
      <c r="L3014" s="187"/>
      <c r="M3014" s="188"/>
      <c r="N3014" s="188"/>
      <c r="O3014" s="208"/>
      <c r="P3014" s="208"/>
      <c r="Q3014" s="208"/>
      <c r="R3014" s="208"/>
    </row>
    <row r="3015">
      <c r="A3015" s="185"/>
      <c r="B3015" s="186"/>
      <c r="C3015" s="185"/>
      <c r="D3015" s="185"/>
      <c r="E3015" s="185"/>
      <c r="F3015" s="185"/>
      <c r="G3015" s="185"/>
      <c r="H3015" s="185"/>
      <c r="I3015" s="185"/>
      <c r="J3015" s="185"/>
      <c r="K3015" s="185"/>
      <c r="L3015" s="187"/>
      <c r="M3015" s="188"/>
      <c r="N3015" s="188"/>
      <c r="O3015" s="208"/>
      <c r="P3015" s="208"/>
      <c r="Q3015" s="208"/>
      <c r="R3015" s="208"/>
    </row>
    <row r="3016">
      <c r="A3016" s="185"/>
      <c r="B3016" s="186"/>
      <c r="C3016" s="185"/>
      <c r="D3016" s="185"/>
      <c r="E3016" s="185"/>
      <c r="F3016" s="185"/>
      <c r="G3016" s="185"/>
      <c r="H3016" s="185"/>
      <c r="I3016" s="185"/>
      <c r="J3016" s="185"/>
      <c r="K3016" s="185"/>
      <c r="L3016" s="187"/>
      <c r="M3016" s="188"/>
      <c r="N3016" s="188"/>
      <c r="O3016" s="208"/>
      <c r="P3016" s="208"/>
      <c r="Q3016" s="208"/>
      <c r="R3016" s="208"/>
    </row>
    <row r="3017">
      <c r="A3017" s="185"/>
      <c r="B3017" s="186"/>
      <c r="C3017" s="185"/>
      <c r="D3017" s="185"/>
      <c r="E3017" s="185"/>
      <c r="F3017" s="185"/>
      <c r="G3017" s="185"/>
      <c r="H3017" s="185"/>
      <c r="I3017" s="185"/>
      <c r="J3017" s="185"/>
      <c r="K3017" s="185"/>
      <c r="L3017" s="187"/>
      <c r="M3017" s="188"/>
      <c r="N3017" s="188"/>
      <c r="O3017" s="208"/>
      <c r="P3017" s="208"/>
      <c r="Q3017" s="208"/>
      <c r="R3017" s="208"/>
    </row>
    <row r="3018">
      <c r="A3018" s="185"/>
      <c r="B3018" s="186"/>
      <c r="C3018" s="185"/>
      <c r="D3018" s="185"/>
      <c r="E3018" s="185"/>
      <c r="F3018" s="185"/>
      <c r="G3018" s="185"/>
      <c r="H3018" s="185"/>
      <c r="I3018" s="185"/>
      <c r="J3018" s="185"/>
      <c r="K3018" s="185"/>
      <c r="L3018" s="187"/>
      <c r="M3018" s="188"/>
      <c r="N3018" s="188"/>
      <c r="O3018" s="208"/>
      <c r="P3018" s="208"/>
      <c r="Q3018" s="208"/>
      <c r="R3018" s="208"/>
    </row>
    <row r="3019">
      <c r="A3019" s="185"/>
      <c r="B3019" s="186"/>
      <c r="C3019" s="185"/>
      <c r="D3019" s="185"/>
      <c r="E3019" s="185"/>
      <c r="F3019" s="185"/>
      <c r="G3019" s="185"/>
      <c r="H3019" s="185"/>
      <c r="I3019" s="185"/>
      <c r="J3019" s="185"/>
      <c r="K3019" s="185"/>
      <c r="L3019" s="187"/>
      <c r="M3019" s="188"/>
      <c r="N3019" s="188"/>
      <c r="O3019" s="208"/>
      <c r="P3019" s="208"/>
      <c r="Q3019" s="208"/>
      <c r="R3019" s="208"/>
    </row>
    <row r="3020">
      <c r="A3020" s="185"/>
      <c r="B3020" s="186"/>
      <c r="C3020" s="185"/>
      <c r="D3020" s="185"/>
      <c r="E3020" s="185"/>
      <c r="F3020" s="185"/>
      <c r="G3020" s="185"/>
      <c r="H3020" s="185"/>
      <c r="I3020" s="185"/>
      <c r="J3020" s="185"/>
      <c r="K3020" s="185"/>
      <c r="L3020" s="187"/>
      <c r="M3020" s="188"/>
      <c r="N3020" s="188"/>
      <c r="O3020" s="208"/>
      <c r="P3020" s="208"/>
      <c r="Q3020" s="208"/>
      <c r="R3020" s="208"/>
    </row>
    <row r="3021">
      <c r="A3021" s="185"/>
      <c r="B3021" s="186"/>
      <c r="C3021" s="185"/>
      <c r="D3021" s="185"/>
      <c r="E3021" s="185"/>
      <c r="F3021" s="185"/>
      <c r="G3021" s="185"/>
      <c r="H3021" s="185"/>
      <c r="I3021" s="185"/>
      <c r="J3021" s="185"/>
      <c r="K3021" s="185"/>
      <c r="L3021" s="187"/>
      <c r="M3021" s="188"/>
      <c r="N3021" s="188"/>
      <c r="O3021" s="208"/>
      <c r="P3021" s="208"/>
      <c r="Q3021" s="208"/>
      <c r="R3021" s="208"/>
    </row>
    <row r="3022">
      <c r="A3022" s="185"/>
      <c r="B3022" s="186"/>
      <c r="C3022" s="185"/>
      <c r="D3022" s="185"/>
      <c r="E3022" s="185"/>
      <c r="F3022" s="185"/>
      <c r="G3022" s="185"/>
      <c r="H3022" s="185"/>
      <c r="I3022" s="185"/>
      <c r="J3022" s="185"/>
      <c r="K3022" s="185"/>
      <c r="L3022" s="187"/>
      <c r="M3022" s="188"/>
      <c r="N3022" s="188"/>
      <c r="O3022" s="208"/>
      <c r="P3022" s="208"/>
      <c r="Q3022" s="208"/>
      <c r="R3022" s="208"/>
    </row>
    <row r="3023">
      <c r="A3023" s="185"/>
      <c r="B3023" s="186"/>
      <c r="C3023" s="185"/>
      <c r="D3023" s="185"/>
      <c r="E3023" s="185"/>
      <c r="F3023" s="185"/>
      <c r="G3023" s="185"/>
      <c r="H3023" s="185"/>
      <c r="I3023" s="185"/>
      <c r="J3023" s="185"/>
      <c r="K3023" s="185"/>
      <c r="L3023" s="187"/>
      <c r="M3023" s="188"/>
      <c r="N3023" s="188"/>
      <c r="O3023" s="208"/>
      <c r="P3023" s="208"/>
      <c r="Q3023" s="208"/>
      <c r="R3023" s="208"/>
    </row>
    <row r="3024">
      <c r="A3024" s="185"/>
      <c r="B3024" s="186"/>
      <c r="C3024" s="185"/>
      <c r="D3024" s="185"/>
      <c r="E3024" s="185"/>
      <c r="F3024" s="185"/>
      <c r="G3024" s="185"/>
      <c r="H3024" s="185"/>
      <c r="I3024" s="185"/>
      <c r="J3024" s="185"/>
      <c r="K3024" s="185"/>
      <c r="L3024" s="187"/>
      <c r="M3024" s="188"/>
      <c r="N3024" s="188"/>
      <c r="O3024" s="208"/>
      <c r="P3024" s="208"/>
      <c r="Q3024" s="208"/>
      <c r="R3024" s="208"/>
    </row>
    <row r="3025">
      <c r="A3025" s="185"/>
      <c r="B3025" s="186"/>
      <c r="C3025" s="185"/>
      <c r="D3025" s="185"/>
      <c r="E3025" s="185"/>
      <c r="F3025" s="185"/>
      <c r="G3025" s="185"/>
      <c r="H3025" s="185"/>
      <c r="I3025" s="185"/>
      <c r="J3025" s="185"/>
      <c r="K3025" s="185"/>
      <c r="L3025" s="187"/>
      <c r="M3025" s="188"/>
      <c r="N3025" s="188"/>
      <c r="O3025" s="208"/>
      <c r="P3025" s="208"/>
      <c r="Q3025" s="208"/>
      <c r="R3025" s="208"/>
    </row>
    <row r="3026">
      <c r="A3026" s="185"/>
      <c r="B3026" s="186"/>
      <c r="C3026" s="185"/>
      <c r="D3026" s="185"/>
      <c r="E3026" s="185"/>
      <c r="F3026" s="185"/>
      <c r="G3026" s="185"/>
      <c r="H3026" s="185"/>
      <c r="I3026" s="185"/>
      <c r="J3026" s="185"/>
      <c r="K3026" s="185"/>
      <c r="L3026" s="187"/>
      <c r="M3026" s="188"/>
      <c r="N3026" s="188"/>
      <c r="O3026" s="208"/>
      <c r="P3026" s="208"/>
      <c r="Q3026" s="208"/>
      <c r="R3026" s="208"/>
    </row>
    <row r="3027">
      <c r="A3027" s="185"/>
      <c r="B3027" s="186"/>
      <c r="C3027" s="185"/>
      <c r="D3027" s="185"/>
      <c r="E3027" s="185"/>
      <c r="F3027" s="185"/>
      <c r="G3027" s="185"/>
      <c r="H3027" s="185"/>
      <c r="I3027" s="185"/>
      <c r="J3027" s="185"/>
      <c r="K3027" s="185"/>
      <c r="L3027" s="187"/>
      <c r="M3027" s="188"/>
      <c r="N3027" s="188"/>
      <c r="O3027" s="208"/>
      <c r="P3027" s="208"/>
      <c r="Q3027" s="208"/>
      <c r="R3027" s="208"/>
    </row>
    <row r="3028">
      <c r="A3028" s="185"/>
      <c r="B3028" s="186"/>
      <c r="C3028" s="185"/>
      <c r="D3028" s="185"/>
      <c r="E3028" s="185"/>
      <c r="F3028" s="185"/>
      <c r="G3028" s="185"/>
      <c r="H3028" s="185"/>
      <c r="I3028" s="185"/>
      <c r="J3028" s="185"/>
      <c r="K3028" s="185"/>
      <c r="L3028" s="187"/>
      <c r="M3028" s="188"/>
      <c r="N3028" s="188"/>
      <c r="O3028" s="208"/>
      <c r="P3028" s="208"/>
      <c r="Q3028" s="208"/>
      <c r="R3028" s="208"/>
    </row>
    <row r="3029">
      <c r="A3029" s="185"/>
      <c r="B3029" s="186"/>
      <c r="C3029" s="185"/>
      <c r="D3029" s="185"/>
      <c r="E3029" s="185"/>
      <c r="F3029" s="185"/>
      <c r="G3029" s="185"/>
      <c r="H3029" s="185"/>
      <c r="I3029" s="185"/>
      <c r="J3029" s="185"/>
      <c r="K3029" s="185"/>
      <c r="L3029" s="187"/>
      <c r="M3029" s="188"/>
      <c r="N3029" s="188"/>
      <c r="O3029" s="208"/>
      <c r="P3029" s="208"/>
      <c r="Q3029" s="208"/>
      <c r="R3029" s="208"/>
    </row>
    <row r="3030">
      <c r="A3030" s="185"/>
      <c r="B3030" s="186"/>
      <c r="C3030" s="185"/>
      <c r="D3030" s="185"/>
      <c r="E3030" s="185"/>
      <c r="F3030" s="185"/>
      <c r="G3030" s="185"/>
      <c r="H3030" s="185"/>
      <c r="I3030" s="185"/>
      <c r="J3030" s="185"/>
      <c r="K3030" s="185"/>
      <c r="L3030" s="187"/>
      <c r="M3030" s="188"/>
      <c r="N3030" s="188"/>
      <c r="O3030" s="208"/>
      <c r="P3030" s="208"/>
      <c r="Q3030" s="208"/>
      <c r="R3030" s="208"/>
    </row>
    <row r="3031">
      <c r="A3031" s="185"/>
      <c r="B3031" s="186"/>
      <c r="C3031" s="185"/>
      <c r="D3031" s="185"/>
      <c r="E3031" s="185"/>
      <c r="F3031" s="185"/>
      <c r="G3031" s="185"/>
      <c r="H3031" s="185"/>
      <c r="I3031" s="185"/>
      <c r="J3031" s="185"/>
      <c r="K3031" s="185"/>
      <c r="L3031" s="187"/>
      <c r="M3031" s="188"/>
      <c r="N3031" s="188"/>
      <c r="O3031" s="208"/>
      <c r="P3031" s="208"/>
      <c r="Q3031" s="208"/>
      <c r="R3031" s="208"/>
    </row>
    <row r="3032">
      <c r="A3032" s="185"/>
      <c r="B3032" s="186"/>
      <c r="C3032" s="185"/>
      <c r="D3032" s="185"/>
      <c r="E3032" s="185"/>
      <c r="F3032" s="185"/>
      <c r="G3032" s="185"/>
      <c r="H3032" s="185"/>
      <c r="I3032" s="185"/>
      <c r="J3032" s="185"/>
      <c r="K3032" s="185"/>
      <c r="L3032" s="187"/>
      <c r="M3032" s="188"/>
      <c r="N3032" s="188"/>
      <c r="O3032" s="208"/>
      <c r="P3032" s="208"/>
      <c r="Q3032" s="208"/>
      <c r="R3032" s="208"/>
    </row>
    <row r="3033">
      <c r="A3033" s="185"/>
      <c r="B3033" s="186"/>
      <c r="C3033" s="185"/>
      <c r="D3033" s="185"/>
      <c r="E3033" s="185"/>
      <c r="F3033" s="185"/>
      <c r="G3033" s="185"/>
      <c r="H3033" s="185"/>
      <c r="I3033" s="185"/>
      <c r="J3033" s="185"/>
      <c r="K3033" s="185"/>
      <c r="L3033" s="187"/>
      <c r="M3033" s="188"/>
      <c r="N3033" s="188"/>
      <c r="O3033" s="208"/>
      <c r="P3033" s="208"/>
      <c r="Q3033" s="208"/>
      <c r="R3033" s="208"/>
    </row>
    <row r="3034">
      <c r="A3034" s="185"/>
      <c r="B3034" s="186"/>
      <c r="C3034" s="185"/>
      <c r="D3034" s="185"/>
      <c r="E3034" s="185"/>
      <c r="F3034" s="185"/>
      <c r="G3034" s="185"/>
      <c r="H3034" s="185"/>
      <c r="I3034" s="185"/>
      <c r="J3034" s="185"/>
      <c r="K3034" s="185"/>
      <c r="L3034" s="187"/>
      <c r="M3034" s="188"/>
      <c r="N3034" s="188"/>
      <c r="O3034" s="208"/>
      <c r="P3034" s="208"/>
      <c r="Q3034" s="208"/>
      <c r="R3034" s="208"/>
    </row>
    <row r="3035">
      <c r="A3035" s="185"/>
      <c r="B3035" s="186"/>
      <c r="C3035" s="185"/>
      <c r="D3035" s="185"/>
      <c r="E3035" s="185"/>
      <c r="F3035" s="185"/>
      <c r="G3035" s="185"/>
      <c r="H3035" s="185"/>
      <c r="I3035" s="185"/>
      <c r="J3035" s="185"/>
      <c r="K3035" s="185"/>
      <c r="L3035" s="187"/>
      <c r="M3035" s="188"/>
      <c r="N3035" s="188"/>
      <c r="O3035" s="208"/>
      <c r="P3035" s="208"/>
      <c r="Q3035" s="208"/>
      <c r="R3035" s="208"/>
    </row>
    <row r="3036">
      <c r="A3036" s="185"/>
      <c r="B3036" s="186"/>
      <c r="C3036" s="185"/>
      <c r="D3036" s="185"/>
      <c r="E3036" s="185"/>
      <c r="F3036" s="185"/>
      <c r="G3036" s="185"/>
      <c r="H3036" s="185"/>
      <c r="I3036" s="185"/>
      <c r="J3036" s="185"/>
      <c r="K3036" s="185"/>
      <c r="L3036" s="187"/>
      <c r="M3036" s="188"/>
      <c r="N3036" s="188"/>
      <c r="O3036" s="208"/>
      <c r="P3036" s="208"/>
      <c r="Q3036" s="208"/>
      <c r="R3036" s="208"/>
    </row>
    <row r="3037">
      <c r="A3037" s="185"/>
      <c r="B3037" s="186"/>
      <c r="C3037" s="185"/>
      <c r="D3037" s="185"/>
      <c r="E3037" s="185"/>
      <c r="F3037" s="185"/>
      <c r="G3037" s="185"/>
      <c r="H3037" s="185"/>
      <c r="I3037" s="185"/>
      <c r="J3037" s="185"/>
      <c r="K3037" s="185"/>
      <c r="L3037" s="187"/>
      <c r="M3037" s="188"/>
      <c r="N3037" s="188"/>
      <c r="O3037" s="208"/>
      <c r="P3037" s="208"/>
      <c r="Q3037" s="208"/>
      <c r="R3037" s="208"/>
    </row>
    <row r="3038">
      <c r="A3038" s="185"/>
      <c r="B3038" s="186"/>
      <c r="C3038" s="185"/>
      <c r="D3038" s="185"/>
      <c r="E3038" s="185"/>
      <c r="F3038" s="185"/>
      <c r="G3038" s="185"/>
      <c r="H3038" s="185"/>
      <c r="I3038" s="185"/>
      <c r="J3038" s="185"/>
      <c r="K3038" s="185"/>
      <c r="L3038" s="187"/>
      <c r="M3038" s="188"/>
      <c r="N3038" s="188"/>
      <c r="O3038" s="208"/>
      <c r="P3038" s="208"/>
      <c r="Q3038" s="208"/>
      <c r="R3038" s="208"/>
    </row>
    <row r="3039">
      <c r="A3039" s="185"/>
      <c r="B3039" s="186"/>
      <c r="C3039" s="185"/>
      <c r="D3039" s="185"/>
      <c r="E3039" s="185"/>
      <c r="F3039" s="185"/>
      <c r="G3039" s="185"/>
      <c r="H3039" s="185"/>
      <c r="I3039" s="185"/>
      <c r="J3039" s="185"/>
      <c r="K3039" s="185"/>
      <c r="L3039" s="187"/>
      <c r="M3039" s="188"/>
      <c r="N3039" s="188"/>
      <c r="O3039" s="208"/>
      <c r="P3039" s="208"/>
      <c r="Q3039" s="208"/>
      <c r="R3039" s="208"/>
    </row>
    <row r="3040">
      <c r="A3040" s="185"/>
      <c r="B3040" s="186"/>
      <c r="C3040" s="185"/>
      <c r="D3040" s="185"/>
      <c r="E3040" s="185"/>
      <c r="F3040" s="185"/>
      <c r="G3040" s="185"/>
      <c r="H3040" s="185"/>
      <c r="I3040" s="185"/>
      <c r="J3040" s="185"/>
      <c r="K3040" s="185"/>
      <c r="L3040" s="187"/>
      <c r="M3040" s="188"/>
      <c r="N3040" s="188"/>
      <c r="O3040" s="208"/>
      <c r="P3040" s="208"/>
      <c r="Q3040" s="208"/>
      <c r="R3040" s="208"/>
    </row>
    <row r="3041">
      <c r="A3041" s="185"/>
      <c r="B3041" s="186"/>
      <c r="C3041" s="185"/>
      <c r="D3041" s="185"/>
      <c r="E3041" s="185"/>
      <c r="F3041" s="185"/>
      <c r="G3041" s="185"/>
      <c r="H3041" s="185"/>
      <c r="I3041" s="185"/>
      <c r="J3041" s="185"/>
      <c r="K3041" s="185"/>
      <c r="L3041" s="187"/>
      <c r="M3041" s="188"/>
      <c r="N3041" s="188"/>
      <c r="O3041" s="208"/>
      <c r="P3041" s="208"/>
      <c r="Q3041" s="208"/>
      <c r="R3041" s="208"/>
    </row>
    <row r="3042">
      <c r="A3042" s="185"/>
      <c r="B3042" s="186"/>
      <c r="C3042" s="185"/>
      <c r="D3042" s="185"/>
      <c r="E3042" s="185"/>
      <c r="F3042" s="185"/>
      <c r="G3042" s="185"/>
      <c r="H3042" s="185"/>
      <c r="I3042" s="185"/>
      <c r="J3042" s="185"/>
      <c r="K3042" s="185"/>
      <c r="L3042" s="187"/>
      <c r="M3042" s="188"/>
      <c r="N3042" s="188"/>
      <c r="O3042" s="208"/>
      <c r="P3042" s="208"/>
      <c r="Q3042" s="208"/>
      <c r="R3042" s="208"/>
    </row>
    <row r="3043">
      <c r="A3043" s="185"/>
      <c r="B3043" s="186"/>
      <c r="C3043" s="185"/>
      <c r="D3043" s="185"/>
      <c r="E3043" s="185"/>
      <c r="F3043" s="185"/>
      <c r="G3043" s="185"/>
      <c r="H3043" s="185"/>
      <c r="I3043" s="185"/>
      <c r="J3043" s="185"/>
      <c r="K3043" s="185"/>
      <c r="L3043" s="187"/>
      <c r="M3043" s="188"/>
      <c r="N3043" s="188"/>
      <c r="O3043" s="208"/>
      <c r="P3043" s="208"/>
      <c r="Q3043" s="208"/>
      <c r="R3043" s="208"/>
    </row>
    <row r="3044">
      <c r="A3044" s="185"/>
      <c r="B3044" s="186"/>
      <c r="C3044" s="185"/>
      <c r="D3044" s="185"/>
      <c r="E3044" s="185"/>
      <c r="F3044" s="185"/>
      <c r="G3044" s="185"/>
      <c r="H3044" s="185"/>
      <c r="I3044" s="185"/>
      <c r="J3044" s="185"/>
      <c r="K3044" s="185"/>
      <c r="L3044" s="187"/>
      <c r="M3044" s="188"/>
      <c r="N3044" s="188"/>
      <c r="O3044" s="208"/>
      <c r="P3044" s="208"/>
      <c r="Q3044" s="208"/>
      <c r="R3044" s="208"/>
    </row>
    <row r="3045">
      <c r="A3045" s="185"/>
      <c r="B3045" s="186"/>
      <c r="C3045" s="185"/>
      <c r="D3045" s="185"/>
      <c r="E3045" s="185"/>
      <c r="F3045" s="185"/>
      <c r="G3045" s="185"/>
      <c r="H3045" s="185"/>
      <c r="I3045" s="185"/>
      <c r="J3045" s="185"/>
      <c r="K3045" s="185"/>
      <c r="L3045" s="187"/>
      <c r="M3045" s="188"/>
      <c r="N3045" s="188"/>
      <c r="O3045" s="208"/>
      <c r="P3045" s="208"/>
      <c r="Q3045" s="208"/>
      <c r="R3045" s="208"/>
    </row>
    <row r="3046">
      <c r="A3046" s="185"/>
      <c r="B3046" s="186"/>
      <c r="C3046" s="185"/>
      <c r="D3046" s="185"/>
      <c r="E3046" s="185"/>
      <c r="F3046" s="185"/>
      <c r="G3046" s="185"/>
      <c r="H3046" s="185"/>
      <c r="I3046" s="185"/>
      <c r="J3046" s="185"/>
      <c r="K3046" s="185"/>
      <c r="L3046" s="187"/>
      <c r="M3046" s="188"/>
      <c r="N3046" s="188"/>
      <c r="O3046" s="208"/>
      <c r="P3046" s="208"/>
      <c r="Q3046" s="208"/>
      <c r="R3046" s="208"/>
    </row>
    <row r="3047">
      <c r="A3047" s="185"/>
      <c r="B3047" s="186"/>
      <c r="C3047" s="185"/>
      <c r="D3047" s="185"/>
      <c r="E3047" s="185"/>
      <c r="F3047" s="185"/>
      <c r="G3047" s="185"/>
      <c r="H3047" s="185"/>
      <c r="I3047" s="185"/>
      <c r="J3047" s="185"/>
      <c r="K3047" s="185"/>
      <c r="L3047" s="187"/>
      <c r="M3047" s="188"/>
      <c r="N3047" s="188"/>
      <c r="O3047" s="208"/>
      <c r="P3047" s="208"/>
      <c r="Q3047" s="208"/>
      <c r="R3047" s="208"/>
    </row>
    <row r="3048">
      <c r="A3048" s="185"/>
      <c r="B3048" s="186"/>
      <c r="C3048" s="185"/>
      <c r="D3048" s="185"/>
      <c r="E3048" s="185"/>
      <c r="F3048" s="185"/>
      <c r="G3048" s="185"/>
      <c r="H3048" s="185"/>
      <c r="I3048" s="185"/>
      <c r="J3048" s="185"/>
      <c r="K3048" s="185"/>
      <c r="L3048" s="187"/>
      <c r="M3048" s="188"/>
      <c r="N3048" s="188"/>
      <c r="O3048" s="208"/>
      <c r="P3048" s="208"/>
      <c r="Q3048" s="208"/>
      <c r="R3048" s="208"/>
    </row>
    <row r="3049">
      <c r="A3049" s="185"/>
      <c r="B3049" s="186"/>
      <c r="C3049" s="185"/>
      <c r="D3049" s="185"/>
      <c r="E3049" s="185"/>
      <c r="F3049" s="185"/>
      <c r="G3049" s="185"/>
      <c r="H3049" s="185"/>
      <c r="I3049" s="185"/>
      <c r="J3049" s="185"/>
      <c r="K3049" s="185"/>
      <c r="L3049" s="187"/>
      <c r="M3049" s="188"/>
      <c r="N3049" s="188"/>
      <c r="O3049" s="208"/>
      <c r="P3049" s="208"/>
      <c r="Q3049" s="208"/>
      <c r="R3049" s="208"/>
    </row>
    <row r="3050">
      <c r="A3050" s="185"/>
      <c r="B3050" s="186"/>
      <c r="C3050" s="185"/>
      <c r="D3050" s="185"/>
      <c r="E3050" s="185"/>
      <c r="F3050" s="185"/>
      <c r="G3050" s="185"/>
      <c r="H3050" s="185"/>
      <c r="I3050" s="185"/>
      <c r="J3050" s="185"/>
      <c r="K3050" s="185"/>
      <c r="L3050" s="187"/>
      <c r="M3050" s="188"/>
      <c r="N3050" s="188"/>
      <c r="O3050" s="208"/>
      <c r="P3050" s="208"/>
      <c r="Q3050" s="208"/>
      <c r="R3050" s="208"/>
    </row>
    <row r="3051">
      <c r="A3051" s="185"/>
      <c r="B3051" s="186"/>
      <c r="C3051" s="185"/>
      <c r="D3051" s="185"/>
      <c r="E3051" s="185"/>
      <c r="F3051" s="185"/>
      <c r="G3051" s="185"/>
      <c r="H3051" s="185"/>
      <c r="I3051" s="185"/>
      <c r="J3051" s="185"/>
      <c r="K3051" s="185"/>
      <c r="L3051" s="187"/>
      <c r="M3051" s="188"/>
      <c r="N3051" s="188"/>
      <c r="O3051" s="208"/>
      <c r="P3051" s="208"/>
      <c r="Q3051" s="208"/>
      <c r="R3051" s="208"/>
    </row>
    <row r="3052">
      <c r="A3052" s="185"/>
      <c r="B3052" s="186"/>
      <c r="C3052" s="185"/>
      <c r="D3052" s="185"/>
      <c r="E3052" s="185"/>
      <c r="F3052" s="185"/>
      <c r="G3052" s="185"/>
      <c r="H3052" s="185"/>
      <c r="I3052" s="185"/>
      <c r="J3052" s="185"/>
      <c r="K3052" s="185"/>
      <c r="L3052" s="187"/>
      <c r="M3052" s="188"/>
      <c r="N3052" s="188"/>
      <c r="O3052" s="208"/>
      <c r="P3052" s="208"/>
      <c r="Q3052" s="208"/>
      <c r="R3052" s="208"/>
    </row>
    <row r="3053">
      <c r="A3053" s="185"/>
      <c r="B3053" s="186"/>
      <c r="C3053" s="185"/>
      <c r="D3053" s="185"/>
      <c r="E3053" s="185"/>
      <c r="F3053" s="185"/>
      <c r="G3053" s="185"/>
      <c r="H3053" s="185"/>
      <c r="I3053" s="185"/>
      <c r="J3053" s="185"/>
      <c r="K3053" s="185"/>
      <c r="L3053" s="187"/>
      <c r="M3053" s="188"/>
      <c r="N3053" s="188"/>
      <c r="O3053" s="208"/>
      <c r="P3053" s="208"/>
      <c r="Q3053" s="208"/>
      <c r="R3053" s="208"/>
    </row>
    <row r="3054">
      <c r="A3054" s="185"/>
      <c r="B3054" s="186"/>
      <c r="C3054" s="185"/>
      <c r="D3054" s="185"/>
      <c r="E3054" s="185"/>
      <c r="F3054" s="185"/>
      <c r="G3054" s="185"/>
      <c r="H3054" s="185"/>
      <c r="I3054" s="185"/>
      <c r="J3054" s="185"/>
      <c r="K3054" s="185"/>
      <c r="L3054" s="187"/>
      <c r="M3054" s="188"/>
      <c r="N3054" s="188"/>
      <c r="O3054" s="208"/>
      <c r="P3054" s="208"/>
      <c r="Q3054" s="208"/>
      <c r="R3054" s="208"/>
    </row>
    <row r="3055">
      <c r="A3055" s="185"/>
      <c r="B3055" s="186"/>
      <c r="C3055" s="185"/>
      <c r="D3055" s="185"/>
      <c r="E3055" s="185"/>
      <c r="F3055" s="185"/>
      <c r="G3055" s="185"/>
      <c r="H3055" s="185"/>
      <c r="I3055" s="185"/>
      <c r="J3055" s="185"/>
      <c r="K3055" s="185"/>
      <c r="L3055" s="187"/>
      <c r="M3055" s="188"/>
      <c r="N3055" s="188"/>
      <c r="O3055" s="208"/>
      <c r="P3055" s="208"/>
      <c r="Q3055" s="208"/>
      <c r="R3055" s="208"/>
    </row>
    <row r="3056">
      <c r="A3056" s="185"/>
      <c r="B3056" s="186"/>
      <c r="C3056" s="185"/>
      <c r="D3056" s="185"/>
      <c r="E3056" s="185"/>
      <c r="F3056" s="185"/>
      <c r="G3056" s="185"/>
      <c r="H3056" s="185"/>
      <c r="I3056" s="185"/>
      <c r="J3056" s="185"/>
      <c r="K3056" s="185"/>
      <c r="L3056" s="187"/>
      <c r="M3056" s="188"/>
      <c r="N3056" s="188"/>
      <c r="O3056" s="208"/>
      <c r="P3056" s="208"/>
      <c r="Q3056" s="208"/>
      <c r="R3056" s="208"/>
    </row>
    <row r="3057">
      <c r="A3057" s="185"/>
      <c r="B3057" s="186"/>
      <c r="C3057" s="185"/>
      <c r="D3057" s="185"/>
      <c r="E3057" s="185"/>
      <c r="F3057" s="185"/>
      <c r="G3057" s="185"/>
      <c r="H3057" s="185"/>
      <c r="I3057" s="185"/>
      <c r="J3057" s="185"/>
      <c r="K3057" s="185"/>
      <c r="L3057" s="187"/>
      <c r="M3057" s="188"/>
      <c r="N3057" s="188"/>
      <c r="O3057" s="208"/>
      <c r="P3057" s="208"/>
      <c r="Q3057" s="208"/>
      <c r="R3057" s="208"/>
    </row>
    <row r="3058">
      <c r="A3058" s="185"/>
      <c r="B3058" s="186"/>
      <c r="C3058" s="185"/>
      <c r="D3058" s="185"/>
      <c r="E3058" s="185"/>
      <c r="F3058" s="185"/>
      <c r="G3058" s="185"/>
      <c r="H3058" s="185"/>
      <c r="I3058" s="185"/>
      <c r="J3058" s="185"/>
      <c r="K3058" s="185"/>
      <c r="L3058" s="187"/>
      <c r="M3058" s="188"/>
      <c r="N3058" s="188"/>
      <c r="O3058" s="208"/>
      <c r="P3058" s="208"/>
      <c r="Q3058" s="208"/>
      <c r="R3058" s="208"/>
    </row>
    <row r="3059">
      <c r="A3059" s="185"/>
      <c r="B3059" s="186"/>
      <c r="C3059" s="185"/>
      <c r="D3059" s="185"/>
      <c r="E3059" s="185"/>
      <c r="F3059" s="185"/>
      <c r="G3059" s="185"/>
      <c r="H3059" s="185"/>
      <c r="I3059" s="185"/>
      <c r="J3059" s="185"/>
      <c r="K3059" s="185"/>
      <c r="L3059" s="187"/>
      <c r="M3059" s="188"/>
      <c r="N3059" s="188"/>
      <c r="O3059" s="208"/>
      <c r="P3059" s="208"/>
      <c r="Q3059" s="208"/>
      <c r="R3059" s="208"/>
    </row>
    <row r="3060">
      <c r="A3060" s="185"/>
      <c r="B3060" s="186"/>
      <c r="C3060" s="185"/>
      <c r="D3060" s="185"/>
      <c r="E3060" s="185"/>
      <c r="F3060" s="185"/>
      <c r="G3060" s="185"/>
      <c r="H3060" s="185"/>
      <c r="I3060" s="185"/>
      <c r="J3060" s="185"/>
      <c r="K3060" s="185"/>
      <c r="L3060" s="187"/>
      <c r="M3060" s="188"/>
      <c r="N3060" s="188"/>
      <c r="O3060" s="208"/>
      <c r="P3060" s="208"/>
      <c r="Q3060" s="208"/>
      <c r="R3060" s="208"/>
    </row>
    <row r="3061">
      <c r="A3061" s="185"/>
      <c r="B3061" s="186"/>
      <c r="C3061" s="185"/>
      <c r="D3061" s="185"/>
      <c r="E3061" s="185"/>
      <c r="F3061" s="185"/>
      <c r="G3061" s="185"/>
      <c r="H3061" s="185"/>
      <c r="I3061" s="185"/>
      <c r="J3061" s="185"/>
      <c r="K3061" s="185"/>
      <c r="L3061" s="187"/>
      <c r="M3061" s="188"/>
      <c r="N3061" s="188"/>
      <c r="O3061" s="208"/>
      <c r="P3061" s="208"/>
      <c r="Q3061" s="208"/>
      <c r="R3061" s="208"/>
    </row>
    <row r="3062">
      <c r="A3062" s="185"/>
      <c r="B3062" s="186"/>
      <c r="C3062" s="185"/>
      <c r="D3062" s="185"/>
      <c r="E3062" s="185"/>
      <c r="F3062" s="185"/>
      <c r="G3062" s="185"/>
      <c r="H3062" s="185"/>
      <c r="I3062" s="185"/>
      <c r="J3062" s="185"/>
      <c r="K3062" s="185"/>
      <c r="L3062" s="187"/>
      <c r="M3062" s="188"/>
      <c r="N3062" s="188"/>
      <c r="O3062" s="208"/>
      <c r="P3062" s="208"/>
      <c r="Q3062" s="208"/>
      <c r="R3062" s="208"/>
    </row>
    <row r="3063">
      <c r="A3063" s="185"/>
      <c r="B3063" s="186"/>
      <c r="C3063" s="185"/>
      <c r="D3063" s="185"/>
      <c r="E3063" s="185"/>
      <c r="F3063" s="185"/>
      <c r="G3063" s="185"/>
      <c r="H3063" s="185"/>
      <c r="I3063" s="185"/>
      <c r="J3063" s="185"/>
      <c r="K3063" s="185"/>
      <c r="L3063" s="187"/>
      <c r="M3063" s="188"/>
      <c r="N3063" s="188"/>
      <c r="O3063" s="208"/>
      <c r="P3063" s="208"/>
      <c r="Q3063" s="208"/>
      <c r="R3063" s="208"/>
    </row>
    <row r="3064">
      <c r="A3064" s="185"/>
      <c r="B3064" s="186"/>
      <c r="C3064" s="185"/>
      <c r="D3064" s="185"/>
      <c r="E3064" s="185"/>
      <c r="F3064" s="185"/>
      <c r="G3064" s="185"/>
      <c r="H3064" s="185"/>
      <c r="I3064" s="185"/>
      <c r="J3064" s="185"/>
      <c r="K3064" s="185"/>
      <c r="L3064" s="187"/>
      <c r="M3064" s="188"/>
      <c r="N3064" s="188"/>
      <c r="O3064" s="208"/>
      <c r="P3064" s="208"/>
      <c r="Q3064" s="208"/>
      <c r="R3064" s="208"/>
    </row>
    <row r="3065">
      <c r="A3065" s="185"/>
      <c r="B3065" s="186"/>
      <c r="C3065" s="185"/>
      <c r="D3065" s="185"/>
      <c r="E3065" s="185"/>
      <c r="F3065" s="185"/>
      <c r="G3065" s="185"/>
      <c r="H3065" s="185"/>
      <c r="I3065" s="185"/>
      <c r="J3065" s="185"/>
      <c r="K3065" s="185"/>
      <c r="L3065" s="187"/>
      <c r="M3065" s="188"/>
      <c r="N3065" s="188"/>
      <c r="O3065" s="208"/>
      <c r="P3065" s="208"/>
      <c r="Q3065" s="208"/>
      <c r="R3065" s="208"/>
    </row>
    <row r="3066">
      <c r="A3066" s="185"/>
      <c r="B3066" s="186"/>
      <c r="C3066" s="185"/>
      <c r="D3066" s="185"/>
      <c r="E3066" s="185"/>
      <c r="F3066" s="185"/>
      <c r="G3066" s="185"/>
      <c r="H3066" s="185"/>
      <c r="I3066" s="185"/>
      <c r="J3066" s="185"/>
      <c r="K3066" s="185"/>
      <c r="L3066" s="187"/>
      <c r="M3066" s="188"/>
      <c r="N3066" s="188"/>
      <c r="O3066" s="208"/>
      <c r="P3066" s="208"/>
      <c r="Q3066" s="208"/>
      <c r="R3066" s="208"/>
    </row>
    <row r="3067">
      <c r="A3067" s="185"/>
      <c r="B3067" s="186"/>
      <c r="C3067" s="185"/>
      <c r="D3067" s="185"/>
      <c r="E3067" s="185"/>
      <c r="F3067" s="185"/>
      <c r="G3067" s="185"/>
      <c r="H3067" s="185"/>
      <c r="I3067" s="185"/>
      <c r="J3067" s="185"/>
      <c r="K3067" s="185"/>
      <c r="L3067" s="187"/>
      <c r="M3067" s="188"/>
      <c r="N3067" s="188"/>
      <c r="O3067" s="208"/>
      <c r="P3067" s="208"/>
      <c r="Q3067" s="208"/>
      <c r="R3067" s="208"/>
    </row>
    <row r="3068">
      <c r="A3068" s="185"/>
      <c r="B3068" s="186"/>
      <c r="C3068" s="185"/>
      <c r="D3068" s="185"/>
      <c r="E3068" s="185"/>
      <c r="F3068" s="185"/>
      <c r="G3068" s="185"/>
      <c r="H3068" s="185"/>
      <c r="I3068" s="185"/>
      <c r="J3068" s="185"/>
      <c r="K3068" s="185"/>
      <c r="L3068" s="187"/>
      <c r="M3068" s="188"/>
      <c r="N3068" s="188"/>
      <c r="O3068" s="208"/>
      <c r="P3068" s="208"/>
      <c r="Q3068" s="208"/>
      <c r="R3068" s="208"/>
    </row>
    <row r="3069">
      <c r="A3069" s="185"/>
      <c r="B3069" s="186"/>
      <c r="C3069" s="185"/>
      <c r="D3069" s="185"/>
      <c r="E3069" s="185"/>
      <c r="F3069" s="185"/>
      <c r="G3069" s="185"/>
      <c r="H3069" s="185"/>
      <c r="I3069" s="185"/>
      <c r="J3069" s="185"/>
      <c r="K3069" s="185"/>
      <c r="L3069" s="187"/>
      <c r="M3069" s="188"/>
      <c r="N3069" s="188"/>
      <c r="O3069" s="208"/>
      <c r="P3069" s="208"/>
      <c r="Q3069" s="208"/>
      <c r="R3069" s="208"/>
    </row>
    <row r="3070">
      <c r="A3070" s="185"/>
      <c r="B3070" s="186"/>
      <c r="C3070" s="185"/>
      <c r="D3070" s="185"/>
      <c r="E3070" s="185"/>
      <c r="F3070" s="185"/>
      <c r="G3070" s="185"/>
      <c r="H3070" s="185"/>
      <c r="I3070" s="185"/>
      <c r="J3070" s="185"/>
      <c r="K3070" s="185"/>
      <c r="L3070" s="187"/>
      <c r="M3070" s="188"/>
      <c r="N3070" s="188"/>
      <c r="O3070" s="208"/>
      <c r="P3070" s="208"/>
      <c r="Q3070" s="208"/>
      <c r="R3070" s="208"/>
    </row>
    <row r="3071">
      <c r="A3071" s="185"/>
      <c r="B3071" s="186"/>
      <c r="C3071" s="185"/>
      <c r="D3071" s="185"/>
      <c r="E3071" s="185"/>
      <c r="F3071" s="185"/>
      <c r="G3071" s="185"/>
      <c r="H3071" s="185"/>
      <c r="I3071" s="185"/>
      <c r="J3071" s="185"/>
      <c r="K3071" s="185"/>
      <c r="L3071" s="187"/>
      <c r="M3071" s="188"/>
      <c r="N3071" s="188"/>
      <c r="O3071" s="208"/>
      <c r="P3071" s="208"/>
      <c r="Q3071" s="208"/>
      <c r="R3071" s="208"/>
    </row>
    <row r="3072">
      <c r="A3072" s="185"/>
      <c r="B3072" s="186"/>
      <c r="C3072" s="185"/>
      <c r="D3072" s="185"/>
      <c r="E3072" s="185"/>
      <c r="F3072" s="185"/>
      <c r="G3072" s="185"/>
      <c r="H3072" s="185"/>
      <c r="I3072" s="185"/>
      <c r="J3072" s="185"/>
      <c r="K3072" s="185"/>
      <c r="L3072" s="187"/>
      <c r="M3072" s="188"/>
      <c r="N3072" s="188"/>
      <c r="O3072" s="208"/>
      <c r="P3072" s="208"/>
      <c r="Q3072" s="208"/>
      <c r="R3072" s="208"/>
    </row>
    <row r="3073">
      <c r="A3073" s="185"/>
      <c r="B3073" s="186"/>
      <c r="C3073" s="185"/>
      <c r="D3073" s="185"/>
      <c r="E3073" s="185"/>
      <c r="F3073" s="185"/>
      <c r="G3073" s="185"/>
      <c r="H3073" s="185"/>
      <c r="I3073" s="185"/>
      <c r="J3073" s="185"/>
      <c r="K3073" s="185"/>
      <c r="L3073" s="187"/>
      <c r="M3073" s="188"/>
      <c r="N3073" s="188"/>
      <c r="O3073" s="208"/>
      <c r="P3073" s="208"/>
      <c r="Q3073" s="208"/>
      <c r="R3073" s="208"/>
    </row>
    <row r="3074">
      <c r="A3074" s="185"/>
      <c r="B3074" s="186"/>
      <c r="C3074" s="185"/>
      <c r="D3074" s="185"/>
      <c r="E3074" s="185"/>
      <c r="F3074" s="185"/>
      <c r="G3074" s="185"/>
      <c r="H3074" s="185"/>
      <c r="I3074" s="185"/>
      <c r="J3074" s="185"/>
      <c r="K3074" s="185"/>
      <c r="L3074" s="187"/>
      <c r="M3074" s="188"/>
      <c r="N3074" s="188"/>
      <c r="O3074" s="208"/>
      <c r="P3074" s="208"/>
      <c r="Q3074" s="208"/>
      <c r="R3074" s="208"/>
    </row>
    <row r="3075">
      <c r="A3075" s="185"/>
      <c r="B3075" s="186"/>
      <c r="C3075" s="185"/>
      <c r="D3075" s="185"/>
      <c r="E3075" s="185"/>
      <c r="F3075" s="185"/>
      <c r="G3075" s="185"/>
      <c r="H3075" s="185"/>
      <c r="I3075" s="185"/>
      <c r="J3075" s="185"/>
      <c r="K3075" s="185"/>
      <c r="L3075" s="187"/>
      <c r="M3075" s="188"/>
      <c r="N3075" s="188"/>
      <c r="O3075" s="208"/>
      <c r="P3075" s="208"/>
      <c r="Q3075" s="208"/>
      <c r="R3075" s="208"/>
    </row>
    <row r="3076">
      <c r="A3076" s="185"/>
      <c r="B3076" s="186"/>
      <c r="C3076" s="185"/>
      <c r="D3076" s="185"/>
      <c r="E3076" s="185"/>
      <c r="F3076" s="185"/>
      <c r="G3076" s="185"/>
      <c r="H3076" s="185"/>
      <c r="I3076" s="185"/>
      <c r="J3076" s="185"/>
      <c r="K3076" s="185"/>
      <c r="L3076" s="187"/>
      <c r="M3076" s="188"/>
      <c r="N3076" s="188"/>
      <c r="O3076" s="208"/>
      <c r="P3076" s="208"/>
      <c r="Q3076" s="208"/>
      <c r="R3076" s="208"/>
    </row>
    <row r="3077">
      <c r="A3077" s="185"/>
      <c r="B3077" s="186"/>
      <c r="C3077" s="185"/>
      <c r="D3077" s="185"/>
      <c r="E3077" s="185"/>
      <c r="F3077" s="185"/>
      <c r="G3077" s="185"/>
      <c r="H3077" s="185"/>
      <c r="I3077" s="185"/>
      <c r="J3077" s="185"/>
      <c r="K3077" s="185"/>
      <c r="L3077" s="187"/>
      <c r="M3077" s="188"/>
      <c r="N3077" s="188"/>
      <c r="O3077" s="208"/>
      <c r="P3077" s="208"/>
      <c r="Q3077" s="208"/>
      <c r="R3077" s="208"/>
    </row>
    <row r="3078">
      <c r="A3078" s="185"/>
      <c r="B3078" s="186"/>
      <c r="C3078" s="185"/>
      <c r="D3078" s="185"/>
      <c r="E3078" s="185"/>
      <c r="F3078" s="185"/>
      <c r="G3078" s="185"/>
      <c r="H3078" s="185"/>
      <c r="I3078" s="185"/>
      <c r="J3078" s="185"/>
      <c r="K3078" s="185"/>
      <c r="L3078" s="187"/>
      <c r="M3078" s="188"/>
      <c r="N3078" s="188"/>
      <c r="O3078" s="208"/>
      <c r="P3078" s="208"/>
      <c r="Q3078" s="208"/>
      <c r="R3078" s="208"/>
    </row>
    <row r="3079">
      <c r="A3079" s="185"/>
      <c r="B3079" s="186"/>
      <c r="C3079" s="185"/>
      <c r="D3079" s="185"/>
      <c r="E3079" s="185"/>
      <c r="F3079" s="185"/>
      <c r="G3079" s="185"/>
      <c r="H3079" s="185"/>
      <c r="I3079" s="185"/>
      <c r="J3079" s="185"/>
      <c r="K3079" s="185"/>
      <c r="L3079" s="187"/>
      <c r="M3079" s="188"/>
      <c r="N3079" s="188"/>
      <c r="O3079" s="208"/>
      <c r="P3079" s="208"/>
      <c r="Q3079" s="208"/>
      <c r="R3079" s="208"/>
    </row>
    <row r="3080">
      <c r="A3080" s="185"/>
      <c r="B3080" s="186"/>
      <c r="C3080" s="185"/>
      <c r="D3080" s="185"/>
      <c r="E3080" s="185"/>
      <c r="F3080" s="185"/>
      <c r="G3080" s="185"/>
      <c r="H3080" s="185"/>
      <c r="I3080" s="185"/>
      <c r="J3080" s="185"/>
      <c r="K3080" s="185"/>
      <c r="L3080" s="187"/>
      <c r="M3080" s="188"/>
      <c r="N3080" s="188"/>
      <c r="O3080" s="208"/>
      <c r="P3080" s="208"/>
      <c r="Q3080" s="208"/>
      <c r="R3080" s="208"/>
    </row>
    <row r="3081">
      <c r="A3081" s="185"/>
      <c r="B3081" s="186"/>
      <c r="C3081" s="185"/>
      <c r="D3081" s="185"/>
      <c r="E3081" s="185"/>
      <c r="F3081" s="185"/>
      <c r="G3081" s="185"/>
      <c r="H3081" s="185"/>
      <c r="I3081" s="185"/>
      <c r="J3081" s="185"/>
      <c r="K3081" s="185"/>
      <c r="L3081" s="187"/>
      <c r="M3081" s="188"/>
      <c r="N3081" s="188"/>
      <c r="O3081" s="208"/>
      <c r="P3081" s="208"/>
      <c r="Q3081" s="208"/>
      <c r="R3081" s="208"/>
    </row>
    <row r="3082">
      <c r="A3082" s="185"/>
      <c r="B3082" s="186"/>
      <c r="C3082" s="185"/>
      <c r="D3082" s="185"/>
      <c r="E3082" s="185"/>
      <c r="F3082" s="185"/>
      <c r="G3082" s="185"/>
      <c r="H3082" s="185"/>
      <c r="I3082" s="185"/>
      <c r="J3082" s="185"/>
      <c r="K3082" s="185"/>
      <c r="L3082" s="187"/>
      <c r="M3082" s="188"/>
      <c r="N3082" s="188"/>
      <c r="O3082" s="208"/>
      <c r="P3082" s="208"/>
      <c r="Q3082" s="208"/>
      <c r="R3082" s="208"/>
    </row>
    <row r="3083">
      <c r="A3083" s="185"/>
      <c r="B3083" s="186"/>
      <c r="C3083" s="185"/>
      <c r="D3083" s="185"/>
      <c r="E3083" s="185"/>
      <c r="F3083" s="185"/>
      <c r="G3083" s="185"/>
      <c r="H3083" s="185"/>
      <c r="I3083" s="185"/>
      <c r="J3083" s="185"/>
      <c r="K3083" s="185"/>
      <c r="L3083" s="187"/>
      <c r="M3083" s="188"/>
      <c r="N3083" s="188"/>
      <c r="O3083" s="208"/>
      <c r="P3083" s="208"/>
      <c r="Q3083" s="208"/>
      <c r="R3083" s="208"/>
    </row>
    <row r="3084">
      <c r="A3084" s="185"/>
      <c r="B3084" s="186"/>
      <c r="C3084" s="185"/>
      <c r="D3084" s="185"/>
      <c r="E3084" s="185"/>
      <c r="F3084" s="185"/>
      <c r="G3084" s="185"/>
      <c r="H3084" s="185"/>
      <c r="I3084" s="185"/>
      <c r="J3084" s="185"/>
      <c r="K3084" s="185"/>
      <c r="L3084" s="187"/>
      <c r="M3084" s="188"/>
      <c r="N3084" s="188"/>
      <c r="O3084" s="208"/>
      <c r="P3084" s="208"/>
      <c r="Q3084" s="208"/>
      <c r="R3084" s="208"/>
    </row>
    <row r="3085">
      <c r="A3085" s="185"/>
      <c r="B3085" s="186"/>
      <c r="C3085" s="185"/>
      <c r="D3085" s="185"/>
      <c r="E3085" s="185"/>
      <c r="F3085" s="185"/>
      <c r="G3085" s="185"/>
      <c r="H3085" s="185"/>
      <c r="I3085" s="185"/>
      <c r="J3085" s="185"/>
      <c r="K3085" s="185"/>
      <c r="L3085" s="187"/>
      <c r="M3085" s="188"/>
      <c r="N3085" s="188"/>
      <c r="O3085" s="208"/>
      <c r="P3085" s="208"/>
      <c r="Q3085" s="208"/>
      <c r="R3085" s="208"/>
    </row>
    <row r="3086">
      <c r="A3086" s="185"/>
      <c r="B3086" s="186"/>
      <c r="C3086" s="185"/>
      <c r="D3086" s="185"/>
      <c r="E3086" s="185"/>
      <c r="F3086" s="185"/>
      <c r="G3086" s="185"/>
      <c r="H3086" s="185"/>
      <c r="I3086" s="185"/>
      <c r="J3086" s="185"/>
      <c r="K3086" s="185"/>
      <c r="L3086" s="187"/>
      <c r="M3086" s="188"/>
      <c r="N3086" s="188"/>
      <c r="O3086" s="208"/>
      <c r="P3086" s="208"/>
      <c r="Q3086" s="208"/>
      <c r="R3086" s="208"/>
    </row>
    <row r="3087">
      <c r="A3087" s="185"/>
      <c r="B3087" s="186"/>
      <c r="C3087" s="185"/>
      <c r="D3087" s="185"/>
      <c r="E3087" s="185"/>
      <c r="F3087" s="185"/>
      <c r="G3087" s="185"/>
      <c r="H3087" s="185"/>
      <c r="I3087" s="185"/>
      <c r="J3087" s="185"/>
      <c r="K3087" s="185"/>
      <c r="L3087" s="187"/>
      <c r="M3087" s="188"/>
      <c r="N3087" s="188"/>
      <c r="O3087" s="208"/>
      <c r="P3087" s="208"/>
      <c r="Q3087" s="208"/>
      <c r="R3087" s="208"/>
    </row>
    <row r="3088">
      <c r="A3088" s="185"/>
      <c r="B3088" s="186"/>
      <c r="C3088" s="185"/>
      <c r="D3088" s="185"/>
      <c r="E3088" s="185"/>
      <c r="F3088" s="185"/>
      <c r="G3088" s="185"/>
      <c r="H3088" s="185"/>
      <c r="I3088" s="185"/>
      <c r="J3088" s="185"/>
      <c r="K3088" s="185"/>
      <c r="L3088" s="187"/>
      <c r="M3088" s="188"/>
      <c r="N3088" s="188"/>
      <c r="O3088" s="208"/>
      <c r="P3088" s="208"/>
      <c r="Q3088" s="208"/>
      <c r="R3088" s="208"/>
    </row>
    <row r="3089">
      <c r="A3089" s="185"/>
      <c r="B3089" s="186"/>
      <c r="C3089" s="185"/>
      <c r="D3089" s="185"/>
      <c r="E3089" s="185"/>
      <c r="F3089" s="185"/>
      <c r="G3089" s="185"/>
      <c r="H3089" s="185"/>
      <c r="I3089" s="185"/>
      <c r="J3089" s="185"/>
      <c r="K3089" s="185"/>
      <c r="L3089" s="187"/>
      <c r="M3089" s="188"/>
      <c r="N3089" s="188"/>
      <c r="O3089" s="208"/>
      <c r="P3089" s="208"/>
      <c r="Q3089" s="208"/>
      <c r="R3089" s="208"/>
    </row>
    <row r="3090">
      <c r="A3090" s="185"/>
      <c r="B3090" s="186"/>
      <c r="C3090" s="185"/>
      <c r="D3090" s="185"/>
      <c r="E3090" s="185"/>
      <c r="F3090" s="185"/>
      <c r="G3090" s="185"/>
      <c r="H3090" s="185"/>
      <c r="I3090" s="185"/>
      <c r="J3090" s="185"/>
      <c r="K3090" s="185"/>
      <c r="L3090" s="187"/>
      <c r="M3090" s="188"/>
      <c r="N3090" s="188"/>
      <c r="O3090" s="208"/>
      <c r="P3090" s="208"/>
      <c r="Q3090" s="208"/>
      <c r="R3090" s="208"/>
    </row>
    <row r="3091">
      <c r="A3091" s="185"/>
      <c r="B3091" s="186"/>
      <c r="C3091" s="185"/>
      <c r="D3091" s="185"/>
      <c r="E3091" s="185"/>
      <c r="F3091" s="185"/>
      <c r="G3091" s="185"/>
      <c r="H3091" s="185"/>
      <c r="I3091" s="185"/>
      <c r="J3091" s="185"/>
      <c r="K3091" s="185"/>
      <c r="L3091" s="187"/>
      <c r="M3091" s="188"/>
      <c r="N3091" s="188"/>
      <c r="O3091" s="208"/>
      <c r="P3091" s="208"/>
      <c r="Q3091" s="208"/>
      <c r="R3091" s="208"/>
    </row>
    <row r="3092">
      <c r="A3092" s="185"/>
      <c r="B3092" s="186"/>
      <c r="C3092" s="185"/>
      <c r="D3092" s="185"/>
      <c r="E3092" s="185"/>
      <c r="F3092" s="185"/>
      <c r="G3092" s="185"/>
      <c r="H3092" s="185"/>
      <c r="I3092" s="185"/>
      <c r="J3092" s="185"/>
      <c r="K3092" s="185"/>
      <c r="L3092" s="187"/>
      <c r="M3092" s="188"/>
      <c r="N3092" s="188"/>
      <c r="O3092" s="208"/>
      <c r="P3092" s="208"/>
      <c r="Q3092" s="208"/>
      <c r="R3092" s="208"/>
    </row>
    <row r="3093">
      <c r="A3093" s="185"/>
      <c r="B3093" s="186"/>
      <c r="C3093" s="185"/>
      <c r="D3093" s="185"/>
      <c r="E3093" s="185"/>
      <c r="F3093" s="185"/>
      <c r="G3093" s="185"/>
      <c r="H3093" s="185"/>
      <c r="I3093" s="185"/>
      <c r="J3093" s="185"/>
      <c r="K3093" s="185"/>
      <c r="L3093" s="187"/>
      <c r="M3093" s="188"/>
      <c r="N3093" s="188"/>
      <c r="O3093" s="208"/>
      <c r="P3093" s="208"/>
      <c r="Q3093" s="208"/>
      <c r="R3093" s="208"/>
    </row>
    <row r="3094">
      <c r="A3094" s="185"/>
      <c r="B3094" s="186"/>
      <c r="C3094" s="185"/>
      <c r="D3094" s="185"/>
      <c r="E3094" s="185"/>
      <c r="F3094" s="185"/>
      <c r="G3094" s="185"/>
      <c r="H3094" s="185"/>
      <c r="I3094" s="185"/>
      <c r="J3094" s="185"/>
      <c r="K3094" s="185"/>
      <c r="L3094" s="187"/>
      <c r="M3094" s="188"/>
      <c r="N3094" s="188"/>
      <c r="O3094" s="208"/>
      <c r="P3094" s="208"/>
      <c r="Q3094" s="208"/>
      <c r="R3094" s="208"/>
    </row>
    <row r="3095">
      <c r="A3095" s="185"/>
      <c r="B3095" s="186"/>
      <c r="C3095" s="185"/>
      <c r="D3095" s="185"/>
      <c r="E3095" s="185"/>
      <c r="F3095" s="185"/>
      <c r="G3095" s="185"/>
      <c r="H3095" s="185"/>
      <c r="I3095" s="185"/>
      <c r="J3095" s="185"/>
      <c r="K3095" s="185"/>
      <c r="L3095" s="187"/>
      <c r="M3095" s="188"/>
      <c r="N3095" s="188"/>
      <c r="O3095" s="208"/>
      <c r="P3095" s="208"/>
      <c r="Q3095" s="208"/>
      <c r="R3095" s="208"/>
    </row>
    <row r="3096">
      <c r="A3096" s="185"/>
      <c r="B3096" s="186"/>
      <c r="C3096" s="185"/>
      <c r="D3096" s="185"/>
      <c r="E3096" s="185"/>
      <c r="F3096" s="185"/>
      <c r="G3096" s="185"/>
      <c r="H3096" s="185"/>
      <c r="I3096" s="185"/>
      <c r="J3096" s="185"/>
      <c r="K3096" s="185"/>
      <c r="L3096" s="187"/>
      <c r="M3096" s="188"/>
      <c r="N3096" s="188"/>
      <c r="O3096" s="208"/>
      <c r="P3096" s="208"/>
      <c r="Q3096" s="208"/>
      <c r="R3096" s="208"/>
    </row>
    <row r="3097">
      <c r="A3097" s="185"/>
      <c r="B3097" s="186"/>
      <c r="C3097" s="185"/>
      <c r="D3097" s="185"/>
      <c r="E3097" s="185"/>
      <c r="F3097" s="185"/>
      <c r="G3097" s="185"/>
      <c r="H3097" s="185"/>
      <c r="I3097" s="185"/>
      <c r="J3097" s="185"/>
      <c r="K3097" s="185"/>
      <c r="L3097" s="187"/>
      <c r="M3097" s="188"/>
      <c r="N3097" s="188"/>
      <c r="O3097" s="208"/>
      <c r="P3097" s="208"/>
      <c r="Q3097" s="208"/>
      <c r="R3097" s="208"/>
    </row>
    <row r="3098">
      <c r="A3098" s="185"/>
      <c r="B3098" s="186"/>
      <c r="C3098" s="185"/>
      <c r="D3098" s="185"/>
      <c r="E3098" s="185"/>
      <c r="F3098" s="185"/>
      <c r="G3098" s="185"/>
      <c r="H3098" s="185"/>
      <c r="I3098" s="185"/>
      <c r="J3098" s="185"/>
      <c r="K3098" s="185"/>
      <c r="L3098" s="187"/>
      <c r="M3098" s="188"/>
      <c r="N3098" s="188"/>
      <c r="O3098" s="208"/>
      <c r="P3098" s="208"/>
      <c r="Q3098" s="208"/>
      <c r="R3098" s="208"/>
    </row>
    <row r="3099">
      <c r="A3099" s="185"/>
      <c r="B3099" s="186"/>
      <c r="C3099" s="185"/>
      <c r="D3099" s="185"/>
      <c r="E3099" s="185"/>
      <c r="F3099" s="185"/>
      <c r="G3099" s="185"/>
      <c r="H3099" s="185"/>
      <c r="I3099" s="185"/>
      <c r="J3099" s="185"/>
      <c r="K3099" s="185"/>
      <c r="L3099" s="187"/>
      <c r="M3099" s="188"/>
      <c r="N3099" s="188"/>
      <c r="O3099" s="208"/>
      <c r="P3099" s="208"/>
      <c r="Q3099" s="208"/>
      <c r="R3099" s="208"/>
    </row>
    <row r="3100">
      <c r="A3100" s="185"/>
      <c r="B3100" s="186"/>
      <c r="C3100" s="185"/>
      <c r="D3100" s="185"/>
      <c r="E3100" s="185"/>
      <c r="F3100" s="185"/>
      <c r="G3100" s="185"/>
      <c r="H3100" s="185"/>
      <c r="I3100" s="185"/>
      <c r="J3100" s="185"/>
      <c r="K3100" s="185"/>
      <c r="L3100" s="187"/>
      <c r="M3100" s="188"/>
      <c r="N3100" s="188"/>
      <c r="O3100" s="208"/>
      <c r="P3100" s="208"/>
      <c r="Q3100" s="208"/>
      <c r="R3100" s="208"/>
    </row>
    <row r="3101">
      <c r="A3101" s="185"/>
      <c r="B3101" s="186"/>
      <c r="C3101" s="185"/>
      <c r="D3101" s="185"/>
      <c r="E3101" s="185"/>
      <c r="F3101" s="185"/>
      <c r="G3101" s="185"/>
      <c r="H3101" s="185"/>
      <c r="I3101" s="185"/>
      <c r="J3101" s="185"/>
      <c r="K3101" s="185"/>
      <c r="L3101" s="187"/>
      <c r="M3101" s="188"/>
      <c r="N3101" s="188"/>
      <c r="O3101" s="208"/>
      <c r="P3101" s="208"/>
      <c r="Q3101" s="208"/>
      <c r="R3101" s="208"/>
    </row>
    <row r="3102">
      <c r="A3102" s="185"/>
      <c r="B3102" s="186"/>
      <c r="C3102" s="185"/>
      <c r="D3102" s="185"/>
      <c r="E3102" s="185"/>
      <c r="F3102" s="185"/>
      <c r="G3102" s="185"/>
      <c r="H3102" s="185"/>
      <c r="I3102" s="185"/>
      <c r="J3102" s="185"/>
      <c r="K3102" s="185"/>
      <c r="L3102" s="187"/>
      <c r="M3102" s="188"/>
      <c r="N3102" s="188"/>
      <c r="O3102" s="208"/>
      <c r="P3102" s="208"/>
      <c r="Q3102" s="208"/>
      <c r="R3102" s="208"/>
    </row>
    <row r="3103">
      <c r="A3103" s="185"/>
      <c r="B3103" s="186"/>
      <c r="C3103" s="185"/>
      <c r="D3103" s="185"/>
      <c r="E3103" s="185"/>
      <c r="F3103" s="185"/>
      <c r="G3103" s="185"/>
      <c r="H3103" s="185"/>
      <c r="I3103" s="185"/>
      <c r="J3103" s="185"/>
      <c r="K3103" s="185"/>
      <c r="L3103" s="187"/>
      <c r="M3103" s="188"/>
      <c r="N3103" s="188"/>
      <c r="O3103" s="208"/>
      <c r="P3103" s="208"/>
      <c r="Q3103" s="208"/>
      <c r="R3103" s="208"/>
    </row>
    <row r="3104">
      <c r="A3104" s="185"/>
      <c r="B3104" s="186"/>
      <c r="C3104" s="185"/>
      <c r="D3104" s="185"/>
      <c r="E3104" s="185"/>
      <c r="F3104" s="185"/>
      <c r="G3104" s="185"/>
      <c r="H3104" s="185"/>
      <c r="I3104" s="185"/>
      <c r="J3104" s="185"/>
      <c r="K3104" s="185"/>
      <c r="L3104" s="187"/>
      <c r="M3104" s="188"/>
      <c r="N3104" s="188"/>
      <c r="O3104" s="208"/>
      <c r="P3104" s="208"/>
      <c r="Q3104" s="208"/>
      <c r="R3104" s="208"/>
    </row>
    <row r="3105">
      <c r="A3105" s="185"/>
      <c r="B3105" s="186"/>
      <c r="C3105" s="185"/>
      <c r="D3105" s="185"/>
      <c r="E3105" s="185"/>
      <c r="F3105" s="185"/>
      <c r="G3105" s="185"/>
      <c r="H3105" s="185"/>
      <c r="I3105" s="185"/>
      <c r="J3105" s="185"/>
      <c r="K3105" s="185"/>
      <c r="L3105" s="187"/>
      <c r="M3105" s="188"/>
      <c r="N3105" s="188"/>
      <c r="O3105" s="208"/>
      <c r="P3105" s="208"/>
      <c r="Q3105" s="208"/>
      <c r="R3105" s="208"/>
    </row>
    <row r="3106">
      <c r="A3106" s="185"/>
      <c r="B3106" s="186"/>
      <c r="C3106" s="185"/>
      <c r="D3106" s="185"/>
      <c r="E3106" s="185"/>
      <c r="F3106" s="185"/>
      <c r="G3106" s="185"/>
      <c r="H3106" s="185"/>
      <c r="I3106" s="185"/>
      <c r="J3106" s="185"/>
      <c r="K3106" s="185"/>
      <c r="L3106" s="187"/>
      <c r="M3106" s="188"/>
      <c r="N3106" s="188"/>
      <c r="O3106" s="208"/>
      <c r="P3106" s="208"/>
      <c r="Q3106" s="208"/>
      <c r="R3106" s="208"/>
    </row>
    <row r="3107">
      <c r="A3107" s="185"/>
      <c r="B3107" s="186"/>
      <c r="C3107" s="185"/>
      <c r="D3107" s="185"/>
      <c r="E3107" s="185"/>
      <c r="F3107" s="185"/>
      <c r="G3107" s="185"/>
      <c r="H3107" s="185"/>
      <c r="I3107" s="185"/>
      <c r="J3107" s="185"/>
      <c r="K3107" s="185"/>
      <c r="L3107" s="187"/>
      <c r="M3107" s="188"/>
      <c r="N3107" s="188"/>
      <c r="O3107" s="208"/>
      <c r="P3107" s="208"/>
      <c r="Q3107" s="208"/>
      <c r="R3107" s="208"/>
    </row>
    <row r="3108">
      <c r="A3108" s="185"/>
      <c r="B3108" s="186"/>
      <c r="C3108" s="185"/>
      <c r="D3108" s="185"/>
      <c r="E3108" s="185"/>
      <c r="F3108" s="185"/>
      <c r="G3108" s="185"/>
      <c r="H3108" s="185"/>
      <c r="I3108" s="185"/>
      <c r="J3108" s="185"/>
      <c r="K3108" s="185"/>
      <c r="L3108" s="187"/>
      <c r="M3108" s="188"/>
      <c r="N3108" s="188"/>
      <c r="O3108" s="208"/>
      <c r="P3108" s="208"/>
      <c r="Q3108" s="208"/>
      <c r="R3108" s="208"/>
    </row>
    <row r="3109">
      <c r="A3109" s="185"/>
      <c r="B3109" s="186"/>
      <c r="C3109" s="185"/>
      <c r="D3109" s="185"/>
      <c r="E3109" s="185"/>
      <c r="F3109" s="185"/>
      <c r="G3109" s="185"/>
      <c r="H3109" s="185"/>
      <c r="I3109" s="185"/>
      <c r="J3109" s="185"/>
      <c r="K3109" s="185"/>
      <c r="L3109" s="187"/>
      <c r="M3109" s="188"/>
      <c r="N3109" s="188"/>
      <c r="O3109" s="208"/>
      <c r="P3109" s="208"/>
      <c r="Q3109" s="208"/>
      <c r="R3109" s="208"/>
    </row>
    <row r="3110">
      <c r="A3110" s="185"/>
      <c r="B3110" s="186"/>
      <c r="C3110" s="185"/>
      <c r="D3110" s="185"/>
      <c r="E3110" s="185"/>
      <c r="F3110" s="185"/>
      <c r="G3110" s="185"/>
      <c r="H3110" s="185"/>
      <c r="I3110" s="185"/>
      <c r="J3110" s="185"/>
      <c r="K3110" s="185"/>
      <c r="L3110" s="187"/>
      <c r="M3110" s="188"/>
      <c r="N3110" s="188"/>
      <c r="O3110" s="208"/>
      <c r="P3110" s="208"/>
      <c r="Q3110" s="208"/>
      <c r="R3110" s="208"/>
    </row>
    <row r="3111">
      <c r="A3111" s="185"/>
      <c r="B3111" s="186"/>
      <c r="C3111" s="185"/>
      <c r="D3111" s="185"/>
      <c r="E3111" s="185"/>
      <c r="F3111" s="185"/>
      <c r="G3111" s="185"/>
      <c r="H3111" s="185"/>
      <c r="I3111" s="185"/>
      <c r="J3111" s="185"/>
      <c r="K3111" s="185"/>
      <c r="L3111" s="187"/>
      <c r="M3111" s="188"/>
      <c r="N3111" s="188"/>
      <c r="O3111" s="208"/>
      <c r="P3111" s="208"/>
      <c r="Q3111" s="208"/>
      <c r="R3111" s="208"/>
    </row>
    <row r="3112">
      <c r="A3112" s="185"/>
      <c r="B3112" s="186"/>
      <c r="C3112" s="185"/>
      <c r="D3112" s="185"/>
      <c r="E3112" s="185"/>
      <c r="F3112" s="185"/>
      <c r="G3112" s="185"/>
      <c r="H3112" s="185"/>
      <c r="I3112" s="185"/>
      <c r="J3112" s="185"/>
      <c r="K3112" s="185"/>
      <c r="L3112" s="187"/>
      <c r="M3112" s="188"/>
      <c r="N3112" s="188"/>
      <c r="O3112" s="208"/>
      <c r="P3112" s="208"/>
      <c r="Q3112" s="208"/>
      <c r="R3112" s="208"/>
    </row>
    <row r="3113">
      <c r="A3113" s="185"/>
      <c r="B3113" s="186"/>
      <c r="C3113" s="185"/>
      <c r="D3113" s="185"/>
      <c r="E3113" s="185"/>
      <c r="F3113" s="185"/>
      <c r="G3113" s="185"/>
      <c r="H3113" s="185"/>
      <c r="I3113" s="185"/>
      <c r="J3113" s="185"/>
      <c r="K3113" s="185"/>
      <c r="L3113" s="187"/>
      <c r="M3113" s="188"/>
      <c r="N3113" s="188"/>
      <c r="O3113" s="208"/>
      <c r="P3113" s="208"/>
      <c r="Q3113" s="208"/>
      <c r="R3113" s="208"/>
    </row>
    <row r="3114">
      <c r="A3114" s="185"/>
      <c r="B3114" s="186"/>
      <c r="C3114" s="185"/>
      <c r="D3114" s="185"/>
      <c r="E3114" s="185"/>
      <c r="F3114" s="185"/>
      <c r="G3114" s="185"/>
      <c r="H3114" s="185"/>
      <c r="I3114" s="185"/>
      <c r="J3114" s="185"/>
      <c r="K3114" s="185"/>
      <c r="L3114" s="187"/>
      <c r="M3114" s="188"/>
      <c r="N3114" s="188"/>
      <c r="O3114" s="208"/>
      <c r="P3114" s="208"/>
      <c r="Q3114" s="208"/>
      <c r="R3114" s="208"/>
    </row>
    <row r="3115">
      <c r="A3115" s="185"/>
      <c r="B3115" s="186"/>
      <c r="C3115" s="185"/>
      <c r="D3115" s="185"/>
      <c r="E3115" s="185"/>
      <c r="F3115" s="185"/>
      <c r="G3115" s="185"/>
      <c r="H3115" s="185"/>
      <c r="I3115" s="185"/>
      <c r="J3115" s="185"/>
      <c r="K3115" s="185"/>
      <c r="L3115" s="187"/>
      <c r="M3115" s="188"/>
      <c r="N3115" s="188"/>
      <c r="O3115" s="208"/>
      <c r="P3115" s="208"/>
      <c r="Q3115" s="208"/>
      <c r="R3115" s="208"/>
    </row>
    <row r="3116">
      <c r="A3116" s="185"/>
      <c r="B3116" s="186"/>
      <c r="C3116" s="185"/>
      <c r="D3116" s="185"/>
      <c r="E3116" s="185"/>
      <c r="F3116" s="185"/>
      <c r="G3116" s="185"/>
      <c r="H3116" s="185"/>
      <c r="I3116" s="185"/>
      <c r="J3116" s="185"/>
      <c r="K3116" s="185"/>
      <c r="L3116" s="187"/>
      <c r="M3116" s="188"/>
      <c r="N3116" s="188"/>
      <c r="O3116" s="208"/>
      <c r="P3116" s="208"/>
      <c r="Q3116" s="208"/>
      <c r="R3116" s="208"/>
    </row>
    <row r="3117">
      <c r="A3117" s="185"/>
      <c r="B3117" s="186"/>
      <c r="C3117" s="185"/>
      <c r="D3117" s="185"/>
      <c r="E3117" s="185"/>
      <c r="F3117" s="185"/>
      <c r="G3117" s="185"/>
      <c r="H3117" s="185"/>
      <c r="I3117" s="185"/>
      <c r="J3117" s="185"/>
      <c r="K3117" s="185"/>
      <c r="L3117" s="187"/>
      <c r="M3117" s="188"/>
      <c r="N3117" s="188"/>
      <c r="O3117" s="208"/>
      <c r="P3117" s="208"/>
      <c r="Q3117" s="208"/>
      <c r="R3117" s="208"/>
    </row>
    <row r="3118">
      <c r="A3118" s="185"/>
      <c r="B3118" s="186"/>
      <c r="C3118" s="185"/>
      <c r="D3118" s="185"/>
      <c r="E3118" s="185"/>
      <c r="F3118" s="185"/>
      <c r="G3118" s="185"/>
      <c r="H3118" s="185"/>
      <c r="I3118" s="185"/>
      <c r="J3118" s="185"/>
      <c r="K3118" s="185"/>
      <c r="L3118" s="187"/>
      <c r="M3118" s="188"/>
      <c r="N3118" s="188"/>
      <c r="O3118" s="208"/>
      <c r="P3118" s="208"/>
      <c r="Q3118" s="208"/>
      <c r="R3118" s="208"/>
    </row>
    <row r="3119">
      <c r="A3119" s="185"/>
      <c r="B3119" s="186"/>
      <c r="C3119" s="185"/>
      <c r="D3119" s="185"/>
      <c r="E3119" s="185"/>
      <c r="F3119" s="185"/>
      <c r="G3119" s="185"/>
      <c r="H3119" s="185"/>
      <c r="I3119" s="185"/>
      <c r="J3119" s="185"/>
      <c r="K3119" s="185"/>
      <c r="L3119" s="187"/>
      <c r="M3119" s="188"/>
      <c r="N3119" s="188"/>
      <c r="O3119" s="208"/>
      <c r="P3119" s="208"/>
      <c r="Q3119" s="208"/>
      <c r="R3119" s="208"/>
    </row>
    <row r="3120">
      <c r="A3120" s="185"/>
      <c r="B3120" s="186"/>
      <c r="C3120" s="185"/>
      <c r="D3120" s="185"/>
      <c r="E3120" s="185"/>
      <c r="F3120" s="185"/>
      <c r="G3120" s="185"/>
      <c r="H3120" s="185"/>
      <c r="I3120" s="185"/>
      <c r="J3120" s="185"/>
      <c r="K3120" s="185"/>
      <c r="L3120" s="187"/>
      <c r="M3120" s="188"/>
      <c r="N3120" s="188"/>
      <c r="O3120" s="208"/>
      <c r="P3120" s="208"/>
      <c r="Q3120" s="208"/>
      <c r="R3120" s="208"/>
    </row>
    <row r="3121">
      <c r="A3121" s="185"/>
      <c r="B3121" s="186"/>
      <c r="C3121" s="185"/>
      <c r="D3121" s="185"/>
      <c r="E3121" s="185"/>
      <c r="F3121" s="185"/>
      <c r="G3121" s="185"/>
      <c r="H3121" s="185"/>
      <c r="I3121" s="185"/>
      <c r="J3121" s="185"/>
      <c r="K3121" s="185"/>
      <c r="L3121" s="187"/>
      <c r="M3121" s="188"/>
      <c r="N3121" s="188"/>
      <c r="O3121" s="208"/>
      <c r="P3121" s="208"/>
      <c r="Q3121" s="208"/>
      <c r="R3121" s="208"/>
    </row>
    <row r="3122">
      <c r="A3122" s="185"/>
      <c r="B3122" s="186"/>
      <c r="C3122" s="185"/>
      <c r="D3122" s="185"/>
      <c r="E3122" s="185"/>
      <c r="F3122" s="185"/>
      <c r="G3122" s="185"/>
      <c r="H3122" s="185"/>
      <c r="I3122" s="185"/>
      <c r="J3122" s="185"/>
      <c r="K3122" s="185"/>
      <c r="L3122" s="187"/>
      <c r="M3122" s="188"/>
      <c r="N3122" s="188"/>
      <c r="O3122" s="208"/>
      <c r="P3122" s="208"/>
      <c r="Q3122" s="208"/>
      <c r="R3122" s="208"/>
    </row>
    <row r="3123">
      <c r="A3123" s="185"/>
      <c r="B3123" s="186"/>
      <c r="C3123" s="185"/>
      <c r="D3123" s="185"/>
      <c r="E3123" s="185"/>
      <c r="F3123" s="185"/>
      <c r="G3123" s="185"/>
      <c r="H3123" s="185"/>
      <c r="I3123" s="185"/>
      <c r="J3123" s="185"/>
      <c r="K3123" s="185"/>
      <c r="L3123" s="187"/>
      <c r="M3123" s="188"/>
      <c r="N3123" s="188"/>
      <c r="O3123" s="208"/>
      <c r="P3123" s="208"/>
      <c r="Q3123" s="208"/>
      <c r="R3123" s="208"/>
    </row>
    <row r="3124">
      <c r="A3124" s="185"/>
      <c r="B3124" s="186"/>
      <c r="C3124" s="185"/>
      <c r="D3124" s="185"/>
      <c r="E3124" s="185"/>
      <c r="F3124" s="185"/>
      <c r="G3124" s="185"/>
      <c r="H3124" s="185"/>
      <c r="I3124" s="185"/>
      <c r="J3124" s="185"/>
      <c r="K3124" s="185"/>
      <c r="L3124" s="187"/>
      <c r="M3124" s="188"/>
      <c r="N3124" s="188"/>
      <c r="O3124" s="208"/>
      <c r="P3124" s="208"/>
      <c r="Q3124" s="208"/>
      <c r="R3124" s="208"/>
    </row>
    <row r="3125">
      <c r="A3125" s="185"/>
      <c r="B3125" s="186"/>
      <c r="C3125" s="185"/>
      <c r="D3125" s="185"/>
      <c r="E3125" s="185"/>
      <c r="F3125" s="185"/>
      <c r="G3125" s="185"/>
      <c r="H3125" s="185"/>
      <c r="I3125" s="185"/>
      <c r="J3125" s="185"/>
      <c r="K3125" s="185"/>
      <c r="L3125" s="187"/>
      <c r="M3125" s="188"/>
      <c r="N3125" s="188"/>
      <c r="O3125" s="208"/>
      <c r="P3125" s="208"/>
      <c r="Q3125" s="208"/>
      <c r="R3125" s="208"/>
    </row>
    <row r="3126">
      <c r="A3126" s="185"/>
      <c r="B3126" s="186"/>
      <c r="C3126" s="185"/>
      <c r="D3126" s="185"/>
      <c r="E3126" s="185"/>
      <c r="F3126" s="185"/>
      <c r="G3126" s="185"/>
      <c r="H3126" s="185"/>
      <c r="I3126" s="185"/>
      <c r="J3126" s="185"/>
      <c r="K3126" s="185"/>
      <c r="L3126" s="187"/>
      <c r="M3126" s="188"/>
      <c r="N3126" s="188"/>
      <c r="O3126" s="208"/>
      <c r="P3126" s="208"/>
      <c r="Q3126" s="208"/>
      <c r="R3126" s="208"/>
    </row>
    <row r="3127">
      <c r="A3127" s="185"/>
      <c r="B3127" s="186"/>
      <c r="C3127" s="185"/>
      <c r="D3127" s="185"/>
      <c r="E3127" s="185"/>
      <c r="F3127" s="185"/>
      <c r="G3127" s="185"/>
      <c r="H3127" s="185"/>
      <c r="I3127" s="185"/>
      <c r="J3127" s="185"/>
      <c r="K3127" s="185"/>
      <c r="L3127" s="187"/>
      <c r="M3127" s="188"/>
      <c r="N3127" s="188"/>
      <c r="O3127" s="208"/>
      <c r="P3127" s="208"/>
      <c r="Q3127" s="208"/>
      <c r="R3127" s="208"/>
    </row>
    <row r="3128">
      <c r="A3128" s="185"/>
      <c r="B3128" s="186"/>
      <c r="C3128" s="185"/>
      <c r="D3128" s="185"/>
      <c r="E3128" s="185"/>
      <c r="F3128" s="185"/>
      <c r="G3128" s="185"/>
      <c r="H3128" s="185"/>
      <c r="I3128" s="185"/>
      <c r="J3128" s="185"/>
      <c r="K3128" s="185"/>
      <c r="L3128" s="187"/>
      <c r="M3128" s="188"/>
      <c r="N3128" s="188"/>
      <c r="O3128" s="208"/>
      <c r="P3128" s="208"/>
      <c r="Q3128" s="208"/>
      <c r="R3128" s="208"/>
    </row>
    <row r="3129">
      <c r="A3129" s="185"/>
      <c r="B3129" s="186"/>
      <c r="C3129" s="185"/>
      <c r="D3129" s="185"/>
      <c r="E3129" s="185"/>
      <c r="F3129" s="185"/>
      <c r="G3129" s="185"/>
      <c r="H3129" s="185"/>
      <c r="I3129" s="185"/>
      <c r="J3129" s="185"/>
      <c r="K3129" s="185"/>
      <c r="L3129" s="187"/>
      <c r="M3129" s="188"/>
      <c r="N3129" s="188"/>
      <c r="O3129" s="208"/>
      <c r="P3129" s="208"/>
      <c r="Q3129" s="208"/>
      <c r="R3129" s="208"/>
    </row>
    <row r="3130">
      <c r="A3130" s="185"/>
      <c r="B3130" s="186"/>
      <c r="C3130" s="185"/>
      <c r="D3130" s="185"/>
      <c r="E3130" s="185"/>
      <c r="F3130" s="185"/>
      <c r="G3130" s="185"/>
      <c r="H3130" s="185"/>
      <c r="I3130" s="185"/>
      <c r="J3130" s="185"/>
      <c r="K3130" s="185"/>
      <c r="L3130" s="187"/>
      <c r="M3130" s="188"/>
      <c r="N3130" s="188"/>
      <c r="O3130" s="208"/>
      <c r="P3130" s="208"/>
      <c r="Q3130" s="208"/>
      <c r="R3130" s="208"/>
    </row>
    <row r="3131">
      <c r="A3131" s="185"/>
      <c r="B3131" s="186"/>
      <c r="C3131" s="185"/>
      <c r="D3131" s="185"/>
      <c r="E3131" s="185"/>
      <c r="F3131" s="185"/>
      <c r="G3131" s="185"/>
      <c r="H3131" s="185"/>
      <c r="I3131" s="185"/>
      <c r="J3131" s="185"/>
      <c r="K3131" s="185"/>
      <c r="L3131" s="187"/>
      <c r="M3131" s="188"/>
      <c r="N3131" s="188"/>
      <c r="O3131" s="208"/>
      <c r="P3131" s="208"/>
      <c r="Q3131" s="208"/>
      <c r="R3131" s="208"/>
    </row>
    <row r="3132">
      <c r="A3132" s="185"/>
      <c r="B3132" s="186"/>
      <c r="C3132" s="185"/>
      <c r="D3132" s="185"/>
      <c r="E3132" s="185"/>
      <c r="F3132" s="185"/>
      <c r="G3132" s="185"/>
      <c r="H3132" s="185"/>
      <c r="I3132" s="185"/>
      <c r="J3132" s="185"/>
      <c r="K3132" s="185"/>
      <c r="L3132" s="187"/>
      <c r="M3132" s="188"/>
      <c r="N3132" s="188"/>
      <c r="O3132" s="208"/>
      <c r="P3132" s="208"/>
      <c r="Q3132" s="208"/>
      <c r="R3132" s="208"/>
    </row>
    <row r="3133">
      <c r="A3133" s="185"/>
      <c r="B3133" s="186"/>
      <c r="C3133" s="185"/>
      <c r="D3133" s="185"/>
      <c r="E3133" s="185"/>
      <c r="F3133" s="185"/>
      <c r="G3133" s="185"/>
      <c r="H3133" s="185"/>
      <c r="I3133" s="185"/>
      <c r="J3133" s="185"/>
      <c r="K3133" s="185"/>
      <c r="L3133" s="187"/>
      <c r="M3133" s="188"/>
      <c r="N3133" s="188"/>
      <c r="O3133" s="208"/>
      <c r="P3133" s="208"/>
      <c r="Q3133" s="208"/>
      <c r="R3133" s="208"/>
    </row>
    <row r="3134">
      <c r="A3134" s="185"/>
      <c r="B3134" s="186"/>
      <c r="C3134" s="185"/>
      <c r="D3134" s="185"/>
      <c r="E3134" s="185"/>
      <c r="F3134" s="185"/>
      <c r="G3134" s="185"/>
      <c r="H3134" s="185"/>
      <c r="I3134" s="185"/>
      <c r="J3134" s="185"/>
      <c r="K3134" s="185"/>
      <c r="L3134" s="187"/>
      <c r="M3134" s="188"/>
      <c r="N3134" s="188"/>
      <c r="O3134" s="208"/>
      <c r="P3134" s="208"/>
      <c r="Q3134" s="208"/>
      <c r="R3134" s="208"/>
    </row>
    <row r="3135">
      <c r="A3135" s="185"/>
      <c r="B3135" s="186"/>
      <c r="C3135" s="185"/>
      <c r="D3135" s="185"/>
      <c r="E3135" s="185"/>
      <c r="F3135" s="185"/>
      <c r="G3135" s="185"/>
      <c r="H3135" s="185"/>
      <c r="I3135" s="185"/>
      <c r="J3135" s="185"/>
      <c r="K3135" s="185"/>
      <c r="L3135" s="187"/>
      <c r="M3135" s="188"/>
      <c r="N3135" s="188"/>
      <c r="O3135" s="208"/>
      <c r="P3135" s="208"/>
      <c r="Q3135" s="208"/>
      <c r="R3135" s="208"/>
    </row>
    <row r="3136">
      <c r="A3136" s="185"/>
      <c r="B3136" s="186"/>
      <c r="C3136" s="185"/>
      <c r="D3136" s="185"/>
      <c r="E3136" s="185"/>
      <c r="F3136" s="185"/>
      <c r="G3136" s="185"/>
      <c r="H3136" s="185"/>
      <c r="I3136" s="185"/>
      <c r="J3136" s="185"/>
      <c r="K3136" s="185"/>
      <c r="L3136" s="187"/>
      <c r="M3136" s="188"/>
      <c r="N3136" s="188"/>
      <c r="O3136" s="208"/>
      <c r="P3136" s="208"/>
      <c r="Q3136" s="208"/>
      <c r="R3136" s="208"/>
    </row>
    <row r="3137">
      <c r="A3137" s="185"/>
      <c r="B3137" s="186"/>
      <c r="C3137" s="185"/>
      <c r="D3137" s="185"/>
      <c r="E3137" s="185"/>
      <c r="F3137" s="185"/>
      <c r="G3137" s="185"/>
      <c r="H3137" s="185"/>
      <c r="I3137" s="185"/>
      <c r="J3137" s="185"/>
      <c r="K3137" s="185"/>
      <c r="L3137" s="187"/>
      <c r="M3137" s="188"/>
      <c r="N3137" s="188"/>
      <c r="O3137" s="208"/>
      <c r="P3137" s="208"/>
      <c r="Q3137" s="208"/>
      <c r="R3137" s="208"/>
    </row>
    <row r="3138">
      <c r="A3138" s="185"/>
      <c r="B3138" s="186"/>
      <c r="C3138" s="185"/>
      <c r="D3138" s="185"/>
      <c r="E3138" s="185"/>
      <c r="F3138" s="185"/>
      <c r="G3138" s="185"/>
      <c r="H3138" s="185"/>
      <c r="I3138" s="185"/>
      <c r="J3138" s="185"/>
      <c r="K3138" s="185"/>
      <c r="L3138" s="187"/>
      <c r="M3138" s="188"/>
      <c r="N3138" s="188"/>
      <c r="O3138" s="208"/>
      <c r="P3138" s="208"/>
      <c r="Q3138" s="208"/>
      <c r="R3138" s="208"/>
    </row>
    <row r="3139">
      <c r="A3139" s="185"/>
      <c r="B3139" s="186"/>
      <c r="C3139" s="185"/>
      <c r="D3139" s="185"/>
      <c r="E3139" s="185"/>
      <c r="F3139" s="185"/>
      <c r="G3139" s="185"/>
      <c r="H3139" s="185"/>
      <c r="I3139" s="185"/>
      <c r="J3139" s="185"/>
      <c r="K3139" s="185"/>
      <c r="L3139" s="187"/>
      <c r="M3139" s="188"/>
      <c r="N3139" s="188"/>
      <c r="O3139" s="208"/>
      <c r="P3139" s="208"/>
      <c r="Q3139" s="208"/>
      <c r="R3139" s="208"/>
    </row>
    <row r="3140">
      <c r="A3140" s="185"/>
      <c r="B3140" s="186"/>
      <c r="C3140" s="185"/>
      <c r="D3140" s="185"/>
      <c r="E3140" s="185"/>
      <c r="F3140" s="185"/>
      <c r="G3140" s="185"/>
      <c r="H3140" s="185"/>
      <c r="I3140" s="185"/>
      <c r="J3140" s="185"/>
      <c r="K3140" s="185"/>
      <c r="L3140" s="187"/>
      <c r="M3140" s="188"/>
      <c r="N3140" s="188"/>
      <c r="O3140" s="208"/>
      <c r="P3140" s="208"/>
      <c r="Q3140" s="208"/>
      <c r="R3140" s="208"/>
    </row>
    <row r="3141">
      <c r="A3141" s="185"/>
      <c r="B3141" s="186"/>
      <c r="C3141" s="185"/>
      <c r="D3141" s="185"/>
      <c r="E3141" s="185"/>
      <c r="F3141" s="185"/>
      <c r="G3141" s="185"/>
      <c r="H3141" s="185"/>
      <c r="I3141" s="185"/>
      <c r="J3141" s="185"/>
      <c r="K3141" s="185"/>
      <c r="L3141" s="187"/>
      <c r="M3141" s="188"/>
      <c r="N3141" s="188"/>
      <c r="O3141" s="208"/>
      <c r="P3141" s="208"/>
      <c r="Q3141" s="208"/>
      <c r="R3141" s="208"/>
    </row>
    <row r="3142">
      <c r="A3142" s="185"/>
      <c r="B3142" s="186"/>
      <c r="C3142" s="185"/>
      <c r="D3142" s="185"/>
      <c r="E3142" s="185"/>
      <c r="F3142" s="185"/>
      <c r="G3142" s="185"/>
      <c r="H3142" s="185"/>
      <c r="I3142" s="185"/>
      <c r="J3142" s="185"/>
      <c r="K3142" s="185"/>
      <c r="L3142" s="187"/>
      <c r="M3142" s="188"/>
      <c r="N3142" s="188"/>
      <c r="O3142" s="208"/>
      <c r="P3142" s="208"/>
      <c r="Q3142" s="208"/>
      <c r="R3142" s="208"/>
    </row>
    <row r="3143">
      <c r="A3143" s="185"/>
      <c r="B3143" s="186"/>
      <c r="C3143" s="185"/>
      <c r="D3143" s="185"/>
      <c r="E3143" s="185"/>
      <c r="F3143" s="185"/>
      <c r="G3143" s="185"/>
      <c r="H3143" s="185"/>
      <c r="I3143" s="185"/>
      <c r="J3143" s="185"/>
      <c r="K3143" s="185"/>
      <c r="L3143" s="187"/>
      <c r="M3143" s="188"/>
      <c r="N3143" s="188"/>
      <c r="O3143" s="208"/>
      <c r="P3143" s="208"/>
      <c r="Q3143" s="208"/>
      <c r="R3143" s="208"/>
    </row>
    <row r="3144">
      <c r="A3144" s="185"/>
      <c r="B3144" s="186"/>
      <c r="C3144" s="185"/>
      <c r="D3144" s="185"/>
      <c r="E3144" s="185"/>
      <c r="F3144" s="185"/>
      <c r="G3144" s="185"/>
      <c r="H3144" s="185"/>
      <c r="I3144" s="185"/>
      <c r="J3144" s="185"/>
      <c r="K3144" s="185"/>
      <c r="L3144" s="187"/>
      <c r="M3144" s="188"/>
      <c r="N3144" s="188"/>
      <c r="O3144" s="208"/>
      <c r="P3144" s="208"/>
      <c r="Q3144" s="208"/>
      <c r="R3144" s="208"/>
    </row>
    <row r="3145">
      <c r="A3145" s="185"/>
      <c r="B3145" s="186"/>
      <c r="C3145" s="185"/>
      <c r="D3145" s="185"/>
      <c r="E3145" s="185"/>
      <c r="F3145" s="185"/>
      <c r="G3145" s="185"/>
      <c r="H3145" s="185"/>
      <c r="I3145" s="185"/>
      <c r="J3145" s="185"/>
      <c r="K3145" s="185"/>
      <c r="L3145" s="187"/>
      <c r="M3145" s="188"/>
      <c r="N3145" s="188"/>
      <c r="O3145" s="208"/>
      <c r="P3145" s="208"/>
      <c r="Q3145" s="208"/>
      <c r="R3145" s="208"/>
    </row>
    <row r="3146">
      <c r="A3146" s="185"/>
      <c r="B3146" s="186"/>
      <c r="C3146" s="185"/>
      <c r="D3146" s="185"/>
      <c r="E3146" s="185"/>
      <c r="F3146" s="185"/>
      <c r="G3146" s="185"/>
      <c r="H3146" s="185"/>
      <c r="I3146" s="185"/>
      <c r="J3146" s="185"/>
      <c r="K3146" s="185"/>
      <c r="L3146" s="187"/>
      <c r="M3146" s="188"/>
      <c r="N3146" s="188"/>
      <c r="O3146" s="208"/>
      <c r="P3146" s="208"/>
      <c r="Q3146" s="208"/>
      <c r="R3146" s="208"/>
    </row>
    <row r="3147">
      <c r="A3147" s="185"/>
      <c r="B3147" s="186"/>
      <c r="C3147" s="185"/>
      <c r="D3147" s="185"/>
      <c r="E3147" s="185"/>
      <c r="F3147" s="185"/>
      <c r="G3147" s="185"/>
      <c r="H3147" s="185"/>
      <c r="I3147" s="185"/>
      <c r="J3147" s="185"/>
      <c r="K3147" s="185"/>
      <c r="L3147" s="187"/>
      <c r="M3147" s="188"/>
      <c r="N3147" s="188"/>
      <c r="O3147" s="208"/>
      <c r="P3147" s="208"/>
      <c r="Q3147" s="208"/>
      <c r="R3147" s="208"/>
    </row>
    <row r="3148">
      <c r="A3148" s="185"/>
      <c r="B3148" s="186"/>
      <c r="C3148" s="185"/>
      <c r="D3148" s="185"/>
      <c r="E3148" s="185"/>
      <c r="F3148" s="185"/>
      <c r="G3148" s="185"/>
      <c r="H3148" s="185"/>
      <c r="I3148" s="185"/>
      <c r="J3148" s="185"/>
      <c r="K3148" s="185"/>
      <c r="L3148" s="187"/>
      <c r="M3148" s="188"/>
      <c r="N3148" s="188"/>
      <c r="O3148" s="208"/>
      <c r="P3148" s="208"/>
      <c r="Q3148" s="208"/>
      <c r="R3148" s="208"/>
    </row>
    <row r="3149">
      <c r="A3149" s="185"/>
      <c r="B3149" s="186"/>
      <c r="C3149" s="185"/>
      <c r="D3149" s="185"/>
      <c r="E3149" s="185"/>
      <c r="F3149" s="185"/>
      <c r="G3149" s="185"/>
      <c r="H3149" s="185"/>
      <c r="I3149" s="185"/>
      <c r="J3149" s="185"/>
      <c r="K3149" s="185"/>
      <c r="L3149" s="187"/>
      <c r="M3149" s="188"/>
      <c r="N3149" s="188"/>
      <c r="O3149" s="208"/>
      <c r="P3149" s="208"/>
      <c r="Q3149" s="208"/>
      <c r="R3149" s="208"/>
    </row>
    <row r="3150">
      <c r="A3150" s="185"/>
      <c r="B3150" s="186"/>
      <c r="C3150" s="185"/>
      <c r="D3150" s="185"/>
      <c r="E3150" s="185"/>
      <c r="F3150" s="185"/>
      <c r="G3150" s="185"/>
      <c r="H3150" s="185"/>
      <c r="I3150" s="185"/>
      <c r="J3150" s="185"/>
      <c r="K3150" s="185"/>
      <c r="L3150" s="187"/>
      <c r="M3150" s="188"/>
      <c r="N3150" s="188"/>
      <c r="O3150" s="208"/>
      <c r="P3150" s="208"/>
      <c r="Q3150" s="208"/>
      <c r="R3150" s="208"/>
    </row>
    <row r="3151">
      <c r="A3151" s="185"/>
      <c r="B3151" s="186"/>
      <c r="C3151" s="185"/>
      <c r="D3151" s="185"/>
      <c r="E3151" s="185"/>
      <c r="F3151" s="185"/>
      <c r="G3151" s="185"/>
      <c r="H3151" s="185"/>
      <c r="I3151" s="185"/>
      <c r="J3151" s="185"/>
      <c r="K3151" s="185"/>
      <c r="L3151" s="187"/>
      <c r="M3151" s="188"/>
      <c r="N3151" s="188"/>
      <c r="O3151" s="208"/>
      <c r="P3151" s="208"/>
      <c r="Q3151" s="208"/>
      <c r="R3151" s="208"/>
    </row>
    <row r="3152">
      <c r="A3152" s="185"/>
      <c r="B3152" s="186"/>
      <c r="C3152" s="185"/>
      <c r="D3152" s="185"/>
      <c r="E3152" s="185"/>
      <c r="F3152" s="185"/>
      <c r="G3152" s="185"/>
      <c r="H3152" s="185"/>
      <c r="I3152" s="185"/>
      <c r="J3152" s="185"/>
      <c r="K3152" s="185"/>
      <c r="L3152" s="187"/>
      <c r="M3152" s="188"/>
      <c r="N3152" s="188"/>
      <c r="O3152" s="208"/>
      <c r="P3152" s="208"/>
      <c r="Q3152" s="208"/>
      <c r="R3152" s="208"/>
    </row>
    <row r="3153">
      <c r="A3153" s="185"/>
      <c r="B3153" s="186"/>
      <c r="C3153" s="185"/>
      <c r="D3153" s="185"/>
      <c r="E3153" s="185"/>
      <c r="F3153" s="185"/>
      <c r="G3153" s="185"/>
      <c r="H3153" s="185"/>
      <c r="I3153" s="185"/>
      <c r="J3153" s="185"/>
      <c r="K3153" s="185"/>
      <c r="L3153" s="187"/>
      <c r="M3153" s="188"/>
      <c r="N3153" s="188"/>
      <c r="O3153" s="208"/>
      <c r="P3153" s="208"/>
      <c r="Q3153" s="208"/>
      <c r="R3153" s="208"/>
    </row>
    <row r="3154">
      <c r="A3154" s="185"/>
      <c r="B3154" s="186"/>
      <c r="C3154" s="185"/>
      <c r="D3154" s="185"/>
      <c r="E3154" s="185"/>
      <c r="F3154" s="185"/>
      <c r="G3154" s="185"/>
      <c r="H3154" s="185"/>
      <c r="I3154" s="185"/>
      <c r="J3154" s="185"/>
      <c r="K3154" s="185"/>
      <c r="L3154" s="187"/>
      <c r="M3154" s="188"/>
      <c r="N3154" s="188"/>
      <c r="O3154" s="208"/>
      <c r="P3154" s="208"/>
      <c r="Q3154" s="208"/>
      <c r="R3154" s="208"/>
    </row>
    <row r="3155">
      <c r="A3155" s="185"/>
      <c r="B3155" s="186"/>
      <c r="C3155" s="185"/>
      <c r="D3155" s="185"/>
      <c r="E3155" s="185"/>
      <c r="F3155" s="185"/>
      <c r="G3155" s="185"/>
      <c r="H3155" s="185"/>
      <c r="I3155" s="185"/>
      <c r="J3155" s="185"/>
      <c r="K3155" s="185"/>
      <c r="L3155" s="187"/>
      <c r="M3155" s="188"/>
      <c r="N3155" s="188"/>
      <c r="O3155" s="208"/>
      <c r="P3155" s="208"/>
      <c r="Q3155" s="208"/>
      <c r="R3155" s="208"/>
    </row>
    <row r="3156">
      <c r="A3156" s="185"/>
      <c r="B3156" s="186"/>
      <c r="C3156" s="185"/>
      <c r="D3156" s="185"/>
      <c r="E3156" s="185"/>
      <c r="F3156" s="185"/>
      <c r="G3156" s="185"/>
      <c r="H3156" s="185"/>
      <c r="I3156" s="185"/>
      <c r="J3156" s="185"/>
      <c r="K3156" s="185"/>
      <c r="L3156" s="187"/>
      <c r="M3156" s="188"/>
      <c r="N3156" s="188"/>
      <c r="O3156" s="208"/>
      <c r="P3156" s="208"/>
      <c r="Q3156" s="208"/>
      <c r="R3156" s="208"/>
    </row>
    <row r="3157">
      <c r="A3157" s="185"/>
      <c r="B3157" s="186"/>
      <c r="C3157" s="185"/>
      <c r="D3157" s="185"/>
      <c r="E3157" s="185"/>
      <c r="F3157" s="185"/>
      <c r="G3157" s="185"/>
      <c r="H3157" s="185"/>
      <c r="I3157" s="185"/>
      <c r="J3157" s="185"/>
      <c r="K3157" s="185"/>
      <c r="L3157" s="187"/>
      <c r="M3157" s="188"/>
      <c r="N3157" s="188"/>
      <c r="O3157" s="208"/>
      <c r="P3157" s="208"/>
      <c r="Q3157" s="208"/>
      <c r="R3157" s="208"/>
    </row>
    <row r="3158">
      <c r="A3158" s="185"/>
      <c r="B3158" s="186"/>
      <c r="C3158" s="185"/>
      <c r="D3158" s="185"/>
      <c r="E3158" s="185"/>
      <c r="F3158" s="185"/>
      <c r="G3158" s="185"/>
      <c r="H3158" s="185"/>
      <c r="I3158" s="185"/>
      <c r="J3158" s="185"/>
      <c r="K3158" s="185"/>
      <c r="L3158" s="187"/>
      <c r="M3158" s="188"/>
      <c r="N3158" s="188"/>
      <c r="O3158" s="208"/>
      <c r="P3158" s="208"/>
      <c r="Q3158" s="208"/>
      <c r="R3158" s="208"/>
    </row>
    <row r="3159">
      <c r="A3159" s="185"/>
      <c r="B3159" s="186"/>
      <c r="C3159" s="185"/>
      <c r="D3159" s="185"/>
      <c r="E3159" s="185"/>
      <c r="F3159" s="185"/>
      <c r="G3159" s="185"/>
      <c r="H3159" s="185"/>
      <c r="I3159" s="185"/>
      <c r="J3159" s="185"/>
      <c r="K3159" s="185"/>
      <c r="L3159" s="187"/>
      <c r="M3159" s="188"/>
      <c r="N3159" s="188"/>
      <c r="O3159" s="208"/>
      <c r="P3159" s="208"/>
      <c r="Q3159" s="208"/>
      <c r="R3159" s="208"/>
    </row>
    <row r="3160">
      <c r="A3160" s="185"/>
      <c r="B3160" s="186"/>
      <c r="C3160" s="185"/>
      <c r="D3160" s="185"/>
      <c r="E3160" s="185"/>
      <c r="F3160" s="185"/>
      <c r="G3160" s="185"/>
      <c r="H3160" s="185"/>
      <c r="I3160" s="185"/>
      <c r="J3160" s="185"/>
      <c r="K3160" s="185"/>
      <c r="L3160" s="187"/>
      <c r="M3160" s="188"/>
      <c r="N3160" s="188"/>
      <c r="O3160" s="208"/>
      <c r="P3160" s="208"/>
      <c r="Q3160" s="208"/>
      <c r="R3160" s="208"/>
    </row>
    <row r="3161">
      <c r="A3161" s="185"/>
      <c r="B3161" s="186"/>
      <c r="C3161" s="185"/>
      <c r="D3161" s="185"/>
      <c r="E3161" s="185"/>
      <c r="F3161" s="185"/>
      <c r="G3161" s="185"/>
      <c r="H3161" s="185"/>
      <c r="I3161" s="185"/>
      <c r="J3161" s="185"/>
      <c r="K3161" s="185"/>
      <c r="L3161" s="187"/>
      <c r="M3161" s="188"/>
      <c r="N3161" s="188"/>
      <c r="O3161" s="208"/>
      <c r="P3161" s="208"/>
      <c r="Q3161" s="208"/>
      <c r="R3161" s="208"/>
    </row>
    <row r="3162">
      <c r="A3162" s="185"/>
      <c r="B3162" s="186"/>
      <c r="C3162" s="185"/>
      <c r="D3162" s="185"/>
      <c r="E3162" s="185"/>
      <c r="F3162" s="185"/>
      <c r="G3162" s="185"/>
      <c r="H3162" s="185"/>
      <c r="I3162" s="185"/>
      <c r="J3162" s="185"/>
      <c r="K3162" s="185"/>
      <c r="L3162" s="187"/>
      <c r="M3162" s="188"/>
      <c r="N3162" s="188"/>
      <c r="O3162" s="208"/>
      <c r="P3162" s="208"/>
      <c r="Q3162" s="208"/>
      <c r="R3162" s="208"/>
    </row>
    <row r="3163">
      <c r="A3163" s="185"/>
      <c r="B3163" s="186"/>
      <c r="C3163" s="185"/>
      <c r="D3163" s="185"/>
      <c r="E3163" s="185"/>
      <c r="F3163" s="185"/>
      <c r="G3163" s="185"/>
      <c r="H3163" s="185"/>
      <c r="I3163" s="185"/>
      <c r="J3163" s="185"/>
      <c r="K3163" s="185"/>
      <c r="L3163" s="187"/>
      <c r="M3163" s="188"/>
      <c r="N3163" s="188"/>
      <c r="O3163" s="208"/>
      <c r="P3163" s="208"/>
      <c r="Q3163" s="208"/>
      <c r="R3163" s="208"/>
    </row>
    <row r="3164">
      <c r="A3164" s="185"/>
      <c r="B3164" s="186"/>
      <c r="C3164" s="185"/>
      <c r="D3164" s="185"/>
      <c r="E3164" s="185"/>
      <c r="F3164" s="185"/>
      <c r="G3164" s="185"/>
      <c r="H3164" s="185"/>
      <c r="I3164" s="185"/>
      <c r="J3164" s="185"/>
      <c r="K3164" s="185"/>
      <c r="L3164" s="187"/>
      <c r="M3164" s="188"/>
      <c r="N3164" s="188"/>
      <c r="O3164" s="208"/>
      <c r="P3164" s="208"/>
      <c r="Q3164" s="208"/>
      <c r="R3164" s="208"/>
    </row>
    <row r="3165">
      <c r="A3165" s="185"/>
      <c r="B3165" s="186"/>
      <c r="C3165" s="185"/>
      <c r="D3165" s="185"/>
      <c r="E3165" s="185"/>
      <c r="F3165" s="185"/>
      <c r="G3165" s="185"/>
      <c r="H3165" s="185"/>
      <c r="I3165" s="185"/>
      <c r="J3165" s="185"/>
      <c r="K3165" s="185"/>
      <c r="L3165" s="187"/>
      <c r="M3165" s="188"/>
      <c r="N3165" s="188"/>
      <c r="O3165" s="208"/>
      <c r="P3165" s="208"/>
      <c r="Q3165" s="208"/>
      <c r="R3165" s="208"/>
    </row>
    <row r="3166">
      <c r="A3166" s="185"/>
      <c r="B3166" s="186"/>
      <c r="C3166" s="185"/>
      <c r="D3166" s="185"/>
      <c r="E3166" s="185"/>
      <c r="F3166" s="185"/>
      <c r="G3166" s="185"/>
      <c r="H3166" s="185"/>
      <c r="I3166" s="185"/>
      <c r="J3166" s="185"/>
      <c r="K3166" s="185"/>
      <c r="L3166" s="187"/>
      <c r="M3166" s="188"/>
      <c r="N3166" s="188"/>
      <c r="O3166" s="208"/>
      <c r="P3166" s="208"/>
      <c r="Q3166" s="208"/>
      <c r="R3166" s="208"/>
    </row>
    <row r="3167">
      <c r="A3167" s="185"/>
      <c r="B3167" s="186"/>
      <c r="C3167" s="185"/>
      <c r="D3167" s="185"/>
      <c r="E3167" s="185"/>
      <c r="F3167" s="185"/>
      <c r="G3167" s="185"/>
      <c r="H3167" s="185"/>
      <c r="I3167" s="185"/>
      <c r="J3167" s="185"/>
      <c r="K3167" s="185"/>
      <c r="L3167" s="187"/>
      <c r="M3167" s="188"/>
      <c r="N3167" s="188"/>
      <c r="O3167" s="208"/>
      <c r="P3167" s="208"/>
      <c r="Q3167" s="208"/>
      <c r="R3167" s="208"/>
    </row>
    <row r="3168">
      <c r="A3168" s="185"/>
      <c r="B3168" s="186"/>
      <c r="C3168" s="185"/>
      <c r="D3168" s="185"/>
      <c r="E3168" s="185"/>
      <c r="F3168" s="185"/>
      <c r="G3168" s="185"/>
      <c r="H3168" s="185"/>
      <c r="I3168" s="185"/>
      <c r="J3168" s="185"/>
      <c r="K3168" s="185"/>
      <c r="L3168" s="187"/>
      <c r="M3168" s="188"/>
      <c r="N3168" s="188"/>
      <c r="O3168" s="208"/>
      <c r="P3168" s="208"/>
      <c r="Q3168" s="208"/>
      <c r="R3168" s="208"/>
    </row>
    <row r="3169">
      <c r="A3169" s="185"/>
      <c r="B3169" s="186"/>
      <c r="C3169" s="185"/>
      <c r="D3169" s="185"/>
      <c r="E3169" s="185"/>
      <c r="F3169" s="185"/>
      <c r="G3169" s="185"/>
      <c r="H3169" s="185"/>
      <c r="I3169" s="185"/>
      <c r="J3169" s="185"/>
      <c r="K3169" s="185"/>
      <c r="L3169" s="187"/>
      <c r="M3169" s="188"/>
      <c r="N3169" s="188"/>
      <c r="O3169" s="208"/>
      <c r="P3169" s="208"/>
      <c r="Q3169" s="208"/>
      <c r="R3169" s="208"/>
    </row>
    <row r="3170">
      <c r="A3170" s="185"/>
      <c r="B3170" s="186"/>
      <c r="C3170" s="185"/>
      <c r="D3170" s="185"/>
      <c r="E3170" s="185"/>
      <c r="F3170" s="185"/>
      <c r="G3170" s="185"/>
      <c r="H3170" s="185"/>
      <c r="I3170" s="185"/>
      <c r="J3170" s="185"/>
      <c r="K3170" s="185"/>
      <c r="L3170" s="187"/>
      <c r="M3170" s="188"/>
      <c r="N3170" s="188"/>
      <c r="O3170" s="208"/>
      <c r="P3170" s="208"/>
      <c r="Q3170" s="208"/>
      <c r="R3170" s="208"/>
    </row>
    <row r="3171">
      <c r="A3171" s="185"/>
      <c r="B3171" s="186"/>
      <c r="C3171" s="185"/>
      <c r="D3171" s="185"/>
      <c r="E3171" s="185"/>
      <c r="F3171" s="185"/>
      <c r="G3171" s="185"/>
      <c r="H3171" s="185"/>
      <c r="I3171" s="185"/>
      <c r="J3171" s="185"/>
      <c r="K3171" s="185"/>
      <c r="L3171" s="187"/>
      <c r="M3171" s="188"/>
      <c r="N3171" s="188"/>
      <c r="O3171" s="208"/>
      <c r="P3171" s="208"/>
      <c r="Q3171" s="208"/>
      <c r="R3171" s="208"/>
    </row>
    <row r="3172">
      <c r="A3172" s="185"/>
      <c r="B3172" s="186"/>
      <c r="C3172" s="185"/>
      <c r="D3172" s="185"/>
      <c r="E3172" s="185"/>
      <c r="F3172" s="185"/>
      <c r="G3172" s="185"/>
      <c r="H3172" s="185"/>
      <c r="I3172" s="185"/>
      <c r="J3172" s="185"/>
      <c r="K3172" s="185"/>
      <c r="L3172" s="187"/>
      <c r="M3172" s="188"/>
      <c r="N3172" s="188"/>
      <c r="O3172" s="208"/>
      <c r="P3172" s="208"/>
      <c r="Q3172" s="208"/>
      <c r="R3172" s="208"/>
    </row>
    <row r="3173">
      <c r="A3173" s="185"/>
      <c r="B3173" s="186"/>
      <c r="C3173" s="185"/>
      <c r="D3173" s="185"/>
      <c r="E3173" s="185"/>
      <c r="F3173" s="185"/>
      <c r="G3173" s="185"/>
      <c r="H3173" s="185"/>
      <c r="I3173" s="185"/>
      <c r="J3173" s="185"/>
      <c r="K3173" s="185"/>
      <c r="L3173" s="187"/>
      <c r="M3173" s="188"/>
      <c r="N3173" s="188"/>
      <c r="O3173" s="208"/>
      <c r="P3173" s="208"/>
      <c r="Q3173" s="208"/>
      <c r="R3173" s="208"/>
    </row>
    <row r="3174">
      <c r="A3174" s="185"/>
      <c r="B3174" s="186"/>
      <c r="C3174" s="185"/>
      <c r="D3174" s="185"/>
      <c r="E3174" s="185"/>
      <c r="F3174" s="185"/>
      <c r="G3174" s="185"/>
      <c r="H3174" s="185"/>
      <c r="I3174" s="185"/>
      <c r="J3174" s="185"/>
      <c r="K3174" s="185"/>
      <c r="L3174" s="187"/>
      <c r="M3174" s="188"/>
      <c r="N3174" s="188"/>
      <c r="O3174" s="208"/>
      <c r="P3174" s="208"/>
      <c r="Q3174" s="208"/>
      <c r="R3174" s="208"/>
    </row>
    <row r="3175">
      <c r="A3175" s="185"/>
      <c r="B3175" s="186"/>
      <c r="C3175" s="185"/>
      <c r="D3175" s="185"/>
      <c r="E3175" s="185"/>
      <c r="F3175" s="185"/>
      <c r="G3175" s="185"/>
      <c r="H3175" s="185"/>
      <c r="I3175" s="185"/>
      <c r="J3175" s="185"/>
      <c r="K3175" s="185"/>
      <c r="L3175" s="187"/>
      <c r="M3175" s="188"/>
      <c r="N3175" s="188"/>
      <c r="O3175" s="208"/>
      <c r="P3175" s="208"/>
      <c r="Q3175" s="208"/>
      <c r="R3175" s="208"/>
    </row>
    <row r="3176">
      <c r="A3176" s="185"/>
      <c r="B3176" s="186"/>
      <c r="C3176" s="185"/>
      <c r="D3176" s="185"/>
      <c r="E3176" s="185"/>
      <c r="F3176" s="185"/>
      <c r="G3176" s="185"/>
      <c r="H3176" s="185"/>
      <c r="I3176" s="185"/>
      <c r="J3176" s="185"/>
      <c r="K3176" s="185"/>
      <c r="L3176" s="187"/>
      <c r="M3176" s="188"/>
      <c r="N3176" s="188"/>
      <c r="O3176" s="208"/>
      <c r="P3176" s="208"/>
      <c r="Q3176" s="208"/>
      <c r="R3176" s="208"/>
    </row>
    <row r="3177">
      <c r="A3177" s="185"/>
      <c r="B3177" s="186"/>
      <c r="C3177" s="185"/>
      <c r="D3177" s="185"/>
      <c r="E3177" s="185"/>
      <c r="F3177" s="185"/>
      <c r="G3177" s="185"/>
      <c r="H3177" s="185"/>
      <c r="I3177" s="185"/>
      <c r="J3177" s="185"/>
      <c r="K3177" s="185"/>
      <c r="L3177" s="187"/>
      <c r="M3177" s="188"/>
      <c r="N3177" s="188"/>
      <c r="O3177" s="208"/>
      <c r="P3177" s="208"/>
      <c r="Q3177" s="208"/>
      <c r="R3177" s="208"/>
    </row>
    <row r="3178">
      <c r="A3178" s="185"/>
      <c r="B3178" s="186"/>
      <c r="C3178" s="185"/>
      <c r="D3178" s="185"/>
      <c r="E3178" s="185"/>
      <c r="F3178" s="185"/>
      <c r="G3178" s="185"/>
      <c r="H3178" s="185"/>
      <c r="I3178" s="185"/>
      <c r="J3178" s="185"/>
      <c r="K3178" s="185"/>
      <c r="L3178" s="187"/>
      <c r="M3178" s="188"/>
      <c r="N3178" s="188"/>
      <c r="O3178" s="208"/>
      <c r="P3178" s="208"/>
      <c r="Q3178" s="208"/>
      <c r="R3178" s="208"/>
    </row>
    <row r="3179">
      <c r="A3179" s="185"/>
      <c r="B3179" s="186"/>
      <c r="C3179" s="185"/>
      <c r="D3179" s="185"/>
      <c r="E3179" s="185"/>
      <c r="F3179" s="185"/>
      <c r="G3179" s="185"/>
      <c r="H3179" s="185"/>
      <c r="I3179" s="185"/>
      <c r="J3179" s="185"/>
      <c r="K3179" s="185"/>
      <c r="L3179" s="187"/>
      <c r="M3179" s="188"/>
      <c r="N3179" s="188"/>
      <c r="O3179" s="208"/>
      <c r="P3179" s="208"/>
      <c r="Q3179" s="208"/>
      <c r="R3179" s="208"/>
    </row>
    <row r="3180">
      <c r="A3180" s="185"/>
      <c r="B3180" s="186"/>
      <c r="C3180" s="185"/>
      <c r="D3180" s="185"/>
      <c r="E3180" s="185"/>
      <c r="F3180" s="185"/>
      <c r="G3180" s="185"/>
      <c r="H3180" s="185"/>
      <c r="I3180" s="185"/>
      <c r="J3180" s="185"/>
      <c r="K3180" s="185"/>
      <c r="L3180" s="187"/>
      <c r="M3180" s="188"/>
      <c r="N3180" s="188"/>
      <c r="O3180" s="208"/>
      <c r="P3180" s="208"/>
      <c r="Q3180" s="208"/>
      <c r="R3180" s="208"/>
    </row>
    <row r="3181">
      <c r="A3181" s="185"/>
      <c r="B3181" s="186"/>
      <c r="C3181" s="185"/>
      <c r="D3181" s="185"/>
      <c r="E3181" s="185"/>
      <c r="F3181" s="185"/>
      <c r="G3181" s="185"/>
      <c r="H3181" s="185"/>
      <c r="I3181" s="185"/>
      <c r="J3181" s="185"/>
      <c r="K3181" s="185"/>
      <c r="L3181" s="187"/>
      <c r="M3181" s="188"/>
      <c r="N3181" s="188"/>
      <c r="O3181" s="208"/>
      <c r="P3181" s="208"/>
      <c r="Q3181" s="208"/>
      <c r="R3181" s="208"/>
    </row>
    <row r="3182">
      <c r="A3182" s="185"/>
      <c r="B3182" s="186"/>
      <c r="C3182" s="185"/>
      <c r="D3182" s="185"/>
      <c r="E3182" s="185"/>
      <c r="F3182" s="185"/>
      <c r="G3182" s="185"/>
      <c r="H3182" s="185"/>
      <c r="I3182" s="185"/>
      <c r="J3182" s="185"/>
      <c r="K3182" s="185"/>
      <c r="L3182" s="187"/>
      <c r="M3182" s="188"/>
      <c r="N3182" s="188"/>
      <c r="O3182" s="208"/>
      <c r="P3182" s="208"/>
      <c r="Q3182" s="208"/>
      <c r="R3182" s="208"/>
    </row>
    <row r="3183">
      <c r="A3183" s="185"/>
      <c r="B3183" s="186"/>
      <c r="C3183" s="185"/>
      <c r="D3183" s="185"/>
      <c r="E3183" s="185"/>
      <c r="F3183" s="185"/>
      <c r="G3183" s="185"/>
      <c r="H3183" s="185"/>
      <c r="I3183" s="185"/>
      <c r="J3183" s="185"/>
      <c r="K3183" s="185"/>
      <c r="L3183" s="187"/>
      <c r="M3183" s="188"/>
      <c r="N3183" s="188"/>
      <c r="O3183" s="208"/>
      <c r="P3183" s="208"/>
      <c r="Q3183" s="208"/>
      <c r="R3183" s="208"/>
    </row>
    <row r="3184">
      <c r="A3184" s="185"/>
      <c r="B3184" s="186"/>
      <c r="C3184" s="185"/>
      <c r="D3184" s="185"/>
      <c r="E3184" s="185"/>
      <c r="F3184" s="185"/>
      <c r="G3184" s="185"/>
      <c r="H3184" s="185"/>
      <c r="I3184" s="185"/>
      <c r="J3184" s="185"/>
      <c r="K3184" s="185"/>
      <c r="L3184" s="187"/>
      <c r="M3184" s="188"/>
      <c r="N3184" s="188"/>
      <c r="O3184" s="208"/>
      <c r="P3184" s="208"/>
      <c r="Q3184" s="208"/>
      <c r="R3184" s="208"/>
    </row>
    <row r="3185">
      <c r="A3185" s="185"/>
      <c r="B3185" s="186"/>
      <c r="C3185" s="185"/>
      <c r="D3185" s="185"/>
      <c r="E3185" s="185"/>
      <c r="F3185" s="185"/>
      <c r="G3185" s="185"/>
      <c r="H3185" s="185"/>
      <c r="I3185" s="185"/>
      <c r="J3185" s="185"/>
      <c r="K3185" s="185"/>
      <c r="L3185" s="187"/>
      <c r="M3185" s="188"/>
      <c r="N3185" s="188"/>
      <c r="O3185" s="208"/>
      <c r="P3185" s="208"/>
      <c r="Q3185" s="208"/>
      <c r="R3185" s="208"/>
    </row>
    <row r="3186">
      <c r="A3186" s="185"/>
      <c r="B3186" s="186"/>
      <c r="C3186" s="185"/>
      <c r="D3186" s="185"/>
      <c r="E3186" s="185"/>
      <c r="F3186" s="185"/>
      <c r="G3186" s="185"/>
      <c r="H3186" s="185"/>
      <c r="I3186" s="185"/>
      <c r="J3186" s="185"/>
      <c r="K3186" s="185"/>
      <c r="L3186" s="187"/>
      <c r="M3186" s="188"/>
      <c r="N3186" s="188"/>
      <c r="O3186" s="208"/>
      <c r="P3186" s="208"/>
      <c r="Q3186" s="208"/>
      <c r="R3186" s="208"/>
    </row>
    <row r="3187">
      <c r="A3187" s="185"/>
      <c r="B3187" s="186"/>
      <c r="C3187" s="185"/>
      <c r="D3187" s="185"/>
      <c r="E3187" s="185"/>
      <c r="F3187" s="185"/>
      <c r="G3187" s="185"/>
      <c r="H3187" s="185"/>
      <c r="I3187" s="185"/>
      <c r="J3187" s="185"/>
      <c r="K3187" s="185"/>
      <c r="L3187" s="187"/>
      <c r="M3187" s="188"/>
      <c r="N3187" s="188"/>
      <c r="O3187" s="208"/>
      <c r="P3187" s="208"/>
      <c r="Q3187" s="208"/>
      <c r="R3187" s="208"/>
    </row>
    <row r="3188">
      <c r="A3188" s="185"/>
      <c r="B3188" s="186"/>
      <c r="C3188" s="185"/>
      <c r="D3188" s="185"/>
      <c r="E3188" s="185"/>
      <c r="F3188" s="185"/>
      <c r="G3188" s="185"/>
      <c r="H3188" s="185"/>
      <c r="I3188" s="185"/>
      <c r="J3188" s="185"/>
      <c r="K3188" s="185"/>
      <c r="L3188" s="187"/>
      <c r="M3188" s="188"/>
      <c r="N3188" s="188"/>
      <c r="O3188" s="208"/>
      <c r="P3188" s="208"/>
      <c r="Q3188" s="208"/>
      <c r="R3188" s="208"/>
    </row>
    <row r="3189">
      <c r="A3189" s="185"/>
      <c r="B3189" s="186"/>
      <c r="C3189" s="185"/>
      <c r="D3189" s="185"/>
      <c r="E3189" s="185"/>
      <c r="F3189" s="185"/>
      <c r="G3189" s="185"/>
      <c r="H3189" s="185"/>
      <c r="I3189" s="185"/>
      <c r="J3189" s="185"/>
      <c r="K3189" s="185"/>
      <c r="L3189" s="187"/>
      <c r="M3189" s="188"/>
      <c r="N3189" s="188"/>
      <c r="O3189" s="208"/>
      <c r="P3189" s="208"/>
      <c r="Q3189" s="208"/>
      <c r="R3189" s="208"/>
    </row>
    <row r="3190">
      <c r="A3190" s="185"/>
      <c r="B3190" s="186"/>
      <c r="C3190" s="185"/>
      <c r="D3190" s="185"/>
      <c r="E3190" s="185"/>
      <c r="F3190" s="185"/>
      <c r="G3190" s="185"/>
      <c r="H3190" s="185"/>
      <c r="I3190" s="185"/>
      <c r="J3190" s="185"/>
      <c r="K3190" s="185"/>
      <c r="L3190" s="187"/>
      <c r="M3190" s="188"/>
      <c r="N3190" s="188"/>
      <c r="O3190" s="208"/>
      <c r="P3190" s="208"/>
      <c r="Q3190" s="208"/>
      <c r="R3190" s="208"/>
    </row>
    <row r="3191">
      <c r="A3191" s="185"/>
      <c r="B3191" s="186"/>
      <c r="C3191" s="185"/>
      <c r="D3191" s="185"/>
      <c r="E3191" s="185"/>
      <c r="F3191" s="185"/>
      <c r="G3191" s="185"/>
      <c r="H3191" s="185"/>
      <c r="I3191" s="185"/>
      <c r="J3191" s="185"/>
      <c r="K3191" s="185"/>
      <c r="L3191" s="187"/>
      <c r="M3191" s="188"/>
      <c r="N3191" s="188"/>
      <c r="O3191" s="208"/>
      <c r="P3191" s="208"/>
      <c r="Q3191" s="208"/>
      <c r="R3191" s="208"/>
    </row>
    <row r="3192">
      <c r="A3192" s="185"/>
      <c r="B3192" s="186"/>
      <c r="C3192" s="185"/>
      <c r="D3192" s="185"/>
      <c r="E3192" s="185"/>
      <c r="F3192" s="185"/>
      <c r="G3192" s="185"/>
      <c r="H3192" s="185"/>
      <c r="I3192" s="185"/>
      <c r="J3192" s="185"/>
      <c r="K3192" s="185"/>
      <c r="L3192" s="187"/>
      <c r="M3192" s="188"/>
      <c r="N3192" s="188"/>
      <c r="O3192" s="208"/>
      <c r="P3192" s="208"/>
      <c r="Q3192" s="208"/>
      <c r="R3192" s="208"/>
    </row>
    <row r="3193">
      <c r="A3193" s="185"/>
      <c r="B3193" s="186"/>
      <c r="C3193" s="185"/>
      <c r="D3193" s="185"/>
      <c r="E3193" s="185"/>
      <c r="F3193" s="185"/>
      <c r="G3193" s="185"/>
      <c r="H3193" s="185"/>
      <c r="I3193" s="185"/>
      <c r="J3193" s="185"/>
      <c r="K3193" s="185"/>
      <c r="L3193" s="187"/>
      <c r="M3193" s="188"/>
      <c r="N3193" s="188"/>
      <c r="O3193" s="208"/>
      <c r="P3193" s="208"/>
      <c r="Q3193" s="208"/>
      <c r="R3193" s="208"/>
    </row>
    <row r="3194">
      <c r="A3194" s="185"/>
      <c r="B3194" s="186"/>
      <c r="C3194" s="185"/>
      <c r="D3194" s="185"/>
      <c r="E3194" s="185"/>
      <c r="F3194" s="185"/>
      <c r="G3194" s="185"/>
      <c r="H3194" s="185"/>
      <c r="I3194" s="185"/>
      <c r="J3194" s="185"/>
      <c r="K3194" s="185"/>
      <c r="L3194" s="187"/>
      <c r="M3194" s="188"/>
      <c r="N3194" s="188"/>
      <c r="O3194" s="208"/>
      <c r="P3194" s="208"/>
      <c r="Q3194" s="208"/>
      <c r="R3194" s="208"/>
    </row>
    <row r="3195">
      <c r="A3195" s="185"/>
      <c r="B3195" s="186"/>
      <c r="C3195" s="185"/>
      <c r="D3195" s="185"/>
      <c r="E3195" s="185"/>
      <c r="F3195" s="185"/>
      <c r="G3195" s="185"/>
      <c r="H3195" s="185"/>
      <c r="I3195" s="185"/>
      <c r="J3195" s="185"/>
      <c r="K3195" s="185"/>
      <c r="L3195" s="187"/>
      <c r="M3195" s="188"/>
      <c r="N3195" s="188"/>
      <c r="O3195" s="208"/>
      <c r="P3195" s="208"/>
      <c r="Q3195" s="208"/>
      <c r="R3195" s="208"/>
    </row>
    <row r="3196">
      <c r="A3196" s="185"/>
      <c r="B3196" s="186"/>
      <c r="C3196" s="185"/>
      <c r="D3196" s="185"/>
      <c r="E3196" s="185"/>
      <c r="F3196" s="185"/>
      <c r="G3196" s="185"/>
      <c r="H3196" s="185"/>
      <c r="I3196" s="185"/>
      <c r="J3196" s="185"/>
      <c r="K3196" s="185"/>
      <c r="L3196" s="187"/>
      <c r="M3196" s="188"/>
      <c r="N3196" s="188"/>
      <c r="O3196" s="208"/>
      <c r="P3196" s="208"/>
      <c r="Q3196" s="208"/>
      <c r="R3196" s="208"/>
    </row>
    <row r="3197">
      <c r="A3197" s="185"/>
      <c r="B3197" s="186"/>
      <c r="C3197" s="185"/>
      <c r="D3197" s="185"/>
      <c r="E3197" s="185"/>
      <c r="F3197" s="185"/>
      <c r="G3197" s="185"/>
      <c r="H3197" s="185"/>
      <c r="I3197" s="185"/>
      <c r="J3197" s="185"/>
      <c r="K3197" s="185"/>
      <c r="L3197" s="187"/>
      <c r="M3197" s="188"/>
      <c r="N3197" s="188"/>
      <c r="O3197" s="208"/>
      <c r="P3197" s="208"/>
      <c r="Q3197" s="208"/>
      <c r="R3197" s="208"/>
    </row>
    <row r="3198">
      <c r="A3198" s="185"/>
      <c r="B3198" s="186"/>
      <c r="C3198" s="185"/>
      <c r="D3198" s="185"/>
      <c r="E3198" s="185"/>
      <c r="F3198" s="185"/>
      <c r="G3198" s="185"/>
      <c r="H3198" s="185"/>
      <c r="I3198" s="185"/>
      <c r="J3198" s="185"/>
      <c r="K3198" s="185"/>
      <c r="L3198" s="187"/>
      <c r="M3198" s="188"/>
      <c r="N3198" s="188"/>
      <c r="O3198" s="208"/>
      <c r="P3198" s="208"/>
      <c r="Q3198" s="208"/>
      <c r="R3198" s="208"/>
    </row>
    <row r="3199">
      <c r="A3199" s="185"/>
      <c r="B3199" s="186"/>
      <c r="C3199" s="185"/>
      <c r="D3199" s="185"/>
      <c r="E3199" s="185"/>
      <c r="F3199" s="185"/>
      <c r="G3199" s="185"/>
      <c r="H3199" s="185"/>
      <c r="I3199" s="185"/>
      <c r="J3199" s="185"/>
      <c r="K3199" s="185"/>
      <c r="L3199" s="187"/>
      <c r="M3199" s="188"/>
      <c r="N3199" s="188"/>
      <c r="O3199" s="208"/>
      <c r="P3199" s="208"/>
      <c r="Q3199" s="208"/>
      <c r="R3199" s="208"/>
    </row>
    <row r="3200">
      <c r="A3200" s="185"/>
      <c r="B3200" s="186"/>
      <c r="C3200" s="185"/>
      <c r="D3200" s="185"/>
      <c r="E3200" s="185"/>
      <c r="F3200" s="185"/>
      <c r="G3200" s="185"/>
      <c r="H3200" s="185"/>
      <c r="I3200" s="185"/>
      <c r="J3200" s="185"/>
      <c r="K3200" s="185"/>
      <c r="L3200" s="187"/>
      <c r="M3200" s="188"/>
      <c r="N3200" s="188"/>
      <c r="O3200" s="208"/>
      <c r="P3200" s="208"/>
      <c r="Q3200" s="208"/>
      <c r="R3200" s="208"/>
    </row>
    <row r="3201">
      <c r="A3201" s="185"/>
      <c r="B3201" s="186"/>
      <c r="C3201" s="185"/>
      <c r="D3201" s="185"/>
      <c r="E3201" s="185"/>
      <c r="F3201" s="185"/>
      <c r="G3201" s="185"/>
      <c r="H3201" s="185"/>
      <c r="I3201" s="185"/>
      <c r="J3201" s="185"/>
      <c r="K3201" s="185"/>
      <c r="L3201" s="187"/>
      <c r="M3201" s="188"/>
      <c r="N3201" s="188"/>
      <c r="O3201" s="208"/>
      <c r="P3201" s="208"/>
      <c r="Q3201" s="208"/>
      <c r="R3201" s="208"/>
    </row>
    <row r="3202">
      <c r="A3202" s="185"/>
      <c r="B3202" s="186"/>
      <c r="C3202" s="185"/>
      <c r="D3202" s="185"/>
      <c r="E3202" s="185"/>
      <c r="F3202" s="185"/>
      <c r="G3202" s="185"/>
      <c r="H3202" s="185"/>
      <c r="I3202" s="185"/>
      <c r="J3202" s="185"/>
      <c r="K3202" s="185"/>
      <c r="L3202" s="187"/>
      <c r="M3202" s="188"/>
      <c r="N3202" s="188"/>
      <c r="O3202" s="208"/>
      <c r="P3202" s="208"/>
      <c r="Q3202" s="208"/>
      <c r="R3202" s="208"/>
    </row>
    <row r="3203">
      <c r="A3203" s="185"/>
      <c r="B3203" s="186"/>
      <c r="C3203" s="185"/>
      <c r="D3203" s="185"/>
      <c r="E3203" s="185"/>
      <c r="F3203" s="185"/>
      <c r="G3203" s="185"/>
      <c r="H3203" s="185"/>
      <c r="I3203" s="185"/>
      <c r="J3203" s="185"/>
      <c r="K3203" s="185"/>
      <c r="L3203" s="187"/>
      <c r="M3203" s="188"/>
      <c r="N3203" s="188"/>
      <c r="O3203" s="208"/>
      <c r="P3203" s="208"/>
      <c r="Q3203" s="208"/>
      <c r="R3203" s="208"/>
    </row>
    <row r="3204">
      <c r="A3204" s="185"/>
      <c r="B3204" s="186"/>
      <c r="C3204" s="185"/>
      <c r="D3204" s="185"/>
      <c r="E3204" s="185"/>
      <c r="F3204" s="185"/>
      <c r="G3204" s="185"/>
      <c r="H3204" s="185"/>
      <c r="I3204" s="185"/>
      <c r="J3204" s="185"/>
      <c r="K3204" s="185"/>
      <c r="L3204" s="187"/>
      <c r="M3204" s="188"/>
      <c r="N3204" s="188"/>
      <c r="O3204" s="208"/>
      <c r="P3204" s="208"/>
      <c r="Q3204" s="208"/>
      <c r="R3204" s="208"/>
    </row>
    <row r="3205">
      <c r="A3205" s="185"/>
      <c r="B3205" s="186"/>
      <c r="C3205" s="185"/>
      <c r="D3205" s="185"/>
      <c r="E3205" s="185"/>
      <c r="F3205" s="185"/>
      <c r="G3205" s="185"/>
      <c r="H3205" s="185"/>
      <c r="I3205" s="185"/>
      <c r="J3205" s="185"/>
      <c r="K3205" s="185"/>
      <c r="L3205" s="187"/>
      <c r="M3205" s="188"/>
      <c r="N3205" s="188"/>
      <c r="O3205" s="208"/>
      <c r="P3205" s="208"/>
      <c r="Q3205" s="208"/>
      <c r="R3205" s="208"/>
    </row>
    <row r="3206">
      <c r="A3206" s="185"/>
      <c r="B3206" s="186"/>
      <c r="C3206" s="185"/>
      <c r="D3206" s="185"/>
      <c r="E3206" s="185"/>
      <c r="F3206" s="185"/>
      <c r="G3206" s="185"/>
      <c r="H3206" s="185"/>
      <c r="I3206" s="185"/>
      <c r="J3206" s="185"/>
      <c r="K3206" s="185"/>
      <c r="L3206" s="187"/>
      <c r="M3206" s="188"/>
      <c r="N3206" s="188"/>
      <c r="O3206" s="208"/>
      <c r="P3206" s="208"/>
      <c r="Q3206" s="208"/>
      <c r="R3206" s="208"/>
    </row>
    <row r="3207">
      <c r="A3207" s="185"/>
      <c r="B3207" s="186"/>
      <c r="C3207" s="185"/>
      <c r="D3207" s="185"/>
      <c r="E3207" s="185"/>
      <c r="F3207" s="185"/>
      <c r="G3207" s="185"/>
      <c r="H3207" s="185"/>
      <c r="I3207" s="185"/>
      <c r="J3207" s="185"/>
      <c r="K3207" s="185"/>
      <c r="L3207" s="187"/>
      <c r="M3207" s="188"/>
      <c r="N3207" s="188"/>
      <c r="O3207" s="208"/>
      <c r="P3207" s="208"/>
      <c r="Q3207" s="208"/>
      <c r="R3207" s="208"/>
    </row>
    <row r="3208">
      <c r="A3208" s="185"/>
      <c r="B3208" s="186"/>
      <c r="C3208" s="185"/>
      <c r="D3208" s="185"/>
      <c r="E3208" s="185"/>
      <c r="F3208" s="185"/>
      <c r="G3208" s="185"/>
      <c r="H3208" s="185"/>
      <c r="I3208" s="185"/>
      <c r="J3208" s="185"/>
      <c r="K3208" s="185"/>
      <c r="L3208" s="187"/>
      <c r="M3208" s="188"/>
      <c r="N3208" s="188"/>
      <c r="O3208" s="208"/>
      <c r="P3208" s="208"/>
      <c r="Q3208" s="208"/>
      <c r="R3208" s="208"/>
    </row>
    <row r="3209">
      <c r="A3209" s="185"/>
      <c r="B3209" s="186"/>
      <c r="C3209" s="185"/>
      <c r="D3209" s="185"/>
      <c r="E3209" s="185"/>
      <c r="F3209" s="185"/>
      <c r="G3209" s="185"/>
      <c r="H3209" s="185"/>
      <c r="I3209" s="185"/>
      <c r="J3209" s="185"/>
      <c r="K3209" s="185"/>
      <c r="L3209" s="187"/>
      <c r="M3209" s="188"/>
      <c r="N3209" s="188"/>
      <c r="O3209" s="208"/>
      <c r="P3209" s="208"/>
      <c r="Q3209" s="208"/>
      <c r="R3209" s="208"/>
    </row>
    <row r="3210">
      <c r="A3210" s="185"/>
      <c r="B3210" s="186"/>
      <c r="C3210" s="185"/>
      <c r="D3210" s="185"/>
      <c r="E3210" s="185"/>
      <c r="F3210" s="185"/>
      <c r="G3210" s="185"/>
      <c r="H3210" s="185"/>
      <c r="I3210" s="185"/>
      <c r="J3210" s="185"/>
      <c r="K3210" s="185"/>
      <c r="L3210" s="187"/>
      <c r="M3210" s="188"/>
      <c r="N3210" s="188"/>
      <c r="O3210" s="208"/>
      <c r="P3210" s="208"/>
      <c r="Q3210" s="208"/>
      <c r="R3210" s="208"/>
    </row>
    <row r="3211">
      <c r="A3211" s="185"/>
      <c r="B3211" s="186"/>
      <c r="C3211" s="185"/>
      <c r="D3211" s="185"/>
      <c r="E3211" s="185"/>
      <c r="F3211" s="185"/>
      <c r="G3211" s="185"/>
      <c r="H3211" s="185"/>
      <c r="I3211" s="185"/>
      <c r="J3211" s="185"/>
      <c r="K3211" s="185"/>
      <c r="L3211" s="187"/>
      <c r="M3211" s="188"/>
      <c r="N3211" s="188"/>
      <c r="O3211" s="208"/>
      <c r="P3211" s="208"/>
      <c r="Q3211" s="208"/>
      <c r="R3211" s="208"/>
    </row>
    <row r="3212">
      <c r="A3212" s="185"/>
      <c r="B3212" s="186"/>
      <c r="C3212" s="185"/>
      <c r="D3212" s="185"/>
      <c r="E3212" s="185"/>
      <c r="F3212" s="185"/>
      <c r="G3212" s="185"/>
      <c r="H3212" s="185"/>
      <c r="I3212" s="185"/>
      <c r="J3212" s="185"/>
      <c r="K3212" s="185"/>
      <c r="L3212" s="187"/>
      <c r="M3212" s="188"/>
      <c r="N3212" s="188"/>
      <c r="O3212" s="208"/>
      <c r="P3212" s="208"/>
      <c r="Q3212" s="208"/>
      <c r="R3212" s="208"/>
    </row>
    <row r="3213">
      <c r="A3213" s="185"/>
      <c r="B3213" s="186"/>
      <c r="C3213" s="185"/>
      <c r="D3213" s="185"/>
      <c r="E3213" s="185"/>
      <c r="F3213" s="185"/>
      <c r="G3213" s="185"/>
      <c r="H3213" s="185"/>
      <c r="I3213" s="185"/>
      <c r="J3213" s="185"/>
      <c r="K3213" s="185"/>
      <c r="L3213" s="187"/>
      <c r="M3213" s="188"/>
      <c r="N3213" s="188"/>
      <c r="O3213" s="208"/>
      <c r="P3213" s="208"/>
      <c r="Q3213" s="208"/>
      <c r="R3213" s="208"/>
    </row>
    <row r="3214">
      <c r="A3214" s="185"/>
      <c r="B3214" s="186"/>
      <c r="C3214" s="185"/>
      <c r="D3214" s="185"/>
      <c r="E3214" s="185"/>
      <c r="F3214" s="185"/>
      <c r="G3214" s="185"/>
      <c r="H3214" s="185"/>
      <c r="I3214" s="185"/>
      <c r="J3214" s="185"/>
      <c r="K3214" s="185"/>
      <c r="L3214" s="187"/>
      <c r="M3214" s="188"/>
      <c r="N3214" s="188"/>
      <c r="O3214" s="208"/>
      <c r="P3214" s="208"/>
      <c r="Q3214" s="208"/>
      <c r="R3214" s="208"/>
    </row>
    <row r="3215">
      <c r="A3215" s="185"/>
      <c r="B3215" s="186"/>
      <c r="C3215" s="185"/>
      <c r="D3215" s="185"/>
      <c r="E3215" s="185"/>
      <c r="F3215" s="185"/>
      <c r="G3215" s="185"/>
      <c r="H3215" s="185"/>
      <c r="I3215" s="185"/>
      <c r="J3215" s="185"/>
      <c r="K3215" s="185"/>
      <c r="L3215" s="187"/>
      <c r="M3215" s="188"/>
      <c r="N3215" s="188"/>
      <c r="O3215" s="208"/>
      <c r="P3215" s="208"/>
      <c r="Q3215" s="208"/>
      <c r="R3215" s="208"/>
    </row>
    <row r="3216">
      <c r="A3216" s="185"/>
      <c r="B3216" s="186"/>
      <c r="C3216" s="185"/>
      <c r="D3216" s="185"/>
      <c r="E3216" s="185"/>
      <c r="F3216" s="185"/>
      <c r="G3216" s="185"/>
      <c r="H3216" s="185"/>
      <c r="I3216" s="185"/>
      <c r="J3216" s="185"/>
      <c r="K3216" s="185"/>
      <c r="L3216" s="187"/>
      <c r="M3216" s="188"/>
      <c r="N3216" s="188"/>
      <c r="O3216" s="208"/>
      <c r="P3216" s="208"/>
      <c r="Q3216" s="208"/>
      <c r="R3216" s="208"/>
    </row>
    <row r="3217">
      <c r="A3217" s="185"/>
      <c r="B3217" s="186"/>
      <c r="C3217" s="185"/>
      <c r="D3217" s="185"/>
      <c r="E3217" s="185"/>
      <c r="F3217" s="185"/>
      <c r="G3217" s="185"/>
      <c r="H3217" s="185"/>
      <c r="I3217" s="185"/>
      <c r="J3217" s="185"/>
      <c r="K3217" s="185"/>
      <c r="L3217" s="187"/>
      <c r="M3217" s="188"/>
      <c r="N3217" s="188"/>
      <c r="O3217" s="208"/>
      <c r="P3217" s="208"/>
      <c r="Q3217" s="208"/>
      <c r="R3217" s="208"/>
    </row>
    <row r="3218">
      <c r="A3218" s="185"/>
      <c r="B3218" s="186"/>
      <c r="C3218" s="185"/>
      <c r="D3218" s="185"/>
      <c r="E3218" s="185"/>
      <c r="F3218" s="185"/>
      <c r="G3218" s="185"/>
      <c r="H3218" s="185"/>
      <c r="I3218" s="185"/>
      <c r="J3218" s="185"/>
      <c r="K3218" s="185"/>
      <c r="L3218" s="187"/>
      <c r="M3218" s="188"/>
      <c r="N3218" s="188"/>
      <c r="O3218" s="208"/>
      <c r="P3218" s="208"/>
      <c r="Q3218" s="208"/>
      <c r="R3218" s="208"/>
    </row>
    <row r="3219">
      <c r="A3219" s="185"/>
      <c r="B3219" s="186"/>
      <c r="C3219" s="185"/>
      <c r="D3219" s="185"/>
      <c r="E3219" s="185"/>
      <c r="F3219" s="185"/>
      <c r="G3219" s="185"/>
      <c r="H3219" s="185"/>
      <c r="I3219" s="185"/>
      <c r="J3219" s="185"/>
      <c r="K3219" s="185"/>
      <c r="L3219" s="187"/>
      <c r="M3219" s="188"/>
      <c r="N3219" s="188"/>
      <c r="O3219" s="208"/>
      <c r="P3219" s="208"/>
      <c r="Q3219" s="208"/>
      <c r="R3219" s="208"/>
    </row>
    <row r="3220">
      <c r="A3220" s="185"/>
      <c r="B3220" s="186"/>
      <c r="C3220" s="185"/>
      <c r="D3220" s="185"/>
      <c r="E3220" s="185"/>
      <c r="F3220" s="185"/>
      <c r="G3220" s="185"/>
      <c r="H3220" s="185"/>
      <c r="I3220" s="185"/>
      <c r="J3220" s="185"/>
      <c r="K3220" s="185"/>
      <c r="L3220" s="187"/>
      <c r="M3220" s="188"/>
      <c r="N3220" s="188"/>
      <c r="O3220" s="208"/>
      <c r="P3220" s="208"/>
      <c r="Q3220" s="208"/>
      <c r="R3220" s="208"/>
    </row>
    <row r="3221">
      <c r="A3221" s="185"/>
      <c r="B3221" s="186"/>
      <c r="C3221" s="185"/>
      <c r="D3221" s="185"/>
      <c r="E3221" s="185"/>
      <c r="F3221" s="185"/>
      <c r="G3221" s="185"/>
      <c r="H3221" s="185"/>
      <c r="I3221" s="185"/>
      <c r="J3221" s="185"/>
      <c r="K3221" s="185"/>
      <c r="L3221" s="187"/>
      <c r="M3221" s="188"/>
      <c r="N3221" s="188"/>
      <c r="O3221" s="208"/>
      <c r="P3221" s="208"/>
      <c r="Q3221" s="208"/>
      <c r="R3221" s="208"/>
    </row>
    <row r="3222">
      <c r="A3222" s="185"/>
      <c r="B3222" s="186"/>
      <c r="C3222" s="185"/>
      <c r="D3222" s="185"/>
      <c r="E3222" s="185"/>
      <c r="F3222" s="185"/>
      <c r="G3222" s="185"/>
      <c r="H3222" s="185"/>
      <c r="I3222" s="185"/>
      <c r="J3222" s="185"/>
      <c r="K3222" s="185"/>
      <c r="L3222" s="187"/>
      <c r="M3222" s="188"/>
      <c r="N3222" s="188"/>
      <c r="O3222" s="208"/>
      <c r="P3222" s="208"/>
      <c r="Q3222" s="208"/>
      <c r="R3222" s="208"/>
    </row>
    <row r="3223">
      <c r="A3223" s="185"/>
      <c r="B3223" s="186"/>
      <c r="C3223" s="185"/>
      <c r="D3223" s="185"/>
      <c r="E3223" s="185"/>
      <c r="F3223" s="185"/>
      <c r="G3223" s="185"/>
      <c r="H3223" s="185"/>
      <c r="I3223" s="185"/>
      <c r="J3223" s="185"/>
      <c r="K3223" s="185"/>
      <c r="L3223" s="187"/>
      <c r="M3223" s="188"/>
      <c r="N3223" s="188"/>
      <c r="O3223" s="208"/>
      <c r="P3223" s="208"/>
      <c r="Q3223" s="208"/>
      <c r="R3223" s="208"/>
    </row>
    <row r="3224">
      <c r="A3224" s="185"/>
      <c r="B3224" s="186"/>
      <c r="C3224" s="185"/>
      <c r="D3224" s="185"/>
      <c r="E3224" s="185"/>
      <c r="F3224" s="185"/>
      <c r="G3224" s="185"/>
      <c r="H3224" s="185"/>
      <c r="I3224" s="185"/>
      <c r="J3224" s="185"/>
      <c r="K3224" s="185"/>
      <c r="L3224" s="187"/>
      <c r="M3224" s="188"/>
      <c r="N3224" s="188"/>
      <c r="O3224" s="208"/>
      <c r="P3224" s="208"/>
      <c r="Q3224" s="208"/>
      <c r="R3224" s="208"/>
    </row>
    <row r="3225">
      <c r="A3225" s="185"/>
      <c r="B3225" s="186"/>
      <c r="C3225" s="185"/>
      <c r="D3225" s="185"/>
      <c r="E3225" s="185"/>
      <c r="F3225" s="185"/>
      <c r="G3225" s="185"/>
      <c r="H3225" s="185"/>
      <c r="I3225" s="185"/>
      <c r="J3225" s="185"/>
      <c r="K3225" s="185"/>
      <c r="L3225" s="187"/>
      <c r="M3225" s="188"/>
      <c r="N3225" s="188"/>
      <c r="O3225" s="208"/>
      <c r="P3225" s="208"/>
      <c r="Q3225" s="208"/>
      <c r="R3225" s="208"/>
    </row>
    <row r="3226">
      <c r="A3226" s="185"/>
      <c r="B3226" s="186"/>
      <c r="C3226" s="185"/>
      <c r="D3226" s="185"/>
      <c r="E3226" s="185"/>
      <c r="F3226" s="185"/>
      <c r="G3226" s="185"/>
      <c r="H3226" s="185"/>
      <c r="I3226" s="185"/>
      <c r="J3226" s="185"/>
      <c r="K3226" s="185"/>
      <c r="L3226" s="187"/>
      <c r="M3226" s="188"/>
      <c r="N3226" s="188"/>
      <c r="O3226" s="208"/>
      <c r="P3226" s="208"/>
      <c r="Q3226" s="208"/>
      <c r="R3226" s="208"/>
    </row>
    <row r="3227">
      <c r="A3227" s="185"/>
      <c r="B3227" s="186"/>
      <c r="C3227" s="185"/>
      <c r="D3227" s="185"/>
      <c r="E3227" s="185"/>
      <c r="F3227" s="185"/>
      <c r="G3227" s="185"/>
      <c r="H3227" s="185"/>
      <c r="I3227" s="185"/>
      <c r="J3227" s="185"/>
      <c r="K3227" s="185"/>
      <c r="L3227" s="187"/>
      <c r="M3227" s="188"/>
      <c r="N3227" s="188"/>
      <c r="O3227" s="208"/>
      <c r="P3227" s="208"/>
      <c r="Q3227" s="208"/>
      <c r="R3227" s="208"/>
    </row>
    <row r="3228">
      <c r="A3228" s="185"/>
      <c r="B3228" s="186"/>
      <c r="C3228" s="185"/>
      <c r="D3228" s="185"/>
      <c r="E3228" s="185"/>
      <c r="F3228" s="185"/>
      <c r="G3228" s="185"/>
      <c r="H3228" s="185"/>
      <c r="I3228" s="185"/>
      <c r="J3228" s="185"/>
      <c r="K3228" s="185"/>
      <c r="L3228" s="187"/>
      <c r="M3228" s="188"/>
      <c r="N3228" s="188"/>
      <c r="O3228" s="208"/>
      <c r="P3228" s="208"/>
      <c r="Q3228" s="208"/>
      <c r="R3228" s="208"/>
    </row>
    <row r="3229">
      <c r="A3229" s="185"/>
      <c r="B3229" s="186"/>
      <c r="C3229" s="185"/>
      <c r="D3229" s="185"/>
      <c r="E3229" s="185"/>
      <c r="F3229" s="185"/>
      <c r="G3229" s="185"/>
      <c r="H3229" s="185"/>
      <c r="I3229" s="185"/>
      <c r="J3229" s="185"/>
      <c r="K3229" s="185"/>
      <c r="L3229" s="187"/>
      <c r="M3229" s="188"/>
      <c r="N3229" s="188"/>
      <c r="O3229" s="208"/>
      <c r="P3229" s="208"/>
      <c r="Q3229" s="208"/>
      <c r="R3229" s="208"/>
    </row>
    <row r="3230">
      <c r="A3230" s="185"/>
      <c r="B3230" s="186"/>
      <c r="C3230" s="185"/>
      <c r="D3230" s="185"/>
      <c r="E3230" s="185"/>
      <c r="F3230" s="185"/>
      <c r="G3230" s="185"/>
      <c r="H3230" s="185"/>
      <c r="I3230" s="185"/>
      <c r="J3230" s="185"/>
      <c r="K3230" s="185"/>
      <c r="L3230" s="187"/>
      <c r="M3230" s="188"/>
      <c r="N3230" s="188"/>
      <c r="O3230" s="208"/>
      <c r="P3230" s="208"/>
      <c r="Q3230" s="208"/>
      <c r="R3230" s="208"/>
    </row>
    <row r="3231">
      <c r="A3231" s="185"/>
      <c r="B3231" s="186"/>
      <c r="C3231" s="185"/>
      <c r="D3231" s="185"/>
      <c r="E3231" s="185"/>
      <c r="F3231" s="185"/>
      <c r="G3231" s="185"/>
      <c r="H3231" s="185"/>
      <c r="I3231" s="185"/>
      <c r="J3231" s="185"/>
      <c r="K3231" s="185"/>
      <c r="L3231" s="187"/>
      <c r="M3231" s="188"/>
      <c r="N3231" s="188"/>
      <c r="O3231" s="208"/>
      <c r="P3231" s="208"/>
      <c r="Q3231" s="208"/>
      <c r="R3231" s="208"/>
    </row>
    <row r="3232">
      <c r="A3232" s="185"/>
      <c r="B3232" s="186"/>
      <c r="C3232" s="185"/>
      <c r="D3232" s="185"/>
      <c r="E3232" s="185"/>
      <c r="F3232" s="185"/>
      <c r="G3232" s="185"/>
      <c r="H3232" s="185"/>
      <c r="I3232" s="185"/>
      <c r="J3232" s="185"/>
      <c r="K3232" s="185"/>
      <c r="L3232" s="187"/>
      <c r="M3232" s="188"/>
      <c r="N3232" s="188"/>
      <c r="O3232" s="208"/>
      <c r="P3232" s="208"/>
      <c r="Q3232" s="208"/>
      <c r="R3232" s="208"/>
    </row>
    <row r="3233">
      <c r="A3233" s="185"/>
      <c r="B3233" s="186"/>
      <c r="C3233" s="185"/>
      <c r="D3233" s="185"/>
      <c r="E3233" s="185"/>
      <c r="F3233" s="185"/>
      <c r="G3233" s="185"/>
      <c r="H3233" s="185"/>
      <c r="I3233" s="185"/>
      <c r="J3233" s="185"/>
      <c r="K3233" s="185"/>
      <c r="L3233" s="187"/>
      <c r="M3233" s="188"/>
      <c r="N3233" s="188"/>
      <c r="O3233" s="208"/>
      <c r="P3233" s="208"/>
      <c r="Q3233" s="208"/>
      <c r="R3233" s="208"/>
    </row>
    <row r="3234">
      <c r="A3234" s="185"/>
      <c r="B3234" s="186"/>
      <c r="C3234" s="185"/>
      <c r="D3234" s="185"/>
      <c r="E3234" s="185"/>
      <c r="F3234" s="185"/>
      <c r="G3234" s="185"/>
      <c r="H3234" s="185"/>
      <c r="I3234" s="185"/>
      <c r="J3234" s="185"/>
      <c r="K3234" s="185"/>
      <c r="L3234" s="187"/>
      <c r="M3234" s="188"/>
      <c r="N3234" s="188"/>
      <c r="O3234" s="208"/>
      <c r="P3234" s="208"/>
      <c r="Q3234" s="208"/>
      <c r="R3234" s="208"/>
    </row>
    <row r="3235">
      <c r="A3235" s="185"/>
      <c r="B3235" s="186"/>
      <c r="C3235" s="185"/>
      <c r="D3235" s="185"/>
      <c r="E3235" s="185"/>
      <c r="F3235" s="185"/>
      <c r="G3235" s="185"/>
      <c r="H3235" s="185"/>
      <c r="I3235" s="185"/>
      <c r="J3235" s="185"/>
      <c r="K3235" s="185"/>
      <c r="L3235" s="187"/>
      <c r="M3235" s="188"/>
      <c r="N3235" s="188"/>
      <c r="O3235" s="208"/>
      <c r="P3235" s="208"/>
      <c r="Q3235" s="208"/>
      <c r="R3235" s="208"/>
    </row>
    <row r="3236">
      <c r="A3236" s="185"/>
      <c r="B3236" s="186"/>
      <c r="C3236" s="185"/>
      <c r="D3236" s="185"/>
      <c r="E3236" s="185"/>
      <c r="F3236" s="185"/>
      <c r="G3236" s="185"/>
      <c r="H3236" s="185"/>
      <c r="I3236" s="185"/>
      <c r="J3236" s="185"/>
      <c r="K3236" s="185"/>
      <c r="L3236" s="187"/>
      <c r="M3236" s="188"/>
      <c r="N3236" s="188"/>
      <c r="O3236" s="208"/>
      <c r="P3236" s="208"/>
      <c r="Q3236" s="208"/>
      <c r="R3236" s="208"/>
    </row>
    <row r="3237">
      <c r="A3237" s="185"/>
      <c r="B3237" s="186"/>
      <c r="C3237" s="185"/>
      <c r="D3237" s="185"/>
      <c r="E3237" s="185"/>
      <c r="F3237" s="185"/>
      <c r="G3237" s="185"/>
      <c r="H3237" s="185"/>
      <c r="I3237" s="185"/>
      <c r="J3237" s="185"/>
      <c r="K3237" s="185"/>
      <c r="L3237" s="187"/>
      <c r="M3237" s="188"/>
      <c r="N3237" s="188"/>
      <c r="O3237" s="208"/>
      <c r="P3237" s="208"/>
      <c r="Q3237" s="208"/>
      <c r="R3237" s="208"/>
    </row>
    <row r="3238">
      <c r="A3238" s="185"/>
      <c r="B3238" s="186"/>
      <c r="C3238" s="185"/>
      <c r="D3238" s="185"/>
      <c r="E3238" s="185"/>
      <c r="F3238" s="185"/>
      <c r="G3238" s="185"/>
      <c r="H3238" s="185"/>
      <c r="I3238" s="185"/>
      <c r="J3238" s="185"/>
      <c r="K3238" s="185"/>
      <c r="L3238" s="187"/>
      <c r="M3238" s="188"/>
      <c r="N3238" s="188"/>
      <c r="O3238" s="208"/>
      <c r="P3238" s="208"/>
      <c r="Q3238" s="208"/>
      <c r="R3238" s="208"/>
    </row>
    <row r="3239">
      <c r="A3239" s="185"/>
      <c r="B3239" s="186"/>
      <c r="C3239" s="185"/>
      <c r="D3239" s="185"/>
      <c r="E3239" s="185"/>
      <c r="F3239" s="185"/>
      <c r="G3239" s="185"/>
      <c r="H3239" s="185"/>
      <c r="I3239" s="185"/>
      <c r="J3239" s="185"/>
      <c r="K3239" s="185"/>
      <c r="L3239" s="187"/>
      <c r="M3239" s="188"/>
      <c r="N3239" s="188"/>
      <c r="O3239" s="208"/>
      <c r="P3239" s="208"/>
      <c r="Q3239" s="208"/>
      <c r="R3239" s="208"/>
    </row>
    <row r="3240">
      <c r="A3240" s="185"/>
      <c r="B3240" s="186"/>
      <c r="C3240" s="185"/>
      <c r="D3240" s="185"/>
      <c r="E3240" s="185"/>
      <c r="F3240" s="185"/>
      <c r="G3240" s="185"/>
      <c r="H3240" s="185"/>
      <c r="I3240" s="185"/>
      <c r="J3240" s="185"/>
      <c r="K3240" s="185"/>
      <c r="L3240" s="187"/>
      <c r="M3240" s="188"/>
      <c r="N3240" s="188"/>
      <c r="O3240" s="208"/>
      <c r="P3240" s="208"/>
      <c r="Q3240" s="208"/>
      <c r="R3240" s="208"/>
    </row>
    <row r="3241">
      <c r="A3241" s="185"/>
      <c r="B3241" s="186"/>
      <c r="C3241" s="185"/>
      <c r="D3241" s="185"/>
      <c r="E3241" s="185"/>
      <c r="F3241" s="185"/>
      <c r="G3241" s="185"/>
      <c r="H3241" s="185"/>
      <c r="I3241" s="185"/>
      <c r="J3241" s="185"/>
      <c r="K3241" s="185"/>
      <c r="L3241" s="187"/>
      <c r="M3241" s="188"/>
      <c r="N3241" s="188"/>
      <c r="O3241" s="208"/>
      <c r="P3241" s="208"/>
      <c r="Q3241" s="208"/>
      <c r="R3241" s="208"/>
    </row>
    <row r="3242">
      <c r="A3242" s="185"/>
      <c r="B3242" s="186"/>
      <c r="C3242" s="185"/>
      <c r="D3242" s="185"/>
      <c r="E3242" s="185"/>
      <c r="F3242" s="185"/>
      <c r="G3242" s="185"/>
      <c r="H3242" s="185"/>
      <c r="I3242" s="185"/>
      <c r="J3242" s="185"/>
      <c r="K3242" s="185"/>
      <c r="L3242" s="187"/>
      <c r="M3242" s="188"/>
      <c r="N3242" s="188"/>
      <c r="O3242" s="208"/>
      <c r="P3242" s="208"/>
      <c r="Q3242" s="208"/>
      <c r="R3242" s="208"/>
    </row>
    <row r="3243">
      <c r="A3243" s="185"/>
      <c r="B3243" s="186"/>
      <c r="C3243" s="185"/>
      <c r="D3243" s="185"/>
      <c r="E3243" s="185"/>
      <c r="F3243" s="185"/>
      <c r="G3243" s="185"/>
      <c r="H3243" s="185"/>
      <c r="I3243" s="185"/>
      <c r="J3243" s="185"/>
      <c r="K3243" s="185"/>
      <c r="L3243" s="187"/>
      <c r="M3243" s="188"/>
      <c r="N3243" s="188"/>
      <c r="O3243" s="208"/>
      <c r="P3243" s="208"/>
      <c r="Q3243" s="208"/>
      <c r="R3243" s="208"/>
    </row>
    <row r="3244">
      <c r="A3244" s="185"/>
      <c r="B3244" s="186"/>
      <c r="C3244" s="185"/>
      <c r="D3244" s="185"/>
      <c r="E3244" s="185"/>
      <c r="F3244" s="185"/>
      <c r="G3244" s="185"/>
      <c r="H3244" s="185"/>
      <c r="I3244" s="185"/>
      <c r="J3244" s="185"/>
      <c r="K3244" s="185"/>
      <c r="L3244" s="187"/>
      <c r="M3244" s="188"/>
      <c r="N3244" s="188"/>
      <c r="O3244" s="208"/>
      <c r="P3244" s="208"/>
      <c r="Q3244" s="208"/>
      <c r="R3244" s="208"/>
    </row>
    <row r="3245">
      <c r="A3245" s="185"/>
      <c r="B3245" s="186"/>
      <c r="C3245" s="185"/>
      <c r="D3245" s="185"/>
      <c r="E3245" s="185"/>
      <c r="F3245" s="185"/>
      <c r="G3245" s="185"/>
      <c r="H3245" s="185"/>
      <c r="I3245" s="185"/>
      <c r="J3245" s="185"/>
      <c r="K3245" s="185"/>
      <c r="L3245" s="187"/>
      <c r="M3245" s="188"/>
      <c r="N3245" s="188"/>
      <c r="O3245" s="208"/>
      <c r="P3245" s="208"/>
      <c r="Q3245" s="208"/>
      <c r="R3245" s="208"/>
    </row>
    <row r="3246">
      <c r="A3246" s="185"/>
      <c r="B3246" s="186"/>
      <c r="C3246" s="185"/>
      <c r="D3246" s="185"/>
      <c r="E3246" s="185"/>
      <c r="F3246" s="185"/>
      <c r="G3246" s="185"/>
      <c r="H3246" s="185"/>
      <c r="I3246" s="185"/>
      <c r="J3246" s="185"/>
      <c r="K3246" s="185"/>
      <c r="L3246" s="187"/>
      <c r="M3246" s="188"/>
      <c r="N3246" s="188"/>
      <c r="O3246" s="208"/>
      <c r="P3246" s="208"/>
      <c r="Q3246" s="208"/>
      <c r="R3246" s="208"/>
    </row>
    <row r="3247">
      <c r="A3247" s="185"/>
      <c r="B3247" s="186"/>
      <c r="C3247" s="185"/>
      <c r="D3247" s="185"/>
      <c r="E3247" s="185"/>
      <c r="F3247" s="185"/>
      <c r="G3247" s="185"/>
      <c r="H3247" s="185"/>
      <c r="I3247" s="185"/>
      <c r="J3247" s="185"/>
      <c r="K3247" s="185"/>
      <c r="L3247" s="187"/>
      <c r="M3247" s="188"/>
      <c r="N3247" s="188"/>
      <c r="O3247" s="208"/>
      <c r="P3247" s="208"/>
      <c r="Q3247" s="208"/>
      <c r="R3247" s="208"/>
    </row>
    <row r="3248">
      <c r="A3248" s="185"/>
      <c r="B3248" s="186"/>
      <c r="C3248" s="185"/>
      <c r="D3248" s="185"/>
      <c r="E3248" s="185"/>
      <c r="F3248" s="185"/>
      <c r="G3248" s="185"/>
      <c r="H3248" s="185"/>
      <c r="I3248" s="185"/>
      <c r="J3248" s="185"/>
      <c r="K3248" s="185"/>
      <c r="L3248" s="187"/>
      <c r="M3248" s="188"/>
      <c r="N3248" s="188"/>
      <c r="O3248" s="208"/>
      <c r="P3248" s="208"/>
      <c r="Q3248" s="208"/>
      <c r="R3248" s="208"/>
    </row>
    <row r="3249">
      <c r="A3249" s="185"/>
      <c r="B3249" s="186"/>
      <c r="C3249" s="185"/>
      <c r="D3249" s="185"/>
      <c r="E3249" s="185"/>
      <c r="F3249" s="185"/>
      <c r="G3249" s="185"/>
      <c r="H3249" s="185"/>
      <c r="I3249" s="185"/>
      <c r="J3249" s="185"/>
      <c r="K3249" s="185"/>
      <c r="L3249" s="187"/>
      <c r="M3249" s="188"/>
      <c r="N3249" s="188"/>
      <c r="O3249" s="208"/>
      <c r="P3249" s="208"/>
      <c r="Q3249" s="208"/>
      <c r="R3249" s="208"/>
    </row>
    <row r="3250">
      <c r="A3250" s="185"/>
      <c r="B3250" s="186"/>
      <c r="C3250" s="185"/>
      <c r="D3250" s="185"/>
      <c r="E3250" s="185"/>
      <c r="F3250" s="185"/>
      <c r="G3250" s="185"/>
      <c r="H3250" s="185"/>
      <c r="I3250" s="185"/>
      <c r="J3250" s="185"/>
      <c r="K3250" s="185"/>
      <c r="L3250" s="187"/>
      <c r="M3250" s="188"/>
      <c r="N3250" s="188"/>
      <c r="O3250" s="208"/>
      <c r="P3250" s="208"/>
      <c r="Q3250" s="208"/>
      <c r="R3250" s="208"/>
    </row>
    <row r="3251">
      <c r="A3251" s="185"/>
      <c r="B3251" s="186"/>
      <c r="C3251" s="185"/>
      <c r="D3251" s="185"/>
      <c r="E3251" s="185"/>
      <c r="F3251" s="185"/>
      <c r="G3251" s="185"/>
      <c r="H3251" s="185"/>
      <c r="I3251" s="185"/>
      <c r="J3251" s="185"/>
      <c r="K3251" s="185"/>
      <c r="L3251" s="187"/>
      <c r="M3251" s="188"/>
      <c r="N3251" s="188"/>
      <c r="O3251" s="208"/>
      <c r="P3251" s="208"/>
      <c r="Q3251" s="208"/>
      <c r="R3251" s="208"/>
    </row>
    <row r="3252">
      <c r="A3252" s="185"/>
      <c r="B3252" s="186"/>
      <c r="C3252" s="185"/>
      <c r="D3252" s="185"/>
      <c r="E3252" s="185"/>
      <c r="F3252" s="185"/>
      <c r="G3252" s="185"/>
      <c r="H3252" s="185"/>
      <c r="I3252" s="185"/>
      <c r="J3252" s="185"/>
      <c r="K3252" s="185"/>
      <c r="L3252" s="187"/>
      <c r="M3252" s="188"/>
      <c r="N3252" s="188"/>
      <c r="O3252" s="208"/>
      <c r="P3252" s="208"/>
      <c r="Q3252" s="208"/>
      <c r="R3252" s="208"/>
    </row>
    <row r="3253">
      <c r="A3253" s="185"/>
      <c r="B3253" s="186"/>
      <c r="C3253" s="185"/>
      <c r="D3253" s="185"/>
      <c r="E3253" s="185"/>
      <c r="F3253" s="185"/>
      <c r="G3253" s="185"/>
      <c r="H3253" s="185"/>
      <c r="I3253" s="185"/>
      <c r="J3253" s="185"/>
      <c r="K3253" s="185"/>
      <c r="L3253" s="187"/>
      <c r="M3253" s="188"/>
      <c r="N3253" s="188"/>
      <c r="O3253" s="208"/>
      <c r="P3253" s="208"/>
      <c r="Q3253" s="208"/>
      <c r="R3253" s="208"/>
    </row>
    <row r="3254">
      <c r="A3254" s="185"/>
      <c r="B3254" s="186"/>
      <c r="C3254" s="185"/>
      <c r="D3254" s="185"/>
      <c r="E3254" s="185"/>
      <c r="F3254" s="185"/>
      <c r="G3254" s="185"/>
      <c r="H3254" s="185"/>
      <c r="I3254" s="185"/>
      <c r="J3254" s="185"/>
      <c r="K3254" s="185"/>
      <c r="L3254" s="187"/>
      <c r="M3254" s="188"/>
      <c r="N3254" s="188"/>
      <c r="O3254" s="208"/>
      <c r="P3254" s="208"/>
      <c r="Q3254" s="208"/>
      <c r="R3254" s="208"/>
    </row>
    <row r="3255">
      <c r="A3255" s="185"/>
      <c r="B3255" s="186"/>
      <c r="C3255" s="185"/>
      <c r="D3255" s="185"/>
      <c r="E3255" s="185"/>
      <c r="F3255" s="185"/>
      <c r="G3255" s="185"/>
      <c r="H3255" s="185"/>
      <c r="I3255" s="185"/>
      <c r="J3255" s="185"/>
      <c r="K3255" s="185"/>
      <c r="L3255" s="187"/>
      <c r="M3255" s="188"/>
      <c r="N3255" s="188"/>
      <c r="O3255" s="208"/>
      <c r="P3255" s="208"/>
      <c r="Q3255" s="208"/>
      <c r="R3255" s="208"/>
    </row>
    <row r="3256">
      <c r="A3256" s="185"/>
      <c r="B3256" s="186"/>
      <c r="C3256" s="185"/>
      <c r="D3256" s="185"/>
      <c r="E3256" s="185"/>
      <c r="F3256" s="185"/>
      <c r="G3256" s="185"/>
      <c r="H3256" s="185"/>
      <c r="I3256" s="185"/>
      <c r="J3256" s="185"/>
      <c r="K3256" s="185"/>
      <c r="L3256" s="187"/>
      <c r="M3256" s="188"/>
      <c r="N3256" s="188"/>
      <c r="O3256" s="208"/>
      <c r="P3256" s="208"/>
      <c r="Q3256" s="208"/>
      <c r="R3256" s="208"/>
    </row>
    <row r="3257">
      <c r="A3257" s="185"/>
      <c r="B3257" s="186"/>
      <c r="C3257" s="185"/>
      <c r="D3257" s="185"/>
      <c r="E3257" s="185"/>
      <c r="F3257" s="185"/>
      <c r="G3257" s="185"/>
      <c r="H3257" s="185"/>
      <c r="I3257" s="185"/>
      <c r="J3257" s="185"/>
      <c r="K3257" s="185"/>
      <c r="L3257" s="187"/>
      <c r="M3257" s="188"/>
      <c r="N3257" s="188"/>
      <c r="O3257" s="208"/>
      <c r="P3257" s="208"/>
      <c r="Q3257" s="208"/>
      <c r="R3257" s="208"/>
    </row>
    <row r="3258">
      <c r="A3258" s="185"/>
      <c r="B3258" s="186"/>
      <c r="C3258" s="185"/>
      <c r="D3258" s="185"/>
      <c r="E3258" s="185"/>
      <c r="F3258" s="185"/>
      <c r="G3258" s="185"/>
      <c r="H3258" s="185"/>
      <c r="I3258" s="185"/>
      <c r="J3258" s="185"/>
      <c r="K3258" s="185"/>
      <c r="L3258" s="187"/>
      <c r="M3258" s="188"/>
      <c r="N3258" s="188"/>
      <c r="O3258" s="208"/>
      <c r="P3258" s="208"/>
      <c r="Q3258" s="208"/>
      <c r="R3258" s="208"/>
    </row>
    <row r="3259">
      <c r="A3259" s="185"/>
      <c r="B3259" s="186"/>
      <c r="C3259" s="185"/>
      <c r="D3259" s="185"/>
      <c r="E3259" s="185"/>
      <c r="F3259" s="185"/>
      <c r="G3259" s="185"/>
      <c r="H3259" s="185"/>
      <c r="I3259" s="185"/>
      <c r="J3259" s="185"/>
      <c r="K3259" s="185"/>
      <c r="L3259" s="187"/>
      <c r="M3259" s="188"/>
      <c r="N3259" s="188"/>
      <c r="O3259" s="208"/>
      <c r="P3259" s="208"/>
      <c r="Q3259" s="208"/>
      <c r="R3259" s="208"/>
    </row>
    <row r="3260">
      <c r="A3260" s="185"/>
      <c r="B3260" s="186"/>
      <c r="C3260" s="185"/>
      <c r="D3260" s="185"/>
      <c r="E3260" s="185"/>
      <c r="F3260" s="185"/>
      <c r="G3260" s="185"/>
      <c r="H3260" s="185"/>
      <c r="I3260" s="185"/>
      <c r="J3260" s="185"/>
      <c r="K3260" s="185"/>
      <c r="L3260" s="187"/>
      <c r="M3260" s="188"/>
      <c r="N3260" s="188"/>
      <c r="O3260" s="208"/>
      <c r="P3260" s="208"/>
      <c r="Q3260" s="208"/>
      <c r="R3260" s="208"/>
    </row>
    <row r="3261">
      <c r="A3261" s="185"/>
      <c r="B3261" s="186"/>
      <c r="C3261" s="185"/>
      <c r="D3261" s="185"/>
      <c r="E3261" s="185"/>
      <c r="F3261" s="185"/>
      <c r="G3261" s="185"/>
      <c r="H3261" s="185"/>
      <c r="I3261" s="185"/>
      <c r="J3261" s="185"/>
      <c r="K3261" s="185"/>
      <c r="L3261" s="187"/>
      <c r="M3261" s="188"/>
      <c r="N3261" s="188"/>
      <c r="O3261" s="208"/>
      <c r="P3261" s="208"/>
      <c r="Q3261" s="208"/>
      <c r="R3261" s="208"/>
    </row>
    <row r="3262">
      <c r="A3262" s="185"/>
      <c r="B3262" s="186"/>
      <c r="C3262" s="185"/>
      <c r="D3262" s="185"/>
      <c r="E3262" s="185"/>
      <c r="F3262" s="185"/>
      <c r="G3262" s="185"/>
      <c r="H3262" s="185"/>
      <c r="I3262" s="185"/>
      <c r="J3262" s="185"/>
      <c r="K3262" s="185"/>
      <c r="L3262" s="187"/>
      <c r="M3262" s="188"/>
      <c r="N3262" s="188"/>
      <c r="O3262" s="208"/>
      <c r="P3262" s="208"/>
      <c r="Q3262" s="208"/>
      <c r="R3262" s="208"/>
    </row>
    <row r="3263">
      <c r="A3263" s="185"/>
      <c r="B3263" s="186"/>
      <c r="C3263" s="185"/>
      <c r="D3263" s="185"/>
      <c r="E3263" s="185"/>
      <c r="F3263" s="185"/>
      <c r="G3263" s="185"/>
      <c r="H3263" s="185"/>
      <c r="I3263" s="185"/>
      <c r="J3263" s="185"/>
      <c r="K3263" s="185"/>
      <c r="L3263" s="187"/>
      <c r="M3263" s="188"/>
      <c r="N3263" s="188"/>
      <c r="O3263" s="208"/>
      <c r="P3263" s="208"/>
      <c r="Q3263" s="208"/>
      <c r="R3263" s="208"/>
    </row>
    <row r="3264">
      <c r="A3264" s="185"/>
      <c r="B3264" s="186"/>
      <c r="C3264" s="185"/>
      <c r="D3264" s="185"/>
      <c r="E3264" s="185"/>
      <c r="F3264" s="185"/>
      <c r="G3264" s="185"/>
      <c r="H3264" s="185"/>
      <c r="I3264" s="185"/>
      <c r="J3264" s="185"/>
      <c r="K3264" s="185"/>
      <c r="L3264" s="187"/>
      <c r="M3264" s="188"/>
      <c r="N3264" s="188"/>
      <c r="O3264" s="208"/>
      <c r="P3264" s="208"/>
      <c r="Q3264" s="208"/>
      <c r="R3264" s="208"/>
    </row>
    <row r="3265">
      <c r="A3265" s="185"/>
      <c r="B3265" s="186"/>
      <c r="C3265" s="185"/>
      <c r="D3265" s="185"/>
      <c r="E3265" s="185"/>
      <c r="F3265" s="185"/>
      <c r="G3265" s="185"/>
      <c r="H3265" s="185"/>
      <c r="I3265" s="185"/>
      <c r="J3265" s="185"/>
      <c r="K3265" s="185"/>
      <c r="L3265" s="187"/>
      <c r="M3265" s="188"/>
      <c r="N3265" s="188"/>
      <c r="O3265" s="208"/>
      <c r="P3265" s="208"/>
      <c r="Q3265" s="208"/>
      <c r="R3265" s="208"/>
    </row>
    <row r="3266">
      <c r="A3266" s="185"/>
      <c r="B3266" s="186"/>
      <c r="C3266" s="185"/>
      <c r="D3266" s="185"/>
      <c r="E3266" s="185"/>
      <c r="F3266" s="185"/>
      <c r="G3266" s="185"/>
      <c r="H3266" s="185"/>
      <c r="I3266" s="185"/>
      <c r="J3266" s="185"/>
      <c r="K3266" s="185"/>
      <c r="L3266" s="187"/>
      <c r="M3266" s="188"/>
      <c r="N3266" s="188"/>
      <c r="O3266" s="208"/>
      <c r="P3266" s="208"/>
      <c r="Q3266" s="208"/>
      <c r="R3266" s="208"/>
    </row>
    <row r="3267">
      <c r="A3267" s="185"/>
      <c r="B3267" s="186"/>
      <c r="C3267" s="185"/>
      <c r="D3267" s="185"/>
      <c r="E3267" s="185"/>
      <c r="F3267" s="185"/>
      <c r="G3267" s="185"/>
      <c r="H3267" s="185"/>
      <c r="I3267" s="185"/>
      <c r="J3267" s="185"/>
      <c r="K3267" s="185"/>
      <c r="L3267" s="187"/>
      <c r="M3267" s="188"/>
      <c r="N3267" s="188"/>
      <c r="O3267" s="208"/>
      <c r="P3267" s="208"/>
      <c r="Q3267" s="208"/>
      <c r="R3267" s="208"/>
    </row>
    <row r="3268">
      <c r="A3268" s="185"/>
      <c r="B3268" s="186"/>
      <c r="C3268" s="185"/>
      <c r="D3268" s="185"/>
      <c r="E3268" s="185"/>
      <c r="F3268" s="185"/>
      <c r="G3268" s="185"/>
      <c r="H3268" s="185"/>
      <c r="I3268" s="185"/>
      <c r="J3268" s="185"/>
      <c r="K3268" s="185"/>
      <c r="L3268" s="187"/>
      <c r="M3268" s="188"/>
      <c r="N3268" s="188"/>
      <c r="O3268" s="208"/>
      <c r="P3268" s="208"/>
      <c r="Q3268" s="208"/>
      <c r="R3268" s="208"/>
    </row>
    <row r="3269">
      <c r="A3269" s="185"/>
      <c r="B3269" s="186"/>
      <c r="C3269" s="185"/>
      <c r="D3269" s="185"/>
      <c r="E3269" s="185"/>
      <c r="F3269" s="185"/>
      <c r="G3269" s="185"/>
      <c r="H3269" s="185"/>
      <c r="I3269" s="185"/>
      <c r="J3269" s="185"/>
      <c r="K3269" s="185"/>
      <c r="L3269" s="187"/>
      <c r="M3269" s="188"/>
      <c r="N3269" s="188"/>
      <c r="O3269" s="208"/>
      <c r="P3269" s="208"/>
      <c r="Q3269" s="208"/>
      <c r="R3269" s="208"/>
    </row>
    <row r="3270">
      <c r="A3270" s="185"/>
      <c r="B3270" s="186"/>
      <c r="C3270" s="185"/>
      <c r="D3270" s="185"/>
      <c r="E3270" s="185"/>
      <c r="F3270" s="185"/>
      <c r="G3270" s="185"/>
      <c r="H3270" s="185"/>
      <c r="I3270" s="185"/>
      <c r="J3270" s="185"/>
      <c r="K3270" s="185"/>
      <c r="L3270" s="187"/>
      <c r="M3270" s="188"/>
      <c r="N3270" s="188"/>
      <c r="O3270" s="208"/>
      <c r="P3270" s="208"/>
      <c r="Q3270" s="208"/>
      <c r="R3270" s="208"/>
    </row>
    <row r="3271">
      <c r="A3271" s="185"/>
      <c r="B3271" s="186"/>
      <c r="C3271" s="185"/>
      <c r="D3271" s="185"/>
      <c r="E3271" s="185"/>
      <c r="F3271" s="185"/>
      <c r="G3271" s="185"/>
      <c r="H3271" s="185"/>
      <c r="I3271" s="185"/>
      <c r="J3271" s="185"/>
      <c r="K3271" s="185"/>
      <c r="L3271" s="187"/>
      <c r="M3271" s="188"/>
      <c r="N3271" s="188"/>
      <c r="O3271" s="208"/>
      <c r="P3271" s="208"/>
      <c r="Q3271" s="208"/>
      <c r="R3271" s="208"/>
    </row>
    <row r="3272">
      <c r="A3272" s="185"/>
      <c r="B3272" s="186"/>
      <c r="C3272" s="185"/>
      <c r="D3272" s="185"/>
      <c r="E3272" s="185"/>
      <c r="F3272" s="185"/>
      <c r="G3272" s="185"/>
      <c r="H3272" s="185"/>
      <c r="I3272" s="185"/>
      <c r="J3272" s="185"/>
      <c r="K3272" s="185"/>
      <c r="L3272" s="187"/>
      <c r="M3272" s="188"/>
      <c r="N3272" s="188"/>
      <c r="O3272" s="208"/>
      <c r="P3272" s="208"/>
      <c r="Q3272" s="208"/>
      <c r="R3272" s="208"/>
    </row>
    <row r="3273">
      <c r="A3273" s="185"/>
      <c r="B3273" s="186"/>
      <c r="C3273" s="185"/>
      <c r="D3273" s="185"/>
      <c r="E3273" s="185"/>
      <c r="F3273" s="185"/>
      <c r="G3273" s="185"/>
      <c r="H3273" s="185"/>
      <c r="I3273" s="185"/>
      <c r="J3273" s="185"/>
      <c r="K3273" s="185"/>
      <c r="L3273" s="187"/>
      <c r="M3273" s="188"/>
      <c r="N3273" s="188"/>
      <c r="O3273" s="208"/>
      <c r="P3273" s="208"/>
      <c r="Q3273" s="208"/>
      <c r="R3273" s="208"/>
    </row>
    <row r="3274">
      <c r="A3274" s="185"/>
      <c r="B3274" s="186"/>
      <c r="C3274" s="185"/>
      <c r="D3274" s="185"/>
      <c r="E3274" s="185"/>
      <c r="F3274" s="185"/>
      <c r="G3274" s="185"/>
      <c r="H3274" s="185"/>
      <c r="I3274" s="185"/>
      <c r="J3274" s="185"/>
      <c r="K3274" s="185"/>
      <c r="L3274" s="187"/>
      <c r="M3274" s="188"/>
      <c r="N3274" s="188"/>
      <c r="O3274" s="208"/>
      <c r="P3274" s="208"/>
      <c r="Q3274" s="208"/>
      <c r="R3274" s="208"/>
    </row>
    <row r="3275">
      <c r="A3275" s="185"/>
      <c r="B3275" s="186"/>
      <c r="C3275" s="185"/>
      <c r="D3275" s="185"/>
      <c r="E3275" s="185"/>
      <c r="F3275" s="185"/>
      <c r="G3275" s="185"/>
      <c r="H3275" s="185"/>
      <c r="I3275" s="185"/>
      <c r="J3275" s="185"/>
      <c r="K3275" s="185"/>
      <c r="L3275" s="187"/>
      <c r="M3275" s="188"/>
      <c r="N3275" s="188"/>
      <c r="O3275" s="208"/>
      <c r="P3275" s="208"/>
      <c r="Q3275" s="208"/>
      <c r="R3275" s="208"/>
    </row>
    <row r="3276">
      <c r="A3276" s="185"/>
      <c r="B3276" s="186"/>
      <c r="C3276" s="185"/>
      <c r="D3276" s="185"/>
      <c r="E3276" s="185"/>
      <c r="F3276" s="185"/>
      <c r="G3276" s="185"/>
      <c r="H3276" s="185"/>
      <c r="I3276" s="185"/>
      <c r="J3276" s="185"/>
      <c r="K3276" s="185"/>
      <c r="L3276" s="187"/>
      <c r="M3276" s="188"/>
      <c r="N3276" s="188"/>
      <c r="O3276" s="208"/>
      <c r="P3276" s="208"/>
      <c r="Q3276" s="208"/>
      <c r="R3276" s="208"/>
    </row>
    <row r="3277">
      <c r="A3277" s="185"/>
      <c r="B3277" s="186"/>
      <c r="C3277" s="185"/>
      <c r="D3277" s="185"/>
      <c r="E3277" s="185"/>
      <c r="F3277" s="185"/>
      <c r="G3277" s="185"/>
      <c r="H3277" s="185"/>
      <c r="I3277" s="185"/>
      <c r="J3277" s="185"/>
      <c r="K3277" s="185"/>
      <c r="L3277" s="187"/>
      <c r="M3277" s="188"/>
      <c r="N3277" s="188"/>
      <c r="O3277" s="208"/>
      <c r="P3277" s="208"/>
      <c r="Q3277" s="208"/>
      <c r="R3277" s="208"/>
    </row>
    <row r="3278">
      <c r="A3278" s="185"/>
      <c r="B3278" s="186"/>
      <c r="C3278" s="185"/>
      <c r="D3278" s="185"/>
      <c r="E3278" s="185"/>
      <c r="F3278" s="185"/>
      <c r="G3278" s="185"/>
      <c r="H3278" s="185"/>
      <c r="I3278" s="185"/>
      <c r="J3278" s="185"/>
      <c r="K3278" s="185"/>
      <c r="L3278" s="187"/>
      <c r="M3278" s="188"/>
      <c r="N3278" s="188"/>
      <c r="O3278" s="208"/>
      <c r="P3278" s="208"/>
      <c r="Q3278" s="208"/>
      <c r="R3278" s="208"/>
    </row>
    <row r="3279">
      <c r="A3279" s="185"/>
      <c r="B3279" s="186"/>
      <c r="C3279" s="185"/>
      <c r="D3279" s="185"/>
      <c r="E3279" s="185"/>
      <c r="F3279" s="185"/>
      <c r="G3279" s="185"/>
      <c r="H3279" s="185"/>
      <c r="I3279" s="185"/>
      <c r="J3279" s="185"/>
      <c r="K3279" s="185"/>
      <c r="L3279" s="187"/>
      <c r="M3279" s="188"/>
      <c r="N3279" s="188"/>
      <c r="O3279" s="208"/>
      <c r="P3279" s="208"/>
      <c r="Q3279" s="208"/>
      <c r="R3279" s="208"/>
    </row>
    <row r="3280">
      <c r="A3280" s="185"/>
      <c r="B3280" s="186"/>
      <c r="C3280" s="185"/>
      <c r="D3280" s="185"/>
      <c r="E3280" s="185"/>
      <c r="F3280" s="185"/>
      <c r="G3280" s="185"/>
      <c r="H3280" s="185"/>
      <c r="I3280" s="185"/>
      <c r="J3280" s="185"/>
      <c r="K3280" s="185"/>
      <c r="L3280" s="187"/>
      <c r="M3280" s="188"/>
      <c r="N3280" s="188"/>
      <c r="O3280" s="208"/>
      <c r="P3280" s="208"/>
      <c r="Q3280" s="208"/>
      <c r="R3280" s="208"/>
    </row>
    <row r="3281">
      <c r="A3281" s="185"/>
      <c r="B3281" s="186"/>
      <c r="C3281" s="185"/>
      <c r="D3281" s="185"/>
      <c r="E3281" s="185"/>
      <c r="F3281" s="185"/>
      <c r="G3281" s="185"/>
      <c r="H3281" s="185"/>
      <c r="I3281" s="185"/>
      <c r="J3281" s="185"/>
      <c r="K3281" s="185"/>
      <c r="L3281" s="187"/>
      <c r="M3281" s="188"/>
      <c r="N3281" s="188"/>
      <c r="O3281" s="208"/>
      <c r="P3281" s="208"/>
      <c r="Q3281" s="208"/>
      <c r="R3281" s="208"/>
    </row>
    <row r="3282">
      <c r="A3282" s="185"/>
      <c r="B3282" s="186"/>
      <c r="C3282" s="185"/>
      <c r="D3282" s="185"/>
      <c r="E3282" s="185"/>
      <c r="F3282" s="185"/>
      <c r="G3282" s="185"/>
      <c r="H3282" s="185"/>
      <c r="I3282" s="185"/>
      <c r="J3282" s="185"/>
      <c r="K3282" s="185"/>
      <c r="L3282" s="187"/>
      <c r="M3282" s="188"/>
      <c r="N3282" s="188"/>
      <c r="O3282" s="208"/>
      <c r="P3282" s="208"/>
      <c r="Q3282" s="208"/>
      <c r="R3282" s="208"/>
    </row>
    <row r="3283">
      <c r="A3283" s="185"/>
      <c r="B3283" s="186"/>
      <c r="C3283" s="185"/>
      <c r="D3283" s="185"/>
      <c r="E3283" s="185"/>
      <c r="F3283" s="185"/>
      <c r="G3283" s="185"/>
      <c r="H3283" s="185"/>
      <c r="I3283" s="185"/>
      <c r="J3283" s="185"/>
      <c r="K3283" s="185"/>
      <c r="L3283" s="187"/>
      <c r="M3283" s="188"/>
      <c r="N3283" s="188"/>
      <c r="O3283" s="208"/>
      <c r="P3283" s="208"/>
      <c r="Q3283" s="208"/>
      <c r="R3283" s="208"/>
    </row>
    <row r="3284">
      <c r="A3284" s="185"/>
      <c r="B3284" s="186"/>
      <c r="C3284" s="185"/>
      <c r="D3284" s="185"/>
      <c r="E3284" s="185"/>
      <c r="F3284" s="185"/>
      <c r="G3284" s="185"/>
      <c r="H3284" s="185"/>
      <c r="I3284" s="185"/>
      <c r="J3284" s="185"/>
      <c r="K3284" s="185"/>
      <c r="L3284" s="187"/>
      <c r="M3284" s="188"/>
      <c r="N3284" s="188"/>
      <c r="O3284" s="208"/>
      <c r="P3284" s="208"/>
      <c r="Q3284" s="208"/>
      <c r="R3284" s="208"/>
    </row>
    <row r="3285">
      <c r="A3285" s="185"/>
      <c r="B3285" s="186"/>
      <c r="C3285" s="185"/>
      <c r="D3285" s="185"/>
      <c r="E3285" s="185"/>
      <c r="F3285" s="185"/>
      <c r="G3285" s="185"/>
      <c r="H3285" s="185"/>
      <c r="I3285" s="185"/>
      <c r="J3285" s="185"/>
      <c r="K3285" s="185"/>
      <c r="L3285" s="187"/>
      <c r="M3285" s="188"/>
      <c r="N3285" s="188"/>
      <c r="O3285" s="208"/>
      <c r="P3285" s="208"/>
      <c r="Q3285" s="208"/>
      <c r="R3285" s="208"/>
    </row>
    <row r="3286">
      <c r="A3286" s="185"/>
      <c r="B3286" s="186"/>
      <c r="C3286" s="185"/>
      <c r="D3286" s="185"/>
      <c r="E3286" s="185"/>
      <c r="F3286" s="185"/>
      <c r="G3286" s="185"/>
      <c r="H3286" s="185"/>
      <c r="I3286" s="185"/>
      <c r="J3286" s="185"/>
      <c r="K3286" s="185"/>
      <c r="L3286" s="187"/>
      <c r="M3286" s="188"/>
      <c r="N3286" s="188"/>
      <c r="O3286" s="208"/>
      <c r="P3286" s="208"/>
      <c r="Q3286" s="208"/>
      <c r="R3286" s="208"/>
    </row>
    <row r="3287">
      <c r="A3287" s="185"/>
      <c r="B3287" s="186"/>
      <c r="C3287" s="185"/>
      <c r="D3287" s="185"/>
      <c r="E3287" s="185"/>
      <c r="F3287" s="185"/>
      <c r="G3287" s="185"/>
      <c r="H3287" s="185"/>
      <c r="I3287" s="185"/>
      <c r="J3287" s="185"/>
      <c r="K3287" s="185"/>
      <c r="L3287" s="187"/>
      <c r="M3287" s="188"/>
      <c r="N3287" s="188"/>
      <c r="O3287" s="208"/>
      <c r="P3287" s="208"/>
      <c r="Q3287" s="208"/>
      <c r="R3287" s="208"/>
    </row>
    <row r="3288">
      <c r="A3288" s="185"/>
      <c r="B3288" s="186"/>
      <c r="C3288" s="185"/>
      <c r="D3288" s="185"/>
      <c r="E3288" s="185"/>
      <c r="F3288" s="185"/>
      <c r="G3288" s="185"/>
      <c r="H3288" s="185"/>
      <c r="I3288" s="185"/>
      <c r="J3288" s="185"/>
      <c r="K3288" s="185"/>
      <c r="L3288" s="187"/>
      <c r="M3288" s="188"/>
      <c r="N3288" s="188"/>
      <c r="O3288" s="208"/>
      <c r="P3288" s="208"/>
      <c r="Q3288" s="208"/>
      <c r="R3288" s="208"/>
    </row>
    <row r="3289">
      <c r="A3289" s="185"/>
      <c r="B3289" s="186"/>
      <c r="C3289" s="185"/>
      <c r="D3289" s="185"/>
      <c r="E3289" s="185"/>
      <c r="F3289" s="185"/>
      <c r="G3289" s="185"/>
      <c r="H3289" s="185"/>
      <c r="I3289" s="185"/>
      <c r="J3289" s="185"/>
      <c r="K3289" s="185"/>
      <c r="L3289" s="187"/>
      <c r="M3289" s="188"/>
      <c r="N3289" s="188"/>
      <c r="O3289" s="208"/>
      <c r="P3289" s="208"/>
      <c r="Q3289" s="208"/>
      <c r="R3289" s="208"/>
    </row>
    <row r="3290">
      <c r="A3290" s="185"/>
      <c r="B3290" s="186"/>
      <c r="C3290" s="185"/>
      <c r="D3290" s="185"/>
      <c r="E3290" s="185"/>
      <c r="F3290" s="185"/>
      <c r="G3290" s="185"/>
      <c r="H3290" s="185"/>
      <c r="I3290" s="185"/>
      <c r="J3290" s="185"/>
      <c r="K3290" s="185"/>
      <c r="L3290" s="187"/>
      <c r="M3290" s="188"/>
      <c r="N3290" s="188"/>
      <c r="O3290" s="208"/>
      <c r="P3290" s="208"/>
      <c r="Q3290" s="208"/>
      <c r="R3290" s="208"/>
    </row>
    <row r="3291">
      <c r="A3291" s="185"/>
      <c r="B3291" s="186"/>
      <c r="C3291" s="185"/>
      <c r="D3291" s="185"/>
      <c r="E3291" s="185"/>
      <c r="F3291" s="185"/>
      <c r="G3291" s="185"/>
      <c r="H3291" s="185"/>
      <c r="I3291" s="185"/>
      <c r="J3291" s="185"/>
      <c r="K3291" s="185"/>
      <c r="L3291" s="187"/>
      <c r="M3291" s="188"/>
      <c r="N3291" s="188"/>
      <c r="O3291" s="208"/>
      <c r="P3291" s="208"/>
      <c r="Q3291" s="208"/>
      <c r="R3291" s="208"/>
    </row>
    <row r="3292">
      <c r="A3292" s="185"/>
      <c r="B3292" s="186"/>
      <c r="C3292" s="185"/>
      <c r="D3292" s="185"/>
      <c r="E3292" s="185"/>
      <c r="F3292" s="185"/>
      <c r="G3292" s="185"/>
      <c r="H3292" s="185"/>
      <c r="I3292" s="185"/>
      <c r="J3292" s="185"/>
      <c r="K3292" s="185"/>
      <c r="L3292" s="187"/>
      <c r="M3292" s="188"/>
      <c r="N3292" s="188"/>
      <c r="O3292" s="208"/>
      <c r="P3292" s="208"/>
      <c r="Q3292" s="208"/>
      <c r="R3292" s="208"/>
    </row>
    <row r="3293">
      <c r="A3293" s="185"/>
      <c r="B3293" s="186"/>
      <c r="C3293" s="185"/>
      <c r="D3293" s="185"/>
      <c r="E3293" s="185"/>
      <c r="F3293" s="185"/>
      <c r="G3293" s="185"/>
      <c r="H3293" s="185"/>
      <c r="I3293" s="185"/>
      <c r="J3293" s="185"/>
      <c r="K3293" s="185"/>
      <c r="L3293" s="187"/>
      <c r="M3293" s="188"/>
      <c r="N3293" s="188"/>
      <c r="O3293" s="208"/>
      <c r="P3293" s="208"/>
      <c r="Q3293" s="208"/>
      <c r="R3293" s="208"/>
    </row>
    <row r="3294">
      <c r="A3294" s="185"/>
      <c r="B3294" s="186"/>
      <c r="C3294" s="185"/>
      <c r="D3294" s="185"/>
      <c r="E3294" s="185"/>
      <c r="F3294" s="185"/>
      <c r="G3294" s="185"/>
      <c r="H3294" s="185"/>
      <c r="I3294" s="185"/>
      <c r="J3294" s="185"/>
      <c r="K3294" s="185"/>
      <c r="L3294" s="187"/>
      <c r="M3294" s="188"/>
      <c r="N3294" s="188"/>
      <c r="O3294" s="208"/>
      <c r="P3294" s="208"/>
      <c r="Q3294" s="208"/>
      <c r="R3294" s="208"/>
    </row>
    <row r="3295">
      <c r="A3295" s="185"/>
      <c r="B3295" s="186"/>
      <c r="C3295" s="185"/>
      <c r="D3295" s="185"/>
      <c r="E3295" s="185"/>
      <c r="F3295" s="185"/>
      <c r="G3295" s="185"/>
      <c r="H3295" s="185"/>
      <c r="I3295" s="185"/>
      <c r="J3295" s="185"/>
      <c r="K3295" s="185"/>
      <c r="L3295" s="187"/>
      <c r="M3295" s="188"/>
      <c r="N3295" s="188"/>
      <c r="O3295" s="208"/>
      <c r="P3295" s="208"/>
      <c r="Q3295" s="208"/>
      <c r="R3295" s="208"/>
    </row>
    <row r="3296">
      <c r="A3296" s="185"/>
      <c r="B3296" s="186"/>
      <c r="C3296" s="185"/>
      <c r="D3296" s="185"/>
      <c r="E3296" s="185"/>
      <c r="F3296" s="185"/>
      <c r="G3296" s="185"/>
      <c r="H3296" s="185"/>
      <c r="I3296" s="185"/>
      <c r="J3296" s="185"/>
      <c r="K3296" s="185"/>
      <c r="L3296" s="187"/>
      <c r="M3296" s="188"/>
      <c r="N3296" s="188"/>
      <c r="O3296" s="208"/>
      <c r="P3296" s="208"/>
      <c r="Q3296" s="208"/>
      <c r="R3296" s="208"/>
    </row>
    <row r="3297">
      <c r="A3297" s="185"/>
      <c r="B3297" s="186"/>
      <c r="C3297" s="185"/>
      <c r="D3297" s="185"/>
      <c r="E3297" s="185"/>
      <c r="F3297" s="185"/>
      <c r="G3297" s="185"/>
      <c r="H3297" s="185"/>
      <c r="I3297" s="185"/>
      <c r="J3297" s="185"/>
      <c r="K3297" s="185"/>
      <c r="L3297" s="187"/>
      <c r="M3297" s="188"/>
      <c r="N3297" s="188"/>
      <c r="O3297" s="208"/>
      <c r="P3297" s="208"/>
      <c r="Q3297" s="208"/>
      <c r="R3297" s="208"/>
    </row>
    <row r="3298">
      <c r="A3298" s="185"/>
      <c r="B3298" s="186"/>
      <c r="C3298" s="185"/>
      <c r="D3298" s="185"/>
      <c r="E3298" s="185"/>
      <c r="F3298" s="185"/>
      <c r="G3298" s="185"/>
      <c r="H3298" s="185"/>
      <c r="I3298" s="185"/>
      <c r="J3298" s="185"/>
      <c r="K3298" s="185"/>
      <c r="L3298" s="187"/>
      <c r="M3298" s="188"/>
      <c r="N3298" s="188"/>
      <c r="O3298" s="208"/>
      <c r="P3298" s="208"/>
      <c r="Q3298" s="208"/>
      <c r="R3298" s="208"/>
    </row>
    <row r="3299">
      <c r="A3299" s="185"/>
      <c r="B3299" s="186"/>
      <c r="C3299" s="185"/>
      <c r="D3299" s="185"/>
      <c r="E3299" s="185"/>
      <c r="F3299" s="185"/>
      <c r="G3299" s="185"/>
      <c r="H3299" s="185"/>
      <c r="I3299" s="185"/>
      <c r="J3299" s="185"/>
      <c r="K3299" s="185"/>
      <c r="L3299" s="187"/>
      <c r="M3299" s="188"/>
      <c r="N3299" s="188"/>
      <c r="O3299" s="208"/>
      <c r="P3299" s="208"/>
      <c r="Q3299" s="208"/>
      <c r="R3299" s="208"/>
    </row>
    <row r="3300">
      <c r="A3300" s="185"/>
      <c r="B3300" s="186"/>
      <c r="C3300" s="185"/>
      <c r="D3300" s="185"/>
      <c r="E3300" s="185"/>
      <c r="F3300" s="185"/>
      <c r="G3300" s="185"/>
      <c r="H3300" s="185"/>
      <c r="I3300" s="185"/>
      <c r="J3300" s="185"/>
      <c r="K3300" s="185"/>
      <c r="L3300" s="187"/>
      <c r="M3300" s="188"/>
      <c r="N3300" s="188"/>
      <c r="O3300" s="208"/>
      <c r="P3300" s="208"/>
      <c r="Q3300" s="208"/>
      <c r="R3300" s="208"/>
    </row>
    <row r="3301">
      <c r="A3301" s="185"/>
      <c r="B3301" s="186"/>
      <c r="C3301" s="185"/>
      <c r="D3301" s="185"/>
      <c r="E3301" s="185"/>
      <c r="F3301" s="185"/>
      <c r="G3301" s="185"/>
      <c r="H3301" s="185"/>
      <c r="I3301" s="185"/>
      <c r="J3301" s="185"/>
      <c r="K3301" s="185"/>
      <c r="L3301" s="187"/>
      <c r="M3301" s="188"/>
      <c r="N3301" s="188"/>
      <c r="O3301" s="208"/>
      <c r="P3301" s="208"/>
      <c r="Q3301" s="208"/>
      <c r="R3301" s="208"/>
    </row>
    <row r="3302">
      <c r="A3302" s="185"/>
      <c r="B3302" s="186"/>
      <c r="C3302" s="185"/>
      <c r="D3302" s="185"/>
      <c r="E3302" s="185"/>
      <c r="F3302" s="185"/>
      <c r="G3302" s="185"/>
      <c r="H3302" s="185"/>
      <c r="I3302" s="185"/>
      <c r="J3302" s="185"/>
      <c r="K3302" s="185"/>
      <c r="L3302" s="187"/>
      <c r="M3302" s="188"/>
      <c r="N3302" s="188"/>
      <c r="O3302" s="208"/>
      <c r="P3302" s="208"/>
      <c r="Q3302" s="208"/>
      <c r="R3302" s="208"/>
    </row>
    <row r="3303">
      <c r="A3303" s="185"/>
      <c r="B3303" s="186"/>
      <c r="C3303" s="185"/>
      <c r="D3303" s="185"/>
      <c r="E3303" s="185"/>
      <c r="F3303" s="185"/>
      <c r="G3303" s="185"/>
      <c r="H3303" s="185"/>
      <c r="I3303" s="185"/>
      <c r="J3303" s="185"/>
      <c r="K3303" s="185"/>
      <c r="L3303" s="187"/>
      <c r="M3303" s="188"/>
      <c r="N3303" s="188"/>
      <c r="O3303" s="208"/>
      <c r="P3303" s="208"/>
      <c r="Q3303" s="208"/>
      <c r="R3303" s="208"/>
    </row>
    <row r="3304">
      <c r="A3304" s="185"/>
      <c r="B3304" s="186"/>
      <c r="C3304" s="185"/>
      <c r="D3304" s="185"/>
      <c r="E3304" s="185"/>
      <c r="F3304" s="185"/>
      <c r="G3304" s="185"/>
      <c r="H3304" s="185"/>
      <c r="I3304" s="185"/>
      <c r="J3304" s="185"/>
      <c r="K3304" s="185"/>
      <c r="L3304" s="187"/>
      <c r="M3304" s="188"/>
      <c r="N3304" s="188"/>
      <c r="O3304" s="208"/>
      <c r="P3304" s="208"/>
      <c r="Q3304" s="208"/>
      <c r="R3304" s="208"/>
    </row>
    <row r="3305">
      <c r="A3305" s="185"/>
      <c r="B3305" s="186"/>
      <c r="C3305" s="185"/>
      <c r="D3305" s="185"/>
      <c r="E3305" s="185"/>
      <c r="F3305" s="185"/>
      <c r="G3305" s="185"/>
      <c r="H3305" s="185"/>
      <c r="I3305" s="185"/>
      <c r="J3305" s="185"/>
      <c r="K3305" s="185"/>
      <c r="L3305" s="187"/>
      <c r="M3305" s="188"/>
      <c r="N3305" s="188"/>
      <c r="O3305" s="208"/>
      <c r="P3305" s="208"/>
      <c r="Q3305" s="208"/>
      <c r="R3305" s="208"/>
    </row>
    <row r="3306">
      <c r="A3306" s="185"/>
      <c r="B3306" s="186"/>
      <c r="C3306" s="185"/>
      <c r="D3306" s="185"/>
      <c r="E3306" s="185"/>
      <c r="F3306" s="185"/>
      <c r="G3306" s="185"/>
      <c r="H3306" s="185"/>
      <c r="I3306" s="185"/>
      <c r="J3306" s="185"/>
      <c r="K3306" s="185"/>
      <c r="L3306" s="187"/>
      <c r="M3306" s="188"/>
      <c r="N3306" s="188"/>
      <c r="O3306" s="208"/>
      <c r="P3306" s="208"/>
      <c r="Q3306" s="208"/>
      <c r="R3306" s="208"/>
    </row>
    <row r="3307">
      <c r="A3307" s="185"/>
      <c r="B3307" s="186"/>
      <c r="C3307" s="185"/>
      <c r="D3307" s="185"/>
      <c r="E3307" s="185"/>
      <c r="F3307" s="185"/>
      <c r="G3307" s="185"/>
      <c r="H3307" s="185"/>
      <c r="I3307" s="185"/>
      <c r="J3307" s="185"/>
      <c r="K3307" s="185"/>
      <c r="L3307" s="187"/>
      <c r="M3307" s="188"/>
      <c r="N3307" s="188"/>
      <c r="O3307" s="208"/>
      <c r="P3307" s="208"/>
      <c r="Q3307" s="208"/>
      <c r="R3307" s="208"/>
    </row>
    <row r="3308">
      <c r="A3308" s="185"/>
      <c r="B3308" s="186"/>
      <c r="C3308" s="185"/>
      <c r="D3308" s="185"/>
      <c r="E3308" s="185"/>
      <c r="F3308" s="185"/>
      <c r="G3308" s="185"/>
      <c r="H3308" s="185"/>
      <c r="I3308" s="185"/>
      <c r="J3308" s="185"/>
      <c r="K3308" s="185"/>
      <c r="L3308" s="187"/>
      <c r="M3308" s="188"/>
      <c r="N3308" s="188"/>
      <c r="O3308" s="208"/>
      <c r="P3308" s="208"/>
      <c r="Q3308" s="208"/>
      <c r="R3308" s="208"/>
    </row>
    <row r="3309">
      <c r="A3309" s="185"/>
      <c r="B3309" s="186"/>
      <c r="C3309" s="185"/>
      <c r="D3309" s="185"/>
      <c r="E3309" s="185"/>
      <c r="F3309" s="185"/>
      <c r="G3309" s="185"/>
      <c r="H3309" s="185"/>
      <c r="I3309" s="185"/>
      <c r="J3309" s="185"/>
      <c r="K3309" s="185"/>
      <c r="L3309" s="187"/>
      <c r="M3309" s="188"/>
      <c r="N3309" s="188"/>
      <c r="O3309" s="208"/>
      <c r="P3309" s="208"/>
      <c r="Q3309" s="208"/>
      <c r="R3309" s="208"/>
    </row>
    <row r="3310">
      <c r="A3310" s="185"/>
      <c r="B3310" s="186"/>
      <c r="C3310" s="185"/>
      <c r="D3310" s="185"/>
      <c r="E3310" s="185"/>
      <c r="F3310" s="185"/>
      <c r="G3310" s="185"/>
      <c r="H3310" s="185"/>
      <c r="I3310" s="185"/>
      <c r="J3310" s="185"/>
      <c r="K3310" s="185"/>
      <c r="L3310" s="187"/>
      <c r="M3310" s="188"/>
      <c r="N3310" s="188"/>
      <c r="O3310" s="208"/>
      <c r="P3310" s="208"/>
      <c r="Q3310" s="208"/>
      <c r="R3310" s="208"/>
    </row>
    <row r="3311">
      <c r="A3311" s="185"/>
      <c r="B3311" s="186"/>
      <c r="C3311" s="185"/>
      <c r="D3311" s="185"/>
      <c r="E3311" s="185"/>
      <c r="F3311" s="185"/>
      <c r="G3311" s="185"/>
      <c r="H3311" s="185"/>
      <c r="I3311" s="185"/>
      <c r="J3311" s="185"/>
      <c r="K3311" s="185"/>
      <c r="L3311" s="187"/>
      <c r="M3311" s="188"/>
      <c r="N3311" s="188"/>
      <c r="O3311" s="208"/>
      <c r="P3311" s="208"/>
      <c r="Q3311" s="208"/>
      <c r="R3311" s="208"/>
    </row>
    <row r="3312">
      <c r="A3312" s="185"/>
      <c r="B3312" s="186"/>
      <c r="C3312" s="185"/>
      <c r="D3312" s="185"/>
      <c r="E3312" s="185"/>
      <c r="F3312" s="185"/>
      <c r="G3312" s="185"/>
      <c r="H3312" s="185"/>
      <c r="I3312" s="185"/>
      <c r="J3312" s="185"/>
      <c r="K3312" s="185"/>
      <c r="L3312" s="187"/>
      <c r="M3312" s="188"/>
      <c r="N3312" s="188"/>
      <c r="O3312" s="208"/>
      <c r="P3312" s="208"/>
      <c r="Q3312" s="208"/>
      <c r="R3312" s="208"/>
    </row>
    <row r="3313">
      <c r="A3313" s="185"/>
      <c r="B3313" s="186"/>
      <c r="C3313" s="185"/>
      <c r="D3313" s="185"/>
      <c r="E3313" s="185"/>
      <c r="F3313" s="185"/>
      <c r="G3313" s="185"/>
      <c r="H3313" s="185"/>
      <c r="I3313" s="185"/>
      <c r="J3313" s="185"/>
      <c r="K3313" s="185"/>
      <c r="L3313" s="187"/>
      <c r="M3313" s="188"/>
      <c r="N3313" s="188"/>
      <c r="O3313" s="208"/>
      <c r="P3313" s="208"/>
      <c r="Q3313" s="208"/>
      <c r="R3313" s="208"/>
    </row>
    <row r="3314">
      <c r="A3314" s="185"/>
      <c r="B3314" s="186"/>
      <c r="C3314" s="185"/>
      <c r="D3314" s="185"/>
      <c r="E3314" s="185"/>
      <c r="F3314" s="185"/>
      <c r="G3314" s="185"/>
      <c r="H3314" s="185"/>
      <c r="I3314" s="185"/>
      <c r="J3314" s="185"/>
      <c r="K3314" s="185"/>
      <c r="L3314" s="187"/>
      <c r="M3314" s="188"/>
      <c r="N3314" s="188"/>
      <c r="O3314" s="208"/>
      <c r="P3314" s="208"/>
      <c r="Q3314" s="208"/>
      <c r="R3314" s="208"/>
    </row>
    <row r="3315">
      <c r="A3315" s="185"/>
      <c r="B3315" s="186"/>
      <c r="C3315" s="185"/>
      <c r="D3315" s="185"/>
      <c r="E3315" s="185"/>
      <c r="F3315" s="185"/>
      <c r="G3315" s="185"/>
      <c r="H3315" s="185"/>
      <c r="I3315" s="185"/>
      <c r="J3315" s="185"/>
      <c r="K3315" s="185"/>
      <c r="L3315" s="187"/>
      <c r="M3315" s="188"/>
      <c r="N3315" s="188"/>
      <c r="O3315" s="208"/>
      <c r="P3315" s="208"/>
      <c r="Q3315" s="208"/>
      <c r="R3315" s="208"/>
    </row>
    <row r="3316">
      <c r="A3316" s="185"/>
      <c r="B3316" s="186"/>
      <c r="C3316" s="185"/>
      <c r="D3316" s="185"/>
      <c r="E3316" s="185"/>
      <c r="F3316" s="185"/>
      <c r="G3316" s="185"/>
      <c r="H3316" s="185"/>
      <c r="I3316" s="185"/>
      <c r="J3316" s="185"/>
      <c r="K3316" s="185"/>
      <c r="L3316" s="187"/>
      <c r="M3316" s="188"/>
      <c r="N3316" s="188"/>
      <c r="O3316" s="208"/>
      <c r="P3316" s="208"/>
      <c r="Q3316" s="208"/>
      <c r="R3316" s="208"/>
    </row>
    <row r="3317">
      <c r="A3317" s="185"/>
      <c r="B3317" s="186"/>
      <c r="C3317" s="185"/>
      <c r="D3317" s="185"/>
      <c r="E3317" s="185"/>
      <c r="F3317" s="185"/>
      <c r="G3317" s="185"/>
      <c r="H3317" s="185"/>
      <c r="I3317" s="185"/>
      <c r="J3317" s="185"/>
      <c r="K3317" s="185"/>
      <c r="L3317" s="187"/>
      <c r="M3317" s="188"/>
      <c r="N3317" s="188"/>
      <c r="O3317" s="208"/>
      <c r="P3317" s="208"/>
      <c r="Q3317" s="208"/>
      <c r="R3317" s="208"/>
    </row>
    <row r="3318">
      <c r="A3318" s="185"/>
      <c r="B3318" s="186"/>
      <c r="C3318" s="185"/>
      <c r="D3318" s="185"/>
      <c r="E3318" s="185"/>
      <c r="F3318" s="185"/>
      <c r="G3318" s="185"/>
      <c r="H3318" s="185"/>
      <c r="I3318" s="185"/>
      <c r="J3318" s="185"/>
      <c r="K3318" s="185"/>
      <c r="L3318" s="187"/>
      <c r="M3318" s="188"/>
      <c r="N3318" s="188"/>
      <c r="O3318" s="208"/>
      <c r="P3318" s="208"/>
      <c r="Q3318" s="208"/>
      <c r="R3318" s="208"/>
    </row>
    <row r="3319">
      <c r="A3319" s="185"/>
      <c r="B3319" s="186"/>
      <c r="C3319" s="185"/>
      <c r="D3319" s="185"/>
      <c r="E3319" s="185"/>
      <c r="F3319" s="185"/>
      <c r="G3319" s="185"/>
      <c r="H3319" s="185"/>
      <c r="I3319" s="185"/>
      <c r="J3319" s="185"/>
      <c r="K3319" s="185"/>
      <c r="L3319" s="187"/>
      <c r="M3319" s="188"/>
      <c r="N3319" s="188"/>
      <c r="O3319" s="208"/>
      <c r="P3319" s="208"/>
      <c r="Q3319" s="208"/>
      <c r="R3319" s="208"/>
    </row>
    <row r="3320">
      <c r="A3320" s="185"/>
      <c r="B3320" s="186"/>
      <c r="C3320" s="185"/>
      <c r="D3320" s="185"/>
      <c r="E3320" s="185"/>
      <c r="F3320" s="185"/>
      <c r="G3320" s="185"/>
      <c r="H3320" s="185"/>
      <c r="I3320" s="185"/>
      <c r="J3320" s="185"/>
      <c r="K3320" s="185"/>
      <c r="L3320" s="187"/>
      <c r="M3320" s="188"/>
      <c r="N3320" s="188"/>
      <c r="O3320" s="208"/>
      <c r="P3320" s="208"/>
      <c r="Q3320" s="208"/>
      <c r="R3320" s="208"/>
    </row>
    <row r="3321">
      <c r="A3321" s="185"/>
      <c r="B3321" s="186"/>
      <c r="C3321" s="185"/>
      <c r="D3321" s="185"/>
      <c r="E3321" s="185"/>
      <c r="F3321" s="185"/>
      <c r="G3321" s="185"/>
      <c r="H3321" s="185"/>
      <c r="I3321" s="185"/>
      <c r="J3321" s="185"/>
      <c r="K3321" s="185"/>
      <c r="L3321" s="187"/>
      <c r="M3321" s="188"/>
      <c r="N3321" s="188"/>
      <c r="O3321" s="208"/>
      <c r="P3321" s="208"/>
      <c r="Q3321" s="208"/>
      <c r="R3321" s="208"/>
    </row>
    <row r="3322">
      <c r="A3322" s="185"/>
      <c r="B3322" s="186"/>
      <c r="C3322" s="185"/>
      <c r="D3322" s="185"/>
      <c r="E3322" s="185"/>
      <c r="F3322" s="185"/>
      <c r="G3322" s="185"/>
      <c r="H3322" s="185"/>
      <c r="I3322" s="185"/>
      <c r="J3322" s="185"/>
      <c r="K3322" s="185"/>
      <c r="L3322" s="187"/>
      <c r="M3322" s="188"/>
      <c r="N3322" s="188"/>
      <c r="O3322" s="208"/>
      <c r="P3322" s="208"/>
      <c r="Q3322" s="208"/>
      <c r="R3322" s="208"/>
    </row>
    <row r="3323">
      <c r="A3323" s="185"/>
      <c r="B3323" s="186"/>
      <c r="C3323" s="185"/>
      <c r="D3323" s="185"/>
      <c r="E3323" s="185"/>
      <c r="F3323" s="185"/>
      <c r="G3323" s="185"/>
      <c r="H3323" s="185"/>
      <c r="I3323" s="185"/>
      <c r="J3323" s="185"/>
      <c r="K3323" s="185"/>
      <c r="L3323" s="187"/>
      <c r="M3323" s="188"/>
      <c r="N3323" s="188"/>
      <c r="O3323" s="208"/>
      <c r="P3323" s="208"/>
      <c r="Q3323" s="208"/>
      <c r="R3323" s="208"/>
    </row>
    <row r="3324">
      <c r="A3324" s="185"/>
      <c r="B3324" s="186"/>
      <c r="C3324" s="185"/>
      <c r="D3324" s="185"/>
      <c r="E3324" s="185"/>
      <c r="F3324" s="185"/>
      <c r="G3324" s="185"/>
      <c r="H3324" s="185"/>
      <c r="I3324" s="185"/>
      <c r="J3324" s="185"/>
      <c r="K3324" s="185"/>
      <c r="L3324" s="187"/>
      <c r="M3324" s="188"/>
      <c r="N3324" s="188"/>
      <c r="O3324" s="208"/>
      <c r="P3324" s="208"/>
      <c r="Q3324" s="208"/>
      <c r="R3324" s="208"/>
    </row>
    <row r="3325">
      <c r="A3325" s="185"/>
      <c r="B3325" s="186"/>
      <c r="C3325" s="185"/>
      <c r="D3325" s="185"/>
      <c r="E3325" s="185"/>
      <c r="F3325" s="185"/>
      <c r="G3325" s="185"/>
      <c r="H3325" s="185"/>
      <c r="I3325" s="185"/>
      <c r="J3325" s="185"/>
      <c r="K3325" s="185"/>
      <c r="L3325" s="187"/>
      <c r="M3325" s="188"/>
      <c r="N3325" s="188"/>
      <c r="O3325" s="208"/>
      <c r="P3325" s="208"/>
      <c r="Q3325" s="208"/>
      <c r="R3325" s="208"/>
    </row>
    <row r="3326">
      <c r="A3326" s="185"/>
      <c r="B3326" s="186"/>
      <c r="C3326" s="185"/>
      <c r="D3326" s="185"/>
      <c r="E3326" s="185"/>
      <c r="F3326" s="185"/>
      <c r="G3326" s="185"/>
      <c r="H3326" s="185"/>
      <c r="I3326" s="185"/>
      <c r="J3326" s="185"/>
      <c r="K3326" s="185"/>
      <c r="L3326" s="187"/>
      <c r="M3326" s="188"/>
      <c r="N3326" s="188"/>
      <c r="O3326" s="208"/>
      <c r="P3326" s="208"/>
      <c r="Q3326" s="208"/>
      <c r="R3326" s="208"/>
    </row>
    <row r="3327">
      <c r="A3327" s="185"/>
      <c r="B3327" s="186"/>
      <c r="C3327" s="185"/>
      <c r="D3327" s="185"/>
      <c r="E3327" s="185"/>
      <c r="F3327" s="185"/>
      <c r="G3327" s="185"/>
      <c r="H3327" s="185"/>
      <c r="I3327" s="185"/>
      <c r="J3327" s="185"/>
      <c r="K3327" s="185"/>
      <c r="L3327" s="187"/>
      <c r="M3327" s="188"/>
      <c r="N3327" s="188"/>
      <c r="O3327" s="208"/>
      <c r="P3327" s="208"/>
      <c r="Q3327" s="208"/>
      <c r="R3327" s="208"/>
    </row>
    <row r="3328">
      <c r="A3328" s="185"/>
      <c r="B3328" s="186"/>
      <c r="C3328" s="185"/>
      <c r="D3328" s="185"/>
      <c r="E3328" s="185"/>
      <c r="F3328" s="185"/>
      <c r="G3328" s="185"/>
      <c r="H3328" s="185"/>
      <c r="I3328" s="185"/>
      <c r="J3328" s="185"/>
      <c r="K3328" s="185"/>
      <c r="L3328" s="187"/>
      <c r="M3328" s="188"/>
      <c r="N3328" s="188"/>
      <c r="O3328" s="208"/>
      <c r="P3328" s="208"/>
      <c r="Q3328" s="208"/>
      <c r="R3328" s="208"/>
    </row>
    <row r="3329">
      <c r="A3329" s="185"/>
      <c r="B3329" s="186"/>
      <c r="C3329" s="185"/>
      <c r="D3329" s="185"/>
      <c r="E3329" s="185"/>
      <c r="F3329" s="185"/>
      <c r="G3329" s="185"/>
      <c r="H3329" s="185"/>
      <c r="I3329" s="185"/>
      <c r="J3329" s="185"/>
      <c r="K3329" s="185"/>
      <c r="L3329" s="187"/>
      <c r="M3329" s="188"/>
      <c r="N3329" s="188"/>
      <c r="O3329" s="208"/>
      <c r="P3329" s="208"/>
      <c r="Q3329" s="208"/>
      <c r="R3329" s="208"/>
    </row>
    <row r="3330">
      <c r="A3330" s="185"/>
      <c r="B3330" s="186"/>
      <c r="C3330" s="185"/>
      <c r="D3330" s="185"/>
      <c r="E3330" s="185"/>
      <c r="F3330" s="185"/>
      <c r="G3330" s="185"/>
      <c r="H3330" s="185"/>
      <c r="I3330" s="185"/>
      <c r="J3330" s="185"/>
      <c r="K3330" s="185"/>
      <c r="L3330" s="187"/>
      <c r="M3330" s="188"/>
      <c r="N3330" s="188"/>
      <c r="O3330" s="208"/>
      <c r="P3330" s="208"/>
      <c r="Q3330" s="208"/>
      <c r="R3330" s="208"/>
    </row>
    <row r="3331">
      <c r="A3331" s="185"/>
      <c r="B3331" s="186"/>
      <c r="C3331" s="185"/>
      <c r="D3331" s="185"/>
      <c r="E3331" s="185"/>
      <c r="F3331" s="185"/>
      <c r="G3331" s="185"/>
      <c r="H3331" s="185"/>
      <c r="I3331" s="185"/>
      <c r="J3331" s="185"/>
      <c r="K3331" s="185"/>
      <c r="L3331" s="187"/>
      <c r="M3331" s="188"/>
      <c r="N3331" s="188"/>
      <c r="O3331" s="208"/>
      <c r="P3331" s="208"/>
      <c r="Q3331" s="208"/>
      <c r="R3331" s="208"/>
    </row>
    <row r="3332">
      <c r="A3332" s="185"/>
      <c r="B3332" s="186"/>
      <c r="C3332" s="185"/>
      <c r="D3332" s="185"/>
      <c r="E3332" s="185"/>
      <c r="F3332" s="185"/>
      <c r="G3332" s="185"/>
      <c r="H3332" s="185"/>
      <c r="I3332" s="185"/>
      <c r="J3332" s="185"/>
      <c r="K3332" s="185"/>
      <c r="L3332" s="187"/>
      <c r="M3332" s="188"/>
      <c r="N3332" s="188"/>
      <c r="O3332" s="208"/>
      <c r="P3332" s="208"/>
      <c r="Q3332" s="208"/>
      <c r="R3332" s="208"/>
    </row>
    <row r="3333">
      <c r="A3333" s="185"/>
      <c r="B3333" s="186"/>
      <c r="C3333" s="185"/>
      <c r="D3333" s="185"/>
      <c r="E3333" s="185"/>
      <c r="F3333" s="185"/>
      <c r="G3333" s="185"/>
      <c r="H3333" s="185"/>
      <c r="I3333" s="185"/>
      <c r="J3333" s="185"/>
      <c r="K3333" s="185"/>
      <c r="L3333" s="187"/>
      <c r="M3333" s="188"/>
      <c r="N3333" s="188"/>
      <c r="O3333" s="208"/>
      <c r="P3333" s="208"/>
      <c r="Q3333" s="208"/>
      <c r="R3333" s="208"/>
    </row>
    <row r="3334">
      <c r="A3334" s="185"/>
      <c r="B3334" s="186"/>
      <c r="C3334" s="185"/>
      <c r="D3334" s="185"/>
      <c r="E3334" s="185"/>
      <c r="F3334" s="185"/>
      <c r="G3334" s="185"/>
      <c r="H3334" s="185"/>
      <c r="I3334" s="185"/>
      <c r="J3334" s="185"/>
      <c r="K3334" s="185"/>
      <c r="L3334" s="187"/>
      <c r="M3334" s="188"/>
      <c r="N3334" s="188"/>
      <c r="O3334" s="208"/>
      <c r="P3334" s="208"/>
      <c r="Q3334" s="208"/>
      <c r="R3334" s="208"/>
    </row>
    <row r="3335">
      <c r="A3335" s="185"/>
      <c r="B3335" s="186"/>
      <c r="C3335" s="185"/>
      <c r="D3335" s="185"/>
      <c r="E3335" s="185"/>
      <c r="F3335" s="185"/>
      <c r="G3335" s="185"/>
      <c r="H3335" s="185"/>
      <c r="I3335" s="185"/>
      <c r="J3335" s="185"/>
      <c r="K3335" s="185"/>
      <c r="L3335" s="187"/>
      <c r="M3335" s="188"/>
      <c r="N3335" s="188"/>
      <c r="O3335" s="208"/>
      <c r="P3335" s="208"/>
      <c r="Q3335" s="208"/>
      <c r="R3335" s="208"/>
    </row>
    <row r="3336">
      <c r="A3336" s="185"/>
      <c r="B3336" s="186"/>
      <c r="C3336" s="185"/>
      <c r="D3336" s="185"/>
      <c r="E3336" s="185"/>
      <c r="F3336" s="185"/>
      <c r="G3336" s="185"/>
      <c r="H3336" s="185"/>
      <c r="I3336" s="185"/>
      <c r="J3336" s="185"/>
      <c r="K3336" s="185"/>
      <c r="L3336" s="187"/>
      <c r="M3336" s="188"/>
      <c r="N3336" s="188"/>
      <c r="O3336" s="208"/>
      <c r="P3336" s="208"/>
      <c r="Q3336" s="208"/>
      <c r="R3336" s="208"/>
    </row>
    <row r="3337">
      <c r="A3337" s="185"/>
      <c r="B3337" s="186"/>
      <c r="C3337" s="185"/>
      <c r="D3337" s="185"/>
      <c r="E3337" s="185"/>
      <c r="F3337" s="185"/>
      <c r="G3337" s="185"/>
      <c r="H3337" s="185"/>
      <c r="I3337" s="185"/>
      <c r="J3337" s="185"/>
      <c r="K3337" s="185"/>
      <c r="L3337" s="187"/>
      <c r="M3337" s="188"/>
      <c r="N3337" s="188"/>
      <c r="O3337" s="208"/>
      <c r="P3337" s="208"/>
      <c r="Q3337" s="208"/>
      <c r="R3337" s="208"/>
    </row>
    <row r="3338">
      <c r="A3338" s="185"/>
      <c r="B3338" s="186"/>
      <c r="C3338" s="185"/>
      <c r="D3338" s="185"/>
      <c r="E3338" s="185"/>
      <c r="F3338" s="185"/>
      <c r="G3338" s="185"/>
      <c r="H3338" s="185"/>
      <c r="I3338" s="185"/>
      <c r="J3338" s="185"/>
      <c r="K3338" s="185"/>
      <c r="L3338" s="187"/>
      <c r="M3338" s="188"/>
      <c r="N3338" s="188"/>
      <c r="O3338" s="208"/>
      <c r="P3338" s="208"/>
      <c r="Q3338" s="208"/>
      <c r="R3338" s="208"/>
    </row>
    <row r="3339">
      <c r="A3339" s="185"/>
      <c r="B3339" s="186"/>
      <c r="C3339" s="185"/>
      <c r="D3339" s="185"/>
      <c r="E3339" s="185"/>
      <c r="F3339" s="185"/>
      <c r="G3339" s="185"/>
      <c r="H3339" s="185"/>
      <c r="I3339" s="185"/>
      <c r="J3339" s="185"/>
      <c r="K3339" s="185"/>
      <c r="L3339" s="187"/>
      <c r="M3339" s="188"/>
      <c r="N3339" s="188"/>
      <c r="O3339" s="208"/>
      <c r="P3339" s="208"/>
      <c r="Q3339" s="208"/>
      <c r="R3339" s="208"/>
    </row>
    <row r="3340">
      <c r="A3340" s="185"/>
      <c r="B3340" s="186"/>
      <c r="C3340" s="185"/>
      <c r="D3340" s="185"/>
      <c r="E3340" s="185"/>
      <c r="F3340" s="185"/>
      <c r="G3340" s="185"/>
      <c r="H3340" s="185"/>
      <c r="I3340" s="185"/>
      <c r="J3340" s="185"/>
      <c r="K3340" s="185"/>
      <c r="L3340" s="187"/>
      <c r="M3340" s="188"/>
      <c r="N3340" s="188"/>
      <c r="O3340" s="208"/>
      <c r="P3340" s="208"/>
      <c r="Q3340" s="208"/>
      <c r="R3340" s="208"/>
    </row>
    <row r="3341">
      <c r="A3341" s="185"/>
      <c r="B3341" s="186"/>
      <c r="C3341" s="185"/>
      <c r="D3341" s="185"/>
      <c r="E3341" s="185"/>
      <c r="F3341" s="185"/>
      <c r="G3341" s="185"/>
      <c r="H3341" s="185"/>
      <c r="I3341" s="185"/>
      <c r="J3341" s="185"/>
      <c r="K3341" s="185"/>
      <c r="L3341" s="187"/>
      <c r="M3341" s="188"/>
      <c r="N3341" s="188"/>
      <c r="O3341" s="208"/>
      <c r="P3341" s="208"/>
      <c r="Q3341" s="208"/>
      <c r="R3341" s="208"/>
    </row>
    <row r="3342">
      <c r="A3342" s="185"/>
      <c r="B3342" s="186"/>
      <c r="C3342" s="185"/>
      <c r="D3342" s="185"/>
      <c r="E3342" s="185"/>
      <c r="F3342" s="185"/>
      <c r="G3342" s="185"/>
      <c r="H3342" s="185"/>
      <c r="I3342" s="185"/>
      <c r="J3342" s="185"/>
      <c r="K3342" s="185"/>
      <c r="L3342" s="187"/>
      <c r="M3342" s="188"/>
      <c r="N3342" s="188"/>
      <c r="O3342" s="208"/>
      <c r="P3342" s="208"/>
      <c r="Q3342" s="208"/>
      <c r="R3342" s="208"/>
    </row>
    <row r="3343">
      <c r="A3343" s="185"/>
      <c r="B3343" s="186"/>
      <c r="C3343" s="185"/>
      <c r="D3343" s="185"/>
      <c r="E3343" s="185"/>
      <c r="F3343" s="185"/>
      <c r="G3343" s="185"/>
      <c r="H3343" s="185"/>
      <c r="I3343" s="185"/>
      <c r="J3343" s="185"/>
      <c r="K3343" s="185"/>
      <c r="L3343" s="187"/>
      <c r="M3343" s="188"/>
      <c r="N3343" s="188"/>
      <c r="O3343" s="208"/>
      <c r="P3343" s="208"/>
      <c r="Q3343" s="208"/>
      <c r="R3343" s="208"/>
    </row>
    <row r="3344">
      <c r="A3344" s="185"/>
      <c r="B3344" s="186"/>
      <c r="C3344" s="185"/>
      <c r="D3344" s="185"/>
      <c r="E3344" s="185"/>
      <c r="F3344" s="185"/>
      <c r="G3344" s="185"/>
      <c r="H3344" s="185"/>
      <c r="I3344" s="185"/>
      <c r="J3344" s="185"/>
      <c r="K3344" s="185"/>
      <c r="L3344" s="187"/>
      <c r="M3344" s="188"/>
      <c r="N3344" s="188"/>
      <c r="O3344" s="208"/>
      <c r="P3344" s="208"/>
      <c r="Q3344" s="208"/>
      <c r="R3344" s="208"/>
    </row>
    <row r="3345">
      <c r="A3345" s="185"/>
      <c r="B3345" s="186"/>
      <c r="C3345" s="185"/>
      <c r="D3345" s="185"/>
      <c r="E3345" s="185"/>
      <c r="F3345" s="185"/>
      <c r="G3345" s="185"/>
      <c r="H3345" s="185"/>
      <c r="I3345" s="185"/>
      <c r="J3345" s="185"/>
      <c r="K3345" s="185"/>
      <c r="L3345" s="187"/>
      <c r="M3345" s="188"/>
      <c r="N3345" s="188"/>
      <c r="O3345" s="208"/>
      <c r="P3345" s="208"/>
      <c r="Q3345" s="208"/>
      <c r="R3345" s="208"/>
    </row>
    <row r="3346">
      <c r="A3346" s="185"/>
      <c r="B3346" s="186"/>
      <c r="C3346" s="185"/>
      <c r="D3346" s="185"/>
      <c r="E3346" s="185"/>
      <c r="F3346" s="185"/>
      <c r="G3346" s="185"/>
      <c r="H3346" s="185"/>
      <c r="I3346" s="185"/>
      <c r="J3346" s="185"/>
      <c r="K3346" s="185"/>
      <c r="L3346" s="187"/>
      <c r="M3346" s="188"/>
      <c r="N3346" s="188"/>
      <c r="O3346" s="208"/>
      <c r="P3346" s="208"/>
      <c r="Q3346" s="208"/>
      <c r="R3346" s="208"/>
    </row>
    <row r="3347">
      <c r="A3347" s="185"/>
      <c r="B3347" s="186"/>
      <c r="C3347" s="185"/>
      <c r="D3347" s="185"/>
      <c r="E3347" s="185"/>
      <c r="F3347" s="185"/>
      <c r="G3347" s="185"/>
      <c r="H3347" s="185"/>
      <c r="I3347" s="185"/>
      <c r="J3347" s="185"/>
      <c r="K3347" s="185"/>
      <c r="L3347" s="187"/>
      <c r="M3347" s="188"/>
      <c r="N3347" s="188"/>
      <c r="O3347" s="208"/>
      <c r="P3347" s="208"/>
      <c r="Q3347" s="208"/>
      <c r="R3347" s="208"/>
    </row>
    <row r="3348">
      <c r="A3348" s="185"/>
      <c r="B3348" s="186"/>
      <c r="C3348" s="185"/>
      <c r="D3348" s="185"/>
      <c r="E3348" s="185"/>
      <c r="F3348" s="185"/>
      <c r="G3348" s="185"/>
      <c r="H3348" s="185"/>
      <c r="I3348" s="185"/>
      <c r="J3348" s="185"/>
      <c r="K3348" s="185"/>
      <c r="L3348" s="187"/>
      <c r="M3348" s="188"/>
      <c r="N3348" s="188"/>
      <c r="O3348" s="208"/>
      <c r="P3348" s="208"/>
      <c r="Q3348" s="208"/>
      <c r="R3348" s="208"/>
    </row>
    <row r="3349">
      <c r="A3349" s="185"/>
      <c r="B3349" s="186"/>
      <c r="C3349" s="185"/>
      <c r="D3349" s="185"/>
      <c r="E3349" s="185"/>
      <c r="F3349" s="185"/>
      <c r="G3349" s="185"/>
      <c r="H3349" s="185"/>
      <c r="I3349" s="185"/>
      <c r="J3349" s="185"/>
      <c r="K3349" s="185"/>
      <c r="L3349" s="187"/>
      <c r="M3349" s="188"/>
      <c r="N3349" s="188"/>
      <c r="O3349" s="208"/>
      <c r="P3349" s="208"/>
      <c r="Q3349" s="208"/>
      <c r="R3349" s="208"/>
    </row>
    <row r="3350">
      <c r="A3350" s="185"/>
      <c r="B3350" s="186"/>
      <c r="C3350" s="185"/>
      <c r="D3350" s="185"/>
      <c r="E3350" s="185"/>
      <c r="F3350" s="185"/>
      <c r="G3350" s="185"/>
      <c r="H3350" s="185"/>
      <c r="I3350" s="185"/>
      <c r="J3350" s="185"/>
      <c r="K3350" s="185"/>
      <c r="L3350" s="187"/>
      <c r="M3350" s="188"/>
      <c r="N3350" s="188"/>
      <c r="O3350" s="208"/>
      <c r="P3350" s="208"/>
      <c r="Q3350" s="208"/>
      <c r="R3350" s="208"/>
    </row>
    <row r="3351">
      <c r="A3351" s="185"/>
      <c r="B3351" s="186"/>
      <c r="C3351" s="185"/>
      <c r="D3351" s="185"/>
      <c r="E3351" s="185"/>
      <c r="F3351" s="185"/>
      <c r="G3351" s="185"/>
      <c r="H3351" s="185"/>
      <c r="I3351" s="185"/>
      <c r="J3351" s="185"/>
      <c r="K3351" s="185"/>
      <c r="L3351" s="187"/>
      <c r="M3351" s="188"/>
      <c r="N3351" s="188"/>
      <c r="O3351" s="208"/>
      <c r="P3351" s="208"/>
      <c r="Q3351" s="208"/>
      <c r="R3351" s="208"/>
    </row>
    <row r="3352">
      <c r="A3352" s="185"/>
      <c r="B3352" s="186"/>
      <c r="C3352" s="185"/>
      <c r="D3352" s="185"/>
      <c r="E3352" s="185"/>
      <c r="F3352" s="185"/>
      <c r="G3352" s="185"/>
      <c r="H3352" s="185"/>
      <c r="I3352" s="185"/>
      <c r="J3352" s="185"/>
      <c r="K3352" s="185"/>
      <c r="L3352" s="187"/>
      <c r="M3352" s="188"/>
      <c r="N3352" s="188"/>
      <c r="O3352" s="208"/>
      <c r="P3352" s="208"/>
      <c r="Q3352" s="208"/>
      <c r="R3352" s="208"/>
    </row>
    <row r="3353">
      <c r="A3353" s="185"/>
      <c r="B3353" s="186"/>
      <c r="C3353" s="185"/>
      <c r="D3353" s="185"/>
      <c r="E3353" s="185"/>
      <c r="F3353" s="185"/>
      <c r="G3353" s="185"/>
      <c r="H3353" s="185"/>
      <c r="I3353" s="185"/>
      <c r="J3353" s="185"/>
      <c r="K3353" s="185"/>
      <c r="L3353" s="187"/>
      <c r="M3353" s="188"/>
      <c r="N3353" s="188"/>
      <c r="O3353" s="208"/>
      <c r="P3353" s="208"/>
      <c r="Q3353" s="208"/>
      <c r="R3353" s="208"/>
    </row>
    <row r="3354">
      <c r="A3354" s="185"/>
      <c r="B3354" s="186"/>
      <c r="C3354" s="185"/>
      <c r="D3354" s="185"/>
      <c r="E3354" s="185"/>
      <c r="F3354" s="185"/>
      <c r="G3354" s="185"/>
      <c r="H3354" s="185"/>
      <c r="I3354" s="185"/>
      <c r="J3354" s="185"/>
      <c r="K3354" s="185"/>
      <c r="L3354" s="187"/>
      <c r="M3354" s="188"/>
      <c r="N3354" s="188"/>
      <c r="O3354" s="208"/>
      <c r="P3354" s="208"/>
      <c r="Q3354" s="208"/>
      <c r="R3354" s="208"/>
    </row>
    <row r="3355">
      <c r="A3355" s="185"/>
      <c r="B3355" s="186"/>
      <c r="C3355" s="185"/>
      <c r="D3355" s="185"/>
      <c r="E3355" s="185"/>
      <c r="F3355" s="185"/>
      <c r="G3355" s="185"/>
      <c r="H3355" s="185"/>
      <c r="I3355" s="185"/>
      <c r="J3355" s="185"/>
      <c r="K3355" s="185"/>
      <c r="L3355" s="187"/>
      <c r="M3355" s="188"/>
      <c r="N3355" s="188"/>
      <c r="O3355" s="208"/>
      <c r="P3355" s="208"/>
      <c r="Q3355" s="208"/>
      <c r="R3355" s="208"/>
    </row>
    <row r="3356">
      <c r="A3356" s="185"/>
      <c r="B3356" s="186"/>
      <c r="C3356" s="185"/>
      <c r="D3356" s="185"/>
      <c r="E3356" s="185"/>
      <c r="F3356" s="185"/>
      <c r="G3356" s="185"/>
      <c r="H3356" s="185"/>
      <c r="I3356" s="185"/>
      <c r="J3356" s="185"/>
      <c r="K3356" s="185"/>
      <c r="L3356" s="187"/>
      <c r="M3356" s="188"/>
      <c r="N3356" s="188"/>
      <c r="O3356" s="208"/>
      <c r="P3356" s="208"/>
      <c r="Q3356" s="208"/>
      <c r="R3356" s="208"/>
    </row>
    <row r="3357">
      <c r="A3357" s="185"/>
      <c r="B3357" s="186"/>
      <c r="C3357" s="185"/>
      <c r="D3357" s="185"/>
      <c r="E3357" s="185"/>
      <c r="F3357" s="185"/>
      <c r="G3357" s="185"/>
      <c r="H3357" s="185"/>
      <c r="I3357" s="185"/>
      <c r="J3357" s="185"/>
      <c r="K3357" s="185"/>
      <c r="L3357" s="187"/>
      <c r="M3357" s="188"/>
      <c r="N3357" s="188"/>
      <c r="O3357" s="208"/>
      <c r="P3357" s="208"/>
      <c r="Q3357" s="208"/>
      <c r="R3357" s="208"/>
    </row>
    <row r="3358">
      <c r="A3358" s="185"/>
      <c r="B3358" s="186"/>
      <c r="C3358" s="185"/>
      <c r="D3358" s="185"/>
      <c r="E3358" s="185"/>
      <c r="F3358" s="185"/>
      <c r="G3358" s="185"/>
      <c r="H3358" s="185"/>
      <c r="I3358" s="185"/>
      <c r="J3358" s="185"/>
      <c r="K3358" s="185"/>
      <c r="L3358" s="187"/>
      <c r="M3358" s="188"/>
      <c r="N3358" s="188"/>
      <c r="O3358" s="208"/>
      <c r="P3358" s="208"/>
      <c r="Q3358" s="208"/>
      <c r="R3358" s="208"/>
    </row>
    <row r="3359">
      <c r="A3359" s="185"/>
      <c r="B3359" s="186"/>
      <c r="C3359" s="185"/>
      <c r="D3359" s="185"/>
      <c r="E3359" s="185"/>
      <c r="F3359" s="185"/>
      <c r="G3359" s="185"/>
      <c r="H3359" s="185"/>
      <c r="I3359" s="185"/>
      <c r="J3359" s="185"/>
      <c r="K3359" s="185"/>
      <c r="L3359" s="187"/>
      <c r="M3359" s="188"/>
      <c r="N3359" s="188"/>
      <c r="O3359" s="208"/>
      <c r="P3359" s="208"/>
      <c r="Q3359" s="208"/>
      <c r="R3359" s="208"/>
    </row>
    <row r="3360">
      <c r="A3360" s="185"/>
      <c r="B3360" s="186"/>
      <c r="C3360" s="185"/>
      <c r="D3360" s="185"/>
      <c r="E3360" s="185"/>
      <c r="F3360" s="185"/>
      <c r="G3360" s="185"/>
      <c r="H3360" s="185"/>
      <c r="I3360" s="185"/>
      <c r="J3360" s="185"/>
      <c r="K3360" s="185"/>
      <c r="L3360" s="187"/>
      <c r="M3360" s="188"/>
      <c r="N3360" s="188"/>
      <c r="O3360" s="208"/>
      <c r="P3360" s="208"/>
      <c r="Q3360" s="208"/>
      <c r="R3360" s="208"/>
    </row>
    <row r="3361">
      <c r="A3361" s="185"/>
      <c r="B3361" s="186"/>
      <c r="C3361" s="185"/>
      <c r="D3361" s="185"/>
      <c r="E3361" s="185"/>
      <c r="F3361" s="185"/>
      <c r="G3361" s="185"/>
      <c r="H3361" s="185"/>
      <c r="I3361" s="185"/>
      <c r="J3361" s="185"/>
      <c r="K3361" s="185"/>
      <c r="L3361" s="187"/>
      <c r="M3361" s="188"/>
      <c r="N3361" s="188"/>
      <c r="O3361" s="208"/>
      <c r="P3361" s="208"/>
      <c r="Q3361" s="208"/>
      <c r="R3361" s="208"/>
    </row>
    <row r="3362">
      <c r="A3362" s="185"/>
      <c r="B3362" s="186"/>
      <c r="C3362" s="185"/>
      <c r="D3362" s="185"/>
      <c r="E3362" s="185"/>
      <c r="F3362" s="185"/>
      <c r="G3362" s="185"/>
      <c r="H3362" s="185"/>
      <c r="I3362" s="185"/>
      <c r="J3362" s="185"/>
      <c r="K3362" s="185"/>
      <c r="L3362" s="187"/>
      <c r="M3362" s="188"/>
      <c r="N3362" s="188"/>
      <c r="O3362" s="208"/>
      <c r="P3362" s="208"/>
      <c r="Q3362" s="208"/>
      <c r="R3362" s="208"/>
    </row>
    <row r="3363">
      <c r="A3363" s="185"/>
      <c r="B3363" s="186"/>
      <c r="C3363" s="185"/>
      <c r="D3363" s="185"/>
      <c r="E3363" s="185"/>
      <c r="F3363" s="185"/>
      <c r="G3363" s="185"/>
      <c r="H3363" s="185"/>
      <c r="I3363" s="185"/>
      <c r="J3363" s="185"/>
      <c r="K3363" s="185"/>
      <c r="L3363" s="187"/>
      <c r="M3363" s="188"/>
      <c r="N3363" s="188"/>
      <c r="O3363" s="208"/>
      <c r="P3363" s="208"/>
      <c r="Q3363" s="208"/>
      <c r="R3363" s="208"/>
    </row>
    <row r="3364">
      <c r="A3364" s="185"/>
      <c r="B3364" s="186"/>
      <c r="C3364" s="185"/>
      <c r="D3364" s="185"/>
      <c r="E3364" s="185"/>
      <c r="F3364" s="185"/>
      <c r="G3364" s="185"/>
      <c r="H3364" s="185"/>
      <c r="I3364" s="185"/>
      <c r="J3364" s="185"/>
      <c r="K3364" s="185"/>
      <c r="L3364" s="187"/>
      <c r="M3364" s="188"/>
      <c r="N3364" s="188"/>
      <c r="O3364" s="208"/>
      <c r="P3364" s="208"/>
      <c r="Q3364" s="208"/>
      <c r="R3364" s="208"/>
    </row>
    <row r="3365">
      <c r="A3365" s="185"/>
      <c r="B3365" s="186"/>
      <c r="C3365" s="185"/>
      <c r="D3365" s="185"/>
      <c r="E3365" s="185"/>
      <c r="F3365" s="185"/>
      <c r="G3365" s="185"/>
      <c r="H3365" s="185"/>
      <c r="I3365" s="185"/>
      <c r="J3365" s="185"/>
      <c r="K3365" s="185"/>
      <c r="L3365" s="187"/>
      <c r="M3365" s="188"/>
      <c r="N3365" s="188"/>
      <c r="O3365" s="208"/>
      <c r="P3365" s="208"/>
      <c r="Q3365" s="208"/>
      <c r="R3365" s="208"/>
    </row>
    <row r="3366">
      <c r="A3366" s="185"/>
      <c r="B3366" s="186"/>
      <c r="C3366" s="185"/>
      <c r="D3366" s="185"/>
      <c r="E3366" s="185"/>
      <c r="F3366" s="185"/>
      <c r="G3366" s="185"/>
      <c r="H3366" s="185"/>
      <c r="I3366" s="185"/>
      <c r="J3366" s="185"/>
      <c r="K3366" s="185"/>
      <c r="L3366" s="187"/>
      <c r="M3366" s="188"/>
      <c r="N3366" s="188"/>
      <c r="O3366" s="208"/>
      <c r="P3366" s="208"/>
      <c r="Q3366" s="208"/>
      <c r="R3366" s="208"/>
    </row>
    <row r="3367">
      <c r="A3367" s="185"/>
      <c r="B3367" s="186"/>
      <c r="C3367" s="185"/>
      <c r="D3367" s="185"/>
      <c r="E3367" s="185"/>
      <c r="F3367" s="185"/>
      <c r="G3367" s="185"/>
      <c r="H3367" s="185"/>
      <c r="I3367" s="185"/>
      <c r="J3367" s="185"/>
      <c r="K3367" s="185"/>
      <c r="L3367" s="187"/>
      <c r="M3367" s="188"/>
      <c r="N3367" s="188"/>
      <c r="O3367" s="208"/>
      <c r="P3367" s="208"/>
      <c r="Q3367" s="208"/>
      <c r="R3367" s="208"/>
    </row>
    <row r="3368">
      <c r="A3368" s="185"/>
      <c r="B3368" s="186"/>
      <c r="C3368" s="185"/>
      <c r="D3368" s="185"/>
      <c r="E3368" s="185"/>
      <c r="F3368" s="185"/>
      <c r="G3368" s="185"/>
      <c r="H3368" s="185"/>
      <c r="I3368" s="185"/>
      <c r="J3368" s="185"/>
      <c r="K3368" s="185"/>
      <c r="L3368" s="187"/>
      <c r="M3368" s="188"/>
      <c r="N3368" s="188"/>
      <c r="O3368" s="208"/>
      <c r="P3368" s="208"/>
      <c r="Q3368" s="208"/>
      <c r="R3368" s="208"/>
    </row>
    <row r="3369">
      <c r="A3369" s="185"/>
      <c r="B3369" s="186"/>
      <c r="C3369" s="185"/>
      <c r="D3369" s="185"/>
      <c r="E3369" s="185"/>
      <c r="F3369" s="185"/>
      <c r="G3369" s="185"/>
      <c r="H3369" s="185"/>
      <c r="I3369" s="185"/>
      <c r="J3369" s="185"/>
      <c r="K3369" s="185"/>
      <c r="L3369" s="187"/>
      <c r="M3369" s="188"/>
      <c r="N3369" s="188"/>
      <c r="O3369" s="208"/>
      <c r="P3369" s="208"/>
      <c r="Q3369" s="208"/>
      <c r="R3369" s="208"/>
    </row>
    <row r="3370">
      <c r="A3370" s="185"/>
      <c r="B3370" s="186"/>
      <c r="C3370" s="185"/>
      <c r="D3370" s="185"/>
      <c r="E3370" s="185"/>
      <c r="F3370" s="185"/>
      <c r="G3370" s="185"/>
      <c r="H3370" s="185"/>
      <c r="I3370" s="185"/>
      <c r="J3370" s="185"/>
      <c r="K3370" s="185"/>
      <c r="L3370" s="187"/>
      <c r="M3370" s="188"/>
      <c r="N3370" s="188"/>
      <c r="O3370" s="208"/>
      <c r="P3370" s="208"/>
      <c r="Q3370" s="208"/>
      <c r="R3370" s="208"/>
    </row>
    <row r="3371">
      <c r="A3371" s="185"/>
      <c r="B3371" s="186"/>
      <c r="C3371" s="185"/>
      <c r="D3371" s="185"/>
      <c r="E3371" s="185"/>
      <c r="F3371" s="185"/>
      <c r="G3371" s="185"/>
      <c r="H3371" s="185"/>
      <c r="I3371" s="185"/>
      <c r="J3371" s="185"/>
      <c r="K3371" s="185"/>
      <c r="L3371" s="187"/>
      <c r="M3371" s="188"/>
      <c r="N3371" s="188"/>
      <c r="O3371" s="208"/>
      <c r="P3371" s="208"/>
      <c r="Q3371" s="208"/>
      <c r="R3371" s="208"/>
    </row>
    <row r="3372">
      <c r="A3372" s="185"/>
      <c r="B3372" s="186"/>
      <c r="C3372" s="185"/>
      <c r="D3372" s="185"/>
      <c r="E3372" s="185"/>
      <c r="F3372" s="185"/>
      <c r="G3372" s="185"/>
      <c r="H3372" s="185"/>
      <c r="I3372" s="185"/>
      <c r="J3372" s="185"/>
      <c r="K3372" s="185"/>
      <c r="L3372" s="187"/>
      <c r="M3372" s="188"/>
      <c r="N3372" s="188"/>
      <c r="O3372" s="208"/>
      <c r="P3372" s="208"/>
      <c r="Q3372" s="208"/>
      <c r="R3372" s="208"/>
    </row>
    <row r="3373">
      <c r="A3373" s="185"/>
      <c r="B3373" s="186"/>
      <c r="C3373" s="185"/>
      <c r="D3373" s="185"/>
      <c r="E3373" s="185"/>
      <c r="F3373" s="185"/>
      <c r="G3373" s="185"/>
      <c r="H3373" s="185"/>
      <c r="I3373" s="185"/>
      <c r="J3373" s="185"/>
      <c r="K3373" s="185"/>
      <c r="L3373" s="187"/>
      <c r="M3373" s="188"/>
      <c r="N3373" s="188"/>
      <c r="O3373" s="208"/>
      <c r="P3373" s="208"/>
      <c r="Q3373" s="208"/>
      <c r="R3373" s="208"/>
    </row>
    <row r="3374">
      <c r="A3374" s="185"/>
      <c r="B3374" s="186"/>
      <c r="C3374" s="185"/>
      <c r="D3374" s="185"/>
      <c r="E3374" s="185"/>
      <c r="F3374" s="185"/>
      <c r="G3374" s="185"/>
      <c r="H3374" s="185"/>
      <c r="I3374" s="185"/>
      <c r="J3374" s="185"/>
      <c r="K3374" s="185"/>
      <c r="L3374" s="187"/>
      <c r="M3374" s="188"/>
      <c r="N3374" s="188"/>
      <c r="O3374" s="208"/>
      <c r="P3374" s="208"/>
      <c r="Q3374" s="208"/>
      <c r="R3374" s="208"/>
    </row>
    <row r="3375">
      <c r="A3375" s="185"/>
      <c r="B3375" s="186"/>
      <c r="C3375" s="185"/>
      <c r="D3375" s="185"/>
      <c r="E3375" s="185"/>
      <c r="F3375" s="185"/>
      <c r="G3375" s="185"/>
      <c r="H3375" s="185"/>
      <c r="I3375" s="185"/>
      <c r="J3375" s="185"/>
      <c r="K3375" s="185"/>
      <c r="L3375" s="187"/>
      <c r="M3375" s="188"/>
      <c r="N3375" s="188"/>
      <c r="O3375" s="208"/>
      <c r="P3375" s="208"/>
      <c r="Q3375" s="208"/>
      <c r="R3375" s="208"/>
    </row>
    <row r="3376">
      <c r="A3376" s="185"/>
      <c r="B3376" s="186"/>
      <c r="C3376" s="185"/>
      <c r="D3376" s="185"/>
      <c r="E3376" s="185"/>
      <c r="F3376" s="185"/>
      <c r="G3376" s="185"/>
      <c r="H3376" s="185"/>
      <c r="I3376" s="185"/>
      <c r="J3376" s="185"/>
      <c r="K3376" s="185"/>
      <c r="L3376" s="187"/>
      <c r="M3376" s="188"/>
      <c r="N3376" s="188"/>
      <c r="O3376" s="208"/>
      <c r="P3376" s="208"/>
      <c r="Q3376" s="208"/>
      <c r="R3376" s="208"/>
    </row>
    <row r="3377">
      <c r="A3377" s="185"/>
      <c r="B3377" s="186"/>
      <c r="C3377" s="185"/>
      <c r="D3377" s="185"/>
      <c r="E3377" s="185"/>
      <c r="F3377" s="185"/>
      <c r="G3377" s="185"/>
      <c r="H3377" s="185"/>
      <c r="I3377" s="185"/>
      <c r="J3377" s="185"/>
      <c r="K3377" s="185"/>
      <c r="L3377" s="187"/>
      <c r="M3377" s="188"/>
      <c r="N3377" s="188"/>
      <c r="O3377" s="208"/>
      <c r="P3377" s="208"/>
      <c r="Q3377" s="208"/>
      <c r="R3377" s="208"/>
    </row>
    <row r="3378">
      <c r="A3378" s="185"/>
      <c r="B3378" s="186"/>
      <c r="C3378" s="185"/>
      <c r="D3378" s="185"/>
      <c r="E3378" s="185"/>
      <c r="F3378" s="185"/>
      <c r="G3378" s="185"/>
      <c r="H3378" s="185"/>
      <c r="I3378" s="185"/>
      <c r="J3378" s="185"/>
      <c r="K3378" s="185"/>
      <c r="L3378" s="187"/>
      <c r="M3378" s="188"/>
      <c r="N3378" s="188"/>
      <c r="O3378" s="208"/>
      <c r="P3378" s="208"/>
      <c r="Q3378" s="208"/>
      <c r="R3378" s="208"/>
    </row>
    <row r="3379">
      <c r="A3379" s="185"/>
      <c r="B3379" s="186"/>
      <c r="C3379" s="185"/>
      <c r="D3379" s="185"/>
      <c r="E3379" s="185"/>
      <c r="F3379" s="185"/>
      <c r="G3379" s="185"/>
      <c r="H3379" s="185"/>
      <c r="I3379" s="185"/>
      <c r="J3379" s="185"/>
      <c r="K3379" s="185"/>
      <c r="L3379" s="187"/>
      <c r="M3379" s="188"/>
      <c r="N3379" s="188"/>
      <c r="O3379" s="208"/>
      <c r="P3379" s="208"/>
      <c r="Q3379" s="208"/>
      <c r="R3379" s="208"/>
    </row>
    <row r="3380">
      <c r="A3380" s="185"/>
      <c r="B3380" s="186"/>
      <c r="C3380" s="185"/>
      <c r="D3380" s="185"/>
      <c r="E3380" s="185"/>
      <c r="F3380" s="185"/>
      <c r="G3380" s="185"/>
      <c r="H3380" s="185"/>
      <c r="I3380" s="185"/>
      <c r="J3380" s="185"/>
      <c r="K3380" s="185"/>
      <c r="L3380" s="187"/>
      <c r="M3380" s="188"/>
      <c r="N3380" s="188"/>
      <c r="O3380" s="208"/>
      <c r="P3380" s="208"/>
      <c r="Q3380" s="208"/>
      <c r="R3380" s="208"/>
    </row>
    <row r="3381">
      <c r="A3381" s="185"/>
      <c r="B3381" s="186"/>
      <c r="C3381" s="185"/>
      <c r="D3381" s="185"/>
      <c r="E3381" s="185"/>
      <c r="F3381" s="185"/>
      <c r="G3381" s="185"/>
      <c r="H3381" s="185"/>
      <c r="I3381" s="185"/>
      <c r="J3381" s="185"/>
      <c r="K3381" s="185"/>
      <c r="L3381" s="187"/>
      <c r="M3381" s="188"/>
      <c r="N3381" s="188"/>
      <c r="O3381" s="208"/>
      <c r="P3381" s="208"/>
      <c r="Q3381" s="208"/>
      <c r="R3381" s="208"/>
    </row>
    <row r="3382">
      <c r="A3382" s="185"/>
      <c r="B3382" s="186"/>
      <c r="C3382" s="185"/>
      <c r="D3382" s="185"/>
      <c r="E3382" s="185"/>
      <c r="F3382" s="185"/>
      <c r="G3382" s="185"/>
      <c r="H3382" s="185"/>
      <c r="I3382" s="185"/>
      <c r="J3382" s="185"/>
      <c r="K3382" s="185"/>
      <c r="L3382" s="187"/>
      <c r="M3382" s="188"/>
      <c r="N3382" s="188"/>
      <c r="O3382" s="208"/>
      <c r="P3382" s="208"/>
      <c r="Q3382" s="208"/>
      <c r="R3382" s="208"/>
    </row>
    <row r="3383">
      <c r="A3383" s="185"/>
      <c r="B3383" s="186"/>
      <c r="C3383" s="185"/>
      <c r="D3383" s="185"/>
      <c r="E3383" s="185"/>
      <c r="F3383" s="185"/>
      <c r="G3383" s="185"/>
      <c r="H3383" s="185"/>
      <c r="I3383" s="185"/>
      <c r="J3383" s="185"/>
      <c r="K3383" s="185"/>
      <c r="L3383" s="187"/>
      <c r="M3383" s="188"/>
      <c r="N3383" s="188"/>
      <c r="O3383" s="208"/>
      <c r="P3383" s="208"/>
      <c r="Q3383" s="208"/>
      <c r="R3383" s="208"/>
    </row>
    <row r="3384">
      <c r="A3384" s="185"/>
      <c r="B3384" s="186"/>
      <c r="C3384" s="185"/>
      <c r="D3384" s="185"/>
      <c r="E3384" s="185"/>
      <c r="F3384" s="185"/>
      <c r="G3384" s="185"/>
      <c r="H3384" s="185"/>
      <c r="I3384" s="185"/>
      <c r="J3384" s="185"/>
      <c r="K3384" s="185"/>
      <c r="L3384" s="187"/>
      <c r="M3384" s="188"/>
      <c r="N3384" s="188"/>
      <c r="O3384" s="208"/>
      <c r="P3384" s="208"/>
      <c r="Q3384" s="208"/>
      <c r="R3384" s="208"/>
    </row>
    <row r="3385">
      <c r="A3385" s="185"/>
      <c r="B3385" s="186"/>
      <c r="C3385" s="185"/>
      <c r="D3385" s="185"/>
      <c r="E3385" s="185"/>
      <c r="F3385" s="185"/>
      <c r="G3385" s="185"/>
      <c r="H3385" s="185"/>
      <c r="I3385" s="185"/>
      <c r="J3385" s="185"/>
      <c r="K3385" s="185"/>
      <c r="L3385" s="187"/>
      <c r="M3385" s="188"/>
      <c r="N3385" s="188"/>
      <c r="O3385" s="208"/>
      <c r="P3385" s="208"/>
      <c r="Q3385" s="208"/>
      <c r="R3385" s="208"/>
    </row>
    <row r="3386">
      <c r="A3386" s="185"/>
      <c r="B3386" s="186"/>
      <c r="C3386" s="185"/>
      <c r="D3386" s="185"/>
      <c r="E3386" s="185"/>
      <c r="F3386" s="185"/>
      <c r="G3386" s="185"/>
      <c r="H3386" s="185"/>
      <c r="I3386" s="185"/>
      <c r="J3386" s="185"/>
      <c r="K3386" s="185"/>
      <c r="L3386" s="187"/>
      <c r="M3386" s="188"/>
      <c r="N3386" s="188"/>
      <c r="O3386" s="208"/>
      <c r="P3386" s="208"/>
      <c r="Q3386" s="208"/>
      <c r="R3386" s="208"/>
    </row>
    <row r="3387">
      <c r="A3387" s="185"/>
      <c r="B3387" s="186"/>
      <c r="C3387" s="185"/>
      <c r="D3387" s="185"/>
      <c r="E3387" s="185"/>
      <c r="F3387" s="185"/>
      <c r="G3387" s="185"/>
      <c r="H3387" s="185"/>
      <c r="I3387" s="185"/>
      <c r="J3387" s="185"/>
      <c r="K3387" s="185"/>
      <c r="L3387" s="187"/>
      <c r="M3387" s="188"/>
      <c r="N3387" s="188"/>
      <c r="O3387" s="208"/>
      <c r="P3387" s="208"/>
      <c r="Q3387" s="208"/>
      <c r="R3387" s="208"/>
    </row>
    <row r="3388">
      <c r="A3388" s="185"/>
      <c r="B3388" s="186"/>
      <c r="C3388" s="185"/>
      <c r="D3388" s="185"/>
      <c r="E3388" s="185"/>
      <c r="F3388" s="185"/>
      <c r="G3388" s="185"/>
      <c r="H3388" s="185"/>
      <c r="I3388" s="185"/>
      <c r="J3388" s="185"/>
      <c r="K3388" s="185"/>
      <c r="L3388" s="187"/>
      <c r="M3388" s="188"/>
      <c r="N3388" s="188"/>
      <c r="O3388" s="208"/>
      <c r="P3388" s="208"/>
      <c r="Q3388" s="208"/>
      <c r="R3388" s="208"/>
    </row>
    <row r="3389">
      <c r="A3389" s="185"/>
      <c r="B3389" s="186"/>
      <c r="C3389" s="185"/>
      <c r="D3389" s="185"/>
      <c r="E3389" s="185"/>
      <c r="F3389" s="185"/>
      <c r="G3389" s="185"/>
      <c r="H3389" s="185"/>
      <c r="I3389" s="185"/>
      <c r="J3389" s="185"/>
      <c r="K3389" s="185"/>
      <c r="L3389" s="187"/>
      <c r="M3389" s="188"/>
      <c r="N3389" s="188"/>
      <c r="O3389" s="208"/>
      <c r="P3389" s="208"/>
      <c r="Q3389" s="208"/>
      <c r="R3389" s="208"/>
    </row>
    <row r="3390">
      <c r="A3390" s="185"/>
      <c r="B3390" s="186"/>
      <c r="C3390" s="185"/>
      <c r="D3390" s="185"/>
      <c r="E3390" s="185"/>
      <c r="F3390" s="185"/>
      <c r="G3390" s="185"/>
      <c r="H3390" s="185"/>
      <c r="I3390" s="185"/>
      <c r="J3390" s="185"/>
      <c r="K3390" s="185"/>
      <c r="L3390" s="187"/>
      <c r="M3390" s="188"/>
      <c r="N3390" s="188"/>
      <c r="O3390" s="208"/>
      <c r="P3390" s="208"/>
      <c r="Q3390" s="208"/>
      <c r="R3390" s="208"/>
    </row>
    <row r="3391">
      <c r="A3391" s="185"/>
      <c r="B3391" s="186"/>
      <c r="C3391" s="185"/>
      <c r="D3391" s="185"/>
      <c r="E3391" s="185"/>
      <c r="F3391" s="185"/>
      <c r="G3391" s="185"/>
      <c r="H3391" s="185"/>
      <c r="I3391" s="185"/>
      <c r="J3391" s="185"/>
      <c r="K3391" s="185"/>
      <c r="L3391" s="187"/>
      <c r="M3391" s="188"/>
      <c r="N3391" s="188"/>
      <c r="O3391" s="208"/>
      <c r="P3391" s="208"/>
      <c r="Q3391" s="208"/>
      <c r="R3391" s="208"/>
    </row>
    <row r="3392">
      <c r="A3392" s="185"/>
      <c r="B3392" s="186"/>
      <c r="C3392" s="185"/>
      <c r="D3392" s="185"/>
      <c r="E3392" s="185"/>
      <c r="F3392" s="185"/>
      <c r="G3392" s="185"/>
      <c r="H3392" s="185"/>
      <c r="I3392" s="185"/>
      <c r="J3392" s="185"/>
      <c r="K3392" s="185"/>
      <c r="L3392" s="187"/>
      <c r="M3392" s="188"/>
      <c r="N3392" s="188"/>
      <c r="O3392" s="208"/>
      <c r="P3392" s="208"/>
      <c r="Q3392" s="208"/>
      <c r="R3392" s="208"/>
    </row>
    <row r="3393">
      <c r="A3393" s="185"/>
      <c r="B3393" s="186"/>
      <c r="C3393" s="185"/>
      <c r="D3393" s="185"/>
      <c r="E3393" s="185"/>
      <c r="F3393" s="185"/>
      <c r="G3393" s="185"/>
      <c r="H3393" s="185"/>
      <c r="I3393" s="185"/>
      <c r="J3393" s="185"/>
      <c r="K3393" s="185"/>
      <c r="L3393" s="187"/>
      <c r="M3393" s="188"/>
      <c r="N3393" s="188"/>
      <c r="O3393" s="208"/>
      <c r="P3393" s="208"/>
      <c r="Q3393" s="208"/>
      <c r="R3393" s="208"/>
    </row>
    <row r="3394">
      <c r="A3394" s="185"/>
      <c r="B3394" s="186"/>
      <c r="C3394" s="185"/>
      <c r="D3394" s="185"/>
      <c r="E3394" s="185"/>
      <c r="F3394" s="185"/>
      <c r="G3394" s="185"/>
      <c r="H3394" s="185"/>
      <c r="I3394" s="185"/>
      <c r="J3394" s="185"/>
      <c r="K3394" s="185"/>
      <c r="L3394" s="187"/>
      <c r="M3394" s="188"/>
      <c r="N3394" s="188"/>
      <c r="O3394" s="208"/>
      <c r="P3394" s="208"/>
      <c r="Q3394" s="208"/>
      <c r="R3394" s="208"/>
    </row>
    <row r="3395">
      <c r="A3395" s="185"/>
      <c r="B3395" s="186"/>
      <c r="C3395" s="185"/>
      <c r="D3395" s="185"/>
      <c r="E3395" s="185"/>
      <c r="F3395" s="185"/>
      <c r="G3395" s="185"/>
      <c r="H3395" s="185"/>
      <c r="I3395" s="185"/>
      <c r="J3395" s="185"/>
      <c r="K3395" s="185"/>
      <c r="L3395" s="187"/>
      <c r="M3395" s="188"/>
      <c r="N3395" s="188"/>
      <c r="O3395" s="208"/>
      <c r="P3395" s="208"/>
      <c r="Q3395" s="208"/>
      <c r="R3395" s="208"/>
    </row>
    <row r="3396">
      <c r="A3396" s="185"/>
      <c r="B3396" s="186"/>
      <c r="C3396" s="185"/>
      <c r="D3396" s="185"/>
      <c r="E3396" s="185"/>
      <c r="F3396" s="185"/>
      <c r="G3396" s="185"/>
      <c r="H3396" s="185"/>
      <c r="I3396" s="185"/>
      <c r="J3396" s="185"/>
      <c r="K3396" s="185"/>
      <c r="L3396" s="187"/>
      <c r="M3396" s="188"/>
      <c r="N3396" s="188"/>
      <c r="O3396" s="208"/>
      <c r="P3396" s="208"/>
      <c r="Q3396" s="208"/>
      <c r="R3396" s="208"/>
    </row>
    <row r="3397">
      <c r="A3397" s="185"/>
      <c r="B3397" s="186"/>
      <c r="C3397" s="185"/>
      <c r="D3397" s="185"/>
      <c r="E3397" s="185"/>
      <c r="F3397" s="185"/>
      <c r="G3397" s="185"/>
      <c r="H3397" s="185"/>
      <c r="I3397" s="185"/>
      <c r="J3397" s="185"/>
      <c r="K3397" s="185"/>
      <c r="L3397" s="187"/>
      <c r="M3397" s="188"/>
      <c r="N3397" s="188"/>
      <c r="O3397" s="208"/>
      <c r="P3397" s="208"/>
      <c r="Q3397" s="208"/>
      <c r="R3397" s="208"/>
    </row>
    <row r="3398">
      <c r="A3398" s="185"/>
      <c r="B3398" s="186"/>
      <c r="C3398" s="185"/>
      <c r="D3398" s="185"/>
      <c r="E3398" s="185"/>
      <c r="F3398" s="185"/>
      <c r="G3398" s="185"/>
      <c r="H3398" s="185"/>
      <c r="I3398" s="185"/>
      <c r="J3398" s="185"/>
      <c r="K3398" s="185"/>
      <c r="L3398" s="187"/>
      <c r="M3398" s="188"/>
      <c r="N3398" s="188"/>
      <c r="O3398" s="208"/>
      <c r="P3398" s="208"/>
      <c r="Q3398" s="208"/>
      <c r="R3398" s="208"/>
    </row>
    <row r="3399">
      <c r="A3399" s="185"/>
      <c r="B3399" s="186"/>
      <c r="C3399" s="185"/>
      <c r="D3399" s="185"/>
      <c r="E3399" s="185"/>
      <c r="F3399" s="185"/>
      <c r="G3399" s="185"/>
      <c r="H3399" s="185"/>
      <c r="I3399" s="185"/>
      <c r="J3399" s="185"/>
      <c r="K3399" s="185"/>
      <c r="L3399" s="187"/>
      <c r="M3399" s="188"/>
      <c r="N3399" s="188"/>
      <c r="O3399" s="208"/>
      <c r="P3399" s="208"/>
      <c r="Q3399" s="208"/>
      <c r="R3399" s="208"/>
    </row>
    <row r="3400">
      <c r="A3400" s="185"/>
      <c r="B3400" s="186"/>
      <c r="C3400" s="185"/>
      <c r="D3400" s="185"/>
      <c r="E3400" s="185"/>
      <c r="F3400" s="185"/>
      <c r="G3400" s="185"/>
      <c r="H3400" s="185"/>
      <c r="I3400" s="185"/>
      <c r="J3400" s="185"/>
      <c r="K3400" s="185"/>
      <c r="L3400" s="187"/>
      <c r="M3400" s="188"/>
      <c r="N3400" s="188"/>
      <c r="O3400" s="208"/>
      <c r="P3400" s="208"/>
      <c r="Q3400" s="208"/>
      <c r="R3400" s="208"/>
    </row>
    <row r="3401">
      <c r="A3401" s="185"/>
      <c r="B3401" s="186"/>
      <c r="C3401" s="185"/>
      <c r="D3401" s="185"/>
      <c r="E3401" s="185"/>
      <c r="F3401" s="185"/>
      <c r="G3401" s="185"/>
      <c r="H3401" s="185"/>
      <c r="I3401" s="185"/>
      <c r="J3401" s="185"/>
      <c r="K3401" s="185"/>
      <c r="L3401" s="187"/>
      <c r="M3401" s="188"/>
      <c r="N3401" s="188"/>
      <c r="O3401" s="208"/>
      <c r="P3401" s="208"/>
      <c r="Q3401" s="208"/>
      <c r="R3401" s="208"/>
    </row>
    <row r="3402">
      <c r="A3402" s="185"/>
      <c r="B3402" s="186"/>
      <c r="C3402" s="185"/>
      <c r="D3402" s="185"/>
      <c r="E3402" s="185"/>
      <c r="F3402" s="185"/>
      <c r="G3402" s="185"/>
      <c r="H3402" s="185"/>
      <c r="I3402" s="185"/>
      <c r="J3402" s="185"/>
      <c r="K3402" s="185"/>
      <c r="L3402" s="187"/>
      <c r="M3402" s="188"/>
      <c r="N3402" s="188"/>
      <c r="O3402" s="208"/>
      <c r="P3402" s="208"/>
      <c r="Q3402" s="208"/>
      <c r="R3402" s="208"/>
    </row>
    <row r="3403">
      <c r="A3403" s="185"/>
      <c r="B3403" s="186"/>
      <c r="C3403" s="185"/>
      <c r="D3403" s="185"/>
      <c r="E3403" s="185"/>
      <c r="F3403" s="185"/>
      <c r="G3403" s="185"/>
      <c r="H3403" s="185"/>
      <c r="I3403" s="185"/>
      <c r="J3403" s="185"/>
      <c r="K3403" s="185"/>
      <c r="L3403" s="187"/>
      <c r="M3403" s="188"/>
      <c r="N3403" s="188"/>
      <c r="O3403" s="208"/>
      <c r="P3403" s="208"/>
      <c r="Q3403" s="208"/>
      <c r="R3403" s="208"/>
    </row>
    <row r="3404">
      <c r="A3404" s="185"/>
      <c r="B3404" s="186"/>
      <c r="C3404" s="185"/>
      <c r="D3404" s="185"/>
      <c r="E3404" s="185"/>
      <c r="F3404" s="185"/>
      <c r="G3404" s="185"/>
      <c r="H3404" s="185"/>
      <c r="I3404" s="185"/>
      <c r="J3404" s="185"/>
      <c r="K3404" s="185"/>
      <c r="L3404" s="187"/>
      <c r="M3404" s="188"/>
      <c r="N3404" s="188"/>
      <c r="O3404" s="208"/>
      <c r="P3404" s="208"/>
      <c r="Q3404" s="208"/>
      <c r="R3404" s="208"/>
    </row>
    <row r="3405">
      <c r="A3405" s="185"/>
      <c r="B3405" s="186"/>
      <c r="C3405" s="185"/>
      <c r="D3405" s="185"/>
      <c r="E3405" s="185"/>
      <c r="F3405" s="185"/>
      <c r="G3405" s="185"/>
      <c r="H3405" s="185"/>
      <c r="I3405" s="185"/>
      <c r="J3405" s="185"/>
      <c r="K3405" s="185"/>
      <c r="L3405" s="187"/>
      <c r="M3405" s="188"/>
      <c r="N3405" s="188"/>
      <c r="O3405" s="208"/>
      <c r="P3405" s="208"/>
      <c r="Q3405" s="208"/>
      <c r="R3405" s="208"/>
    </row>
    <row r="3406">
      <c r="A3406" s="185"/>
      <c r="B3406" s="186"/>
      <c r="C3406" s="185"/>
      <c r="D3406" s="185"/>
      <c r="E3406" s="185"/>
      <c r="F3406" s="185"/>
      <c r="G3406" s="185"/>
      <c r="H3406" s="185"/>
      <c r="I3406" s="185"/>
      <c r="J3406" s="185"/>
      <c r="K3406" s="185"/>
      <c r="L3406" s="187"/>
      <c r="M3406" s="188"/>
      <c r="N3406" s="188"/>
      <c r="O3406" s="208"/>
      <c r="P3406" s="208"/>
      <c r="Q3406" s="208"/>
      <c r="R3406" s="208"/>
    </row>
    <row r="3407">
      <c r="A3407" s="185"/>
      <c r="B3407" s="186"/>
      <c r="C3407" s="185"/>
      <c r="D3407" s="185"/>
      <c r="E3407" s="185"/>
      <c r="F3407" s="185"/>
      <c r="G3407" s="185"/>
      <c r="H3407" s="185"/>
      <c r="I3407" s="185"/>
      <c r="J3407" s="185"/>
      <c r="K3407" s="185"/>
      <c r="L3407" s="187"/>
      <c r="M3407" s="188"/>
      <c r="N3407" s="188"/>
      <c r="O3407" s="208"/>
      <c r="P3407" s="208"/>
      <c r="Q3407" s="208"/>
      <c r="R3407" s="208"/>
    </row>
    <row r="3408">
      <c r="A3408" s="185"/>
      <c r="B3408" s="186"/>
      <c r="C3408" s="185"/>
      <c r="D3408" s="185"/>
      <c r="E3408" s="185"/>
      <c r="F3408" s="185"/>
      <c r="G3408" s="185"/>
      <c r="H3408" s="185"/>
      <c r="I3408" s="185"/>
      <c r="J3408" s="185"/>
      <c r="K3408" s="185"/>
      <c r="L3408" s="187"/>
      <c r="M3408" s="188"/>
      <c r="N3408" s="188"/>
      <c r="O3408" s="208"/>
      <c r="P3408" s="208"/>
      <c r="Q3408" s="208"/>
      <c r="R3408" s="208"/>
    </row>
    <row r="3409">
      <c r="A3409" s="185"/>
      <c r="B3409" s="186"/>
      <c r="C3409" s="185"/>
      <c r="D3409" s="185"/>
      <c r="E3409" s="185"/>
      <c r="F3409" s="185"/>
      <c r="G3409" s="185"/>
      <c r="H3409" s="185"/>
      <c r="I3409" s="185"/>
      <c r="J3409" s="185"/>
      <c r="K3409" s="185"/>
      <c r="L3409" s="187"/>
      <c r="M3409" s="188"/>
      <c r="N3409" s="188"/>
      <c r="O3409" s="208"/>
      <c r="P3409" s="208"/>
      <c r="Q3409" s="208"/>
      <c r="R3409" s="208"/>
    </row>
    <row r="3410">
      <c r="A3410" s="185"/>
      <c r="B3410" s="186"/>
      <c r="C3410" s="185"/>
      <c r="D3410" s="185"/>
      <c r="E3410" s="185"/>
      <c r="F3410" s="185"/>
      <c r="G3410" s="185"/>
      <c r="H3410" s="185"/>
      <c r="I3410" s="185"/>
      <c r="J3410" s="185"/>
      <c r="K3410" s="185"/>
      <c r="L3410" s="187"/>
      <c r="M3410" s="188"/>
      <c r="N3410" s="188"/>
      <c r="O3410" s="208"/>
      <c r="P3410" s="208"/>
      <c r="Q3410" s="208"/>
      <c r="R3410" s="208"/>
    </row>
    <row r="3411">
      <c r="A3411" s="185"/>
      <c r="B3411" s="186"/>
      <c r="C3411" s="185"/>
      <c r="D3411" s="185"/>
      <c r="E3411" s="185"/>
      <c r="F3411" s="185"/>
      <c r="G3411" s="185"/>
      <c r="H3411" s="185"/>
      <c r="I3411" s="185"/>
      <c r="J3411" s="185"/>
      <c r="K3411" s="185"/>
      <c r="L3411" s="187"/>
      <c r="M3411" s="188"/>
      <c r="N3411" s="188"/>
      <c r="O3411" s="208"/>
      <c r="P3411" s="208"/>
      <c r="Q3411" s="208"/>
      <c r="R3411" s="208"/>
    </row>
    <row r="3412">
      <c r="A3412" s="185"/>
      <c r="B3412" s="186"/>
      <c r="C3412" s="185"/>
      <c r="D3412" s="185"/>
      <c r="E3412" s="185"/>
      <c r="F3412" s="185"/>
      <c r="G3412" s="185"/>
      <c r="H3412" s="185"/>
      <c r="I3412" s="185"/>
      <c r="J3412" s="185"/>
      <c r="K3412" s="185"/>
      <c r="L3412" s="187"/>
      <c r="M3412" s="188"/>
      <c r="N3412" s="188"/>
      <c r="O3412" s="208"/>
      <c r="P3412" s="208"/>
      <c r="Q3412" s="208"/>
      <c r="R3412" s="208"/>
    </row>
    <row r="3413">
      <c r="A3413" s="185"/>
      <c r="B3413" s="186"/>
      <c r="C3413" s="185"/>
      <c r="D3413" s="185"/>
      <c r="E3413" s="185"/>
      <c r="F3413" s="185"/>
      <c r="G3413" s="185"/>
      <c r="H3413" s="185"/>
      <c r="I3413" s="185"/>
      <c r="J3413" s="185"/>
      <c r="K3413" s="185"/>
      <c r="L3413" s="187"/>
      <c r="M3413" s="188"/>
      <c r="N3413" s="188"/>
      <c r="O3413" s="208"/>
      <c r="P3413" s="208"/>
      <c r="Q3413" s="208"/>
      <c r="R3413" s="208"/>
    </row>
    <row r="3414">
      <c r="A3414" s="185"/>
      <c r="B3414" s="186"/>
      <c r="C3414" s="185"/>
      <c r="D3414" s="185"/>
      <c r="E3414" s="185"/>
      <c r="F3414" s="185"/>
      <c r="G3414" s="185"/>
      <c r="H3414" s="185"/>
      <c r="I3414" s="185"/>
      <c r="J3414" s="185"/>
      <c r="K3414" s="185"/>
      <c r="L3414" s="187"/>
      <c r="M3414" s="188"/>
      <c r="N3414" s="188"/>
      <c r="O3414" s="208"/>
      <c r="P3414" s="208"/>
      <c r="Q3414" s="208"/>
      <c r="R3414" s="208"/>
    </row>
    <row r="3415">
      <c r="A3415" s="185"/>
      <c r="B3415" s="186"/>
      <c r="C3415" s="185"/>
      <c r="D3415" s="185"/>
      <c r="E3415" s="185"/>
      <c r="F3415" s="185"/>
      <c r="G3415" s="185"/>
      <c r="H3415" s="185"/>
      <c r="I3415" s="185"/>
      <c r="J3415" s="185"/>
      <c r="K3415" s="185"/>
      <c r="L3415" s="187"/>
      <c r="M3415" s="188"/>
      <c r="N3415" s="188"/>
      <c r="O3415" s="208"/>
      <c r="P3415" s="208"/>
      <c r="Q3415" s="208"/>
      <c r="R3415" s="208"/>
    </row>
    <row r="3416">
      <c r="A3416" s="185"/>
      <c r="B3416" s="186"/>
      <c r="C3416" s="185"/>
      <c r="D3416" s="185"/>
      <c r="E3416" s="185"/>
      <c r="F3416" s="185"/>
      <c r="G3416" s="185"/>
      <c r="H3416" s="185"/>
      <c r="I3416" s="185"/>
      <c r="J3416" s="185"/>
      <c r="K3416" s="185"/>
      <c r="L3416" s="187"/>
      <c r="M3416" s="188"/>
      <c r="N3416" s="188"/>
      <c r="O3416" s="208"/>
      <c r="P3416" s="208"/>
      <c r="Q3416" s="208"/>
      <c r="R3416" s="208"/>
    </row>
    <row r="3417">
      <c r="A3417" s="185"/>
      <c r="B3417" s="186"/>
      <c r="C3417" s="185"/>
      <c r="D3417" s="185"/>
      <c r="E3417" s="185"/>
      <c r="F3417" s="185"/>
      <c r="G3417" s="185"/>
      <c r="H3417" s="185"/>
      <c r="I3417" s="185"/>
      <c r="J3417" s="185"/>
      <c r="K3417" s="185"/>
      <c r="L3417" s="187"/>
      <c r="M3417" s="188"/>
      <c r="N3417" s="188"/>
      <c r="O3417" s="208"/>
      <c r="P3417" s="208"/>
      <c r="Q3417" s="208"/>
      <c r="R3417" s="208"/>
    </row>
    <row r="3418">
      <c r="A3418" s="185"/>
      <c r="B3418" s="186"/>
      <c r="C3418" s="185"/>
      <c r="D3418" s="185"/>
      <c r="E3418" s="185"/>
      <c r="F3418" s="185"/>
      <c r="G3418" s="185"/>
      <c r="H3418" s="185"/>
      <c r="I3418" s="185"/>
      <c r="J3418" s="185"/>
      <c r="K3418" s="185"/>
      <c r="L3418" s="187"/>
      <c r="M3418" s="188"/>
      <c r="N3418" s="188"/>
      <c r="O3418" s="208"/>
      <c r="P3418" s="208"/>
      <c r="Q3418" s="208"/>
      <c r="R3418" s="208"/>
    </row>
    <row r="3419">
      <c r="A3419" s="185"/>
      <c r="B3419" s="186"/>
      <c r="C3419" s="185"/>
      <c r="D3419" s="185"/>
      <c r="E3419" s="185"/>
      <c r="F3419" s="185"/>
      <c r="G3419" s="185"/>
      <c r="H3419" s="185"/>
      <c r="I3419" s="185"/>
      <c r="J3419" s="185"/>
      <c r="K3419" s="185"/>
      <c r="L3419" s="187"/>
      <c r="M3419" s="188"/>
      <c r="N3419" s="188"/>
      <c r="O3419" s="208"/>
      <c r="P3419" s="208"/>
      <c r="Q3419" s="208"/>
      <c r="R3419" s="208"/>
    </row>
    <row r="3420">
      <c r="A3420" s="185"/>
      <c r="B3420" s="186"/>
      <c r="C3420" s="185"/>
      <c r="D3420" s="185"/>
      <c r="E3420" s="185"/>
      <c r="F3420" s="185"/>
      <c r="G3420" s="185"/>
      <c r="H3420" s="185"/>
      <c r="I3420" s="185"/>
      <c r="J3420" s="185"/>
      <c r="K3420" s="185"/>
      <c r="L3420" s="187"/>
      <c r="M3420" s="188"/>
      <c r="N3420" s="188"/>
      <c r="O3420" s="208"/>
      <c r="P3420" s="208"/>
      <c r="Q3420" s="208"/>
      <c r="R3420" s="208"/>
    </row>
    <row r="3421">
      <c r="A3421" s="185"/>
      <c r="B3421" s="186"/>
      <c r="C3421" s="185"/>
      <c r="D3421" s="185"/>
      <c r="E3421" s="185"/>
      <c r="F3421" s="185"/>
      <c r="G3421" s="185"/>
      <c r="H3421" s="185"/>
      <c r="I3421" s="185"/>
      <c r="J3421" s="185"/>
      <c r="K3421" s="185"/>
      <c r="L3421" s="187"/>
      <c r="M3421" s="188"/>
      <c r="N3421" s="188"/>
      <c r="O3421" s="208"/>
      <c r="P3421" s="208"/>
      <c r="Q3421" s="208"/>
      <c r="R3421" s="208"/>
    </row>
    <row r="3422">
      <c r="A3422" s="185"/>
      <c r="B3422" s="186"/>
      <c r="C3422" s="185"/>
      <c r="D3422" s="185"/>
      <c r="E3422" s="185"/>
      <c r="F3422" s="185"/>
      <c r="G3422" s="185"/>
      <c r="H3422" s="185"/>
      <c r="I3422" s="185"/>
      <c r="J3422" s="185"/>
      <c r="K3422" s="185"/>
      <c r="L3422" s="187"/>
      <c r="M3422" s="188"/>
      <c r="N3422" s="188"/>
      <c r="O3422" s="208"/>
      <c r="P3422" s="208"/>
      <c r="Q3422" s="208"/>
      <c r="R3422" s="208"/>
    </row>
    <row r="3423">
      <c r="A3423" s="185"/>
      <c r="B3423" s="186"/>
      <c r="C3423" s="185"/>
      <c r="D3423" s="185"/>
      <c r="E3423" s="185"/>
      <c r="F3423" s="185"/>
      <c r="G3423" s="185"/>
      <c r="H3423" s="185"/>
      <c r="I3423" s="185"/>
      <c r="J3423" s="185"/>
      <c r="K3423" s="185"/>
      <c r="L3423" s="187"/>
      <c r="M3423" s="188"/>
      <c r="N3423" s="188"/>
      <c r="O3423" s="208"/>
      <c r="P3423" s="208"/>
      <c r="Q3423" s="208"/>
      <c r="R3423" s="208"/>
    </row>
    <row r="3424">
      <c r="A3424" s="185"/>
      <c r="B3424" s="186"/>
      <c r="C3424" s="185"/>
      <c r="D3424" s="185"/>
      <c r="E3424" s="185"/>
      <c r="F3424" s="185"/>
      <c r="G3424" s="185"/>
      <c r="H3424" s="185"/>
      <c r="I3424" s="185"/>
      <c r="J3424" s="185"/>
      <c r="K3424" s="185"/>
      <c r="L3424" s="187"/>
      <c r="M3424" s="188"/>
      <c r="N3424" s="188"/>
      <c r="O3424" s="208"/>
      <c r="P3424" s="208"/>
      <c r="Q3424" s="208"/>
      <c r="R3424" s="208"/>
    </row>
    <row r="3425">
      <c r="A3425" s="185"/>
      <c r="B3425" s="186"/>
      <c r="C3425" s="185"/>
      <c r="D3425" s="185"/>
      <c r="E3425" s="185"/>
      <c r="F3425" s="185"/>
      <c r="G3425" s="185"/>
      <c r="H3425" s="185"/>
      <c r="I3425" s="185"/>
      <c r="J3425" s="185"/>
      <c r="K3425" s="185"/>
      <c r="L3425" s="187"/>
      <c r="M3425" s="188"/>
      <c r="N3425" s="188"/>
      <c r="O3425" s="208"/>
      <c r="P3425" s="208"/>
      <c r="Q3425" s="208"/>
      <c r="R3425" s="208"/>
    </row>
    <row r="3426">
      <c r="A3426" s="185"/>
      <c r="B3426" s="186"/>
      <c r="C3426" s="185"/>
      <c r="D3426" s="185"/>
      <c r="E3426" s="185"/>
      <c r="F3426" s="185"/>
      <c r="G3426" s="185"/>
      <c r="H3426" s="185"/>
      <c r="I3426" s="185"/>
      <c r="J3426" s="185"/>
      <c r="K3426" s="185"/>
      <c r="L3426" s="187"/>
      <c r="M3426" s="188"/>
      <c r="N3426" s="188"/>
      <c r="O3426" s="208"/>
      <c r="P3426" s="208"/>
      <c r="Q3426" s="208"/>
      <c r="R3426" s="208"/>
    </row>
    <row r="3427">
      <c r="A3427" s="185"/>
      <c r="B3427" s="186"/>
      <c r="C3427" s="185"/>
      <c r="D3427" s="185"/>
      <c r="E3427" s="185"/>
      <c r="F3427" s="185"/>
      <c r="G3427" s="185"/>
      <c r="H3427" s="185"/>
      <c r="I3427" s="185"/>
      <c r="J3427" s="185"/>
      <c r="K3427" s="185"/>
      <c r="L3427" s="187"/>
      <c r="M3427" s="188"/>
      <c r="N3427" s="188"/>
      <c r="O3427" s="208"/>
      <c r="P3427" s="208"/>
      <c r="Q3427" s="208"/>
      <c r="R3427" s="208"/>
    </row>
    <row r="3428">
      <c r="A3428" s="185"/>
      <c r="B3428" s="186"/>
      <c r="C3428" s="185"/>
      <c r="D3428" s="185"/>
      <c r="E3428" s="185"/>
      <c r="F3428" s="185"/>
      <c r="G3428" s="185"/>
      <c r="H3428" s="185"/>
      <c r="I3428" s="185"/>
      <c r="J3428" s="185"/>
      <c r="K3428" s="185"/>
      <c r="L3428" s="187"/>
      <c r="M3428" s="188"/>
      <c r="N3428" s="188"/>
      <c r="O3428" s="208"/>
      <c r="P3428" s="208"/>
      <c r="Q3428" s="208"/>
      <c r="R3428" s="208"/>
    </row>
    <row r="3429">
      <c r="A3429" s="185"/>
      <c r="B3429" s="186"/>
      <c r="C3429" s="185"/>
      <c r="D3429" s="185"/>
      <c r="E3429" s="185"/>
      <c r="F3429" s="185"/>
      <c r="G3429" s="185"/>
      <c r="H3429" s="185"/>
      <c r="I3429" s="185"/>
      <c r="J3429" s="185"/>
      <c r="K3429" s="185"/>
      <c r="L3429" s="187"/>
      <c r="M3429" s="188"/>
      <c r="N3429" s="188"/>
      <c r="O3429" s="208"/>
      <c r="P3429" s="208"/>
      <c r="Q3429" s="208"/>
      <c r="R3429" s="208"/>
    </row>
    <row r="3430">
      <c r="A3430" s="185"/>
      <c r="B3430" s="186"/>
      <c r="C3430" s="185"/>
      <c r="D3430" s="185"/>
      <c r="E3430" s="185"/>
      <c r="F3430" s="185"/>
      <c r="G3430" s="185"/>
      <c r="H3430" s="185"/>
      <c r="I3430" s="185"/>
      <c r="J3430" s="185"/>
      <c r="K3430" s="185"/>
      <c r="L3430" s="187"/>
      <c r="M3430" s="188"/>
      <c r="N3430" s="188"/>
      <c r="O3430" s="208"/>
      <c r="P3430" s="208"/>
      <c r="Q3430" s="208"/>
      <c r="R3430" s="208"/>
    </row>
    <row r="3431">
      <c r="A3431" s="185"/>
      <c r="B3431" s="186"/>
      <c r="C3431" s="185"/>
      <c r="D3431" s="185"/>
      <c r="E3431" s="185"/>
      <c r="F3431" s="185"/>
      <c r="G3431" s="185"/>
      <c r="H3431" s="185"/>
      <c r="I3431" s="185"/>
      <c r="J3431" s="185"/>
      <c r="K3431" s="185"/>
      <c r="L3431" s="187"/>
      <c r="M3431" s="188"/>
      <c r="N3431" s="188"/>
      <c r="O3431" s="208"/>
      <c r="P3431" s="208"/>
      <c r="Q3431" s="208"/>
      <c r="R3431" s="208"/>
    </row>
    <row r="3432">
      <c r="A3432" s="185"/>
      <c r="B3432" s="186"/>
      <c r="C3432" s="185"/>
      <c r="D3432" s="185"/>
      <c r="E3432" s="185"/>
      <c r="F3432" s="185"/>
      <c r="G3432" s="185"/>
      <c r="H3432" s="185"/>
      <c r="I3432" s="185"/>
      <c r="J3432" s="185"/>
      <c r="K3432" s="185"/>
      <c r="L3432" s="187"/>
      <c r="M3432" s="188"/>
      <c r="N3432" s="188"/>
      <c r="O3432" s="208"/>
      <c r="P3432" s="208"/>
      <c r="Q3432" s="208"/>
      <c r="R3432" s="208"/>
    </row>
    <row r="3433">
      <c r="A3433" s="185"/>
      <c r="B3433" s="186"/>
      <c r="C3433" s="185"/>
      <c r="D3433" s="185"/>
      <c r="E3433" s="185"/>
      <c r="F3433" s="185"/>
      <c r="G3433" s="185"/>
      <c r="H3433" s="185"/>
      <c r="I3433" s="185"/>
      <c r="J3433" s="185"/>
      <c r="K3433" s="185"/>
      <c r="L3433" s="187"/>
      <c r="M3433" s="188"/>
      <c r="N3433" s="188"/>
      <c r="O3433" s="208"/>
      <c r="P3433" s="208"/>
      <c r="Q3433" s="208"/>
      <c r="R3433" s="208"/>
    </row>
    <row r="3434">
      <c r="A3434" s="185"/>
      <c r="B3434" s="186"/>
      <c r="C3434" s="185"/>
      <c r="D3434" s="185"/>
      <c r="E3434" s="185"/>
      <c r="F3434" s="185"/>
      <c r="G3434" s="185"/>
      <c r="H3434" s="185"/>
      <c r="I3434" s="185"/>
      <c r="J3434" s="185"/>
      <c r="K3434" s="185"/>
      <c r="L3434" s="187"/>
      <c r="M3434" s="188"/>
      <c r="N3434" s="188"/>
      <c r="O3434" s="208"/>
      <c r="P3434" s="208"/>
      <c r="Q3434" s="208"/>
      <c r="R3434" s="208"/>
    </row>
    <row r="3435">
      <c r="A3435" s="185"/>
      <c r="B3435" s="186"/>
      <c r="C3435" s="185"/>
      <c r="D3435" s="185"/>
      <c r="E3435" s="185"/>
      <c r="F3435" s="185"/>
      <c r="G3435" s="185"/>
      <c r="H3435" s="185"/>
      <c r="I3435" s="185"/>
      <c r="J3435" s="185"/>
      <c r="K3435" s="185"/>
      <c r="L3435" s="187"/>
      <c r="M3435" s="188"/>
      <c r="N3435" s="188"/>
      <c r="O3435" s="208"/>
      <c r="P3435" s="208"/>
      <c r="Q3435" s="208"/>
      <c r="R3435" s="208"/>
    </row>
    <row r="3436">
      <c r="A3436" s="185"/>
      <c r="B3436" s="186"/>
      <c r="C3436" s="185"/>
      <c r="D3436" s="185"/>
      <c r="E3436" s="185"/>
      <c r="F3436" s="185"/>
      <c r="G3436" s="185"/>
      <c r="H3436" s="185"/>
      <c r="I3436" s="185"/>
      <c r="J3436" s="185"/>
      <c r="K3436" s="185"/>
      <c r="L3436" s="187"/>
      <c r="M3436" s="188"/>
      <c r="N3436" s="188"/>
      <c r="O3436" s="208"/>
      <c r="P3436" s="208"/>
      <c r="Q3436" s="208"/>
      <c r="R3436" s="208"/>
    </row>
    <row r="3437">
      <c r="A3437" s="185"/>
      <c r="B3437" s="186"/>
      <c r="C3437" s="185"/>
      <c r="D3437" s="185"/>
      <c r="E3437" s="185"/>
      <c r="F3437" s="185"/>
      <c r="G3437" s="185"/>
      <c r="H3437" s="185"/>
      <c r="I3437" s="185"/>
      <c r="J3437" s="185"/>
      <c r="K3437" s="185"/>
      <c r="L3437" s="187"/>
      <c r="M3437" s="188"/>
      <c r="N3437" s="188"/>
      <c r="O3437" s="208"/>
      <c r="P3437" s="208"/>
      <c r="Q3437" s="208"/>
      <c r="R3437" s="208"/>
    </row>
    <row r="3438">
      <c r="A3438" s="185"/>
      <c r="B3438" s="186"/>
      <c r="C3438" s="185"/>
      <c r="D3438" s="185"/>
      <c r="E3438" s="185"/>
      <c r="F3438" s="185"/>
      <c r="G3438" s="185"/>
      <c r="H3438" s="185"/>
      <c r="I3438" s="185"/>
      <c r="J3438" s="185"/>
      <c r="K3438" s="185"/>
      <c r="L3438" s="187"/>
      <c r="M3438" s="188"/>
      <c r="N3438" s="188"/>
      <c r="O3438" s="208"/>
      <c r="P3438" s="208"/>
      <c r="Q3438" s="208"/>
      <c r="R3438" s="208"/>
    </row>
    <row r="3439">
      <c r="A3439" s="185"/>
      <c r="B3439" s="186"/>
      <c r="C3439" s="185"/>
      <c r="D3439" s="185"/>
      <c r="E3439" s="185"/>
      <c r="F3439" s="185"/>
      <c r="G3439" s="185"/>
      <c r="H3439" s="185"/>
      <c r="I3439" s="185"/>
      <c r="J3439" s="185"/>
      <c r="K3439" s="185"/>
      <c r="L3439" s="187"/>
      <c r="M3439" s="188"/>
      <c r="N3439" s="188"/>
      <c r="O3439" s="208"/>
      <c r="P3439" s="208"/>
      <c r="Q3439" s="208"/>
      <c r="R3439" s="208"/>
    </row>
    <row r="3440">
      <c r="A3440" s="185"/>
      <c r="B3440" s="186"/>
      <c r="C3440" s="185"/>
      <c r="D3440" s="185"/>
      <c r="E3440" s="185"/>
      <c r="F3440" s="185"/>
      <c r="G3440" s="185"/>
      <c r="H3440" s="185"/>
      <c r="I3440" s="185"/>
      <c r="J3440" s="185"/>
      <c r="K3440" s="185"/>
      <c r="L3440" s="187"/>
      <c r="M3440" s="188"/>
      <c r="N3440" s="188"/>
      <c r="O3440" s="208"/>
      <c r="P3440" s="208"/>
      <c r="Q3440" s="208"/>
      <c r="R3440" s="208"/>
    </row>
    <row r="3441">
      <c r="A3441" s="185"/>
      <c r="B3441" s="186"/>
      <c r="C3441" s="185"/>
      <c r="D3441" s="185"/>
      <c r="E3441" s="185"/>
      <c r="F3441" s="185"/>
      <c r="G3441" s="185"/>
      <c r="H3441" s="185"/>
      <c r="I3441" s="185"/>
      <c r="J3441" s="185"/>
      <c r="K3441" s="185"/>
      <c r="L3441" s="187"/>
      <c r="M3441" s="188"/>
      <c r="N3441" s="188"/>
      <c r="O3441" s="208"/>
      <c r="P3441" s="208"/>
      <c r="Q3441" s="208"/>
      <c r="R3441" s="208"/>
    </row>
    <row r="3442">
      <c r="A3442" s="185"/>
      <c r="B3442" s="186"/>
      <c r="C3442" s="185"/>
      <c r="D3442" s="185"/>
      <c r="E3442" s="185"/>
      <c r="F3442" s="185"/>
      <c r="G3442" s="185"/>
      <c r="H3442" s="185"/>
      <c r="I3442" s="185"/>
      <c r="J3442" s="185"/>
      <c r="K3442" s="185"/>
      <c r="L3442" s="187"/>
      <c r="M3442" s="188"/>
      <c r="N3442" s="188"/>
      <c r="O3442" s="208"/>
      <c r="P3442" s="208"/>
      <c r="Q3442" s="208"/>
      <c r="R3442" s="208"/>
    </row>
    <row r="3443">
      <c r="A3443" s="185"/>
      <c r="B3443" s="186"/>
      <c r="C3443" s="185"/>
      <c r="D3443" s="185"/>
      <c r="E3443" s="185"/>
      <c r="F3443" s="185"/>
      <c r="G3443" s="185"/>
      <c r="H3443" s="185"/>
      <c r="I3443" s="185"/>
      <c r="J3443" s="185"/>
      <c r="K3443" s="185"/>
      <c r="L3443" s="187"/>
      <c r="M3443" s="188"/>
      <c r="N3443" s="188"/>
      <c r="O3443" s="208"/>
      <c r="P3443" s="208"/>
      <c r="Q3443" s="208"/>
      <c r="R3443" s="208"/>
    </row>
    <row r="3444">
      <c r="A3444" s="185"/>
      <c r="B3444" s="186"/>
      <c r="C3444" s="185"/>
      <c r="D3444" s="185"/>
      <c r="E3444" s="185"/>
      <c r="F3444" s="185"/>
      <c r="G3444" s="185"/>
      <c r="H3444" s="185"/>
      <c r="I3444" s="185"/>
      <c r="J3444" s="185"/>
      <c r="K3444" s="185"/>
      <c r="L3444" s="187"/>
      <c r="M3444" s="188"/>
      <c r="N3444" s="188"/>
      <c r="O3444" s="208"/>
      <c r="P3444" s="208"/>
      <c r="Q3444" s="208"/>
      <c r="R3444" s="208"/>
    </row>
    <row r="3445">
      <c r="A3445" s="185"/>
      <c r="B3445" s="186"/>
      <c r="C3445" s="185"/>
      <c r="D3445" s="185"/>
      <c r="E3445" s="185"/>
      <c r="F3445" s="185"/>
      <c r="G3445" s="185"/>
      <c r="H3445" s="185"/>
      <c r="I3445" s="185"/>
      <c r="J3445" s="185"/>
      <c r="K3445" s="185"/>
      <c r="L3445" s="187"/>
      <c r="M3445" s="188"/>
      <c r="N3445" s="188"/>
      <c r="O3445" s="208"/>
      <c r="P3445" s="208"/>
      <c r="Q3445" s="208"/>
      <c r="R3445" s="208"/>
    </row>
    <row r="3446">
      <c r="A3446" s="185"/>
      <c r="B3446" s="186"/>
      <c r="C3446" s="185"/>
      <c r="D3446" s="185"/>
      <c r="E3446" s="185"/>
      <c r="F3446" s="185"/>
      <c r="G3446" s="185"/>
      <c r="H3446" s="185"/>
      <c r="I3446" s="185"/>
      <c r="J3446" s="185"/>
      <c r="K3446" s="185"/>
      <c r="L3446" s="187"/>
      <c r="M3446" s="188"/>
      <c r="N3446" s="188"/>
      <c r="O3446" s="208"/>
      <c r="P3446" s="208"/>
      <c r="Q3446" s="208"/>
      <c r="R3446" s="208"/>
    </row>
    <row r="3447">
      <c r="A3447" s="185"/>
      <c r="B3447" s="186"/>
      <c r="C3447" s="185"/>
      <c r="D3447" s="185"/>
      <c r="E3447" s="185"/>
      <c r="F3447" s="185"/>
      <c r="G3447" s="185"/>
      <c r="H3447" s="185"/>
      <c r="I3447" s="185"/>
      <c r="J3447" s="185"/>
      <c r="K3447" s="185"/>
      <c r="L3447" s="187"/>
      <c r="M3447" s="188"/>
      <c r="N3447" s="188"/>
      <c r="O3447" s="208"/>
      <c r="P3447" s="208"/>
      <c r="Q3447" s="208"/>
      <c r="R3447" s="208"/>
    </row>
    <row r="3448">
      <c r="A3448" s="185"/>
      <c r="B3448" s="186"/>
      <c r="C3448" s="185"/>
      <c r="D3448" s="185"/>
      <c r="E3448" s="185"/>
      <c r="F3448" s="185"/>
      <c r="G3448" s="185"/>
      <c r="H3448" s="185"/>
      <c r="I3448" s="185"/>
      <c r="J3448" s="185"/>
      <c r="K3448" s="185"/>
      <c r="L3448" s="187"/>
      <c r="M3448" s="188"/>
      <c r="N3448" s="188"/>
      <c r="O3448" s="208"/>
      <c r="P3448" s="208"/>
      <c r="Q3448" s="208"/>
      <c r="R3448" s="208"/>
    </row>
    <row r="3449">
      <c r="A3449" s="185"/>
      <c r="B3449" s="186"/>
      <c r="C3449" s="185"/>
      <c r="D3449" s="185"/>
      <c r="E3449" s="185"/>
      <c r="F3449" s="185"/>
      <c r="G3449" s="185"/>
      <c r="H3449" s="185"/>
      <c r="I3449" s="185"/>
      <c r="J3449" s="185"/>
      <c r="K3449" s="185"/>
      <c r="L3449" s="187"/>
      <c r="M3449" s="188"/>
      <c r="N3449" s="188"/>
      <c r="O3449" s="208"/>
      <c r="P3449" s="208"/>
      <c r="Q3449" s="208"/>
      <c r="R3449" s="208"/>
    </row>
    <row r="3450">
      <c r="A3450" s="185"/>
      <c r="B3450" s="186"/>
      <c r="C3450" s="185"/>
      <c r="D3450" s="185"/>
      <c r="E3450" s="185"/>
      <c r="F3450" s="185"/>
      <c r="G3450" s="185"/>
      <c r="H3450" s="185"/>
      <c r="I3450" s="185"/>
      <c r="J3450" s="185"/>
      <c r="K3450" s="185"/>
      <c r="L3450" s="187"/>
      <c r="M3450" s="188"/>
      <c r="N3450" s="188"/>
      <c r="O3450" s="208"/>
      <c r="P3450" s="208"/>
      <c r="Q3450" s="208"/>
      <c r="R3450" s="208"/>
    </row>
    <row r="3451">
      <c r="A3451" s="185"/>
      <c r="B3451" s="186"/>
      <c r="C3451" s="185"/>
      <c r="D3451" s="185"/>
      <c r="E3451" s="185"/>
      <c r="F3451" s="185"/>
      <c r="G3451" s="185"/>
      <c r="H3451" s="185"/>
      <c r="I3451" s="185"/>
      <c r="J3451" s="185"/>
      <c r="K3451" s="185"/>
      <c r="L3451" s="187"/>
      <c r="M3451" s="188"/>
      <c r="N3451" s="188"/>
      <c r="O3451" s="208"/>
      <c r="P3451" s="208"/>
      <c r="Q3451" s="208"/>
      <c r="R3451" s="208"/>
    </row>
    <row r="3452">
      <c r="A3452" s="185"/>
      <c r="B3452" s="186"/>
      <c r="C3452" s="185"/>
      <c r="D3452" s="185"/>
      <c r="E3452" s="185"/>
      <c r="F3452" s="185"/>
      <c r="G3452" s="185"/>
      <c r="H3452" s="185"/>
      <c r="I3452" s="185"/>
      <c r="J3452" s="185"/>
      <c r="K3452" s="185"/>
      <c r="L3452" s="187"/>
      <c r="M3452" s="188"/>
      <c r="N3452" s="188"/>
      <c r="O3452" s="208"/>
      <c r="P3452" s="208"/>
      <c r="Q3452" s="208"/>
      <c r="R3452" s="208"/>
    </row>
    <row r="3453">
      <c r="A3453" s="185"/>
      <c r="B3453" s="186"/>
      <c r="C3453" s="185"/>
      <c r="D3453" s="185"/>
      <c r="E3453" s="185"/>
      <c r="F3453" s="185"/>
      <c r="G3453" s="185"/>
      <c r="H3453" s="185"/>
      <c r="I3453" s="185"/>
      <c r="J3453" s="185"/>
      <c r="K3453" s="185"/>
      <c r="L3453" s="187"/>
      <c r="M3453" s="188"/>
      <c r="N3453" s="188"/>
      <c r="O3453" s="208"/>
      <c r="P3453" s="208"/>
      <c r="Q3453" s="208"/>
      <c r="R3453" s="208"/>
    </row>
    <row r="3454">
      <c r="A3454" s="185"/>
      <c r="B3454" s="186"/>
      <c r="C3454" s="185"/>
      <c r="D3454" s="185"/>
      <c r="E3454" s="185"/>
      <c r="F3454" s="185"/>
      <c r="G3454" s="185"/>
      <c r="H3454" s="185"/>
      <c r="I3454" s="185"/>
      <c r="J3454" s="185"/>
      <c r="K3454" s="185"/>
      <c r="L3454" s="187"/>
      <c r="M3454" s="188"/>
      <c r="N3454" s="188"/>
      <c r="O3454" s="208"/>
      <c r="P3454" s="208"/>
      <c r="Q3454" s="208"/>
      <c r="R3454" s="208"/>
    </row>
    <row r="3455">
      <c r="A3455" s="185"/>
      <c r="B3455" s="186"/>
      <c r="C3455" s="185"/>
      <c r="D3455" s="185"/>
      <c r="E3455" s="185"/>
      <c r="F3455" s="185"/>
      <c r="G3455" s="185"/>
      <c r="H3455" s="185"/>
      <c r="I3455" s="185"/>
      <c r="J3455" s="185"/>
      <c r="K3455" s="185"/>
      <c r="L3455" s="187"/>
      <c r="M3455" s="188"/>
      <c r="N3455" s="188"/>
      <c r="O3455" s="208"/>
      <c r="P3455" s="208"/>
      <c r="Q3455" s="208"/>
      <c r="R3455" s="208"/>
    </row>
    <row r="3456">
      <c r="A3456" s="185"/>
      <c r="B3456" s="186"/>
      <c r="C3456" s="185"/>
      <c r="D3456" s="185"/>
      <c r="E3456" s="185"/>
      <c r="F3456" s="185"/>
      <c r="G3456" s="185"/>
      <c r="H3456" s="185"/>
      <c r="I3456" s="185"/>
      <c r="J3456" s="185"/>
      <c r="K3456" s="185"/>
      <c r="L3456" s="187"/>
      <c r="M3456" s="188"/>
      <c r="N3456" s="188"/>
      <c r="O3456" s="208"/>
      <c r="P3456" s="208"/>
      <c r="Q3456" s="208"/>
      <c r="R3456" s="208"/>
    </row>
    <row r="3457">
      <c r="A3457" s="185"/>
      <c r="B3457" s="186"/>
      <c r="C3457" s="185"/>
      <c r="D3457" s="185"/>
      <c r="E3457" s="185"/>
      <c r="F3457" s="185"/>
      <c r="G3457" s="185"/>
      <c r="H3457" s="185"/>
      <c r="I3457" s="185"/>
      <c r="J3457" s="185"/>
      <c r="K3457" s="185"/>
      <c r="L3457" s="187"/>
      <c r="M3457" s="188"/>
      <c r="N3457" s="188"/>
      <c r="O3457" s="208"/>
      <c r="P3457" s="208"/>
      <c r="Q3457" s="208"/>
      <c r="R3457" s="208"/>
    </row>
    <row r="3458">
      <c r="A3458" s="185"/>
      <c r="B3458" s="186"/>
      <c r="C3458" s="185"/>
      <c r="D3458" s="185"/>
      <c r="E3458" s="185"/>
      <c r="F3458" s="185"/>
      <c r="G3458" s="185"/>
      <c r="H3458" s="185"/>
      <c r="I3458" s="185"/>
      <c r="J3458" s="185"/>
      <c r="K3458" s="185"/>
      <c r="L3458" s="187"/>
      <c r="M3458" s="188"/>
      <c r="N3458" s="188"/>
      <c r="O3458" s="208"/>
      <c r="P3458" s="208"/>
      <c r="Q3458" s="208"/>
      <c r="R3458" s="208"/>
    </row>
    <row r="3459">
      <c r="A3459" s="185"/>
      <c r="B3459" s="186"/>
      <c r="C3459" s="185"/>
      <c r="D3459" s="185"/>
      <c r="E3459" s="185"/>
      <c r="F3459" s="185"/>
      <c r="G3459" s="185"/>
      <c r="H3459" s="185"/>
      <c r="I3459" s="185"/>
      <c r="J3459" s="185"/>
      <c r="K3459" s="185"/>
      <c r="L3459" s="187"/>
      <c r="M3459" s="188"/>
      <c r="N3459" s="188"/>
      <c r="O3459" s="208"/>
      <c r="P3459" s="208"/>
      <c r="Q3459" s="208"/>
      <c r="R3459" s="208"/>
    </row>
    <row r="3460">
      <c r="A3460" s="185"/>
      <c r="B3460" s="186"/>
      <c r="C3460" s="185"/>
      <c r="D3460" s="185"/>
      <c r="E3460" s="185"/>
      <c r="F3460" s="185"/>
      <c r="G3460" s="185"/>
      <c r="H3460" s="185"/>
      <c r="I3460" s="185"/>
      <c r="J3460" s="185"/>
      <c r="K3460" s="185"/>
      <c r="L3460" s="187"/>
      <c r="M3460" s="188"/>
      <c r="N3460" s="188"/>
      <c r="O3460" s="208"/>
      <c r="P3460" s="208"/>
      <c r="Q3460" s="208"/>
      <c r="R3460" s="208"/>
    </row>
    <row r="3461">
      <c r="A3461" s="185"/>
      <c r="B3461" s="186"/>
      <c r="C3461" s="185"/>
      <c r="D3461" s="185"/>
      <c r="E3461" s="185"/>
      <c r="F3461" s="185"/>
      <c r="G3461" s="185"/>
      <c r="H3461" s="185"/>
      <c r="I3461" s="185"/>
      <c r="J3461" s="185"/>
      <c r="K3461" s="185"/>
      <c r="L3461" s="187"/>
      <c r="M3461" s="188"/>
      <c r="N3461" s="188"/>
      <c r="O3461" s="208"/>
      <c r="P3461" s="208"/>
      <c r="Q3461" s="208"/>
      <c r="R3461" s="208"/>
    </row>
    <row r="3462">
      <c r="A3462" s="185"/>
      <c r="B3462" s="186"/>
      <c r="C3462" s="185"/>
      <c r="D3462" s="185"/>
      <c r="E3462" s="185"/>
      <c r="F3462" s="185"/>
      <c r="G3462" s="185"/>
      <c r="H3462" s="185"/>
      <c r="I3462" s="185"/>
      <c r="J3462" s="185"/>
      <c r="K3462" s="185"/>
      <c r="L3462" s="187"/>
      <c r="M3462" s="188"/>
      <c r="N3462" s="188"/>
      <c r="O3462" s="208"/>
      <c r="P3462" s="208"/>
      <c r="Q3462" s="208"/>
      <c r="R3462" s="208"/>
    </row>
    <row r="3463">
      <c r="A3463" s="185"/>
      <c r="B3463" s="186"/>
      <c r="C3463" s="185"/>
      <c r="D3463" s="185"/>
      <c r="E3463" s="185"/>
      <c r="F3463" s="185"/>
      <c r="G3463" s="185"/>
      <c r="H3463" s="185"/>
      <c r="I3463" s="185"/>
      <c r="J3463" s="185"/>
      <c r="K3463" s="185"/>
      <c r="L3463" s="187"/>
      <c r="M3463" s="188"/>
      <c r="N3463" s="188"/>
      <c r="O3463" s="208"/>
      <c r="P3463" s="208"/>
      <c r="Q3463" s="208"/>
      <c r="R3463" s="208"/>
    </row>
    <row r="3464">
      <c r="A3464" s="185"/>
      <c r="B3464" s="186"/>
      <c r="C3464" s="185"/>
      <c r="D3464" s="185"/>
      <c r="E3464" s="185"/>
      <c r="F3464" s="185"/>
      <c r="G3464" s="185"/>
      <c r="H3464" s="185"/>
      <c r="I3464" s="185"/>
      <c r="J3464" s="185"/>
      <c r="K3464" s="185"/>
      <c r="L3464" s="187"/>
      <c r="M3464" s="188"/>
      <c r="N3464" s="188"/>
      <c r="O3464" s="208"/>
      <c r="P3464" s="208"/>
      <c r="Q3464" s="208"/>
      <c r="R3464" s="208"/>
    </row>
    <row r="3465">
      <c r="A3465" s="185"/>
      <c r="B3465" s="186"/>
      <c r="C3465" s="185"/>
      <c r="D3465" s="185"/>
      <c r="E3465" s="185"/>
      <c r="F3465" s="185"/>
      <c r="G3465" s="185"/>
      <c r="H3465" s="185"/>
      <c r="I3465" s="185"/>
      <c r="J3465" s="185"/>
      <c r="K3465" s="185"/>
      <c r="L3465" s="187"/>
      <c r="M3465" s="188"/>
      <c r="N3465" s="188"/>
      <c r="O3465" s="208"/>
      <c r="P3465" s="208"/>
      <c r="Q3465" s="208"/>
      <c r="R3465" s="208"/>
    </row>
    <row r="3466">
      <c r="A3466" s="185"/>
      <c r="B3466" s="186"/>
      <c r="C3466" s="185"/>
      <c r="D3466" s="185"/>
      <c r="E3466" s="185"/>
      <c r="F3466" s="185"/>
      <c r="G3466" s="185"/>
      <c r="H3466" s="185"/>
      <c r="I3466" s="185"/>
      <c r="J3466" s="185"/>
      <c r="K3466" s="185"/>
      <c r="L3466" s="187"/>
      <c r="M3466" s="188"/>
      <c r="N3466" s="188"/>
      <c r="O3466" s="208"/>
      <c r="P3466" s="208"/>
      <c r="Q3466" s="208"/>
      <c r="R3466" s="208"/>
    </row>
    <row r="3467">
      <c r="A3467" s="185"/>
      <c r="B3467" s="186"/>
      <c r="C3467" s="185"/>
      <c r="D3467" s="185"/>
      <c r="E3467" s="185"/>
      <c r="F3467" s="185"/>
      <c r="G3467" s="185"/>
      <c r="H3467" s="185"/>
      <c r="I3467" s="185"/>
      <c r="J3467" s="185"/>
      <c r="K3467" s="185"/>
      <c r="L3467" s="187"/>
      <c r="M3467" s="188"/>
      <c r="N3467" s="188"/>
      <c r="O3467" s="208"/>
      <c r="P3467" s="208"/>
      <c r="Q3467" s="208"/>
      <c r="R3467" s="208"/>
    </row>
    <row r="3468">
      <c r="A3468" s="185"/>
      <c r="B3468" s="186"/>
      <c r="C3468" s="185"/>
      <c r="D3468" s="185"/>
      <c r="E3468" s="185"/>
      <c r="F3468" s="185"/>
      <c r="G3468" s="185"/>
      <c r="H3468" s="185"/>
      <c r="I3468" s="185"/>
      <c r="J3468" s="185"/>
      <c r="K3468" s="185"/>
      <c r="L3468" s="187"/>
      <c r="M3468" s="188"/>
      <c r="N3468" s="188"/>
      <c r="O3468" s="208"/>
      <c r="P3468" s="208"/>
      <c r="Q3468" s="208"/>
      <c r="R3468" s="208"/>
    </row>
    <row r="3469">
      <c r="A3469" s="185"/>
      <c r="B3469" s="186"/>
      <c r="C3469" s="185"/>
      <c r="D3469" s="185"/>
      <c r="E3469" s="185"/>
      <c r="F3469" s="185"/>
      <c r="G3469" s="185"/>
      <c r="H3469" s="185"/>
      <c r="I3469" s="185"/>
      <c r="J3469" s="185"/>
      <c r="K3469" s="185"/>
      <c r="L3469" s="187"/>
      <c r="M3469" s="188"/>
      <c r="N3469" s="188"/>
      <c r="O3469" s="208"/>
      <c r="P3469" s="208"/>
      <c r="Q3469" s="208"/>
      <c r="R3469" s="208"/>
    </row>
    <row r="3470">
      <c r="A3470" s="185"/>
      <c r="B3470" s="186"/>
      <c r="C3470" s="185"/>
      <c r="D3470" s="185"/>
      <c r="E3470" s="185"/>
      <c r="F3470" s="185"/>
      <c r="G3470" s="185"/>
      <c r="H3470" s="185"/>
      <c r="I3470" s="185"/>
      <c r="J3470" s="185"/>
      <c r="K3470" s="185"/>
      <c r="L3470" s="187"/>
      <c r="M3470" s="188"/>
      <c r="N3470" s="188"/>
      <c r="O3470" s="208"/>
      <c r="P3470" s="208"/>
      <c r="Q3470" s="208"/>
      <c r="R3470" s="208"/>
    </row>
    <row r="3471">
      <c r="A3471" s="185"/>
      <c r="B3471" s="186"/>
      <c r="C3471" s="185"/>
      <c r="D3471" s="185"/>
      <c r="E3471" s="185"/>
      <c r="F3471" s="185"/>
      <c r="G3471" s="185"/>
      <c r="H3471" s="185"/>
      <c r="I3471" s="185"/>
      <c r="J3471" s="185"/>
      <c r="K3471" s="185"/>
      <c r="L3471" s="187"/>
      <c r="M3471" s="188"/>
      <c r="N3471" s="188"/>
      <c r="O3471" s="208"/>
      <c r="P3471" s="208"/>
      <c r="Q3471" s="208"/>
      <c r="R3471" s="208"/>
    </row>
    <row r="3472">
      <c r="A3472" s="185"/>
      <c r="B3472" s="186"/>
      <c r="C3472" s="185"/>
      <c r="D3472" s="185"/>
      <c r="E3472" s="185"/>
      <c r="F3472" s="185"/>
      <c r="G3472" s="185"/>
      <c r="H3472" s="185"/>
      <c r="I3472" s="185"/>
      <c r="J3472" s="185"/>
      <c r="K3472" s="185"/>
      <c r="L3472" s="187"/>
      <c r="M3472" s="188"/>
      <c r="N3472" s="188"/>
      <c r="O3472" s="208"/>
      <c r="P3472" s="208"/>
      <c r="Q3472" s="208"/>
      <c r="R3472" s="208"/>
    </row>
    <row r="3473">
      <c r="A3473" s="185"/>
      <c r="B3473" s="186"/>
      <c r="C3473" s="185"/>
      <c r="D3473" s="185"/>
      <c r="E3473" s="185"/>
      <c r="F3473" s="185"/>
      <c r="G3473" s="185"/>
      <c r="H3473" s="185"/>
      <c r="I3473" s="185"/>
      <c r="J3473" s="185"/>
      <c r="K3473" s="185"/>
      <c r="L3473" s="187"/>
      <c r="M3473" s="188"/>
      <c r="N3473" s="188"/>
      <c r="O3473" s="208"/>
      <c r="P3473" s="208"/>
      <c r="Q3473" s="208"/>
      <c r="R3473" s="208"/>
    </row>
    <row r="3474">
      <c r="A3474" s="185"/>
      <c r="B3474" s="186"/>
      <c r="C3474" s="185"/>
      <c r="D3474" s="185"/>
      <c r="E3474" s="185"/>
      <c r="F3474" s="185"/>
      <c r="G3474" s="185"/>
      <c r="H3474" s="185"/>
      <c r="I3474" s="185"/>
      <c r="J3474" s="185"/>
      <c r="K3474" s="185"/>
      <c r="L3474" s="187"/>
      <c r="M3474" s="188"/>
      <c r="N3474" s="188"/>
      <c r="O3474" s="208"/>
      <c r="P3474" s="208"/>
      <c r="Q3474" s="208"/>
      <c r="R3474" s="208"/>
    </row>
    <row r="3475">
      <c r="A3475" s="185"/>
      <c r="B3475" s="186"/>
      <c r="C3475" s="185"/>
      <c r="D3475" s="185"/>
      <c r="E3475" s="185"/>
      <c r="F3475" s="185"/>
      <c r="G3475" s="185"/>
      <c r="H3475" s="185"/>
      <c r="I3475" s="185"/>
      <c r="J3475" s="185"/>
      <c r="K3475" s="185"/>
      <c r="L3475" s="187"/>
      <c r="M3475" s="188"/>
      <c r="N3475" s="188"/>
      <c r="O3475" s="208"/>
      <c r="P3475" s="208"/>
      <c r="Q3475" s="208"/>
      <c r="R3475" s="208"/>
    </row>
    <row r="3476">
      <c r="A3476" s="185"/>
      <c r="B3476" s="186"/>
      <c r="C3476" s="185"/>
      <c r="D3476" s="185"/>
      <c r="E3476" s="185"/>
      <c r="F3476" s="185"/>
      <c r="G3476" s="185"/>
      <c r="H3476" s="185"/>
      <c r="I3476" s="185"/>
      <c r="J3476" s="185"/>
      <c r="K3476" s="185"/>
      <c r="L3476" s="187"/>
      <c r="M3476" s="188"/>
      <c r="N3476" s="188"/>
      <c r="O3476" s="208"/>
      <c r="P3476" s="208"/>
      <c r="Q3476" s="208"/>
      <c r="R3476" s="208"/>
    </row>
    <row r="3477">
      <c r="A3477" s="185"/>
      <c r="B3477" s="186"/>
      <c r="C3477" s="185"/>
      <c r="D3477" s="185"/>
      <c r="E3477" s="185"/>
      <c r="F3477" s="185"/>
      <c r="G3477" s="185"/>
      <c r="H3477" s="185"/>
      <c r="I3477" s="185"/>
      <c r="J3477" s="185"/>
      <c r="K3477" s="185"/>
      <c r="L3477" s="187"/>
      <c r="M3477" s="188"/>
      <c r="N3477" s="188"/>
      <c r="O3477" s="208"/>
      <c r="P3477" s="208"/>
      <c r="Q3477" s="208"/>
      <c r="R3477" s="208"/>
    </row>
    <row r="3478">
      <c r="A3478" s="185"/>
      <c r="B3478" s="186"/>
      <c r="C3478" s="185"/>
      <c r="D3478" s="185"/>
      <c r="E3478" s="185"/>
      <c r="F3478" s="185"/>
      <c r="G3478" s="185"/>
      <c r="H3478" s="185"/>
      <c r="I3478" s="185"/>
      <c r="J3478" s="185"/>
      <c r="K3478" s="185"/>
      <c r="L3478" s="187"/>
      <c r="M3478" s="188"/>
      <c r="N3478" s="188"/>
      <c r="O3478" s="208"/>
      <c r="P3478" s="208"/>
      <c r="Q3478" s="208"/>
      <c r="R3478" s="208"/>
    </row>
    <row r="3479">
      <c r="A3479" s="185"/>
      <c r="B3479" s="186"/>
      <c r="C3479" s="185"/>
      <c r="D3479" s="185"/>
      <c r="E3479" s="185"/>
      <c r="F3479" s="185"/>
      <c r="G3479" s="185"/>
      <c r="H3479" s="185"/>
      <c r="I3479" s="185"/>
      <c r="J3479" s="185"/>
      <c r="K3479" s="185"/>
      <c r="L3479" s="187"/>
      <c r="M3479" s="188"/>
      <c r="N3479" s="188"/>
      <c r="O3479" s="208"/>
      <c r="P3479" s="208"/>
      <c r="Q3479" s="208"/>
      <c r="R3479" s="208"/>
    </row>
    <row r="3480">
      <c r="A3480" s="185"/>
      <c r="B3480" s="186"/>
      <c r="C3480" s="185"/>
      <c r="D3480" s="185"/>
      <c r="E3480" s="185"/>
      <c r="F3480" s="185"/>
      <c r="G3480" s="185"/>
      <c r="H3480" s="185"/>
      <c r="I3480" s="185"/>
      <c r="J3480" s="185"/>
      <c r="K3480" s="185"/>
      <c r="L3480" s="187"/>
      <c r="M3480" s="188"/>
      <c r="N3480" s="188"/>
      <c r="O3480" s="208"/>
      <c r="P3480" s="208"/>
      <c r="Q3480" s="208"/>
      <c r="R3480" s="208"/>
    </row>
    <row r="3481">
      <c r="A3481" s="185"/>
      <c r="B3481" s="186"/>
      <c r="C3481" s="185"/>
      <c r="D3481" s="185"/>
      <c r="E3481" s="185"/>
      <c r="F3481" s="185"/>
      <c r="G3481" s="185"/>
      <c r="H3481" s="185"/>
      <c r="I3481" s="185"/>
      <c r="J3481" s="185"/>
      <c r="K3481" s="185"/>
      <c r="L3481" s="187"/>
      <c r="M3481" s="188"/>
      <c r="N3481" s="188"/>
      <c r="O3481" s="208"/>
      <c r="P3481" s="208"/>
      <c r="Q3481" s="208"/>
      <c r="R3481" s="208"/>
    </row>
    <row r="3482">
      <c r="A3482" s="185"/>
      <c r="B3482" s="186"/>
      <c r="C3482" s="185"/>
      <c r="D3482" s="185"/>
      <c r="E3482" s="185"/>
      <c r="F3482" s="185"/>
      <c r="G3482" s="185"/>
      <c r="H3482" s="185"/>
      <c r="I3482" s="185"/>
      <c r="J3482" s="185"/>
      <c r="K3482" s="185"/>
      <c r="L3482" s="187"/>
      <c r="M3482" s="188"/>
      <c r="N3482" s="188"/>
      <c r="O3482" s="208"/>
      <c r="P3482" s="208"/>
      <c r="Q3482" s="208"/>
      <c r="R3482" s="208"/>
    </row>
    <row r="3483">
      <c r="A3483" s="185"/>
      <c r="B3483" s="186"/>
      <c r="C3483" s="185"/>
      <c r="D3483" s="185"/>
      <c r="E3483" s="185"/>
      <c r="F3483" s="185"/>
      <c r="G3483" s="185"/>
      <c r="H3483" s="185"/>
      <c r="I3483" s="185"/>
      <c r="J3483" s="185"/>
      <c r="K3483" s="185"/>
      <c r="L3483" s="187"/>
      <c r="M3483" s="188"/>
      <c r="N3483" s="188"/>
      <c r="O3483" s="208"/>
      <c r="P3483" s="208"/>
      <c r="Q3483" s="208"/>
      <c r="R3483" s="208"/>
    </row>
    <row r="3484">
      <c r="A3484" s="185"/>
      <c r="B3484" s="186"/>
      <c r="C3484" s="185"/>
      <c r="D3484" s="185"/>
      <c r="E3484" s="185"/>
      <c r="F3484" s="185"/>
      <c r="G3484" s="185"/>
      <c r="H3484" s="185"/>
      <c r="I3484" s="185"/>
      <c r="J3484" s="185"/>
      <c r="K3484" s="185"/>
      <c r="L3484" s="187"/>
      <c r="M3484" s="188"/>
      <c r="N3484" s="188"/>
      <c r="O3484" s="208"/>
      <c r="P3484" s="208"/>
      <c r="Q3484" s="208"/>
      <c r="R3484" s="208"/>
    </row>
    <row r="3485">
      <c r="A3485" s="185"/>
      <c r="B3485" s="186"/>
      <c r="C3485" s="185"/>
      <c r="D3485" s="185"/>
      <c r="E3485" s="185"/>
      <c r="F3485" s="185"/>
      <c r="G3485" s="185"/>
      <c r="H3485" s="185"/>
      <c r="I3485" s="185"/>
      <c r="J3485" s="185"/>
      <c r="K3485" s="185"/>
      <c r="L3485" s="187"/>
      <c r="M3485" s="188"/>
      <c r="N3485" s="188"/>
      <c r="O3485" s="208"/>
      <c r="P3485" s="208"/>
      <c r="Q3485" s="208"/>
      <c r="R3485" s="208"/>
    </row>
    <row r="3486">
      <c r="A3486" s="185"/>
      <c r="B3486" s="186"/>
      <c r="C3486" s="185"/>
      <c r="D3486" s="185"/>
      <c r="E3486" s="185"/>
      <c r="F3486" s="185"/>
      <c r="G3486" s="185"/>
      <c r="H3486" s="185"/>
      <c r="I3486" s="185"/>
      <c r="J3486" s="185"/>
      <c r="K3486" s="185"/>
      <c r="L3486" s="187"/>
      <c r="M3486" s="188"/>
      <c r="N3486" s="188"/>
      <c r="O3486" s="208"/>
      <c r="P3486" s="208"/>
      <c r="Q3486" s="208"/>
      <c r="R3486" s="208"/>
    </row>
    <row r="3487">
      <c r="A3487" s="185"/>
      <c r="B3487" s="186"/>
      <c r="C3487" s="185"/>
      <c r="D3487" s="185"/>
      <c r="E3487" s="185"/>
      <c r="F3487" s="185"/>
      <c r="G3487" s="185"/>
      <c r="H3487" s="185"/>
      <c r="I3487" s="185"/>
      <c r="J3487" s="185"/>
      <c r="K3487" s="185"/>
      <c r="L3487" s="187"/>
      <c r="M3487" s="188"/>
      <c r="N3487" s="188"/>
      <c r="O3487" s="208"/>
      <c r="P3487" s="208"/>
      <c r="Q3487" s="208"/>
      <c r="R3487" s="208"/>
    </row>
    <row r="3488">
      <c r="A3488" s="185"/>
      <c r="B3488" s="186"/>
      <c r="C3488" s="185"/>
      <c r="D3488" s="185"/>
      <c r="E3488" s="185"/>
      <c r="F3488" s="185"/>
      <c r="G3488" s="185"/>
      <c r="H3488" s="185"/>
      <c r="I3488" s="185"/>
      <c r="J3488" s="185"/>
      <c r="K3488" s="185"/>
      <c r="L3488" s="187"/>
      <c r="M3488" s="188"/>
      <c r="N3488" s="188"/>
      <c r="O3488" s="208"/>
      <c r="P3488" s="208"/>
      <c r="Q3488" s="208"/>
      <c r="R3488" s="208"/>
    </row>
    <row r="3489">
      <c r="A3489" s="185"/>
      <c r="B3489" s="186"/>
      <c r="C3489" s="185"/>
      <c r="D3489" s="185"/>
      <c r="E3489" s="185"/>
      <c r="F3489" s="185"/>
      <c r="G3489" s="185"/>
      <c r="H3489" s="185"/>
      <c r="I3489" s="185"/>
      <c r="J3489" s="185"/>
      <c r="K3489" s="185"/>
      <c r="L3489" s="187"/>
      <c r="M3489" s="188"/>
      <c r="N3489" s="188"/>
      <c r="O3489" s="208"/>
      <c r="P3489" s="208"/>
      <c r="Q3489" s="208"/>
      <c r="R3489" s="208"/>
    </row>
    <row r="3490">
      <c r="A3490" s="185"/>
      <c r="B3490" s="186"/>
      <c r="C3490" s="185"/>
      <c r="D3490" s="185"/>
      <c r="E3490" s="185"/>
      <c r="F3490" s="185"/>
      <c r="G3490" s="185"/>
      <c r="H3490" s="185"/>
      <c r="I3490" s="185"/>
      <c r="J3490" s="185"/>
      <c r="K3490" s="185"/>
      <c r="L3490" s="187"/>
      <c r="M3490" s="188"/>
      <c r="N3490" s="188"/>
      <c r="O3490" s="208"/>
      <c r="P3490" s="208"/>
      <c r="Q3490" s="208"/>
      <c r="R3490" s="208"/>
    </row>
    <row r="3491">
      <c r="A3491" s="185"/>
      <c r="B3491" s="186"/>
      <c r="C3491" s="185"/>
      <c r="D3491" s="185"/>
      <c r="E3491" s="185"/>
      <c r="F3491" s="185"/>
      <c r="G3491" s="185"/>
      <c r="H3491" s="185"/>
      <c r="I3491" s="185"/>
      <c r="J3491" s="185"/>
      <c r="K3491" s="185"/>
      <c r="L3491" s="187"/>
      <c r="M3491" s="188"/>
      <c r="N3491" s="188"/>
      <c r="O3491" s="208"/>
      <c r="P3491" s="208"/>
      <c r="Q3491" s="208"/>
      <c r="R3491" s="208"/>
    </row>
    <row r="3492">
      <c r="A3492" s="185"/>
      <c r="B3492" s="186"/>
      <c r="C3492" s="185"/>
      <c r="D3492" s="185"/>
      <c r="E3492" s="185"/>
      <c r="F3492" s="185"/>
      <c r="G3492" s="185"/>
      <c r="H3492" s="185"/>
      <c r="I3492" s="185"/>
      <c r="J3492" s="185"/>
      <c r="K3492" s="185"/>
      <c r="L3492" s="187"/>
      <c r="M3492" s="188"/>
      <c r="N3492" s="188"/>
      <c r="O3492" s="208"/>
      <c r="P3492" s="208"/>
      <c r="Q3492" s="208"/>
      <c r="R3492" s="208"/>
    </row>
    <row r="3493">
      <c r="A3493" s="185"/>
      <c r="B3493" s="186"/>
      <c r="C3493" s="185"/>
      <c r="D3493" s="185"/>
      <c r="E3493" s="185"/>
      <c r="F3493" s="185"/>
      <c r="G3493" s="185"/>
      <c r="H3493" s="185"/>
      <c r="I3493" s="185"/>
      <c r="J3493" s="185"/>
      <c r="K3493" s="185"/>
      <c r="L3493" s="187"/>
      <c r="M3493" s="188"/>
      <c r="N3493" s="188"/>
      <c r="O3493" s="208"/>
      <c r="P3493" s="208"/>
      <c r="Q3493" s="208"/>
      <c r="R3493" s="208"/>
    </row>
    <row r="3494">
      <c r="A3494" s="185"/>
      <c r="B3494" s="186"/>
      <c r="C3494" s="185"/>
      <c r="D3494" s="185"/>
      <c r="E3494" s="185"/>
      <c r="F3494" s="185"/>
      <c r="G3494" s="185"/>
      <c r="H3494" s="185"/>
      <c r="I3494" s="185"/>
      <c r="J3494" s="185"/>
      <c r="K3494" s="185"/>
      <c r="L3494" s="187"/>
      <c r="M3494" s="188"/>
      <c r="N3494" s="188"/>
      <c r="O3494" s="208"/>
      <c r="P3494" s="208"/>
      <c r="Q3494" s="208"/>
      <c r="R3494" s="208"/>
    </row>
    <row r="3495">
      <c r="A3495" s="185"/>
      <c r="B3495" s="186"/>
      <c r="C3495" s="185"/>
      <c r="D3495" s="185"/>
      <c r="E3495" s="185"/>
      <c r="F3495" s="185"/>
      <c r="G3495" s="185"/>
      <c r="H3495" s="185"/>
      <c r="I3495" s="185"/>
      <c r="J3495" s="185"/>
      <c r="K3495" s="185"/>
      <c r="L3495" s="187"/>
      <c r="M3495" s="188"/>
      <c r="N3495" s="188"/>
      <c r="O3495" s="208"/>
      <c r="P3495" s="208"/>
      <c r="Q3495" s="208"/>
      <c r="R3495" s="208"/>
    </row>
    <row r="3496">
      <c r="A3496" s="185"/>
      <c r="B3496" s="186"/>
      <c r="C3496" s="185"/>
      <c r="D3496" s="185"/>
      <c r="E3496" s="185"/>
      <c r="F3496" s="185"/>
      <c r="G3496" s="185"/>
      <c r="H3496" s="185"/>
      <c r="I3496" s="185"/>
      <c r="J3496" s="185"/>
      <c r="K3496" s="185"/>
      <c r="L3496" s="187"/>
      <c r="M3496" s="188"/>
      <c r="N3496" s="188"/>
      <c r="O3496" s="208"/>
      <c r="P3496" s="208"/>
      <c r="Q3496" s="208"/>
      <c r="R3496" s="208"/>
    </row>
    <row r="3497">
      <c r="A3497" s="185"/>
      <c r="B3497" s="186"/>
      <c r="C3497" s="185"/>
      <c r="D3497" s="185"/>
      <c r="E3497" s="185"/>
      <c r="F3497" s="185"/>
      <c r="G3497" s="185"/>
      <c r="H3497" s="185"/>
      <c r="I3497" s="185"/>
      <c r="J3497" s="185"/>
      <c r="K3497" s="185"/>
      <c r="L3497" s="187"/>
      <c r="M3497" s="188"/>
      <c r="N3497" s="188"/>
      <c r="O3497" s="208"/>
      <c r="P3497" s="208"/>
      <c r="Q3497" s="208"/>
      <c r="R3497" s="208"/>
    </row>
    <row r="3498">
      <c r="A3498" s="185"/>
      <c r="B3498" s="186"/>
      <c r="C3498" s="185"/>
      <c r="D3498" s="185"/>
      <c r="E3498" s="185"/>
      <c r="F3498" s="185"/>
      <c r="G3498" s="185"/>
      <c r="H3498" s="185"/>
      <c r="I3498" s="185"/>
      <c r="J3498" s="185"/>
      <c r="K3498" s="185"/>
      <c r="L3498" s="187"/>
      <c r="M3498" s="188"/>
      <c r="N3498" s="188"/>
      <c r="O3498" s="208"/>
      <c r="P3498" s="208"/>
      <c r="Q3498" s="208"/>
      <c r="R3498" s="208"/>
    </row>
    <row r="3499">
      <c r="A3499" s="185"/>
      <c r="B3499" s="186"/>
      <c r="C3499" s="185"/>
      <c r="D3499" s="185"/>
      <c r="E3499" s="185"/>
      <c r="F3499" s="185"/>
      <c r="G3499" s="185"/>
      <c r="H3499" s="185"/>
      <c r="I3499" s="185"/>
      <c r="J3499" s="185"/>
      <c r="K3499" s="185"/>
      <c r="L3499" s="187"/>
      <c r="M3499" s="188"/>
      <c r="N3499" s="188"/>
      <c r="O3499" s="208"/>
      <c r="P3499" s="208"/>
      <c r="Q3499" s="208"/>
      <c r="R3499" s="208"/>
    </row>
    <row r="3500">
      <c r="A3500" s="185"/>
      <c r="B3500" s="186"/>
      <c r="C3500" s="185"/>
      <c r="D3500" s="185"/>
      <c r="E3500" s="185"/>
      <c r="F3500" s="185"/>
      <c r="G3500" s="185"/>
      <c r="H3500" s="185"/>
      <c r="I3500" s="185"/>
      <c r="J3500" s="185"/>
      <c r="K3500" s="185"/>
      <c r="L3500" s="187"/>
      <c r="M3500" s="188"/>
      <c r="N3500" s="188"/>
      <c r="O3500" s="208"/>
      <c r="P3500" s="208"/>
      <c r="Q3500" s="208"/>
      <c r="R3500" s="208"/>
    </row>
    <row r="3501">
      <c r="A3501" s="185"/>
      <c r="B3501" s="186"/>
      <c r="C3501" s="185"/>
      <c r="D3501" s="185"/>
      <c r="E3501" s="185"/>
      <c r="F3501" s="185"/>
      <c r="G3501" s="185"/>
      <c r="H3501" s="185"/>
      <c r="I3501" s="185"/>
      <c r="J3501" s="185"/>
      <c r="K3501" s="185"/>
      <c r="L3501" s="187"/>
      <c r="M3501" s="188"/>
      <c r="N3501" s="188"/>
      <c r="O3501" s="208"/>
      <c r="P3501" s="208"/>
      <c r="Q3501" s="208"/>
      <c r="R3501" s="208"/>
    </row>
    <row r="3502">
      <c r="A3502" s="185"/>
      <c r="B3502" s="186"/>
      <c r="C3502" s="185"/>
      <c r="D3502" s="185"/>
      <c r="E3502" s="185"/>
      <c r="F3502" s="185"/>
      <c r="G3502" s="185"/>
      <c r="H3502" s="185"/>
      <c r="I3502" s="185"/>
      <c r="J3502" s="185"/>
      <c r="K3502" s="185"/>
      <c r="L3502" s="187"/>
      <c r="M3502" s="188"/>
      <c r="N3502" s="188"/>
      <c r="O3502" s="208"/>
      <c r="P3502" s="208"/>
      <c r="Q3502" s="208"/>
      <c r="R3502" s="208"/>
    </row>
    <row r="3503">
      <c r="A3503" s="185"/>
      <c r="B3503" s="186"/>
      <c r="C3503" s="185"/>
      <c r="D3503" s="185"/>
      <c r="E3503" s="185"/>
      <c r="F3503" s="185"/>
      <c r="G3503" s="185"/>
      <c r="H3503" s="185"/>
      <c r="I3503" s="185"/>
      <c r="J3503" s="185"/>
      <c r="K3503" s="185"/>
      <c r="L3503" s="187"/>
      <c r="M3503" s="188"/>
      <c r="N3503" s="188"/>
      <c r="O3503" s="208"/>
      <c r="P3503" s="208"/>
      <c r="Q3503" s="208"/>
      <c r="R3503" s="208"/>
    </row>
    <row r="3504">
      <c r="A3504" s="185"/>
      <c r="B3504" s="186"/>
      <c r="C3504" s="185"/>
      <c r="D3504" s="185"/>
      <c r="E3504" s="185"/>
      <c r="F3504" s="185"/>
      <c r="G3504" s="185"/>
      <c r="H3504" s="185"/>
      <c r="I3504" s="185"/>
      <c r="J3504" s="185"/>
      <c r="K3504" s="185"/>
      <c r="L3504" s="187"/>
      <c r="M3504" s="188"/>
      <c r="N3504" s="188"/>
      <c r="O3504" s="208"/>
      <c r="P3504" s="208"/>
      <c r="Q3504" s="208"/>
      <c r="R3504" s="208"/>
    </row>
    <row r="3505">
      <c r="A3505" s="185"/>
      <c r="B3505" s="186"/>
      <c r="C3505" s="185"/>
      <c r="D3505" s="185"/>
      <c r="E3505" s="185"/>
      <c r="F3505" s="185"/>
      <c r="G3505" s="185"/>
      <c r="H3505" s="185"/>
      <c r="I3505" s="185"/>
      <c r="J3505" s="185"/>
      <c r="K3505" s="185"/>
      <c r="L3505" s="187"/>
      <c r="M3505" s="188"/>
      <c r="N3505" s="188"/>
      <c r="O3505" s="208"/>
      <c r="P3505" s="208"/>
      <c r="Q3505" s="208"/>
      <c r="R3505" s="208"/>
    </row>
    <row r="3506">
      <c r="A3506" s="185"/>
      <c r="B3506" s="186"/>
      <c r="C3506" s="185"/>
      <c r="D3506" s="185"/>
      <c r="E3506" s="185"/>
      <c r="F3506" s="185"/>
      <c r="G3506" s="185"/>
      <c r="H3506" s="185"/>
      <c r="I3506" s="185"/>
      <c r="J3506" s="185"/>
      <c r="K3506" s="185"/>
      <c r="L3506" s="187"/>
      <c r="M3506" s="188"/>
      <c r="N3506" s="188"/>
      <c r="O3506" s="208"/>
      <c r="P3506" s="208"/>
      <c r="Q3506" s="208"/>
      <c r="R3506" s="208"/>
    </row>
    <row r="3507">
      <c r="A3507" s="185"/>
      <c r="B3507" s="186"/>
      <c r="C3507" s="185"/>
      <c r="D3507" s="185"/>
      <c r="E3507" s="185"/>
      <c r="F3507" s="185"/>
      <c r="G3507" s="185"/>
      <c r="H3507" s="185"/>
      <c r="I3507" s="185"/>
      <c r="J3507" s="185"/>
      <c r="K3507" s="185"/>
      <c r="L3507" s="187"/>
      <c r="M3507" s="188"/>
      <c r="N3507" s="188"/>
      <c r="O3507" s="208"/>
      <c r="P3507" s="208"/>
      <c r="Q3507" s="208"/>
      <c r="R3507" s="208"/>
    </row>
    <row r="3508">
      <c r="A3508" s="185"/>
      <c r="B3508" s="186"/>
      <c r="C3508" s="185"/>
      <c r="D3508" s="185"/>
      <c r="E3508" s="185"/>
      <c r="F3508" s="185"/>
      <c r="G3508" s="185"/>
      <c r="H3508" s="185"/>
      <c r="I3508" s="185"/>
      <c r="J3508" s="185"/>
      <c r="K3508" s="185"/>
      <c r="L3508" s="187"/>
      <c r="M3508" s="188"/>
      <c r="N3508" s="188"/>
      <c r="O3508" s="208"/>
      <c r="P3508" s="208"/>
      <c r="Q3508" s="208"/>
      <c r="R3508" s="208"/>
    </row>
    <row r="3509">
      <c r="A3509" s="185"/>
      <c r="B3509" s="186"/>
      <c r="C3509" s="185"/>
      <c r="D3509" s="185"/>
      <c r="E3509" s="185"/>
      <c r="F3509" s="185"/>
      <c r="G3509" s="185"/>
      <c r="H3509" s="185"/>
      <c r="I3509" s="185"/>
      <c r="J3509" s="185"/>
      <c r="K3509" s="185"/>
      <c r="L3509" s="187"/>
      <c r="M3509" s="188"/>
      <c r="N3509" s="188"/>
      <c r="O3509" s="208"/>
      <c r="P3509" s="208"/>
      <c r="Q3509" s="208"/>
      <c r="R3509" s="208"/>
    </row>
    <row r="3510">
      <c r="A3510" s="185"/>
      <c r="B3510" s="186"/>
      <c r="C3510" s="185"/>
      <c r="D3510" s="185"/>
      <c r="E3510" s="185"/>
      <c r="F3510" s="185"/>
      <c r="G3510" s="185"/>
      <c r="H3510" s="185"/>
      <c r="I3510" s="185"/>
      <c r="J3510" s="185"/>
      <c r="K3510" s="185"/>
      <c r="L3510" s="187"/>
      <c r="M3510" s="188"/>
      <c r="N3510" s="188"/>
      <c r="O3510" s="208"/>
      <c r="P3510" s="208"/>
      <c r="Q3510" s="208"/>
      <c r="R3510" s="208"/>
    </row>
    <row r="3511">
      <c r="A3511" s="185"/>
      <c r="B3511" s="186"/>
      <c r="C3511" s="185"/>
      <c r="D3511" s="185"/>
      <c r="E3511" s="185"/>
      <c r="F3511" s="185"/>
      <c r="G3511" s="185"/>
      <c r="H3511" s="185"/>
      <c r="I3511" s="185"/>
      <c r="J3511" s="185"/>
      <c r="K3511" s="185"/>
      <c r="L3511" s="187"/>
      <c r="M3511" s="188"/>
      <c r="N3511" s="188"/>
      <c r="O3511" s="208"/>
      <c r="P3511" s="208"/>
      <c r="Q3511" s="208"/>
      <c r="R3511" s="208"/>
    </row>
    <row r="3512">
      <c r="A3512" s="185"/>
      <c r="B3512" s="186"/>
      <c r="C3512" s="185"/>
      <c r="D3512" s="185"/>
      <c r="E3512" s="185"/>
      <c r="F3512" s="185"/>
      <c r="G3512" s="185"/>
      <c r="H3512" s="185"/>
      <c r="I3512" s="185"/>
      <c r="J3512" s="185"/>
      <c r="K3512" s="185"/>
      <c r="L3512" s="187"/>
      <c r="M3512" s="188"/>
      <c r="N3512" s="188"/>
      <c r="O3512" s="208"/>
      <c r="P3512" s="208"/>
      <c r="Q3512" s="208"/>
      <c r="R3512" s="208"/>
    </row>
    <row r="3513">
      <c r="A3513" s="185"/>
      <c r="B3513" s="186"/>
      <c r="C3513" s="185"/>
      <c r="D3513" s="185"/>
      <c r="E3513" s="185"/>
      <c r="F3513" s="185"/>
      <c r="G3513" s="185"/>
      <c r="H3513" s="185"/>
      <c r="I3513" s="185"/>
      <c r="J3513" s="185"/>
      <c r="K3513" s="185"/>
      <c r="L3513" s="187"/>
      <c r="M3513" s="188"/>
      <c r="N3513" s="188"/>
      <c r="O3513" s="208"/>
      <c r="P3513" s="208"/>
      <c r="Q3513" s="208"/>
      <c r="R3513" s="208"/>
    </row>
    <row r="3514">
      <c r="A3514" s="185"/>
      <c r="B3514" s="186"/>
      <c r="C3514" s="185"/>
      <c r="D3514" s="185"/>
      <c r="E3514" s="185"/>
      <c r="F3514" s="185"/>
      <c r="G3514" s="185"/>
      <c r="H3514" s="185"/>
      <c r="I3514" s="185"/>
      <c r="J3514" s="185"/>
      <c r="K3514" s="185"/>
      <c r="L3514" s="187"/>
      <c r="M3514" s="188"/>
      <c r="N3514" s="188"/>
      <c r="O3514" s="208"/>
      <c r="P3514" s="208"/>
      <c r="Q3514" s="208"/>
      <c r="R3514" s="208"/>
    </row>
    <row r="3515">
      <c r="A3515" s="185"/>
      <c r="B3515" s="186"/>
      <c r="C3515" s="185"/>
      <c r="D3515" s="185"/>
      <c r="E3515" s="185"/>
      <c r="F3515" s="185"/>
      <c r="G3515" s="185"/>
      <c r="H3515" s="185"/>
      <c r="I3515" s="185"/>
      <c r="J3515" s="185"/>
      <c r="K3515" s="185"/>
      <c r="L3515" s="187"/>
      <c r="M3515" s="188"/>
      <c r="N3515" s="188"/>
      <c r="O3515" s="208"/>
      <c r="P3515" s="208"/>
      <c r="Q3515" s="208"/>
      <c r="R3515" s="208"/>
    </row>
    <row r="3516">
      <c r="A3516" s="185"/>
      <c r="B3516" s="186"/>
      <c r="C3516" s="185"/>
      <c r="D3516" s="185"/>
      <c r="E3516" s="185"/>
      <c r="F3516" s="185"/>
      <c r="G3516" s="185"/>
      <c r="H3516" s="185"/>
      <c r="I3516" s="185"/>
      <c r="J3516" s="185"/>
      <c r="K3516" s="185"/>
      <c r="L3516" s="187"/>
      <c r="M3516" s="188"/>
      <c r="N3516" s="188"/>
      <c r="O3516" s="208"/>
      <c r="P3516" s="208"/>
      <c r="Q3516" s="208"/>
      <c r="R3516" s="208"/>
    </row>
    <row r="3517">
      <c r="A3517" s="185"/>
      <c r="B3517" s="186"/>
      <c r="C3517" s="185"/>
      <c r="D3517" s="185"/>
      <c r="E3517" s="185"/>
      <c r="F3517" s="185"/>
      <c r="G3517" s="185"/>
      <c r="H3517" s="185"/>
      <c r="I3517" s="185"/>
      <c r="J3517" s="185"/>
      <c r="K3517" s="185"/>
      <c r="L3517" s="187"/>
      <c r="M3517" s="188"/>
      <c r="N3517" s="188"/>
      <c r="O3517" s="208"/>
      <c r="P3517" s="208"/>
      <c r="Q3517" s="208"/>
      <c r="R3517" s="208"/>
    </row>
    <row r="3518">
      <c r="A3518" s="185"/>
      <c r="B3518" s="186"/>
      <c r="C3518" s="185"/>
      <c r="D3518" s="185"/>
      <c r="E3518" s="185"/>
      <c r="F3518" s="185"/>
      <c r="G3518" s="185"/>
      <c r="H3518" s="185"/>
      <c r="I3518" s="185"/>
      <c r="J3518" s="185"/>
      <c r="K3518" s="185"/>
      <c r="L3518" s="187"/>
      <c r="M3518" s="188"/>
      <c r="N3518" s="188"/>
      <c r="O3518" s="208"/>
      <c r="P3518" s="208"/>
      <c r="Q3518" s="208"/>
      <c r="R3518" s="208"/>
    </row>
    <row r="3519">
      <c r="A3519" s="185"/>
      <c r="B3519" s="186"/>
      <c r="C3519" s="185"/>
      <c r="D3519" s="185"/>
      <c r="E3519" s="185"/>
      <c r="F3519" s="185"/>
      <c r="G3519" s="185"/>
      <c r="H3519" s="185"/>
      <c r="I3519" s="185"/>
      <c r="J3519" s="185"/>
      <c r="K3519" s="185"/>
      <c r="L3519" s="187"/>
      <c r="M3519" s="188"/>
      <c r="N3519" s="188"/>
      <c r="O3519" s="208"/>
      <c r="P3519" s="208"/>
      <c r="Q3519" s="208"/>
      <c r="R3519" s="208"/>
    </row>
    <row r="3520">
      <c r="A3520" s="185"/>
      <c r="B3520" s="186"/>
      <c r="C3520" s="185"/>
      <c r="D3520" s="185"/>
      <c r="E3520" s="185"/>
      <c r="F3520" s="185"/>
      <c r="G3520" s="185"/>
      <c r="H3520" s="185"/>
      <c r="I3520" s="185"/>
      <c r="J3520" s="185"/>
      <c r="K3520" s="185"/>
      <c r="L3520" s="187"/>
      <c r="M3520" s="188"/>
      <c r="N3520" s="188"/>
      <c r="O3520" s="208"/>
      <c r="P3520" s="208"/>
      <c r="Q3520" s="208"/>
      <c r="R3520" s="208"/>
    </row>
    <row r="3521">
      <c r="A3521" s="185"/>
      <c r="B3521" s="186"/>
      <c r="C3521" s="185"/>
      <c r="D3521" s="185"/>
      <c r="E3521" s="185"/>
      <c r="F3521" s="185"/>
      <c r="G3521" s="185"/>
      <c r="H3521" s="185"/>
      <c r="I3521" s="185"/>
      <c r="J3521" s="185"/>
      <c r="K3521" s="185"/>
      <c r="L3521" s="187"/>
      <c r="M3521" s="188"/>
      <c r="N3521" s="188"/>
      <c r="O3521" s="208"/>
      <c r="P3521" s="208"/>
      <c r="Q3521" s="208"/>
      <c r="R3521" s="208"/>
    </row>
    <row r="3522">
      <c r="A3522" s="185"/>
      <c r="B3522" s="186"/>
      <c r="C3522" s="185"/>
      <c r="D3522" s="185"/>
      <c r="E3522" s="185"/>
      <c r="F3522" s="185"/>
      <c r="G3522" s="185"/>
      <c r="H3522" s="185"/>
      <c r="I3522" s="185"/>
      <c r="J3522" s="185"/>
      <c r="K3522" s="185"/>
      <c r="L3522" s="187"/>
      <c r="M3522" s="188"/>
      <c r="N3522" s="188"/>
      <c r="O3522" s="208"/>
      <c r="P3522" s="208"/>
      <c r="Q3522" s="208"/>
      <c r="R3522" s="208"/>
    </row>
    <row r="3523">
      <c r="A3523" s="185"/>
      <c r="B3523" s="186"/>
      <c r="C3523" s="185"/>
      <c r="D3523" s="185"/>
      <c r="E3523" s="185"/>
      <c r="F3523" s="185"/>
      <c r="G3523" s="185"/>
      <c r="H3523" s="185"/>
      <c r="I3523" s="185"/>
      <c r="J3523" s="185"/>
      <c r="K3523" s="185"/>
      <c r="L3523" s="187"/>
      <c r="M3523" s="188"/>
      <c r="N3523" s="188"/>
      <c r="O3523" s="208"/>
      <c r="P3523" s="208"/>
      <c r="Q3523" s="208"/>
      <c r="R3523" s="208"/>
    </row>
    <row r="3524">
      <c r="A3524" s="185"/>
      <c r="B3524" s="186"/>
      <c r="C3524" s="185"/>
      <c r="D3524" s="185"/>
      <c r="E3524" s="185"/>
      <c r="F3524" s="185"/>
      <c r="G3524" s="185"/>
      <c r="H3524" s="185"/>
      <c r="I3524" s="185"/>
      <c r="J3524" s="185"/>
      <c r="K3524" s="185"/>
      <c r="L3524" s="187"/>
      <c r="M3524" s="188"/>
      <c r="N3524" s="188"/>
      <c r="O3524" s="208"/>
      <c r="P3524" s="208"/>
      <c r="Q3524" s="208"/>
      <c r="R3524" s="208"/>
    </row>
    <row r="3525">
      <c r="A3525" s="185"/>
      <c r="B3525" s="186"/>
      <c r="C3525" s="185"/>
      <c r="D3525" s="185"/>
      <c r="E3525" s="185"/>
      <c r="F3525" s="185"/>
      <c r="G3525" s="185"/>
      <c r="H3525" s="185"/>
      <c r="I3525" s="185"/>
      <c r="J3525" s="185"/>
      <c r="K3525" s="185"/>
      <c r="L3525" s="187"/>
      <c r="M3525" s="188"/>
      <c r="N3525" s="188"/>
      <c r="O3525" s="208"/>
      <c r="P3525" s="208"/>
      <c r="Q3525" s="208"/>
      <c r="R3525" s="208"/>
    </row>
    <row r="3526">
      <c r="A3526" s="185"/>
      <c r="B3526" s="186"/>
      <c r="C3526" s="185"/>
      <c r="D3526" s="185"/>
      <c r="E3526" s="185"/>
      <c r="F3526" s="185"/>
      <c r="G3526" s="185"/>
      <c r="H3526" s="185"/>
      <c r="I3526" s="185"/>
      <c r="J3526" s="185"/>
      <c r="K3526" s="185"/>
      <c r="L3526" s="187"/>
      <c r="M3526" s="188"/>
      <c r="N3526" s="188"/>
      <c r="O3526" s="208"/>
      <c r="P3526" s="208"/>
      <c r="Q3526" s="208"/>
      <c r="R3526" s="208"/>
    </row>
    <row r="3527">
      <c r="A3527" s="185"/>
      <c r="B3527" s="186"/>
      <c r="C3527" s="185"/>
      <c r="D3527" s="185"/>
      <c r="E3527" s="185"/>
      <c r="F3527" s="185"/>
      <c r="G3527" s="185"/>
      <c r="H3527" s="185"/>
      <c r="I3527" s="185"/>
      <c r="J3527" s="185"/>
      <c r="K3527" s="185"/>
      <c r="L3527" s="187"/>
      <c r="M3527" s="188"/>
      <c r="N3527" s="188"/>
      <c r="O3527" s="208"/>
      <c r="P3527" s="208"/>
      <c r="Q3527" s="208"/>
      <c r="R3527" s="208"/>
    </row>
    <row r="3528">
      <c r="A3528" s="185"/>
      <c r="B3528" s="186"/>
      <c r="C3528" s="185"/>
      <c r="D3528" s="185"/>
      <c r="E3528" s="185"/>
      <c r="F3528" s="185"/>
      <c r="G3528" s="185"/>
      <c r="H3528" s="185"/>
      <c r="I3528" s="185"/>
      <c r="J3528" s="185"/>
      <c r="K3528" s="185"/>
      <c r="L3528" s="187"/>
      <c r="M3528" s="188"/>
      <c r="N3528" s="188"/>
      <c r="O3528" s="208"/>
      <c r="P3528" s="208"/>
      <c r="Q3528" s="208"/>
      <c r="R3528" s="208"/>
    </row>
    <row r="3529">
      <c r="A3529" s="185"/>
      <c r="B3529" s="186"/>
      <c r="C3529" s="185"/>
      <c r="D3529" s="185"/>
      <c r="E3529" s="185"/>
      <c r="F3529" s="185"/>
      <c r="G3529" s="185"/>
      <c r="H3529" s="185"/>
      <c r="I3529" s="185"/>
      <c r="J3529" s="185"/>
      <c r="K3529" s="185"/>
      <c r="L3529" s="187"/>
      <c r="M3529" s="188"/>
      <c r="N3529" s="188"/>
      <c r="O3529" s="208"/>
      <c r="P3529" s="208"/>
      <c r="Q3529" s="208"/>
      <c r="R3529" s="208"/>
    </row>
    <row r="3530">
      <c r="A3530" s="185"/>
      <c r="B3530" s="186"/>
      <c r="C3530" s="185"/>
      <c r="D3530" s="185"/>
      <c r="E3530" s="185"/>
      <c r="F3530" s="185"/>
      <c r="G3530" s="185"/>
      <c r="H3530" s="185"/>
      <c r="I3530" s="185"/>
      <c r="J3530" s="185"/>
      <c r="K3530" s="185"/>
      <c r="L3530" s="187"/>
      <c r="M3530" s="188"/>
      <c r="N3530" s="188"/>
      <c r="O3530" s="208"/>
      <c r="P3530" s="208"/>
      <c r="Q3530" s="208"/>
      <c r="R3530" s="208"/>
    </row>
    <row r="3531">
      <c r="A3531" s="185"/>
      <c r="B3531" s="186"/>
      <c r="C3531" s="185"/>
      <c r="D3531" s="185"/>
      <c r="E3531" s="185"/>
      <c r="F3531" s="185"/>
      <c r="G3531" s="185"/>
      <c r="H3531" s="185"/>
      <c r="I3531" s="185"/>
      <c r="J3531" s="185"/>
      <c r="K3531" s="185"/>
      <c r="L3531" s="187"/>
      <c r="M3531" s="188"/>
      <c r="N3531" s="188"/>
      <c r="O3531" s="208"/>
      <c r="P3531" s="208"/>
      <c r="Q3531" s="208"/>
      <c r="R3531" s="208"/>
    </row>
    <row r="3532">
      <c r="A3532" s="185"/>
      <c r="B3532" s="186"/>
      <c r="C3532" s="185"/>
      <c r="D3532" s="185"/>
      <c r="E3532" s="185"/>
      <c r="F3532" s="185"/>
      <c r="G3532" s="185"/>
      <c r="H3532" s="185"/>
      <c r="I3532" s="185"/>
      <c r="J3532" s="185"/>
      <c r="K3532" s="185"/>
      <c r="L3532" s="187"/>
      <c r="M3532" s="188"/>
      <c r="N3532" s="188"/>
      <c r="O3532" s="208"/>
      <c r="P3532" s="208"/>
      <c r="Q3532" s="208"/>
      <c r="R3532" s="208"/>
    </row>
    <row r="3533">
      <c r="A3533" s="185"/>
      <c r="B3533" s="186"/>
      <c r="C3533" s="185"/>
      <c r="D3533" s="185"/>
      <c r="E3533" s="185"/>
      <c r="F3533" s="185"/>
      <c r="G3533" s="185"/>
      <c r="H3533" s="185"/>
      <c r="I3533" s="185"/>
      <c r="J3533" s="185"/>
      <c r="K3533" s="185"/>
      <c r="L3533" s="187"/>
      <c r="M3533" s="188"/>
      <c r="N3533" s="188"/>
      <c r="O3533" s="208"/>
      <c r="P3533" s="208"/>
      <c r="Q3533" s="208"/>
      <c r="R3533" s="208"/>
    </row>
    <row r="3534">
      <c r="A3534" s="185"/>
      <c r="B3534" s="186"/>
      <c r="C3534" s="185"/>
      <c r="D3534" s="185"/>
      <c r="E3534" s="185"/>
      <c r="F3534" s="185"/>
      <c r="G3534" s="185"/>
      <c r="H3534" s="185"/>
      <c r="I3534" s="185"/>
      <c r="J3534" s="185"/>
      <c r="K3534" s="185"/>
      <c r="L3534" s="187"/>
      <c r="M3534" s="188"/>
      <c r="N3534" s="188"/>
      <c r="O3534" s="208"/>
      <c r="P3534" s="208"/>
      <c r="Q3534" s="208"/>
      <c r="R3534" s="208"/>
    </row>
    <row r="3535">
      <c r="A3535" s="185"/>
      <c r="B3535" s="186"/>
      <c r="C3535" s="185"/>
      <c r="D3535" s="185"/>
      <c r="E3535" s="185"/>
      <c r="F3535" s="185"/>
      <c r="G3535" s="185"/>
      <c r="H3535" s="185"/>
      <c r="I3535" s="185"/>
      <c r="J3535" s="185"/>
      <c r="K3535" s="185"/>
      <c r="L3535" s="187"/>
      <c r="M3535" s="188"/>
      <c r="N3535" s="188"/>
      <c r="O3535" s="208"/>
      <c r="P3535" s="208"/>
      <c r="Q3535" s="208"/>
      <c r="R3535" s="208"/>
    </row>
    <row r="3536">
      <c r="A3536" s="185"/>
      <c r="B3536" s="186"/>
      <c r="C3536" s="185"/>
      <c r="D3536" s="185"/>
      <c r="E3536" s="185"/>
      <c r="F3536" s="185"/>
      <c r="G3536" s="185"/>
      <c r="H3536" s="185"/>
      <c r="I3536" s="185"/>
      <c r="J3536" s="185"/>
      <c r="K3536" s="185"/>
      <c r="L3536" s="187"/>
      <c r="M3536" s="188"/>
      <c r="N3536" s="188"/>
      <c r="O3536" s="208"/>
      <c r="P3536" s="208"/>
      <c r="Q3536" s="208"/>
      <c r="R3536" s="208"/>
    </row>
    <row r="3537">
      <c r="A3537" s="185"/>
      <c r="B3537" s="186"/>
      <c r="C3537" s="185"/>
      <c r="D3537" s="185"/>
      <c r="E3537" s="185"/>
      <c r="F3537" s="185"/>
      <c r="G3537" s="185"/>
      <c r="H3537" s="185"/>
      <c r="I3537" s="185"/>
      <c r="J3537" s="185"/>
      <c r="K3537" s="185"/>
      <c r="L3537" s="187"/>
      <c r="M3537" s="188"/>
      <c r="N3537" s="188"/>
      <c r="O3537" s="208"/>
      <c r="P3537" s="208"/>
      <c r="Q3537" s="208"/>
      <c r="R3537" s="208"/>
    </row>
    <row r="3538">
      <c r="A3538" s="185"/>
      <c r="B3538" s="186"/>
      <c r="C3538" s="185"/>
      <c r="D3538" s="185"/>
      <c r="E3538" s="185"/>
      <c r="F3538" s="185"/>
      <c r="G3538" s="185"/>
      <c r="H3538" s="185"/>
      <c r="I3538" s="185"/>
      <c r="J3538" s="185"/>
      <c r="K3538" s="185"/>
      <c r="L3538" s="187"/>
      <c r="M3538" s="188"/>
      <c r="N3538" s="188"/>
      <c r="O3538" s="208"/>
      <c r="P3538" s="208"/>
      <c r="Q3538" s="208"/>
      <c r="R3538" s="208"/>
    </row>
    <row r="3539">
      <c r="A3539" s="185"/>
      <c r="B3539" s="186"/>
      <c r="C3539" s="185"/>
      <c r="D3539" s="185"/>
      <c r="E3539" s="185"/>
      <c r="F3539" s="185"/>
      <c r="G3539" s="185"/>
      <c r="H3539" s="185"/>
      <c r="I3539" s="185"/>
      <c r="J3539" s="185"/>
      <c r="K3539" s="185"/>
      <c r="L3539" s="187"/>
      <c r="M3539" s="188"/>
      <c r="N3539" s="188"/>
      <c r="O3539" s="208"/>
      <c r="P3539" s="208"/>
      <c r="Q3539" s="208"/>
      <c r="R3539" s="208"/>
    </row>
    <row r="3540">
      <c r="A3540" s="185"/>
      <c r="B3540" s="186"/>
      <c r="C3540" s="185"/>
      <c r="D3540" s="185"/>
      <c r="E3540" s="185"/>
      <c r="F3540" s="185"/>
      <c r="G3540" s="185"/>
      <c r="H3540" s="185"/>
      <c r="I3540" s="185"/>
      <c r="J3540" s="185"/>
      <c r="K3540" s="185"/>
      <c r="L3540" s="187"/>
      <c r="M3540" s="188"/>
      <c r="N3540" s="188"/>
      <c r="O3540" s="208"/>
      <c r="P3540" s="208"/>
      <c r="Q3540" s="208"/>
      <c r="R3540" s="208"/>
    </row>
    <row r="3541">
      <c r="A3541" s="185"/>
      <c r="B3541" s="186"/>
      <c r="C3541" s="185"/>
      <c r="D3541" s="185"/>
      <c r="E3541" s="185"/>
      <c r="F3541" s="185"/>
      <c r="G3541" s="185"/>
      <c r="H3541" s="185"/>
      <c r="I3541" s="185"/>
      <c r="J3541" s="185"/>
      <c r="K3541" s="185"/>
      <c r="L3541" s="187"/>
      <c r="M3541" s="188"/>
      <c r="N3541" s="188"/>
      <c r="O3541" s="208"/>
      <c r="P3541" s="208"/>
      <c r="Q3541" s="208"/>
      <c r="R3541" s="208"/>
    </row>
    <row r="3542">
      <c r="A3542" s="185"/>
      <c r="B3542" s="186"/>
      <c r="C3542" s="185"/>
      <c r="D3542" s="185"/>
      <c r="E3542" s="185"/>
      <c r="F3542" s="185"/>
      <c r="G3542" s="185"/>
      <c r="H3542" s="185"/>
      <c r="I3542" s="185"/>
      <c r="J3542" s="185"/>
      <c r="K3542" s="185"/>
      <c r="L3542" s="187"/>
      <c r="M3542" s="188"/>
      <c r="N3542" s="188"/>
      <c r="O3542" s="208"/>
      <c r="P3542" s="208"/>
      <c r="Q3542" s="208"/>
      <c r="R3542" s="208"/>
    </row>
    <row r="3543">
      <c r="A3543" s="185"/>
      <c r="B3543" s="186"/>
      <c r="C3543" s="185"/>
      <c r="D3543" s="185"/>
      <c r="E3543" s="185"/>
      <c r="F3543" s="185"/>
      <c r="G3543" s="185"/>
      <c r="H3543" s="185"/>
      <c r="I3543" s="185"/>
      <c r="J3543" s="185"/>
      <c r="K3543" s="185"/>
      <c r="L3543" s="187"/>
      <c r="M3543" s="188"/>
      <c r="N3543" s="188"/>
      <c r="O3543" s="208"/>
      <c r="P3543" s="208"/>
      <c r="Q3543" s="208"/>
      <c r="R3543" s="208"/>
    </row>
    <row r="3544">
      <c r="A3544" s="185"/>
      <c r="B3544" s="186"/>
      <c r="C3544" s="185"/>
      <c r="D3544" s="185"/>
      <c r="E3544" s="185"/>
      <c r="F3544" s="185"/>
      <c r="G3544" s="185"/>
      <c r="H3544" s="185"/>
      <c r="I3544" s="185"/>
      <c r="J3544" s="185"/>
      <c r="K3544" s="185"/>
      <c r="L3544" s="187"/>
      <c r="M3544" s="188"/>
      <c r="N3544" s="188"/>
      <c r="O3544" s="208"/>
      <c r="P3544" s="208"/>
      <c r="Q3544" s="208"/>
      <c r="R3544" s="208"/>
    </row>
    <row r="3545">
      <c r="A3545" s="185"/>
      <c r="B3545" s="186"/>
      <c r="C3545" s="185"/>
      <c r="D3545" s="185"/>
      <c r="E3545" s="185"/>
      <c r="F3545" s="185"/>
      <c r="G3545" s="185"/>
      <c r="H3545" s="185"/>
      <c r="I3545" s="185"/>
      <c r="J3545" s="185"/>
      <c r="K3545" s="185"/>
      <c r="L3545" s="187"/>
      <c r="M3545" s="188"/>
      <c r="N3545" s="188"/>
      <c r="O3545" s="208"/>
      <c r="P3545" s="208"/>
      <c r="Q3545" s="208"/>
      <c r="R3545" s="208"/>
    </row>
    <row r="3546">
      <c r="A3546" s="185"/>
      <c r="B3546" s="186"/>
      <c r="C3546" s="185"/>
      <c r="D3546" s="185"/>
      <c r="E3546" s="185"/>
      <c r="F3546" s="185"/>
      <c r="G3546" s="185"/>
      <c r="H3546" s="185"/>
      <c r="I3546" s="185"/>
      <c r="J3546" s="185"/>
      <c r="K3546" s="185"/>
      <c r="L3546" s="187"/>
      <c r="M3546" s="188"/>
      <c r="N3546" s="188"/>
      <c r="O3546" s="208"/>
      <c r="P3546" s="208"/>
      <c r="Q3546" s="208"/>
      <c r="R3546" s="208"/>
    </row>
    <row r="3547">
      <c r="A3547" s="185"/>
      <c r="B3547" s="186"/>
      <c r="C3547" s="185"/>
      <c r="D3547" s="185"/>
      <c r="E3547" s="185"/>
      <c r="F3547" s="185"/>
      <c r="G3547" s="185"/>
      <c r="H3547" s="185"/>
      <c r="I3547" s="185"/>
      <c r="J3547" s="185"/>
      <c r="K3547" s="185"/>
      <c r="L3547" s="187"/>
      <c r="M3547" s="188"/>
      <c r="N3547" s="188"/>
      <c r="O3547" s="208"/>
      <c r="P3547" s="208"/>
      <c r="Q3547" s="208"/>
      <c r="R3547" s="208"/>
    </row>
    <row r="3548">
      <c r="A3548" s="185"/>
      <c r="B3548" s="186"/>
      <c r="C3548" s="185"/>
      <c r="D3548" s="185"/>
      <c r="E3548" s="185"/>
      <c r="F3548" s="185"/>
      <c r="G3548" s="185"/>
      <c r="H3548" s="185"/>
      <c r="I3548" s="185"/>
      <c r="J3548" s="185"/>
      <c r="K3548" s="185"/>
      <c r="L3548" s="187"/>
      <c r="M3548" s="188"/>
      <c r="N3548" s="188"/>
      <c r="O3548" s="208"/>
      <c r="P3548" s="208"/>
      <c r="Q3548" s="208"/>
      <c r="R3548" s="208"/>
    </row>
    <row r="3549">
      <c r="A3549" s="185"/>
      <c r="B3549" s="186"/>
      <c r="C3549" s="185"/>
      <c r="D3549" s="185"/>
      <c r="E3549" s="185"/>
      <c r="F3549" s="185"/>
      <c r="G3549" s="185"/>
      <c r="H3549" s="185"/>
      <c r="I3549" s="185"/>
      <c r="J3549" s="185"/>
      <c r="K3549" s="185"/>
      <c r="L3549" s="187"/>
      <c r="M3549" s="188"/>
      <c r="N3549" s="188"/>
      <c r="O3549" s="208"/>
      <c r="P3549" s="208"/>
      <c r="Q3549" s="208"/>
      <c r="R3549" s="208"/>
    </row>
    <row r="3550">
      <c r="A3550" s="185"/>
      <c r="B3550" s="186"/>
      <c r="C3550" s="185"/>
      <c r="D3550" s="185"/>
      <c r="E3550" s="185"/>
      <c r="F3550" s="185"/>
      <c r="G3550" s="185"/>
      <c r="H3550" s="185"/>
      <c r="I3550" s="185"/>
      <c r="J3550" s="185"/>
      <c r="K3550" s="185"/>
      <c r="L3550" s="187"/>
      <c r="M3550" s="188"/>
      <c r="N3550" s="188"/>
      <c r="O3550" s="208"/>
      <c r="P3550" s="208"/>
      <c r="Q3550" s="208"/>
      <c r="R3550" s="208"/>
    </row>
    <row r="3551">
      <c r="A3551" s="185"/>
      <c r="B3551" s="186"/>
      <c r="C3551" s="185"/>
      <c r="D3551" s="185"/>
      <c r="E3551" s="185"/>
      <c r="F3551" s="185"/>
      <c r="G3551" s="185"/>
      <c r="H3551" s="185"/>
      <c r="I3551" s="185"/>
      <c r="J3551" s="185"/>
      <c r="K3551" s="185"/>
      <c r="L3551" s="187"/>
      <c r="M3551" s="188"/>
      <c r="N3551" s="188"/>
      <c r="O3551" s="208"/>
      <c r="P3551" s="208"/>
      <c r="Q3551" s="208"/>
      <c r="R3551" s="208"/>
    </row>
    <row r="3552">
      <c r="A3552" s="185"/>
      <c r="B3552" s="186"/>
      <c r="C3552" s="185"/>
      <c r="D3552" s="185"/>
      <c r="E3552" s="185"/>
      <c r="F3552" s="185"/>
      <c r="G3552" s="185"/>
      <c r="H3552" s="185"/>
      <c r="I3552" s="185"/>
      <c r="J3552" s="185"/>
      <c r="K3552" s="185"/>
      <c r="L3552" s="187"/>
      <c r="M3552" s="188"/>
      <c r="N3552" s="188"/>
      <c r="O3552" s="208"/>
      <c r="P3552" s="208"/>
      <c r="Q3552" s="208"/>
      <c r="R3552" s="208"/>
    </row>
    <row r="3553">
      <c r="A3553" s="185"/>
      <c r="B3553" s="186"/>
      <c r="C3553" s="185"/>
      <c r="D3553" s="185"/>
      <c r="E3553" s="185"/>
      <c r="F3553" s="185"/>
      <c r="G3553" s="185"/>
      <c r="H3553" s="185"/>
      <c r="I3553" s="185"/>
      <c r="J3553" s="185"/>
      <c r="K3553" s="185"/>
      <c r="L3553" s="187"/>
      <c r="M3553" s="188"/>
      <c r="N3553" s="188"/>
      <c r="O3553" s="208"/>
      <c r="P3553" s="208"/>
      <c r="Q3553" s="208"/>
      <c r="R3553" s="208"/>
    </row>
    <row r="3554">
      <c r="A3554" s="185"/>
      <c r="B3554" s="186"/>
      <c r="C3554" s="185"/>
      <c r="D3554" s="185"/>
      <c r="E3554" s="185"/>
      <c r="F3554" s="185"/>
      <c r="G3554" s="185"/>
      <c r="H3554" s="185"/>
      <c r="I3554" s="185"/>
      <c r="J3554" s="185"/>
      <c r="K3554" s="185"/>
      <c r="L3554" s="187"/>
      <c r="M3554" s="188"/>
      <c r="N3554" s="188"/>
      <c r="O3554" s="208"/>
      <c r="P3554" s="208"/>
      <c r="Q3554" s="208"/>
      <c r="R3554" s="208"/>
    </row>
    <row r="3555">
      <c r="A3555" s="185"/>
      <c r="B3555" s="186"/>
      <c r="C3555" s="185"/>
      <c r="D3555" s="185"/>
      <c r="E3555" s="185"/>
      <c r="F3555" s="185"/>
      <c r="G3555" s="185"/>
      <c r="H3555" s="185"/>
      <c r="I3555" s="185"/>
      <c r="J3555" s="185"/>
      <c r="K3555" s="185"/>
      <c r="L3555" s="187"/>
      <c r="M3555" s="188"/>
      <c r="N3555" s="188"/>
      <c r="O3555" s="208"/>
      <c r="P3555" s="208"/>
      <c r="Q3555" s="208"/>
      <c r="R3555" s="208"/>
    </row>
    <row r="3556">
      <c r="A3556" s="185"/>
      <c r="B3556" s="186"/>
      <c r="C3556" s="185"/>
      <c r="D3556" s="185"/>
      <c r="E3556" s="185"/>
      <c r="F3556" s="185"/>
      <c r="G3556" s="185"/>
      <c r="H3556" s="185"/>
      <c r="I3556" s="185"/>
      <c r="J3556" s="185"/>
      <c r="K3556" s="185"/>
      <c r="L3556" s="187"/>
      <c r="M3556" s="188"/>
      <c r="N3556" s="188"/>
      <c r="O3556" s="208"/>
      <c r="P3556" s="208"/>
      <c r="Q3556" s="208"/>
      <c r="R3556" s="208"/>
    </row>
    <row r="3557">
      <c r="A3557" s="185"/>
      <c r="B3557" s="186"/>
      <c r="C3557" s="185"/>
      <c r="D3557" s="185"/>
      <c r="E3557" s="185"/>
      <c r="F3557" s="185"/>
      <c r="G3557" s="185"/>
      <c r="H3557" s="185"/>
      <c r="I3557" s="185"/>
      <c r="J3557" s="185"/>
      <c r="K3557" s="185"/>
      <c r="L3557" s="187"/>
      <c r="M3557" s="188"/>
      <c r="N3557" s="188"/>
      <c r="O3557" s="208"/>
      <c r="P3557" s="208"/>
      <c r="Q3557" s="208"/>
      <c r="R3557" s="208"/>
    </row>
    <row r="3558">
      <c r="A3558" s="185"/>
      <c r="B3558" s="186"/>
      <c r="C3558" s="185"/>
      <c r="D3558" s="185"/>
      <c r="E3558" s="185"/>
      <c r="F3558" s="185"/>
      <c r="G3558" s="185"/>
      <c r="H3558" s="185"/>
      <c r="I3558" s="185"/>
      <c r="J3558" s="185"/>
      <c r="K3558" s="185"/>
      <c r="L3558" s="187"/>
      <c r="M3558" s="188"/>
      <c r="N3558" s="188"/>
      <c r="O3558" s="208"/>
      <c r="P3558" s="208"/>
      <c r="Q3558" s="208"/>
      <c r="R3558" s="208"/>
    </row>
    <row r="3559">
      <c r="A3559" s="185"/>
      <c r="B3559" s="186"/>
      <c r="C3559" s="185"/>
      <c r="D3559" s="185"/>
      <c r="E3559" s="185"/>
      <c r="F3559" s="185"/>
      <c r="G3559" s="185"/>
      <c r="H3559" s="185"/>
      <c r="I3559" s="185"/>
      <c r="J3559" s="185"/>
      <c r="K3559" s="185"/>
      <c r="L3559" s="187"/>
      <c r="M3559" s="188"/>
      <c r="N3559" s="188"/>
      <c r="O3559" s="208"/>
      <c r="P3559" s="208"/>
      <c r="Q3559" s="208"/>
      <c r="R3559" s="208"/>
    </row>
    <row r="3560">
      <c r="A3560" s="185"/>
      <c r="B3560" s="186"/>
      <c r="C3560" s="185"/>
      <c r="D3560" s="185"/>
      <c r="E3560" s="185"/>
      <c r="F3560" s="185"/>
      <c r="G3560" s="185"/>
      <c r="H3560" s="185"/>
      <c r="I3560" s="185"/>
      <c r="J3560" s="185"/>
      <c r="K3560" s="185"/>
      <c r="L3560" s="187"/>
      <c r="M3560" s="188"/>
      <c r="N3560" s="188"/>
      <c r="O3560" s="208"/>
      <c r="P3560" s="208"/>
      <c r="Q3560" s="208"/>
      <c r="R3560" s="208"/>
    </row>
    <row r="3561">
      <c r="A3561" s="185"/>
      <c r="B3561" s="186"/>
      <c r="C3561" s="185"/>
      <c r="D3561" s="185"/>
      <c r="E3561" s="185"/>
      <c r="F3561" s="185"/>
      <c r="G3561" s="185"/>
      <c r="H3561" s="185"/>
      <c r="I3561" s="185"/>
      <c r="J3561" s="185"/>
      <c r="K3561" s="185"/>
      <c r="L3561" s="187"/>
      <c r="M3561" s="188"/>
      <c r="N3561" s="188"/>
      <c r="O3561" s="208"/>
      <c r="P3561" s="208"/>
      <c r="Q3561" s="208"/>
      <c r="R3561" s="208"/>
    </row>
    <row r="3562">
      <c r="A3562" s="185"/>
      <c r="B3562" s="186"/>
      <c r="C3562" s="185"/>
      <c r="D3562" s="185"/>
      <c r="E3562" s="185"/>
      <c r="F3562" s="185"/>
      <c r="G3562" s="185"/>
      <c r="H3562" s="185"/>
      <c r="I3562" s="185"/>
      <c r="J3562" s="185"/>
      <c r="K3562" s="185"/>
      <c r="L3562" s="187"/>
      <c r="M3562" s="188"/>
      <c r="N3562" s="188"/>
      <c r="O3562" s="208"/>
      <c r="P3562" s="208"/>
      <c r="Q3562" s="208"/>
      <c r="R3562" s="208"/>
    </row>
    <row r="3563">
      <c r="A3563" s="185"/>
      <c r="B3563" s="186"/>
      <c r="C3563" s="185"/>
      <c r="D3563" s="185"/>
      <c r="E3563" s="185"/>
      <c r="F3563" s="185"/>
      <c r="G3563" s="185"/>
      <c r="H3563" s="185"/>
      <c r="I3563" s="185"/>
      <c r="J3563" s="185"/>
      <c r="K3563" s="185"/>
      <c r="L3563" s="187"/>
      <c r="M3563" s="188"/>
      <c r="N3563" s="188"/>
      <c r="O3563" s="208"/>
      <c r="P3563" s="208"/>
      <c r="Q3563" s="208"/>
      <c r="R3563" s="208"/>
    </row>
    <row r="3564">
      <c r="A3564" s="185"/>
      <c r="B3564" s="186"/>
      <c r="C3564" s="185"/>
      <c r="D3564" s="185"/>
      <c r="E3564" s="185"/>
      <c r="F3564" s="185"/>
      <c r="G3564" s="185"/>
      <c r="H3564" s="185"/>
      <c r="I3564" s="185"/>
      <c r="J3564" s="185"/>
      <c r="K3564" s="185"/>
      <c r="L3564" s="187"/>
      <c r="M3564" s="188"/>
      <c r="N3564" s="188"/>
      <c r="O3564" s="208"/>
      <c r="P3564" s="208"/>
      <c r="Q3564" s="208"/>
      <c r="R3564" s="208"/>
    </row>
    <row r="3565">
      <c r="A3565" s="185"/>
      <c r="B3565" s="186"/>
      <c r="C3565" s="185"/>
      <c r="D3565" s="185"/>
      <c r="E3565" s="185"/>
      <c r="F3565" s="185"/>
      <c r="G3565" s="185"/>
      <c r="H3565" s="185"/>
      <c r="I3565" s="185"/>
      <c r="J3565" s="185"/>
      <c r="K3565" s="185"/>
      <c r="L3565" s="187"/>
      <c r="M3565" s="188"/>
      <c r="N3565" s="188"/>
      <c r="O3565" s="208"/>
      <c r="P3565" s="208"/>
      <c r="Q3565" s="208"/>
      <c r="R3565" s="208"/>
    </row>
    <row r="3566">
      <c r="A3566" s="185"/>
      <c r="B3566" s="186"/>
      <c r="C3566" s="185"/>
      <c r="D3566" s="185"/>
      <c r="E3566" s="185"/>
      <c r="F3566" s="185"/>
      <c r="G3566" s="185"/>
      <c r="H3566" s="185"/>
      <c r="I3566" s="185"/>
      <c r="J3566" s="185"/>
      <c r="K3566" s="185"/>
      <c r="L3566" s="187"/>
      <c r="M3566" s="188"/>
      <c r="N3566" s="188"/>
      <c r="O3566" s="208"/>
      <c r="P3566" s="208"/>
      <c r="Q3566" s="208"/>
      <c r="R3566" s="208"/>
    </row>
    <row r="3567">
      <c r="A3567" s="185"/>
      <c r="B3567" s="186"/>
      <c r="C3567" s="185"/>
      <c r="D3567" s="185"/>
      <c r="E3567" s="185"/>
      <c r="F3567" s="185"/>
      <c r="G3567" s="185"/>
      <c r="H3567" s="185"/>
      <c r="I3567" s="185"/>
      <c r="J3567" s="185"/>
      <c r="K3567" s="185"/>
      <c r="L3567" s="187"/>
      <c r="M3567" s="188"/>
      <c r="N3567" s="188"/>
      <c r="O3567" s="208"/>
      <c r="P3567" s="208"/>
      <c r="Q3567" s="208"/>
      <c r="R3567" s="208"/>
    </row>
    <row r="3568">
      <c r="A3568" s="185"/>
      <c r="B3568" s="186"/>
      <c r="C3568" s="185"/>
      <c r="D3568" s="185"/>
      <c r="E3568" s="185"/>
      <c r="F3568" s="185"/>
      <c r="G3568" s="185"/>
      <c r="H3568" s="185"/>
      <c r="I3568" s="185"/>
      <c r="J3568" s="185"/>
      <c r="K3568" s="185"/>
      <c r="L3568" s="187"/>
      <c r="M3568" s="188"/>
      <c r="N3568" s="188"/>
      <c r="O3568" s="208"/>
      <c r="P3568" s="208"/>
      <c r="Q3568" s="208"/>
      <c r="R3568" s="208"/>
    </row>
    <row r="3569">
      <c r="A3569" s="185"/>
      <c r="B3569" s="186"/>
      <c r="C3569" s="185"/>
      <c r="D3569" s="185"/>
      <c r="E3569" s="185"/>
      <c r="F3569" s="185"/>
      <c r="G3569" s="185"/>
      <c r="H3569" s="185"/>
      <c r="I3569" s="185"/>
      <c r="J3569" s="185"/>
      <c r="K3569" s="185"/>
      <c r="L3569" s="187"/>
      <c r="M3569" s="188"/>
      <c r="N3569" s="188"/>
      <c r="O3569" s="208"/>
      <c r="P3569" s="208"/>
      <c r="Q3569" s="208"/>
      <c r="R3569" s="208"/>
    </row>
    <row r="3570">
      <c r="A3570" s="185"/>
      <c r="B3570" s="186"/>
      <c r="C3570" s="185"/>
      <c r="D3570" s="185"/>
      <c r="E3570" s="185"/>
      <c r="F3570" s="185"/>
      <c r="G3570" s="185"/>
      <c r="H3570" s="185"/>
      <c r="I3570" s="185"/>
      <c r="J3570" s="185"/>
      <c r="K3570" s="185"/>
      <c r="L3570" s="187"/>
      <c r="M3570" s="188"/>
      <c r="N3570" s="188"/>
      <c r="O3570" s="208"/>
      <c r="P3570" s="208"/>
      <c r="Q3570" s="208"/>
      <c r="R3570" s="208"/>
    </row>
    <row r="3571">
      <c r="A3571" s="185"/>
      <c r="B3571" s="186"/>
      <c r="C3571" s="185"/>
      <c r="D3571" s="185"/>
      <c r="E3571" s="185"/>
      <c r="F3571" s="185"/>
      <c r="G3571" s="185"/>
      <c r="H3571" s="185"/>
      <c r="I3571" s="185"/>
      <c r="J3571" s="185"/>
      <c r="K3571" s="185"/>
      <c r="L3571" s="187"/>
      <c r="M3571" s="188"/>
      <c r="N3571" s="188"/>
      <c r="O3571" s="208"/>
      <c r="P3571" s="208"/>
      <c r="Q3571" s="208"/>
      <c r="R3571" s="208"/>
    </row>
    <row r="3572">
      <c r="A3572" s="185"/>
      <c r="B3572" s="186"/>
      <c r="C3572" s="185"/>
      <c r="D3572" s="185"/>
      <c r="E3572" s="185"/>
      <c r="F3572" s="185"/>
      <c r="G3572" s="185"/>
      <c r="H3572" s="185"/>
      <c r="I3572" s="185"/>
      <c r="J3572" s="185"/>
      <c r="K3572" s="185"/>
      <c r="L3572" s="187"/>
      <c r="M3572" s="188"/>
      <c r="N3572" s="188"/>
      <c r="O3572" s="208"/>
      <c r="P3572" s="208"/>
      <c r="Q3572" s="208"/>
      <c r="R3572" s="208"/>
    </row>
    <row r="3573">
      <c r="A3573" s="185"/>
      <c r="B3573" s="186"/>
      <c r="C3573" s="185"/>
      <c r="D3573" s="185"/>
      <c r="E3573" s="185"/>
      <c r="F3573" s="185"/>
      <c r="G3573" s="185"/>
      <c r="H3573" s="185"/>
      <c r="I3573" s="185"/>
      <c r="J3573" s="185"/>
      <c r="K3573" s="185"/>
      <c r="L3573" s="187"/>
      <c r="M3573" s="188"/>
      <c r="N3573" s="188"/>
      <c r="O3573" s="208"/>
      <c r="P3573" s="208"/>
      <c r="Q3573" s="208"/>
      <c r="R3573" s="208"/>
    </row>
    <row r="3574">
      <c r="A3574" s="185"/>
      <c r="B3574" s="186"/>
      <c r="C3574" s="185"/>
      <c r="D3574" s="185"/>
      <c r="E3574" s="185"/>
      <c r="F3574" s="185"/>
      <c r="G3574" s="185"/>
      <c r="H3574" s="185"/>
      <c r="I3574" s="185"/>
      <c r="J3574" s="185"/>
      <c r="K3574" s="185"/>
      <c r="L3574" s="187"/>
      <c r="M3574" s="188"/>
      <c r="N3574" s="188"/>
      <c r="O3574" s="208"/>
      <c r="P3574" s="208"/>
      <c r="Q3574" s="208"/>
      <c r="R3574" s="208"/>
    </row>
    <row r="3575">
      <c r="A3575" s="185"/>
      <c r="B3575" s="186"/>
      <c r="C3575" s="185"/>
      <c r="D3575" s="185"/>
      <c r="E3575" s="185"/>
      <c r="F3575" s="185"/>
      <c r="G3575" s="185"/>
      <c r="H3575" s="185"/>
      <c r="I3575" s="185"/>
      <c r="J3575" s="185"/>
      <c r="K3575" s="185"/>
      <c r="L3575" s="187"/>
      <c r="M3575" s="188"/>
      <c r="N3575" s="188"/>
      <c r="O3575" s="208"/>
      <c r="P3575" s="208"/>
      <c r="Q3575" s="208"/>
      <c r="R3575" s="208"/>
    </row>
    <row r="3576">
      <c r="A3576" s="185"/>
      <c r="B3576" s="186"/>
      <c r="C3576" s="185"/>
      <c r="D3576" s="185"/>
      <c r="E3576" s="185"/>
      <c r="F3576" s="185"/>
      <c r="G3576" s="185"/>
      <c r="H3576" s="185"/>
      <c r="I3576" s="185"/>
      <c r="J3576" s="185"/>
      <c r="K3576" s="185"/>
      <c r="L3576" s="187"/>
      <c r="M3576" s="188"/>
      <c r="N3576" s="188"/>
      <c r="O3576" s="208"/>
      <c r="P3576" s="208"/>
      <c r="Q3576" s="208"/>
      <c r="R3576" s="208"/>
    </row>
    <row r="3577">
      <c r="A3577" s="185"/>
      <c r="B3577" s="186"/>
      <c r="C3577" s="185"/>
      <c r="D3577" s="185"/>
      <c r="E3577" s="185"/>
      <c r="F3577" s="185"/>
      <c r="G3577" s="185"/>
      <c r="H3577" s="185"/>
      <c r="I3577" s="185"/>
      <c r="J3577" s="185"/>
      <c r="K3577" s="185"/>
      <c r="L3577" s="187"/>
      <c r="M3577" s="188"/>
      <c r="N3577" s="188"/>
      <c r="O3577" s="208"/>
      <c r="P3577" s="208"/>
      <c r="Q3577" s="208"/>
      <c r="R3577" s="208"/>
    </row>
    <row r="3578">
      <c r="A3578" s="185"/>
      <c r="B3578" s="186"/>
      <c r="C3578" s="185"/>
      <c r="D3578" s="185"/>
      <c r="E3578" s="185"/>
      <c r="F3578" s="185"/>
      <c r="G3578" s="185"/>
      <c r="H3578" s="185"/>
      <c r="I3578" s="185"/>
      <c r="J3578" s="185"/>
      <c r="K3578" s="185"/>
      <c r="L3578" s="187"/>
      <c r="M3578" s="188"/>
      <c r="N3578" s="188"/>
      <c r="O3578" s="208"/>
      <c r="P3578" s="208"/>
      <c r="Q3578" s="208"/>
      <c r="R3578" s="208"/>
    </row>
    <row r="3579">
      <c r="A3579" s="185"/>
      <c r="B3579" s="186"/>
      <c r="C3579" s="185"/>
      <c r="D3579" s="185"/>
      <c r="E3579" s="185"/>
      <c r="F3579" s="185"/>
      <c r="G3579" s="185"/>
      <c r="H3579" s="185"/>
      <c r="I3579" s="185"/>
      <c r="J3579" s="185"/>
      <c r="K3579" s="185"/>
      <c r="L3579" s="187"/>
      <c r="M3579" s="188"/>
      <c r="N3579" s="188"/>
      <c r="O3579" s="208"/>
      <c r="P3579" s="208"/>
      <c r="Q3579" s="208"/>
      <c r="R3579" s="208"/>
    </row>
    <row r="3580">
      <c r="A3580" s="185"/>
      <c r="B3580" s="186"/>
      <c r="C3580" s="185"/>
      <c r="D3580" s="185"/>
      <c r="E3580" s="185"/>
      <c r="F3580" s="185"/>
      <c r="G3580" s="185"/>
      <c r="H3580" s="185"/>
      <c r="I3580" s="185"/>
      <c r="J3580" s="185"/>
      <c r="K3580" s="185"/>
      <c r="L3580" s="187"/>
      <c r="M3580" s="188"/>
      <c r="N3580" s="188"/>
      <c r="O3580" s="208"/>
      <c r="P3580" s="208"/>
      <c r="Q3580" s="208"/>
      <c r="R3580" s="208"/>
    </row>
    <row r="3581">
      <c r="A3581" s="185"/>
      <c r="B3581" s="186"/>
      <c r="C3581" s="185"/>
      <c r="D3581" s="185"/>
      <c r="E3581" s="185"/>
      <c r="F3581" s="185"/>
      <c r="G3581" s="185"/>
      <c r="H3581" s="185"/>
      <c r="I3581" s="185"/>
      <c r="J3581" s="185"/>
      <c r="K3581" s="185"/>
      <c r="L3581" s="187"/>
      <c r="M3581" s="188"/>
      <c r="N3581" s="188"/>
      <c r="O3581" s="208"/>
      <c r="P3581" s="208"/>
      <c r="Q3581" s="208"/>
      <c r="R3581" s="208"/>
    </row>
    <row r="3582">
      <c r="A3582" s="185"/>
      <c r="B3582" s="186"/>
      <c r="C3582" s="185"/>
      <c r="D3582" s="185"/>
      <c r="E3582" s="185"/>
      <c r="F3582" s="185"/>
      <c r="G3582" s="185"/>
      <c r="H3582" s="185"/>
      <c r="I3582" s="185"/>
      <c r="J3582" s="185"/>
      <c r="K3582" s="185"/>
      <c r="L3582" s="187"/>
      <c r="M3582" s="188"/>
      <c r="N3582" s="188"/>
      <c r="O3582" s="208"/>
      <c r="P3582" s="208"/>
      <c r="Q3582" s="208"/>
      <c r="R3582" s="208"/>
    </row>
    <row r="3583">
      <c r="A3583" s="185"/>
      <c r="B3583" s="186"/>
      <c r="C3583" s="185"/>
      <c r="D3583" s="185"/>
      <c r="E3583" s="185"/>
      <c r="F3583" s="185"/>
      <c r="G3583" s="185"/>
      <c r="H3583" s="185"/>
      <c r="I3583" s="185"/>
      <c r="J3583" s="185"/>
      <c r="K3583" s="185"/>
      <c r="L3583" s="187"/>
      <c r="M3583" s="188"/>
      <c r="N3583" s="188"/>
      <c r="O3583" s="208"/>
      <c r="P3583" s="208"/>
      <c r="Q3583" s="208"/>
      <c r="R3583" s="208"/>
    </row>
    <row r="3584">
      <c r="A3584" s="185"/>
      <c r="B3584" s="186"/>
      <c r="C3584" s="185"/>
      <c r="D3584" s="185"/>
      <c r="E3584" s="185"/>
      <c r="F3584" s="185"/>
      <c r="G3584" s="185"/>
      <c r="H3584" s="185"/>
      <c r="I3584" s="185"/>
      <c r="J3584" s="185"/>
      <c r="K3584" s="185"/>
      <c r="L3584" s="187"/>
      <c r="M3584" s="188"/>
      <c r="N3584" s="188"/>
      <c r="O3584" s="208"/>
      <c r="P3584" s="208"/>
      <c r="Q3584" s="208"/>
      <c r="R3584" s="208"/>
    </row>
    <row r="3585">
      <c r="A3585" s="185"/>
      <c r="B3585" s="186"/>
      <c r="C3585" s="185"/>
      <c r="D3585" s="185"/>
      <c r="E3585" s="185"/>
      <c r="F3585" s="185"/>
      <c r="G3585" s="185"/>
      <c r="H3585" s="185"/>
      <c r="I3585" s="185"/>
      <c r="J3585" s="185"/>
      <c r="K3585" s="185"/>
      <c r="L3585" s="187"/>
      <c r="M3585" s="188"/>
      <c r="N3585" s="188"/>
      <c r="O3585" s="208"/>
      <c r="P3585" s="208"/>
      <c r="Q3585" s="208"/>
      <c r="R3585" s="208"/>
    </row>
    <row r="3586">
      <c r="A3586" s="185"/>
      <c r="B3586" s="186"/>
      <c r="C3586" s="185"/>
      <c r="D3586" s="185"/>
      <c r="E3586" s="185"/>
      <c r="F3586" s="185"/>
      <c r="G3586" s="185"/>
      <c r="H3586" s="185"/>
      <c r="I3586" s="185"/>
      <c r="J3586" s="185"/>
      <c r="K3586" s="185"/>
      <c r="L3586" s="187"/>
      <c r="M3586" s="188"/>
      <c r="N3586" s="188"/>
      <c r="O3586" s="208"/>
      <c r="P3586" s="208"/>
      <c r="Q3586" s="208"/>
      <c r="R3586" s="208"/>
    </row>
    <row r="3587">
      <c r="A3587" s="185"/>
      <c r="B3587" s="186"/>
      <c r="C3587" s="185"/>
      <c r="D3587" s="185"/>
      <c r="E3587" s="185"/>
      <c r="F3587" s="185"/>
      <c r="G3587" s="185"/>
      <c r="H3587" s="185"/>
      <c r="I3587" s="185"/>
      <c r="J3587" s="185"/>
      <c r="K3587" s="185"/>
      <c r="L3587" s="187"/>
      <c r="M3587" s="188"/>
      <c r="N3587" s="188"/>
      <c r="O3587" s="208"/>
      <c r="P3587" s="208"/>
      <c r="Q3587" s="208"/>
      <c r="R3587" s="208"/>
    </row>
    <row r="3588">
      <c r="A3588" s="185"/>
      <c r="B3588" s="186"/>
      <c r="C3588" s="185"/>
      <c r="D3588" s="185"/>
      <c r="E3588" s="185"/>
      <c r="F3588" s="185"/>
      <c r="G3588" s="185"/>
      <c r="H3588" s="185"/>
      <c r="I3588" s="185"/>
      <c r="J3588" s="185"/>
      <c r="K3588" s="185"/>
      <c r="L3588" s="187"/>
      <c r="M3588" s="188"/>
      <c r="N3588" s="188"/>
      <c r="O3588" s="208"/>
      <c r="P3588" s="208"/>
      <c r="Q3588" s="208"/>
      <c r="R3588" s="208"/>
    </row>
    <row r="3589">
      <c r="A3589" s="185"/>
      <c r="B3589" s="186"/>
      <c r="C3589" s="185"/>
      <c r="D3589" s="185"/>
      <c r="E3589" s="185"/>
      <c r="F3589" s="185"/>
      <c r="G3589" s="185"/>
      <c r="H3589" s="185"/>
      <c r="I3589" s="185"/>
      <c r="J3589" s="185"/>
      <c r="K3589" s="185"/>
      <c r="L3589" s="187"/>
      <c r="M3589" s="188"/>
      <c r="N3589" s="188"/>
      <c r="O3589" s="208"/>
      <c r="P3589" s="208"/>
      <c r="Q3589" s="208"/>
      <c r="R3589" s="208"/>
    </row>
    <row r="3590">
      <c r="A3590" s="185"/>
      <c r="B3590" s="186"/>
      <c r="C3590" s="185"/>
      <c r="D3590" s="185"/>
      <c r="E3590" s="185"/>
      <c r="F3590" s="185"/>
      <c r="G3590" s="185"/>
      <c r="H3590" s="185"/>
      <c r="I3590" s="185"/>
      <c r="J3590" s="185"/>
      <c r="K3590" s="185"/>
      <c r="L3590" s="187"/>
      <c r="M3590" s="188"/>
      <c r="N3590" s="188"/>
      <c r="O3590" s="208"/>
      <c r="P3590" s="208"/>
      <c r="Q3590" s="208"/>
      <c r="R3590" s="208"/>
    </row>
    <row r="3591">
      <c r="A3591" s="185"/>
      <c r="B3591" s="186"/>
      <c r="C3591" s="185"/>
      <c r="D3591" s="185"/>
      <c r="E3591" s="185"/>
      <c r="F3591" s="185"/>
      <c r="G3591" s="185"/>
      <c r="H3591" s="185"/>
      <c r="I3591" s="185"/>
      <c r="J3591" s="185"/>
      <c r="K3591" s="185"/>
      <c r="L3591" s="187"/>
      <c r="M3591" s="188"/>
      <c r="N3591" s="188"/>
      <c r="O3591" s="208"/>
      <c r="P3591" s="208"/>
      <c r="Q3591" s="208"/>
      <c r="R3591" s="208"/>
    </row>
    <row r="3592">
      <c r="A3592" s="185"/>
      <c r="B3592" s="186"/>
      <c r="C3592" s="185"/>
      <c r="D3592" s="185"/>
      <c r="E3592" s="185"/>
      <c r="F3592" s="185"/>
      <c r="G3592" s="185"/>
      <c r="H3592" s="185"/>
      <c r="I3592" s="185"/>
      <c r="J3592" s="185"/>
      <c r="K3592" s="185"/>
      <c r="L3592" s="187"/>
      <c r="M3592" s="188"/>
      <c r="N3592" s="188"/>
      <c r="O3592" s="208"/>
      <c r="P3592" s="208"/>
      <c r="Q3592" s="208"/>
      <c r="R3592" s="208"/>
    </row>
    <row r="3593">
      <c r="A3593" s="185"/>
      <c r="B3593" s="186"/>
      <c r="C3593" s="185"/>
      <c r="D3593" s="185"/>
      <c r="E3593" s="185"/>
      <c r="F3593" s="185"/>
      <c r="G3593" s="185"/>
      <c r="H3593" s="185"/>
      <c r="I3593" s="185"/>
      <c r="J3593" s="185"/>
      <c r="K3593" s="185"/>
      <c r="L3593" s="187"/>
      <c r="M3593" s="188"/>
      <c r="N3593" s="188"/>
      <c r="O3593" s="208"/>
      <c r="P3593" s="208"/>
      <c r="Q3593" s="208"/>
      <c r="R3593" s="208"/>
    </row>
    <row r="3594">
      <c r="A3594" s="185"/>
      <c r="B3594" s="186"/>
      <c r="C3594" s="185"/>
      <c r="D3594" s="185"/>
      <c r="E3594" s="185"/>
      <c r="F3594" s="185"/>
      <c r="G3594" s="185"/>
      <c r="H3594" s="185"/>
      <c r="I3594" s="185"/>
      <c r="J3594" s="185"/>
      <c r="K3594" s="185"/>
      <c r="L3594" s="187"/>
      <c r="M3594" s="188"/>
      <c r="N3594" s="188"/>
      <c r="O3594" s="208"/>
      <c r="P3594" s="208"/>
      <c r="Q3594" s="208"/>
      <c r="R3594" s="208"/>
    </row>
    <row r="3595">
      <c r="A3595" s="185"/>
      <c r="B3595" s="186"/>
      <c r="C3595" s="185"/>
      <c r="D3595" s="185"/>
      <c r="E3595" s="185"/>
      <c r="F3595" s="185"/>
      <c r="G3595" s="185"/>
      <c r="H3595" s="185"/>
      <c r="I3595" s="185"/>
      <c r="J3595" s="185"/>
      <c r="K3595" s="185"/>
      <c r="L3595" s="187"/>
      <c r="M3595" s="188"/>
      <c r="N3595" s="188"/>
      <c r="O3595" s="208"/>
      <c r="P3595" s="208"/>
      <c r="Q3595" s="208"/>
      <c r="R3595" s="208"/>
    </row>
    <row r="3596">
      <c r="A3596" s="185"/>
      <c r="B3596" s="186"/>
      <c r="C3596" s="185"/>
      <c r="D3596" s="185"/>
      <c r="E3596" s="185"/>
      <c r="F3596" s="185"/>
      <c r="G3596" s="185"/>
      <c r="H3596" s="185"/>
      <c r="I3596" s="185"/>
      <c r="J3596" s="185"/>
      <c r="K3596" s="185"/>
      <c r="L3596" s="187"/>
      <c r="M3596" s="188"/>
      <c r="N3596" s="188"/>
      <c r="O3596" s="208"/>
      <c r="P3596" s="208"/>
      <c r="Q3596" s="208"/>
      <c r="R3596" s="208"/>
    </row>
    <row r="3597">
      <c r="A3597" s="185"/>
      <c r="B3597" s="186"/>
      <c r="C3597" s="185"/>
      <c r="D3597" s="185"/>
      <c r="E3597" s="185"/>
      <c r="F3597" s="185"/>
      <c r="G3597" s="185"/>
      <c r="H3597" s="185"/>
      <c r="I3597" s="185"/>
      <c r="J3597" s="185"/>
      <c r="K3597" s="185"/>
      <c r="L3597" s="187"/>
      <c r="M3597" s="188"/>
      <c r="N3597" s="188"/>
      <c r="O3597" s="208"/>
      <c r="P3597" s="208"/>
      <c r="Q3597" s="208"/>
      <c r="R3597" s="208"/>
    </row>
    <row r="3598">
      <c r="A3598" s="185"/>
      <c r="B3598" s="186"/>
      <c r="C3598" s="185"/>
      <c r="D3598" s="185"/>
      <c r="E3598" s="185"/>
      <c r="F3598" s="185"/>
      <c r="G3598" s="185"/>
      <c r="H3598" s="185"/>
      <c r="I3598" s="185"/>
      <c r="J3598" s="185"/>
      <c r="K3598" s="185"/>
      <c r="L3598" s="187"/>
      <c r="M3598" s="188"/>
      <c r="N3598" s="188"/>
      <c r="O3598" s="208"/>
      <c r="P3598" s="208"/>
      <c r="Q3598" s="208"/>
      <c r="R3598" s="208"/>
    </row>
    <row r="3599">
      <c r="A3599" s="185"/>
      <c r="B3599" s="186"/>
      <c r="C3599" s="185"/>
      <c r="D3599" s="185"/>
      <c r="E3599" s="185"/>
      <c r="F3599" s="185"/>
      <c r="G3599" s="185"/>
      <c r="H3599" s="185"/>
      <c r="I3599" s="185"/>
      <c r="J3599" s="185"/>
      <c r="K3599" s="185"/>
      <c r="L3599" s="187"/>
      <c r="M3599" s="188"/>
      <c r="N3599" s="188"/>
      <c r="O3599" s="208"/>
      <c r="P3599" s="208"/>
      <c r="Q3599" s="208"/>
      <c r="R3599" s="208"/>
    </row>
    <row r="3600">
      <c r="A3600" s="185"/>
      <c r="B3600" s="186"/>
      <c r="C3600" s="185"/>
      <c r="D3600" s="185"/>
      <c r="E3600" s="185"/>
      <c r="F3600" s="185"/>
      <c r="G3600" s="185"/>
      <c r="H3600" s="185"/>
      <c r="I3600" s="185"/>
      <c r="J3600" s="185"/>
      <c r="K3600" s="185"/>
      <c r="L3600" s="187"/>
      <c r="M3600" s="188"/>
      <c r="N3600" s="188"/>
      <c r="O3600" s="208"/>
      <c r="P3600" s="208"/>
      <c r="Q3600" s="208"/>
      <c r="R3600" s="208"/>
    </row>
    <row r="3601">
      <c r="A3601" s="185"/>
      <c r="B3601" s="186"/>
      <c r="C3601" s="185"/>
      <c r="D3601" s="185"/>
      <c r="E3601" s="185"/>
      <c r="F3601" s="185"/>
      <c r="G3601" s="185"/>
      <c r="H3601" s="185"/>
      <c r="I3601" s="185"/>
      <c r="J3601" s="185"/>
      <c r="K3601" s="185"/>
      <c r="L3601" s="187"/>
      <c r="M3601" s="188"/>
      <c r="N3601" s="188"/>
      <c r="O3601" s="208"/>
      <c r="P3601" s="208"/>
      <c r="Q3601" s="208"/>
      <c r="R3601" s="208"/>
    </row>
    <row r="3602">
      <c r="A3602" s="185"/>
      <c r="B3602" s="186"/>
      <c r="C3602" s="185"/>
      <c r="D3602" s="185"/>
      <c r="E3602" s="185"/>
      <c r="F3602" s="185"/>
      <c r="G3602" s="185"/>
      <c r="H3602" s="185"/>
      <c r="I3602" s="185"/>
      <c r="J3602" s="185"/>
      <c r="K3602" s="185"/>
      <c r="L3602" s="187"/>
      <c r="M3602" s="188"/>
      <c r="N3602" s="188"/>
      <c r="O3602" s="208"/>
      <c r="P3602" s="208"/>
      <c r="Q3602" s="208"/>
      <c r="R3602" s="208"/>
    </row>
    <row r="3603">
      <c r="A3603" s="185"/>
      <c r="B3603" s="186"/>
      <c r="C3603" s="185"/>
      <c r="D3603" s="185"/>
      <c r="E3603" s="185"/>
      <c r="F3603" s="185"/>
      <c r="G3603" s="185"/>
      <c r="H3603" s="185"/>
      <c r="I3603" s="185"/>
      <c r="J3603" s="185"/>
      <c r="K3603" s="185"/>
      <c r="L3603" s="187"/>
      <c r="M3603" s="188"/>
      <c r="N3603" s="188"/>
      <c r="O3603" s="208"/>
      <c r="P3603" s="208"/>
      <c r="Q3603" s="208"/>
      <c r="R3603" s="208"/>
    </row>
    <row r="3604">
      <c r="A3604" s="185"/>
      <c r="B3604" s="186"/>
      <c r="C3604" s="185"/>
      <c r="D3604" s="185"/>
      <c r="E3604" s="185"/>
      <c r="F3604" s="185"/>
      <c r="G3604" s="185"/>
      <c r="H3604" s="185"/>
      <c r="I3604" s="185"/>
      <c r="J3604" s="185"/>
      <c r="K3604" s="185"/>
      <c r="L3604" s="187"/>
      <c r="M3604" s="188"/>
      <c r="N3604" s="188"/>
      <c r="O3604" s="208"/>
      <c r="P3604" s="208"/>
      <c r="Q3604" s="208"/>
      <c r="R3604" s="208"/>
    </row>
    <row r="3605">
      <c r="A3605" s="185"/>
      <c r="B3605" s="186"/>
      <c r="C3605" s="185"/>
      <c r="D3605" s="185"/>
      <c r="E3605" s="185"/>
      <c r="F3605" s="185"/>
      <c r="G3605" s="185"/>
      <c r="H3605" s="185"/>
      <c r="I3605" s="185"/>
      <c r="J3605" s="185"/>
      <c r="K3605" s="185"/>
      <c r="L3605" s="187"/>
      <c r="M3605" s="188"/>
      <c r="N3605" s="188"/>
      <c r="O3605" s="208"/>
      <c r="P3605" s="208"/>
      <c r="Q3605" s="208"/>
      <c r="R3605" s="208"/>
    </row>
    <row r="3606">
      <c r="A3606" s="185"/>
      <c r="B3606" s="186"/>
      <c r="C3606" s="185"/>
      <c r="D3606" s="185"/>
      <c r="E3606" s="185"/>
      <c r="F3606" s="185"/>
      <c r="G3606" s="185"/>
      <c r="H3606" s="185"/>
      <c r="I3606" s="185"/>
      <c r="J3606" s="185"/>
      <c r="K3606" s="185"/>
      <c r="L3606" s="187"/>
      <c r="M3606" s="188"/>
      <c r="N3606" s="188"/>
      <c r="O3606" s="208"/>
      <c r="P3606" s="208"/>
      <c r="Q3606" s="208"/>
      <c r="R3606" s="208"/>
    </row>
    <row r="3607">
      <c r="A3607" s="185"/>
      <c r="B3607" s="186"/>
      <c r="C3607" s="185"/>
      <c r="D3607" s="185"/>
      <c r="E3607" s="185"/>
      <c r="F3607" s="185"/>
      <c r="G3607" s="185"/>
      <c r="H3607" s="185"/>
      <c r="I3607" s="185"/>
      <c r="J3607" s="185"/>
      <c r="K3607" s="185"/>
      <c r="L3607" s="187"/>
      <c r="M3607" s="188"/>
      <c r="N3607" s="188"/>
      <c r="O3607" s="208"/>
      <c r="P3607" s="208"/>
      <c r="Q3607" s="208"/>
      <c r="R3607" s="208"/>
    </row>
    <row r="3608">
      <c r="A3608" s="185"/>
      <c r="B3608" s="186"/>
      <c r="C3608" s="185"/>
      <c r="D3608" s="185"/>
      <c r="E3608" s="185"/>
      <c r="F3608" s="185"/>
      <c r="G3608" s="185"/>
      <c r="H3608" s="185"/>
      <c r="I3608" s="185"/>
      <c r="J3608" s="185"/>
      <c r="K3608" s="185"/>
      <c r="L3608" s="187"/>
      <c r="M3608" s="188"/>
      <c r="N3608" s="188"/>
      <c r="O3608" s="208"/>
      <c r="P3608" s="208"/>
      <c r="Q3608" s="208"/>
      <c r="R3608" s="208"/>
    </row>
    <row r="3609">
      <c r="A3609" s="185"/>
      <c r="B3609" s="186"/>
      <c r="C3609" s="185"/>
      <c r="D3609" s="185"/>
      <c r="E3609" s="185"/>
      <c r="F3609" s="185"/>
      <c r="G3609" s="185"/>
      <c r="H3609" s="185"/>
      <c r="I3609" s="185"/>
      <c r="J3609" s="185"/>
      <c r="K3609" s="185"/>
      <c r="L3609" s="187"/>
      <c r="M3609" s="188"/>
      <c r="N3609" s="188"/>
      <c r="O3609" s="208"/>
      <c r="P3609" s="208"/>
      <c r="Q3609" s="208"/>
      <c r="R3609" s="208"/>
    </row>
    <row r="3610">
      <c r="A3610" s="185"/>
      <c r="B3610" s="186"/>
      <c r="C3610" s="185"/>
      <c r="D3610" s="185"/>
      <c r="E3610" s="185"/>
      <c r="F3610" s="185"/>
      <c r="G3610" s="185"/>
      <c r="H3610" s="185"/>
      <c r="I3610" s="185"/>
      <c r="J3610" s="185"/>
      <c r="K3610" s="185"/>
      <c r="L3610" s="187"/>
      <c r="M3610" s="188"/>
      <c r="N3610" s="188"/>
      <c r="O3610" s="208"/>
      <c r="P3610" s="208"/>
      <c r="Q3610" s="208"/>
      <c r="R3610" s="208"/>
    </row>
    <row r="3611">
      <c r="A3611" s="185"/>
      <c r="B3611" s="186"/>
      <c r="C3611" s="185"/>
      <c r="D3611" s="185"/>
      <c r="E3611" s="185"/>
      <c r="F3611" s="185"/>
      <c r="G3611" s="185"/>
      <c r="H3611" s="185"/>
      <c r="I3611" s="185"/>
      <c r="J3611" s="185"/>
      <c r="K3611" s="185"/>
      <c r="L3611" s="187"/>
      <c r="M3611" s="188"/>
      <c r="N3611" s="188"/>
      <c r="O3611" s="208"/>
      <c r="P3611" s="208"/>
      <c r="Q3611" s="208"/>
      <c r="R3611" s="208"/>
    </row>
    <row r="3612">
      <c r="A3612" s="185"/>
      <c r="B3612" s="186"/>
      <c r="C3612" s="185"/>
      <c r="D3612" s="185"/>
      <c r="E3612" s="185"/>
      <c r="F3612" s="185"/>
      <c r="G3612" s="185"/>
      <c r="H3612" s="185"/>
      <c r="I3612" s="185"/>
      <c r="J3612" s="185"/>
      <c r="K3612" s="185"/>
      <c r="L3612" s="187"/>
      <c r="M3612" s="188"/>
      <c r="N3612" s="188"/>
      <c r="O3612" s="208"/>
      <c r="P3612" s="208"/>
      <c r="Q3612" s="208"/>
      <c r="R3612" s="208"/>
    </row>
    <row r="3613">
      <c r="A3613" s="185"/>
      <c r="B3613" s="186"/>
      <c r="C3613" s="185"/>
      <c r="D3613" s="185"/>
      <c r="E3613" s="185"/>
      <c r="F3613" s="185"/>
      <c r="G3613" s="185"/>
      <c r="H3613" s="185"/>
      <c r="I3613" s="185"/>
      <c r="J3613" s="185"/>
      <c r="K3613" s="185"/>
      <c r="L3613" s="187"/>
      <c r="M3613" s="188"/>
      <c r="N3613" s="188"/>
      <c r="O3613" s="208"/>
      <c r="P3613" s="208"/>
      <c r="Q3613" s="208"/>
      <c r="R3613" s="208"/>
    </row>
    <row r="3614">
      <c r="A3614" s="185"/>
      <c r="B3614" s="186"/>
      <c r="C3614" s="185"/>
      <c r="D3614" s="185"/>
      <c r="E3614" s="185"/>
      <c r="F3614" s="185"/>
      <c r="G3614" s="185"/>
      <c r="H3614" s="185"/>
      <c r="I3614" s="185"/>
      <c r="J3614" s="185"/>
      <c r="K3614" s="185"/>
      <c r="L3614" s="187"/>
      <c r="M3614" s="188"/>
      <c r="N3614" s="188"/>
      <c r="O3614" s="208"/>
      <c r="P3614" s="208"/>
      <c r="Q3614" s="208"/>
      <c r="R3614" s="208"/>
    </row>
    <row r="3615">
      <c r="A3615" s="185"/>
      <c r="B3615" s="186"/>
      <c r="C3615" s="185"/>
      <c r="D3615" s="185"/>
      <c r="E3615" s="185"/>
      <c r="F3615" s="185"/>
      <c r="G3615" s="185"/>
      <c r="H3615" s="185"/>
      <c r="I3615" s="185"/>
      <c r="J3615" s="185"/>
      <c r="K3615" s="185"/>
      <c r="L3615" s="187"/>
      <c r="M3615" s="188"/>
      <c r="N3615" s="188"/>
      <c r="O3615" s="208"/>
      <c r="P3615" s="208"/>
      <c r="Q3615" s="208"/>
      <c r="R3615" s="208"/>
    </row>
    <row r="3616">
      <c r="A3616" s="185"/>
      <c r="B3616" s="186"/>
      <c r="C3616" s="185"/>
      <c r="D3616" s="185"/>
      <c r="E3616" s="185"/>
      <c r="F3616" s="185"/>
      <c r="G3616" s="185"/>
      <c r="H3616" s="185"/>
      <c r="I3616" s="185"/>
      <c r="J3616" s="185"/>
      <c r="K3616" s="185"/>
      <c r="L3616" s="187"/>
      <c r="M3616" s="188"/>
      <c r="N3616" s="188"/>
      <c r="O3616" s="208"/>
      <c r="P3616" s="208"/>
      <c r="Q3616" s="208"/>
      <c r="R3616" s="208"/>
    </row>
    <row r="3617">
      <c r="A3617" s="185"/>
      <c r="B3617" s="186"/>
      <c r="C3617" s="185"/>
      <c r="D3617" s="185"/>
      <c r="E3617" s="185"/>
      <c r="F3617" s="185"/>
      <c r="G3617" s="185"/>
      <c r="H3617" s="185"/>
      <c r="I3617" s="185"/>
      <c r="J3617" s="185"/>
      <c r="K3617" s="185"/>
      <c r="L3617" s="187"/>
      <c r="M3617" s="188"/>
      <c r="N3617" s="188"/>
      <c r="O3617" s="208"/>
      <c r="P3617" s="208"/>
      <c r="Q3617" s="208"/>
      <c r="R3617" s="208"/>
    </row>
    <row r="3618">
      <c r="A3618" s="185"/>
      <c r="B3618" s="186"/>
      <c r="C3618" s="185"/>
      <c r="D3618" s="185"/>
      <c r="E3618" s="185"/>
      <c r="F3618" s="185"/>
      <c r="G3618" s="185"/>
      <c r="H3618" s="185"/>
      <c r="I3618" s="185"/>
      <c r="J3618" s="185"/>
      <c r="K3618" s="185"/>
      <c r="L3618" s="187"/>
      <c r="M3618" s="188"/>
      <c r="N3618" s="188"/>
      <c r="O3618" s="208"/>
      <c r="P3618" s="208"/>
      <c r="Q3618" s="208"/>
      <c r="R3618" s="208"/>
    </row>
    <row r="3619">
      <c r="A3619" s="185"/>
      <c r="B3619" s="186"/>
      <c r="C3619" s="185"/>
      <c r="D3619" s="185"/>
      <c r="E3619" s="185"/>
      <c r="F3619" s="185"/>
      <c r="G3619" s="185"/>
      <c r="H3619" s="185"/>
      <c r="I3619" s="185"/>
      <c r="J3619" s="185"/>
      <c r="K3619" s="185"/>
      <c r="L3619" s="187"/>
      <c r="M3619" s="188"/>
      <c r="N3619" s="188"/>
      <c r="O3619" s="208"/>
      <c r="P3619" s="208"/>
      <c r="Q3619" s="208"/>
      <c r="R3619" s="208"/>
    </row>
    <row r="3620">
      <c r="A3620" s="185"/>
      <c r="B3620" s="186"/>
      <c r="C3620" s="185"/>
      <c r="D3620" s="185"/>
      <c r="E3620" s="185"/>
      <c r="F3620" s="185"/>
      <c r="G3620" s="185"/>
      <c r="H3620" s="185"/>
      <c r="I3620" s="185"/>
      <c r="J3620" s="185"/>
      <c r="K3620" s="185"/>
      <c r="L3620" s="187"/>
      <c r="M3620" s="188"/>
      <c r="N3620" s="188"/>
      <c r="O3620" s="208"/>
      <c r="P3620" s="208"/>
      <c r="Q3620" s="208"/>
      <c r="R3620" s="208"/>
    </row>
    <row r="3621">
      <c r="A3621" s="185"/>
      <c r="B3621" s="186"/>
      <c r="C3621" s="185"/>
      <c r="D3621" s="185"/>
      <c r="E3621" s="185"/>
      <c r="F3621" s="185"/>
      <c r="G3621" s="185"/>
      <c r="H3621" s="185"/>
      <c r="I3621" s="185"/>
      <c r="J3621" s="185"/>
      <c r="K3621" s="185"/>
      <c r="L3621" s="187"/>
      <c r="M3621" s="188"/>
      <c r="N3621" s="188"/>
      <c r="O3621" s="208"/>
      <c r="P3621" s="208"/>
      <c r="Q3621" s="208"/>
      <c r="R3621" s="208"/>
    </row>
    <row r="3622">
      <c r="A3622" s="185"/>
      <c r="B3622" s="186"/>
      <c r="C3622" s="185"/>
      <c r="D3622" s="185"/>
      <c r="E3622" s="185"/>
      <c r="F3622" s="185"/>
      <c r="G3622" s="185"/>
      <c r="H3622" s="185"/>
      <c r="I3622" s="185"/>
      <c r="J3622" s="185"/>
      <c r="K3622" s="185"/>
      <c r="L3622" s="187"/>
      <c r="M3622" s="188"/>
      <c r="N3622" s="188"/>
      <c r="O3622" s="208"/>
      <c r="P3622" s="208"/>
      <c r="Q3622" s="208"/>
      <c r="R3622" s="208"/>
    </row>
    <row r="3623">
      <c r="A3623" s="185"/>
      <c r="B3623" s="186"/>
      <c r="C3623" s="185"/>
      <c r="D3623" s="185"/>
      <c r="E3623" s="185"/>
      <c r="F3623" s="185"/>
      <c r="G3623" s="185"/>
      <c r="H3623" s="185"/>
      <c r="I3623" s="185"/>
      <c r="J3623" s="185"/>
      <c r="K3623" s="185"/>
      <c r="L3623" s="187"/>
      <c r="M3623" s="188"/>
      <c r="N3623" s="188"/>
      <c r="O3623" s="208"/>
      <c r="P3623" s="208"/>
      <c r="Q3623" s="208"/>
      <c r="R3623" s="208"/>
    </row>
    <row r="3624">
      <c r="A3624" s="185"/>
      <c r="B3624" s="186"/>
      <c r="C3624" s="185"/>
      <c r="D3624" s="185"/>
      <c r="E3624" s="185"/>
      <c r="F3624" s="185"/>
      <c r="G3624" s="185"/>
      <c r="H3624" s="185"/>
      <c r="I3624" s="185"/>
      <c r="J3624" s="185"/>
      <c r="K3624" s="185"/>
      <c r="L3624" s="187"/>
      <c r="M3624" s="188"/>
      <c r="N3624" s="188"/>
      <c r="O3624" s="208"/>
      <c r="P3624" s="208"/>
      <c r="Q3624" s="208"/>
      <c r="R3624" s="208"/>
    </row>
    <row r="3625">
      <c r="A3625" s="185"/>
      <c r="B3625" s="186"/>
      <c r="C3625" s="185"/>
      <c r="D3625" s="185"/>
      <c r="E3625" s="185"/>
      <c r="F3625" s="185"/>
      <c r="G3625" s="185"/>
      <c r="H3625" s="185"/>
      <c r="I3625" s="185"/>
      <c r="J3625" s="185"/>
      <c r="K3625" s="185"/>
      <c r="L3625" s="187"/>
      <c r="M3625" s="188"/>
      <c r="N3625" s="188"/>
      <c r="O3625" s="208"/>
      <c r="P3625" s="208"/>
      <c r="Q3625" s="208"/>
      <c r="R3625" s="208"/>
    </row>
    <row r="3626">
      <c r="A3626" s="185"/>
      <c r="B3626" s="186"/>
      <c r="C3626" s="185"/>
      <c r="D3626" s="185"/>
      <c r="E3626" s="185"/>
      <c r="F3626" s="185"/>
      <c r="G3626" s="185"/>
      <c r="H3626" s="185"/>
      <c r="I3626" s="185"/>
      <c r="J3626" s="185"/>
      <c r="K3626" s="185"/>
      <c r="L3626" s="187"/>
      <c r="M3626" s="188"/>
      <c r="N3626" s="188"/>
      <c r="O3626" s="208"/>
      <c r="P3626" s="208"/>
      <c r="Q3626" s="208"/>
      <c r="R3626" s="208"/>
    </row>
    <row r="3627">
      <c r="A3627" s="185"/>
      <c r="B3627" s="186"/>
      <c r="C3627" s="185"/>
      <c r="D3627" s="185"/>
      <c r="E3627" s="185"/>
      <c r="F3627" s="185"/>
      <c r="G3627" s="185"/>
      <c r="H3627" s="185"/>
      <c r="I3627" s="185"/>
      <c r="J3627" s="185"/>
      <c r="K3627" s="185"/>
      <c r="L3627" s="187"/>
      <c r="M3627" s="188"/>
      <c r="N3627" s="188"/>
      <c r="O3627" s="208"/>
      <c r="P3627" s="208"/>
      <c r="Q3627" s="208"/>
      <c r="R3627" s="208"/>
    </row>
    <row r="3628">
      <c r="A3628" s="185"/>
      <c r="B3628" s="186"/>
      <c r="C3628" s="185"/>
      <c r="D3628" s="185"/>
      <c r="E3628" s="185"/>
      <c r="F3628" s="185"/>
      <c r="G3628" s="185"/>
      <c r="H3628" s="185"/>
      <c r="I3628" s="185"/>
      <c r="J3628" s="185"/>
      <c r="K3628" s="185"/>
      <c r="L3628" s="187"/>
      <c r="M3628" s="188"/>
      <c r="N3628" s="188"/>
      <c r="O3628" s="208"/>
      <c r="P3628" s="208"/>
      <c r="Q3628" s="208"/>
      <c r="R3628" s="208"/>
    </row>
    <row r="3629">
      <c r="A3629" s="185"/>
      <c r="B3629" s="186"/>
      <c r="C3629" s="185"/>
      <c r="D3629" s="185"/>
      <c r="E3629" s="185"/>
      <c r="F3629" s="185"/>
      <c r="G3629" s="185"/>
      <c r="H3629" s="185"/>
      <c r="I3629" s="185"/>
      <c r="J3629" s="185"/>
      <c r="K3629" s="185"/>
      <c r="L3629" s="187"/>
      <c r="M3629" s="188"/>
      <c r="N3629" s="188"/>
      <c r="O3629" s="208"/>
      <c r="P3629" s="208"/>
      <c r="Q3629" s="208"/>
      <c r="R3629" s="208"/>
    </row>
    <row r="3630">
      <c r="A3630" s="185"/>
      <c r="B3630" s="186"/>
      <c r="C3630" s="185"/>
      <c r="D3630" s="185"/>
      <c r="E3630" s="185"/>
      <c r="F3630" s="185"/>
      <c r="G3630" s="185"/>
      <c r="H3630" s="185"/>
      <c r="I3630" s="185"/>
      <c r="J3630" s="185"/>
      <c r="K3630" s="185"/>
      <c r="L3630" s="187"/>
      <c r="M3630" s="188"/>
      <c r="N3630" s="188"/>
      <c r="O3630" s="208"/>
      <c r="P3630" s="208"/>
      <c r="Q3630" s="208"/>
      <c r="R3630" s="208"/>
    </row>
    <row r="3631">
      <c r="A3631" s="185"/>
      <c r="B3631" s="186"/>
      <c r="C3631" s="185"/>
      <c r="D3631" s="185"/>
      <c r="E3631" s="185"/>
      <c r="F3631" s="185"/>
      <c r="G3631" s="185"/>
      <c r="H3631" s="185"/>
      <c r="I3631" s="185"/>
      <c r="J3631" s="185"/>
      <c r="K3631" s="185"/>
      <c r="L3631" s="187"/>
      <c r="M3631" s="188"/>
      <c r="N3631" s="188"/>
      <c r="O3631" s="208"/>
      <c r="P3631" s="208"/>
      <c r="Q3631" s="208"/>
      <c r="R3631" s="208"/>
    </row>
    <row r="3632">
      <c r="A3632" s="185"/>
      <c r="B3632" s="186"/>
      <c r="C3632" s="185"/>
      <c r="D3632" s="185"/>
      <c r="E3632" s="185"/>
      <c r="F3632" s="185"/>
      <c r="G3632" s="185"/>
      <c r="H3632" s="185"/>
      <c r="I3632" s="185"/>
      <c r="J3632" s="185"/>
      <c r="K3632" s="185"/>
      <c r="L3632" s="187"/>
      <c r="M3632" s="188"/>
      <c r="N3632" s="188"/>
      <c r="O3632" s="208"/>
      <c r="P3632" s="208"/>
      <c r="Q3632" s="208"/>
      <c r="R3632" s="208"/>
    </row>
    <row r="3633">
      <c r="A3633" s="185"/>
      <c r="B3633" s="186"/>
      <c r="C3633" s="185"/>
      <c r="D3633" s="185"/>
      <c r="E3633" s="185"/>
      <c r="F3633" s="185"/>
      <c r="G3633" s="185"/>
      <c r="H3633" s="185"/>
      <c r="I3633" s="185"/>
      <c r="J3633" s="185"/>
      <c r="K3633" s="185"/>
      <c r="L3633" s="187"/>
      <c r="M3633" s="188"/>
      <c r="N3633" s="188"/>
      <c r="O3633" s="208"/>
      <c r="P3633" s="208"/>
      <c r="Q3633" s="208"/>
      <c r="R3633" s="208"/>
    </row>
    <row r="3634">
      <c r="A3634" s="185"/>
      <c r="B3634" s="186"/>
      <c r="C3634" s="185"/>
      <c r="D3634" s="185"/>
      <c r="E3634" s="185"/>
      <c r="F3634" s="185"/>
      <c r="G3634" s="185"/>
      <c r="H3634" s="185"/>
      <c r="I3634" s="185"/>
      <c r="J3634" s="185"/>
      <c r="K3634" s="185"/>
      <c r="L3634" s="187"/>
      <c r="M3634" s="188"/>
      <c r="N3634" s="188"/>
      <c r="O3634" s="208"/>
      <c r="P3634" s="208"/>
      <c r="Q3634" s="208"/>
      <c r="R3634" s="208"/>
    </row>
    <row r="3635">
      <c r="A3635" s="185"/>
      <c r="B3635" s="186"/>
      <c r="C3635" s="185"/>
      <c r="D3635" s="185"/>
      <c r="E3635" s="185"/>
      <c r="F3635" s="185"/>
      <c r="G3635" s="185"/>
      <c r="H3635" s="185"/>
      <c r="I3635" s="185"/>
      <c r="J3635" s="185"/>
      <c r="K3635" s="185"/>
      <c r="L3635" s="187"/>
      <c r="M3635" s="188"/>
      <c r="N3635" s="188"/>
      <c r="O3635" s="208"/>
      <c r="P3635" s="208"/>
      <c r="Q3635" s="208"/>
      <c r="R3635" s="208"/>
    </row>
    <row r="3636">
      <c r="A3636" s="185"/>
      <c r="B3636" s="186"/>
      <c r="C3636" s="185"/>
      <c r="D3636" s="185"/>
      <c r="E3636" s="185"/>
      <c r="F3636" s="185"/>
      <c r="G3636" s="185"/>
      <c r="H3636" s="185"/>
      <c r="I3636" s="185"/>
      <c r="J3636" s="185"/>
      <c r="K3636" s="185"/>
      <c r="L3636" s="187"/>
      <c r="M3636" s="188"/>
      <c r="N3636" s="188"/>
      <c r="O3636" s="208"/>
      <c r="P3636" s="208"/>
      <c r="Q3636" s="208"/>
      <c r="R3636" s="208"/>
    </row>
    <row r="3637">
      <c r="A3637" s="185"/>
      <c r="B3637" s="186"/>
      <c r="C3637" s="185"/>
      <c r="D3637" s="185"/>
      <c r="E3637" s="185"/>
      <c r="F3637" s="185"/>
      <c r="G3637" s="185"/>
      <c r="H3637" s="185"/>
      <c r="I3637" s="185"/>
      <c r="J3637" s="185"/>
      <c r="K3637" s="185"/>
      <c r="L3637" s="187"/>
      <c r="M3637" s="188"/>
      <c r="N3637" s="188"/>
      <c r="O3637" s="208"/>
      <c r="P3637" s="208"/>
      <c r="Q3637" s="208"/>
      <c r="R3637" s="208"/>
    </row>
    <row r="3638">
      <c r="A3638" s="185"/>
      <c r="B3638" s="186"/>
      <c r="C3638" s="185"/>
      <c r="D3638" s="185"/>
      <c r="E3638" s="185"/>
      <c r="F3638" s="185"/>
      <c r="G3638" s="185"/>
      <c r="H3638" s="185"/>
      <c r="I3638" s="185"/>
      <c r="J3638" s="185"/>
      <c r="K3638" s="185"/>
      <c r="L3638" s="187"/>
      <c r="M3638" s="188"/>
      <c r="N3638" s="188"/>
      <c r="O3638" s="208"/>
      <c r="P3638" s="208"/>
      <c r="Q3638" s="208"/>
      <c r="R3638" s="208"/>
    </row>
    <row r="3639">
      <c r="A3639" s="185"/>
      <c r="B3639" s="186"/>
      <c r="C3639" s="185"/>
      <c r="D3639" s="185"/>
      <c r="E3639" s="185"/>
      <c r="F3639" s="185"/>
      <c r="G3639" s="185"/>
      <c r="H3639" s="185"/>
      <c r="I3639" s="185"/>
      <c r="J3639" s="185"/>
      <c r="K3639" s="185"/>
      <c r="L3639" s="187"/>
      <c r="M3639" s="188"/>
      <c r="N3639" s="188"/>
      <c r="O3639" s="208"/>
      <c r="P3639" s="208"/>
      <c r="Q3639" s="208"/>
      <c r="R3639" s="208"/>
    </row>
    <row r="3640">
      <c r="A3640" s="185"/>
      <c r="B3640" s="186"/>
      <c r="C3640" s="185"/>
      <c r="D3640" s="185"/>
      <c r="E3640" s="185"/>
      <c r="F3640" s="185"/>
      <c r="G3640" s="185"/>
      <c r="H3640" s="185"/>
      <c r="I3640" s="185"/>
      <c r="J3640" s="185"/>
      <c r="K3640" s="185"/>
      <c r="L3640" s="187"/>
      <c r="M3640" s="188"/>
      <c r="N3640" s="188"/>
      <c r="O3640" s="208"/>
      <c r="P3640" s="208"/>
      <c r="Q3640" s="208"/>
      <c r="R3640" s="208"/>
    </row>
    <row r="3641">
      <c r="A3641" s="185"/>
      <c r="B3641" s="186"/>
      <c r="C3641" s="185"/>
      <c r="D3641" s="185"/>
      <c r="E3641" s="185"/>
      <c r="F3641" s="185"/>
      <c r="G3641" s="185"/>
      <c r="H3641" s="185"/>
      <c r="I3641" s="185"/>
      <c r="J3641" s="185"/>
      <c r="K3641" s="185"/>
      <c r="L3641" s="187"/>
      <c r="M3641" s="188"/>
      <c r="N3641" s="188"/>
      <c r="O3641" s="208"/>
      <c r="P3641" s="208"/>
      <c r="Q3641" s="208"/>
      <c r="R3641" s="208"/>
    </row>
    <row r="3642">
      <c r="A3642" s="185"/>
      <c r="B3642" s="186"/>
      <c r="C3642" s="185"/>
      <c r="D3642" s="185"/>
      <c r="E3642" s="185"/>
      <c r="F3642" s="185"/>
      <c r="G3642" s="185"/>
      <c r="H3642" s="185"/>
      <c r="I3642" s="185"/>
      <c r="J3642" s="185"/>
      <c r="K3642" s="185"/>
      <c r="L3642" s="187"/>
      <c r="M3642" s="188"/>
      <c r="N3642" s="188"/>
      <c r="O3642" s="208"/>
      <c r="P3642" s="208"/>
      <c r="Q3642" s="208"/>
      <c r="R3642" s="208"/>
    </row>
    <row r="3643">
      <c r="A3643" s="185"/>
      <c r="B3643" s="186"/>
      <c r="C3643" s="185"/>
      <c r="D3643" s="185"/>
      <c r="E3643" s="185"/>
      <c r="F3643" s="185"/>
      <c r="G3643" s="185"/>
      <c r="H3643" s="185"/>
      <c r="I3643" s="185"/>
      <c r="J3643" s="185"/>
      <c r="K3643" s="185"/>
      <c r="L3643" s="187"/>
      <c r="M3643" s="188"/>
      <c r="N3643" s="188"/>
      <c r="O3643" s="208"/>
      <c r="P3643" s="208"/>
      <c r="Q3643" s="208"/>
      <c r="R3643" s="208"/>
    </row>
    <row r="3644">
      <c r="A3644" s="185"/>
      <c r="B3644" s="186"/>
      <c r="C3644" s="185"/>
      <c r="D3644" s="185"/>
      <c r="E3644" s="185"/>
      <c r="F3644" s="185"/>
      <c r="G3644" s="185"/>
      <c r="H3644" s="185"/>
      <c r="I3644" s="185"/>
      <c r="J3644" s="185"/>
      <c r="K3644" s="185"/>
      <c r="L3644" s="187"/>
      <c r="M3644" s="188"/>
      <c r="N3644" s="188"/>
      <c r="O3644" s="208"/>
      <c r="P3644" s="208"/>
      <c r="Q3644" s="208"/>
      <c r="R3644" s="208"/>
    </row>
    <row r="3645">
      <c r="A3645" s="185"/>
      <c r="B3645" s="186"/>
      <c r="C3645" s="185"/>
      <c r="D3645" s="185"/>
      <c r="E3645" s="185"/>
      <c r="F3645" s="185"/>
      <c r="G3645" s="185"/>
      <c r="H3645" s="185"/>
      <c r="I3645" s="185"/>
      <c r="J3645" s="185"/>
      <c r="K3645" s="185"/>
      <c r="L3645" s="187"/>
      <c r="M3645" s="188"/>
      <c r="N3645" s="188"/>
      <c r="O3645" s="208"/>
      <c r="P3645" s="208"/>
      <c r="Q3645" s="208"/>
      <c r="R3645" s="208"/>
    </row>
    <row r="3646">
      <c r="A3646" s="185"/>
      <c r="B3646" s="186"/>
      <c r="C3646" s="185"/>
      <c r="D3646" s="185"/>
      <c r="E3646" s="185"/>
      <c r="F3646" s="185"/>
      <c r="G3646" s="185"/>
      <c r="H3646" s="185"/>
      <c r="I3646" s="185"/>
      <c r="J3646" s="185"/>
      <c r="K3646" s="185"/>
      <c r="L3646" s="187"/>
      <c r="M3646" s="188"/>
      <c r="N3646" s="188"/>
      <c r="O3646" s="208"/>
      <c r="P3646" s="208"/>
      <c r="Q3646" s="208"/>
      <c r="R3646" s="208"/>
    </row>
    <row r="3647">
      <c r="A3647" s="185"/>
      <c r="B3647" s="186"/>
      <c r="C3647" s="185"/>
      <c r="D3647" s="185"/>
      <c r="E3647" s="185"/>
      <c r="F3647" s="185"/>
      <c r="G3647" s="185"/>
      <c r="H3647" s="185"/>
      <c r="I3647" s="185"/>
      <c r="J3647" s="185"/>
      <c r="K3647" s="185"/>
      <c r="L3647" s="187"/>
      <c r="M3647" s="188"/>
      <c r="N3647" s="188"/>
      <c r="O3647" s="208"/>
      <c r="P3647" s="208"/>
      <c r="Q3647" s="208"/>
      <c r="R3647" s="208"/>
    </row>
    <row r="3648">
      <c r="A3648" s="185"/>
      <c r="B3648" s="186"/>
      <c r="C3648" s="185"/>
      <c r="D3648" s="185"/>
      <c r="E3648" s="185"/>
      <c r="F3648" s="185"/>
      <c r="G3648" s="185"/>
      <c r="H3648" s="185"/>
      <c r="I3648" s="185"/>
      <c r="J3648" s="185"/>
      <c r="K3648" s="185"/>
      <c r="L3648" s="187"/>
      <c r="M3648" s="188"/>
      <c r="N3648" s="188"/>
      <c r="O3648" s="208"/>
      <c r="P3648" s="208"/>
      <c r="Q3648" s="208"/>
      <c r="R3648" s="208"/>
    </row>
    <row r="3649">
      <c r="A3649" s="185"/>
      <c r="B3649" s="186"/>
      <c r="C3649" s="185"/>
      <c r="D3649" s="185"/>
      <c r="E3649" s="185"/>
      <c r="F3649" s="185"/>
      <c r="G3649" s="185"/>
      <c r="H3649" s="185"/>
      <c r="I3649" s="185"/>
      <c r="J3649" s="185"/>
      <c r="K3649" s="185"/>
      <c r="L3649" s="187"/>
      <c r="M3649" s="188"/>
      <c r="N3649" s="188"/>
      <c r="O3649" s="208"/>
      <c r="P3649" s="208"/>
      <c r="Q3649" s="208"/>
      <c r="R3649" s="208"/>
    </row>
    <row r="3650">
      <c r="A3650" s="185"/>
      <c r="B3650" s="186"/>
      <c r="C3650" s="185"/>
      <c r="D3650" s="185"/>
      <c r="E3650" s="185"/>
      <c r="F3650" s="185"/>
      <c r="G3650" s="185"/>
      <c r="H3650" s="185"/>
      <c r="I3650" s="185"/>
      <c r="J3650" s="185"/>
      <c r="K3650" s="185"/>
      <c r="L3650" s="187"/>
      <c r="M3650" s="188"/>
      <c r="N3650" s="188"/>
      <c r="O3650" s="208"/>
      <c r="P3650" s="208"/>
      <c r="Q3650" s="208"/>
      <c r="R3650" s="208"/>
    </row>
    <row r="3651">
      <c r="A3651" s="185"/>
      <c r="B3651" s="186"/>
      <c r="C3651" s="185"/>
      <c r="D3651" s="185"/>
      <c r="E3651" s="185"/>
      <c r="F3651" s="185"/>
      <c r="G3651" s="185"/>
      <c r="H3651" s="185"/>
      <c r="I3651" s="185"/>
      <c r="J3651" s="185"/>
      <c r="K3651" s="185"/>
      <c r="L3651" s="187"/>
      <c r="M3651" s="188"/>
      <c r="N3651" s="188"/>
      <c r="O3651" s="208"/>
      <c r="P3651" s="208"/>
      <c r="Q3651" s="208"/>
      <c r="R3651" s="208"/>
    </row>
    <row r="3652">
      <c r="A3652" s="185"/>
      <c r="B3652" s="186"/>
      <c r="C3652" s="185"/>
      <c r="D3652" s="185"/>
      <c r="E3652" s="185"/>
      <c r="F3652" s="185"/>
      <c r="G3652" s="185"/>
      <c r="H3652" s="185"/>
      <c r="I3652" s="185"/>
      <c r="J3652" s="185"/>
      <c r="K3652" s="185"/>
      <c r="L3652" s="187"/>
      <c r="M3652" s="188"/>
      <c r="N3652" s="188"/>
      <c r="O3652" s="208"/>
      <c r="P3652" s="208"/>
      <c r="Q3652" s="208"/>
      <c r="R3652" s="208"/>
    </row>
    <row r="3653">
      <c r="A3653" s="185"/>
      <c r="B3653" s="186"/>
      <c r="C3653" s="185"/>
      <c r="D3653" s="185"/>
      <c r="E3653" s="185"/>
      <c r="F3653" s="185"/>
      <c r="G3653" s="185"/>
      <c r="H3653" s="185"/>
      <c r="I3653" s="185"/>
      <c r="J3653" s="185"/>
      <c r="K3653" s="185"/>
      <c r="L3653" s="187"/>
      <c r="M3653" s="188"/>
      <c r="N3653" s="188"/>
      <c r="O3653" s="208"/>
      <c r="P3653" s="208"/>
      <c r="Q3653" s="208"/>
      <c r="R3653" s="208"/>
    </row>
    <row r="3654">
      <c r="A3654" s="185"/>
      <c r="B3654" s="186"/>
      <c r="C3654" s="185"/>
      <c r="D3654" s="185"/>
      <c r="E3654" s="185"/>
      <c r="F3654" s="185"/>
      <c r="G3654" s="185"/>
      <c r="H3654" s="185"/>
      <c r="I3654" s="185"/>
      <c r="J3654" s="185"/>
      <c r="K3654" s="185"/>
      <c r="L3654" s="187"/>
      <c r="M3654" s="188"/>
      <c r="N3654" s="188"/>
      <c r="O3654" s="208"/>
      <c r="P3654" s="208"/>
      <c r="Q3654" s="208"/>
      <c r="R3654" s="208"/>
    </row>
    <row r="3655">
      <c r="A3655" s="185"/>
      <c r="B3655" s="186"/>
      <c r="C3655" s="185"/>
      <c r="D3655" s="185"/>
      <c r="E3655" s="185"/>
      <c r="F3655" s="185"/>
      <c r="G3655" s="185"/>
      <c r="H3655" s="185"/>
      <c r="I3655" s="185"/>
      <c r="J3655" s="185"/>
      <c r="K3655" s="185"/>
      <c r="L3655" s="187"/>
      <c r="M3655" s="188"/>
      <c r="N3655" s="188"/>
      <c r="O3655" s="208"/>
      <c r="P3655" s="208"/>
      <c r="Q3655" s="208"/>
      <c r="R3655" s="208"/>
    </row>
    <row r="3656">
      <c r="A3656" s="185"/>
      <c r="B3656" s="186"/>
      <c r="C3656" s="185"/>
      <c r="D3656" s="185"/>
      <c r="E3656" s="185"/>
      <c r="F3656" s="185"/>
      <c r="G3656" s="185"/>
      <c r="H3656" s="185"/>
      <c r="I3656" s="185"/>
      <c r="J3656" s="185"/>
      <c r="K3656" s="185"/>
      <c r="L3656" s="187"/>
      <c r="M3656" s="188"/>
      <c r="N3656" s="188"/>
      <c r="O3656" s="208"/>
      <c r="P3656" s="208"/>
      <c r="Q3656" s="208"/>
      <c r="R3656" s="208"/>
    </row>
    <row r="3657">
      <c r="A3657" s="185"/>
      <c r="B3657" s="186"/>
      <c r="C3657" s="185"/>
      <c r="D3657" s="185"/>
      <c r="E3657" s="185"/>
      <c r="F3657" s="185"/>
      <c r="G3657" s="185"/>
      <c r="H3657" s="185"/>
      <c r="I3657" s="185"/>
      <c r="J3657" s="185"/>
      <c r="K3657" s="185"/>
      <c r="L3657" s="187"/>
      <c r="M3657" s="188"/>
      <c r="N3657" s="188"/>
      <c r="O3657" s="208"/>
      <c r="P3657" s="208"/>
      <c r="Q3657" s="208"/>
      <c r="R3657" s="208"/>
    </row>
    <row r="3658">
      <c r="A3658" s="185"/>
      <c r="B3658" s="186"/>
      <c r="C3658" s="185"/>
      <c r="D3658" s="185"/>
      <c r="E3658" s="185"/>
      <c r="F3658" s="185"/>
      <c r="G3658" s="185"/>
      <c r="H3658" s="185"/>
      <c r="I3658" s="185"/>
      <c r="J3658" s="185"/>
      <c r="K3658" s="185"/>
      <c r="L3658" s="187"/>
      <c r="M3658" s="188"/>
      <c r="N3658" s="188"/>
      <c r="O3658" s="208"/>
      <c r="P3658" s="208"/>
      <c r="Q3658" s="208"/>
      <c r="R3658" s="208"/>
    </row>
    <row r="3659">
      <c r="A3659" s="185"/>
      <c r="B3659" s="186"/>
      <c r="C3659" s="185"/>
      <c r="D3659" s="185"/>
      <c r="E3659" s="185"/>
      <c r="F3659" s="185"/>
      <c r="G3659" s="185"/>
      <c r="H3659" s="185"/>
      <c r="I3659" s="185"/>
      <c r="J3659" s="185"/>
      <c r="K3659" s="185"/>
      <c r="L3659" s="187"/>
      <c r="M3659" s="188"/>
      <c r="N3659" s="188"/>
      <c r="O3659" s="208"/>
      <c r="P3659" s="208"/>
      <c r="Q3659" s="208"/>
      <c r="R3659" s="208"/>
    </row>
    <row r="3660">
      <c r="A3660" s="185"/>
      <c r="B3660" s="186"/>
      <c r="C3660" s="185"/>
      <c r="D3660" s="185"/>
      <c r="E3660" s="185"/>
      <c r="F3660" s="185"/>
      <c r="G3660" s="185"/>
      <c r="H3660" s="185"/>
      <c r="I3660" s="185"/>
      <c r="J3660" s="185"/>
      <c r="K3660" s="185"/>
      <c r="L3660" s="187"/>
      <c r="M3660" s="188"/>
      <c r="N3660" s="188"/>
      <c r="O3660" s="208"/>
      <c r="P3660" s="208"/>
      <c r="Q3660" s="208"/>
      <c r="R3660" s="208"/>
    </row>
    <row r="3661">
      <c r="A3661" s="185"/>
      <c r="B3661" s="186"/>
      <c r="C3661" s="185"/>
      <c r="D3661" s="185"/>
      <c r="E3661" s="185"/>
      <c r="F3661" s="185"/>
      <c r="G3661" s="185"/>
      <c r="H3661" s="185"/>
      <c r="I3661" s="185"/>
      <c r="J3661" s="185"/>
      <c r="K3661" s="185"/>
      <c r="L3661" s="187"/>
      <c r="M3661" s="188"/>
      <c r="N3661" s="188"/>
      <c r="O3661" s="208"/>
      <c r="P3661" s="208"/>
      <c r="Q3661" s="208"/>
      <c r="R3661" s="208"/>
    </row>
    <row r="3662">
      <c r="A3662" s="185"/>
      <c r="B3662" s="186"/>
      <c r="C3662" s="185"/>
      <c r="D3662" s="185"/>
      <c r="E3662" s="185"/>
      <c r="F3662" s="185"/>
      <c r="G3662" s="185"/>
      <c r="H3662" s="185"/>
      <c r="I3662" s="185"/>
      <c r="J3662" s="185"/>
      <c r="K3662" s="185"/>
      <c r="L3662" s="187"/>
      <c r="M3662" s="188"/>
      <c r="N3662" s="188"/>
      <c r="O3662" s="208"/>
      <c r="P3662" s="208"/>
      <c r="Q3662" s="208"/>
      <c r="R3662" s="208"/>
    </row>
    <row r="3663">
      <c r="A3663" s="185"/>
      <c r="B3663" s="186"/>
      <c r="C3663" s="185"/>
      <c r="D3663" s="185"/>
      <c r="E3663" s="185"/>
      <c r="F3663" s="185"/>
      <c r="G3663" s="185"/>
      <c r="H3663" s="185"/>
      <c r="I3663" s="185"/>
      <c r="J3663" s="185"/>
      <c r="K3663" s="185"/>
      <c r="L3663" s="187"/>
      <c r="M3663" s="188"/>
      <c r="N3663" s="188"/>
      <c r="O3663" s="208"/>
      <c r="P3663" s="208"/>
      <c r="Q3663" s="208"/>
      <c r="R3663" s="208"/>
    </row>
    <row r="3664">
      <c r="A3664" s="185"/>
      <c r="B3664" s="186"/>
      <c r="C3664" s="185"/>
      <c r="D3664" s="185"/>
      <c r="E3664" s="185"/>
      <c r="F3664" s="185"/>
      <c r="G3664" s="185"/>
      <c r="H3664" s="185"/>
      <c r="I3664" s="185"/>
      <c r="J3664" s="185"/>
      <c r="K3664" s="185"/>
      <c r="L3664" s="187"/>
      <c r="M3664" s="188"/>
      <c r="N3664" s="188"/>
      <c r="O3664" s="208"/>
      <c r="P3664" s="208"/>
      <c r="Q3664" s="208"/>
      <c r="R3664" s="208"/>
    </row>
    <row r="3665">
      <c r="A3665" s="185"/>
      <c r="B3665" s="186"/>
      <c r="C3665" s="185"/>
      <c r="D3665" s="185"/>
      <c r="E3665" s="185"/>
      <c r="F3665" s="185"/>
      <c r="G3665" s="185"/>
      <c r="H3665" s="185"/>
      <c r="I3665" s="185"/>
      <c r="J3665" s="185"/>
      <c r="K3665" s="185"/>
      <c r="L3665" s="187"/>
      <c r="M3665" s="188"/>
      <c r="N3665" s="188"/>
      <c r="O3665" s="208"/>
      <c r="P3665" s="208"/>
      <c r="Q3665" s="208"/>
      <c r="R3665" s="208"/>
    </row>
    <row r="3666">
      <c r="A3666" s="185"/>
      <c r="B3666" s="186"/>
      <c r="C3666" s="185"/>
      <c r="D3666" s="185"/>
      <c r="E3666" s="185"/>
      <c r="F3666" s="185"/>
      <c r="G3666" s="185"/>
      <c r="H3666" s="185"/>
      <c r="I3666" s="185"/>
      <c r="J3666" s="185"/>
      <c r="K3666" s="185"/>
      <c r="L3666" s="187"/>
      <c r="M3666" s="188"/>
      <c r="N3666" s="188"/>
      <c r="O3666" s="208"/>
      <c r="P3666" s="208"/>
      <c r="Q3666" s="208"/>
      <c r="R3666" s="208"/>
    </row>
    <row r="3667">
      <c r="A3667" s="185"/>
      <c r="B3667" s="186"/>
      <c r="C3667" s="185"/>
      <c r="D3667" s="185"/>
      <c r="E3667" s="185"/>
      <c r="F3667" s="185"/>
      <c r="G3667" s="185"/>
      <c r="H3667" s="185"/>
      <c r="I3667" s="185"/>
      <c r="J3667" s="185"/>
      <c r="K3667" s="185"/>
      <c r="L3667" s="187"/>
      <c r="M3667" s="188"/>
      <c r="N3667" s="188"/>
      <c r="O3667" s="208"/>
      <c r="P3667" s="208"/>
      <c r="Q3667" s="208"/>
      <c r="R3667" s="208"/>
    </row>
    <row r="3668">
      <c r="A3668" s="185"/>
      <c r="B3668" s="186"/>
      <c r="C3668" s="185"/>
      <c r="D3668" s="185"/>
      <c r="E3668" s="185"/>
      <c r="F3668" s="185"/>
      <c r="G3668" s="185"/>
      <c r="H3668" s="185"/>
      <c r="I3668" s="185"/>
      <c r="J3668" s="185"/>
      <c r="K3668" s="185"/>
      <c r="L3668" s="187"/>
      <c r="M3668" s="188"/>
      <c r="N3668" s="188"/>
      <c r="O3668" s="208"/>
      <c r="P3668" s="208"/>
      <c r="Q3668" s="208"/>
      <c r="R3668" s="208"/>
    </row>
    <row r="3669">
      <c r="A3669" s="185"/>
      <c r="B3669" s="186"/>
      <c r="C3669" s="185"/>
      <c r="D3669" s="185"/>
      <c r="E3669" s="185"/>
      <c r="F3669" s="185"/>
      <c r="G3669" s="185"/>
      <c r="H3669" s="185"/>
      <c r="I3669" s="185"/>
      <c r="J3669" s="185"/>
      <c r="K3669" s="185"/>
      <c r="L3669" s="187"/>
      <c r="M3669" s="188"/>
      <c r="N3669" s="188"/>
      <c r="O3669" s="208"/>
      <c r="P3669" s="208"/>
      <c r="Q3669" s="208"/>
      <c r="R3669" s="208"/>
    </row>
    <row r="3670">
      <c r="A3670" s="185"/>
      <c r="B3670" s="186"/>
      <c r="C3670" s="185"/>
      <c r="D3670" s="185"/>
      <c r="E3670" s="185"/>
      <c r="F3670" s="185"/>
      <c r="G3670" s="185"/>
      <c r="H3670" s="185"/>
      <c r="I3670" s="185"/>
      <c r="J3670" s="185"/>
      <c r="K3670" s="185"/>
      <c r="L3670" s="187"/>
      <c r="M3670" s="188"/>
      <c r="N3670" s="188"/>
      <c r="O3670" s="208"/>
      <c r="P3670" s="208"/>
      <c r="Q3670" s="208"/>
      <c r="R3670" s="208"/>
    </row>
    <row r="3671">
      <c r="A3671" s="185"/>
      <c r="B3671" s="186"/>
      <c r="C3671" s="185"/>
      <c r="D3671" s="185"/>
      <c r="E3671" s="185"/>
      <c r="F3671" s="185"/>
      <c r="G3671" s="185"/>
      <c r="H3671" s="185"/>
      <c r="I3671" s="185"/>
      <c r="J3671" s="185"/>
      <c r="K3671" s="185"/>
      <c r="L3671" s="187"/>
      <c r="M3671" s="188"/>
      <c r="N3671" s="188"/>
      <c r="O3671" s="208"/>
      <c r="P3671" s="208"/>
      <c r="Q3671" s="208"/>
      <c r="R3671" s="208"/>
    </row>
    <row r="3672">
      <c r="A3672" s="185"/>
      <c r="B3672" s="186"/>
      <c r="C3672" s="185"/>
      <c r="D3672" s="185"/>
      <c r="E3672" s="185"/>
      <c r="F3672" s="185"/>
      <c r="G3672" s="185"/>
      <c r="H3672" s="185"/>
      <c r="I3672" s="185"/>
      <c r="J3672" s="185"/>
      <c r="K3672" s="185"/>
      <c r="L3672" s="187"/>
      <c r="M3672" s="188"/>
      <c r="N3672" s="188"/>
      <c r="O3672" s="208"/>
      <c r="P3672" s="208"/>
      <c r="Q3672" s="208"/>
      <c r="R3672" s="208"/>
    </row>
    <row r="3673">
      <c r="A3673" s="185"/>
      <c r="B3673" s="186"/>
      <c r="C3673" s="185"/>
      <c r="D3673" s="185"/>
      <c r="E3673" s="185"/>
      <c r="F3673" s="185"/>
      <c r="G3673" s="185"/>
      <c r="H3673" s="185"/>
      <c r="I3673" s="185"/>
      <c r="J3673" s="185"/>
      <c r="K3673" s="185"/>
      <c r="L3673" s="187"/>
      <c r="M3673" s="188"/>
      <c r="N3673" s="188"/>
      <c r="O3673" s="208"/>
      <c r="P3673" s="208"/>
      <c r="Q3673" s="208"/>
      <c r="R3673" s="208"/>
    </row>
    <row r="3674">
      <c r="A3674" s="185"/>
      <c r="B3674" s="186"/>
      <c r="C3674" s="185"/>
      <c r="D3674" s="185"/>
      <c r="E3674" s="185"/>
      <c r="F3674" s="185"/>
      <c r="G3674" s="185"/>
      <c r="H3674" s="185"/>
      <c r="I3674" s="185"/>
      <c r="J3674" s="185"/>
      <c r="K3674" s="185"/>
      <c r="L3674" s="187"/>
      <c r="M3674" s="188"/>
      <c r="N3674" s="188"/>
      <c r="O3674" s="208"/>
      <c r="P3674" s="208"/>
      <c r="Q3674" s="208"/>
      <c r="R3674" s="208"/>
    </row>
    <row r="3675">
      <c r="A3675" s="185"/>
      <c r="B3675" s="186"/>
      <c r="C3675" s="185"/>
      <c r="D3675" s="185"/>
      <c r="E3675" s="185"/>
      <c r="F3675" s="185"/>
      <c r="G3675" s="185"/>
      <c r="H3675" s="185"/>
      <c r="I3675" s="185"/>
      <c r="J3675" s="185"/>
      <c r="K3675" s="185"/>
      <c r="L3675" s="187"/>
      <c r="M3675" s="188"/>
      <c r="N3675" s="188"/>
      <c r="O3675" s="208"/>
      <c r="P3675" s="208"/>
      <c r="Q3675" s="208"/>
      <c r="R3675" s="208"/>
    </row>
    <row r="3676">
      <c r="A3676" s="185"/>
      <c r="B3676" s="186"/>
      <c r="C3676" s="185"/>
      <c r="D3676" s="185"/>
      <c r="E3676" s="185"/>
      <c r="F3676" s="185"/>
      <c r="G3676" s="185"/>
      <c r="H3676" s="185"/>
      <c r="I3676" s="185"/>
      <c r="J3676" s="185"/>
      <c r="K3676" s="185"/>
      <c r="L3676" s="187"/>
      <c r="M3676" s="188"/>
      <c r="N3676" s="188"/>
      <c r="O3676" s="208"/>
      <c r="P3676" s="208"/>
      <c r="Q3676" s="208"/>
      <c r="R3676" s="208"/>
    </row>
    <row r="3677">
      <c r="A3677" s="185"/>
      <c r="B3677" s="186"/>
      <c r="C3677" s="185"/>
      <c r="D3677" s="185"/>
      <c r="E3677" s="185"/>
      <c r="F3677" s="185"/>
      <c r="G3677" s="185"/>
      <c r="H3677" s="185"/>
      <c r="I3677" s="185"/>
      <c r="J3677" s="185"/>
      <c r="K3677" s="185"/>
      <c r="L3677" s="187"/>
      <c r="M3677" s="188"/>
      <c r="N3677" s="188"/>
      <c r="O3677" s="208"/>
      <c r="P3677" s="208"/>
      <c r="Q3677" s="208"/>
      <c r="R3677" s="208"/>
    </row>
    <row r="3678">
      <c r="A3678" s="185"/>
      <c r="B3678" s="186"/>
      <c r="C3678" s="185"/>
      <c r="D3678" s="185"/>
      <c r="E3678" s="185"/>
      <c r="F3678" s="185"/>
      <c r="G3678" s="185"/>
      <c r="H3678" s="185"/>
      <c r="I3678" s="185"/>
      <c r="J3678" s="185"/>
      <c r="K3678" s="185"/>
      <c r="L3678" s="187"/>
      <c r="M3678" s="188"/>
      <c r="N3678" s="188"/>
      <c r="O3678" s="208"/>
      <c r="P3678" s="208"/>
      <c r="Q3678" s="208"/>
      <c r="R3678" s="208"/>
    </row>
    <row r="3679">
      <c r="A3679" s="185"/>
      <c r="B3679" s="186"/>
      <c r="C3679" s="185"/>
      <c r="D3679" s="185"/>
      <c r="E3679" s="185"/>
      <c r="F3679" s="185"/>
      <c r="G3679" s="185"/>
      <c r="H3679" s="185"/>
      <c r="I3679" s="185"/>
      <c r="J3679" s="185"/>
      <c r="K3679" s="185"/>
      <c r="L3679" s="187"/>
      <c r="M3679" s="188"/>
      <c r="N3679" s="188"/>
      <c r="O3679" s="208"/>
      <c r="P3679" s="208"/>
      <c r="Q3679" s="208"/>
      <c r="R3679" s="208"/>
    </row>
    <row r="3680">
      <c r="A3680" s="185"/>
      <c r="B3680" s="186"/>
      <c r="C3680" s="185"/>
      <c r="D3680" s="185"/>
      <c r="E3680" s="185"/>
      <c r="F3680" s="185"/>
      <c r="G3680" s="185"/>
      <c r="H3680" s="185"/>
      <c r="I3680" s="185"/>
      <c r="J3680" s="185"/>
      <c r="K3680" s="185"/>
      <c r="L3680" s="187"/>
      <c r="M3680" s="188"/>
      <c r="N3680" s="188"/>
      <c r="O3680" s="208"/>
      <c r="P3680" s="208"/>
      <c r="Q3680" s="208"/>
      <c r="R3680" s="208"/>
    </row>
    <row r="3681">
      <c r="A3681" s="185"/>
      <c r="B3681" s="186"/>
      <c r="C3681" s="185"/>
      <c r="D3681" s="185"/>
      <c r="E3681" s="185"/>
      <c r="F3681" s="185"/>
      <c r="G3681" s="185"/>
      <c r="H3681" s="185"/>
      <c r="I3681" s="185"/>
      <c r="J3681" s="185"/>
      <c r="K3681" s="185"/>
      <c r="L3681" s="187"/>
      <c r="M3681" s="188"/>
      <c r="N3681" s="188"/>
      <c r="O3681" s="208"/>
      <c r="P3681" s="208"/>
      <c r="Q3681" s="208"/>
      <c r="R3681" s="208"/>
    </row>
    <row r="3682">
      <c r="A3682" s="185"/>
      <c r="B3682" s="186"/>
      <c r="C3682" s="185"/>
      <c r="D3682" s="185"/>
      <c r="E3682" s="185"/>
      <c r="F3682" s="185"/>
      <c r="G3682" s="185"/>
      <c r="H3682" s="185"/>
      <c r="I3682" s="185"/>
      <c r="J3682" s="185"/>
      <c r="K3682" s="185"/>
      <c r="L3682" s="187"/>
      <c r="M3682" s="188"/>
      <c r="N3682" s="188"/>
      <c r="O3682" s="208"/>
      <c r="P3682" s="208"/>
      <c r="Q3682" s="208"/>
      <c r="R3682" s="208"/>
    </row>
    <row r="3683">
      <c r="A3683" s="185"/>
      <c r="B3683" s="186"/>
      <c r="C3683" s="185"/>
      <c r="D3683" s="185"/>
      <c r="E3683" s="185"/>
      <c r="F3683" s="185"/>
      <c r="G3683" s="185"/>
      <c r="H3683" s="185"/>
      <c r="I3683" s="185"/>
      <c r="J3683" s="185"/>
      <c r="K3683" s="185"/>
      <c r="L3683" s="187"/>
      <c r="M3683" s="188"/>
      <c r="N3683" s="188"/>
      <c r="O3683" s="208"/>
      <c r="P3683" s="208"/>
      <c r="Q3683" s="208"/>
      <c r="R3683" s="208"/>
    </row>
    <row r="3684">
      <c r="A3684" s="185"/>
      <c r="B3684" s="186"/>
      <c r="C3684" s="185"/>
      <c r="D3684" s="185"/>
      <c r="E3684" s="185"/>
      <c r="F3684" s="185"/>
      <c r="G3684" s="185"/>
      <c r="H3684" s="185"/>
      <c r="I3684" s="185"/>
      <c r="J3684" s="185"/>
      <c r="K3684" s="185"/>
      <c r="L3684" s="187"/>
      <c r="M3684" s="188"/>
      <c r="N3684" s="188"/>
      <c r="O3684" s="208"/>
      <c r="P3684" s="208"/>
      <c r="Q3684" s="208"/>
      <c r="R3684" s="208"/>
    </row>
    <row r="3685">
      <c r="A3685" s="185"/>
      <c r="B3685" s="186"/>
      <c r="C3685" s="185"/>
      <c r="D3685" s="185"/>
      <c r="E3685" s="185"/>
      <c r="F3685" s="185"/>
      <c r="G3685" s="185"/>
      <c r="H3685" s="185"/>
      <c r="I3685" s="185"/>
      <c r="J3685" s="185"/>
      <c r="K3685" s="185"/>
      <c r="L3685" s="187"/>
      <c r="M3685" s="188"/>
      <c r="N3685" s="188"/>
      <c r="O3685" s="208"/>
      <c r="P3685" s="208"/>
      <c r="Q3685" s="208"/>
      <c r="R3685" s="208"/>
    </row>
    <row r="3686">
      <c r="A3686" s="185"/>
      <c r="B3686" s="186"/>
      <c r="C3686" s="185"/>
      <c r="D3686" s="185"/>
      <c r="E3686" s="185"/>
      <c r="F3686" s="185"/>
      <c r="G3686" s="185"/>
      <c r="H3686" s="185"/>
      <c r="I3686" s="185"/>
      <c r="J3686" s="185"/>
      <c r="K3686" s="185"/>
      <c r="L3686" s="187"/>
      <c r="M3686" s="188"/>
      <c r="N3686" s="188"/>
      <c r="O3686" s="208"/>
      <c r="P3686" s="208"/>
      <c r="Q3686" s="208"/>
      <c r="R3686" s="208"/>
    </row>
    <row r="3687">
      <c r="A3687" s="185"/>
      <c r="B3687" s="186"/>
      <c r="C3687" s="185"/>
      <c r="D3687" s="185"/>
      <c r="E3687" s="185"/>
      <c r="F3687" s="185"/>
      <c r="G3687" s="185"/>
      <c r="H3687" s="185"/>
      <c r="I3687" s="185"/>
      <c r="J3687" s="185"/>
      <c r="K3687" s="185"/>
      <c r="L3687" s="187"/>
      <c r="M3687" s="188"/>
      <c r="N3687" s="188"/>
      <c r="O3687" s="208"/>
      <c r="P3687" s="208"/>
      <c r="Q3687" s="208"/>
      <c r="R3687" s="208"/>
    </row>
    <row r="3688">
      <c r="A3688" s="185"/>
      <c r="B3688" s="186"/>
      <c r="C3688" s="185"/>
      <c r="D3688" s="185"/>
      <c r="E3688" s="185"/>
      <c r="F3688" s="185"/>
      <c r="G3688" s="185"/>
      <c r="H3688" s="185"/>
      <c r="I3688" s="185"/>
      <c r="J3688" s="185"/>
      <c r="K3688" s="185"/>
      <c r="L3688" s="187"/>
      <c r="M3688" s="188"/>
      <c r="N3688" s="188"/>
      <c r="O3688" s="208"/>
      <c r="P3688" s="208"/>
      <c r="Q3688" s="208"/>
      <c r="R3688" s="208"/>
    </row>
    <row r="3689">
      <c r="A3689" s="185"/>
      <c r="B3689" s="186"/>
      <c r="C3689" s="185"/>
      <c r="D3689" s="185"/>
      <c r="E3689" s="185"/>
      <c r="F3689" s="185"/>
      <c r="G3689" s="185"/>
      <c r="H3689" s="185"/>
      <c r="I3689" s="185"/>
      <c r="J3689" s="185"/>
      <c r="K3689" s="185"/>
      <c r="L3689" s="187"/>
      <c r="M3689" s="188"/>
      <c r="N3689" s="188"/>
      <c r="O3689" s="208"/>
      <c r="P3689" s="208"/>
      <c r="Q3689" s="208"/>
      <c r="R3689" s="208"/>
    </row>
    <row r="3690">
      <c r="A3690" s="185"/>
      <c r="B3690" s="186"/>
      <c r="C3690" s="185"/>
      <c r="D3690" s="185"/>
      <c r="E3690" s="185"/>
      <c r="F3690" s="185"/>
      <c r="G3690" s="185"/>
      <c r="H3690" s="185"/>
      <c r="I3690" s="185"/>
      <c r="J3690" s="185"/>
      <c r="K3690" s="185"/>
      <c r="L3690" s="187"/>
      <c r="M3690" s="188"/>
      <c r="N3690" s="188"/>
      <c r="O3690" s="208"/>
      <c r="P3690" s="208"/>
      <c r="Q3690" s="208"/>
      <c r="R3690" s="208"/>
    </row>
    <row r="3691">
      <c r="A3691" s="185"/>
      <c r="B3691" s="186"/>
      <c r="C3691" s="185"/>
      <c r="D3691" s="185"/>
      <c r="E3691" s="185"/>
      <c r="F3691" s="185"/>
      <c r="G3691" s="185"/>
      <c r="H3691" s="185"/>
      <c r="I3691" s="185"/>
      <c r="J3691" s="185"/>
      <c r="K3691" s="185"/>
      <c r="L3691" s="187"/>
      <c r="M3691" s="188"/>
      <c r="N3691" s="188"/>
      <c r="O3691" s="208"/>
      <c r="P3691" s="208"/>
      <c r="Q3691" s="208"/>
      <c r="R3691" s="208"/>
    </row>
    <row r="3692">
      <c r="A3692" s="185"/>
      <c r="B3692" s="186"/>
      <c r="C3692" s="185"/>
      <c r="D3692" s="185"/>
      <c r="E3692" s="185"/>
      <c r="F3692" s="185"/>
      <c r="G3692" s="185"/>
      <c r="H3692" s="185"/>
      <c r="I3692" s="185"/>
      <c r="J3692" s="185"/>
      <c r="K3692" s="185"/>
      <c r="L3692" s="187"/>
      <c r="M3692" s="188"/>
      <c r="N3692" s="188"/>
      <c r="O3692" s="208"/>
      <c r="P3692" s="208"/>
      <c r="Q3692" s="208"/>
      <c r="R3692" s="208"/>
    </row>
    <row r="3693">
      <c r="A3693" s="185"/>
      <c r="B3693" s="186"/>
      <c r="C3693" s="185"/>
      <c r="D3693" s="185"/>
      <c r="E3693" s="185"/>
      <c r="F3693" s="185"/>
      <c r="G3693" s="185"/>
      <c r="H3693" s="185"/>
      <c r="I3693" s="185"/>
      <c r="J3693" s="185"/>
      <c r="K3693" s="185"/>
      <c r="L3693" s="187"/>
      <c r="M3693" s="188"/>
      <c r="N3693" s="188"/>
      <c r="O3693" s="208"/>
      <c r="P3693" s="208"/>
      <c r="Q3693" s="208"/>
      <c r="R3693" s="208"/>
    </row>
    <row r="3694">
      <c r="A3694" s="185"/>
      <c r="B3694" s="186"/>
      <c r="C3694" s="185"/>
      <c r="D3694" s="185"/>
      <c r="E3694" s="185"/>
      <c r="F3694" s="185"/>
      <c r="G3694" s="185"/>
      <c r="H3694" s="185"/>
      <c r="I3694" s="185"/>
      <c r="J3694" s="185"/>
      <c r="K3694" s="185"/>
      <c r="L3694" s="187"/>
      <c r="M3694" s="188"/>
      <c r="N3694" s="188"/>
      <c r="O3694" s="208"/>
      <c r="P3694" s="208"/>
      <c r="Q3694" s="208"/>
      <c r="R3694" s="208"/>
    </row>
    <row r="3695">
      <c r="A3695" s="185"/>
      <c r="B3695" s="186"/>
      <c r="C3695" s="185"/>
      <c r="D3695" s="185"/>
      <c r="E3695" s="185"/>
      <c r="F3695" s="185"/>
      <c r="G3695" s="185"/>
      <c r="H3695" s="185"/>
      <c r="I3695" s="185"/>
      <c r="J3695" s="185"/>
      <c r="K3695" s="185"/>
      <c r="L3695" s="187"/>
      <c r="M3695" s="188"/>
      <c r="N3695" s="188"/>
      <c r="O3695" s="208"/>
      <c r="P3695" s="208"/>
      <c r="Q3695" s="208"/>
      <c r="R3695" s="208"/>
    </row>
    <row r="3696">
      <c r="A3696" s="185"/>
      <c r="B3696" s="186"/>
      <c r="C3696" s="185"/>
      <c r="D3696" s="185"/>
      <c r="E3696" s="185"/>
      <c r="F3696" s="185"/>
      <c r="G3696" s="185"/>
      <c r="H3696" s="185"/>
      <c r="I3696" s="185"/>
      <c r="J3696" s="185"/>
      <c r="K3696" s="185"/>
      <c r="L3696" s="187"/>
      <c r="M3696" s="188"/>
      <c r="N3696" s="188"/>
      <c r="O3696" s="208"/>
      <c r="P3696" s="208"/>
      <c r="Q3696" s="208"/>
      <c r="R3696" s="208"/>
    </row>
    <row r="3697">
      <c r="A3697" s="185"/>
      <c r="B3697" s="186"/>
      <c r="C3697" s="185"/>
      <c r="D3697" s="185"/>
      <c r="E3697" s="185"/>
      <c r="F3697" s="185"/>
      <c r="G3697" s="185"/>
      <c r="H3697" s="185"/>
      <c r="I3697" s="185"/>
      <c r="J3697" s="185"/>
      <c r="K3697" s="185"/>
      <c r="L3697" s="187"/>
      <c r="M3697" s="188"/>
      <c r="N3697" s="188"/>
      <c r="O3697" s="208"/>
      <c r="P3697" s="208"/>
      <c r="Q3697" s="208"/>
      <c r="R3697" s="208"/>
    </row>
    <row r="3698">
      <c r="A3698" s="185"/>
      <c r="B3698" s="186"/>
      <c r="C3698" s="185"/>
      <c r="D3698" s="185"/>
      <c r="E3698" s="185"/>
      <c r="F3698" s="185"/>
      <c r="G3698" s="185"/>
      <c r="H3698" s="185"/>
      <c r="I3698" s="185"/>
      <c r="J3698" s="185"/>
      <c r="K3698" s="185"/>
      <c r="L3698" s="187"/>
      <c r="M3698" s="188"/>
      <c r="N3698" s="188"/>
      <c r="O3698" s="208"/>
      <c r="P3698" s="208"/>
      <c r="Q3698" s="208"/>
      <c r="R3698" s="208"/>
    </row>
    <row r="3699">
      <c r="A3699" s="185"/>
      <c r="B3699" s="186"/>
      <c r="C3699" s="185"/>
      <c r="D3699" s="185"/>
      <c r="E3699" s="185"/>
      <c r="F3699" s="185"/>
      <c r="G3699" s="185"/>
      <c r="H3699" s="185"/>
      <c r="I3699" s="185"/>
      <c r="J3699" s="185"/>
      <c r="K3699" s="185"/>
      <c r="L3699" s="187"/>
      <c r="M3699" s="188"/>
      <c r="N3699" s="188"/>
      <c r="O3699" s="208"/>
      <c r="P3699" s="208"/>
      <c r="Q3699" s="208"/>
      <c r="R3699" s="208"/>
    </row>
    <row r="3700">
      <c r="A3700" s="185"/>
      <c r="B3700" s="186"/>
      <c r="C3700" s="185"/>
      <c r="D3700" s="185"/>
      <c r="E3700" s="185"/>
      <c r="F3700" s="185"/>
      <c r="G3700" s="185"/>
      <c r="H3700" s="185"/>
      <c r="I3700" s="185"/>
      <c r="J3700" s="185"/>
      <c r="K3700" s="185"/>
      <c r="L3700" s="187"/>
      <c r="M3700" s="188"/>
      <c r="N3700" s="188"/>
      <c r="O3700" s="208"/>
      <c r="P3700" s="208"/>
      <c r="Q3700" s="208"/>
      <c r="R3700" s="208"/>
    </row>
    <row r="3701">
      <c r="A3701" s="185"/>
      <c r="B3701" s="186"/>
      <c r="C3701" s="185"/>
      <c r="D3701" s="185"/>
      <c r="E3701" s="185"/>
      <c r="F3701" s="185"/>
      <c r="G3701" s="185"/>
      <c r="H3701" s="185"/>
      <c r="I3701" s="185"/>
      <c r="J3701" s="185"/>
      <c r="K3701" s="185"/>
      <c r="L3701" s="187"/>
      <c r="M3701" s="188"/>
      <c r="N3701" s="188"/>
      <c r="O3701" s="208"/>
      <c r="P3701" s="208"/>
      <c r="Q3701" s="208"/>
      <c r="R3701" s="208"/>
    </row>
    <row r="3702">
      <c r="A3702" s="185"/>
      <c r="B3702" s="186"/>
      <c r="C3702" s="185"/>
      <c r="D3702" s="185"/>
      <c r="E3702" s="185"/>
      <c r="F3702" s="185"/>
      <c r="G3702" s="185"/>
      <c r="H3702" s="185"/>
      <c r="I3702" s="185"/>
      <c r="J3702" s="185"/>
      <c r="K3702" s="185"/>
      <c r="L3702" s="187"/>
      <c r="M3702" s="188"/>
      <c r="N3702" s="188"/>
      <c r="O3702" s="208"/>
      <c r="P3702" s="208"/>
      <c r="Q3702" s="208"/>
      <c r="R3702" s="208"/>
    </row>
    <row r="3703">
      <c r="A3703" s="185"/>
      <c r="B3703" s="186"/>
      <c r="C3703" s="185"/>
      <c r="D3703" s="185"/>
      <c r="E3703" s="185"/>
      <c r="F3703" s="185"/>
      <c r="G3703" s="185"/>
      <c r="H3703" s="185"/>
      <c r="I3703" s="185"/>
      <c r="J3703" s="185"/>
      <c r="K3703" s="185"/>
      <c r="L3703" s="187"/>
      <c r="M3703" s="188"/>
      <c r="N3703" s="188"/>
      <c r="O3703" s="208"/>
      <c r="P3703" s="208"/>
      <c r="Q3703" s="208"/>
      <c r="R3703" s="208"/>
    </row>
    <row r="3704">
      <c r="A3704" s="185"/>
      <c r="B3704" s="186"/>
      <c r="C3704" s="185"/>
      <c r="D3704" s="185"/>
      <c r="E3704" s="185"/>
      <c r="F3704" s="185"/>
      <c r="G3704" s="185"/>
      <c r="H3704" s="185"/>
      <c r="I3704" s="185"/>
      <c r="J3704" s="185"/>
      <c r="K3704" s="185"/>
      <c r="L3704" s="187"/>
      <c r="M3704" s="188"/>
      <c r="N3704" s="188"/>
      <c r="O3704" s="208"/>
      <c r="P3704" s="208"/>
      <c r="Q3704" s="208"/>
      <c r="R3704" s="208"/>
    </row>
    <row r="3705">
      <c r="A3705" s="185"/>
      <c r="B3705" s="186"/>
      <c r="C3705" s="185"/>
      <c r="D3705" s="185"/>
      <c r="E3705" s="185"/>
      <c r="F3705" s="185"/>
      <c r="G3705" s="185"/>
      <c r="H3705" s="185"/>
      <c r="I3705" s="185"/>
      <c r="J3705" s="185"/>
      <c r="K3705" s="185"/>
      <c r="L3705" s="187"/>
      <c r="M3705" s="188"/>
      <c r="N3705" s="188"/>
      <c r="O3705" s="208"/>
      <c r="P3705" s="208"/>
      <c r="Q3705" s="208"/>
      <c r="R3705" s="208"/>
    </row>
    <row r="3706">
      <c r="A3706" s="185"/>
      <c r="B3706" s="186"/>
      <c r="C3706" s="185"/>
      <c r="D3706" s="185"/>
      <c r="E3706" s="185"/>
      <c r="F3706" s="185"/>
      <c r="G3706" s="185"/>
      <c r="H3706" s="185"/>
      <c r="I3706" s="185"/>
      <c r="J3706" s="185"/>
      <c r="K3706" s="185"/>
      <c r="L3706" s="187"/>
      <c r="M3706" s="188"/>
      <c r="N3706" s="188"/>
      <c r="O3706" s="208"/>
      <c r="P3706" s="208"/>
      <c r="Q3706" s="208"/>
      <c r="R3706" s="208"/>
    </row>
    <row r="3707">
      <c r="A3707" s="185"/>
      <c r="B3707" s="186"/>
      <c r="C3707" s="185"/>
      <c r="D3707" s="185"/>
      <c r="E3707" s="185"/>
      <c r="F3707" s="185"/>
      <c r="G3707" s="185"/>
      <c r="H3707" s="185"/>
      <c r="I3707" s="185"/>
      <c r="J3707" s="185"/>
      <c r="K3707" s="185"/>
      <c r="L3707" s="187"/>
      <c r="M3707" s="188"/>
      <c r="N3707" s="188"/>
      <c r="O3707" s="208"/>
      <c r="P3707" s="208"/>
      <c r="Q3707" s="208"/>
      <c r="R3707" s="208"/>
    </row>
    <row r="3708">
      <c r="A3708" s="185"/>
      <c r="B3708" s="186"/>
      <c r="C3708" s="185"/>
      <c r="D3708" s="185"/>
      <c r="E3708" s="185"/>
      <c r="F3708" s="185"/>
      <c r="G3708" s="185"/>
      <c r="H3708" s="185"/>
      <c r="I3708" s="185"/>
      <c r="J3708" s="185"/>
      <c r="K3708" s="185"/>
      <c r="L3708" s="187"/>
      <c r="M3708" s="188"/>
      <c r="N3708" s="188"/>
      <c r="O3708" s="208"/>
      <c r="P3708" s="208"/>
      <c r="Q3708" s="208"/>
      <c r="R3708" s="208"/>
    </row>
    <row r="3709">
      <c r="A3709" s="185"/>
      <c r="B3709" s="186"/>
      <c r="C3709" s="185"/>
      <c r="D3709" s="185"/>
      <c r="E3709" s="185"/>
      <c r="F3709" s="185"/>
      <c r="G3709" s="185"/>
      <c r="H3709" s="185"/>
      <c r="I3709" s="185"/>
      <c r="J3709" s="185"/>
      <c r="K3709" s="185"/>
      <c r="L3709" s="187"/>
      <c r="M3709" s="188"/>
      <c r="N3709" s="188"/>
      <c r="O3709" s="208"/>
      <c r="P3709" s="208"/>
      <c r="Q3709" s="208"/>
      <c r="R3709" s="208"/>
    </row>
    <row r="3710">
      <c r="A3710" s="185"/>
      <c r="B3710" s="186"/>
      <c r="C3710" s="185"/>
      <c r="D3710" s="185"/>
      <c r="E3710" s="185"/>
      <c r="F3710" s="185"/>
      <c r="G3710" s="185"/>
      <c r="H3710" s="185"/>
      <c r="I3710" s="185"/>
      <c r="J3710" s="185"/>
      <c r="K3710" s="185"/>
      <c r="L3710" s="187"/>
      <c r="M3710" s="188"/>
      <c r="N3710" s="188"/>
      <c r="O3710" s="208"/>
      <c r="P3710" s="208"/>
      <c r="Q3710" s="208"/>
      <c r="R3710" s="208"/>
    </row>
    <row r="3711">
      <c r="A3711" s="185"/>
      <c r="B3711" s="186"/>
      <c r="C3711" s="185"/>
      <c r="D3711" s="185"/>
      <c r="E3711" s="185"/>
      <c r="F3711" s="185"/>
      <c r="G3711" s="185"/>
      <c r="H3711" s="185"/>
      <c r="I3711" s="185"/>
      <c r="J3711" s="185"/>
      <c r="K3711" s="185"/>
      <c r="L3711" s="187"/>
      <c r="M3711" s="188"/>
      <c r="N3711" s="188"/>
      <c r="O3711" s="208"/>
      <c r="P3711" s="208"/>
      <c r="Q3711" s="208"/>
      <c r="R3711" s="208"/>
    </row>
    <row r="3712">
      <c r="A3712" s="185"/>
      <c r="B3712" s="186"/>
      <c r="C3712" s="185"/>
      <c r="D3712" s="185"/>
      <c r="E3712" s="185"/>
      <c r="F3712" s="185"/>
      <c r="G3712" s="185"/>
      <c r="H3712" s="185"/>
      <c r="I3712" s="185"/>
      <c r="J3712" s="185"/>
      <c r="K3712" s="185"/>
      <c r="L3712" s="187"/>
      <c r="M3712" s="188"/>
      <c r="N3712" s="188"/>
      <c r="O3712" s="208"/>
      <c r="P3712" s="208"/>
      <c r="Q3712" s="208"/>
      <c r="R3712" s="208"/>
    </row>
    <row r="3713">
      <c r="A3713" s="185"/>
      <c r="B3713" s="186"/>
      <c r="C3713" s="185"/>
      <c r="D3713" s="185"/>
      <c r="E3713" s="185"/>
      <c r="F3713" s="185"/>
      <c r="G3713" s="185"/>
      <c r="H3713" s="185"/>
      <c r="I3713" s="185"/>
      <c r="J3713" s="185"/>
      <c r="K3713" s="185"/>
      <c r="L3713" s="187"/>
      <c r="M3713" s="188"/>
      <c r="N3713" s="188"/>
      <c r="O3713" s="208"/>
      <c r="P3713" s="208"/>
      <c r="Q3713" s="208"/>
      <c r="R3713" s="208"/>
    </row>
    <row r="3714">
      <c r="A3714" s="185"/>
      <c r="B3714" s="186"/>
      <c r="C3714" s="185"/>
      <c r="D3714" s="185"/>
      <c r="E3714" s="185"/>
      <c r="F3714" s="185"/>
      <c r="G3714" s="185"/>
      <c r="H3714" s="185"/>
      <c r="I3714" s="185"/>
      <c r="J3714" s="185"/>
      <c r="K3714" s="185"/>
      <c r="L3714" s="187"/>
      <c r="M3714" s="188"/>
      <c r="N3714" s="188"/>
      <c r="O3714" s="208"/>
      <c r="P3714" s="208"/>
      <c r="Q3714" s="208"/>
      <c r="R3714" s="208"/>
    </row>
    <row r="3715">
      <c r="A3715" s="185"/>
      <c r="B3715" s="186"/>
      <c r="C3715" s="185"/>
      <c r="D3715" s="185"/>
      <c r="E3715" s="185"/>
      <c r="F3715" s="185"/>
      <c r="G3715" s="185"/>
      <c r="H3715" s="185"/>
      <c r="I3715" s="185"/>
      <c r="J3715" s="185"/>
      <c r="K3715" s="185"/>
      <c r="L3715" s="187"/>
      <c r="M3715" s="188"/>
      <c r="N3715" s="188"/>
      <c r="O3715" s="208"/>
      <c r="P3715" s="208"/>
      <c r="Q3715" s="208"/>
      <c r="R3715" s="208"/>
    </row>
    <row r="3716">
      <c r="A3716" s="185"/>
      <c r="B3716" s="186"/>
      <c r="C3716" s="185"/>
      <c r="D3716" s="185"/>
      <c r="E3716" s="185"/>
      <c r="F3716" s="185"/>
      <c r="G3716" s="185"/>
      <c r="H3716" s="185"/>
      <c r="I3716" s="185"/>
      <c r="J3716" s="185"/>
      <c r="K3716" s="185"/>
      <c r="L3716" s="187"/>
      <c r="M3716" s="188"/>
      <c r="N3716" s="188"/>
      <c r="O3716" s="208"/>
      <c r="P3716" s="208"/>
      <c r="Q3716" s="208"/>
      <c r="R3716" s="208"/>
    </row>
    <row r="3717">
      <c r="A3717" s="185"/>
      <c r="B3717" s="186"/>
      <c r="C3717" s="185"/>
      <c r="D3717" s="185"/>
      <c r="E3717" s="185"/>
      <c r="F3717" s="185"/>
      <c r="G3717" s="185"/>
      <c r="H3717" s="185"/>
      <c r="I3717" s="185"/>
      <c r="J3717" s="185"/>
      <c r="K3717" s="185"/>
      <c r="L3717" s="187"/>
      <c r="M3717" s="188"/>
      <c r="N3717" s="188"/>
      <c r="O3717" s="208"/>
      <c r="P3717" s="208"/>
      <c r="Q3717" s="208"/>
      <c r="R3717" s="208"/>
    </row>
    <row r="3718">
      <c r="A3718" s="185"/>
      <c r="B3718" s="186"/>
      <c r="C3718" s="185"/>
      <c r="D3718" s="185"/>
      <c r="E3718" s="185"/>
      <c r="F3718" s="185"/>
      <c r="G3718" s="185"/>
      <c r="H3718" s="185"/>
      <c r="I3718" s="185"/>
      <c r="J3718" s="185"/>
      <c r="K3718" s="185"/>
      <c r="L3718" s="187"/>
      <c r="M3718" s="188"/>
      <c r="N3718" s="188"/>
      <c r="O3718" s="208"/>
      <c r="P3718" s="208"/>
      <c r="Q3718" s="208"/>
      <c r="R3718" s="208"/>
    </row>
    <row r="3719">
      <c r="A3719" s="185"/>
      <c r="B3719" s="186"/>
      <c r="C3719" s="185"/>
      <c r="D3719" s="185"/>
      <c r="E3719" s="185"/>
      <c r="F3719" s="185"/>
      <c r="G3719" s="185"/>
      <c r="H3719" s="185"/>
      <c r="I3719" s="185"/>
      <c r="J3719" s="185"/>
      <c r="K3719" s="185"/>
      <c r="L3719" s="187"/>
      <c r="M3719" s="188"/>
      <c r="N3719" s="188"/>
      <c r="O3719" s="208"/>
      <c r="P3719" s="208"/>
      <c r="Q3719" s="208"/>
      <c r="R3719" s="208"/>
    </row>
    <row r="3720">
      <c r="A3720" s="185"/>
      <c r="B3720" s="186"/>
      <c r="C3720" s="185"/>
      <c r="D3720" s="185"/>
      <c r="E3720" s="185"/>
      <c r="F3720" s="185"/>
      <c r="G3720" s="185"/>
      <c r="H3720" s="185"/>
      <c r="I3720" s="185"/>
      <c r="J3720" s="185"/>
      <c r="K3720" s="185"/>
      <c r="L3720" s="187"/>
      <c r="M3720" s="188"/>
      <c r="N3720" s="188"/>
      <c r="O3720" s="208"/>
      <c r="P3720" s="208"/>
      <c r="Q3720" s="208"/>
      <c r="R3720" s="208"/>
    </row>
    <row r="3721">
      <c r="A3721" s="185"/>
      <c r="B3721" s="186"/>
      <c r="C3721" s="185"/>
      <c r="D3721" s="185"/>
      <c r="E3721" s="185"/>
      <c r="F3721" s="185"/>
      <c r="G3721" s="185"/>
      <c r="H3721" s="185"/>
      <c r="I3721" s="185"/>
      <c r="J3721" s="185"/>
      <c r="K3721" s="185"/>
      <c r="L3721" s="187"/>
      <c r="M3721" s="188"/>
      <c r="N3721" s="188"/>
      <c r="O3721" s="208"/>
      <c r="P3721" s="208"/>
      <c r="Q3721" s="208"/>
      <c r="R3721" s="208"/>
    </row>
    <row r="3722">
      <c r="A3722" s="185"/>
      <c r="B3722" s="186"/>
      <c r="C3722" s="185"/>
      <c r="D3722" s="185"/>
      <c r="E3722" s="185"/>
      <c r="F3722" s="185"/>
      <c r="G3722" s="185"/>
      <c r="H3722" s="185"/>
      <c r="I3722" s="185"/>
      <c r="J3722" s="185"/>
      <c r="K3722" s="185"/>
      <c r="L3722" s="187"/>
      <c r="M3722" s="188"/>
      <c r="N3722" s="188"/>
      <c r="O3722" s="208"/>
      <c r="P3722" s="208"/>
      <c r="Q3722" s="208"/>
      <c r="R3722" s="208"/>
    </row>
    <row r="3723">
      <c r="A3723" s="185"/>
      <c r="B3723" s="186"/>
      <c r="C3723" s="185"/>
      <c r="D3723" s="185"/>
      <c r="E3723" s="185"/>
      <c r="F3723" s="185"/>
      <c r="G3723" s="185"/>
      <c r="H3723" s="185"/>
      <c r="I3723" s="185"/>
      <c r="J3723" s="185"/>
      <c r="K3723" s="185"/>
      <c r="L3723" s="187"/>
      <c r="M3723" s="188"/>
      <c r="N3723" s="188"/>
      <c r="O3723" s="208"/>
      <c r="P3723" s="208"/>
      <c r="Q3723" s="208"/>
      <c r="R3723" s="208"/>
    </row>
    <row r="3724">
      <c r="A3724" s="185"/>
      <c r="B3724" s="186"/>
      <c r="C3724" s="185"/>
      <c r="D3724" s="185"/>
      <c r="E3724" s="185"/>
      <c r="F3724" s="185"/>
      <c r="G3724" s="185"/>
      <c r="H3724" s="185"/>
      <c r="I3724" s="185"/>
      <c r="J3724" s="185"/>
      <c r="K3724" s="185"/>
      <c r="L3724" s="187"/>
      <c r="M3724" s="188"/>
      <c r="N3724" s="188"/>
      <c r="O3724" s="208"/>
      <c r="P3724" s="208"/>
      <c r="Q3724" s="208"/>
      <c r="R3724" s="208"/>
    </row>
    <row r="3725">
      <c r="A3725" s="185"/>
      <c r="B3725" s="186"/>
      <c r="C3725" s="185"/>
      <c r="D3725" s="185"/>
      <c r="E3725" s="185"/>
      <c r="F3725" s="185"/>
      <c r="G3725" s="185"/>
      <c r="H3725" s="185"/>
      <c r="I3725" s="185"/>
      <c r="J3725" s="185"/>
      <c r="K3725" s="185"/>
      <c r="L3725" s="187"/>
      <c r="M3725" s="188"/>
      <c r="N3725" s="188"/>
      <c r="O3725" s="208"/>
      <c r="P3725" s="208"/>
      <c r="Q3725" s="208"/>
      <c r="R3725" s="208"/>
    </row>
    <row r="3726">
      <c r="A3726" s="185"/>
      <c r="B3726" s="186"/>
      <c r="C3726" s="185"/>
      <c r="D3726" s="185"/>
      <c r="E3726" s="185"/>
      <c r="F3726" s="185"/>
      <c r="G3726" s="185"/>
      <c r="H3726" s="185"/>
      <c r="I3726" s="185"/>
      <c r="J3726" s="185"/>
      <c r="K3726" s="185"/>
      <c r="L3726" s="187"/>
      <c r="M3726" s="188"/>
      <c r="N3726" s="188"/>
      <c r="O3726" s="208"/>
      <c r="P3726" s="208"/>
      <c r="Q3726" s="208"/>
      <c r="R3726" s="208"/>
    </row>
    <row r="3727">
      <c r="A3727" s="185"/>
      <c r="B3727" s="186"/>
      <c r="C3727" s="185"/>
      <c r="D3727" s="185"/>
      <c r="E3727" s="185"/>
      <c r="F3727" s="185"/>
      <c r="G3727" s="185"/>
      <c r="H3727" s="185"/>
      <c r="I3727" s="185"/>
      <c r="J3727" s="185"/>
      <c r="K3727" s="185"/>
      <c r="L3727" s="187"/>
      <c r="M3727" s="188"/>
      <c r="N3727" s="188"/>
      <c r="O3727" s="208"/>
      <c r="P3727" s="208"/>
      <c r="Q3727" s="208"/>
      <c r="R3727" s="208"/>
    </row>
    <row r="3728">
      <c r="A3728" s="185"/>
      <c r="B3728" s="186"/>
      <c r="C3728" s="185"/>
      <c r="D3728" s="185"/>
      <c r="E3728" s="185"/>
      <c r="F3728" s="185"/>
      <c r="G3728" s="185"/>
      <c r="H3728" s="185"/>
      <c r="I3728" s="185"/>
      <c r="J3728" s="185"/>
      <c r="K3728" s="185"/>
      <c r="L3728" s="187"/>
      <c r="M3728" s="188"/>
      <c r="N3728" s="188"/>
      <c r="O3728" s="208"/>
      <c r="P3728" s="208"/>
      <c r="Q3728" s="208"/>
      <c r="R3728" s="208"/>
    </row>
    <row r="3729">
      <c r="A3729" s="185"/>
      <c r="B3729" s="186"/>
      <c r="C3729" s="185"/>
      <c r="D3729" s="185"/>
      <c r="E3729" s="185"/>
      <c r="F3729" s="185"/>
      <c r="G3729" s="185"/>
      <c r="H3729" s="185"/>
      <c r="I3729" s="185"/>
      <c r="J3729" s="185"/>
      <c r="K3729" s="185"/>
      <c r="L3729" s="187"/>
      <c r="M3729" s="188"/>
      <c r="N3729" s="188"/>
      <c r="O3729" s="208"/>
      <c r="P3729" s="208"/>
      <c r="Q3729" s="208"/>
      <c r="R3729" s="208"/>
    </row>
    <row r="3730">
      <c r="A3730" s="185"/>
      <c r="B3730" s="186"/>
      <c r="C3730" s="185"/>
      <c r="D3730" s="185"/>
      <c r="E3730" s="185"/>
      <c r="F3730" s="185"/>
      <c r="G3730" s="185"/>
      <c r="H3730" s="185"/>
      <c r="I3730" s="185"/>
      <c r="J3730" s="185"/>
      <c r="K3730" s="185"/>
      <c r="L3730" s="187"/>
      <c r="M3730" s="188"/>
      <c r="N3730" s="188"/>
      <c r="O3730" s="208"/>
      <c r="P3730" s="208"/>
      <c r="Q3730" s="208"/>
      <c r="R3730" s="208"/>
    </row>
    <row r="3731">
      <c r="A3731" s="185"/>
      <c r="B3731" s="186"/>
      <c r="C3731" s="185"/>
      <c r="D3731" s="185"/>
      <c r="E3731" s="185"/>
      <c r="F3731" s="185"/>
      <c r="G3731" s="185"/>
      <c r="H3731" s="185"/>
      <c r="I3731" s="185"/>
      <c r="J3731" s="185"/>
      <c r="K3731" s="185"/>
      <c r="L3731" s="187"/>
      <c r="M3731" s="188"/>
      <c r="N3731" s="188"/>
      <c r="O3731" s="208"/>
      <c r="P3731" s="208"/>
      <c r="Q3731" s="208"/>
      <c r="R3731" s="208"/>
    </row>
    <row r="3732">
      <c r="A3732" s="185"/>
      <c r="B3732" s="186"/>
      <c r="C3732" s="185"/>
      <c r="D3732" s="185"/>
      <c r="E3732" s="185"/>
      <c r="F3732" s="185"/>
      <c r="G3732" s="185"/>
      <c r="H3732" s="185"/>
      <c r="I3732" s="185"/>
      <c r="J3732" s="185"/>
      <c r="K3732" s="185"/>
      <c r="L3732" s="187"/>
      <c r="M3732" s="188"/>
      <c r="N3732" s="188"/>
      <c r="O3732" s="208"/>
      <c r="P3732" s="208"/>
      <c r="Q3732" s="208"/>
      <c r="R3732" s="208"/>
    </row>
    <row r="3733">
      <c r="A3733" s="185"/>
      <c r="B3733" s="186"/>
      <c r="C3733" s="185"/>
      <c r="D3733" s="185"/>
      <c r="E3733" s="185"/>
      <c r="F3733" s="185"/>
      <c r="G3733" s="185"/>
      <c r="H3733" s="185"/>
      <c r="I3733" s="185"/>
      <c r="J3733" s="185"/>
      <c r="K3733" s="185"/>
      <c r="L3733" s="187"/>
      <c r="M3733" s="188"/>
      <c r="N3733" s="188"/>
      <c r="O3733" s="208"/>
      <c r="P3733" s="208"/>
      <c r="Q3733" s="208"/>
      <c r="R3733" s="208"/>
    </row>
    <row r="3734">
      <c r="A3734" s="185"/>
      <c r="B3734" s="186"/>
      <c r="C3734" s="185"/>
      <c r="D3734" s="185"/>
      <c r="E3734" s="185"/>
      <c r="F3734" s="185"/>
      <c r="G3734" s="185"/>
      <c r="H3734" s="185"/>
      <c r="I3734" s="185"/>
      <c r="J3734" s="185"/>
      <c r="K3734" s="185"/>
      <c r="L3734" s="187"/>
      <c r="M3734" s="188"/>
      <c r="N3734" s="188"/>
      <c r="O3734" s="208"/>
      <c r="P3734" s="208"/>
      <c r="Q3734" s="208"/>
      <c r="R3734" s="208"/>
    </row>
    <row r="3735">
      <c r="A3735" s="185"/>
      <c r="B3735" s="186"/>
      <c r="C3735" s="185"/>
      <c r="D3735" s="185"/>
      <c r="E3735" s="185"/>
      <c r="F3735" s="185"/>
      <c r="G3735" s="185"/>
      <c r="H3735" s="185"/>
      <c r="I3735" s="185"/>
      <c r="J3735" s="185"/>
      <c r="K3735" s="185"/>
      <c r="L3735" s="187"/>
      <c r="M3735" s="188"/>
      <c r="N3735" s="188"/>
      <c r="O3735" s="208"/>
      <c r="P3735" s="208"/>
      <c r="Q3735" s="208"/>
      <c r="R3735" s="208"/>
    </row>
    <row r="3736">
      <c r="A3736" s="185"/>
      <c r="B3736" s="186"/>
      <c r="C3736" s="185"/>
      <c r="D3736" s="185"/>
      <c r="E3736" s="185"/>
      <c r="F3736" s="185"/>
      <c r="G3736" s="185"/>
      <c r="H3736" s="185"/>
      <c r="I3736" s="185"/>
      <c r="J3736" s="185"/>
      <c r="K3736" s="185"/>
      <c r="L3736" s="187"/>
      <c r="M3736" s="188"/>
      <c r="N3736" s="188"/>
      <c r="O3736" s="208"/>
      <c r="P3736" s="208"/>
      <c r="Q3736" s="208"/>
      <c r="R3736" s="208"/>
    </row>
    <row r="3737">
      <c r="A3737" s="185"/>
      <c r="B3737" s="186"/>
      <c r="C3737" s="185"/>
      <c r="D3737" s="185"/>
      <c r="E3737" s="185"/>
      <c r="F3737" s="185"/>
      <c r="G3737" s="185"/>
      <c r="H3737" s="185"/>
      <c r="I3737" s="185"/>
      <c r="J3737" s="185"/>
      <c r="K3737" s="185"/>
      <c r="L3737" s="187"/>
      <c r="M3737" s="188"/>
      <c r="N3737" s="188"/>
      <c r="O3737" s="208"/>
      <c r="P3737" s="208"/>
      <c r="Q3737" s="208"/>
      <c r="R3737" s="208"/>
    </row>
    <row r="3738">
      <c r="A3738" s="185"/>
      <c r="B3738" s="186"/>
      <c r="C3738" s="185"/>
      <c r="D3738" s="185"/>
      <c r="E3738" s="185"/>
      <c r="F3738" s="185"/>
      <c r="G3738" s="185"/>
      <c r="H3738" s="185"/>
      <c r="I3738" s="185"/>
      <c r="J3738" s="185"/>
      <c r="K3738" s="185"/>
      <c r="L3738" s="187"/>
      <c r="M3738" s="188"/>
      <c r="N3738" s="188"/>
      <c r="O3738" s="208"/>
      <c r="P3738" s="208"/>
      <c r="Q3738" s="208"/>
      <c r="R3738" s="208"/>
    </row>
    <row r="3739">
      <c r="A3739" s="185"/>
      <c r="B3739" s="186"/>
      <c r="C3739" s="185"/>
      <c r="D3739" s="185"/>
      <c r="E3739" s="185"/>
      <c r="F3739" s="185"/>
      <c r="G3739" s="185"/>
      <c r="H3739" s="185"/>
      <c r="I3739" s="185"/>
      <c r="J3739" s="185"/>
      <c r="K3739" s="185"/>
      <c r="L3739" s="187"/>
      <c r="M3739" s="188"/>
      <c r="N3739" s="188"/>
      <c r="O3739" s="208"/>
      <c r="P3739" s="208"/>
      <c r="Q3739" s="208"/>
      <c r="R3739" s="208"/>
    </row>
    <row r="3740">
      <c r="A3740" s="185"/>
      <c r="B3740" s="186"/>
      <c r="C3740" s="185"/>
      <c r="D3740" s="185"/>
      <c r="E3740" s="185"/>
      <c r="F3740" s="185"/>
      <c r="G3740" s="185"/>
      <c r="H3740" s="185"/>
      <c r="I3740" s="185"/>
      <c r="J3740" s="185"/>
      <c r="K3740" s="185"/>
      <c r="L3740" s="187"/>
      <c r="M3740" s="188"/>
      <c r="N3740" s="188"/>
      <c r="O3740" s="208"/>
      <c r="P3740" s="208"/>
      <c r="Q3740" s="208"/>
      <c r="R3740" s="208"/>
    </row>
    <row r="3741">
      <c r="A3741" s="185"/>
      <c r="B3741" s="186"/>
      <c r="C3741" s="185"/>
      <c r="D3741" s="185"/>
      <c r="E3741" s="185"/>
      <c r="F3741" s="185"/>
      <c r="G3741" s="185"/>
      <c r="H3741" s="185"/>
      <c r="I3741" s="185"/>
      <c r="J3741" s="185"/>
      <c r="K3741" s="185"/>
      <c r="L3741" s="187"/>
      <c r="M3741" s="188"/>
      <c r="N3741" s="188"/>
      <c r="O3741" s="208"/>
      <c r="P3741" s="208"/>
      <c r="Q3741" s="208"/>
      <c r="R3741" s="208"/>
    </row>
    <row r="3742">
      <c r="A3742" s="185"/>
      <c r="B3742" s="186"/>
      <c r="C3742" s="185"/>
      <c r="D3742" s="185"/>
      <c r="E3742" s="185"/>
      <c r="F3742" s="185"/>
      <c r="G3742" s="185"/>
      <c r="H3742" s="185"/>
      <c r="I3742" s="185"/>
      <c r="J3742" s="185"/>
      <c r="K3742" s="185"/>
      <c r="L3742" s="187"/>
      <c r="M3742" s="188"/>
      <c r="N3742" s="188"/>
      <c r="O3742" s="208"/>
      <c r="P3742" s="208"/>
      <c r="Q3742" s="208"/>
      <c r="R3742" s="208"/>
    </row>
    <row r="3743">
      <c r="A3743" s="185"/>
      <c r="B3743" s="186"/>
      <c r="C3743" s="185"/>
      <c r="D3743" s="185"/>
      <c r="E3743" s="185"/>
      <c r="F3743" s="185"/>
      <c r="G3743" s="185"/>
      <c r="H3743" s="185"/>
      <c r="I3743" s="185"/>
      <c r="J3743" s="185"/>
      <c r="K3743" s="185"/>
      <c r="L3743" s="187"/>
      <c r="M3743" s="188"/>
      <c r="N3743" s="188"/>
      <c r="O3743" s="208"/>
      <c r="P3743" s="208"/>
      <c r="Q3743" s="208"/>
      <c r="R3743" s="208"/>
    </row>
    <row r="3744">
      <c r="A3744" s="185"/>
      <c r="B3744" s="186"/>
      <c r="C3744" s="185"/>
      <c r="D3744" s="185"/>
      <c r="E3744" s="185"/>
      <c r="F3744" s="185"/>
      <c r="G3744" s="185"/>
      <c r="H3744" s="185"/>
      <c r="I3744" s="185"/>
      <c r="J3744" s="185"/>
      <c r="K3744" s="185"/>
      <c r="L3744" s="187"/>
      <c r="M3744" s="188"/>
      <c r="N3744" s="188"/>
      <c r="O3744" s="208"/>
      <c r="P3744" s="208"/>
      <c r="Q3744" s="208"/>
      <c r="R3744" s="208"/>
    </row>
    <row r="3745">
      <c r="A3745" s="185"/>
      <c r="B3745" s="186"/>
      <c r="C3745" s="185"/>
      <c r="D3745" s="185"/>
      <c r="E3745" s="185"/>
      <c r="F3745" s="185"/>
      <c r="G3745" s="185"/>
      <c r="H3745" s="185"/>
      <c r="I3745" s="185"/>
      <c r="J3745" s="185"/>
      <c r="K3745" s="185"/>
      <c r="L3745" s="187"/>
      <c r="M3745" s="188"/>
      <c r="N3745" s="188"/>
      <c r="O3745" s="208"/>
      <c r="P3745" s="208"/>
      <c r="Q3745" s="208"/>
      <c r="R3745" s="208"/>
    </row>
    <row r="3746">
      <c r="A3746" s="185"/>
      <c r="B3746" s="186"/>
      <c r="C3746" s="185"/>
      <c r="D3746" s="185"/>
      <c r="E3746" s="185"/>
      <c r="F3746" s="185"/>
      <c r="G3746" s="185"/>
      <c r="H3746" s="185"/>
      <c r="I3746" s="185"/>
      <c r="J3746" s="185"/>
      <c r="K3746" s="185"/>
      <c r="L3746" s="187"/>
      <c r="M3746" s="188"/>
      <c r="N3746" s="188"/>
      <c r="O3746" s="208"/>
      <c r="P3746" s="208"/>
      <c r="Q3746" s="208"/>
      <c r="R3746" s="208"/>
    </row>
    <row r="3747">
      <c r="A3747" s="185"/>
      <c r="B3747" s="186"/>
      <c r="C3747" s="185"/>
      <c r="D3747" s="185"/>
      <c r="E3747" s="185"/>
      <c r="F3747" s="185"/>
      <c r="G3747" s="185"/>
      <c r="H3747" s="185"/>
      <c r="I3747" s="185"/>
      <c r="J3747" s="185"/>
      <c r="K3747" s="185"/>
      <c r="L3747" s="187"/>
      <c r="M3747" s="188"/>
      <c r="N3747" s="188"/>
      <c r="O3747" s="208"/>
      <c r="P3747" s="208"/>
      <c r="Q3747" s="208"/>
      <c r="R3747" s="208"/>
    </row>
    <row r="3748">
      <c r="A3748" s="185"/>
      <c r="B3748" s="186"/>
      <c r="C3748" s="185"/>
      <c r="D3748" s="185"/>
      <c r="E3748" s="185"/>
      <c r="F3748" s="185"/>
      <c r="G3748" s="185"/>
      <c r="H3748" s="185"/>
      <c r="I3748" s="185"/>
      <c r="J3748" s="185"/>
      <c r="K3748" s="185"/>
      <c r="L3748" s="187"/>
      <c r="M3748" s="188"/>
      <c r="N3748" s="188"/>
      <c r="O3748" s="208"/>
      <c r="P3748" s="208"/>
      <c r="Q3748" s="208"/>
      <c r="R3748" s="208"/>
    </row>
    <row r="3749">
      <c r="A3749" s="185"/>
      <c r="B3749" s="186"/>
      <c r="C3749" s="185"/>
      <c r="D3749" s="185"/>
      <c r="E3749" s="185"/>
      <c r="F3749" s="185"/>
      <c r="G3749" s="185"/>
      <c r="H3749" s="185"/>
      <c r="I3749" s="185"/>
      <c r="J3749" s="185"/>
      <c r="K3749" s="185"/>
      <c r="L3749" s="187"/>
      <c r="M3749" s="188"/>
      <c r="N3749" s="188"/>
      <c r="O3749" s="208"/>
      <c r="P3749" s="208"/>
      <c r="Q3749" s="208"/>
      <c r="R3749" s="208"/>
    </row>
    <row r="3750">
      <c r="A3750" s="185"/>
      <c r="B3750" s="186"/>
      <c r="C3750" s="185"/>
      <c r="D3750" s="185"/>
      <c r="E3750" s="185"/>
      <c r="F3750" s="185"/>
      <c r="G3750" s="185"/>
      <c r="H3750" s="185"/>
      <c r="I3750" s="185"/>
      <c r="J3750" s="185"/>
      <c r="K3750" s="185"/>
      <c r="L3750" s="187"/>
      <c r="M3750" s="188"/>
      <c r="N3750" s="188"/>
      <c r="O3750" s="208"/>
      <c r="P3750" s="208"/>
      <c r="Q3750" s="208"/>
      <c r="R3750" s="208"/>
    </row>
    <row r="3751">
      <c r="A3751" s="185"/>
      <c r="B3751" s="186"/>
      <c r="C3751" s="185"/>
      <c r="D3751" s="185"/>
      <c r="E3751" s="185"/>
      <c r="F3751" s="185"/>
      <c r="G3751" s="185"/>
      <c r="H3751" s="185"/>
      <c r="I3751" s="185"/>
      <c r="J3751" s="185"/>
      <c r="K3751" s="185"/>
      <c r="L3751" s="187"/>
      <c r="M3751" s="188"/>
      <c r="N3751" s="188"/>
      <c r="O3751" s="208"/>
      <c r="P3751" s="208"/>
      <c r="Q3751" s="208"/>
      <c r="R3751" s="208"/>
    </row>
    <row r="3752">
      <c r="A3752" s="185"/>
      <c r="B3752" s="186"/>
      <c r="C3752" s="185"/>
      <c r="D3752" s="185"/>
      <c r="E3752" s="185"/>
      <c r="F3752" s="185"/>
      <c r="G3752" s="185"/>
      <c r="H3752" s="185"/>
      <c r="I3752" s="185"/>
      <c r="J3752" s="185"/>
      <c r="K3752" s="185"/>
      <c r="L3752" s="187"/>
      <c r="M3752" s="188"/>
      <c r="N3752" s="188"/>
      <c r="O3752" s="208"/>
      <c r="P3752" s="208"/>
      <c r="Q3752" s="208"/>
      <c r="R3752" s="208"/>
    </row>
    <row r="3753">
      <c r="A3753" s="185"/>
      <c r="B3753" s="186"/>
      <c r="C3753" s="185"/>
      <c r="D3753" s="185"/>
      <c r="E3753" s="185"/>
      <c r="F3753" s="185"/>
      <c r="G3753" s="185"/>
      <c r="H3753" s="185"/>
      <c r="I3753" s="185"/>
      <c r="J3753" s="185"/>
      <c r="K3753" s="185"/>
      <c r="L3753" s="187"/>
      <c r="M3753" s="188"/>
      <c r="N3753" s="188"/>
      <c r="O3753" s="208"/>
      <c r="P3753" s="208"/>
      <c r="Q3753" s="208"/>
      <c r="R3753" s="208"/>
    </row>
    <row r="3754">
      <c r="A3754" s="185"/>
      <c r="B3754" s="186"/>
      <c r="C3754" s="185"/>
      <c r="D3754" s="185"/>
      <c r="E3754" s="185"/>
      <c r="F3754" s="185"/>
      <c r="G3754" s="185"/>
      <c r="H3754" s="185"/>
      <c r="I3754" s="185"/>
      <c r="J3754" s="185"/>
      <c r="K3754" s="185"/>
      <c r="L3754" s="187"/>
      <c r="M3754" s="188"/>
      <c r="N3754" s="188"/>
      <c r="O3754" s="208"/>
      <c r="P3754" s="208"/>
      <c r="Q3754" s="208"/>
      <c r="R3754" s="208"/>
    </row>
    <row r="3755">
      <c r="A3755" s="185"/>
      <c r="B3755" s="186"/>
      <c r="C3755" s="185"/>
      <c r="D3755" s="185"/>
      <c r="E3755" s="185"/>
      <c r="F3755" s="185"/>
      <c r="G3755" s="185"/>
      <c r="H3755" s="185"/>
      <c r="I3755" s="185"/>
      <c r="J3755" s="185"/>
      <c r="K3755" s="185"/>
      <c r="L3755" s="187"/>
      <c r="M3755" s="188"/>
      <c r="N3755" s="188"/>
      <c r="O3755" s="208"/>
      <c r="P3755" s="208"/>
      <c r="Q3755" s="208"/>
      <c r="R3755" s="208"/>
    </row>
    <row r="3756">
      <c r="A3756" s="185"/>
      <c r="B3756" s="186"/>
      <c r="C3756" s="185"/>
      <c r="D3756" s="185"/>
      <c r="E3756" s="185"/>
      <c r="F3756" s="185"/>
      <c r="G3756" s="185"/>
      <c r="H3756" s="185"/>
      <c r="I3756" s="185"/>
      <c r="J3756" s="185"/>
      <c r="K3756" s="185"/>
      <c r="L3756" s="187"/>
      <c r="M3756" s="188"/>
      <c r="N3756" s="188"/>
      <c r="O3756" s="208"/>
      <c r="P3756" s="208"/>
      <c r="Q3756" s="208"/>
      <c r="R3756" s="208"/>
    </row>
    <row r="3757">
      <c r="A3757" s="185"/>
      <c r="B3757" s="186"/>
      <c r="C3757" s="185"/>
      <c r="D3757" s="185"/>
      <c r="E3757" s="185"/>
      <c r="F3757" s="185"/>
      <c r="G3757" s="185"/>
      <c r="H3757" s="185"/>
      <c r="I3757" s="185"/>
      <c r="J3757" s="185"/>
      <c r="K3757" s="185"/>
      <c r="L3757" s="187"/>
      <c r="M3757" s="188"/>
      <c r="N3757" s="188"/>
      <c r="O3757" s="208"/>
      <c r="P3757" s="208"/>
      <c r="Q3757" s="208"/>
      <c r="R3757" s="208"/>
    </row>
    <row r="3758">
      <c r="A3758" s="185"/>
      <c r="B3758" s="186"/>
      <c r="C3758" s="185"/>
      <c r="D3758" s="185"/>
      <c r="E3758" s="185"/>
      <c r="F3758" s="185"/>
      <c r="G3758" s="185"/>
      <c r="H3758" s="185"/>
      <c r="I3758" s="185"/>
      <c r="J3758" s="185"/>
      <c r="K3758" s="185"/>
      <c r="L3758" s="187"/>
      <c r="M3758" s="188"/>
      <c r="N3758" s="188"/>
      <c r="O3758" s="208"/>
      <c r="P3758" s="208"/>
      <c r="Q3758" s="208"/>
      <c r="R3758" s="208"/>
    </row>
    <row r="3759">
      <c r="A3759" s="185"/>
      <c r="B3759" s="186"/>
      <c r="C3759" s="185"/>
      <c r="D3759" s="185"/>
      <c r="E3759" s="185"/>
      <c r="F3759" s="185"/>
      <c r="G3759" s="185"/>
      <c r="H3759" s="185"/>
      <c r="I3759" s="185"/>
      <c r="J3759" s="185"/>
      <c r="K3759" s="185"/>
      <c r="L3759" s="187"/>
      <c r="M3759" s="188"/>
      <c r="N3759" s="188"/>
      <c r="O3759" s="208"/>
      <c r="P3759" s="208"/>
      <c r="Q3759" s="208"/>
      <c r="R3759" s="208"/>
    </row>
    <row r="3760">
      <c r="A3760" s="185"/>
      <c r="B3760" s="186"/>
      <c r="C3760" s="185"/>
      <c r="D3760" s="185"/>
      <c r="E3760" s="185"/>
      <c r="F3760" s="185"/>
      <c r="G3760" s="185"/>
      <c r="H3760" s="185"/>
      <c r="I3760" s="185"/>
      <c r="J3760" s="185"/>
      <c r="K3760" s="185"/>
      <c r="L3760" s="187"/>
      <c r="M3760" s="188"/>
      <c r="N3760" s="188"/>
      <c r="O3760" s="208"/>
      <c r="P3760" s="208"/>
      <c r="Q3760" s="208"/>
      <c r="R3760" s="208"/>
    </row>
    <row r="3761">
      <c r="A3761" s="185"/>
      <c r="B3761" s="186"/>
      <c r="C3761" s="185"/>
      <c r="D3761" s="185"/>
      <c r="E3761" s="185"/>
      <c r="F3761" s="185"/>
      <c r="G3761" s="185"/>
      <c r="H3761" s="185"/>
      <c r="I3761" s="185"/>
      <c r="J3761" s="185"/>
      <c r="K3761" s="185"/>
      <c r="L3761" s="187"/>
      <c r="M3761" s="188"/>
      <c r="N3761" s="188"/>
      <c r="O3761" s="208"/>
      <c r="P3761" s="208"/>
      <c r="Q3761" s="208"/>
      <c r="R3761" s="208"/>
    </row>
    <row r="3762">
      <c r="A3762" s="185"/>
      <c r="B3762" s="186"/>
      <c r="C3762" s="185"/>
      <c r="D3762" s="185"/>
      <c r="E3762" s="185"/>
      <c r="F3762" s="185"/>
      <c r="G3762" s="185"/>
      <c r="H3762" s="185"/>
      <c r="I3762" s="185"/>
      <c r="J3762" s="185"/>
      <c r="K3762" s="185"/>
      <c r="L3762" s="187"/>
      <c r="M3762" s="188"/>
      <c r="N3762" s="188"/>
      <c r="O3762" s="208"/>
      <c r="P3762" s="208"/>
      <c r="Q3762" s="208"/>
      <c r="R3762" s="208"/>
    </row>
    <row r="3763">
      <c r="A3763" s="185"/>
      <c r="B3763" s="186"/>
      <c r="C3763" s="185"/>
      <c r="D3763" s="185"/>
      <c r="E3763" s="185"/>
      <c r="F3763" s="185"/>
      <c r="G3763" s="185"/>
      <c r="H3763" s="185"/>
      <c r="I3763" s="185"/>
      <c r="J3763" s="185"/>
      <c r="K3763" s="185"/>
      <c r="L3763" s="187"/>
      <c r="M3763" s="188"/>
      <c r="N3763" s="188"/>
      <c r="O3763" s="208"/>
      <c r="P3763" s="208"/>
      <c r="Q3763" s="208"/>
      <c r="R3763" s="208"/>
    </row>
    <row r="3764">
      <c r="A3764" s="185"/>
      <c r="B3764" s="186"/>
      <c r="C3764" s="185"/>
      <c r="D3764" s="185"/>
      <c r="E3764" s="185"/>
      <c r="F3764" s="185"/>
      <c r="G3764" s="185"/>
      <c r="H3764" s="185"/>
      <c r="I3764" s="185"/>
      <c r="J3764" s="185"/>
      <c r="K3764" s="185"/>
      <c r="L3764" s="187"/>
      <c r="M3764" s="188"/>
      <c r="N3764" s="188"/>
      <c r="O3764" s="208"/>
      <c r="P3764" s="208"/>
      <c r="Q3764" s="208"/>
      <c r="R3764" s="208"/>
    </row>
    <row r="3765">
      <c r="A3765" s="185"/>
      <c r="B3765" s="186"/>
      <c r="C3765" s="185"/>
      <c r="D3765" s="185"/>
      <c r="E3765" s="185"/>
      <c r="F3765" s="185"/>
      <c r="G3765" s="185"/>
      <c r="H3765" s="185"/>
      <c r="I3765" s="185"/>
      <c r="J3765" s="185"/>
      <c r="K3765" s="185"/>
      <c r="L3765" s="187"/>
      <c r="M3765" s="188"/>
      <c r="N3765" s="188"/>
      <c r="O3765" s="208"/>
      <c r="P3765" s="208"/>
      <c r="Q3765" s="208"/>
      <c r="R3765" s="208"/>
    </row>
    <row r="3766">
      <c r="A3766" s="185"/>
      <c r="B3766" s="186"/>
      <c r="C3766" s="185"/>
      <c r="D3766" s="185"/>
      <c r="E3766" s="185"/>
      <c r="F3766" s="185"/>
      <c r="G3766" s="185"/>
      <c r="H3766" s="185"/>
      <c r="I3766" s="185"/>
      <c r="J3766" s="185"/>
      <c r="K3766" s="185"/>
      <c r="L3766" s="187"/>
      <c r="M3766" s="188"/>
      <c r="N3766" s="188"/>
      <c r="O3766" s="208"/>
      <c r="P3766" s="208"/>
      <c r="Q3766" s="208"/>
      <c r="R3766" s="208"/>
    </row>
    <row r="3767">
      <c r="A3767" s="185"/>
      <c r="B3767" s="186"/>
      <c r="C3767" s="185"/>
      <c r="D3767" s="185"/>
      <c r="E3767" s="185"/>
      <c r="F3767" s="185"/>
      <c r="G3767" s="185"/>
      <c r="H3767" s="185"/>
      <c r="I3767" s="185"/>
      <c r="J3767" s="185"/>
      <c r="K3767" s="185"/>
      <c r="L3767" s="187"/>
      <c r="M3767" s="188"/>
      <c r="N3767" s="188"/>
      <c r="O3767" s="208"/>
      <c r="P3767" s="208"/>
      <c r="Q3767" s="208"/>
      <c r="R3767" s="208"/>
    </row>
    <row r="3768">
      <c r="A3768" s="185"/>
      <c r="B3768" s="186"/>
      <c r="C3768" s="185"/>
      <c r="D3768" s="185"/>
      <c r="E3768" s="185"/>
      <c r="F3768" s="185"/>
      <c r="G3768" s="185"/>
      <c r="H3768" s="185"/>
      <c r="I3768" s="185"/>
      <c r="J3768" s="185"/>
      <c r="K3768" s="185"/>
      <c r="L3768" s="187"/>
      <c r="M3768" s="188"/>
      <c r="N3768" s="188"/>
      <c r="O3768" s="208"/>
      <c r="P3768" s="208"/>
      <c r="Q3768" s="208"/>
      <c r="R3768" s="208"/>
    </row>
    <row r="3769">
      <c r="A3769" s="185"/>
      <c r="B3769" s="186"/>
      <c r="C3769" s="185"/>
      <c r="D3769" s="185"/>
      <c r="E3769" s="185"/>
      <c r="F3769" s="185"/>
      <c r="G3769" s="185"/>
      <c r="H3769" s="185"/>
      <c r="I3769" s="185"/>
      <c r="J3769" s="185"/>
      <c r="K3769" s="185"/>
      <c r="L3769" s="187"/>
      <c r="M3769" s="188"/>
      <c r="N3769" s="188"/>
      <c r="O3769" s="208"/>
      <c r="P3769" s="208"/>
      <c r="Q3769" s="208"/>
      <c r="R3769" s="208"/>
    </row>
    <row r="3770">
      <c r="A3770" s="185"/>
      <c r="B3770" s="186"/>
      <c r="C3770" s="185"/>
      <c r="D3770" s="185"/>
      <c r="E3770" s="185"/>
      <c r="F3770" s="185"/>
      <c r="G3770" s="185"/>
      <c r="H3770" s="185"/>
      <c r="I3770" s="185"/>
      <c r="J3770" s="185"/>
      <c r="K3770" s="185"/>
      <c r="L3770" s="187"/>
      <c r="M3770" s="188"/>
      <c r="N3770" s="188"/>
      <c r="O3770" s="208"/>
      <c r="P3770" s="208"/>
      <c r="Q3770" s="208"/>
      <c r="R3770" s="208"/>
    </row>
    <row r="3771">
      <c r="A3771" s="185"/>
      <c r="B3771" s="186"/>
      <c r="C3771" s="185"/>
      <c r="D3771" s="185"/>
      <c r="E3771" s="185"/>
      <c r="F3771" s="185"/>
      <c r="G3771" s="185"/>
      <c r="H3771" s="185"/>
      <c r="I3771" s="185"/>
      <c r="J3771" s="185"/>
      <c r="K3771" s="185"/>
      <c r="L3771" s="187"/>
      <c r="M3771" s="188"/>
      <c r="N3771" s="188"/>
      <c r="O3771" s="208"/>
      <c r="P3771" s="208"/>
      <c r="Q3771" s="208"/>
      <c r="R3771" s="208"/>
    </row>
    <row r="3772">
      <c r="A3772" s="185"/>
      <c r="B3772" s="186"/>
      <c r="C3772" s="185"/>
      <c r="D3772" s="185"/>
      <c r="E3772" s="185"/>
      <c r="F3772" s="185"/>
      <c r="G3772" s="185"/>
      <c r="H3772" s="185"/>
      <c r="I3772" s="185"/>
      <c r="J3772" s="185"/>
      <c r="K3772" s="185"/>
      <c r="L3772" s="187"/>
      <c r="M3772" s="188"/>
      <c r="N3772" s="188"/>
      <c r="O3772" s="208"/>
      <c r="P3772" s="208"/>
      <c r="Q3772" s="208"/>
      <c r="R3772" s="208"/>
    </row>
    <row r="3773">
      <c r="A3773" s="185"/>
      <c r="B3773" s="186"/>
      <c r="C3773" s="185"/>
      <c r="D3773" s="185"/>
      <c r="E3773" s="185"/>
      <c r="F3773" s="185"/>
      <c r="G3773" s="185"/>
      <c r="H3773" s="185"/>
      <c r="I3773" s="185"/>
      <c r="J3773" s="185"/>
      <c r="K3773" s="185"/>
      <c r="L3773" s="187"/>
      <c r="M3773" s="188"/>
      <c r="N3773" s="188"/>
      <c r="O3773" s="208"/>
      <c r="P3773" s="208"/>
      <c r="Q3773" s="208"/>
      <c r="R3773" s="208"/>
    </row>
    <row r="3774">
      <c r="A3774" s="185"/>
      <c r="B3774" s="186"/>
      <c r="C3774" s="185"/>
      <c r="D3774" s="185"/>
      <c r="E3774" s="185"/>
      <c r="F3774" s="185"/>
      <c r="G3774" s="185"/>
      <c r="H3774" s="185"/>
      <c r="I3774" s="185"/>
      <c r="J3774" s="185"/>
      <c r="K3774" s="185"/>
      <c r="L3774" s="187"/>
      <c r="M3774" s="188"/>
      <c r="N3774" s="188"/>
      <c r="O3774" s="208"/>
      <c r="P3774" s="208"/>
      <c r="Q3774" s="208"/>
      <c r="R3774" s="208"/>
    </row>
    <row r="3775">
      <c r="A3775" s="185"/>
      <c r="B3775" s="186"/>
      <c r="C3775" s="185"/>
      <c r="D3775" s="185"/>
      <c r="E3775" s="185"/>
      <c r="F3775" s="185"/>
      <c r="G3775" s="185"/>
      <c r="H3775" s="185"/>
      <c r="I3775" s="185"/>
      <c r="J3775" s="185"/>
      <c r="K3775" s="185"/>
      <c r="L3775" s="187"/>
      <c r="M3775" s="188"/>
      <c r="N3775" s="188"/>
      <c r="O3775" s="208"/>
      <c r="P3775" s="208"/>
      <c r="Q3775" s="208"/>
      <c r="R3775" s="208"/>
    </row>
    <row r="3776">
      <c r="A3776" s="185"/>
      <c r="B3776" s="186"/>
      <c r="C3776" s="185"/>
      <c r="D3776" s="185"/>
      <c r="E3776" s="185"/>
      <c r="F3776" s="185"/>
      <c r="G3776" s="185"/>
      <c r="H3776" s="185"/>
      <c r="I3776" s="185"/>
      <c r="J3776" s="185"/>
      <c r="K3776" s="185"/>
      <c r="L3776" s="187"/>
      <c r="M3776" s="188"/>
      <c r="N3776" s="188"/>
      <c r="O3776" s="208"/>
      <c r="P3776" s="208"/>
      <c r="Q3776" s="208"/>
      <c r="R3776" s="208"/>
    </row>
    <row r="3777">
      <c r="A3777" s="185"/>
      <c r="B3777" s="186"/>
      <c r="C3777" s="185"/>
      <c r="D3777" s="185"/>
      <c r="E3777" s="185"/>
      <c r="F3777" s="185"/>
      <c r="G3777" s="185"/>
      <c r="H3777" s="185"/>
      <c r="I3777" s="185"/>
      <c r="J3777" s="185"/>
      <c r="K3777" s="185"/>
      <c r="L3777" s="187"/>
      <c r="M3777" s="188"/>
      <c r="N3777" s="188"/>
      <c r="O3777" s="208"/>
      <c r="P3777" s="208"/>
      <c r="Q3777" s="208"/>
      <c r="R3777" s="208"/>
    </row>
    <row r="3778">
      <c r="A3778" s="185"/>
      <c r="B3778" s="186"/>
      <c r="C3778" s="185"/>
      <c r="D3778" s="185"/>
      <c r="E3778" s="185"/>
      <c r="F3778" s="185"/>
      <c r="G3778" s="185"/>
      <c r="H3778" s="185"/>
      <c r="I3778" s="185"/>
      <c r="J3778" s="185"/>
      <c r="K3778" s="185"/>
      <c r="L3778" s="187"/>
      <c r="M3778" s="188"/>
      <c r="N3778" s="188"/>
      <c r="O3778" s="208"/>
      <c r="P3778" s="208"/>
      <c r="Q3778" s="208"/>
      <c r="R3778" s="208"/>
    </row>
    <row r="3779">
      <c r="A3779" s="185"/>
      <c r="B3779" s="186"/>
      <c r="C3779" s="185"/>
      <c r="D3779" s="185"/>
      <c r="E3779" s="185"/>
      <c r="F3779" s="185"/>
      <c r="G3779" s="185"/>
      <c r="H3779" s="185"/>
      <c r="I3779" s="185"/>
      <c r="J3779" s="185"/>
      <c r="K3779" s="185"/>
      <c r="L3779" s="187"/>
      <c r="M3779" s="188"/>
      <c r="N3779" s="188"/>
      <c r="O3779" s="208"/>
      <c r="P3779" s="208"/>
      <c r="Q3779" s="208"/>
      <c r="R3779" s="208"/>
    </row>
    <row r="3780">
      <c r="A3780" s="185"/>
      <c r="B3780" s="186"/>
      <c r="C3780" s="185"/>
      <c r="D3780" s="185"/>
      <c r="E3780" s="185"/>
      <c r="F3780" s="185"/>
      <c r="G3780" s="185"/>
      <c r="H3780" s="185"/>
      <c r="I3780" s="185"/>
      <c r="J3780" s="185"/>
      <c r="K3780" s="185"/>
      <c r="L3780" s="187"/>
      <c r="M3780" s="188"/>
      <c r="N3780" s="188"/>
      <c r="O3780" s="208"/>
      <c r="P3780" s="208"/>
      <c r="Q3780" s="208"/>
      <c r="R3780" s="208"/>
    </row>
    <row r="3781">
      <c r="A3781" s="185"/>
      <c r="B3781" s="186"/>
      <c r="C3781" s="185"/>
      <c r="D3781" s="185"/>
      <c r="E3781" s="185"/>
      <c r="F3781" s="185"/>
      <c r="G3781" s="185"/>
      <c r="H3781" s="185"/>
      <c r="I3781" s="185"/>
      <c r="J3781" s="185"/>
      <c r="K3781" s="185"/>
      <c r="L3781" s="187"/>
      <c r="M3781" s="188"/>
      <c r="N3781" s="188"/>
      <c r="O3781" s="208"/>
      <c r="P3781" s="208"/>
      <c r="Q3781" s="208"/>
      <c r="R3781" s="208"/>
    </row>
    <row r="3782">
      <c r="A3782" s="185"/>
      <c r="B3782" s="186"/>
      <c r="C3782" s="185"/>
      <c r="D3782" s="185"/>
      <c r="E3782" s="185"/>
      <c r="F3782" s="185"/>
      <c r="G3782" s="185"/>
      <c r="H3782" s="185"/>
      <c r="I3782" s="185"/>
      <c r="J3782" s="185"/>
      <c r="K3782" s="185"/>
      <c r="L3782" s="187"/>
      <c r="M3782" s="188"/>
      <c r="N3782" s="188"/>
      <c r="O3782" s="208"/>
      <c r="P3782" s="208"/>
      <c r="Q3782" s="208"/>
      <c r="R3782" s="208"/>
    </row>
    <row r="3783">
      <c r="A3783" s="185"/>
      <c r="B3783" s="186"/>
      <c r="C3783" s="185"/>
      <c r="D3783" s="185"/>
      <c r="E3783" s="185"/>
      <c r="F3783" s="185"/>
      <c r="G3783" s="185"/>
      <c r="H3783" s="185"/>
      <c r="I3783" s="185"/>
      <c r="J3783" s="185"/>
      <c r="K3783" s="185"/>
      <c r="L3783" s="187"/>
      <c r="M3783" s="188"/>
      <c r="N3783" s="188"/>
      <c r="O3783" s="208"/>
      <c r="P3783" s="208"/>
      <c r="Q3783" s="208"/>
      <c r="R3783" s="208"/>
    </row>
    <row r="3784">
      <c r="A3784" s="185"/>
      <c r="B3784" s="186"/>
      <c r="C3784" s="185"/>
      <c r="D3784" s="185"/>
      <c r="E3784" s="185"/>
      <c r="F3784" s="185"/>
      <c r="G3784" s="185"/>
      <c r="H3784" s="185"/>
      <c r="I3784" s="185"/>
      <c r="J3784" s="185"/>
      <c r="K3784" s="185"/>
      <c r="L3784" s="187"/>
      <c r="M3784" s="188"/>
      <c r="N3784" s="188"/>
      <c r="O3784" s="208"/>
      <c r="P3784" s="208"/>
      <c r="Q3784" s="208"/>
      <c r="R3784" s="208"/>
    </row>
    <row r="3785">
      <c r="A3785" s="185"/>
      <c r="B3785" s="186"/>
      <c r="C3785" s="185"/>
      <c r="D3785" s="185"/>
      <c r="E3785" s="185"/>
      <c r="F3785" s="185"/>
      <c r="G3785" s="185"/>
      <c r="H3785" s="185"/>
      <c r="I3785" s="185"/>
      <c r="J3785" s="185"/>
      <c r="K3785" s="185"/>
      <c r="L3785" s="187"/>
      <c r="M3785" s="188"/>
      <c r="N3785" s="188"/>
      <c r="O3785" s="208"/>
      <c r="P3785" s="208"/>
      <c r="Q3785" s="208"/>
      <c r="R3785" s="208"/>
    </row>
    <row r="3786">
      <c r="A3786" s="185"/>
      <c r="B3786" s="186"/>
      <c r="C3786" s="185"/>
      <c r="D3786" s="185"/>
      <c r="E3786" s="185"/>
      <c r="F3786" s="185"/>
      <c r="G3786" s="185"/>
      <c r="H3786" s="185"/>
      <c r="I3786" s="185"/>
      <c r="J3786" s="185"/>
      <c r="K3786" s="185"/>
      <c r="L3786" s="187"/>
      <c r="M3786" s="188"/>
      <c r="N3786" s="188"/>
      <c r="O3786" s="208"/>
      <c r="P3786" s="208"/>
      <c r="Q3786" s="208"/>
      <c r="R3786" s="208"/>
    </row>
    <row r="3787">
      <c r="A3787" s="185"/>
      <c r="B3787" s="186"/>
      <c r="C3787" s="185"/>
      <c r="D3787" s="185"/>
      <c r="E3787" s="185"/>
      <c r="F3787" s="185"/>
      <c r="G3787" s="185"/>
      <c r="H3787" s="185"/>
      <c r="I3787" s="185"/>
      <c r="J3787" s="185"/>
      <c r="K3787" s="185"/>
      <c r="L3787" s="187"/>
      <c r="M3787" s="188"/>
      <c r="N3787" s="188"/>
      <c r="O3787" s="208"/>
      <c r="P3787" s="208"/>
      <c r="Q3787" s="208"/>
      <c r="R3787" s="208"/>
    </row>
    <row r="3788">
      <c r="A3788" s="185"/>
      <c r="B3788" s="186"/>
      <c r="C3788" s="185"/>
      <c r="D3788" s="185"/>
      <c r="E3788" s="185"/>
      <c r="F3788" s="185"/>
      <c r="G3788" s="185"/>
      <c r="H3788" s="185"/>
      <c r="I3788" s="185"/>
      <c r="J3788" s="185"/>
      <c r="K3788" s="185"/>
      <c r="L3788" s="187"/>
      <c r="M3788" s="188"/>
      <c r="N3788" s="188"/>
      <c r="O3788" s="208"/>
      <c r="P3788" s="208"/>
      <c r="Q3788" s="208"/>
      <c r="R3788" s="208"/>
    </row>
    <row r="3789">
      <c r="A3789" s="185"/>
      <c r="B3789" s="186"/>
      <c r="C3789" s="185"/>
      <c r="D3789" s="185"/>
      <c r="E3789" s="185"/>
      <c r="F3789" s="185"/>
      <c r="G3789" s="185"/>
      <c r="H3789" s="185"/>
      <c r="I3789" s="185"/>
      <c r="J3789" s="185"/>
      <c r="K3789" s="185"/>
      <c r="L3789" s="187"/>
      <c r="M3789" s="188"/>
      <c r="N3789" s="188"/>
      <c r="O3789" s="208"/>
      <c r="P3789" s="208"/>
      <c r="Q3789" s="208"/>
      <c r="R3789" s="208"/>
    </row>
    <row r="3790">
      <c r="A3790" s="185"/>
      <c r="B3790" s="186"/>
      <c r="C3790" s="185"/>
      <c r="D3790" s="185"/>
      <c r="E3790" s="185"/>
      <c r="F3790" s="185"/>
      <c r="G3790" s="185"/>
      <c r="H3790" s="185"/>
      <c r="I3790" s="185"/>
      <c r="J3790" s="185"/>
      <c r="K3790" s="185"/>
      <c r="L3790" s="187"/>
      <c r="M3790" s="188"/>
      <c r="N3790" s="188"/>
      <c r="O3790" s="208"/>
      <c r="P3790" s="208"/>
      <c r="Q3790" s="208"/>
      <c r="R3790" s="208"/>
    </row>
    <row r="3791">
      <c r="A3791" s="185"/>
      <c r="B3791" s="186"/>
      <c r="C3791" s="185"/>
      <c r="D3791" s="185"/>
      <c r="E3791" s="185"/>
      <c r="F3791" s="185"/>
      <c r="G3791" s="185"/>
      <c r="H3791" s="185"/>
      <c r="I3791" s="185"/>
      <c r="J3791" s="185"/>
      <c r="K3791" s="185"/>
      <c r="L3791" s="187"/>
      <c r="M3791" s="188"/>
      <c r="N3791" s="188"/>
      <c r="O3791" s="208"/>
      <c r="P3791" s="208"/>
      <c r="Q3791" s="208"/>
      <c r="R3791" s="208"/>
    </row>
    <row r="3792">
      <c r="A3792" s="185"/>
      <c r="B3792" s="186"/>
      <c r="C3792" s="185"/>
      <c r="D3792" s="185"/>
      <c r="E3792" s="185"/>
      <c r="F3792" s="185"/>
      <c r="G3792" s="185"/>
      <c r="H3792" s="185"/>
      <c r="I3792" s="185"/>
      <c r="J3792" s="185"/>
      <c r="K3792" s="185"/>
      <c r="L3792" s="187"/>
      <c r="M3792" s="188"/>
      <c r="N3792" s="188"/>
      <c r="O3792" s="208"/>
      <c r="P3792" s="208"/>
      <c r="Q3792" s="208"/>
      <c r="R3792" s="208"/>
    </row>
    <row r="3793">
      <c r="A3793" s="185"/>
      <c r="B3793" s="186"/>
      <c r="C3793" s="185"/>
      <c r="D3793" s="185"/>
      <c r="E3793" s="185"/>
      <c r="F3793" s="185"/>
      <c r="G3793" s="185"/>
      <c r="H3793" s="185"/>
      <c r="I3793" s="185"/>
      <c r="J3793" s="185"/>
      <c r="K3793" s="185"/>
      <c r="L3793" s="187"/>
      <c r="M3793" s="188"/>
      <c r="N3793" s="188"/>
      <c r="O3793" s="208"/>
      <c r="P3793" s="208"/>
      <c r="Q3793" s="208"/>
      <c r="R3793" s="208"/>
    </row>
    <row r="3794">
      <c r="A3794" s="185"/>
      <c r="B3794" s="186"/>
      <c r="C3794" s="185"/>
      <c r="D3794" s="185"/>
      <c r="E3794" s="185"/>
      <c r="F3794" s="185"/>
      <c r="G3794" s="185"/>
      <c r="H3794" s="185"/>
      <c r="I3794" s="185"/>
      <c r="J3794" s="185"/>
      <c r="K3794" s="185"/>
      <c r="L3794" s="187"/>
      <c r="M3794" s="188"/>
      <c r="N3794" s="188"/>
      <c r="O3794" s="208"/>
      <c r="P3794" s="208"/>
      <c r="Q3794" s="208"/>
      <c r="R3794" s="208"/>
    </row>
    <row r="3795">
      <c r="A3795" s="185"/>
      <c r="B3795" s="186"/>
      <c r="C3795" s="185"/>
      <c r="D3795" s="185"/>
      <c r="E3795" s="185"/>
      <c r="F3795" s="185"/>
      <c r="G3795" s="185"/>
      <c r="H3795" s="185"/>
      <c r="I3795" s="185"/>
      <c r="J3795" s="185"/>
      <c r="K3795" s="185"/>
      <c r="L3795" s="187"/>
      <c r="M3795" s="188"/>
      <c r="N3795" s="188"/>
      <c r="O3795" s="208"/>
      <c r="P3795" s="208"/>
      <c r="Q3795" s="208"/>
      <c r="R3795" s="208"/>
    </row>
    <row r="3796">
      <c r="A3796" s="185"/>
      <c r="B3796" s="186"/>
      <c r="C3796" s="185"/>
      <c r="D3796" s="185"/>
      <c r="E3796" s="185"/>
      <c r="F3796" s="185"/>
      <c r="G3796" s="185"/>
      <c r="H3796" s="185"/>
      <c r="I3796" s="185"/>
      <c r="J3796" s="185"/>
      <c r="K3796" s="185"/>
      <c r="L3796" s="187"/>
      <c r="M3796" s="188"/>
      <c r="N3796" s="188"/>
      <c r="O3796" s="208"/>
      <c r="P3796" s="208"/>
      <c r="Q3796" s="208"/>
      <c r="R3796" s="208"/>
    </row>
    <row r="3797">
      <c r="A3797" s="185"/>
      <c r="B3797" s="186"/>
      <c r="C3797" s="185"/>
      <c r="D3797" s="185"/>
      <c r="E3797" s="185"/>
      <c r="F3797" s="185"/>
      <c r="G3797" s="185"/>
      <c r="H3797" s="185"/>
      <c r="I3797" s="185"/>
      <c r="J3797" s="185"/>
      <c r="K3797" s="185"/>
      <c r="L3797" s="187"/>
      <c r="M3797" s="188"/>
      <c r="N3797" s="188"/>
      <c r="O3797" s="208"/>
      <c r="P3797" s="208"/>
      <c r="Q3797" s="208"/>
      <c r="R3797" s="208"/>
    </row>
    <row r="3798">
      <c r="A3798" s="185"/>
      <c r="B3798" s="186"/>
      <c r="C3798" s="185"/>
      <c r="D3798" s="185"/>
      <c r="E3798" s="185"/>
      <c r="F3798" s="185"/>
      <c r="G3798" s="185"/>
      <c r="H3798" s="185"/>
      <c r="I3798" s="185"/>
      <c r="J3798" s="185"/>
      <c r="K3798" s="185"/>
      <c r="L3798" s="187"/>
      <c r="M3798" s="188"/>
      <c r="N3798" s="188"/>
      <c r="O3798" s="208"/>
      <c r="P3798" s="208"/>
      <c r="Q3798" s="208"/>
      <c r="R3798" s="208"/>
    </row>
    <row r="3799">
      <c r="A3799" s="185"/>
      <c r="B3799" s="186"/>
      <c r="C3799" s="185"/>
      <c r="D3799" s="185"/>
      <c r="E3799" s="185"/>
      <c r="F3799" s="185"/>
      <c r="G3799" s="185"/>
      <c r="H3799" s="185"/>
      <c r="I3799" s="185"/>
      <c r="J3799" s="185"/>
      <c r="K3799" s="185"/>
      <c r="L3799" s="187"/>
      <c r="M3799" s="188"/>
      <c r="N3799" s="188"/>
      <c r="O3799" s="208"/>
      <c r="P3799" s="208"/>
      <c r="Q3799" s="208"/>
      <c r="R3799" s="208"/>
    </row>
    <row r="3800">
      <c r="A3800" s="185"/>
      <c r="B3800" s="186"/>
      <c r="C3800" s="185"/>
      <c r="D3800" s="185"/>
      <c r="E3800" s="185"/>
      <c r="F3800" s="185"/>
      <c r="G3800" s="185"/>
      <c r="H3800" s="185"/>
      <c r="I3800" s="185"/>
      <c r="J3800" s="185"/>
      <c r="K3800" s="185"/>
      <c r="L3800" s="187"/>
      <c r="M3800" s="188"/>
      <c r="N3800" s="188"/>
      <c r="O3800" s="208"/>
      <c r="P3800" s="208"/>
      <c r="Q3800" s="208"/>
      <c r="R3800" s="208"/>
    </row>
    <row r="3801">
      <c r="A3801" s="185"/>
      <c r="B3801" s="186"/>
      <c r="C3801" s="185"/>
      <c r="D3801" s="185"/>
      <c r="E3801" s="185"/>
      <c r="F3801" s="185"/>
      <c r="G3801" s="185"/>
      <c r="H3801" s="185"/>
      <c r="I3801" s="185"/>
      <c r="J3801" s="185"/>
      <c r="K3801" s="185"/>
      <c r="L3801" s="187"/>
      <c r="M3801" s="188"/>
      <c r="N3801" s="188"/>
      <c r="O3801" s="208"/>
      <c r="P3801" s="208"/>
      <c r="Q3801" s="208"/>
      <c r="R3801" s="208"/>
    </row>
    <row r="3802">
      <c r="A3802" s="185"/>
      <c r="B3802" s="186"/>
      <c r="C3802" s="185"/>
      <c r="D3802" s="185"/>
      <c r="E3802" s="185"/>
      <c r="F3802" s="185"/>
      <c r="G3802" s="185"/>
      <c r="H3802" s="185"/>
      <c r="I3802" s="185"/>
      <c r="J3802" s="185"/>
      <c r="K3802" s="185"/>
      <c r="L3802" s="187"/>
      <c r="M3802" s="188"/>
      <c r="N3802" s="188"/>
      <c r="O3802" s="208"/>
      <c r="P3802" s="208"/>
      <c r="Q3802" s="208"/>
      <c r="R3802" s="208"/>
    </row>
    <row r="3803">
      <c r="A3803" s="185"/>
      <c r="B3803" s="186"/>
      <c r="C3803" s="185"/>
      <c r="D3803" s="185"/>
      <c r="E3803" s="185"/>
      <c r="F3803" s="185"/>
      <c r="G3803" s="185"/>
      <c r="H3803" s="185"/>
      <c r="I3803" s="185"/>
      <c r="J3803" s="185"/>
      <c r="K3803" s="185"/>
      <c r="L3803" s="187"/>
      <c r="M3803" s="188"/>
      <c r="N3803" s="188"/>
      <c r="O3803" s="208"/>
      <c r="P3803" s="208"/>
      <c r="Q3803" s="208"/>
      <c r="R3803" s="208"/>
    </row>
    <row r="3804">
      <c r="A3804" s="185"/>
      <c r="B3804" s="186"/>
      <c r="C3804" s="185"/>
      <c r="D3804" s="185"/>
      <c r="E3804" s="185"/>
      <c r="F3804" s="185"/>
      <c r="G3804" s="185"/>
      <c r="H3804" s="185"/>
      <c r="I3804" s="185"/>
      <c r="J3804" s="185"/>
      <c r="K3804" s="185"/>
      <c r="L3804" s="187"/>
      <c r="M3804" s="188"/>
      <c r="N3804" s="188"/>
      <c r="O3804" s="208"/>
      <c r="P3804" s="208"/>
      <c r="Q3804" s="208"/>
      <c r="R3804" s="208"/>
    </row>
    <row r="3805">
      <c r="A3805" s="185"/>
      <c r="B3805" s="186"/>
      <c r="C3805" s="185"/>
      <c r="D3805" s="185"/>
      <c r="E3805" s="185"/>
      <c r="F3805" s="185"/>
      <c r="G3805" s="185"/>
      <c r="H3805" s="185"/>
      <c r="I3805" s="185"/>
      <c r="J3805" s="185"/>
      <c r="K3805" s="185"/>
      <c r="L3805" s="187"/>
      <c r="M3805" s="188"/>
      <c r="N3805" s="188"/>
      <c r="O3805" s="208"/>
      <c r="P3805" s="208"/>
      <c r="Q3805" s="208"/>
      <c r="R3805" s="208"/>
    </row>
    <row r="3806">
      <c r="A3806" s="185"/>
      <c r="B3806" s="186"/>
      <c r="C3806" s="185"/>
      <c r="D3806" s="185"/>
      <c r="E3806" s="185"/>
      <c r="F3806" s="185"/>
      <c r="G3806" s="185"/>
      <c r="H3806" s="185"/>
      <c r="I3806" s="185"/>
      <c r="J3806" s="185"/>
      <c r="K3806" s="185"/>
      <c r="L3806" s="187"/>
      <c r="M3806" s="188"/>
      <c r="N3806" s="188"/>
      <c r="O3806" s="208"/>
      <c r="P3806" s="208"/>
      <c r="Q3806" s="208"/>
      <c r="R3806" s="208"/>
    </row>
    <row r="3807">
      <c r="A3807" s="185"/>
      <c r="B3807" s="186"/>
      <c r="C3807" s="185"/>
      <c r="D3807" s="185"/>
      <c r="E3807" s="185"/>
      <c r="F3807" s="185"/>
      <c r="G3807" s="185"/>
      <c r="H3807" s="185"/>
      <c r="I3807" s="185"/>
      <c r="J3807" s="185"/>
      <c r="K3807" s="185"/>
      <c r="L3807" s="187"/>
      <c r="M3807" s="188"/>
      <c r="N3807" s="188"/>
      <c r="O3807" s="208"/>
      <c r="P3807" s="208"/>
      <c r="Q3807" s="208"/>
      <c r="R3807" s="208"/>
    </row>
    <row r="3808">
      <c r="A3808" s="185"/>
      <c r="B3808" s="186"/>
      <c r="C3808" s="185"/>
      <c r="D3808" s="185"/>
      <c r="E3808" s="185"/>
      <c r="F3808" s="185"/>
      <c r="G3808" s="185"/>
      <c r="H3808" s="185"/>
      <c r="I3808" s="185"/>
      <c r="J3808" s="185"/>
      <c r="K3808" s="185"/>
      <c r="L3808" s="187"/>
      <c r="M3808" s="188"/>
      <c r="N3808" s="188"/>
      <c r="O3808" s="208"/>
      <c r="P3808" s="208"/>
      <c r="Q3808" s="208"/>
      <c r="R3808" s="208"/>
    </row>
    <row r="3809">
      <c r="A3809" s="185"/>
      <c r="B3809" s="186"/>
      <c r="C3809" s="185"/>
      <c r="D3809" s="185"/>
      <c r="E3809" s="185"/>
      <c r="F3809" s="185"/>
      <c r="G3809" s="185"/>
      <c r="H3809" s="185"/>
      <c r="I3809" s="185"/>
      <c r="J3809" s="185"/>
      <c r="K3809" s="185"/>
      <c r="L3809" s="187"/>
      <c r="M3809" s="188"/>
      <c r="N3809" s="188"/>
      <c r="O3809" s="208"/>
      <c r="P3809" s="208"/>
      <c r="Q3809" s="208"/>
      <c r="R3809" s="208"/>
    </row>
    <row r="3810">
      <c r="A3810" s="185"/>
      <c r="B3810" s="186"/>
      <c r="C3810" s="185"/>
      <c r="D3810" s="185"/>
      <c r="E3810" s="185"/>
      <c r="F3810" s="185"/>
      <c r="G3810" s="185"/>
      <c r="H3810" s="185"/>
      <c r="I3810" s="185"/>
      <c r="J3810" s="185"/>
      <c r="K3810" s="185"/>
      <c r="L3810" s="187"/>
      <c r="M3810" s="188"/>
      <c r="N3810" s="188"/>
      <c r="O3810" s="208"/>
      <c r="P3810" s="208"/>
      <c r="Q3810" s="208"/>
      <c r="R3810" s="208"/>
    </row>
    <row r="3811">
      <c r="A3811" s="185"/>
      <c r="B3811" s="186"/>
      <c r="C3811" s="185"/>
      <c r="D3811" s="185"/>
      <c r="E3811" s="185"/>
      <c r="F3811" s="185"/>
      <c r="G3811" s="185"/>
      <c r="H3811" s="185"/>
      <c r="I3811" s="185"/>
      <c r="J3811" s="185"/>
      <c r="K3811" s="185"/>
      <c r="L3811" s="187"/>
      <c r="M3811" s="188"/>
      <c r="N3811" s="188"/>
      <c r="O3811" s="208"/>
      <c r="P3811" s="208"/>
      <c r="Q3811" s="208"/>
      <c r="R3811" s="208"/>
    </row>
    <row r="3812">
      <c r="A3812" s="185"/>
      <c r="B3812" s="186"/>
      <c r="C3812" s="185"/>
      <c r="D3812" s="185"/>
      <c r="E3812" s="185"/>
      <c r="F3812" s="185"/>
      <c r="G3812" s="185"/>
      <c r="H3812" s="185"/>
      <c r="I3812" s="185"/>
      <c r="J3812" s="185"/>
      <c r="K3812" s="185"/>
      <c r="L3812" s="187"/>
      <c r="M3812" s="188"/>
      <c r="N3812" s="188"/>
      <c r="O3812" s="208"/>
      <c r="P3812" s="208"/>
      <c r="Q3812" s="208"/>
      <c r="R3812" s="208"/>
    </row>
    <row r="3813">
      <c r="A3813" s="185"/>
      <c r="B3813" s="186"/>
      <c r="C3813" s="185"/>
      <c r="D3813" s="185"/>
      <c r="E3813" s="185"/>
      <c r="F3813" s="185"/>
      <c r="G3813" s="185"/>
      <c r="H3813" s="185"/>
      <c r="I3813" s="185"/>
      <c r="J3813" s="185"/>
      <c r="K3813" s="185"/>
      <c r="L3813" s="187"/>
      <c r="M3813" s="188"/>
      <c r="N3813" s="188"/>
      <c r="O3813" s="208"/>
      <c r="P3813" s="208"/>
      <c r="Q3813" s="208"/>
      <c r="R3813" s="208"/>
    </row>
    <row r="3814">
      <c r="A3814" s="185"/>
      <c r="B3814" s="186"/>
      <c r="C3814" s="185"/>
      <c r="D3814" s="185"/>
      <c r="E3814" s="185"/>
      <c r="F3814" s="185"/>
      <c r="G3814" s="185"/>
      <c r="H3814" s="185"/>
      <c r="I3814" s="185"/>
      <c r="J3814" s="185"/>
      <c r="K3814" s="185"/>
      <c r="L3814" s="187"/>
      <c r="M3814" s="188"/>
      <c r="N3814" s="188"/>
      <c r="O3814" s="208"/>
      <c r="P3814" s="208"/>
      <c r="Q3814" s="208"/>
      <c r="R3814" s="208"/>
    </row>
    <row r="3815">
      <c r="A3815" s="185"/>
      <c r="B3815" s="186"/>
      <c r="C3815" s="185"/>
      <c r="D3815" s="185"/>
      <c r="E3815" s="185"/>
      <c r="F3815" s="185"/>
      <c r="G3815" s="185"/>
      <c r="H3815" s="185"/>
      <c r="I3815" s="185"/>
      <c r="J3815" s="185"/>
      <c r="K3815" s="185"/>
      <c r="L3815" s="187"/>
      <c r="M3815" s="188"/>
      <c r="N3815" s="188"/>
      <c r="O3815" s="208"/>
      <c r="P3815" s="208"/>
      <c r="Q3815" s="208"/>
      <c r="R3815" s="208"/>
    </row>
    <row r="3816">
      <c r="A3816" s="185"/>
      <c r="B3816" s="186"/>
      <c r="C3816" s="185"/>
      <c r="D3816" s="185"/>
      <c r="E3816" s="185"/>
      <c r="F3816" s="185"/>
      <c r="G3816" s="185"/>
      <c r="H3816" s="185"/>
      <c r="I3816" s="185"/>
      <c r="J3816" s="185"/>
      <c r="K3816" s="185"/>
      <c r="L3816" s="187"/>
      <c r="M3816" s="188"/>
      <c r="N3816" s="188"/>
      <c r="O3816" s="208"/>
      <c r="P3816" s="208"/>
      <c r="Q3816" s="208"/>
      <c r="R3816" s="208"/>
    </row>
    <row r="3817">
      <c r="A3817" s="185"/>
      <c r="B3817" s="186"/>
      <c r="C3817" s="185"/>
      <c r="D3817" s="185"/>
      <c r="E3817" s="185"/>
      <c r="F3817" s="185"/>
      <c r="G3817" s="185"/>
      <c r="H3817" s="185"/>
      <c r="I3817" s="185"/>
      <c r="J3817" s="185"/>
      <c r="K3817" s="185"/>
      <c r="L3817" s="187"/>
      <c r="M3817" s="188"/>
      <c r="N3817" s="188"/>
      <c r="O3817" s="208"/>
      <c r="P3817" s="208"/>
      <c r="Q3817" s="208"/>
      <c r="R3817" s="208"/>
    </row>
    <row r="3818">
      <c r="A3818" s="185"/>
      <c r="B3818" s="186"/>
      <c r="C3818" s="185"/>
      <c r="D3818" s="185"/>
      <c r="E3818" s="185"/>
      <c r="F3818" s="185"/>
      <c r="G3818" s="185"/>
      <c r="H3818" s="185"/>
      <c r="I3818" s="185"/>
      <c r="J3818" s="185"/>
      <c r="K3818" s="185"/>
      <c r="L3818" s="187"/>
      <c r="M3818" s="188"/>
      <c r="N3818" s="188"/>
      <c r="O3818" s="208"/>
      <c r="P3818" s="208"/>
      <c r="Q3818" s="208"/>
      <c r="R3818" s="208"/>
    </row>
    <row r="3819">
      <c r="A3819" s="185"/>
      <c r="B3819" s="186"/>
      <c r="C3819" s="185"/>
      <c r="D3819" s="185"/>
      <c r="E3819" s="185"/>
      <c r="F3819" s="185"/>
      <c r="G3819" s="185"/>
      <c r="H3819" s="185"/>
      <c r="I3819" s="185"/>
      <c r="J3819" s="185"/>
      <c r="K3819" s="185"/>
      <c r="L3819" s="187"/>
      <c r="M3819" s="188"/>
      <c r="N3819" s="188"/>
      <c r="O3819" s="208"/>
      <c r="P3819" s="208"/>
      <c r="Q3819" s="208"/>
      <c r="R3819" s="208"/>
    </row>
    <row r="3820">
      <c r="A3820" s="185"/>
      <c r="B3820" s="186"/>
      <c r="C3820" s="185"/>
      <c r="D3820" s="185"/>
      <c r="E3820" s="185"/>
      <c r="F3820" s="185"/>
      <c r="G3820" s="185"/>
      <c r="H3820" s="185"/>
      <c r="I3820" s="185"/>
      <c r="J3820" s="185"/>
      <c r="K3820" s="185"/>
      <c r="L3820" s="187"/>
      <c r="M3820" s="188"/>
      <c r="N3820" s="188"/>
      <c r="O3820" s="208"/>
      <c r="P3820" s="208"/>
      <c r="Q3820" s="208"/>
      <c r="R3820" s="208"/>
    </row>
    <row r="3821">
      <c r="A3821" s="185"/>
      <c r="B3821" s="186"/>
      <c r="C3821" s="185"/>
      <c r="D3821" s="185"/>
      <c r="E3821" s="185"/>
      <c r="F3821" s="185"/>
      <c r="G3821" s="185"/>
      <c r="H3821" s="185"/>
      <c r="I3821" s="185"/>
      <c r="J3821" s="185"/>
      <c r="K3821" s="185"/>
      <c r="L3821" s="187"/>
      <c r="M3821" s="188"/>
      <c r="N3821" s="188"/>
      <c r="O3821" s="208"/>
      <c r="P3821" s="208"/>
      <c r="Q3821" s="208"/>
      <c r="R3821" s="208"/>
    </row>
    <row r="3822">
      <c r="A3822" s="185"/>
      <c r="B3822" s="186"/>
      <c r="C3822" s="185"/>
      <c r="D3822" s="185"/>
      <c r="E3822" s="185"/>
      <c r="F3822" s="185"/>
      <c r="G3822" s="185"/>
      <c r="H3822" s="185"/>
      <c r="I3822" s="185"/>
      <c r="J3822" s="185"/>
      <c r="K3822" s="185"/>
      <c r="L3822" s="187"/>
      <c r="M3822" s="188"/>
      <c r="N3822" s="188"/>
      <c r="O3822" s="208"/>
      <c r="P3822" s="208"/>
      <c r="Q3822" s="208"/>
      <c r="R3822" s="208"/>
    </row>
    <row r="3823">
      <c r="A3823" s="185"/>
      <c r="B3823" s="186"/>
      <c r="C3823" s="185"/>
      <c r="D3823" s="185"/>
      <c r="E3823" s="185"/>
      <c r="F3823" s="185"/>
      <c r="G3823" s="185"/>
      <c r="H3823" s="185"/>
      <c r="I3823" s="185"/>
      <c r="J3823" s="185"/>
      <c r="K3823" s="185"/>
      <c r="L3823" s="187"/>
      <c r="M3823" s="188"/>
      <c r="N3823" s="188"/>
      <c r="O3823" s="208"/>
      <c r="P3823" s="208"/>
      <c r="Q3823" s="208"/>
      <c r="R3823" s="208"/>
    </row>
    <row r="3824">
      <c r="A3824" s="185"/>
      <c r="B3824" s="186"/>
      <c r="C3824" s="185"/>
      <c r="D3824" s="185"/>
      <c r="E3824" s="185"/>
      <c r="F3824" s="185"/>
      <c r="G3824" s="185"/>
      <c r="H3824" s="185"/>
      <c r="I3824" s="185"/>
      <c r="J3824" s="185"/>
      <c r="K3824" s="185"/>
      <c r="L3824" s="187"/>
      <c r="M3824" s="188"/>
      <c r="N3824" s="188"/>
      <c r="O3824" s="208"/>
      <c r="P3824" s="208"/>
      <c r="Q3824" s="208"/>
      <c r="R3824" s="208"/>
    </row>
    <row r="3825">
      <c r="A3825" s="185"/>
      <c r="B3825" s="186"/>
      <c r="C3825" s="185"/>
      <c r="D3825" s="185"/>
      <c r="E3825" s="185"/>
      <c r="F3825" s="185"/>
      <c r="G3825" s="185"/>
      <c r="H3825" s="185"/>
      <c r="I3825" s="185"/>
      <c r="J3825" s="185"/>
      <c r="K3825" s="185"/>
      <c r="L3825" s="187"/>
      <c r="M3825" s="188"/>
      <c r="N3825" s="188"/>
      <c r="O3825" s="208"/>
      <c r="P3825" s="208"/>
      <c r="Q3825" s="208"/>
      <c r="R3825" s="208"/>
    </row>
    <row r="3826">
      <c r="A3826" s="185"/>
      <c r="B3826" s="186"/>
      <c r="C3826" s="185"/>
      <c r="D3826" s="185"/>
      <c r="E3826" s="185"/>
      <c r="F3826" s="185"/>
      <c r="G3826" s="185"/>
      <c r="H3826" s="185"/>
      <c r="I3826" s="185"/>
      <c r="J3826" s="185"/>
      <c r="K3826" s="185"/>
      <c r="L3826" s="187"/>
      <c r="M3826" s="188"/>
      <c r="N3826" s="188"/>
      <c r="O3826" s="208"/>
      <c r="P3826" s="208"/>
      <c r="Q3826" s="208"/>
      <c r="R3826" s="208"/>
    </row>
    <row r="3827">
      <c r="A3827" s="185"/>
      <c r="B3827" s="186"/>
      <c r="C3827" s="185"/>
      <c r="D3827" s="185"/>
      <c r="E3827" s="185"/>
      <c r="F3827" s="185"/>
      <c r="G3827" s="185"/>
      <c r="H3827" s="185"/>
      <c r="I3827" s="185"/>
      <c r="J3827" s="185"/>
      <c r="K3827" s="185"/>
      <c r="L3827" s="187"/>
      <c r="M3827" s="188"/>
      <c r="N3827" s="188"/>
      <c r="O3827" s="208"/>
      <c r="P3827" s="208"/>
      <c r="Q3827" s="208"/>
      <c r="R3827" s="208"/>
    </row>
    <row r="3828">
      <c r="A3828" s="185"/>
      <c r="B3828" s="186"/>
      <c r="C3828" s="185"/>
      <c r="D3828" s="185"/>
      <c r="E3828" s="185"/>
      <c r="F3828" s="185"/>
      <c r="G3828" s="185"/>
      <c r="H3828" s="185"/>
      <c r="I3828" s="185"/>
      <c r="J3828" s="185"/>
      <c r="K3828" s="185"/>
      <c r="L3828" s="187"/>
      <c r="M3828" s="188"/>
      <c r="N3828" s="188"/>
      <c r="O3828" s="208"/>
      <c r="P3828" s="208"/>
      <c r="Q3828" s="208"/>
      <c r="R3828" s="208"/>
    </row>
    <row r="3829">
      <c r="A3829" s="185"/>
      <c r="B3829" s="186"/>
      <c r="C3829" s="185"/>
      <c r="D3829" s="185"/>
      <c r="E3829" s="185"/>
      <c r="F3829" s="185"/>
      <c r="G3829" s="185"/>
      <c r="H3829" s="185"/>
      <c r="I3829" s="185"/>
      <c r="J3829" s="185"/>
      <c r="K3829" s="185"/>
      <c r="L3829" s="187"/>
      <c r="M3829" s="188"/>
      <c r="N3829" s="188"/>
      <c r="O3829" s="208"/>
      <c r="P3829" s="208"/>
      <c r="Q3829" s="208"/>
      <c r="R3829" s="208"/>
    </row>
    <row r="3830">
      <c r="A3830" s="185"/>
      <c r="B3830" s="186"/>
      <c r="C3830" s="185"/>
      <c r="D3830" s="185"/>
      <c r="E3830" s="185"/>
      <c r="F3830" s="185"/>
      <c r="G3830" s="185"/>
      <c r="H3830" s="185"/>
      <c r="I3830" s="185"/>
      <c r="J3830" s="185"/>
      <c r="K3830" s="185"/>
      <c r="L3830" s="187"/>
      <c r="M3830" s="188"/>
      <c r="N3830" s="188"/>
      <c r="O3830" s="208"/>
      <c r="P3830" s="208"/>
      <c r="Q3830" s="208"/>
      <c r="R3830" s="208"/>
    </row>
    <row r="3831">
      <c r="A3831" s="185"/>
      <c r="B3831" s="186"/>
      <c r="C3831" s="185"/>
      <c r="D3831" s="185"/>
      <c r="E3831" s="185"/>
      <c r="F3831" s="185"/>
      <c r="G3831" s="185"/>
      <c r="H3831" s="185"/>
      <c r="I3831" s="185"/>
      <c r="J3831" s="185"/>
      <c r="K3831" s="185"/>
      <c r="L3831" s="187"/>
      <c r="M3831" s="188"/>
      <c r="N3831" s="188"/>
      <c r="O3831" s="208"/>
      <c r="P3831" s="208"/>
      <c r="Q3831" s="208"/>
      <c r="R3831" s="208"/>
    </row>
    <row r="3832">
      <c r="A3832" s="185"/>
      <c r="B3832" s="186"/>
      <c r="C3832" s="185"/>
      <c r="D3832" s="185"/>
      <c r="E3832" s="185"/>
      <c r="F3832" s="185"/>
      <c r="G3832" s="185"/>
      <c r="H3832" s="185"/>
      <c r="I3832" s="185"/>
      <c r="J3832" s="185"/>
      <c r="K3832" s="185"/>
      <c r="L3832" s="187"/>
      <c r="M3832" s="188"/>
      <c r="N3832" s="188"/>
      <c r="O3832" s="208"/>
      <c r="P3832" s="208"/>
      <c r="Q3832" s="208"/>
      <c r="R3832" s="208"/>
    </row>
    <row r="3833">
      <c r="A3833" s="185"/>
      <c r="B3833" s="186"/>
      <c r="C3833" s="185"/>
      <c r="D3833" s="185"/>
      <c r="E3833" s="185"/>
      <c r="F3833" s="185"/>
      <c r="G3833" s="185"/>
      <c r="H3833" s="185"/>
      <c r="I3833" s="185"/>
      <c r="J3833" s="185"/>
      <c r="K3833" s="185"/>
      <c r="L3833" s="187"/>
      <c r="M3833" s="188"/>
      <c r="N3833" s="188"/>
      <c r="O3833" s="208"/>
      <c r="P3833" s="208"/>
      <c r="Q3833" s="208"/>
      <c r="R3833" s="208"/>
    </row>
    <row r="3834">
      <c r="A3834" s="185"/>
      <c r="B3834" s="186"/>
      <c r="C3834" s="185"/>
      <c r="D3834" s="185"/>
      <c r="E3834" s="185"/>
      <c r="F3834" s="185"/>
      <c r="G3834" s="185"/>
      <c r="H3834" s="185"/>
      <c r="I3834" s="185"/>
      <c r="J3834" s="185"/>
      <c r="K3834" s="185"/>
      <c r="L3834" s="187"/>
      <c r="M3834" s="188"/>
      <c r="N3834" s="188"/>
      <c r="O3834" s="208"/>
      <c r="P3834" s="208"/>
      <c r="Q3834" s="208"/>
      <c r="R3834" s="208"/>
    </row>
    <row r="3835">
      <c r="A3835" s="185"/>
      <c r="B3835" s="186"/>
      <c r="C3835" s="185"/>
      <c r="D3835" s="185"/>
      <c r="E3835" s="185"/>
      <c r="F3835" s="185"/>
      <c r="G3835" s="185"/>
      <c r="H3835" s="185"/>
      <c r="I3835" s="185"/>
      <c r="J3835" s="185"/>
      <c r="K3835" s="185"/>
      <c r="L3835" s="187"/>
      <c r="M3835" s="188"/>
      <c r="N3835" s="188"/>
      <c r="O3835" s="208"/>
      <c r="P3835" s="208"/>
      <c r="Q3835" s="208"/>
      <c r="R3835" s="208"/>
    </row>
    <row r="3836">
      <c r="A3836" s="185"/>
      <c r="B3836" s="186"/>
      <c r="C3836" s="185"/>
      <c r="D3836" s="185"/>
      <c r="E3836" s="185"/>
      <c r="F3836" s="185"/>
      <c r="G3836" s="185"/>
      <c r="H3836" s="185"/>
      <c r="I3836" s="185"/>
      <c r="J3836" s="185"/>
      <c r="K3836" s="185"/>
      <c r="L3836" s="187"/>
      <c r="M3836" s="188"/>
      <c r="N3836" s="188"/>
      <c r="O3836" s="208"/>
      <c r="P3836" s="208"/>
      <c r="Q3836" s="208"/>
      <c r="R3836" s="208"/>
    </row>
    <row r="3837">
      <c r="A3837" s="185"/>
      <c r="B3837" s="186"/>
      <c r="C3837" s="185"/>
      <c r="D3837" s="185"/>
      <c r="E3837" s="185"/>
      <c r="F3837" s="185"/>
      <c r="G3837" s="185"/>
      <c r="H3837" s="185"/>
      <c r="I3837" s="185"/>
      <c r="J3837" s="185"/>
      <c r="K3837" s="185"/>
      <c r="L3837" s="187"/>
      <c r="M3837" s="188"/>
      <c r="N3837" s="188"/>
      <c r="O3837" s="208"/>
      <c r="P3837" s="208"/>
      <c r="Q3837" s="208"/>
      <c r="R3837" s="208"/>
    </row>
    <row r="3838">
      <c r="A3838" s="185"/>
      <c r="B3838" s="186"/>
      <c r="C3838" s="185"/>
      <c r="D3838" s="185"/>
      <c r="E3838" s="185"/>
      <c r="F3838" s="185"/>
      <c r="G3838" s="185"/>
      <c r="H3838" s="185"/>
      <c r="I3838" s="185"/>
      <c r="J3838" s="185"/>
      <c r="K3838" s="185"/>
      <c r="L3838" s="187"/>
      <c r="M3838" s="188"/>
      <c r="N3838" s="188"/>
      <c r="O3838" s="208"/>
      <c r="P3838" s="208"/>
      <c r="Q3838" s="208"/>
      <c r="R3838" s="208"/>
    </row>
    <row r="3839">
      <c r="A3839" s="185"/>
      <c r="B3839" s="186"/>
      <c r="C3839" s="185"/>
      <c r="D3839" s="185"/>
      <c r="E3839" s="185"/>
      <c r="F3839" s="185"/>
      <c r="G3839" s="185"/>
      <c r="H3839" s="185"/>
      <c r="I3839" s="185"/>
      <c r="J3839" s="185"/>
      <c r="K3839" s="185"/>
      <c r="L3839" s="187"/>
      <c r="M3839" s="188"/>
      <c r="N3839" s="188"/>
      <c r="O3839" s="208"/>
      <c r="P3839" s="208"/>
      <c r="Q3839" s="208"/>
      <c r="R3839" s="208"/>
    </row>
    <row r="3840">
      <c r="A3840" s="185"/>
      <c r="B3840" s="186"/>
      <c r="C3840" s="185"/>
      <c r="D3840" s="185"/>
      <c r="E3840" s="185"/>
      <c r="F3840" s="185"/>
      <c r="G3840" s="185"/>
      <c r="H3840" s="185"/>
      <c r="I3840" s="185"/>
      <c r="J3840" s="185"/>
      <c r="K3840" s="185"/>
      <c r="L3840" s="187"/>
      <c r="M3840" s="188"/>
      <c r="N3840" s="188"/>
      <c r="O3840" s="208"/>
      <c r="P3840" s="208"/>
      <c r="Q3840" s="208"/>
      <c r="R3840" s="208"/>
    </row>
    <row r="3841">
      <c r="A3841" s="185"/>
      <c r="B3841" s="186"/>
      <c r="C3841" s="185"/>
      <c r="D3841" s="185"/>
      <c r="E3841" s="185"/>
      <c r="F3841" s="185"/>
      <c r="G3841" s="185"/>
      <c r="H3841" s="185"/>
      <c r="I3841" s="185"/>
      <c r="J3841" s="185"/>
      <c r="K3841" s="185"/>
      <c r="L3841" s="187"/>
      <c r="M3841" s="188"/>
      <c r="N3841" s="188"/>
      <c r="O3841" s="208"/>
      <c r="P3841" s="208"/>
      <c r="Q3841" s="208"/>
      <c r="R3841" s="208"/>
    </row>
    <row r="3842">
      <c r="A3842" s="185"/>
      <c r="B3842" s="186"/>
      <c r="C3842" s="185"/>
      <c r="D3842" s="185"/>
      <c r="E3842" s="185"/>
      <c r="F3842" s="185"/>
      <c r="G3842" s="185"/>
      <c r="H3842" s="185"/>
      <c r="I3842" s="185"/>
      <c r="J3842" s="185"/>
      <c r="K3842" s="185"/>
      <c r="L3842" s="187"/>
      <c r="M3842" s="188"/>
      <c r="N3842" s="188"/>
      <c r="O3842" s="208"/>
      <c r="P3842" s="208"/>
      <c r="Q3842" s="208"/>
      <c r="R3842" s="208"/>
    </row>
    <row r="3843">
      <c r="A3843" s="185"/>
      <c r="B3843" s="186"/>
      <c r="C3843" s="185"/>
      <c r="D3843" s="185"/>
      <c r="E3843" s="185"/>
      <c r="F3843" s="185"/>
      <c r="G3843" s="185"/>
      <c r="H3843" s="185"/>
      <c r="I3843" s="185"/>
      <c r="J3843" s="185"/>
      <c r="K3843" s="185"/>
      <c r="L3843" s="187"/>
      <c r="M3843" s="188"/>
      <c r="N3843" s="188"/>
      <c r="O3843" s="208"/>
      <c r="P3843" s="208"/>
      <c r="Q3843" s="208"/>
      <c r="R3843" s="208"/>
    </row>
    <row r="3844">
      <c r="A3844" s="185"/>
      <c r="B3844" s="186"/>
      <c r="C3844" s="185"/>
      <c r="D3844" s="185"/>
      <c r="E3844" s="185"/>
      <c r="F3844" s="185"/>
      <c r="G3844" s="185"/>
      <c r="H3844" s="185"/>
      <c r="I3844" s="185"/>
      <c r="J3844" s="185"/>
      <c r="K3844" s="185"/>
      <c r="L3844" s="187"/>
      <c r="M3844" s="188"/>
      <c r="N3844" s="188"/>
      <c r="O3844" s="208"/>
      <c r="P3844" s="208"/>
      <c r="Q3844" s="208"/>
      <c r="R3844" s="208"/>
    </row>
    <row r="3845">
      <c r="A3845" s="185"/>
      <c r="B3845" s="186"/>
      <c r="C3845" s="185"/>
      <c r="D3845" s="185"/>
      <c r="E3845" s="185"/>
      <c r="F3845" s="185"/>
      <c r="G3845" s="185"/>
      <c r="H3845" s="185"/>
      <c r="I3845" s="185"/>
      <c r="J3845" s="185"/>
      <c r="K3845" s="185"/>
      <c r="L3845" s="187"/>
      <c r="M3845" s="188"/>
      <c r="N3845" s="188"/>
      <c r="O3845" s="208"/>
      <c r="P3845" s="208"/>
      <c r="Q3845" s="208"/>
      <c r="R3845" s="208"/>
    </row>
    <row r="3846">
      <c r="A3846" s="185"/>
      <c r="B3846" s="186"/>
      <c r="C3846" s="185"/>
      <c r="D3846" s="185"/>
      <c r="E3846" s="185"/>
      <c r="F3846" s="185"/>
      <c r="G3846" s="185"/>
      <c r="H3846" s="185"/>
      <c r="I3846" s="185"/>
      <c r="J3846" s="185"/>
      <c r="K3846" s="185"/>
      <c r="L3846" s="187"/>
      <c r="M3846" s="188"/>
      <c r="N3846" s="188"/>
      <c r="O3846" s="208"/>
      <c r="P3846" s="208"/>
      <c r="Q3846" s="208"/>
      <c r="R3846" s="208"/>
    </row>
    <row r="3847">
      <c r="A3847" s="185"/>
      <c r="B3847" s="186"/>
      <c r="C3847" s="185"/>
      <c r="D3847" s="185"/>
      <c r="E3847" s="185"/>
      <c r="F3847" s="185"/>
      <c r="G3847" s="185"/>
      <c r="H3847" s="185"/>
      <c r="I3847" s="185"/>
      <c r="J3847" s="185"/>
      <c r="K3847" s="185"/>
      <c r="L3847" s="187"/>
      <c r="M3847" s="188"/>
      <c r="N3847" s="188"/>
      <c r="O3847" s="208"/>
      <c r="P3847" s="208"/>
      <c r="Q3847" s="208"/>
      <c r="R3847" s="208"/>
    </row>
    <row r="3848">
      <c r="A3848" s="185"/>
      <c r="B3848" s="186"/>
      <c r="C3848" s="185"/>
      <c r="D3848" s="185"/>
      <c r="E3848" s="185"/>
      <c r="F3848" s="185"/>
      <c r="G3848" s="185"/>
      <c r="H3848" s="185"/>
      <c r="I3848" s="185"/>
      <c r="J3848" s="185"/>
      <c r="K3848" s="185"/>
      <c r="L3848" s="187"/>
      <c r="M3848" s="188"/>
      <c r="N3848" s="188"/>
      <c r="O3848" s="208"/>
      <c r="P3848" s="208"/>
      <c r="Q3848" s="208"/>
      <c r="R3848" s="208"/>
    </row>
    <row r="3849">
      <c r="A3849" s="185"/>
      <c r="B3849" s="186"/>
      <c r="C3849" s="185"/>
      <c r="D3849" s="185"/>
      <c r="E3849" s="185"/>
      <c r="F3849" s="185"/>
      <c r="G3849" s="185"/>
      <c r="H3849" s="185"/>
      <c r="I3849" s="185"/>
      <c r="J3849" s="185"/>
      <c r="K3849" s="185"/>
      <c r="L3849" s="187"/>
      <c r="M3849" s="188"/>
      <c r="N3849" s="188"/>
      <c r="O3849" s="208"/>
      <c r="P3849" s="208"/>
      <c r="Q3849" s="208"/>
      <c r="R3849" s="208"/>
    </row>
    <row r="3850">
      <c r="A3850" s="185"/>
      <c r="B3850" s="186"/>
      <c r="C3850" s="185"/>
      <c r="D3850" s="185"/>
      <c r="E3850" s="185"/>
      <c r="F3850" s="185"/>
      <c r="G3850" s="185"/>
      <c r="H3850" s="185"/>
      <c r="I3850" s="185"/>
      <c r="J3850" s="185"/>
      <c r="K3850" s="185"/>
      <c r="L3850" s="187"/>
      <c r="M3850" s="188"/>
      <c r="N3850" s="188"/>
      <c r="O3850" s="208"/>
      <c r="P3850" s="208"/>
      <c r="Q3850" s="208"/>
      <c r="R3850" s="208"/>
    </row>
    <row r="3851">
      <c r="A3851" s="185"/>
      <c r="B3851" s="186"/>
      <c r="C3851" s="185"/>
      <c r="D3851" s="185"/>
      <c r="E3851" s="185"/>
      <c r="F3851" s="185"/>
      <c r="G3851" s="185"/>
      <c r="H3851" s="185"/>
      <c r="I3851" s="185"/>
      <c r="J3851" s="185"/>
      <c r="K3851" s="185"/>
      <c r="L3851" s="187"/>
      <c r="M3851" s="188"/>
      <c r="N3851" s="188"/>
      <c r="O3851" s="208"/>
      <c r="P3851" s="208"/>
      <c r="Q3851" s="208"/>
      <c r="R3851" s="208"/>
    </row>
    <row r="3852">
      <c r="A3852" s="185"/>
      <c r="B3852" s="186"/>
      <c r="C3852" s="185"/>
      <c r="D3852" s="185"/>
      <c r="E3852" s="185"/>
      <c r="F3852" s="185"/>
      <c r="G3852" s="185"/>
      <c r="H3852" s="185"/>
      <c r="I3852" s="185"/>
      <c r="J3852" s="185"/>
      <c r="K3852" s="185"/>
      <c r="L3852" s="187"/>
      <c r="M3852" s="188"/>
      <c r="N3852" s="188"/>
      <c r="O3852" s="208"/>
      <c r="P3852" s="208"/>
      <c r="Q3852" s="208"/>
      <c r="R3852" s="208"/>
    </row>
    <row r="3853">
      <c r="A3853" s="185"/>
      <c r="B3853" s="186"/>
      <c r="C3853" s="185"/>
      <c r="D3853" s="185"/>
      <c r="E3853" s="185"/>
      <c r="F3853" s="185"/>
      <c r="G3853" s="185"/>
      <c r="H3853" s="185"/>
      <c r="I3853" s="185"/>
      <c r="J3853" s="185"/>
      <c r="K3853" s="185"/>
      <c r="L3853" s="187"/>
      <c r="M3853" s="188"/>
      <c r="N3853" s="188"/>
      <c r="O3853" s="208"/>
      <c r="P3853" s="208"/>
      <c r="Q3853" s="208"/>
      <c r="R3853" s="208"/>
    </row>
    <row r="3854">
      <c r="A3854" s="185"/>
      <c r="B3854" s="186"/>
      <c r="C3854" s="185"/>
      <c r="D3854" s="185"/>
      <c r="E3854" s="185"/>
      <c r="F3854" s="185"/>
      <c r="G3854" s="185"/>
      <c r="H3854" s="185"/>
      <c r="I3854" s="185"/>
      <c r="J3854" s="185"/>
      <c r="K3854" s="185"/>
      <c r="L3854" s="187"/>
      <c r="M3854" s="188"/>
      <c r="N3854" s="188"/>
      <c r="O3854" s="208"/>
      <c r="P3854" s="208"/>
      <c r="Q3854" s="208"/>
      <c r="R3854" s="208"/>
    </row>
    <row r="3855">
      <c r="A3855" s="185"/>
      <c r="B3855" s="186"/>
      <c r="C3855" s="185"/>
      <c r="D3855" s="185"/>
      <c r="E3855" s="185"/>
      <c r="F3855" s="185"/>
      <c r="G3855" s="185"/>
      <c r="H3855" s="185"/>
      <c r="I3855" s="185"/>
      <c r="J3855" s="185"/>
      <c r="K3855" s="185"/>
      <c r="L3855" s="187"/>
      <c r="M3855" s="188"/>
      <c r="N3855" s="188"/>
      <c r="O3855" s="208"/>
      <c r="P3855" s="208"/>
      <c r="Q3855" s="208"/>
      <c r="R3855" s="208"/>
    </row>
    <row r="3856">
      <c r="A3856" s="185"/>
      <c r="B3856" s="186"/>
      <c r="C3856" s="185"/>
      <c r="D3856" s="185"/>
      <c r="E3856" s="185"/>
      <c r="F3856" s="185"/>
      <c r="G3856" s="185"/>
      <c r="H3856" s="185"/>
      <c r="I3856" s="185"/>
      <c r="J3856" s="185"/>
      <c r="K3856" s="185"/>
      <c r="L3856" s="187"/>
      <c r="M3856" s="188"/>
      <c r="N3856" s="188"/>
      <c r="O3856" s="208"/>
      <c r="P3856" s="208"/>
      <c r="Q3856" s="208"/>
      <c r="R3856" s="208"/>
    </row>
    <row r="3857">
      <c r="A3857" s="185"/>
      <c r="B3857" s="186"/>
      <c r="C3857" s="185"/>
      <c r="D3857" s="185"/>
      <c r="E3857" s="185"/>
      <c r="F3857" s="185"/>
      <c r="G3857" s="185"/>
      <c r="H3857" s="185"/>
      <c r="I3857" s="185"/>
      <c r="J3857" s="185"/>
      <c r="K3857" s="185"/>
      <c r="L3857" s="187"/>
      <c r="M3857" s="188"/>
      <c r="N3857" s="188"/>
      <c r="O3857" s="208"/>
      <c r="P3857" s="208"/>
      <c r="Q3857" s="208"/>
      <c r="R3857" s="208"/>
    </row>
    <row r="3858">
      <c r="A3858" s="185"/>
      <c r="B3858" s="186"/>
      <c r="C3858" s="185"/>
      <c r="D3858" s="185"/>
      <c r="E3858" s="185"/>
      <c r="F3858" s="185"/>
      <c r="G3858" s="185"/>
      <c r="H3858" s="185"/>
      <c r="I3858" s="185"/>
      <c r="J3858" s="185"/>
      <c r="K3858" s="185"/>
      <c r="L3858" s="187"/>
      <c r="M3858" s="188"/>
      <c r="N3858" s="188"/>
      <c r="O3858" s="208"/>
      <c r="P3858" s="208"/>
      <c r="Q3858" s="208"/>
      <c r="R3858" s="208"/>
    </row>
    <row r="3859">
      <c r="A3859" s="185"/>
      <c r="B3859" s="186"/>
      <c r="C3859" s="185"/>
      <c r="D3859" s="185"/>
      <c r="E3859" s="185"/>
      <c r="F3859" s="185"/>
      <c r="G3859" s="185"/>
      <c r="H3859" s="185"/>
      <c r="I3859" s="185"/>
      <c r="J3859" s="185"/>
      <c r="K3859" s="185"/>
      <c r="L3859" s="187"/>
      <c r="M3859" s="188"/>
      <c r="N3859" s="188"/>
      <c r="O3859" s="208"/>
      <c r="P3859" s="208"/>
      <c r="Q3859" s="208"/>
      <c r="R3859" s="208"/>
    </row>
    <row r="3860">
      <c r="A3860" s="185"/>
      <c r="B3860" s="186"/>
      <c r="C3860" s="185"/>
      <c r="D3860" s="185"/>
      <c r="E3860" s="185"/>
      <c r="F3860" s="185"/>
      <c r="G3860" s="185"/>
      <c r="H3860" s="185"/>
      <c r="I3860" s="185"/>
      <c r="J3860" s="185"/>
      <c r="K3860" s="185"/>
      <c r="L3860" s="187"/>
      <c r="M3860" s="188"/>
      <c r="N3860" s="188"/>
      <c r="O3860" s="208"/>
      <c r="P3860" s="208"/>
      <c r="Q3860" s="208"/>
      <c r="R3860" s="208"/>
    </row>
    <row r="3861">
      <c r="A3861" s="185"/>
      <c r="B3861" s="186"/>
      <c r="C3861" s="185"/>
      <c r="D3861" s="185"/>
      <c r="E3861" s="185"/>
      <c r="F3861" s="185"/>
      <c r="G3861" s="185"/>
      <c r="H3861" s="185"/>
      <c r="I3861" s="185"/>
      <c r="J3861" s="185"/>
      <c r="K3861" s="185"/>
      <c r="L3861" s="187"/>
      <c r="M3861" s="188"/>
      <c r="N3861" s="188"/>
      <c r="O3861" s="208"/>
      <c r="P3861" s="208"/>
      <c r="Q3861" s="208"/>
      <c r="R3861" s="208"/>
    </row>
    <row r="3862">
      <c r="A3862" s="185"/>
      <c r="B3862" s="186"/>
      <c r="C3862" s="185"/>
      <c r="D3862" s="185"/>
      <c r="E3862" s="185"/>
      <c r="F3862" s="185"/>
      <c r="G3862" s="185"/>
      <c r="H3862" s="185"/>
      <c r="I3862" s="185"/>
      <c r="J3862" s="185"/>
      <c r="K3862" s="185"/>
      <c r="L3862" s="187"/>
      <c r="M3862" s="188"/>
      <c r="N3862" s="188"/>
      <c r="O3862" s="208"/>
      <c r="P3862" s="208"/>
      <c r="Q3862" s="208"/>
      <c r="R3862" s="208"/>
    </row>
    <row r="3863">
      <c r="A3863" s="185"/>
      <c r="B3863" s="186"/>
      <c r="C3863" s="185"/>
      <c r="D3863" s="185"/>
      <c r="E3863" s="185"/>
      <c r="F3863" s="185"/>
      <c r="G3863" s="185"/>
      <c r="H3863" s="185"/>
      <c r="I3863" s="185"/>
      <c r="J3863" s="185"/>
      <c r="K3863" s="185"/>
      <c r="L3863" s="187"/>
      <c r="M3863" s="188"/>
      <c r="N3863" s="188"/>
      <c r="O3863" s="208"/>
      <c r="P3863" s="208"/>
      <c r="Q3863" s="208"/>
      <c r="R3863" s="208"/>
    </row>
    <row r="3864">
      <c r="A3864" s="185"/>
      <c r="B3864" s="186"/>
      <c r="C3864" s="185"/>
      <c r="D3864" s="185"/>
      <c r="E3864" s="185"/>
      <c r="F3864" s="185"/>
      <c r="G3864" s="185"/>
      <c r="H3864" s="185"/>
      <c r="I3864" s="185"/>
      <c r="J3864" s="185"/>
      <c r="K3864" s="185"/>
      <c r="L3864" s="187"/>
      <c r="M3864" s="188"/>
      <c r="N3864" s="188"/>
      <c r="O3864" s="208"/>
      <c r="P3864" s="208"/>
      <c r="Q3864" s="208"/>
      <c r="R3864" s="208"/>
    </row>
    <row r="3865">
      <c r="A3865" s="185"/>
      <c r="B3865" s="186"/>
      <c r="C3865" s="185"/>
      <c r="D3865" s="185"/>
      <c r="E3865" s="185"/>
      <c r="F3865" s="185"/>
      <c r="G3865" s="185"/>
      <c r="H3865" s="185"/>
      <c r="I3865" s="185"/>
      <c r="J3865" s="185"/>
      <c r="K3865" s="185"/>
      <c r="L3865" s="187"/>
      <c r="M3865" s="188"/>
      <c r="N3865" s="188"/>
      <c r="O3865" s="208"/>
      <c r="P3865" s="208"/>
      <c r="Q3865" s="208"/>
      <c r="R3865" s="208"/>
    </row>
    <row r="3866">
      <c r="A3866" s="185"/>
      <c r="B3866" s="186"/>
      <c r="C3866" s="185"/>
      <c r="D3866" s="185"/>
      <c r="E3866" s="185"/>
      <c r="F3866" s="185"/>
      <c r="G3866" s="185"/>
      <c r="H3866" s="185"/>
      <c r="I3866" s="185"/>
      <c r="J3866" s="185"/>
      <c r="K3866" s="185"/>
      <c r="L3866" s="187"/>
      <c r="M3866" s="188"/>
      <c r="N3866" s="188"/>
      <c r="O3866" s="208"/>
      <c r="P3866" s="208"/>
      <c r="Q3866" s="208"/>
      <c r="R3866" s="208"/>
    </row>
    <row r="3867">
      <c r="A3867" s="185"/>
      <c r="B3867" s="186"/>
      <c r="C3867" s="185"/>
      <c r="D3867" s="185"/>
      <c r="E3867" s="185"/>
      <c r="F3867" s="185"/>
      <c r="G3867" s="185"/>
      <c r="H3867" s="185"/>
      <c r="I3867" s="185"/>
      <c r="J3867" s="185"/>
      <c r="K3867" s="185"/>
      <c r="L3867" s="187"/>
      <c r="M3867" s="188"/>
      <c r="N3867" s="188"/>
      <c r="O3867" s="208"/>
      <c r="P3867" s="208"/>
      <c r="Q3867" s="208"/>
      <c r="R3867" s="208"/>
    </row>
    <row r="3868">
      <c r="A3868" s="185"/>
      <c r="B3868" s="186"/>
      <c r="C3868" s="185"/>
      <c r="D3868" s="185"/>
      <c r="E3868" s="185"/>
      <c r="F3868" s="185"/>
      <c r="G3868" s="185"/>
      <c r="H3868" s="185"/>
      <c r="I3868" s="185"/>
      <c r="J3868" s="185"/>
      <c r="K3868" s="185"/>
      <c r="L3868" s="187"/>
      <c r="M3868" s="188"/>
      <c r="N3868" s="188"/>
      <c r="O3868" s="208"/>
      <c r="P3868" s="208"/>
      <c r="Q3868" s="208"/>
      <c r="R3868" s="208"/>
    </row>
    <row r="3869">
      <c r="A3869" s="185"/>
      <c r="B3869" s="186"/>
      <c r="C3869" s="185"/>
      <c r="D3869" s="185"/>
      <c r="E3869" s="185"/>
      <c r="F3869" s="185"/>
      <c r="G3869" s="185"/>
      <c r="H3869" s="185"/>
      <c r="I3869" s="185"/>
      <c r="J3869" s="185"/>
      <c r="K3869" s="185"/>
      <c r="L3869" s="187"/>
      <c r="M3869" s="188"/>
      <c r="N3869" s="188"/>
      <c r="O3869" s="208"/>
      <c r="P3869" s="208"/>
      <c r="Q3869" s="208"/>
      <c r="R3869" s="208"/>
    </row>
    <row r="3870">
      <c r="A3870" s="185"/>
      <c r="B3870" s="186"/>
      <c r="C3870" s="185"/>
      <c r="D3870" s="185"/>
      <c r="E3870" s="185"/>
      <c r="F3870" s="185"/>
      <c r="G3870" s="185"/>
      <c r="H3870" s="185"/>
      <c r="I3870" s="185"/>
      <c r="J3870" s="185"/>
      <c r="K3870" s="185"/>
      <c r="L3870" s="187"/>
      <c r="M3870" s="188"/>
      <c r="N3870" s="188"/>
      <c r="O3870" s="208"/>
      <c r="P3870" s="208"/>
      <c r="Q3870" s="208"/>
      <c r="R3870" s="208"/>
    </row>
    <row r="3871">
      <c r="A3871" s="185"/>
      <c r="B3871" s="186"/>
      <c r="C3871" s="185"/>
      <c r="D3871" s="185"/>
      <c r="E3871" s="185"/>
      <c r="F3871" s="185"/>
      <c r="G3871" s="185"/>
      <c r="H3871" s="185"/>
      <c r="I3871" s="185"/>
      <c r="J3871" s="185"/>
      <c r="K3871" s="185"/>
      <c r="L3871" s="187"/>
      <c r="M3871" s="188"/>
      <c r="N3871" s="188"/>
      <c r="O3871" s="208"/>
      <c r="P3871" s="208"/>
      <c r="Q3871" s="208"/>
      <c r="R3871" s="208"/>
    </row>
    <row r="3872">
      <c r="A3872" s="185"/>
      <c r="B3872" s="186"/>
      <c r="C3872" s="185"/>
      <c r="D3872" s="185"/>
      <c r="E3872" s="185"/>
      <c r="F3872" s="185"/>
      <c r="G3872" s="185"/>
      <c r="H3872" s="185"/>
      <c r="I3872" s="185"/>
      <c r="J3872" s="185"/>
      <c r="K3872" s="185"/>
      <c r="L3872" s="187"/>
      <c r="M3872" s="188"/>
      <c r="N3872" s="188"/>
      <c r="O3872" s="208"/>
      <c r="P3872" s="208"/>
      <c r="Q3872" s="208"/>
      <c r="R3872" s="208"/>
    </row>
    <row r="3873">
      <c r="A3873" s="185"/>
      <c r="B3873" s="186"/>
      <c r="C3873" s="185"/>
      <c r="D3873" s="185"/>
      <c r="E3873" s="185"/>
      <c r="F3873" s="185"/>
      <c r="G3873" s="185"/>
      <c r="H3873" s="185"/>
      <c r="I3873" s="185"/>
      <c r="J3873" s="185"/>
      <c r="K3873" s="185"/>
      <c r="L3873" s="187"/>
      <c r="M3873" s="188"/>
      <c r="N3873" s="188"/>
      <c r="O3873" s="208"/>
      <c r="P3873" s="208"/>
      <c r="Q3873" s="208"/>
      <c r="R3873" s="208"/>
    </row>
    <row r="3874">
      <c r="A3874" s="185"/>
      <c r="B3874" s="186"/>
      <c r="C3874" s="185"/>
      <c r="D3874" s="185"/>
      <c r="E3874" s="185"/>
      <c r="F3874" s="185"/>
      <c r="G3874" s="185"/>
      <c r="H3874" s="185"/>
      <c r="I3874" s="185"/>
      <c r="J3874" s="185"/>
      <c r="K3874" s="185"/>
      <c r="L3874" s="187"/>
      <c r="M3874" s="188"/>
      <c r="N3874" s="188"/>
      <c r="O3874" s="208"/>
      <c r="P3874" s="208"/>
      <c r="Q3874" s="208"/>
      <c r="R3874" s="208"/>
    </row>
    <row r="3875">
      <c r="A3875" s="185"/>
      <c r="B3875" s="186"/>
      <c r="C3875" s="185"/>
      <c r="D3875" s="185"/>
      <c r="E3875" s="185"/>
      <c r="F3875" s="185"/>
      <c r="G3875" s="185"/>
      <c r="H3875" s="185"/>
      <c r="I3875" s="185"/>
      <c r="J3875" s="185"/>
      <c r="K3875" s="185"/>
      <c r="L3875" s="187"/>
      <c r="M3875" s="188"/>
      <c r="N3875" s="188"/>
      <c r="O3875" s="208"/>
      <c r="P3875" s="208"/>
      <c r="Q3875" s="208"/>
      <c r="R3875" s="208"/>
    </row>
    <row r="3876">
      <c r="A3876" s="185"/>
      <c r="B3876" s="186"/>
      <c r="C3876" s="185"/>
      <c r="D3876" s="185"/>
      <c r="E3876" s="185"/>
      <c r="F3876" s="185"/>
      <c r="G3876" s="185"/>
      <c r="H3876" s="185"/>
      <c r="I3876" s="185"/>
      <c r="J3876" s="185"/>
      <c r="K3876" s="185"/>
      <c r="L3876" s="187"/>
      <c r="M3876" s="188"/>
      <c r="N3876" s="188"/>
      <c r="O3876" s="208"/>
      <c r="P3876" s="208"/>
      <c r="Q3876" s="208"/>
      <c r="R3876" s="208"/>
    </row>
    <row r="3877">
      <c r="A3877" s="185"/>
      <c r="B3877" s="186"/>
      <c r="C3877" s="185"/>
      <c r="D3877" s="185"/>
      <c r="E3877" s="185"/>
      <c r="F3877" s="185"/>
      <c r="G3877" s="185"/>
      <c r="H3877" s="185"/>
      <c r="I3877" s="185"/>
      <c r="J3877" s="185"/>
      <c r="K3877" s="185"/>
      <c r="L3877" s="187"/>
      <c r="M3877" s="188"/>
      <c r="N3877" s="188"/>
      <c r="O3877" s="208"/>
      <c r="P3877" s="208"/>
      <c r="Q3877" s="208"/>
      <c r="R3877" s="208"/>
    </row>
    <row r="3878">
      <c r="A3878" s="185"/>
      <c r="B3878" s="186"/>
      <c r="C3878" s="185"/>
      <c r="D3878" s="185"/>
      <c r="E3878" s="185"/>
      <c r="F3878" s="185"/>
      <c r="G3878" s="185"/>
      <c r="H3878" s="185"/>
      <c r="I3878" s="185"/>
      <c r="J3878" s="185"/>
      <c r="K3878" s="185"/>
      <c r="L3878" s="187"/>
      <c r="M3878" s="188"/>
      <c r="N3878" s="188"/>
      <c r="O3878" s="208"/>
      <c r="P3878" s="208"/>
      <c r="Q3878" s="208"/>
      <c r="R3878" s="208"/>
    </row>
    <row r="3879">
      <c r="A3879" s="185"/>
      <c r="B3879" s="186"/>
      <c r="C3879" s="185"/>
      <c r="D3879" s="185"/>
      <c r="E3879" s="185"/>
      <c r="F3879" s="185"/>
      <c r="G3879" s="185"/>
      <c r="H3879" s="185"/>
      <c r="I3879" s="185"/>
      <c r="J3879" s="185"/>
      <c r="K3879" s="185"/>
      <c r="L3879" s="187"/>
      <c r="M3879" s="188"/>
      <c r="N3879" s="188"/>
      <c r="O3879" s="208"/>
      <c r="P3879" s="208"/>
      <c r="Q3879" s="208"/>
      <c r="R3879" s="208"/>
    </row>
    <row r="3880">
      <c r="A3880" s="185"/>
      <c r="B3880" s="186"/>
      <c r="C3880" s="185"/>
      <c r="D3880" s="185"/>
      <c r="E3880" s="185"/>
      <c r="F3880" s="185"/>
      <c r="G3880" s="185"/>
      <c r="H3880" s="185"/>
      <c r="I3880" s="185"/>
      <c r="J3880" s="185"/>
      <c r="K3880" s="185"/>
      <c r="L3880" s="187"/>
      <c r="M3880" s="188"/>
      <c r="N3880" s="188"/>
      <c r="O3880" s="208"/>
      <c r="P3880" s="208"/>
      <c r="Q3880" s="208"/>
      <c r="R3880" s="208"/>
    </row>
    <row r="3881">
      <c r="A3881" s="185"/>
      <c r="B3881" s="186"/>
      <c r="C3881" s="185"/>
      <c r="D3881" s="185"/>
      <c r="E3881" s="185"/>
      <c r="F3881" s="185"/>
      <c r="G3881" s="185"/>
      <c r="H3881" s="185"/>
      <c r="I3881" s="185"/>
      <c r="J3881" s="185"/>
      <c r="K3881" s="185"/>
      <c r="L3881" s="187"/>
      <c r="M3881" s="188"/>
      <c r="N3881" s="188"/>
      <c r="O3881" s="208"/>
      <c r="P3881" s="208"/>
      <c r="Q3881" s="208"/>
      <c r="R3881" s="208"/>
    </row>
    <row r="3882">
      <c r="A3882" s="185"/>
      <c r="B3882" s="186"/>
      <c r="C3882" s="185"/>
      <c r="D3882" s="185"/>
      <c r="E3882" s="185"/>
      <c r="F3882" s="185"/>
      <c r="G3882" s="185"/>
      <c r="H3882" s="185"/>
      <c r="I3882" s="185"/>
      <c r="J3882" s="185"/>
      <c r="K3882" s="185"/>
      <c r="L3882" s="187"/>
      <c r="M3882" s="188"/>
      <c r="N3882" s="188"/>
      <c r="O3882" s="208"/>
      <c r="P3882" s="208"/>
      <c r="Q3882" s="208"/>
      <c r="R3882" s="208"/>
    </row>
    <row r="3883">
      <c r="A3883" s="185"/>
      <c r="B3883" s="186"/>
      <c r="C3883" s="185"/>
      <c r="D3883" s="185"/>
      <c r="E3883" s="185"/>
      <c r="F3883" s="185"/>
      <c r="G3883" s="185"/>
      <c r="H3883" s="185"/>
      <c r="I3883" s="185"/>
      <c r="J3883" s="185"/>
      <c r="K3883" s="185"/>
      <c r="L3883" s="187"/>
      <c r="M3883" s="188"/>
      <c r="N3883" s="188"/>
      <c r="O3883" s="208"/>
      <c r="P3883" s="208"/>
      <c r="Q3883" s="208"/>
      <c r="R3883" s="208"/>
    </row>
    <row r="3884">
      <c r="A3884" s="185"/>
      <c r="B3884" s="186"/>
      <c r="C3884" s="185"/>
      <c r="D3884" s="185"/>
      <c r="E3884" s="185"/>
      <c r="F3884" s="185"/>
      <c r="G3884" s="185"/>
      <c r="H3884" s="185"/>
      <c r="I3884" s="185"/>
      <c r="J3884" s="185"/>
      <c r="K3884" s="185"/>
      <c r="L3884" s="187"/>
      <c r="M3884" s="188"/>
      <c r="N3884" s="188"/>
      <c r="O3884" s="208"/>
      <c r="P3884" s="208"/>
      <c r="Q3884" s="208"/>
      <c r="R3884" s="208"/>
    </row>
    <row r="3885">
      <c r="A3885" s="185"/>
      <c r="B3885" s="186"/>
      <c r="C3885" s="185"/>
      <c r="D3885" s="185"/>
      <c r="E3885" s="185"/>
      <c r="F3885" s="185"/>
      <c r="G3885" s="185"/>
      <c r="H3885" s="185"/>
      <c r="I3885" s="185"/>
      <c r="J3885" s="185"/>
      <c r="K3885" s="185"/>
      <c r="L3885" s="187"/>
      <c r="M3885" s="188"/>
      <c r="N3885" s="188"/>
      <c r="O3885" s="208"/>
      <c r="P3885" s="208"/>
      <c r="Q3885" s="208"/>
      <c r="R3885" s="208"/>
    </row>
    <row r="3886">
      <c r="A3886" s="185"/>
      <c r="B3886" s="186"/>
      <c r="C3886" s="185"/>
      <c r="D3886" s="185"/>
      <c r="E3886" s="185"/>
      <c r="F3886" s="185"/>
      <c r="G3886" s="185"/>
      <c r="H3886" s="185"/>
      <c r="I3886" s="185"/>
      <c r="J3886" s="185"/>
      <c r="K3886" s="185"/>
      <c r="L3886" s="187"/>
      <c r="M3886" s="188"/>
      <c r="N3886" s="188"/>
      <c r="O3886" s="208"/>
      <c r="P3886" s="208"/>
      <c r="Q3886" s="208"/>
      <c r="R3886" s="208"/>
    </row>
    <row r="3887">
      <c r="A3887" s="185"/>
      <c r="B3887" s="186"/>
      <c r="C3887" s="185"/>
      <c r="D3887" s="185"/>
      <c r="E3887" s="185"/>
      <c r="F3887" s="185"/>
      <c r="G3887" s="185"/>
      <c r="H3887" s="185"/>
      <c r="I3887" s="185"/>
      <c r="J3887" s="185"/>
      <c r="K3887" s="185"/>
      <c r="L3887" s="187"/>
      <c r="M3887" s="188"/>
      <c r="N3887" s="188"/>
      <c r="O3887" s="208"/>
      <c r="P3887" s="208"/>
      <c r="Q3887" s="208"/>
      <c r="R3887" s="208"/>
    </row>
    <row r="3888">
      <c r="A3888" s="185"/>
      <c r="B3888" s="186"/>
      <c r="C3888" s="185"/>
      <c r="D3888" s="185"/>
      <c r="E3888" s="185"/>
      <c r="F3888" s="185"/>
      <c r="G3888" s="185"/>
      <c r="H3888" s="185"/>
      <c r="I3888" s="185"/>
      <c r="J3888" s="185"/>
      <c r="K3888" s="185"/>
      <c r="L3888" s="187"/>
      <c r="M3888" s="188"/>
      <c r="N3888" s="188"/>
      <c r="O3888" s="208"/>
      <c r="P3888" s="208"/>
      <c r="Q3888" s="208"/>
      <c r="R3888" s="208"/>
    </row>
    <row r="3889">
      <c r="A3889" s="185"/>
      <c r="B3889" s="186"/>
      <c r="C3889" s="185"/>
      <c r="D3889" s="185"/>
      <c r="E3889" s="185"/>
      <c r="F3889" s="185"/>
      <c r="G3889" s="185"/>
      <c r="H3889" s="185"/>
      <c r="I3889" s="185"/>
      <c r="J3889" s="185"/>
      <c r="K3889" s="185"/>
      <c r="L3889" s="187"/>
      <c r="M3889" s="188"/>
      <c r="N3889" s="188"/>
      <c r="O3889" s="208"/>
      <c r="P3889" s="208"/>
      <c r="Q3889" s="208"/>
      <c r="R3889" s="208"/>
    </row>
    <row r="3890">
      <c r="A3890" s="185"/>
      <c r="B3890" s="186"/>
      <c r="C3890" s="185"/>
      <c r="D3890" s="185"/>
      <c r="E3890" s="185"/>
      <c r="F3890" s="185"/>
      <c r="G3890" s="185"/>
      <c r="H3890" s="185"/>
      <c r="I3890" s="185"/>
      <c r="J3890" s="185"/>
      <c r="K3890" s="185"/>
      <c r="L3890" s="187"/>
      <c r="M3890" s="188"/>
      <c r="N3890" s="188"/>
      <c r="O3890" s="208"/>
      <c r="P3890" s="208"/>
      <c r="Q3890" s="208"/>
      <c r="R3890" s="208"/>
    </row>
    <row r="3891">
      <c r="A3891" s="185"/>
      <c r="B3891" s="186"/>
      <c r="C3891" s="185"/>
      <c r="D3891" s="185"/>
      <c r="E3891" s="185"/>
      <c r="F3891" s="185"/>
      <c r="G3891" s="185"/>
      <c r="H3891" s="185"/>
      <c r="I3891" s="185"/>
      <c r="J3891" s="185"/>
      <c r="K3891" s="185"/>
      <c r="L3891" s="187"/>
      <c r="M3891" s="188"/>
      <c r="N3891" s="188"/>
      <c r="O3891" s="208"/>
      <c r="P3891" s="208"/>
      <c r="Q3891" s="208"/>
      <c r="R3891" s="208"/>
    </row>
    <row r="3892">
      <c r="A3892" s="185"/>
      <c r="B3892" s="186"/>
      <c r="C3892" s="185"/>
      <c r="D3892" s="185"/>
      <c r="E3892" s="185"/>
      <c r="F3892" s="185"/>
      <c r="G3892" s="185"/>
      <c r="H3892" s="185"/>
      <c r="I3892" s="185"/>
      <c r="J3892" s="185"/>
      <c r="K3892" s="185"/>
      <c r="L3892" s="187"/>
      <c r="M3892" s="188"/>
      <c r="N3892" s="188"/>
      <c r="O3892" s="208"/>
      <c r="P3892" s="208"/>
      <c r="Q3892" s="208"/>
      <c r="R3892" s="208"/>
    </row>
    <row r="3893">
      <c r="A3893" s="185"/>
      <c r="B3893" s="186"/>
      <c r="C3893" s="185"/>
      <c r="D3893" s="185"/>
      <c r="E3893" s="185"/>
      <c r="F3893" s="185"/>
      <c r="G3893" s="185"/>
      <c r="H3893" s="185"/>
      <c r="I3893" s="185"/>
      <c r="J3893" s="185"/>
      <c r="K3893" s="185"/>
      <c r="L3893" s="187"/>
      <c r="M3893" s="188"/>
      <c r="N3893" s="188"/>
      <c r="O3893" s="208"/>
      <c r="P3893" s="208"/>
      <c r="Q3893" s="208"/>
      <c r="R3893" s="208"/>
    </row>
    <row r="3894">
      <c r="A3894" s="185"/>
      <c r="B3894" s="186"/>
      <c r="C3894" s="185"/>
      <c r="D3894" s="185"/>
      <c r="E3894" s="185"/>
      <c r="F3894" s="185"/>
      <c r="G3894" s="185"/>
      <c r="H3894" s="185"/>
      <c r="I3894" s="185"/>
      <c r="J3894" s="185"/>
      <c r="K3894" s="185"/>
      <c r="L3894" s="187"/>
      <c r="M3894" s="188"/>
      <c r="N3894" s="188"/>
      <c r="O3894" s="208"/>
      <c r="P3894" s="208"/>
      <c r="Q3894" s="208"/>
      <c r="R3894" s="208"/>
    </row>
    <row r="3895">
      <c r="A3895" s="185"/>
      <c r="B3895" s="186"/>
      <c r="C3895" s="185"/>
      <c r="D3895" s="185"/>
      <c r="E3895" s="185"/>
      <c r="F3895" s="185"/>
      <c r="G3895" s="185"/>
      <c r="H3895" s="185"/>
      <c r="I3895" s="185"/>
      <c r="J3895" s="185"/>
      <c r="K3895" s="185"/>
      <c r="L3895" s="187"/>
      <c r="M3895" s="188"/>
      <c r="N3895" s="188"/>
      <c r="O3895" s="208"/>
      <c r="P3895" s="208"/>
      <c r="Q3895" s="208"/>
      <c r="R3895" s="208"/>
    </row>
    <row r="3896">
      <c r="A3896" s="185"/>
      <c r="B3896" s="186"/>
      <c r="C3896" s="185"/>
      <c r="D3896" s="185"/>
      <c r="E3896" s="185"/>
      <c r="F3896" s="185"/>
      <c r="G3896" s="185"/>
      <c r="H3896" s="185"/>
      <c r="I3896" s="185"/>
      <c r="J3896" s="185"/>
      <c r="K3896" s="185"/>
      <c r="L3896" s="187"/>
      <c r="M3896" s="188"/>
      <c r="N3896" s="188"/>
      <c r="O3896" s="208"/>
      <c r="P3896" s="208"/>
      <c r="Q3896" s="208"/>
      <c r="R3896" s="208"/>
    </row>
    <row r="3897">
      <c r="A3897" s="185"/>
      <c r="B3897" s="186"/>
      <c r="C3897" s="185"/>
      <c r="D3897" s="185"/>
      <c r="E3897" s="185"/>
      <c r="F3897" s="185"/>
      <c r="G3897" s="185"/>
      <c r="H3897" s="185"/>
      <c r="I3897" s="185"/>
      <c r="J3897" s="185"/>
      <c r="K3897" s="185"/>
      <c r="L3897" s="187"/>
      <c r="M3897" s="188"/>
      <c r="N3897" s="188"/>
      <c r="O3897" s="208"/>
      <c r="P3897" s="208"/>
      <c r="Q3897" s="208"/>
      <c r="R3897" s="208"/>
    </row>
    <row r="3898">
      <c r="A3898" s="185"/>
      <c r="B3898" s="186"/>
      <c r="C3898" s="185"/>
      <c r="D3898" s="185"/>
      <c r="E3898" s="185"/>
      <c r="F3898" s="185"/>
      <c r="G3898" s="185"/>
      <c r="H3898" s="185"/>
      <c r="I3898" s="185"/>
      <c r="J3898" s="185"/>
      <c r="K3898" s="185"/>
      <c r="L3898" s="187"/>
      <c r="M3898" s="188"/>
      <c r="N3898" s="188"/>
      <c r="O3898" s="208"/>
      <c r="P3898" s="208"/>
      <c r="Q3898" s="208"/>
      <c r="R3898" s="208"/>
    </row>
    <row r="3899">
      <c r="A3899" s="185"/>
      <c r="B3899" s="186"/>
      <c r="C3899" s="185"/>
      <c r="D3899" s="185"/>
      <c r="E3899" s="185"/>
      <c r="F3899" s="185"/>
      <c r="G3899" s="185"/>
      <c r="H3899" s="185"/>
      <c r="I3899" s="185"/>
      <c r="J3899" s="185"/>
      <c r="K3899" s="185"/>
      <c r="L3899" s="187"/>
      <c r="M3899" s="188"/>
      <c r="N3899" s="188"/>
      <c r="O3899" s="208"/>
      <c r="P3899" s="208"/>
      <c r="Q3899" s="208"/>
      <c r="R3899" s="208"/>
    </row>
    <row r="3900">
      <c r="A3900" s="185"/>
      <c r="B3900" s="186"/>
      <c r="C3900" s="185"/>
      <c r="D3900" s="185"/>
      <c r="E3900" s="185"/>
      <c r="F3900" s="185"/>
      <c r="G3900" s="185"/>
      <c r="H3900" s="185"/>
      <c r="I3900" s="185"/>
      <c r="J3900" s="185"/>
      <c r="K3900" s="185"/>
      <c r="L3900" s="187"/>
      <c r="M3900" s="188"/>
      <c r="N3900" s="188"/>
      <c r="O3900" s="208"/>
      <c r="P3900" s="208"/>
      <c r="Q3900" s="208"/>
      <c r="R3900" s="208"/>
    </row>
    <row r="3901">
      <c r="A3901" s="185"/>
      <c r="B3901" s="186"/>
      <c r="C3901" s="185"/>
      <c r="D3901" s="185"/>
      <c r="E3901" s="185"/>
      <c r="F3901" s="185"/>
      <c r="G3901" s="185"/>
      <c r="H3901" s="185"/>
      <c r="I3901" s="185"/>
      <c r="J3901" s="185"/>
      <c r="K3901" s="185"/>
      <c r="L3901" s="187"/>
      <c r="M3901" s="188"/>
      <c r="N3901" s="188"/>
      <c r="O3901" s="208"/>
      <c r="P3901" s="208"/>
      <c r="Q3901" s="208"/>
      <c r="R3901" s="208"/>
    </row>
    <row r="3902">
      <c r="A3902" s="185"/>
      <c r="B3902" s="186"/>
      <c r="C3902" s="185"/>
      <c r="D3902" s="185"/>
      <c r="E3902" s="185"/>
      <c r="F3902" s="185"/>
      <c r="G3902" s="185"/>
      <c r="H3902" s="185"/>
      <c r="I3902" s="185"/>
      <c r="J3902" s="185"/>
      <c r="K3902" s="185"/>
      <c r="L3902" s="187"/>
      <c r="M3902" s="188"/>
      <c r="N3902" s="188"/>
      <c r="O3902" s="208"/>
      <c r="P3902" s="208"/>
      <c r="Q3902" s="208"/>
      <c r="R3902" s="208"/>
    </row>
    <row r="3903">
      <c r="A3903" s="185"/>
      <c r="B3903" s="186"/>
      <c r="C3903" s="185"/>
      <c r="D3903" s="185"/>
      <c r="E3903" s="185"/>
      <c r="F3903" s="185"/>
      <c r="G3903" s="185"/>
      <c r="H3903" s="185"/>
      <c r="I3903" s="185"/>
      <c r="J3903" s="185"/>
      <c r="K3903" s="185"/>
      <c r="L3903" s="187"/>
      <c r="M3903" s="188"/>
      <c r="N3903" s="188"/>
      <c r="O3903" s="208"/>
      <c r="P3903" s="208"/>
      <c r="Q3903" s="208"/>
      <c r="R3903" s="208"/>
    </row>
    <row r="3904">
      <c r="A3904" s="185"/>
      <c r="B3904" s="186"/>
      <c r="C3904" s="185"/>
      <c r="D3904" s="185"/>
      <c r="E3904" s="185"/>
      <c r="F3904" s="185"/>
      <c r="G3904" s="185"/>
      <c r="H3904" s="185"/>
      <c r="I3904" s="185"/>
      <c r="J3904" s="185"/>
      <c r="K3904" s="185"/>
      <c r="L3904" s="187"/>
      <c r="M3904" s="188"/>
      <c r="N3904" s="188"/>
      <c r="O3904" s="208"/>
      <c r="P3904" s="208"/>
      <c r="Q3904" s="208"/>
      <c r="R3904" s="208"/>
    </row>
    <row r="3905">
      <c r="A3905" s="185"/>
      <c r="B3905" s="186"/>
      <c r="C3905" s="185"/>
      <c r="D3905" s="185"/>
      <c r="E3905" s="185"/>
      <c r="F3905" s="185"/>
      <c r="G3905" s="185"/>
      <c r="H3905" s="185"/>
      <c r="I3905" s="185"/>
      <c r="J3905" s="185"/>
      <c r="K3905" s="185"/>
      <c r="L3905" s="187"/>
      <c r="M3905" s="188"/>
      <c r="N3905" s="188"/>
      <c r="O3905" s="208"/>
      <c r="P3905" s="208"/>
      <c r="Q3905" s="208"/>
      <c r="R3905" s="208"/>
    </row>
    <row r="3906">
      <c r="A3906" s="185"/>
      <c r="B3906" s="186"/>
      <c r="C3906" s="185"/>
      <c r="D3906" s="185"/>
      <c r="E3906" s="185"/>
      <c r="F3906" s="185"/>
      <c r="G3906" s="185"/>
      <c r="H3906" s="185"/>
      <c r="I3906" s="185"/>
      <c r="J3906" s="185"/>
      <c r="K3906" s="185"/>
      <c r="L3906" s="187"/>
      <c r="M3906" s="188"/>
      <c r="N3906" s="188"/>
      <c r="O3906" s="208"/>
      <c r="P3906" s="208"/>
      <c r="Q3906" s="208"/>
      <c r="R3906" s="208"/>
    </row>
    <row r="3907">
      <c r="A3907" s="185"/>
      <c r="B3907" s="186"/>
      <c r="C3907" s="185"/>
      <c r="D3907" s="185"/>
      <c r="E3907" s="185"/>
      <c r="F3907" s="185"/>
      <c r="G3907" s="185"/>
      <c r="H3907" s="185"/>
      <c r="I3907" s="185"/>
      <c r="J3907" s="185"/>
      <c r="K3907" s="185"/>
      <c r="L3907" s="187"/>
      <c r="M3907" s="188"/>
      <c r="N3907" s="188"/>
      <c r="O3907" s="208"/>
      <c r="P3907" s="208"/>
      <c r="Q3907" s="208"/>
      <c r="R3907" s="208"/>
    </row>
    <row r="3908">
      <c r="A3908" s="185"/>
      <c r="B3908" s="186"/>
      <c r="C3908" s="185"/>
      <c r="D3908" s="185"/>
      <c r="E3908" s="185"/>
      <c r="F3908" s="185"/>
      <c r="G3908" s="185"/>
      <c r="H3908" s="185"/>
      <c r="I3908" s="185"/>
      <c r="J3908" s="185"/>
      <c r="K3908" s="185"/>
      <c r="L3908" s="187"/>
      <c r="M3908" s="188"/>
      <c r="N3908" s="188"/>
      <c r="O3908" s="208"/>
      <c r="P3908" s="208"/>
      <c r="Q3908" s="208"/>
      <c r="R3908" s="208"/>
    </row>
    <row r="3909">
      <c r="A3909" s="185"/>
      <c r="B3909" s="186"/>
      <c r="C3909" s="185"/>
      <c r="D3909" s="185"/>
      <c r="E3909" s="185"/>
      <c r="F3909" s="185"/>
      <c r="G3909" s="185"/>
      <c r="H3909" s="185"/>
      <c r="I3909" s="185"/>
      <c r="J3909" s="185"/>
      <c r="K3909" s="185"/>
      <c r="L3909" s="187"/>
      <c r="M3909" s="188"/>
      <c r="N3909" s="188"/>
      <c r="O3909" s="208"/>
      <c r="P3909" s="208"/>
      <c r="Q3909" s="208"/>
      <c r="R3909" s="208"/>
    </row>
    <row r="3910">
      <c r="A3910" s="185"/>
      <c r="B3910" s="186"/>
      <c r="C3910" s="185"/>
      <c r="D3910" s="185"/>
      <c r="E3910" s="185"/>
      <c r="F3910" s="185"/>
      <c r="G3910" s="185"/>
      <c r="H3910" s="185"/>
      <c r="I3910" s="185"/>
      <c r="J3910" s="185"/>
      <c r="K3910" s="185"/>
      <c r="L3910" s="187"/>
      <c r="M3910" s="188"/>
      <c r="N3910" s="188"/>
      <c r="O3910" s="208"/>
      <c r="P3910" s="208"/>
      <c r="Q3910" s="208"/>
      <c r="R3910" s="208"/>
    </row>
    <row r="3911">
      <c r="A3911" s="185"/>
      <c r="B3911" s="186"/>
      <c r="C3911" s="185"/>
      <c r="D3911" s="185"/>
      <c r="E3911" s="185"/>
      <c r="F3911" s="185"/>
      <c r="G3911" s="185"/>
      <c r="H3911" s="185"/>
      <c r="I3911" s="185"/>
      <c r="J3911" s="185"/>
      <c r="K3911" s="185"/>
      <c r="L3911" s="187"/>
      <c r="M3911" s="188"/>
      <c r="N3911" s="188"/>
      <c r="O3911" s="208"/>
      <c r="P3911" s="208"/>
      <c r="Q3911" s="208"/>
      <c r="R3911" s="208"/>
    </row>
    <row r="3912">
      <c r="A3912" s="185"/>
      <c r="B3912" s="186"/>
      <c r="C3912" s="185"/>
      <c r="D3912" s="185"/>
      <c r="E3912" s="185"/>
      <c r="F3912" s="185"/>
      <c r="G3912" s="185"/>
      <c r="H3912" s="185"/>
      <c r="I3912" s="185"/>
      <c r="J3912" s="185"/>
      <c r="K3912" s="185"/>
      <c r="L3912" s="187"/>
      <c r="M3912" s="188"/>
      <c r="N3912" s="188"/>
      <c r="O3912" s="208"/>
      <c r="P3912" s="208"/>
      <c r="Q3912" s="208"/>
      <c r="R3912" s="208"/>
    </row>
    <row r="3913">
      <c r="A3913" s="185"/>
      <c r="B3913" s="186"/>
      <c r="C3913" s="185"/>
      <c r="D3913" s="185"/>
      <c r="E3913" s="185"/>
      <c r="F3913" s="185"/>
      <c r="G3913" s="185"/>
      <c r="H3913" s="185"/>
      <c r="I3913" s="185"/>
      <c r="J3913" s="185"/>
      <c r="K3913" s="185"/>
      <c r="L3913" s="187"/>
      <c r="M3913" s="188"/>
      <c r="N3913" s="188"/>
      <c r="O3913" s="208"/>
      <c r="P3913" s="208"/>
      <c r="Q3913" s="208"/>
      <c r="R3913" s="208"/>
    </row>
    <row r="3914">
      <c r="A3914" s="185"/>
      <c r="B3914" s="186"/>
      <c r="C3914" s="185"/>
      <c r="D3914" s="185"/>
      <c r="E3914" s="185"/>
      <c r="F3914" s="185"/>
      <c r="G3914" s="185"/>
      <c r="H3914" s="185"/>
      <c r="I3914" s="185"/>
      <c r="J3914" s="185"/>
      <c r="K3914" s="185"/>
      <c r="L3914" s="187"/>
      <c r="M3914" s="188"/>
      <c r="N3914" s="188"/>
      <c r="O3914" s="208"/>
      <c r="P3914" s="208"/>
      <c r="Q3914" s="208"/>
      <c r="R3914" s="208"/>
    </row>
    <row r="3915">
      <c r="A3915" s="185"/>
      <c r="B3915" s="186"/>
      <c r="C3915" s="185"/>
      <c r="D3915" s="185"/>
      <c r="E3915" s="185"/>
      <c r="F3915" s="185"/>
      <c r="G3915" s="185"/>
      <c r="H3915" s="185"/>
      <c r="I3915" s="185"/>
      <c r="J3915" s="185"/>
      <c r="K3915" s="185"/>
      <c r="L3915" s="187"/>
      <c r="M3915" s="188"/>
      <c r="N3915" s="188"/>
      <c r="O3915" s="208"/>
      <c r="P3915" s="208"/>
      <c r="Q3915" s="208"/>
      <c r="R3915" s="208"/>
    </row>
    <row r="3916">
      <c r="A3916" s="185"/>
      <c r="B3916" s="186"/>
      <c r="C3916" s="185"/>
      <c r="D3916" s="185"/>
      <c r="E3916" s="185"/>
      <c r="F3916" s="185"/>
      <c r="G3916" s="185"/>
      <c r="H3916" s="185"/>
      <c r="I3916" s="185"/>
      <c r="J3916" s="185"/>
      <c r="K3916" s="185"/>
      <c r="L3916" s="187"/>
      <c r="M3916" s="188"/>
      <c r="N3916" s="188"/>
      <c r="O3916" s="208"/>
      <c r="P3916" s="208"/>
      <c r="Q3916" s="208"/>
      <c r="R3916" s="208"/>
    </row>
    <row r="3917">
      <c r="A3917" s="185"/>
      <c r="B3917" s="186"/>
      <c r="C3917" s="185"/>
      <c r="D3917" s="185"/>
      <c r="E3917" s="185"/>
      <c r="F3917" s="185"/>
      <c r="G3917" s="185"/>
      <c r="H3917" s="185"/>
      <c r="I3917" s="185"/>
      <c r="J3917" s="185"/>
      <c r="K3917" s="185"/>
      <c r="L3917" s="187"/>
      <c r="M3917" s="188"/>
      <c r="N3917" s="188"/>
      <c r="O3917" s="208"/>
      <c r="P3917" s="208"/>
      <c r="Q3917" s="208"/>
      <c r="R3917" s="208"/>
    </row>
    <row r="3918">
      <c r="A3918" s="185"/>
      <c r="B3918" s="186"/>
      <c r="C3918" s="185"/>
      <c r="D3918" s="185"/>
      <c r="E3918" s="185"/>
      <c r="F3918" s="185"/>
      <c r="G3918" s="185"/>
      <c r="H3918" s="185"/>
      <c r="I3918" s="185"/>
      <c r="J3918" s="185"/>
      <c r="K3918" s="185"/>
      <c r="L3918" s="187"/>
      <c r="M3918" s="188"/>
      <c r="N3918" s="188"/>
      <c r="O3918" s="208"/>
      <c r="P3918" s="208"/>
      <c r="Q3918" s="208"/>
      <c r="R3918" s="208"/>
    </row>
    <row r="3919">
      <c r="A3919" s="185"/>
      <c r="B3919" s="186"/>
      <c r="C3919" s="185"/>
      <c r="D3919" s="185"/>
      <c r="E3919" s="185"/>
      <c r="F3919" s="185"/>
      <c r="G3919" s="185"/>
      <c r="H3919" s="185"/>
      <c r="I3919" s="185"/>
      <c r="J3919" s="185"/>
      <c r="K3919" s="185"/>
      <c r="L3919" s="187"/>
      <c r="M3919" s="188"/>
      <c r="N3919" s="188"/>
      <c r="O3919" s="208"/>
      <c r="P3919" s="208"/>
      <c r="Q3919" s="208"/>
      <c r="R3919" s="208"/>
    </row>
    <row r="3920">
      <c r="A3920" s="185"/>
      <c r="B3920" s="186"/>
      <c r="C3920" s="185"/>
      <c r="D3920" s="185"/>
      <c r="E3920" s="185"/>
      <c r="F3920" s="185"/>
      <c r="G3920" s="185"/>
      <c r="H3920" s="185"/>
      <c r="I3920" s="185"/>
      <c r="J3920" s="185"/>
      <c r="K3920" s="185"/>
      <c r="L3920" s="187"/>
      <c r="M3920" s="188"/>
      <c r="N3920" s="188"/>
      <c r="O3920" s="208"/>
      <c r="P3920" s="208"/>
      <c r="Q3920" s="208"/>
      <c r="R3920" s="208"/>
    </row>
    <row r="3921">
      <c r="A3921" s="185"/>
      <c r="B3921" s="186"/>
      <c r="C3921" s="185"/>
      <c r="D3921" s="185"/>
      <c r="E3921" s="185"/>
      <c r="F3921" s="185"/>
      <c r="G3921" s="185"/>
      <c r="H3921" s="185"/>
      <c r="I3921" s="185"/>
      <c r="J3921" s="185"/>
      <c r="K3921" s="185"/>
      <c r="L3921" s="187"/>
      <c r="M3921" s="188"/>
      <c r="N3921" s="188"/>
      <c r="O3921" s="208"/>
      <c r="P3921" s="208"/>
      <c r="Q3921" s="208"/>
      <c r="R3921" s="208"/>
    </row>
    <row r="3922">
      <c r="A3922" s="185"/>
      <c r="B3922" s="186"/>
      <c r="C3922" s="185"/>
      <c r="D3922" s="185"/>
      <c r="E3922" s="185"/>
      <c r="F3922" s="185"/>
      <c r="G3922" s="185"/>
      <c r="H3922" s="185"/>
      <c r="I3922" s="185"/>
      <c r="J3922" s="185"/>
      <c r="K3922" s="185"/>
      <c r="L3922" s="187"/>
      <c r="M3922" s="188"/>
      <c r="N3922" s="188"/>
      <c r="O3922" s="208"/>
      <c r="P3922" s="208"/>
      <c r="Q3922" s="208"/>
      <c r="R3922" s="208"/>
    </row>
    <row r="3923">
      <c r="A3923" s="185"/>
      <c r="B3923" s="186"/>
      <c r="C3923" s="185"/>
      <c r="D3923" s="185"/>
      <c r="E3923" s="185"/>
      <c r="F3923" s="185"/>
      <c r="G3923" s="185"/>
      <c r="H3923" s="185"/>
      <c r="I3923" s="185"/>
      <c r="J3923" s="185"/>
      <c r="K3923" s="185"/>
      <c r="L3923" s="187"/>
      <c r="M3923" s="188"/>
      <c r="N3923" s="188"/>
      <c r="O3923" s="208"/>
      <c r="P3923" s="208"/>
      <c r="Q3923" s="208"/>
      <c r="R3923" s="208"/>
    </row>
    <row r="3924">
      <c r="A3924" s="185"/>
      <c r="B3924" s="186"/>
      <c r="C3924" s="185"/>
      <c r="D3924" s="185"/>
      <c r="E3924" s="185"/>
      <c r="F3924" s="185"/>
      <c r="G3924" s="185"/>
      <c r="H3924" s="185"/>
      <c r="I3924" s="185"/>
      <c r="J3924" s="185"/>
      <c r="K3924" s="185"/>
      <c r="L3924" s="187"/>
      <c r="M3924" s="188"/>
      <c r="N3924" s="188"/>
      <c r="O3924" s="208"/>
      <c r="P3924" s="208"/>
      <c r="Q3924" s="208"/>
      <c r="R3924" s="208"/>
    </row>
    <row r="3925">
      <c r="A3925" s="185"/>
      <c r="B3925" s="186"/>
      <c r="C3925" s="185"/>
      <c r="D3925" s="185"/>
      <c r="E3925" s="185"/>
      <c r="F3925" s="185"/>
      <c r="G3925" s="185"/>
      <c r="H3925" s="185"/>
      <c r="I3925" s="185"/>
      <c r="J3925" s="185"/>
      <c r="K3925" s="185"/>
      <c r="L3925" s="187"/>
      <c r="M3925" s="188"/>
      <c r="N3925" s="188"/>
      <c r="O3925" s="208"/>
      <c r="P3925" s="208"/>
      <c r="Q3925" s="208"/>
      <c r="R3925" s="208"/>
    </row>
    <row r="3926">
      <c r="A3926" s="185"/>
      <c r="B3926" s="186"/>
      <c r="C3926" s="185"/>
      <c r="D3926" s="185"/>
      <c r="E3926" s="185"/>
      <c r="F3926" s="185"/>
      <c r="G3926" s="185"/>
      <c r="H3926" s="185"/>
      <c r="I3926" s="185"/>
      <c r="J3926" s="185"/>
      <c r="K3926" s="185"/>
      <c r="L3926" s="187"/>
      <c r="M3926" s="188"/>
      <c r="N3926" s="188"/>
      <c r="O3926" s="208"/>
      <c r="P3926" s="208"/>
      <c r="Q3926" s="208"/>
      <c r="R3926" s="208"/>
    </row>
    <row r="3927">
      <c r="A3927" s="185"/>
      <c r="B3927" s="186"/>
      <c r="C3927" s="185"/>
      <c r="D3927" s="185"/>
      <c r="E3927" s="185"/>
      <c r="F3927" s="185"/>
      <c r="G3927" s="185"/>
      <c r="H3927" s="185"/>
      <c r="I3927" s="185"/>
      <c r="J3927" s="185"/>
      <c r="K3927" s="185"/>
      <c r="L3927" s="187"/>
      <c r="M3927" s="188"/>
      <c r="N3927" s="188"/>
      <c r="O3927" s="208"/>
      <c r="P3927" s="208"/>
      <c r="Q3927" s="208"/>
      <c r="R3927" s="208"/>
    </row>
    <row r="3928">
      <c r="A3928" s="185"/>
      <c r="B3928" s="186"/>
      <c r="C3928" s="185"/>
      <c r="D3928" s="185"/>
      <c r="E3928" s="185"/>
      <c r="F3928" s="185"/>
      <c r="G3928" s="185"/>
      <c r="H3928" s="185"/>
      <c r="I3928" s="185"/>
      <c r="J3928" s="185"/>
      <c r="K3928" s="185"/>
      <c r="L3928" s="187"/>
      <c r="M3928" s="188"/>
      <c r="N3928" s="188"/>
      <c r="O3928" s="208"/>
      <c r="P3928" s="208"/>
      <c r="Q3928" s="208"/>
      <c r="R3928" s="208"/>
    </row>
    <row r="3929">
      <c r="A3929" s="185"/>
      <c r="B3929" s="186"/>
      <c r="C3929" s="185"/>
      <c r="D3929" s="185"/>
      <c r="E3929" s="185"/>
      <c r="F3929" s="185"/>
      <c r="G3929" s="185"/>
      <c r="H3929" s="185"/>
      <c r="I3929" s="185"/>
      <c r="J3929" s="185"/>
      <c r="K3929" s="185"/>
      <c r="L3929" s="187"/>
      <c r="M3929" s="188"/>
      <c r="N3929" s="188"/>
      <c r="O3929" s="208"/>
      <c r="P3929" s="208"/>
      <c r="Q3929" s="208"/>
      <c r="R3929" s="208"/>
    </row>
    <row r="3930">
      <c r="A3930" s="185"/>
      <c r="B3930" s="186"/>
      <c r="C3930" s="185"/>
      <c r="D3930" s="185"/>
      <c r="E3930" s="185"/>
      <c r="F3930" s="185"/>
      <c r="G3930" s="185"/>
      <c r="H3930" s="185"/>
      <c r="I3930" s="185"/>
      <c r="J3930" s="185"/>
      <c r="K3930" s="185"/>
      <c r="L3930" s="187"/>
      <c r="M3930" s="188"/>
      <c r="N3930" s="188"/>
      <c r="O3930" s="208"/>
      <c r="P3930" s="208"/>
      <c r="Q3930" s="208"/>
      <c r="R3930" s="208"/>
    </row>
    <row r="3931">
      <c r="A3931" s="185"/>
      <c r="B3931" s="186"/>
      <c r="C3931" s="185"/>
      <c r="D3931" s="185"/>
      <c r="E3931" s="185"/>
      <c r="F3931" s="185"/>
      <c r="G3931" s="185"/>
      <c r="H3931" s="185"/>
      <c r="I3931" s="185"/>
      <c r="J3931" s="185"/>
      <c r="K3931" s="185"/>
      <c r="L3931" s="187"/>
      <c r="M3931" s="188"/>
      <c r="N3931" s="188"/>
      <c r="O3931" s="208"/>
      <c r="P3931" s="208"/>
      <c r="Q3931" s="208"/>
      <c r="R3931" s="208"/>
    </row>
    <row r="3932">
      <c r="A3932" s="185"/>
      <c r="B3932" s="186"/>
      <c r="C3932" s="185"/>
      <c r="D3932" s="185"/>
      <c r="E3932" s="185"/>
      <c r="F3932" s="185"/>
      <c r="G3932" s="185"/>
      <c r="H3932" s="185"/>
      <c r="I3932" s="185"/>
      <c r="J3932" s="185"/>
      <c r="K3932" s="185"/>
      <c r="L3932" s="187"/>
      <c r="M3932" s="188"/>
      <c r="N3932" s="188"/>
      <c r="O3932" s="208"/>
      <c r="P3932" s="208"/>
      <c r="Q3932" s="208"/>
      <c r="R3932" s="208"/>
    </row>
    <row r="3933">
      <c r="A3933" s="185"/>
      <c r="B3933" s="186"/>
      <c r="C3933" s="185"/>
      <c r="D3933" s="185"/>
      <c r="E3933" s="185"/>
      <c r="F3933" s="185"/>
      <c r="G3933" s="185"/>
      <c r="H3933" s="185"/>
      <c r="I3933" s="185"/>
      <c r="J3933" s="185"/>
      <c r="K3933" s="185"/>
      <c r="L3933" s="187"/>
      <c r="M3933" s="188"/>
      <c r="N3933" s="188"/>
      <c r="O3933" s="208"/>
      <c r="P3933" s="208"/>
      <c r="Q3933" s="208"/>
      <c r="R3933" s="208"/>
    </row>
    <row r="3934">
      <c r="A3934" s="185"/>
      <c r="B3934" s="186"/>
      <c r="C3934" s="185"/>
      <c r="D3934" s="185"/>
      <c r="E3934" s="185"/>
      <c r="F3934" s="185"/>
      <c r="G3934" s="185"/>
      <c r="H3934" s="185"/>
      <c r="I3934" s="185"/>
      <c r="J3934" s="185"/>
      <c r="K3934" s="185"/>
      <c r="L3934" s="187"/>
      <c r="M3934" s="188"/>
      <c r="N3934" s="188"/>
      <c r="O3934" s="208"/>
      <c r="P3934" s="208"/>
      <c r="Q3934" s="208"/>
      <c r="R3934" s="208"/>
    </row>
    <row r="3935">
      <c r="A3935" s="185"/>
      <c r="B3935" s="186"/>
      <c r="C3935" s="185"/>
      <c r="D3935" s="185"/>
      <c r="E3935" s="185"/>
      <c r="F3935" s="185"/>
      <c r="G3935" s="185"/>
      <c r="H3935" s="185"/>
      <c r="I3935" s="185"/>
      <c r="J3935" s="185"/>
      <c r="K3935" s="185"/>
      <c r="L3935" s="187"/>
      <c r="M3935" s="188"/>
      <c r="N3935" s="188"/>
      <c r="O3935" s="208"/>
      <c r="P3935" s="208"/>
      <c r="Q3935" s="208"/>
      <c r="R3935" s="208"/>
    </row>
    <row r="3936">
      <c r="A3936" s="185"/>
      <c r="B3936" s="186"/>
      <c r="C3936" s="185"/>
      <c r="D3936" s="185"/>
      <c r="E3936" s="185"/>
      <c r="F3936" s="185"/>
      <c r="G3936" s="185"/>
      <c r="H3936" s="185"/>
      <c r="I3936" s="185"/>
      <c r="J3936" s="185"/>
      <c r="K3936" s="185"/>
      <c r="L3936" s="187"/>
      <c r="M3936" s="188"/>
      <c r="N3936" s="188"/>
      <c r="O3936" s="208"/>
      <c r="P3936" s="208"/>
      <c r="Q3936" s="208"/>
      <c r="R3936" s="208"/>
    </row>
    <row r="3937">
      <c r="A3937" s="185"/>
      <c r="B3937" s="186"/>
      <c r="C3937" s="185"/>
      <c r="D3937" s="185"/>
      <c r="E3937" s="185"/>
      <c r="F3937" s="185"/>
      <c r="G3937" s="185"/>
      <c r="H3937" s="185"/>
      <c r="I3937" s="185"/>
      <c r="J3937" s="185"/>
      <c r="K3937" s="185"/>
      <c r="L3937" s="187"/>
      <c r="M3937" s="188"/>
      <c r="N3937" s="188"/>
      <c r="O3937" s="208"/>
      <c r="P3937" s="208"/>
      <c r="Q3937" s="208"/>
      <c r="R3937" s="208"/>
    </row>
    <row r="3938">
      <c r="A3938" s="185"/>
      <c r="B3938" s="186"/>
      <c r="C3938" s="185"/>
      <c r="D3938" s="185"/>
      <c r="E3938" s="185"/>
      <c r="F3938" s="185"/>
      <c r="G3938" s="185"/>
      <c r="H3938" s="185"/>
      <c r="I3938" s="185"/>
      <c r="J3938" s="185"/>
      <c r="K3938" s="185"/>
      <c r="L3938" s="187"/>
      <c r="M3938" s="188"/>
      <c r="N3938" s="188"/>
      <c r="O3938" s="208"/>
      <c r="P3938" s="208"/>
      <c r="Q3938" s="208"/>
      <c r="R3938" s="208"/>
    </row>
    <row r="3939">
      <c r="A3939" s="185"/>
      <c r="B3939" s="186"/>
      <c r="C3939" s="185"/>
      <c r="D3939" s="185"/>
      <c r="E3939" s="185"/>
      <c r="F3939" s="185"/>
      <c r="G3939" s="185"/>
      <c r="H3939" s="185"/>
      <c r="I3939" s="185"/>
      <c r="J3939" s="185"/>
      <c r="K3939" s="185"/>
      <c r="L3939" s="187"/>
      <c r="M3939" s="188"/>
      <c r="N3939" s="188"/>
      <c r="O3939" s="208"/>
      <c r="P3939" s="208"/>
      <c r="Q3939" s="208"/>
      <c r="R3939" s="208"/>
    </row>
    <row r="3940">
      <c r="A3940" s="185"/>
      <c r="B3940" s="186"/>
      <c r="C3940" s="185"/>
      <c r="D3940" s="185"/>
      <c r="E3940" s="185"/>
      <c r="F3940" s="185"/>
      <c r="G3940" s="185"/>
      <c r="H3940" s="185"/>
      <c r="I3940" s="185"/>
      <c r="J3940" s="185"/>
      <c r="K3940" s="185"/>
      <c r="L3940" s="187"/>
      <c r="M3940" s="188"/>
      <c r="N3940" s="188"/>
      <c r="O3940" s="208"/>
      <c r="P3940" s="208"/>
      <c r="Q3940" s="208"/>
      <c r="R3940" s="208"/>
    </row>
    <row r="3941">
      <c r="A3941" s="185"/>
      <c r="B3941" s="186"/>
      <c r="C3941" s="185"/>
      <c r="D3941" s="185"/>
      <c r="E3941" s="185"/>
      <c r="F3941" s="185"/>
      <c r="G3941" s="185"/>
      <c r="H3941" s="185"/>
      <c r="I3941" s="185"/>
      <c r="J3941" s="185"/>
      <c r="K3941" s="185"/>
      <c r="L3941" s="187"/>
      <c r="M3941" s="188"/>
      <c r="N3941" s="188"/>
      <c r="O3941" s="208"/>
      <c r="P3941" s="208"/>
      <c r="Q3941" s="208"/>
      <c r="R3941" s="208"/>
    </row>
    <row r="3942">
      <c r="A3942" s="185"/>
      <c r="B3942" s="186"/>
      <c r="C3942" s="185"/>
      <c r="D3942" s="185"/>
      <c r="E3942" s="185"/>
      <c r="F3942" s="185"/>
      <c r="G3942" s="185"/>
      <c r="H3942" s="185"/>
      <c r="I3942" s="185"/>
      <c r="J3942" s="185"/>
      <c r="K3942" s="185"/>
      <c r="L3942" s="187"/>
      <c r="M3942" s="188"/>
      <c r="N3942" s="188"/>
      <c r="O3942" s="208"/>
      <c r="P3942" s="208"/>
      <c r="Q3942" s="208"/>
      <c r="R3942" s="208"/>
    </row>
    <row r="3943">
      <c r="A3943" s="185"/>
      <c r="B3943" s="186"/>
      <c r="C3943" s="185"/>
      <c r="D3943" s="185"/>
      <c r="E3943" s="185"/>
      <c r="F3943" s="185"/>
      <c r="G3943" s="185"/>
      <c r="H3943" s="185"/>
      <c r="I3943" s="185"/>
      <c r="J3943" s="185"/>
      <c r="K3943" s="185"/>
      <c r="L3943" s="187"/>
      <c r="M3943" s="188"/>
      <c r="N3943" s="188"/>
      <c r="O3943" s="208"/>
      <c r="P3943" s="208"/>
      <c r="Q3943" s="208"/>
      <c r="R3943" s="208"/>
    </row>
    <row r="3944">
      <c r="A3944" s="185"/>
      <c r="B3944" s="186"/>
      <c r="C3944" s="185"/>
      <c r="D3944" s="185"/>
      <c r="E3944" s="185"/>
      <c r="F3944" s="185"/>
      <c r="G3944" s="185"/>
      <c r="H3944" s="185"/>
      <c r="I3944" s="185"/>
      <c r="J3944" s="185"/>
      <c r="K3944" s="185"/>
      <c r="L3944" s="187"/>
      <c r="M3944" s="188"/>
      <c r="N3944" s="188"/>
      <c r="O3944" s="208"/>
      <c r="P3944" s="208"/>
      <c r="Q3944" s="208"/>
      <c r="R3944" s="208"/>
    </row>
    <row r="3945">
      <c r="A3945" s="185"/>
      <c r="B3945" s="186"/>
      <c r="C3945" s="185"/>
      <c r="D3945" s="185"/>
      <c r="E3945" s="185"/>
      <c r="F3945" s="185"/>
      <c r="G3945" s="185"/>
      <c r="H3945" s="185"/>
      <c r="I3945" s="185"/>
      <c r="J3945" s="185"/>
      <c r="K3945" s="185"/>
      <c r="L3945" s="187"/>
      <c r="M3945" s="188"/>
      <c r="N3945" s="188"/>
      <c r="O3945" s="208"/>
      <c r="P3945" s="208"/>
      <c r="Q3945" s="208"/>
      <c r="R3945" s="208"/>
    </row>
    <row r="3946">
      <c r="A3946" s="185"/>
      <c r="B3946" s="186"/>
      <c r="C3946" s="185"/>
      <c r="D3946" s="185"/>
      <c r="E3946" s="185"/>
      <c r="F3946" s="185"/>
      <c r="G3946" s="185"/>
      <c r="H3946" s="185"/>
      <c r="I3946" s="185"/>
      <c r="J3946" s="185"/>
      <c r="K3946" s="185"/>
      <c r="L3946" s="187"/>
      <c r="M3946" s="188"/>
      <c r="N3946" s="188"/>
      <c r="O3946" s="208"/>
      <c r="P3946" s="208"/>
      <c r="Q3946" s="208"/>
      <c r="R3946" s="208"/>
    </row>
    <row r="3947">
      <c r="A3947" s="185"/>
      <c r="B3947" s="186"/>
      <c r="C3947" s="185"/>
      <c r="D3947" s="185"/>
      <c r="E3947" s="185"/>
      <c r="F3947" s="185"/>
      <c r="G3947" s="185"/>
      <c r="H3947" s="185"/>
      <c r="I3947" s="185"/>
      <c r="J3947" s="185"/>
      <c r="K3947" s="185"/>
      <c r="L3947" s="187"/>
      <c r="M3947" s="188"/>
      <c r="N3947" s="188"/>
      <c r="O3947" s="208"/>
      <c r="P3947" s="208"/>
      <c r="Q3947" s="208"/>
      <c r="R3947" s="208"/>
    </row>
    <row r="3948">
      <c r="A3948" s="185"/>
      <c r="B3948" s="186"/>
      <c r="C3948" s="185"/>
      <c r="D3948" s="185"/>
      <c r="E3948" s="185"/>
      <c r="F3948" s="185"/>
      <c r="G3948" s="185"/>
      <c r="H3948" s="185"/>
      <c r="I3948" s="185"/>
      <c r="J3948" s="185"/>
      <c r="K3948" s="185"/>
      <c r="L3948" s="187"/>
      <c r="M3948" s="188"/>
      <c r="N3948" s="188"/>
      <c r="O3948" s="208"/>
      <c r="P3948" s="208"/>
      <c r="Q3948" s="208"/>
      <c r="R3948" s="208"/>
    </row>
    <row r="3949">
      <c r="A3949" s="185"/>
      <c r="B3949" s="186"/>
      <c r="C3949" s="185"/>
      <c r="D3949" s="185"/>
      <c r="E3949" s="185"/>
      <c r="F3949" s="185"/>
      <c r="G3949" s="185"/>
      <c r="H3949" s="185"/>
      <c r="I3949" s="185"/>
      <c r="J3949" s="185"/>
      <c r="K3949" s="185"/>
      <c r="L3949" s="187"/>
      <c r="M3949" s="188"/>
      <c r="N3949" s="188"/>
      <c r="O3949" s="208"/>
      <c r="P3949" s="208"/>
      <c r="Q3949" s="208"/>
      <c r="R3949" s="208"/>
    </row>
    <row r="3950">
      <c r="A3950" s="185"/>
      <c r="B3950" s="186"/>
      <c r="C3950" s="185"/>
      <c r="D3950" s="185"/>
      <c r="E3950" s="185"/>
      <c r="F3950" s="185"/>
      <c r="G3950" s="185"/>
      <c r="H3950" s="185"/>
      <c r="I3950" s="185"/>
      <c r="J3950" s="185"/>
      <c r="K3950" s="185"/>
      <c r="L3950" s="187"/>
      <c r="M3950" s="188"/>
      <c r="N3950" s="188"/>
      <c r="O3950" s="208"/>
      <c r="P3950" s="208"/>
      <c r="Q3950" s="208"/>
      <c r="R3950" s="208"/>
    </row>
    <row r="3951">
      <c r="A3951" s="185"/>
      <c r="B3951" s="186"/>
      <c r="C3951" s="185"/>
      <c r="D3951" s="185"/>
      <c r="E3951" s="185"/>
      <c r="F3951" s="185"/>
      <c r="G3951" s="185"/>
      <c r="H3951" s="185"/>
      <c r="I3951" s="185"/>
      <c r="J3951" s="185"/>
      <c r="K3951" s="185"/>
      <c r="L3951" s="187"/>
      <c r="M3951" s="188"/>
      <c r="N3951" s="188"/>
      <c r="O3951" s="208"/>
      <c r="P3951" s="208"/>
      <c r="Q3951" s="208"/>
      <c r="R3951" s="208"/>
    </row>
    <row r="3952">
      <c r="A3952" s="185"/>
      <c r="B3952" s="186"/>
      <c r="C3952" s="185"/>
      <c r="D3952" s="185"/>
      <c r="E3952" s="185"/>
      <c r="F3952" s="185"/>
      <c r="G3952" s="185"/>
      <c r="H3952" s="185"/>
      <c r="I3952" s="185"/>
      <c r="J3952" s="185"/>
      <c r="K3952" s="185"/>
      <c r="L3952" s="187"/>
      <c r="M3952" s="188"/>
      <c r="N3952" s="188"/>
      <c r="O3952" s="208"/>
      <c r="P3952" s="208"/>
      <c r="Q3952" s="208"/>
      <c r="R3952" s="208"/>
    </row>
    <row r="3953">
      <c r="A3953" s="185"/>
      <c r="B3953" s="186"/>
      <c r="C3953" s="185"/>
      <c r="D3953" s="185"/>
      <c r="E3953" s="185"/>
      <c r="F3953" s="185"/>
      <c r="G3953" s="185"/>
      <c r="H3953" s="185"/>
      <c r="I3953" s="185"/>
      <c r="J3953" s="185"/>
      <c r="K3953" s="185"/>
      <c r="L3953" s="187"/>
      <c r="M3953" s="188"/>
      <c r="N3953" s="188"/>
      <c r="O3953" s="208"/>
      <c r="P3953" s="208"/>
      <c r="Q3953" s="208"/>
      <c r="R3953" s="208"/>
    </row>
    <row r="3954">
      <c r="A3954" s="185"/>
      <c r="B3954" s="186"/>
      <c r="C3954" s="185"/>
      <c r="D3954" s="185"/>
      <c r="E3954" s="185"/>
      <c r="F3954" s="185"/>
      <c r="G3954" s="185"/>
      <c r="H3954" s="185"/>
      <c r="I3954" s="185"/>
      <c r="J3954" s="185"/>
      <c r="K3954" s="185"/>
      <c r="L3954" s="187"/>
      <c r="M3954" s="188"/>
      <c r="N3954" s="188"/>
      <c r="O3954" s="208"/>
      <c r="P3954" s="208"/>
      <c r="Q3954" s="208"/>
      <c r="R3954" s="208"/>
    </row>
    <row r="3955">
      <c r="A3955" s="185"/>
      <c r="B3955" s="186"/>
      <c r="C3955" s="185"/>
      <c r="D3955" s="185"/>
      <c r="E3955" s="185"/>
      <c r="F3955" s="185"/>
      <c r="G3955" s="185"/>
      <c r="H3955" s="185"/>
      <c r="I3955" s="185"/>
      <c r="J3955" s="185"/>
      <c r="K3955" s="185"/>
      <c r="L3955" s="187"/>
      <c r="M3955" s="188"/>
      <c r="N3955" s="188"/>
      <c r="O3955" s="208"/>
      <c r="P3955" s="208"/>
      <c r="Q3955" s="208"/>
      <c r="R3955" s="208"/>
    </row>
    <row r="3956">
      <c r="A3956" s="185"/>
      <c r="B3956" s="186"/>
      <c r="C3956" s="185"/>
      <c r="D3956" s="185"/>
      <c r="E3956" s="185"/>
      <c r="F3956" s="185"/>
      <c r="G3956" s="185"/>
      <c r="H3956" s="185"/>
      <c r="I3956" s="185"/>
      <c r="J3956" s="185"/>
      <c r="K3956" s="185"/>
      <c r="L3956" s="187"/>
      <c r="M3956" s="188"/>
      <c r="N3956" s="188"/>
      <c r="O3956" s="208"/>
      <c r="P3956" s="208"/>
      <c r="Q3956" s="208"/>
      <c r="R3956" s="208"/>
    </row>
    <row r="3957">
      <c r="A3957" s="185"/>
      <c r="B3957" s="186"/>
      <c r="C3957" s="185"/>
      <c r="D3957" s="185"/>
      <c r="E3957" s="185"/>
      <c r="F3957" s="185"/>
      <c r="G3957" s="185"/>
      <c r="H3957" s="185"/>
      <c r="I3957" s="185"/>
      <c r="J3957" s="185"/>
      <c r="K3957" s="185"/>
      <c r="L3957" s="187"/>
      <c r="M3957" s="188"/>
      <c r="N3957" s="188"/>
      <c r="O3957" s="208"/>
      <c r="P3957" s="208"/>
      <c r="Q3957" s="208"/>
      <c r="R3957" s="208"/>
    </row>
    <row r="3958">
      <c r="A3958" s="185"/>
      <c r="B3958" s="186"/>
      <c r="C3958" s="185"/>
      <c r="D3958" s="185"/>
      <c r="E3958" s="185"/>
      <c r="F3958" s="185"/>
      <c r="G3958" s="185"/>
      <c r="H3958" s="185"/>
      <c r="I3958" s="185"/>
      <c r="J3958" s="185"/>
      <c r="K3958" s="185"/>
      <c r="L3958" s="187"/>
      <c r="M3958" s="188"/>
      <c r="N3958" s="188"/>
      <c r="O3958" s="208"/>
      <c r="P3958" s="208"/>
      <c r="Q3958" s="208"/>
      <c r="R3958" s="208"/>
    </row>
    <row r="3959">
      <c r="A3959" s="185"/>
      <c r="B3959" s="186"/>
      <c r="C3959" s="185"/>
      <c r="D3959" s="185"/>
      <c r="E3959" s="185"/>
      <c r="F3959" s="185"/>
      <c r="G3959" s="185"/>
      <c r="H3959" s="185"/>
      <c r="I3959" s="185"/>
      <c r="J3959" s="185"/>
      <c r="K3959" s="185"/>
      <c r="L3959" s="187"/>
      <c r="M3959" s="188"/>
      <c r="N3959" s="188"/>
      <c r="O3959" s="208"/>
      <c r="P3959" s="208"/>
      <c r="Q3959" s="208"/>
      <c r="R3959" s="208"/>
    </row>
    <row r="3960">
      <c r="A3960" s="185"/>
      <c r="B3960" s="186"/>
      <c r="C3960" s="185"/>
      <c r="D3960" s="185"/>
      <c r="E3960" s="185"/>
      <c r="F3960" s="185"/>
      <c r="G3960" s="185"/>
      <c r="H3960" s="185"/>
      <c r="I3960" s="185"/>
      <c r="J3960" s="185"/>
      <c r="K3960" s="185"/>
      <c r="L3960" s="187"/>
      <c r="M3960" s="188"/>
      <c r="N3960" s="188"/>
      <c r="O3960" s="208"/>
      <c r="P3960" s="208"/>
      <c r="Q3960" s="208"/>
      <c r="R3960" s="208"/>
    </row>
    <row r="3961">
      <c r="A3961" s="185"/>
      <c r="B3961" s="186"/>
      <c r="C3961" s="185"/>
      <c r="D3961" s="185"/>
      <c r="E3961" s="185"/>
      <c r="F3961" s="185"/>
      <c r="G3961" s="185"/>
      <c r="H3961" s="185"/>
      <c r="I3961" s="185"/>
      <c r="J3961" s="185"/>
      <c r="K3961" s="185"/>
      <c r="L3961" s="187"/>
      <c r="M3961" s="188"/>
      <c r="N3961" s="188"/>
      <c r="O3961" s="208"/>
      <c r="P3961" s="208"/>
      <c r="Q3961" s="208"/>
      <c r="R3961" s="208"/>
    </row>
    <row r="3962">
      <c r="A3962" s="185"/>
      <c r="B3962" s="186"/>
      <c r="C3962" s="185"/>
      <c r="D3962" s="185"/>
      <c r="E3962" s="185"/>
      <c r="F3962" s="185"/>
      <c r="G3962" s="185"/>
      <c r="H3962" s="185"/>
      <c r="I3962" s="185"/>
      <c r="J3962" s="185"/>
      <c r="K3962" s="185"/>
      <c r="L3962" s="187"/>
      <c r="M3962" s="188"/>
      <c r="N3962" s="188"/>
      <c r="O3962" s="208"/>
      <c r="P3962" s="208"/>
      <c r="Q3962" s="208"/>
      <c r="R3962" s="208"/>
    </row>
    <row r="3963">
      <c r="A3963" s="185"/>
      <c r="B3963" s="186"/>
      <c r="C3963" s="185"/>
      <c r="D3963" s="185"/>
      <c r="E3963" s="185"/>
      <c r="F3963" s="185"/>
      <c r="G3963" s="185"/>
      <c r="H3963" s="185"/>
      <c r="I3963" s="185"/>
      <c r="J3963" s="185"/>
      <c r="K3963" s="185"/>
      <c r="L3963" s="187"/>
      <c r="M3963" s="188"/>
      <c r="N3963" s="188"/>
      <c r="O3963" s="208"/>
      <c r="P3963" s="208"/>
      <c r="Q3963" s="208"/>
      <c r="R3963" s="208"/>
    </row>
    <row r="3964">
      <c r="A3964" s="185"/>
      <c r="B3964" s="186"/>
      <c r="C3964" s="185"/>
      <c r="D3964" s="185"/>
      <c r="E3964" s="185"/>
      <c r="F3964" s="185"/>
      <c r="G3964" s="185"/>
      <c r="H3964" s="185"/>
      <c r="I3964" s="185"/>
      <c r="J3964" s="185"/>
      <c r="K3964" s="185"/>
      <c r="L3964" s="187"/>
      <c r="M3964" s="188"/>
      <c r="N3964" s="188"/>
      <c r="O3964" s="208"/>
      <c r="P3964" s="208"/>
      <c r="Q3964" s="208"/>
      <c r="R3964" s="208"/>
    </row>
    <row r="3965">
      <c r="A3965" s="185"/>
      <c r="B3965" s="186"/>
      <c r="C3965" s="185"/>
      <c r="D3965" s="185"/>
      <c r="E3965" s="185"/>
      <c r="F3965" s="185"/>
      <c r="G3965" s="185"/>
      <c r="H3965" s="185"/>
      <c r="I3965" s="185"/>
      <c r="J3965" s="185"/>
      <c r="K3965" s="185"/>
      <c r="L3965" s="187"/>
      <c r="M3965" s="188"/>
      <c r="N3965" s="188"/>
      <c r="O3965" s="208"/>
      <c r="P3965" s="208"/>
      <c r="Q3965" s="208"/>
      <c r="R3965" s="208"/>
    </row>
    <row r="3966">
      <c r="A3966" s="185"/>
      <c r="B3966" s="186"/>
      <c r="C3966" s="185"/>
      <c r="D3966" s="185"/>
      <c r="E3966" s="185"/>
      <c r="F3966" s="185"/>
      <c r="G3966" s="185"/>
      <c r="H3966" s="185"/>
      <c r="I3966" s="185"/>
      <c r="J3966" s="185"/>
      <c r="K3966" s="185"/>
      <c r="L3966" s="187"/>
      <c r="M3966" s="188"/>
      <c r="N3966" s="188"/>
      <c r="O3966" s="208"/>
      <c r="P3966" s="208"/>
      <c r="Q3966" s="208"/>
      <c r="R3966" s="208"/>
    </row>
    <row r="3967">
      <c r="A3967" s="185"/>
      <c r="B3967" s="186"/>
      <c r="C3967" s="185"/>
      <c r="D3967" s="185"/>
      <c r="E3967" s="185"/>
      <c r="F3967" s="185"/>
      <c r="G3967" s="185"/>
      <c r="H3967" s="185"/>
      <c r="I3967" s="185"/>
      <c r="J3967" s="185"/>
      <c r="K3967" s="185"/>
      <c r="L3967" s="187"/>
      <c r="M3967" s="188"/>
      <c r="N3967" s="188"/>
      <c r="O3967" s="208"/>
      <c r="P3967" s="208"/>
      <c r="Q3967" s="208"/>
      <c r="R3967" s="208"/>
    </row>
    <row r="3968">
      <c r="A3968" s="185"/>
      <c r="B3968" s="186"/>
      <c r="C3968" s="185"/>
      <c r="D3968" s="185"/>
      <c r="E3968" s="185"/>
      <c r="F3968" s="185"/>
      <c r="G3968" s="185"/>
      <c r="H3968" s="185"/>
      <c r="I3968" s="185"/>
      <c r="J3968" s="185"/>
      <c r="K3968" s="185"/>
      <c r="L3968" s="187"/>
      <c r="M3968" s="188"/>
      <c r="N3968" s="188"/>
      <c r="O3968" s="208"/>
      <c r="P3968" s="208"/>
      <c r="Q3968" s="208"/>
      <c r="R3968" s="208"/>
    </row>
    <row r="3969">
      <c r="A3969" s="185"/>
      <c r="B3969" s="186"/>
      <c r="C3969" s="185"/>
      <c r="D3969" s="185"/>
      <c r="E3969" s="185"/>
      <c r="F3969" s="185"/>
      <c r="G3969" s="185"/>
      <c r="H3969" s="185"/>
      <c r="I3969" s="185"/>
      <c r="J3969" s="185"/>
      <c r="K3969" s="185"/>
      <c r="L3969" s="187"/>
      <c r="M3969" s="188"/>
      <c r="N3969" s="188"/>
      <c r="O3969" s="208"/>
      <c r="P3969" s="208"/>
      <c r="Q3969" s="208"/>
      <c r="R3969" s="208"/>
    </row>
    <row r="3970">
      <c r="A3970" s="185"/>
      <c r="B3970" s="186"/>
      <c r="C3970" s="185"/>
      <c r="D3970" s="185"/>
      <c r="E3970" s="185"/>
      <c r="F3970" s="185"/>
      <c r="G3970" s="185"/>
      <c r="H3970" s="185"/>
      <c r="I3970" s="185"/>
      <c r="J3970" s="185"/>
      <c r="K3970" s="185"/>
      <c r="L3970" s="187"/>
      <c r="M3970" s="188"/>
      <c r="N3970" s="188"/>
      <c r="O3970" s="208"/>
      <c r="P3970" s="208"/>
      <c r="Q3970" s="208"/>
      <c r="R3970" s="208"/>
    </row>
    <row r="3971">
      <c r="A3971" s="185"/>
      <c r="B3971" s="186"/>
      <c r="C3971" s="185"/>
      <c r="D3971" s="185"/>
      <c r="E3971" s="185"/>
      <c r="F3971" s="185"/>
      <c r="G3971" s="185"/>
      <c r="H3971" s="185"/>
      <c r="I3971" s="185"/>
      <c r="J3971" s="185"/>
      <c r="K3971" s="185"/>
      <c r="L3971" s="187"/>
      <c r="M3971" s="188"/>
      <c r="N3971" s="188"/>
      <c r="O3971" s="208"/>
      <c r="P3971" s="208"/>
      <c r="Q3971" s="208"/>
      <c r="R3971" s="208"/>
    </row>
    <row r="3972">
      <c r="A3972" s="185"/>
      <c r="B3972" s="186"/>
      <c r="C3972" s="185"/>
      <c r="D3972" s="185"/>
      <c r="E3972" s="185"/>
      <c r="F3972" s="185"/>
      <c r="G3972" s="185"/>
      <c r="H3972" s="185"/>
      <c r="I3972" s="185"/>
      <c r="J3972" s="185"/>
      <c r="K3972" s="185"/>
      <c r="L3972" s="187"/>
      <c r="M3972" s="188"/>
      <c r="N3972" s="188"/>
      <c r="O3972" s="208"/>
      <c r="P3972" s="208"/>
      <c r="Q3972" s="208"/>
      <c r="R3972" s="208"/>
    </row>
    <row r="3973">
      <c r="A3973" s="185"/>
      <c r="B3973" s="186"/>
      <c r="C3973" s="185"/>
      <c r="D3973" s="185"/>
      <c r="E3973" s="185"/>
      <c r="F3973" s="185"/>
      <c r="G3973" s="185"/>
      <c r="H3973" s="185"/>
      <c r="I3973" s="185"/>
      <c r="J3973" s="185"/>
      <c r="K3973" s="185"/>
      <c r="L3973" s="187"/>
      <c r="M3973" s="188"/>
      <c r="N3973" s="188"/>
      <c r="O3973" s="208"/>
      <c r="P3973" s="208"/>
      <c r="Q3973" s="208"/>
      <c r="R3973" s="208"/>
    </row>
    <row r="3974">
      <c r="A3974" s="185"/>
      <c r="B3974" s="186"/>
      <c r="C3974" s="185"/>
      <c r="D3974" s="185"/>
      <c r="E3974" s="185"/>
      <c r="F3974" s="185"/>
      <c r="G3974" s="185"/>
      <c r="H3974" s="185"/>
      <c r="I3974" s="185"/>
      <c r="J3974" s="185"/>
      <c r="K3974" s="185"/>
      <c r="L3974" s="187"/>
      <c r="M3974" s="188"/>
      <c r="N3974" s="188"/>
      <c r="O3974" s="208"/>
      <c r="P3974" s="208"/>
      <c r="Q3974" s="208"/>
      <c r="R3974" s="208"/>
    </row>
    <row r="3975">
      <c r="A3975" s="185"/>
      <c r="B3975" s="186"/>
      <c r="C3975" s="185"/>
      <c r="D3975" s="185"/>
      <c r="E3975" s="185"/>
      <c r="F3975" s="185"/>
      <c r="G3975" s="185"/>
      <c r="H3975" s="185"/>
      <c r="I3975" s="185"/>
      <c r="J3975" s="185"/>
      <c r="K3975" s="185"/>
      <c r="L3975" s="187"/>
      <c r="M3975" s="188"/>
      <c r="N3975" s="188"/>
      <c r="O3975" s="208"/>
      <c r="P3975" s="208"/>
      <c r="Q3975" s="208"/>
      <c r="R3975" s="208"/>
    </row>
    <row r="3976">
      <c r="A3976" s="185"/>
      <c r="B3976" s="186"/>
      <c r="C3976" s="185"/>
      <c r="D3976" s="185"/>
      <c r="E3976" s="185"/>
      <c r="F3976" s="185"/>
      <c r="G3976" s="185"/>
      <c r="H3976" s="185"/>
      <c r="I3976" s="185"/>
      <c r="J3976" s="185"/>
      <c r="K3976" s="185"/>
      <c r="L3976" s="187"/>
      <c r="M3976" s="188"/>
      <c r="N3976" s="188"/>
      <c r="O3976" s="208"/>
      <c r="P3976" s="208"/>
      <c r="Q3976" s="208"/>
      <c r="R3976" s="208"/>
    </row>
    <row r="3977">
      <c r="A3977" s="185"/>
      <c r="B3977" s="186"/>
      <c r="C3977" s="185"/>
      <c r="D3977" s="185"/>
      <c r="E3977" s="185"/>
      <c r="F3977" s="185"/>
      <c r="G3977" s="185"/>
      <c r="H3977" s="185"/>
      <c r="I3977" s="185"/>
      <c r="J3977" s="185"/>
      <c r="K3977" s="185"/>
      <c r="L3977" s="187"/>
      <c r="M3977" s="188"/>
      <c r="N3977" s="188"/>
      <c r="O3977" s="208"/>
      <c r="P3977" s="208"/>
      <c r="Q3977" s="208"/>
      <c r="R3977" s="208"/>
    </row>
    <row r="3978">
      <c r="A3978" s="185"/>
      <c r="B3978" s="186"/>
      <c r="C3978" s="185"/>
      <c r="D3978" s="185"/>
      <c r="E3978" s="185"/>
      <c r="F3978" s="185"/>
      <c r="G3978" s="185"/>
      <c r="H3978" s="185"/>
      <c r="I3978" s="185"/>
      <c r="J3978" s="185"/>
      <c r="K3978" s="185"/>
      <c r="L3978" s="187"/>
      <c r="M3978" s="188"/>
      <c r="N3978" s="188"/>
      <c r="O3978" s="208"/>
      <c r="P3978" s="208"/>
      <c r="Q3978" s="208"/>
      <c r="R3978" s="208"/>
    </row>
    <row r="3979">
      <c r="A3979" s="185"/>
      <c r="B3979" s="186"/>
      <c r="C3979" s="185"/>
      <c r="D3979" s="185"/>
      <c r="E3979" s="185"/>
      <c r="F3979" s="185"/>
      <c r="G3979" s="185"/>
      <c r="H3979" s="185"/>
      <c r="I3979" s="185"/>
      <c r="J3979" s="185"/>
      <c r="K3979" s="185"/>
      <c r="L3979" s="187"/>
      <c r="M3979" s="188"/>
      <c r="N3979" s="188"/>
      <c r="O3979" s="208"/>
      <c r="P3979" s="208"/>
      <c r="Q3979" s="208"/>
      <c r="R3979" s="208"/>
    </row>
    <row r="3980">
      <c r="A3980" s="185"/>
      <c r="B3980" s="186"/>
      <c r="C3980" s="185"/>
      <c r="D3980" s="185"/>
      <c r="E3980" s="185"/>
      <c r="F3980" s="185"/>
      <c r="G3980" s="185"/>
      <c r="H3980" s="185"/>
      <c r="I3980" s="185"/>
      <c r="J3980" s="185"/>
      <c r="K3980" s="185"/>
      <c r="L3980" s="187"/>
      <c r="M3980" s="188"/>
      <c r="N3980" s="188"/>
      <c r="O3980" s="208"/>
      <c r="P3980" s="208"/>
      <c r="Q3980" s="208"/>
      <c r="R3980" s="208"/>
    </row>
    <row r="3981">
      <c r="A3981" s="185"/>
      <c r="B3981" s="186"/>
      <c r="C3981" s="185"/>
      <c r="D3981" s="185"/>
      <c r="E3981" s="185"/>
      <c r="F3981" s="185"/>
      <c r="G3981" s="185"/>
      <c r="H3981" s="185"/>
      <c r="I3981" s="185"/>
      <c r="J3981" s="185"/>
      <c r="K3981" s="185"/>
      <c r="L3981" s="187"/>
      <c r="M3981" s="188"/>
      <c r="N3981" s="188"/>
      <c r="O3981" s="208"/>
      <c r="P3981" s="208"/>
      <c r="Q3981" s="208"/>
      <c r="R3981" s="208"/>
    </row>
    <row r="3982">
      <c r="A3982" s="185"/>
      <c r="B3982" s="186"/>
      <c r="C3982" s="185"/>
      <c r="D3982" s="185"/>
      <c r="E3982" s="185"/>
      <c r="F3982" s="185"/>
      <c r="G3982" s="185"/>
      <c r="H3982" s="185"/>
      <c r="I3982" s="185"/>
      <c r="J3982" s="185"/>
      <c r="K3982" s="185"/>
      <c r="L3982" s="187"/>
      <c r="M3982" s="188"/>
      <c r="N3982" s="188"/>
      <c r="O3982" s="208"/>
      <c r="P3982" s="208"/>
      <c r="Q3982" s="208"/>
      <c r="R3982" s="208"/>
    </row>
    <row r="3983">
      <c r="A3983" s="185"/>
      <c r="B3983" s="186"/>
      <c r="C3983" s="185"/>
      <c r="D3983" s="185"/>
      <c r="E3983" s="185"/>
      <c r="F3983" s="185"/>
      <c r="G3983" s="185"/>
      <c r="H3983" s="185"/>
      <c r="I3983" s="185"/>
      <c r="J3983" s="185"/>
      <c r="K3983" s="185"/>
      <c r="L3983" s="187"/>
      <c r="M3983" s="188"/>
      <c r="N3983" s="188"/>
      <c r="O3983" s="208"/>
      <c r="P3983" s="208"/>
      <c r="Q3983" s="208"/>
      <c r="R3983" s="208"/>
    </row>
    <row r="3984">
      <c r="A3984" s="185"/>
      <c r="B3984" s="186"/>
      <c r="C3984" s="185"/>
      <c r="D3984" s="185"/>
      <c r="E3984" s="185"/>
      <c r="F3984" s="185"/>
      <c r="G3984" s="185"/>
      <c r="H3984" s="185"/>
      <c r="I3984" s="185"/>
      <c r="J3984" s="185"/>
      <c r="K3984" s="185"/>
      <c r="L3984" s="187"/>
      <c r="M3984" s="188"/>
      <c r="N3984" s="188"/>
      <c r="O3984" s="208"/>
      <c r="P3984" s="208"/>
      <c r="Q3984" s="208"/>
      <c r="R3984" s="208"/>
    </row>
    <row r="3985">
      <c r="A3985" s="185"/>
      <c r="B3985" s="186"/>
      <c r="C3985" s="185"/>
      <c r="D3985" s="185"/>
      <c r="E3985" s="185"/>
      <c r="F3985" s="185"/>
      <c r="G3985" s="185"/>
      <c r="H3985" s="185"/>
      <c r="I3985" s="185"/>
      <c r="J3985" s="185"/>
      <c r="K3985" s="185"/>
      <c r="L3985" s="187"/>
      <c r="M3985" s="188"/>
      <c r="N3985" s="188"/>
      <c r="O3985" s="208"/>
      <c r="P3985" s="208"/>
      <c r="Q3985" s="208"/>
      <c r="R3985" s="208"/>
    </row>
    <row r="3986">
      <c r="A3986" s="185"/>
      <c r="B3986" s="186"/>
      <c r="C3986" s="185"/>
      <c r="D3986" s="185"/>
      <c r="E3986" s="185"/>
      <c r="F3986" s="185"/>
      <c r="G3986" s="185"/>
      <c r="H3986" s="185"/>
      <c r="I3986" s="185"/>
      <c r="J3986" s="185"/>
      <c r="K3986" s="185"/>
      <c r="L3986" s="187"/>
      <c r="M3986" s="188"/>
      <c r="N3986" s="188"/>
      <c r="O3986" s="208"/>
      <c r="P3986" s="208"/>
      <c r="Q3986" s="208"/>
      <c r="R3986" s="208"/>
    </row>
    <row r="3987">
      <c r="A3987" s="185"/>
      <c r="B3987" s="186"/>
      <c r="C3987" s="185"/>
      <c r="D3987" s="185"/>
      <c r="E3987" s="185"/>
      <c r="F3987" s="185"/>
      <c r="G3987" s="185"/>
      <c r="H3987" s="185"/>
      <c r="I3987" s="185"/>
      <c r="J3987" s="185"/>
      <c r="K3987" s="185"/>
      <c r="L3987" s="187"/>
      <c r="M3987" s="188"/>
      <c r="N3987" s="188"/>
      <c r="O3987" s="208"/>
      <c r="P3987" s="208"/>
      <c r="Q3987" s="208"/>
      <c r="R3987" s="208"/>
    </row>
    <row r="3988">
      <c r="A3988" s="185"/>
      <c r="B3988" s="186"/>
      <c r="C3988" s="185"/>
      <c r="D3988" s="185"/>
      <c r="E3988" s="185"/>
      <c r="F3988" s="185"/>
      <c r="G3988" s="185"/>
      <c r="H3988" s="185"/>
      <c r="I3988" s="185"/>
      <c r="J3988" s="185"/>
      <c r="K3988" s="185"/>
      <c r="L3988" s="187"/>
      <c r="M3988" s="188"/>
      <c r="N3988" s="188"/>
      <c r="O3988" s="208"/>
      <c r="P3988" s="208"/>
      <c r="Q3988" s="208"/>
      <c r="R3988" s="208"/>
    </row>
    <row r="3989">
      <c r="A3989" s="185"/>
      <c r="B3989" s="186"/>
      <c r="C3989" s="185"/>
      <c r="D3989" s="185"/>
      <c r="E3989" s="185"/>
      <c r="F3989" s="185"/>
      <c r="G3989" s="185"/>
      <c r="H3989" s="185"/>
      <c r="I3989" s="185"/>
      <c r="J3989" s="185"/>
      <c r="K3989" s="185"/>
      <c r="L3989" s="187"/>
      <c r="M3989" s="188"/>
      <c r="N3989" s="188"/>
      <c r="O3989" s="208"/>
      <c r="P3989" s="208"/>
      <c r="Q3989" s="208"/>
      <c r="R3989" s="208"/>
    </row>
    <row r="3990">
      <c r="A3990" s="185"/>
      <c r="B3990" s="186"/>
      <c r="C3990" s="185"/>
      <c r="D3990" s="185"/>
      <c r="E3990" s="185"/>
      <c r="F3990" s="185"/>
      <c r="G3990" s="185"/>
      <c r="H3990" s="185"/>
      <c r="I3990" s="185"/>
      <c r="J3990" s="185"/>
      <c r="K3990" s="185"/>
      <c r="L3990" s="187"/>
      <c r="M3990" s="188"/>
      <c r="N3990" s="188"/>
      <c r="O3990" s="208"/>
      <c r="P3990" s="208"/>
      <c r="Q3990" s="208"/>
      <c r="R3990" s="208"/>
    </row>
    <row r="3991">
      <c r="A3991" s="185"/>
      <c r="B3991" s="186"/>
      <c r="C3991" s="185"/>
      <c r="D3991" s="185"/>
      <c r="E3991" s="185"/>
      <c r="F3991" s="185"/>
      <c r="G3991" s="185"/>
      <c r="H3991" s="185"/>
      <c r="I3991" s="185"/>
      <c r="J3991" s="185"/>
      <c r="K3991" s="185"/>
      <c r="L3991" s="187"/>
      <c r="M3991" s="188"/>
      <c r="N3991" s="188"/>
      <c r="O3991" s="208"/>
      <c r="P3991" s="208"/>
      <c r="Q3991" s="208"/>
      <c r="R3991" s="208"/>
    </row>
    <row r="3992">
      <c r="A3992" s="185"/>
      <c r="B3992" s="186"/>
      <c r="C3992" s="185"/>
      <c r="D3992" s="185"/>
      <c r="E3992" s="185"/>
      <c r="F3992" s="185"/>
      <c r="G3992" s="185"/>
      <c r="H3992" s="185"/>
      <c r="I3992" s="185"/>
      <c r="J3992" s="185"/>
      <c r="K3992" s="185"/>
      <c r="L3992" s="187"/>
      <c r="M3992" s="188"/>
      <c r="N3992" s="188"/>
      <c r="O3992" s="208"/>
      <c r="P3992" s="208"/>
      <c r="Q3992" s="208"/>
      <c r="R3992" s="208"/>
    </row>
    <row r="3993">
      <c r="A3993" s="185"/>
      <c r="B3993" s="186"/>
      <c r="C3993" s="185"/>
      <c r="D3993" s="185"/>
      <c r="E3993" s="185"/>
      <c r="F3993" s="185"/>
      <c r="G3993" s="185"/>
      <c r="H3993" s="185"/>
      <c r="I3993" s="185"/>
      <c r="J3993" s="185"/>
      <c r="K3993" s="185"/>
      <c r="L3993" s="187"/>
      <c r="M3993" s="188"/>
      <c r="N3993" s="188"/>
      <c r="O3993" s="208"/>
      <c r="P3993" s="208"/>
      <c r="Q3993" s="208"/>
      <c r="R3993" s="208"/>
    </row>
    <row r="3994">
      <c r="A3994" s="185"/>
      <c r="B3994" s="186"/>
      <c r="C3994" s="185"/>
      <c r="D3994" s="185"/>
      <c r="E3994" s="185"/>
      <c r="F3994" s="185"/>
      <c r="G3994" s="185"/>
      <c r="H3994" s="185"/>
      <c r="I3994" s="185"/>
      <c r="J3994" s="185"/>
      <c r="K3994" s="185"/>
      <c r="L3994" s="187"/>
      <c r="M3994" s="188"/>
      <c r="N3994" s="188"/>
      <c r="O3994" s="208"/>
      <c r="P3994" s="208"/>
      <c r="Q3994" s="208"/>
      <c r="R3994" s="208"/>
    </row>
    <row r="3995">
      <c r="A3995" s="185"/>
      <c r="B3995" s="186"/>
      <c r="C3995" s="185"/>
      <c r="D3995" s="185"/>
      <c r="E3995" s="185"/>
      <c r="F3995" s="185"/>
      <c r="G3995" s="185"/>
      <c r="H3995" s="185"/>
      <c r="I3995" s="185"/>
      <c r="J3995" s="185"/>
      <c r="K3995" s="185"/>
      <c r="L3995" s="187"/>
      <c r="M3995" s="188"/>
      <c r="N3995" s="188"/>
      <c r="O3995" s="208"/>
      <c r="P3995" s="208"/>
      <c r="Q3995" s="208"/>
      <c r="R3995" s="208"/>
    </row>
    <row r="3996">
      <c r="A3996" s="185"/>
      <c r="B3996" s="186"/>
      <c r="C3996" s="185"/>
      <c r="D3996" s="185"/>
      <c r="E3996" s="185"/>
      <c r="F3996" s="185"/>
      <c r="G3996" s="185"/>
      <c r="H3996" s="185"/>
      <c r="I3996" s="185"/>
      <c r="J3996" s="185"/>
      <c r="K3996" s="185"/>
      <c r="L3996" s="187"/>
      <c r="M3996" s="188"/>
      <c r="N3996" s="188"/>
      <c r="O3996" s="208"/>
      <c r="P3996" s="208"/>
      <c r="Q3996" s="208"/>
      <c r="R3996" s="208"/>
    </row>
    <row r="3997">
      <c r="A3997" s="185"/>
      <c r="B3997" s="186"/>
      <c r="C3997" s="185"/>
      <c r="D3997" s="185"/>
      <c r="E3997" s="185"/>
      <c r="F3997" s="185"/>
      <c r="G3997" s="185"/>
      <c r="H3997" s="185"/>
      <c r="I3997" s="185"/>
      <c r="J3997" s="185"/>
      <c r="K3997" s="185"/>
      <c r="L3997" s="187"/>
      <c r="M3997" s="188"/>
      <c r="N3997" s="188"/>
      <c r="O3997" s="208"/>
      <c r="P3997" s="208"/>
      <c r="Q3997" s="208"/>
      <c r="R3997" s="208"/>
    </row>
    <row r="3998">
      <c r="A3998" s="185"/>
      <c r="B3998" s="186"/>
      <c r="C3998" s="185"/>
      <c r="D3998" s="185"/>
      <c r="E3998" s="185"/>
      <c r="F3998" s="185"/>
      <c r="G3998" s="185"/>
      <c r="H3998" s="185"/>
      <c r="I3998" s="185"/>
      <c r="J3998" s="185"/>
      <c r="K3998" s="185"/>
      <c r="L3998" s="187"/>
      <c r="M3998" s="188"/>
      <c r="N3998" s="188"/>
      <c r="O3998" s="208"/>
      <c r="P3998" s="208"/>
      <c r="Q3998" s="208"/>
      <c r="R3998" s="208"/>
    </row>
    <row r="3999">
      <c r="A3999" s="185"/>
      <c r="B3999" s="186"/>
      <c r="C3999" s="185"/>
      <c r="D3999" s="185"/>
      <c r="E3999" s="185"/>
      <c r="F3999" s="185"/>
      <c r="G3999" s="185"/>
      <c r="H3999" s="185"/>
      <c r="I3999" s="185"/>
      <c r="J3999" s="185"/>
      <c r="K3999" s="185"/>
      <c r="L3999" s="187"/>
      <c r="M3999" s="188"/>
      <c r="N3999" s="188"/>
      <c r="O3999" s="208"/>
      <c r="P3999" s="208"/>
      <c r="Q3999" s="208"/>
      <c r="R3999" s="208"/>
    </row>
    <row r="4000">
      <c r="A4000" s="185"/>
      <c r="B4000" s="186"/>
      <c r="C4000" s="185"/>
      <c r="D4000" s="185"/>
      <c r="E4000" s="185"/>
      <c r="F4000" s="185"/>
      <c r="G4000" s="185"/>
      <c r="H4000" s="185"/>
      <c r="I4000" s="185"/>
      <c r="J4000" s="185"/>
      <c r="K4000" s="185"/>
      <c r="L4000" s="187"/>
      <c r="M4000" s="188"/>
      <c r="N4000" s="188"/>
      <c r="O4000" s="208"/>
      <c r="P4000" s="208"/>
      <c r="Q4000" s="208"/>
      <c r="R4000" s="208"/>
    </row>
  </sheetData>
  <autoFilter ref="$A$1:$N$4000"/>
  <hyperlinks>
    <hyperlink r:id="rId1" ref="B2"/>
    <hyperlink r:id="rId2" ref="E2"/>
    <hyperlink r:id="rId3" ref="O2"/>
    <hyperlink r:id="rId4" ref="B3"/>
    <hyperlink r:id="rId5" ref="E3"/>
    <hyperlink r:id="rId6" ref="O3"/>
    <hyperlink r:id="rId7" ref="B4"/>
    <hyperlink r:id="rId8" ref="E4"/>
    <hyperlink r:id="rId9" ref="B5"/>
    <hyperlink r:id="rId10" ref="E5"/>
    <hyperlink r:id="rId11" ref="O5"/>
    <hyperlink r:id="rId12" ref="B6"/>
    <hyperlink r:id="rId13" ref="E6"/>
    <hyperlink r:id="rId14" ref="O6"/>
    <hyperlink r:id="rId15" ref="B7"/>
    <hyperlink r:id="rId16" ref="E7"/>
    <hyperlink r:id="rId17" ref="O7"/>
    <hyperlink r:id="rId18" ref="B8"/>
    <hyperlink r:id="rId19" ref="E8"/>
    <hyperlink r:id="rId20" ref="O8"/>
    <hyperlink r:id="rId21" ref="B9"/>
    <hyperlink r:id="rId22" ref="E9"/>
    <hyperlink r:id="rId23" ref="O9"/>
    <hyperlink r:id="rId24" ref="B10"/>
    <hyperlink r:id="rId25" ref="E10"/>
    <hyperlink r:id="rId26" ref="O10"/>
    <hyperlink r:id="rId27" ref="B11"/>
    <hyperlink r:id="rId28" ref="E11"/>
    <hyperlink r:id="rId29" ref="O11"/>
    <hyperlink r:id="rId30" location=":~:text=The%20agency%20consistently%20received%20high%20ratings%20for,2%20of%202%20reviews%20are%205%20stars." ref="B12"/>
    <hyperlink r:id="rId31" ref="E12"/>
    <hyperlink r:id="rId32" ref="O12"/>
    <hyperlink r:id="rId33" ref="B13"/>
    <hyperlink r:id="rId34" ref="E13"/>
    <hyperlink r:id="rId35" ref="O13"/>
    <hyperlink r:id="rId36" ref="B14"/>
    <hyperlink r:id="rId37" ref="E14"/>
    <hyperlink r:id="rId38" ref="O14"/>
    <hyperlink r:id="rId39" ref="B15"/>
    <hyperlink r:id="rId40" ref="E15"/>
    <hyperlink r:id="rId41" ref="O15"/>
    <hyperlink r:id="rId42" ref="B16"/>
    <hyperlink r:id="rId43" ref="E16"/>
    <hyperlink r:id="rId44" ref="O16"/>
    <hyperlink r:id="rId45" ref="B17"/>
    <hyperlink r:id="rId46" ref="E17"/>
    <hyperlink r:id="rId47" ref="O17"/>
    <hyperlink r:id="rId48" ref="B18"/>
    <hyperlink r:id="rId49" ref="E18"/>
    <hyperlink r:id="rId50" ref="O18"/>
    <hyperlink r:id="rId51" ref="B19"/>
    <hyperlink r:id="rId52" ref="E19"/>
    <hyperlink r:id="rId53" ref="O19"/>
    <hyperlink r:id="rId54" ref="B20"/>
    <hyperlink r:id="rId55" ref="E20"/>
    <hyperlink r:id="rId56" ref="O20"/>
    <hyperlink r:id="rId57" ref="B21"/>
    <hyperlink r:id="rId58" ref="E21"/>
    <hyperlink r:id="rId59" ref="O21"/>
    <hyperlink r:id="rId60" ref="B22"/>
    <hyperlink r:id="rId61" ref="E22"/>
    <hyperlink r:id="rId62" ref="O22"/>
    <hyperlink r:id="rId63" ref="B23"/>
    <hyperlink r:id="rId64" ref="E23"/>
    <hyperlink r:id="rId65" ref="O23"/>
    <hyperlink r:id="rId66" ref="B24"/>
    <hyperlink r:id="rId67" ref="E24"/>
    <hyperlink r:id="rId68" ref="O24"/>
    <hyperlink r:id="rId69" ref="B25"/>
    <hyperlink r:id="rId70" ref="E25"/>
    <hyperlink r:id="rId71" ref="O25"/>
    <hyperlink r:id="rId72" ref="B26"/>
    <hyperlink r:id="rId73" ref="E26"/>
    <hyperlink r:id="rId74" ref="O26"/>
    <hyperlink r:id="rId75" ref="B27"/>
    <hyperlink r:id="rId76" ref="E27"/>
    <hyperlink r:id="rId77" ref="O27"/>
    <hyperlink r:id="rId78" ref="B28"/>
    <hyperlink r:id="rId79" ref="E28"/>
    <hyperlink r:id="rId80" ref="O28"/>
    <hyperlink r:id="rId81" ref="B29"/>
    <hyperlink r:id="rId82" ref="E29"/>
    <hyperlink r:id="rId83" ref="O29"/>
    <hyperlink r:id="rId84" ref="B30"/>
    <hyperlink r:id="rId85" ref="E30"/>
    <hyperlink r:id="rId86" ref="O30"/>
    <hyperlink r:id="rId87" ref="B31"/>
    <hyperlink r:id="rId88" ref="E31"/>
    <hyperlink r:id="rId89" ref="O31"/>
    <hyperlink r:id="rId90" ref="B32"/>
    <hyperlink r:id="rId91" ref="E32"/>
    <hyperlink r:id="rId92" ref="O32"/>
    <hyperlink r:id="rId93" ref="B33"/>
    <hyperlink r:id="rId94" ref="E33"/>
    <hyperlink r:id="rId95" ref="O33"/>
    <hyperlink r:id="rId96" ref="B34"/>
    <hyperlink r:id="rId97" ref="E34"/>
    <hyperlink r:id="rId98" ref="O34"/>
    <hyperlink r:id="rId99" ref="B35"/>
    <hyperlink r:id="rId100" ref="E35"/>
    <hyperlink r:id="rId101" ref="O35"/>
    <hyperlink r:id="rId102" ref="B36"/>
    <hyperlink r:id="rId103" ref="E36"/>
    <hyperlink r:id="rId104" ref="O36"/>
    <hyperlink r:id="rId105" ref="B37"/>
    <hyperlink r:id="rId106" ref="E37"/>
    <hyperlink r:id="rId107" ref="B38"/>
    <hyperlink r:id="rId108" ref="E38"/>
    <hyperlink r:id="rId109" ref="B39"/>
    <hyperlink r:id="rId110" ref="E39"/>
    <hyperlink r:id="rId111" ref="B40"/>
    <hyperlink r:id="rId112" ref="E40"/>
    <hyperlink r:id="rId113" ref="B41"/>
    <hyperlink r:id="rId114" ref="E41"/>
    <hyperlink r:id="rId115" ref="B42"/>
    <hyperlink r:id="rId116" ref="E42"/>
    <hyperlink r:id="rId117" ref="B43"/>
    <hyperlink r:id="rId118" ref="E43"/>
    <hyperlink r:id="rId119" ref="B44"/>
    <hyperlink r:id="rId120" ref="E44"/>
    <hyperlink r:id="rId121" ref="B45"/>
    <hyperlink r:id="rId122" ref="E45"/>
    <hyperlink r:id="rId123" ref="B46"/>
    <hyperlink r:id="rId124" ref="E46"/>
    <hyperlink r:id="rId125" ref="B47"/>
    <hyperlink r:id="rId126" ref="E47"/>
    <hyperlink r:id="rId127" ref="B48"/>
    <hyperlink r:id="rId128" ref="E48"/>
    <hyperlink r:id="rId129" ref="B49"/>
    <hyperlink r:id="rId130" ref="E49"/>
    <hyperlink r:id="rId131" ref="B50"/>
    <hyperlink r:id="rId132" ref="E50"/>
    <hyperlink r:id="rId133" ref="B51"/>
    <hyperlink r:id="rId134" ref="E51"/>
    <hyperlink r:id="rId135" ref="B52"/>
    <hyperlink r:id="rId136" ref="E52"/>
    <hyperlink r:id="rId137" ref="B53"/>
    <hyperlink r:id="rId138" ref="E53"/>
    <hyperlink r:id="rId139" ref="B54"/>
    <hyperlink r:id="rId140" ref="E54"/>
    <hyperlink r:id="rId141" ref="B55"/>
    <hyperlink r:id="rId142" ref="B56"/>
    <hyperlink r:id="rId143" ref="E56"/>
    <hyperlink r:id="rId144" ref="B57"/>
    <hyperlink r:id="rId145" ref="E57"/>
    <hyperlink r:id="rId146" ref="B58"/>
    <hyperlink r:id="rId147" ref="E58"/>
    <hyperlink r:id="rId148" ref="B59"/>
    <hyperlink r:id="rId149" ref="E59"/>
    <hyperlink r:id="rId150" ref="B60"/>
    <hyperlink r:id="rId151" ref="E60"/>
    <hyperlink r:id="rId152" ref="B61"/>
    <hyperlink r:id="rId153" ref="E61"/>
    <hyperlink r:id="rId154" ref="B62"/>
    <hyperlink r:id="rId155" ref="E62"/>
    <hyperlink r:id="rId156" ref="B63"/>
    <hyperlink r:id="rId157" ref="E63"/>
    <hyperlink r:id="rId158" ref="B64"/>
    <hyperlink r:id="rId159" ref="E64"/>
    <hyperlink r:id="rId160" ref="B65"/>
    <hyperlink r:id="rId161" ref="E65"/>
    <hyperlink r:id="rId162" ref="B66"/>
    <hyperlink r:id="rId163" ref="E66"/>
    <hyperlink r:id="rId164" ref="B67"/>
    <hyperlink r:id="rId165" ref="E67"/>
    <hyperlink r:id="rId166" location=":~:text=List%20of%20the%20Top%20United%20States%20Programmatic,108%20reviews.%20%2D%20Onya.%205.0%2030%20reviews." ref="B68"/>
    <hyperlink r:id="rId167" ref="E68"/>
    <hyperlink r:id="rId168" ref="B69"/>
    <hyperlink r:id="rId169" ref="E69"/>
    <hyperlink r:id="rId170" ref="B70"/>
    <hyperlink r:id="rId171" ref="E70"/>
    <hyperlink r:id="rId172" ref="B71"/>
    <hyperlink r:id="rId173" ref="E71"/>
    <hyperlink r:id="rId174" ref="B72"/>
    <hyperlink r:id="rId175" ref="E72"/>
    <hyperlink r:id="rId176" location=":~:text=Great%20For%3A%20Mid%2Dmarket%20to%20enterprise%2Dlevel%20businesses%20requiring,and%20advanced%20analytics%20to%20drive%20measurable%20results." ref="B73"/>
    <hyperlink r:id="rId177" ref="E73"/>
    <hyperlink r:id="rId178" ref="B74"/>
    <hyperlink r:id="rId179" ref="E74"/>
    <hyperlink r:id="rId180" ref="B75"/>
    <hyperlink r:id="rId181" ref="E75"/>
    <hyperlink r:id="rId182" ref="B76"/>
    <hyperlink r:id="rId183" ref="E76"/>
    <hyperlink r:id="rId184" ref="B77"/>
    <hyperlink r:id="rId185" ref="E77"/>
    <hyperlink r:id="rId186" ref="B78"/>
    <hyperlink r:id="rId187" ref="E78"/>
    <hyperlink r:id="rId188" ref="B79"/>
    <hyperlink r:id="rId189" ref="E79"/>
    <hyperlink r:id="rId190" ref="B80"/>
    <hyperlink r:id="rId191" ref="E80"/>
    <hyperlink r:id="rId192" ref="B81"/>
    <hyperlink r:id="rId193" ref="E81"/>
    <hyperlink r:id="rId194" ref="B82"/>
    <hyperlink r:id="rId195" ref="E82"/>
    <hyperlink r:id="rId196" ref="B83"/>
    <hyperlink r:id="rId197" ref="E83"/>
    <hyperlink r:id="rId198" ref="B84"/>
    <hyperlink r:id="rId199" ref="E84"/>
    <hyperlink r:id="rId200" ref="B85"/>
    <hyperlink r:id="rId201" ref="E85"/>
    <hyperlink r:id="rId202" ref="E86"/>
    <hyperlink r:id="rId203" ref="B87"/>
    <hyperlink r:id="rId204" ref="E87"/>
    <hyperlink r:id="rId205" ref="B88"/>
    <hyperlink r:id="rId206" ref="E88"/>
    <hyperlink r:id="rId207" ref="B89"/>
    <hyperlink r:id="rId208" ref="E89"/>
    <hyperlink r:id="rId209" ref="B90"/>
    <hyperlink r:id="rId210" ref="E90"/>
    <hyperlink r:id="rId211" ref="B91"/>
    <hyperlink r:id="rId212" ref="E91"/>
    <hyperlink r:id="rId213" ref="B92"/>
    <hyperlink r:id="rId214" ref="E92"/>
    <hyperlink r:id="rId215" ref="B93"/>
    <hyperlink r:id="rId216" ref="E93"/>
    <hyperlink r:id="rId217" ref="B94"/>
    <hyperlink r:id="rId218" ref="E94"/>
    <hyperlink r:id="rId219" ref="B95"/>
    <hyperlink r:id="rId220" ref="E95"/>
    <hyperlink r:id="rId221" ref="B96"/>
    <hyperlink r:id="rId222" ref="E96"/>
    <hyperlink r:id="rId223" ref="B97"/>
    <hyperlink r:id="rId224" ref="E97"/>
    <hyperlink r:id="rId225" ref="B98"/>
    <hyperlink r:id="rId226" ref="E98"/>
    <hyperlink r:id="rId227" ref="B99"/>
    <hyperlink r:id="rId228" ref="E99"/>
    <hyperlink r:id="rId229" ref="B100"/>
    <hyperlink r:id="rId230" ref="E100"/>
    <hyperlink r:id="rId231" ref="B101"/>
    <hyperlink r:id="rId232" ref="E101"/>
    <hyperlink r:id="rId233" ref="B102"/>
    <hyperlink r:id="rId234" ref="E102"/>
    <hyperlink r:id="rId235" ref="B103"/>
    <hyperlink r:id="rId236" ref="E103"/>
    <hyperlink r:id="rId237" ref="B104"/>
    <hyperlink r:id="rId238" ref="E104"/>
    <hyperlink r:id="rId239" ref="B105"/>
    <hyperlink r:id="rId240" ref="E105"/>
    <hyperlink r:id="rId241" ref="B106"/>
    <hyperlink r:id="rId242" ref="E106"/>
    <hyperlink r:id="rId243" ref="B107"/>
    <hyperlink r:id="rId244" ref="E107"/>
    <hyperlink r:id="rId245" ref="B108"/>
    <hyperlink r:id="rId246" ref="E108"/>
    <hyperlink r:id="rId247" ref="B109"/>
    <hyperlink r:id="rId248" ref="E109"/>
    <hyperlink r:id="rId249" ref="B110"/>
    <hyperlink r:id="rId250" ref="E110"/>
    <hyperlink r:id="rId251" ref="B111"/>
    <hyperlink r:id="rId252" ref="E111"/>
    <hyperlink r:id="rId253" ref="B112"/>
    <hyperlink r:id="rId254" ref="E112"/>
    <hyperlink r:id="rId255" ref="B113"/>
    <hyperlink r:id="rId256" ref="E113"/>
    <hyperlink r:id="rId257" ref="B114"/>
    <hyperlink r:id="rId258" ref="E114"/>
    <hyperlink r:id="rId259" ref="B115"/>
    <hyperlink r:id="rId260" ref="E115"/>
    <hyperlink r:id="rId261" ref="B116"/>
    <hyperlink r:id="rId262" ref="E116"/>
    <hyperlink r:id="rId263" ref="B117"/>
    <hyperlink r:id="rId264" ref="E117"/>
    <hyperlink r:id="rId265" ref="B118"/>
    <hyperlink r:id="rId266" ref="E118"/>
    <hyperlink r:id="rId267" ref="B119"/>
    <hyperlink r:id="rId268" ref="E119"/>
    <hyperlink r:id="rId269" ref="B120"/>
    <hyperlink r:id="rId270" ref="E120"/>
    <hyperlink r:id="rId271" ref="B121"/>
    <hyperlink r:id="rId272" ref="E121"/>
    <hyperlink r:id="rId273" ref="B122"/>
    <hyperlink r:id="rId274" ref="E122"/>
    <hyperlink r:id="rId275" ref="B123"/>
    <hyperlink r:id="rId276" ref="E123"/>
    <hyperlink r:id="rId277" ref="B124"/>
    <hyperlink r:id="rId278" ref="E124"/>
    <hyperlink r:id="rId279" ref="B125"/>
    <hyperlink r:id="rId280" ref="E125"/>
    <hyperlink r:id="rId281" ref="B126"/>
    <hyperlink r:id="rId282" ref="E126"/>
    <hyperlink r:id="rId283" ref="B127"/>
    <hyperlink r:id="rId284" ref="E127"/>
    <hyperlink r:id="rId285" ref="B128"/>
    <hyperlink r:id="rId286" ref="E128"/>
    <hyperlink r:id="rId287" ref="B129"/>
    <hyperlink r:id="rId288" ref="E129"/>
    <hyperlink r:id="rId289" ref="B130"/>
    <hyperlink r:id="rId290" ref="E130"/>
    <hyperlink r:id="rId291" ref="B131"/>
    <hyperlink r:id="rId292" ref="E131"/>
    <hyperlink r:id="rId293" ref="B132"/>
    <hyperlink r:id="rId294" ref="E132"/>
    <hyperlink r:id="rId295" location=":~:text=Their%20capabilities%20include%20advanced%20analytics%2C%20marketing%20automation,Columbia%20(Maryland)%2C%20New%20York%2C%20London%2C%20Global%20offices." ref="B133"/>
    <hyperlink r:id="rId296" ref="E133"/>
    <hyperlink r:id="rId297" ref="B134"/>
    <hyperlink r:id="rId298" ref="E134"/>
    <hyperlink r:id="rId299" ref="B135"/>
    <hyperlink r:id="rId300" ref="E135"/>
    <hyperlink r:id="rId301" ref="B136"/>
    <hyperlink r:id="rId302" ref="E136"/>
    <hyperlink r:id="rId303" ref="B137"/>
    <hyperlink r:id="rId304" ref="E137"/>
    <hyperlink r:id="rId305" ref="B138"/>
    <hyperlink r:id="rId306" ref="E138"/>
    <hyperlink r:id="rId307" ref="B139"/>
    <hyperlink r:id="rId308" ref="E139"/>
    <hyperlink r:id="rId309" ref="B140"/>
    <hyperlink r:id="rId310" ref="E140"/>
    <hyperlink r:id="rId311" ref="B141"/>
    <hyperlink r:id="rId312" ref="E141"/>
    <hyperlink r:id="rId313" ref="B142"/>
    <hyperlink r:id="rId314" ref="E142"/>
    <hyperlink r:id="rId315" location=":~:text=1.,full%20customer%20journey%20in%20real" ref="B143"/>
    <hyperlink r:id="rId316" ref="E143"/>
    <hyperlink r:id="rId317" ref="B144"/>
    <hyperlink r:id="rId318" ref="E144"/>
    <hyperlink r:id="rId319" ref="B145"/>
    <hyperlink r:id="rId320" ref="B146"/>
    <hyperlink r:id="rId321" ref="E146"/>
    <hyperlink r:id="rId322" ref="B147"/>
    <hyperlink r:id="rId323" ref="E147"/>
    <hyperlink r:id="rId324" ref="B148"/>
    <hyperlink r:id="rId325" ref="E148"/>
    <hyperlink r:id="rId326" ref="B149"/>
    <hyperlink r:id="rId327" ref="E149"/>
    <hyperlink r:id="rId328" ref="B150"/>
    <hyperlink r:id="rId329" ref="E150"/>
    <hyperlink r:id="rId330" ref="B151"/>
    <hyperlink r:id="rId331" ref="E151"/>
    <hyperlink r:id="rId332" ref="B152"/>
    <hyperlink r:id="rId333" ref="E152"/>
    <hyperlink r:id="rId334" location=":~:text=Industries%20Served%3A%20Retail%2C%20Financial%20Services%2C%20Healthcare%2C%20Travel,and%20personalization%20at%20scale.%20%2D%203.%20Jellyfish." ref="B153"/>
    <hyperlink r:id="rId335" ref="E153"/>
    <hyperlink r:id="rId336" ref="B154"/>
    <hyperlink r:id="rId337" ref="E154"/>
    <hyperlink r:id="rId338" location=":~:text=MullenLowe,Zulu%20Alpha" ref="B155"/>
    <hyperlink r:id="rId339" ref="E155"/>
    <hyperlink r:id="rId340" location=":~:text=Digital%20Dot.%20Connecting%20the%20Dots%20to%20Your,driving%20organic%20traffic%20and%20generating%20quality%20leads." ref="B156"/>
    <hyperlink r:id="rId341" ref="E156"/>
    <hyperlink r:id="rId342" ref="B157"/>
    <hyperlink r:id="rId343" ref="E157"/>
    <hyperlink r:id="rId344" ref="B158"/>
    <hyperlink r:id="rId345" ref="E158"/>
    <hyperlink r:id="rId346" ref="B159"/>
    <hyperlink r:id="rId347" ref="E159"/>
    <hyperlink r:id="rId348" ref="B160"/>
    <hyperlink r:id="rId349" ref="E160"/>
    <hyperlink r:id="rId350" ref="B161"/>
    <hyperlink r:id="rId351" ref="E161"/>
    <hyperlink r:id="rId352" ref="B162"/>
    <hyperlink r:id="rId353" ref="E162"/>
    <hyperlink r:id="rId354" ref="B163"/>
    <hyperlink r:id="rId355" ref="E163"/>
    <hyperlink r:id="rId356" ref="B164"/>
    <hyperlink r:id="rId357" ref="E164"/>
    <hyperlink r:id="rId358" ref="B165"/>
    <hyperlink r:id="rId359" ref="E165"/>
    <hyperlink r:id="rId360" ref="B166"/>
    <hyperlink r:id="rId361" ref="E166"/>
    <hyperlink r:id="rId362" ref="B167"/>
    <hyperlink r:id="rId363" ref="E167"/>
    <hyperlink r:id="rId364" ref="B168"/>
    <hyperlink r:id="rId365" ref="E168"/>
    <hyperlink r:id="rId366" ref="B169"/>
    <hyperlink r:id="rId367" ref="E169"/>
    <hyperlink r:id="rId368" ref="B170"/>
    <hyperlink r:id="rId369" ref="E170"/>
    <hyperlink r:id="rId370" ref="B171"/>
    <hyperlink r:id="rId371" ref="E171"/>
    <hyperlink r:id="rId372" ref="B172"/>
    <hyperlink r:id="rId373" ref="B173"/>
    <hyperlink r:id="rId374" ref="E173"/>
    <hyperlink r:id="rId375" ref="B174"/>
    <hyperlink r:id="rId376" ref="E174"/>
    <hyperlink r:id="rId377" ref="B175"/>
    <hyperlink r:id="rId378" ref="E175"/>
    <hyperlink r:id="rId379" ref="B176"/>
    <hyperlink r:id="rId380" ref="E176"/>
    <hyperlink r:id="rId381" ref="B177"/>
    <hyperlink r:id="rId382" ref="E177"/>
    <hyperlink r:id="rId383" ref="B178"/>
    <hyperlink r:id="rId384" ref="E178"/>
    <hyperlink r:id="rId385" ref="B179"/>
    <hyperlink r:id="rId386" ref="E179"/>
    <hyperlink r:id="rId387" ref="B180"/>
    <hyperlink r:id="rId388" ref="E180"/>
    <hyperlink r:id="rId389" ref="B181"/>
    <hyperlink r:id="rId390" ref="E181"/>
    <hyperlink r:id="rId391" ref="B182"/>
    <hyperlink r:id="rId392" ref="E182"/>
    <hyperlink r:id="rId393" ref="B183"/>
    <hyperlink r:id="rId394" ref="E183"/>
    <hyperlink r:id="rId395" ref="B184"/>
    <hyperlink r:id="rId396" ref="E184"/>
    <hyperlink r:id="rId397" location=":~:text=Industries%20Served%3A%20Consumer%20Goods%2C%20Automotive%2C%20Technology%2C%20Financial,and%20advanced%20attribution%20modelling.%20%2D%203.%20Essence." ref="B185"/>
    <hyperlink r:id="rId398" ref="E185"/>
    <hyperlink r:id="rId399" ref="B186"/>
    <hyperlink r:id="rId400" ref="E186"/>
    <hyperlink r:id="rId401" ref="B187"/>
    <hyperlink r:id="rId402" ref="E187"/>
    <hyperlink r:id="rId403" ref="B188"/>
    <hyperlink r:id="rId404" ref="E188"/>
    <hyperlink r:id="rId405" ref="B189"/>
    <hyperlink r:id="rId406" ref="E189"/>
    <hyperlink r:id="rId407" ref="B190"/>
    <hyperlink r:id="rId408" ref="E190"/>
    <hyperlink r:id="rId409" ref="B191"/>
    <hyperlink r:id="rId410" ref="E191"/>
    <hyperlink r:id="rId411" ref="B192"/>
    <hyperlink r:id="rId412" ref="E192"/>
    <hyperlink r:id="rId413" ref="B193"/>
    <hyperlink r:id="rId414" ref="E193"/>
    <hyperlink r:id="rId415" ref="B194"/>
    <hyperlink r:id="rId416" ref="E194"/>
    <hyperlink r:id="rId417" ref="B195"/>
    <hyperlink r:id="rId418" ref="E195"/>
    <hyperlink r:id="rId419" ref="B196"/>
    <hyperlink r:id="rId420" ref="E196"/>
    <hyperlink r:id="rId421" ref="B197"/>
    <hyperlink r:id="rId422" ref="E197"/>
    <hyperlink r:id="rId423" ref="B198"/>
    <hyperlink r:id="rId424" ref="E198"/>
    <hyperlink r:id="rId425" ref="B199"/>
    <hyperlink r:id="rId426" ref="E199"/>
    <hyperlink r:id="rId427" ref="B200"/>
    <hyperlink r:id="rId428" ref="E200"/>
    <hyperlink r:id="rId429" ref="B201"/>
    <hyperlink r:id="rId430" ref="E201"/>
    <hyperlink r:id="rId431" ref="B202"/>
    <hyperlink r:id="rId432" ref="E202"/>
    <hyperlink r:id="rId433" ref="B203"/>
    <hyperlink r:id="rId434" ref="E203"/>
    <hyperlink r:id="rId435" ref="B204"/>
    <hyperlink r:id="rId436" ref="E204"/>
    <hyperlink r:id="rId437" location=":~:text=Version2%20is%20an%20advertising%20agency%20specializing%20in,of%20reviewers%20highlighting%20their%20professionalism%20and%20commitment." ref="B205"/>
    <hyperlink r:id="rId438" ref="E205"/>
    <hyperlink r:id="rId439" ref="B206"/>
    <hyperlink r:id="rId440" ref="E206"/>
    <hyperlink r:id="rId441" ref="B207"/>
    <hyperlink r:id="rId442" ref="E207"/>
    <hyperlink r:id="rId443" ref="B208"/>
    <hyperlink r:id="rId444" ref="E208"/>
    <hyperlink r:id="rId445" location=":~:text=%2410%2C000%2B%20250%20%2D%20999.%20San%20Diego%2C%20CA.,execution%2C%20strong%20communication%2C%20and%20impressive%20project%20management." ref="B209"/>
    <hyperlink r:id="rId446" ref="E209"/>
    <hyperlink r:id="rId447" ref="B210"/>
    <hyperlink r:id="rId448" ref="E210"/>
    <hyperlink r:id="rId449" ref="B211"/>
    <hyperlink r:id="rId450" ref="E211"/>
    <hyperlink r:id="rId451" ref="B212"/>
    <hyperlink r:id="rId452" ref="E212"/>
    <hyperlink r:id="rId453" ref="B213"/>
    <hyperlink r:id="rId454" ref="E213"/>
    <hyperlink r:id="rId455" ref="B214"/>
    <hyperlink r:id="rId456" ref="E214"/>
    <hyperlink r:id="rId457" ref="B215"/>
    <hyperlink r:id="rId458" ref="E215"/>
    <hyperlink r:id="rId459" ref="B216"/>
    <hyperlink r:id="rId460" ref="E216"/>
    <hyperlink r:id="rId461" ref="B217"/>
    <hyperlink r:id="rId462" ref="E217"/>
    <hyperlink r:id="rId463" ref="B218"/>
    <hyperlink r:id="rId464" ref="E218"/>
    <hyperlink r:id="rId465" ref="B219"/>
    <hyperlink r:id="rId466" ref="E219"/>
    <hyperlink r:id="rId467" ref="B220"/>
    <hyperlink r:id="rId468" ref="E220"/>
    <hyperlink r:id="rId469" ref="B221"/>
    <hyperlink r:id="rId470" ref="E221"/>
    <hyperlink r:id="rId471" ref="B222"/>
    <hyperlink r:id="rId472" ref="E222"/>
    <hyperlink r:id="rId473" ref="B223"/>
    <hyperlink r:id="rId474" ref="E223"/>
    <hyperlink r:id="rId475" ref="B224"/>
    <hyperlink r:id="rId476" ref="E224"/>
    <hyperlink r:id="rId477" ref="B225"/>
    <hyperlink r:id="rId478" ref="E225"/>
    <hyperlink r:id="rId479" ref="B226"/>
    <hyperlink r:id="rId480" ref="E226"/>
    <hyperlink r:id="rId481" ref="B227"/>
    <hyperlink r:id="rId482" ref="E227"/>
    <hyperlink r:id="rId483" ref="B228"/>
    <hyperlink r:id="rId484" ref="E228"/>
    <hyperlink r:id="rId485" ref="B229"/>
    <hyperlink r:id="rId486" ref="E229"/>
    <hyperlink r:id="rId487" ref="B230"/>
    <hyperlink r:id="rId488" ref="E230"/>
    <hyperlink r:id="rId489" ref="B231"/>
    <hyperlink r:id="rId490" ref="E231"/>
    <hyperlink r:id="rId491" ref="B232"/>
    <hyperlink r:id="rId492" ref="E232"/>
    <hyperlink r:id="rId493" ref="B233"/>
    <hyperlink r:id="rId494" ref="E233"/>
    <hyperlink r:id="rId495" ref="B234"/>
    <hyperlink r:id="rId496" ref="E234"/>
    <hyperlink r:id="rId497" ref="B235"/>
    <hyperlink r:id="rId498" ref="E235"/>
    <hyperlink r:id="rId499" ref="B236"/>
    <hyperlink r:id="rId500" ref="E236"/>
    <hyperlink r:id="rId501" ref="B237"/>
    <hyperlink r:id="rId502" ref="E237"/>
    <hyperlink r:id="rId503" ref="B238"/>
    <hyperlink r:id="rId504" ref="E238"/>
    <hyperlink r:id="rId505" ref="B239"/>
    <hyperlink r:id="rId506" ref="E239"/>
    <hyperlink r:id="rId507" ref="B240"/>
    <hyperlink r:id="rId508" ref="E240"/>
    <hyperlink r:id="rId509" ref="B241"/>
    <hyperlink r:id="rId510" ref="E241"/>
    <hyperlink r:id="rId511" ref="B242"/>
    <hyperlink r:id="rId512" ref="E242"/>
    <hyperlink r:id="rId513" ref="B243"/>
    <hyperlink r:id="rId514" ref="E243"/>
    <hyperlink r:id="rId515" ref="B244"/>
    <hyperlink r:id="rId516" ref="E244"/>
    <hyperlink r:id="rId517" ref="B245"/>
    <hyperlink r:id="rId518" ref="E245"/>
    <hyperlink r:id="rId519" ref="B246"/>
    <hyperlink r:id="rId520" ref="B247"/>
    <hyperlink r:id="rId521" ref="E247"/>
    <hyperlink r:id="rId522" ref="B248"/>
    <hyperlink r:id="rId523" ref="E248"/>
    <hyperlink r:id="rId524" ref="B249"/>
    <hyperlink r:id="rId525" ref="E249"/>
    <hyperlink r:id="rId526" ref="B250"/>
    <hyperlink r:id="rId527" ref="E250"/>
    <hyperlink r:id="rId528" ref="B251"/>
    <hyperlink r:id="rId529" ref="E251"/>
    <hyperlink r:id="rId530" ref="B252"/>
    <hyperlink r:id="rId531" ref="E252"/>
    <hyperlink r:id="rId532" ref="B253"/>
    <hyperlink r:id="rId533" ref="E253"/>
    <hyperlink r:id="rId534" ref="B254"/>
    <hyperlink r:id="rId535" ref="E254"/>
    <hyperlink r:id="rId536" ref="B255"/>
    <hyperlink r:id="rId537" ref="E255"/>
    <hyperlink r:id="rId538" ref="B256"/>
    <hyperlink r:id="rId539" ref="E256"/>
    <hyperlink r:id="rId540" ref="B257"/>
    <hyperlink r:id="rId541" ref="E257"/>
    <hyperlink r:id="rId542" ref="B258"/>
    <hyperlink r:id="rId543" ref="E258"/>
    <hyperlink r:id="rId544" ref="B259"/>
    <hyperlink r:id="rId545" ref="E259"/>
    <hyperlink r:id="rId546" ref="B260"/>
    <hyperlink r:id="rId547" ref="E260"/>
    <hyperlink r:id="rId548" ref="B261"/>
    <hyperlink r:id="rId549" ref="E261"/>
    <hyperlink r:id="rId550" ref="B262"/>
    <hyperlink r:id="rId551" ref="E262"/>
    <hyperlink r:id="rId552" ref="B263"/>
    <hyperlink r:id="rId553" ref="E263"/>
    <hyperlink r:id="rId554" ref="B264"/>
    <hyperlink r:id="rId555" ref="E264"/>
    <hyperlink r:id="rId556" ref="B265"/>
    <hyperlink r:id="rId557" ref="E265"/>
    <hyperlink r:id="rId558" ref="B266"/>
    <hyperlink r:id="rId559" ref="E266"/>
    <hyperlink r:id="rId560" ref="B267"/>
    <hyperlink r:id="rId561" ref="E267"/>
    <hyperlink r:id="rId562" ref="B268"/>
    <hyperlink r:id="rId563" ref="E268"/>
    <hyperlink r:id="rId564" ref="B269"/>
    <hyperlink r:id="rId565" ref="E269"/>
    <hyperlink r:id="rId566" ref="B270"/>
    <hyperlink r:id="rId567" ref="E270"/>
    <hyperlink r:id="rId568" ref="B271"/>
    <hyperlink r:id="rId569" ref="E271"/>
    <hyperlink r:id="rId570" ref="B272"/>
    <hyperlink r:id="rId571" ref="E272"/>
    <hyperlink r:id="rId572" ref="B273"/>
    <hyperlink r:id="rId573" ref="E273"/>
    <hyperlink r:id="rId574" ref="B274"/>
    <hyperlink r:id="rId575" ref="E274"/>
    <hyperlink r:id="rId576" ref="B275"/>
    <hyperlink r:id="rId577" ref="B276"/>
    <hyperlink r:id="rId578" ref="E276"/>
    <hyperlink r:id="rId579" ref="B277"/>
    <hyperlink r:id="rId580" ref="E277"/>
    <hyperlink r:id="rId581" ref="B278"/>
    <hyperlink r:id="rId582" ref="E278"/>
    <hyperlink r:id="rId583" ref="B279"/>
    <hyperlink r:id="rId584" ref="E279"/>
    <hyperlink r:id="rId585" location=":~:text=Instead%20of%20traditional%20agencies%20that%20bill%20per,marketing%20across%20all%20key%20channels%20and%20disciplines." ref="B280"/>
    <hyperlink r:id="rId586" ref="E280"/>
    <hyperlink r:id="rId587" ref="B281"/>
    <hyperlink r:id="rId588" ref="E281"/>
    <hyperlink r:id="rId589" ref="B282"/>
    <hyperlink r:id="rId590" ref="E282"/>
    <hyperlink r:id="rId591" ref="B283"/>
    <hyperlink r:id="rId592" ref="E283"/>
    <hyperlink r:id="rId593" ref="B284"/>
    <hyperlink r:id="rId594" ref="E284"/>
    <hyperlink r:id="rId595" ref="B285"/>
    <hyperlink r:id="rId596" ref="E285"/>
    <hyperlink r:id="rId597" ref="B286"/>
    <hyperlink r:id="rId598" ref="E286"/>
    <hyperlink r:id="rId599" ref="B287"/>
    <hyperlink r:id="rId600" ref="E287"/>
    <hyperlink r:id="rId601" ref="B288"/>
    <hyperlink r:id="rId602" ref="E288"/>
    <hyperlink r:id="rId603" ref="B289"/>
    <hyperlink r:id="rId604" ref="E289"/>
    <hyperlink r:id="rId605" ref="B290"/>
    <hyperlink r:id="rId606" ref="E290"/>
    <hyperlink r:id="rId607" ref="B291"/>
    <hyperlink r:id="rId608" ref="E291"/>
    <hyperlink r:id="rId609" ref="B292"/>
    <hyperlink r:id="rId610" ref="E292"/>
    <hyperlink r:id="rId611" ref="B293"/>
    <hyperlink r:id="rId612" ref="E293"/>
    <hyperlink r:id="rId613" ref="B294"/>
    <hyperlink r:id="rId614" ref="E294"/>
    <hyperlink r:id="rId615" ref="B295"/>
    <hyperlink r:id="rId616" ref="E295"/>
    <hyperlink r:id="rId617" ref="B296"/>
    <hyperlink r:id="rId618" ref="E296"/>
    <hyperlink r:id="rId619" location=":~:text=%238.-,HawkSEM,clients%20averaging%204.5x%20ROI." ref="B297"/>
    <hyperlink r:id="rId620" ref="E297"/>
    <hyperlink r:id="rId621" ref="B298"/>
    <hyperlink r:id="rId622" ref="E298"/>
    <hyperlink r:id="rId623" ref="B299"/>
    <hyperlink r:id="rId624" ref="E299"/>
    <hyperlink r:id="rId625" ref="B300"/>
    <hyperlink r:id="rId626" ref="E300"/>
    <hyperlink r:id="rId627" ref="B301"/>
    <hyperlink r:id="rId628" ref="E301"/>
    <hyperlink r:id="rId629" ref="B302"/>
    <hyperlink r:id="rId630" ref="E302"/>
    <hyperlink r:id="rId631" ref="B303"/>
    <hyperlink r:id="rId632" ref="E303"/>
    <hyperlink r:id="rId633" ref="B304"/>
    <hyperlink r:id="rId634" ref="E304"/>
    <hyperlink r:id="rId635" location=":~:text=This%20sits%20alongside%20a%20mature%20technical%20SEO,of%20the%20discipline.%20%2D%20Jaywing.%20Best%20for." ref="B305"/>
    <hyperlink r:id="rId636" ref="E305"/>
    <hyperlink r:id="rId637" ref="B306"/>
    <hyperlink r:id="rId638" ref="E306"/>
    <hyperlink r:id="rId639" ref="B307"/>
    <hyperlink r:id="rId640" ref="E307"/>
    <hyperlink r:id="rId641" ref="B308"/>
    <hyperlink r:id="rId642" ref="E308"/>
    <hyperlink r:id="rId643" location=":~:text=farsiight%20is%20a%20digital%20marketing%20agency%20specializing,return%20on%20ad%20spend%20and%20customer%20acquisition." ref="B309"/>
    <hyperlink r:id="rId644" ref="E309"/>
    <hyperlink r:id="rId645" ref="B310"/>
    <hyperlink r:id="rId646" ref="E310"/>
    <hyperlink r:id="rId647" ref="B311"/>
    <hyperlink r:id="rId648" ref="E311"/>
    <hyperlink r:id="rId649" ref="B312"/>
    <hyperlink r:id="rId650" ref="E312"/>
    <hyperlink r:id="rId651" ref="B313"/>
    <hyperlink r:id="rId652" ref="E313"/>
    <hyperlink r:id="rId653" ref="B314"/>
    <hyperlink r:id="rId654" ref="E314"/>
    <hyperlink r:id="rId655" ref="B315"/>
    <hyperlink r:id="rId656" ref="E315"/>
    <hyperlink r:id="rId657" ref="B316"/>
    <hyperlink r:id="rId658" ref="E316"/>
    <hyperlink r:id="rId659" ref="B317"/>
    <hyperlink r:id="rId660" ref="E317"/>
    <hyperlink r:id="rId661" ref="B318"/>
    <hyperlink r:id="rId662" ref="E318"/>
    <hyperlink r:id="rId663" ref="B319"/>
    <hyperlink r:id="rId664" ref="E319"/>
    <hyperlink r:id="rId665" ref="B320"/>
    <hyperlink r:id="rId666" ref="E320"/>
    <hyperlink r:id="rId667" ref="B321"/>
    <hyperlink r:id="rId668" ref="E321"/>
    <hyperlink r:id="rId669" ref="B322"/>
    <hyperlink r:id="rId670" ref="E322"/>
    <hyperlink r:id="rId671" ref="B323"/>
    <hyperlink r:id="rId672" ref="E323"/>
    <hyperlink r:id="rId673" ref="B324"/>
    <hyperlink r:id="rId674" ref="E324"/>
    <hyperlink r:id="rId675" ref="B325"/>
    <hyperlink r:id="rId676" ref="E325"/>
    <hyperlink r:id="rId677" ref="B326"/>
    <hyperlink r:id="rId678" ref="E326"/>
    <hyperlink r:id="rId679" ref="B327"/>
    <hyperlink r:id="rId680" ref="E327"/>
    <hyperlink r:id="rId681" ref="B328"/>
    <hyperlink r:id="rId682" ref="E328"/>
    <hyperlink r:id="rId683" ref="B329"/>
    <hyperlink r:id="rId684" ref="E329"/>
    <hyperlink r:id="rId685" ref="B330"/>
    <hyperlink r:id="rId686" ref="E330"/>
    <hyperlink r:id="rId687" ref="B331"/>
    <hyperlink r:id="rId688" ref="E331"/>
    <hyperlink r:id="rId689" ref="B332"/>
    <hyperlink r:id="rId690" ref="E332"/>
    <hyperlink r:id="rId691" ref="B333"/>
    <hyperlink r:id="rId692" ref="E333"/>
    <hyperlink r:id="rId693" ref="B334"/>
    <hyperlink r:id="rId694" ref="E334"/>
    <hyperlink r:id="rId695" ref="B335"/>
    <hyperlink r:id="rId696" ref="E335"/>
    <hyperlink r:id="rId697" ref="B336"/>
    <hyperlink r:id="rId698" ref="E336"/>
    <hyperlink r:id="rId699" ref="B337"/>
    <hyperlink r:id="rId700" ref="E337"/>
    <hyperlink r:id="rId701" ref="B338"/>
    <hyperlink r:id="rId702" ref="E338"/>
    <hyperlink r:id="rId703" ref="B339"/>
    <hyperlink r:id="rId704" ref="E339"/>
    <hyperlink r:id="rId705" ref="B340"/>
    <hyperlink r:id="rId706" ref="E340"/>
    <hyperlink r:id="rId707" ref="B341"/>
    <hyperlink r:id="rId708" ref="E341"/>
    <hyperlink r:id="rId709" ref="B342"/>
    <hyperlink r:id="rId710" ref="E342"/>
    <hyperlink r:id="rId711" ref="B343"/>
    <hyperlink r:id="rId712" ref="E343"/>
    <hyperlink r:id="rId713" ref="B344"/>
    <hyperlink r:id="rId714" ref="E344"/>
    <hyperlink r:id="rId715" ref="B345"/>
    <hyperlink r:id="rId716" ref="E345"/>
    <hyperlink r:id="rId717" ref="B346"/>
    <hyperlink r:id="rId718" ref="E346"/>
    <hyperlink r:id="rId719" ref="B347"/>
    <hyperlink r:id="rId720" ref="B348"/>
    <hyperlink r:id="rId721" ref="E348"/>
    <hyperlink r:id="rId722" ref="B349"/>
    <hyperlink r:id="rId723" ref="E349"/>
    <hyperlink r:id="rId724" ref="B350"/>
    <hyperlink r:id="rId725" ref="E350"/>
    <hyperlink r:id="rId726" ref="B351"/>
    <hyperlink r:id="rId727" ref="E351"/>
    <hyperlink r:id="rId728" ref="B352"/>
    <hyperlink r:id="rId729" ref="E352"/>
    <hyperlink r:id="rId730" ref="B353"/>
    <hyperlink r:id="rId731" ref="E353"/>
    <hyperlink r:id="rId732" ref="B354"/>
    <hyperlink r:id="rId733" ref="E354"/>
    <hyperlink r:id="rId734" ref="B355"/>
    <hyperlink r:id="rId735" ref="E355"/>
    <hyperlink r:id="rId736" ref="B356"/>
    <hyperlink r:id="rId737" ref="E356"/>
    <hyperlink r:id="rId738" ref="B357"/>
    <hyperlink r:id="rId739" ref="E357"/>
    <hyperlink r:id="rId740" ref="B358"/>
    <hyperlink r:id="rId741" ref="E358"/>
    <hyperlink r:id="rId742" ref="B359"/>
    <hyperlink r:id="rId743" ref="E359"/>
    <hyperlink r:id="rId744" ref="B360"/>
    <hyperlink r:id="rId745" ref="E360"/>
    <hyperlink r:id="rId746" ref="B361"/>
    <hyperlink r:id="rId747" ref="E361"/>
    <hyperlink r:id="rId748" ref="B362"/>
    <hyperlink r:id="rId749" ref="E362"/>
    <hyperlink r:id="rId750" ref="B363"/>
    <hyperlink r:id="rId751" ref="E363"/>
    <hyperlink r:id="rId752" ref="B364"/>
    <hyperlink r:id="rId753" ref="E364"/>
    <hyperlink r:id="rId754" ref="B365"/>
    <hyperlink r:id="rId755" ref="E365"/>
    <hyperlink r:id="rId756" ref="B366"/>
    <hyperlink r:id="rId757" ref="E366"/>
    <hyperlink r:id="rId758" ref="B367"/>
    <hyperlink r:id="rId759" ref="E367"/>
    <hyperlink r:id="rId760" ref="B368"/>
    <hyperlink r:id="rId761" ref="E368"/>
    <hyperlink r:id="rId762" ref="B369"/>
    <hyperlink r:id="rId763" ref="E369"/>
    <hyperlink r:id="rId764" ref="B370"/>
    <hyperlink r:id="rId765" ref="E370"/>
    <hyperlink r:id="rId766" ref="B371"/>
    <hyperlink r:id="rId767" ref="E371"/>
    <hyperlink r:id="rId768" ref="B372"/>
    <hyperlink r:id="rId769" ref="E372"/>
    <hyperlink r:id="rId770" ref="B373"/>
    <hyperlink r:id="rId771" ref="E373"/>
    <hyperlink r:id="rId772" ref="B374"/>
    <hyperlink r:id="rId773" ref="E374"/>
    <hyperlink r:id="rId774" ref="B375"/>
    <hyperlink r:id="rId775" ref="E375"/>
    <hyperlink r:id="rId776" ref="B376"/>
    <hyperlink r:id="rId777" ref="E376"/>
    <hyperlink r:id="rId778" ref="B377"/>
    <hyperlink r:id="rId779" ref="E377"/>
    <hyperlink r:id="rId780" ref="B378"/>
    <hyperlink r:id="rId781" ref="E378"/>
    <hyperlink r:id="rId782" ref="B379"/>
    <hyperlink r:id="rId783" ref="E379"/>
    <hyperlink r:id="rId784" ref="B380"/>
    <hyperlink r:id="rId785" ref="E380"/>
    <hyperlink r:id="rId786" ref="B381"/>
    <hyperlink r:id="rId787" ref="E381"/>
    <hyperlink r:id="rId788" ref="B382"/>
    <hyperlink r:id="rId789" ref="E382"/>
    <hyperlink r:id="rId790" ref="B383"/>
    <hyperlink r:id="rId791" ref="E383"/>
    <hyperlink r:id="rId792" ref="B384"/>
    <hyperlink r:id="rId793" ref="E384"/>
    <hyperlink r:id="rId794" ref="B385"/>
    <hyperlink r:id="rId795" ref="E385"/>
    <hyperlink r:id="rId796" ref="B386"/>
    <hyperlink r:id="rId797" ref="E386"/>
    <hyperlink r:id="rId798" ref="B387"/>
    <hyperlink r:id="rId799" ref="E387"/>
    <hyperlink r:id="rId800" ref="B388"/>
    <hyperlink r:id="rId801" ref="E388"/>
    <hyperlink r:id="rId802" ref="B389"/>
    <hyperlink r:id="rId803" ref="E389"/>
    <hyperlink r:id="rId804" ref="B390"/>
    <hyperlink r:id="rId805" ref="E390"/>
    <hyperlink r:id="rId806" ref="B391"/>
    <hyperlink r:id="rId807" ref="E391"/>
    <hyperlink r:id="rId808" ref="B392"/>
    <hyperlink r:id="rId809" ref="E392"/>
    <hyperlink r:id="rId810" ref="B393"/>
    <hyperlink r:id="rId811" ref="E393"/>
    <hyperlink r:id="rId812" ref="B394"/>
    <hyperlink r:id="rId813" ref="E394"/>
    <hyperlink r:id="rId814" ref="B395"/>
    <hyperlink r:id="rId815" ref="E395"/>
    <hyperlink r:id="rId816" ref="B396"/>
    <hyperlink r:id="rId817" ref="E396"/>
    <hyperlink r:id="rId818" ref="B397"/>
    <hyperlink r:id="rId819" ref="E397"/>
    <hyperlink r:id="rId820" ref="B398"/>
    <hyperlink r:id="rId821" ref="E398"/>
    <hyperlink r:id="rId822" ref="B399"/>
    <hyperlink r:id="rId823" ref="E399"/>
    <hyperlink r:id="rId824" ref="B400"/>
    <hyperlink r:id="rId825" ref="E400"/>
    <hyperlink r:id="rId826" ref="B401"/>
    <hyperlink r:id="rId827" ref="E401"/>
    <hyperlink r:id="rId828" ref="B402"/>
    <hyperlink r:id="rId829" ref="E402"/>
    <hyperlink r:id="rId830" ref="B403"/>
    <hyperlink r:id="rId831" ref="E403"/>
    <hyperlink r:id="rId832" ref="B404"/>
    <hyperlink r:id="rId833" ref="E404"/>
    <hyperlink r:id="rId834" ref="B405"/>
    <hyperlink r:id="rId835" ref="E405"/>
    <hyperlink r:id="rId836" ref="B406"/>
    <hyperlink r:id="rId837" ref="E406"/>
    <hyperlink r:id="rId838" ref="B407"/>
    <hyperlink r:id="rId839" ref="E407"/>
    <hyperlink r:id="rId840" ref="B408"/>
    <hyperlink r:id="rId841" ref="E408"/>
    <hyperlink r:id="rId842" ref="B409"/>
    <hyperlink r:id="rId843" ref="E409"/>
    <hyperlink r:id="rId844" ref="B410"/>
    <hyperlink r:id="rId845" ref="E410"/>
    <hyperlink r:id="rId846" ref="B411"/>
    <hyperlink r:id="rId847" ref="E411"/>
    <hyperlink r:id="rId848" ref="B412"/>
    <hyperlink r:id="rId849" ref="E412"/>
    <hyperlink r:id="rId850" ref="B413"/>
    <hyperlink r:id="rId851" ref="E413"/>
    <hyperlink r:id="rId852" ref="B414"/>
    <hyperlink r:id="rId853" ref="E414"/>
    <hyperlink r:id="rId854" ref="B415"/>
    <hyperlink r:id="rId855" ref="E415"/>
    <hyperlink r:id="rId856" ref="B416"/>
    <hyperlink r:id="rId857" ref="E416"/>
    <hyperlink r:id="rId858" ref="B417"/>
    <hyperlink r:id="rId859" ref="E417"/>
    <hyperlink r:id="rId860" ref="B418"/>
    <hyperlink r:id="rId861" ref="E418"/>
    <hyperlink r:id="rId862" ref="B419"/>
    <hyperlink r:id="rId863" ref="E419"/>
    <hyperlink r:id="rId864" ref="B420"/>
    <hyperlink r:id="rId865" ref="E420"/>
    <hyperlink r:id="rId866" ref="B421"/>
    <hyperlink r:id="rId867" ref="E421"/>
    <hyperlink r:id="rId868" ref="B422"/>
    <hyperlink r:id="rId869" ref="E422"/>
    <hyperlink r:id="rId870" ref="B423"/>
    <hyperlink r:id="rId871" ref="E423"/>
    <hyperlink r:id="rId872" ref="B424"/>
    <hyperlink r:id="rId873" ref="E424"/>
    <hyperlink r:id="rId874" ref="B425"/>
    <hyperlink r:id="rId875" ref="E425"/>
    <hyperlink r:id="rId876" ref="B426"/>
    <hyperlink r:id="rId877" ref="E426"/>
    <hyperlink r:id="rId878" ref="B427"/>
    <hyperlink r:id="rId879" ref="E427"/>
    <hyperlink r:id="rId880" ref="B428"/>
    <hyperlink r:id="rId881" ref="E428"/>
    <hyperlink r:id="rId882" ref="B429"/>
    <hyperlink r:id="rId883" ref="E429"/>
    <hyperlink r:id="rId884" ref="B430"/>
    <hyperlink r:id="rId885" ref="E430"/>
    <hyperlink r:id="rId886" ref="B431"/>
    <hyperlink r:id="rId887" ref="E431"/>
    <hyperlink r:id="rId888" ref="B432"/>
    <hyperlink r:id="rId889" ref="E432"/>
    <hyperlink r:id="rId890" ref="B433"/>
    <hyperlink r:id="rId891" ref="E433"/>
    <hyperlink r:id="rId892" ref="B434"/>
    <hyperlink r:id="rId893" ref="E434"/>
    <hyperlink r:id="rId894" ref="B435"/>
    <hyperlink r:id="rId895" ref="E435"/>
    <hyperlink r:id="rId896" ref="B436"/>
    <hyperlink r:id="rId897" ref="E436"/>
    <hyperlink r:id="rId898" ref="B437"/>
    <hyperlink r:id="rId899" ref="E437"/>
    <hyperlink r:id="rId900" ref="B438"/>
    <hyperlink r:id="rId901" ref="E438"/>
    <hyperlink r:id="rId902" ref="B439"/>
    <hyperlink r:id="rId903" ref="E439"/>
    <hyperlink r:id="rId904" ref="B440"/>
    <hyperlink r:id="rId905" ref="E440"/>
    <hyperlink r:id="rId906" ref="B441"/>
    <hyperlink r:id="rId907" ref="E441"/>
    <hyperlink r:id="rId908" ref="B442"/>
    <hyperlink r:id="rId909" ref="E442"/>
    <hyperlink r:id="rId910" ref="B443"/>
    <hyperlink r:id="rId911" ref="E443"/>
    <hyperlink r:id="rId912" ref="B444"/>
    <hyperlink r:id="rId913" ref="E444"/>
    <hyperlink r:id="rId914" ref="B445"/>
    <hyperlink r:id="rId915" ref="B446"/>
    <hyperlink r:id="rId916" ref="E446"/>
    <hyperlink r:id="rId917" ref="B447"/>
    <hyperlink r:id="rId918" ref="E447"/>
    <hyperlink r:id="rId919" ref="B448"/>
    <hyperlink r:id="rId920" ref="E448"/>
    <hyperlink r:id="rId921" ref="B449"/>
    <hyperlink r:id="rId922" ref="E449"/>
    <hyperlink r:id="rId923" ref="B450"/>
    <hyperlink r:id="rId924" ref="E450"/>
    <hyperlink r:id="rId925" ref="B451"/>
    <hyperlink r:id="rId926" ref="E451"/>
    <hyperlink r:id="rId927" ref="B452"/>
    <hyperlink r:id="rId928" ref="E452"/>
    <hyperlink r:id="rId929" ref="B453"/>
    <hyperlink r:id="rId930" ref="E453"/>
    <hyperlink r:id="rId931" ref="B454"/>
    <hyperlink r:id="rId932" ref="E454"/>
    <hyperlink r:id="rId933" ref="B455"/>
    <hyperlink r:id="rId934" ref="E455"/>
    <hyperlink r:id="rId935" ref="B456"/>
    <hyperlink r:id="rId936" ref="E456"/>
    <hyperlink r:id="rId937" ref="B457"/>
    <hyperlink r:id="rId938" ref="E457"/>
    <hyperlink r:id="rId939" ref="B458"/>
    <hyperlink r:id="rId940" ref="E458"/>
    <hyperlink r:id="rId941" ref="B459"/>
    <hyperlink r:id="rId942" ref="E459"/>
    <hyperlink r:id="rId943" ref="B460"/>
    <hyperlink r:id="rId944" ref="E460"/>
    <hyperlink r:id="rId945" ref="B461"/>
    <hyperlink r:id="rId946" ref="E461"/>
    <hyperlink r:id="rId947" ref="B462"/>
    <hyperlink r:id="rId948" ref="E462"/>
    <hyperlink r:id="rId949" ref="B463"/>
    <hyperlink r:id="rId950" ref="E463"/>
    <hyperlink r:id="rId951" ref="B464"/>
    <hyperlink r:id="rId952" ref="E464"/>
    <hyperlink r:id="rId953" ref="B465"/>
    <hyperlink r:id="rId954" ref="E465"/>
    <hyperlink r:id="rId955" ref="B466"/>
    <hyperlink r:id="rId956" ref="E466"/>
    <hyperlink r:id="rId957" ref="B467"/>
    <hyperlink r:id="rId958" ref="E467"/>
    <hyperlink r:id="rId959" ref="B468"/>
    <hyperlink r:id="rId960" ref="E468"/>
    <hyperlink r:id="rId961" ref="B469"/>
    <hyperlink r:id="rId962" ref="E469"/>
    <hyperlink r:id="rId963" ref="B470"/>
    <hyperlink r:id="rId964" ref="E470"/>
    <hyperlink r:id="rId965" ref="B471"/>
    <hyperlink r:id="rId966" ref="E471"/>
    <hyperlink r:id="rId967" ref="B472"/>
    <hyperlink r:id="rId968" ref="E472"/>
    <hyperlink r:id="rId969" ref="B473"/>
    <hyperlink r:id="rId970" ref="E473"/>
    <hyperlink r:id="rId971" ref="B474"/>
    <hyperlink r:id="rId972" ref="E474"/>
    <hyperlink r:id="rId973" ref="B475"/>
    <hyperlink r:id="rId974" ref="E475"/>
    <hyperlink r:id="rId975" ref="B476"/>
    <hyperlink r:id="rId976" ref="E476"/>
    <hyperlink r:id="rId977" ref="B477"/>
    <hyperlink r:id="rId978" ref="E477"/>
    <hyperlink r:id="rId979" ref="B478"/>
    <hyperlink r:id="rId980" ref="E478"/>
    <hyperlink r:id="rId981" ref="B479"/>
    <hyperlink r:id="rId982" ref="E479"/>
    <hyperlink r:id="rId983" ref="B480"/>
    <hyperlink r:id="rId984" ref="E480"/>
    <hyperlink r:id="rId985" ref="B481"/>
    <hyperlink r:id="rId986" ref="E481"/>
    <hyperlink r:id="rId987" ref="B482"/>
    <hyperlink r:id="rId988" ref="E482"/>
    <hyperlink r:id="rId989" ref="B483"/>
    <hyperlink r:id="rId990" ref="E483"/>
    <hyperlink r:id="rId991" ref="B484"/>
    <hyperlink r:id="rId992" ref="E484"/>
    <hyperlink r:id="rId993" ref="B485"/>
    <hyperlink r:id="rId994" ref="E485"/>
    <hyperlink r:id="rId995" ref="B486"/>
    <hyperlink r:id="rId996" ref="E486"/>
    <hyperlink r:id="rId997" ref="B487"/>
    <hyperlink r:id="rId998" ref="E487"/>
    <hyperlink r:id="rId999" ref="B488"/>
    <hyperlink r:id="rId1000" ref="E488"/>
    <hyperlink r:id="rId1001" ref="B489"/>
    <hyperlink r:id="rId1002" ref="E489"/>
    <hyperlink r:id="rId1003" ref="B490"/>
    <hyperlink r:id="rId1004" ref="E490"/>
    <hyperlink r:id="rId1005" ref="B491"/>
    <hyperlink r:id="rId1006" ref="E491"/>
    <hyperlink r:id="rId1007" ref="B492"/>
    <hyperlink r:id="rId1008" ref="E492"/>
    <hyperlink r:id="rId1009" ref="B493"/>
    <hyperlink r:id="rId1010" ref="E493"/>
    <hyperlink r:id="rId1011" ref="B494"/>
    <hyperlink r:id="rId1012" ref="E494"/>
    <hyperlink r:id="rId1013" ref="B495"/>
    <hyperlink r:id="rId1014" ref="E495"/>
    <hyperlink r:id="rId1015" ref="B496"/>
    <hyperlink r:id="rId1016" ref="E496"/>
    <hyperlink r:id="rId1017" ref="B497"/>
    <hyperlink r:id="rId1018" ref="E497"/>
    <hyperlink r:id="rId1019" ref="B498"/>
    <hyperlink r:id="rId1020" ref="E498"/>
    <hyperlink r:id="rId1021" ref="B499"/>
    <hyperlink r:id="rId1022" ref="E499"/>
    <hyperlink r:id="rId1023" ref="B500"/>
    <hyperlink r:id="rId1024" ref="E500"/>
    <hyperlink r:id="rId1025" ref="B501"/>
    <hyperlink r:id="rId1026" ref="E501"/>
    <hyperlink r:id="rId1027" ref="B502"/>
    <hyperlink r:id="rId1028" ref="E502"/>
    <hyperlink r:id="rId1029" ref="B503"/>
    <hyperlink r:id="rId1030" ref="E503"/>
    <hyperlink r:id="rId1031" ref="B504"/>
    <hyperlink r:id="rId1032" ref="E504"/>
    <hyperlink r:id="rId1033" ref="B505"/>
    <hyperlink r:id="rId1034" ref="E505"/>
    <hyperlink r:id="rId1035" ref="B506"/>
    <hyperlink r:id="rId1036" ref="E506"/>
    <hyperlink r:id="rId1037" ref="B507"/>
    <hyperlink r:id="rId1038" ref="E507"/>
    <hyperlink r:id="rId1039" ref="B508"/>
    <hyperlink r:id="rId1040" ref="E508"/>
    <hyperlink r:id="rId1041" ref="B509"/>
    <hyperlink r:id="rId1042" ref="E509"/>
    <hyperlink r:id="rId1043" ref="B510"/>
    <hyperlink r:id="rId1044" ref="E510"/>
    <hyperlink r:id="rId1045" ref="B511"/>
    <hyperlink r:id="rId1046" ref="E511"/>
    <hyperlink r:id="rId1047" ref="B512"/>
    <hyperlink r:id="rId1048" ref="E512"/>
    <hyperlink r:id="rId1049" ref="B513"/>
    <hyperlink r:id="rId1050" ref="E513"/>
    <hyperlink r:id="rId1051" ref="B514"/>
    <hyperlink r:id="rId1052" ref="E514"/>
    <hyperlink r:id="rId1053" ref="B515"/>
    <hyperlink r:id="rId1054" ref="E515"/>
    <hyperlink r:id="rId1055" ref="B516"/>
    <hyperlink r:id="rId1056" ref="E516"/>
    <hyperlink r:id="rId1057" ref="B517"/>
    <hyperlink r:id="rId1058" ref="E517"/>
    <hyperlink r:id="rId1059" ref="B518"/>
    <hyperlink r:id="rId1060" ref="E518"/>
    <hyperlink r:id="rId1061" ref="B519"/>
    <hyperlink r:id="rId1062" ref="E519"/>
    <hyperlink r:id="rId1063" ref="B520"/>
    <hyperlink r:id="rId1064" ref="E520"/>
    <hyperlink r:id="rId1065" ref="B521"/>
    <hyperlink r:id="rId1066" ref="E521"/>
    <hyperlink r:id="rId1067" ref="B522"/>
    <hyperlink r:id="rId1068" ref="E522"/>
    <hyperlink r:id="rId1069" ref="B523"/>
    <hyperlink r:id="rId1070" ref="E523"/>
    <hyperlink r:id="rId1071" ref="B524"/>
    <hyperlink r:id="rId1072" ref="E524"/>
    <hyperlink r:id="rId1073" ref="B525"/>
    <hyperlink r:id="rId1074" ref="E525"/>
    <hyperlink r:id="rId1075" ref="B526"/>
    <hyperlink r:id="rId1076" ref="E526"/>
    <hyperlink r:id="rId1077" ref="B527"/>
    <hyperlink r:id="rId1078" ref="E527"/>
    <hyperlink r:id="rId1079" ref="B528"/>
    <hyperlink r:id="rId1080" ref="E528"/>
    <hyperlink r:id="rId1081" ref="B529"/>
    <hyperlink r:id="rId1082" ref="E529"/>
    <hyperlink r:id="rId1083" ref="B530"/>
    <hyperlink r:id="rId1084" ref="E530"/>
    <hyperlink r:id="rId1085" ref="B531"/>
    <hyperlink r:id="rId1086" ref="E531"/>
    <hyperlink r:id="rId1087" ref="B532"/>
    <hyperlink r:id="rId1088" ref="E532"/>
    <hyperlink r:id="rId1089" ref="B533"/>
    <hyperlink r:id="rId1090" ref="E533"/>
    <hyperlink r:id="rId1091" ref="B534"/>
    <hyperlink r:id="rId1092" ref="E534"/>
    <hyperlink r:id="rId1093" ref="B535"/>
    <hyperlink r:id="rId1094" ref="E535"/>
    <hyperlink r:id="rId1095" ref="B536"/>
    <hyperlink r:id="rId1096" ref="E536"/>
    <hyperlink r:id="rId1097" ref="B537"/>
    <hyperlink r:id="rId1098" ref="E537"/>
    <hyperlink r:id="rId1099" ref="B538"/>
    <hyperlink r:id="rId1100" ref="E538"/>
    <hyperlink r:id="rId1101" ref="B539"/>
    <hyperlink r:id="rId1102" ref="E539"/>
    <hyperlink r:id="rId1103" ref="B540"/>
    <hyperlink r:id="rId1104" ref="E540"/>
    <hyperlink r:id="rId1105" ref="B541"/>
    <hyperlink r:id="rId1106" ref="E541"/>
    <hyperlink r:id="rId1107" ref="B542"/>
    <hyperlink r:id="rId1108" ref="E542"/>
    <hyperlink r:id="rId1109" ref="B543"/>
    <hyperlink r:id="rId1110" ref="E543"/>
    <hyperlink r:id="rId1111" ref="B544"/>
    <hyperlink r:id="rId1112" ref="E544"/>
    <hyperlink r:id="rId1113" ref="B545"/>
    <hyperlink r:id="rId1114" ref="E545"/>
    <hyperlink r:id="rId1115" ref="B546"/>
    <hyperlink r:id="rId1116" ref="E546"/>
    <hyperlink r:id="rId1117" ref="B547"/>
    <hyperlink r:id="rId1118" ref="E547"/>
    <hyperlink r:id="rId1119" ref="B548"/>
    <hyperlink r:id="rId1120" ref="E548"/>
    <hyperlink r:id="rId1121" ref="B549"/>
    <hyperlink r:id="rId1122" ref="E549"/>
    <hyperlink r:id="rId1123" ref="B550"/>
    <hyperlink r:id="rId1124" ref="E550"/>
    <hyperlink r:id="rId1125" ref="B551"/>
    <hyperlink r:id="rId1126" ref="E551"/>
    <hyperlink r:id="rId1127" ref="B552"/>
    <hyperlink r:id="rId1128" ref="E552"/>
    <hyperlink r:id="rId1129" ref="B553"/>
    <hyperlink r:id="rId1130" ref="E553"/>
    <hyperlink r:id="rId1131" ref="B554"/>
    <hyperlink r:id="rId1132" ref="E554"/>
    <hyperlink r:id="rId1133" ref="B555"/>
    <hyperlink r:id="rId1134" ref="E555"/>
    <hyperlink r:id="rId1135" ref="B556"/>
    <hyperlink r:id="rId1136" ref="E556"/>
    <hyperlink r:id="rId1137" ref="B557"/>
    <hyperlink r:id="rId1138" ref="E557"/>
    <hyperlink r:id="rId1139" ref="B558"/>
    <hyperlink r:id="rId1140" ref="E558"/>
    <hyperlink r:id="rId1141" ref="B559"/>
    <hyperlink r:id="rId1142" ref="E559"/>
    <hyperlink r:id="rId1143" ref="B560"/>
    <hyperlink r:id="rId1144" ref="E560"/>
    <hyperlink r:id="rId1145" ref="B561"/>
    <hyperlink r:id="rId1146" ref="E561"/>
    <hyperlink r:id="rId1147" ref="B562"/>
    <hyperlink r:id="rId1148" ref="E562"/>
    <hyperlink r:id="rId1149" ref="B563"/>
    <hyperlink r:id="rId1150" ref="E563"/>
    <hyperlink r:id="rId1151" ref="B564"/>
    <hyperlink r:id="rId1152" ref="E564"/>
    <hyperlink r:id="rId1153" ref="B565"/>
    <hyperlink r:id="rId1154" ref="E565"/>
    <hyperlink r:id="rId1155" ref="B566"/>
    <hyperlink r:id="rId1156" ref="E566"/>
    <hyperlink r:id="rId1157" ref="B567"/>
    <hyperlink r:id="rId1158" ref="E567"/>
    <hyperlink r:id="rId1159" ref="B568"/>
    <hyperlink r:id="rId1160" ref="E568"/>
    <hyperlink r:id="rId1161" ref="B569"/>
    <hyperlink r:id="rId1162" ref="E569"/>
    <hyperlink r:id="rId1163" ref="B570"/>
    <hyperlink r:id="rId1164" ref="E570"/>
    <hyperlink r:id="rId1165" ref="B571"/>
    <hyperlink r:id="rId1166" ref="E571"/>
    <hyperlink r:id="rId1167" ref="B572"/>
    <hyperlink r:id="rId1168" ref="E572"/>
    <hyperlink r:id="rId1169" ref="B573"/>
    <hyperlink r:id="rId1170" ref="E573"/>
    <hyperlink r:id="rId1171" ref="B574"/>
    <hyperlink r:id="rId1172" ref="E574"/>
    <hyperlink r:id="rId1173" ref="B575"/>
    <hyperlink r:id="rId1174" ref="E575"/>
    <hyperlink r:id="rId1175" ref="B576"/>
    <hyperlink r:id="rId1176" ref="B577"/>
    <hyperlink r:id="rId1177" ref="E577"/>
    <hyperlink r:id="rId1178" ref="B578"/>
    <hyperlink r:id="rId1179" ref="E578"/>
    <hyperlink r:id="rId1180" ref="B579"/>
    <hyperlink r:id="rId1181" ref="B580"/>
    <hyperlink r:id="rId1182" ref="E580"/>
    <hyperlink r:id="rId1183" ref="B581"/>
    <hyperlink r:id="rId1184" ref="E581"/>
    <hyperlink r:id="rId1185" ref="B582"/>
    <hyperlink r:id="rId1186" ref="E582"/>
    <hyperlink r:id="rId1187" ref="B583"/>
    <hyperlink r:id="rId1188" ref="B584"/>
    <hyperlink r:id="rId1189" ref="E584"/>
    <hyperlink r:id="rId1190" ref="B585"/>
    <hyperlink r:id="rId1191" ref="E585"/>
    <hyperlink r:id="rId1192" ref="B586"/>
    <hyperlink r:id="rId1193" ref="E586"/>
    <hyperlink r:id="rId1194" ref="B587"/>
    <hyperlink r:id="rId1195" ref="E587"/>
    <hyperlink r:id="rId1196" ref="B588"/>
    <hyperlink r:id="rId1197" ref="E588"/>
    <hyperlink r:id="rId1198" ref="B589"/>
    <hyperlink r:id="rId1199" ref="B590"/>
    <hyperlink r:id="rId1200" ref="E590"/>
    <hyperlink r:id="rId1201" ref="B591"/>
    <hyperlink r:id="rId1202" ref="E591"/>
    <hyperlink r:id="rId1203" ref="B592"/>
    <hyperlink r:id="rId1204" ref="E592"/>
    <hyperlink r:id="rId1205" ref="B593"/>
    <hyperlink r:id="rId1206" ref="E593"/>
    <hyperlink r:id="rId1207" ref="B594"/>
    <hyperlink r:id="rId1208" ref="E594"/>
    <hyperlink r:id="rId1209" ref="B595"/>
    <hyperlink r:id="rId1210" ref="E595"/>
    <hyperlink r:id="rId1211" ref="B596"/>
    <hyperlink r:id="rId1212" ref="E596"/>
    <hyperlink r:id="rId1213" ref="B597"/>
    <hyperlink r:id="rId1214" ref="E597"/>
    <hyperlink r:id="rId1215" ref="B598"/>
    <hyperlink r:id="rId1216" ref="E598"/>
    <hyperlink r:id="rId1217" ref="B599"/>
    <hyperlink r:id="rId1218" ref="E599"/>
    <hyperlink r:id="rId1219" ref="B600"/>
    <hyperlink r:id="rId1220" ref="E600"/>
    <hyperlink r:id="rId1221" ref="B601"/>
    <hyperlink r:id="rId1222" ref="E601"/>
    <hyperlink r:id="rId1223" ref="B602"/>
    <hyperlink r:id="rId1224" ref="E602"/>
    <hyperlink r:id="rId1225" ref="B603"/>
    <hyperlink r:id="rId1226" ref="E603"/>
    <hyperlink r:id="rId1227" ref="B604"/>
    <hyperlink r:id="rId1228" ref="E604"/>
    <hyperlink r:id="rId1229" ref="B605"/>
    <hyperlink r:id="rId1230" ref="E605"/>
    <hyperlink r:id="rId1231" ref="B606"/>
    <hyperlink r:id="rId1232" ref="E606"/>
    <hyperlink r:id="rId1233" ref="B607"/>
    <hyperlink r:id="rId1234" ref="E607"/>
    <hyperlink r:id="rId1235" ref="B608"/>
    <hyperlink r:id="rId1236" ref="E608"/>
    <hyperlink r:id="rId1237" ref="B609"/>
    <hyperlink r:id="rId1238" ref="E609"/>
    <hyperlink r:id="rId1239" ref="B610"/>
    <hyperlink r:id="rId1240" ref="E610"/>
    <hyperlink r:id="rId1241" ref="B611"/>
    <hyperlink r:id="rId1242" ref="E611"/>
    <hyperlink r:id="rId1243" ref="B612"/>
    <hyperlink r:id="rId1244" ref="E612"/>
    <hyperlink r:id="rId1245" ref="B613"/>
    <hyperlink r:id="rId1246" ref="E613"/>
    <hyperlink r:id="rId1247" ref="B614"/>
    <hyperlink r:id="rId1248" ref="E614"/>
    <hyperlink r:id="rId1249" ref="B615"/>
    <hyperlink r:id="rId1250" ref="E615"/>
    <hyperlink r:id="rId1251" ref="B616"/>
    <hyperlink r:id="rId1252" ref="E616"/>
    <hyperlink r:id="rId1253" ref="B617"/>
    <hyperlink r:id="rId1254" ref="E617"/>
    <hyperlink r:id="rId1255" ref="B618"/>
    <hyperlink r:id="rId1256" ref="E618"/>
    <hyperlink r:id="rId1257" ref="B619"/>
    <hyperlink r:id="rId1258" ref="E619"/>
    <hyperlink r:id="rId1259" ref="B620"/>
    <hyperlink r:id="rId1260" ref="E620"/>
    <hyperlink r:id="rId1261" ref="B621"/>
    <hyperlink r:id="rId1262" ref="E621"/>
    <hyperlink r:id="rId1263" ref="B622"/>
    <hyperlink r:id="rId1264" ref="E622"/>
    <hyperlink r:id="rId1265" ref="B623"/>
    <hyperlink r:id="rId1266" ref="E623"/>
    <hyperlink r:id="rId1267" ref="B624"/>
    <hyperlink r:id="rId1268" ref="E624"/>
    <hyperlink r:id="rId1269" ref="B625"/>
    <hyperlink r:id="rId1270" ref="E625"/>
    <hyperlink r:id="rId1271" ref="B626"/>
    <hyperlink r:id="rId1272" ref="E626"/>
    <hyperlink r:id="rId1273" ref="B627"/>
    <hyperlink r:id="rId1274" ref="E627"/>
    <hyperlink r:id="rId1275" ref="B628"/>
    <hyperlink r:id="rId1276" ref="E628"/>
    <hyperlink r:id="rId1277" ref="B629"/>
    <hyperlink r:id="rId1278" ref="E629"/>
    <hyperlink r:id="rId1279" ref="B630"/>
    <hyperlink r:id="rId1280" ref="E630"/>
    <hyperlink r:id="rId1281" ref="B631"/>
    <hyperlink r:id="rId1282" ref="E631"/>
    <hyperlink r:id="rId1283" ref="B632"/>
    <hyperlink r:id="rId1284" ref="E632"/>
    <hyperlink r:id="rId1285" ref="B633"/>
    <hyperlink r:id="rId1286" ref="E633"/>
    <hyperlink r:id="rId1287" ref="B634"/>
    <hyperlink r:id="rId1288" ref="E634"/>
    <hyperlink r:id="rId1289" ref="B635"/>
    <hyperlink r:id="rId1290" ref="E635"/>
    <hyperlink r:id="rId1291" ref="B636"/>
    <hyperlink r:id="rId1292" ref="E636"/>
    <hyperlink r:id="rId1293" ref="B637"/>
    <hyperlink r:id="rId1294" ref="E637"/>
    <hyperlink r:id="rId1295" ref="B638"/>
    <hyperlink r:id="rId1296" ref="E638"/>
    <hyperlink r:id="rId1297" ref="B639"/>
    <hyperlink r:id="rId1298" ref="E639"/>
    <hyperlink r:id="rId1299" ref="B640"/>
    <hyperlink r:id="rId1300" ref="E640"/>
    <hyperlink r:id="rId1301" ref="B641"/>
    <hyperlink r:id="rId1302" ref="E641"/>
    <hyperlink r:id="rId1303" ref="B642"/>
    <hyperlink r:id="rId1304" ref="E642"/>
    <hyperlink r:id="rId1305" ref="B643"/>
    <hyperlink r:id="rId1306" ref="E643"/>
    <hyperlink r:id="rId1307" ref="B644"/>
    <hyperlink r:id="rId1308" ref="E644"/>
    <hyperlink r:id="rId1309" ref="B645"/>
    <hyperlink r:id="rId1310" ref="E645"/>
    <hyperlink r:id="rId1311" ref="B646"/>
    <hyperlink r:id="rId1312" ref="E646"/>
    <hyperlink r:id="rId1313" ref="B647"/>
    <hyperlink r:id="rId1314" ref="E647"/>
    <hyperlink r:id="rId1315" ref="B648"/>
    <hyperlink r:id="rId1316" ref="E648"/>
    <hyperlink r:id="rId1317" ref="B649"/>
    <hyperlink r:id="rId1318" ref="E649"/>
    <hyperlink r:id="rId1319" ref="B650"/>
    <hyperlink r:id="rId1320" ref="E650"/>
    <hyperlink r:id="rId1321" ref="B651"/>
    <hyperlink r:id="rId1322" ref="E651"/>
    <hyperlink r:id="rId1323" ref="B652"/>
    <hyperlink r:id="rId1324" ref="E652"/>
    <hyperlink r:id="rId1325" ref="B653"/>
    <hyperlink r:id="rId1326" ref="E653"/>
    <hyperlink r:id="rId1327" ref="B654"/>
    <hyperlink r:id="rId1328" ref="E654"/>
    <hyperlink r:id="rId1329" ref="B655"/>
    <hyperlink r:id="rId1330" ref="E655"/>
    <hyperlink r:id="rId1331" ref="B656"/>
    <hyperlink r:id="rId1332" ref="E656"/>
    <hyperlink r:id="rId1333" ref="B657"/>
    <hyperlink r:id="rId1334" ref="E657"/>
    <hyperlink r:id="rId1335" ref="B658"/>
    <hyperlink r:id="rId1336" ref="E658"/>
    <hyperlink r:id="rId1337" ref="B659"/>
    <hyperlink r:id="rId1338" ref="E659"/>
    <hyperlink r:id="rId1339" ref="B660"/>
    <hyperlink r:id="rId1340" ref="E660"/>
    <hyperlink r:id="rId1341" ref="B661"/>
    <hyperlink r:id="rId1342" ref="E661"/>
    <hyperlink r:id="rId1343" ref="B662"/>
    <hyperlink r:id="rId1344" ref="E662"/>
    <hyperlink r:id="rId1345" ref="B663"/>
    <hyperlink r:id="rId1346" ref="E663"/>
    <hyperlink r:id="rId1347" ref="B664"/>
    <hyperlink r:id="rId1348" ref="E664"/>
    <hyperlink r:id="rId1349" ref="B665"/>
    <hyperlink r:id="rId1350" ref="E665"/>
    <hyperlink r:id="rId1351" ref="B666"/>
    <hyperlink r:id="rId1352" ref="E666"/>
    <hyperlink r:id="rId1353" ref="B667"/>
    <hyperlink r:id="rId1354" ref="E667"/>
    <hyperlink r:id="rId1355" ref="B668"/>
    <hyperlink r:id="rId1356" ref="E668"/>
    <hyperlink r:id="rId1357" ref="B669"/>
    <hyperlink r:id="rId1358" ref="B670"/>
    <hyperlink r:id="rId1359" ref="E670"/>
    <hyperlink r:id="rId1360" ref="B671"/>
    <hyperlink r:id="rId1361" ref="E671"/>
    <hyperlink r:id="rId1362" ref="B672"/>
    <hyperlink r:id="rId1363" ref="E672"/>
    <hyperlink r:id="rId1364" ref="B673"/>
    <hyperlink r:id="rId1365" ref="E673"/>
    <hyperlink r:id="rId1366" ref="B674"/>
    <hyperlink r:id="rId1367" ref="E674"/>
    <hyperlink r:id="rId1368" ref="B675"/>
    <hyperlink r:id="rId1369" ref="E675"/>
    <hyperlink r:id="rId1370" ref="B676"/>
    <hyperlink r:id="rId1371" ref="E676"/>
    <hyperlink r:id="rId1372" ref="B677"/>
    <hyperlink r:id="rId1373" ref="E677"/>
    <hyperlink r:id="rId1374" ref="B678"/>
    <hyperlink r:id="rId1375" ref="E678"/>
    <hyperlink r:id="rId1376" ref="B679"/>
    <hyperlink r:id="rId1377" ref="E679"/>
    <hyperlink r:id="rId1378" ref="B680"/>
    <hyperlink r:id="rId1379" ref="E680"/>
    <hyperlink r:id="rId1380" ref="B681"/>
    <hyperlink r:id="rId1381" ref="E681"/>
    <hyperlink r:id="rId1382" ref="B682"/>
    <hyperlink r:id="rId1383" ref="E682"/>
    <hyperlink r:id="rId1384" ref="B683"/>
    <hyperlink r:id="rId1385" ref="E683"/>
    <hyperlink r:id="rId1386" ref="B684"/>
    <hyperlink r:id="rId1387" ref="E684"/>
    <hyperlink r:id="rId1388" ref="B685"/>
    <hyperlink r:id="rId1389" ref="E685"/>
    <hyperlink r:id="rId1390" ref="B686"/>
    <hyperlink r:id="rId1391" ref="E686"/>
    <hyperlink r:id="rId1392" location=":~:text=Up%20Analytics%20consist%20of%20a,for%20work%20in%20Attribution%20Marketing" ref="B687"/>
    <hyperlink r:id="rId1393" ref="E687"/>
    <hyperlink r:id="rId1394" ref="B688"/>
    <hyperlink r:id="rId1395" ref="E688"/>
    <hyperlink r:id="rId1396" ref="B689"/>
    <hyperlink r:id="rId1397" ref="E689"/>
    <hyperlink r:id="rId1398" ref="B690"/>
    <hyperlink r:id="rId1399" ref="E690"/>
    <hyperlink r:id="rId1400" ref="B691"/>
    <hyperlink r:id="rId1401" ref="E691"/>
    <hyperlink r:id="rId1402" ref="B692"/>
    <hyperlink r:id="rId1403" ref="E692"/>
    <hyperlink r:id="rId1404" ref="B693"/>
    <hyperlink r:id="rId1405" ref="E693"/>
    <hyperlink r:id="rId1406" ref="B694"/>
    <hyperlink r:id="rId1407" ref="E694"/>
    <hyperlink r:id="rId1408" ref="B695"/>
    <hyperlink r:id="rId1409" ref="E695"/>
    <hyperlink r:id="rId1410" ref="B696"/>
    <hyperlink r:id="rId1411" ref="E696"/>
    <hyperlink r:id="rId1412" ref="B697"/>
    <hyperlink r:id="rId1413" ref="E697"/>
    <hyperlink r:id="rId1414" ref="B698"/>
    <hyperlink r:id="rId1415" ref="E698"/>
    <hyperlink r:id="rId1416" ref="B699"/>
    <hyperlink r:id="rId1417" ref="E699"/>
    <hyperlink r:id="rId1418" ref="B700"/>
    <hyperlink r:id="rId1419" ref="E700"/>
    <hyperlink r:id="rId1420" ref="B701"/>
    <hyperlink r:id="rId1421" ref="E701"/>
    <hyperlink r:id="rId1422" ref="B702"/>
    <hyperlink r:id="rId1423" ref="E702"/>
    <hyperlink r:id="rId1424" ref="B703"/>
    <hyperlink r:id="rId1425" ref="E703"/>
    <hyperlink r:id="rId1426" ref="B704"/>
    <hyperlink r:id="rId1427" ref="E704"/>
    <hyperlink r:id="rId1428" ref="B705"/>
    <hyperlink r:id="rId1429" ref="E705"/>
    <hyperlink r:id="rId1430" ref="B706"/>
    <hyperlink r:id="rId1431" ref="E706"/>
    <hyperlink r:id="rId1432" ref="B707"/>
    <hyperlink r:id="rId1433" ref="E707"/>
    <hyperlink r:id="rId1434" ref="B708"/>
    <hyperlink r:id="rId1435" ref="E708"/>
    <hyperlink r:id="rId1436" ref="B709"/>
    <hyperlink r:id="rId1437" ref="E709"/>
    <hyperlink r:id="rId1438" ref="B710"/>
    <hyperlink r:id="rId1439" ref="E710"/>
    <hyperlink r:id="rId1440" ref="B711"/>
    <hyperlink r:id="rId1441" ref="E711"/>
    <hyperlink r:id="rId1442" ref="B712"/>
    <hyperlink r:id="rId1443" ref="E712"/>
    <hyperlink r:id="rId1444" ref="B713"/>
    <hyperlink r:id="rId1445" ref="E713"/>
    <hyperlink r:id="rId1446" ref="B714"/>
    <hyperlink r:id="rId1447" ref="E714"/>
    <hyperlink r:id="rId1448" ref="B715"/>
    <hyperlink r:id="rId1449" ref="E715"/>
    <hyperlink r:id="rId1450" ref="B716"/>
    <hyperlink r:id="rId1451" ref="E716"/>
    <hyperlink r:id="rId1452" ref="B717"/>
    <hyperlink r:id="rId1453" ref="E717"/>
    <hyperlink r:id="rId1454" ref="B718"/>
    <hyperlink r:id="rId1455" ref="E718"/>
    <hyperlink r:id="rId1456" ref="B719"/>
    <hyperlink r:id="rId1457" ref="E719"/>
    <hyperlink r:id="rId1458" ref="B720"/>
    <hyperlink r:id="rId1459" ref="E720"/>
    <hyperlink r:id="rId1460" ref="B721"/>
    <hyperlink r:id="rId1461" ref="E721"/>
    <hyperlink r:id="rId1462" ref="B722"/>
    <hyperlink r:id="rId1463" ref="E722"/>
    <hyperlink r:id="rId1464" ref="B723"/>
    <hyperlink r:id="rId1465" ref="E723"/>
    <hyperlink r:id="rId1466" ref="B724"/>
    <hyperlink r:id="rId1467" ref="E724"/>
    <hyperlink r:id="rId1468" ref="B725"/>
    <hyperlink r:id="rId1469" ref="E725"/>
    <hyperlink r:id="rId1470" ref="B726"/>
    <hyperlink r:id="rId1471" ref="E726"/>
    <hyperlink r:id="rId1472" ref="B727"/>
    <hyperlink r:id="rId1473" ref="E727"/>
    <hyperlink r:id="rId1474" ref="B728"/>
    <hyperlink r:id="rId1475" ref="E728"/>
    <hyperlink r:id="rId1476" ref="B729"/>
    <hyperlink r:id="rId1477" ref="E729"/>
    <hyperlink r:id="rId1478" ref="B730"/>
    <hyperlink r:id="rId1479" ref="E730"/>
    <hyperlink r:id="rId1480" ref="B731"/>
    <hyperlink r:id="rId1481" ref="E731"/>
    <hyperlink r:id="rId1482" ref="B732"/>
    <hyperlink r:id="rId1483" ref="E732"/>
    <hyperlink r:id="rId1484" ref="B733"/>
    <hyperlink r:id="rId1485" ref="E733"/>
    <hyperlink r:id="rId1486" ref="B734"/>
    <hyperlink r:id="rId1487" ref="E734"/>
    <hyperlink r:id="rId1488" ref="B735"/>
    <hyperlink r:id="rId1489" ref="E735"/>
    <hyperlink r:id="rId1490" ref="B736"/>
    <hyperlink r:id="rId1491" ref="E736"/>
    <hyperlink r:id="rId1492" ref="B737"/>
    <hyperlink r:id="rId1493" ref="E737"/>
    <hyperlink r:id="rId1494" ref="B738"/>
    <hyperlink r:id="rId1495" ref="E738"/>
    <hyperlink r:id="rId1496" ref="B739"/>
    <hyperlink r:id="rId1497" ref="E739"/>
    <hyperlink r:id="rId1498" ref="B740"/>
    <hyperlink r:id="rId1499" ref="E740"/>
    <hyperlink r:id="rId1500" ref="B741"/>
    <hyperlink r:id="rId1501" ref="E741"/>
    <hyperlink r:id="rId1502" ref="B742"/>
    <hyperlink r:id="rId1503" ref="E742"/>
    <hyperlink r:id="rId1504" ref="B743"/>
    <hyperlink r:id="rId1505" ref="E743"/>
    <hyperlink r:id="rId1506" ref="B744"/>
    <hyperlink r:id="rId1507" ref="E744"/>
    <hyperlink r:id="rId1508" ref="B745"/>
    <hyperlink r:id="rId1509" ref="E745"/>
    <hyperlink r:id="rId1510" ref="B746"/>
    <hyperlink r:id="rId1511" ref="B747"/>
    <hyperlink r:id="rId1512" ref="B748"/>
    <hyperlink r:id="rId1513" ref="E748"/>
    <hyperlink r:id="rId1514" ref="B749"/>
    <hyperlink r:id="rId1515" ref="E749"/>
    <hyperlink r:id="rId1516" ref="B750"/>
    <hyperlink r:id="rId1517" ref="E750"/>
    <hyperlink r:id="rId1518" ref="B751"/>
    <hyperlink r:id="rId1519" ref="E751"/>
    <hyperlink r:id="rId1520" location=":~:text=Disruptive%20Advertising%20is%20a%20digital,driven%20approaches%20and%20proactive%20communication." ref="B752"/>
    <hyperlink r:id="rId1521" ref="E752"/>
    <hyperlink r:id="rId1522" ref="B753"/>
    <hyperlink r:id="rId1523" ref="E753"/>
    <hyperlink r:id="rId1524" ref="B754"/>
    <hyperlink r:id="rId1525" ref="E754"/>
    <hyperlink r:id="rId1526" ref="B755"/>
    <hyperlink r:id="rId1527" ref="E755"/>
    <hyperlink r:id="rId1528" ref="B756"/>
    <hyperlink r:id="rId1529" ref="E756"/>
    <hyperlink r:id="rId1530" ref="B757"/>
    <hyperlink r:id="rId1531" ref="E757"/>
    <hyperlink r:id="rId1532" ref="B758"/>
    <hyperlink r:id="rId1533" ref="E758"/>
    <hyperlink r:id="rId1534" ref="B759"/>
    <hyperlink r:id="rId1535" ref="E759"/>
    <hyperlink r:id="rId1536" ref="B760"/>
    <hyperlink r:id="rId1537" ref="E760"/>
    <hyperlink r:id="rId1538" ref="B761"/>
    <hyperlink r:id="rId1539" ref="E761"/>
    <hyperlink r:id="rId1540" ref="B762"/>
    <hyperlink r:id="rId1541" ref="E762"/>
    <hyperlink r:id="rId1542" ref="B763"/>
    <hyperlink r:id="rId1543" ref="E763"/>
    <hyperlink r:id="rId1544" ref="B764"/>
    <hyperlink r:id="rId1545" ref="E764"/>
    <hyperlink r:id="rId1546" ref="B765"/>
    <hyperlink r:id="rId1547" ref="E765"/>
    <hyperlink r:id="rId1548" ref="B766"/>
    <hyperlink r:id="rId1549" ref="E766"/>
    <hyperlink r:id="rId1550" ref="B767"/>
    <hyperlink r:id="rId1551" ref="E767"/>
    <hyperlink r:id="rId1552" ref="B768"/>
    <hyperlink r:id="rId1553" ref="E768"/>
    <hyperlink r:id="rId1554" ref="B769"/>
    <hyperlink r:id="rId1555" ref="E769"/>
    <hyperlink r:id="rId1556" ref="B770"/>
    <hyperlink r:id="rId1557" ref="E770"/>
    <hyperlink r:id="rId1558" ref="B771"/>
    <hyperlink r:id="rId1559" ref="E771"/>
    <hyperlink r:id="rId1560" ref="B772"/>
    <hyperlink r:id="rId1561" ref="E772"/>
    <hyperlink r:id="rId1562" ref="B773"/>
    <hyperlink r:id="rId1563" ref="E773"/>
    <hyperlink r:id="rId1564" ref="B774"/>
    <hyperlink r:id="rId1565" ref="E774"/>
    <hyperlink r:id="rId1566" ref="B775"/>
    <hyperlink r:id="rId1567" ref="E775"/>
    <hyperlink r:id="rId1568" ref="B776"/>
    <hyperlink r:id="rId1569" ref="E776"/>
    <hyperlink r:id="rId1570" ref="B777"/>
    <hyperlink r:id="rId1571" ref="E777"/>
    <hyperlink r:id="rId1572" ref="B778"/>
    <hyperlink r:id="rId1573" ref="E778"/>
    <hyperlink r:id="rId1574" ref="B779"/>
    <hyperlink r:id="rId1575" ref="E779"/>
    <hyperlink r:id="rId1576" ref="B780"/>
    <hyperlink r:id="rId1577" ref="E780"/>
    <hyperlink r:id="rId1578" ref="B781"/>
    <hyperlink r:id="rId1579" ref="E781"/>
    <hyperlink r:id="rId1580" ref="B782"/>
    <hyperlink r:id="rId1581" ref="E782"/>
    <hyperlink r:id="rId1582" ref="B783"/>
    <hyperlink r:id="rId1583" ref="E783"/>
    <hyperlink r:id="rId1584" ref="B784"/>
    <hyperlink r:id="rId1585" ref="B785"/>
    <hyperlink r:id="rId1586" ref="E785"/>
    <hyperlink r:id="rId1587" ref="B786"/>
    <hyperlink r:id="rId1588" ref="E786"/>
    <hyperlink r:id="rId1589" ref="B787"/>
    <hyperlink r:id="rId1590" ref="E787"/>
    <hyperlink r:id="rId1591" ref="B788"/>
    <hyperlink r:id="rId1592" ref="E788"/>
    <hyperlink r:id="rId1593" ref="B789"/>
    <hyperlink r:id="rId1594" ref="E789"/>
    <hyperlink r:id="rId1595" ref="B790"/>
    <hyperlink r:id="rId1596" ref="E790"/>
    <hyperlink r:id="rId1597" ref="B791"/>
    <hyperlink r:id="rId1598" ref="E791"/>
    <hyperlink r:id="rId1599" ref="B792"/>
    <hyperlink r:id="rId1600" ref="E792"/>
    <hyperlink r:id="rId1601" ref="B793"/>
    <hyperlink r:id="rId1602" ref="E793"/>
    <hyperlink r:id="rId1603" ref="B794"/>
    <hyperlink r:id="rId1604" ref="E794"/>
    <hyperlink r:id="rId1605" ref="B795"/>
    <hyperlink r:id="rId1606" ref="E795"/>
    <hyperlink r:id="rId1607" ref="B796"/>
    <hyperlink r:id="rId1608" ref="E796"/>
    <hyperlink r:id="rId1609" ref="B797"/>
    <hyperlink r:id="rId1610" ref="E797"/>
    <hyperlink r:id="rId1611" ref="B798"/>
    <hyperlink r:id="rId1612" ref="E798"/>
    <hyperlink r:id="rId1613" ref="B799"/>
    <hyperlink r:id="rId1614" ref="E799"/>
    <hyperlink r:id="rId1615" ref="B800"/>
    <hyperlink r:id="rId1616" ref="E800"/>
    <hyperlink r:id="rId1617" ref="B801"/>
    <hyperlink r:id="rId1618" ref="E801"/>
    <hyperlink r:id="rId1619" ref="B802"/>
    <hyperlink r:id="rId1620" ref="E802"/>
    <hyperlink r:id="rId1621" ref="B803"/>
    <hyperlink r:id="rId1622" ref="E803"/>
    <hyperlink r:id="rId1623" ref="B804"/>
    <hyperlink r:id="rId1624" ref="E804"/>
    <hyperlink r:id="rId1625" ref="B805"/>
    <hyperlink r:id="rId1626" ref="E805"/>
    <hyperlink r:id="rId1627" ref="B806"/>
    <hyperlink r:id="rId1628" ref="E806"/>
    <hyperlink r:id="rId1629" ref="B807"/>
    <hyperlink r:id="rId1630" ref="E807"/>
    <hyperlink r:id="rId1631" ref="B808"/>
    <hyperlink r:id="rId1632" ref="E808"/>
    <hyperlink r:id="rId1633" ref="B809"/>
    <hyperlink r:id="rId1634" ref="E809"/>
    <hyperlink r:id="rId1635" ref="B810"/>
    <hyperlink r:id="rId1636" ref="E810"/>
    <hyperlink r:id="rId1637" ref="B811"/>
    <hyperlink r:id="rId1638" ref="E811"/>
    <hyperlink r:id="rId1639" ref="B812"/>
    <hyperlink r:id="rId1640" ref="E812"/>
    <hyperlink r:id="rId1641" ref="B813"/>
    <hyperlink r:id="rId1642" ref="E813"/>
    <hyperlink r:id="rId1643" ref="B814"/>
    <hyperlink r:id="rId1644" ref="E814"/>
    <hyperlink r:id="rId1645" ref="B815"/>
    <hyperlink r:id="rId1646" ref="E815"/>
    <hyperlink r:id="rId1647" ref="B816"/>
    <hyperlink r:id="rId1648" ref="E816"/>
    <hyperlink r:id="rId1649" ref="B817"/>
    <hyperlink r:id="rId1650" ref="E817"/>
    <hyperlink r:id="rId1651" ref="B818"/>
    <hyperlink r:id="rId1652" ref="E818"/>
    <hyperlink r:id="rId1653" ref="B819"/>
    <hyperlink r:id="rId1654" ref="E819"/>
    <hyperlink r:id="rId1655" ref="B820"/>
    <hyperlink r:id="rId1656" ref="E820"/>
    <hyperlink r:id="rId1657" ref="B821"/>
    <hyperlink r:id="rId1658" ref="E821"/>
    <hyperlink r:id="rId1659" ref="B822"/>
    <hyperlink r:id="rId1660" ref="E822"/>
    <hyperlink r:id="rId1661" ref="B823"/>
    <hyperlink r:id="rId1662" ref="E823"/>
    <hyperlink r:id="rId1663" ref="B824"/>
    <hyperlink r:id="rId1664" ref="E824"/>
    <hyperlink r:id="rId1665" ref="B825"/>
    <hyperlink r:id="rId1666" ref="E825"/>
    <hyperlink r:id="rId1667" ref="B826"/>
    <hyperlink r:id="rId1668" ref="E826"/>
    <hyperlink r:id="rId1669" ref="B827"/>
    <hyperlink r:id="rId1670" ref="E827"/>
    <hyperlink r:id="rId1671" ref="B828"/>
    <hyperlink r:id="rId1672" ref="E828"/>
    <hyperlink r:id="rId1673" ref="B829"/>
    <hyperlink r:id="rId1674" ref="E829"/>
    <hyperlink r:id="rId1675" ref="B830"/>
    <hyperlink r:id="rId1676" ref="E830"/>
    <hyperlink r:id="rId1677" ref="B831"/>
    <hyperlink r:id="rId1678" ref="E831"/>
    <hyperlink r:id="rId1679" ref="B832"/>
    <hyperlink r:id="rId1680" ref="E832"/>
    <hyperlink r:id="rId1681" ref="B833"/>
    <hyperlink r:id="rId1682" ref="E833"/>
    <hyperlink r:id="rId1683" ref="B834"/>
    <hyperlink r:id="rId1684" ref="E834"/>
    <hyperlink r:id="rId1685" ref="B835"/>
    <hyperlink r:id="rId1686" ref="E835"/>
    <hyperlink r:id="rId1687" ref="B836"/>
    <hyperlink r:id="rId1688" ref="E836"/>
    <hyperlink r:id="rId1689" ref="B837"/>
    <hyperlink r:id="rId1690" ref="E837"/>
    <hyperlink r:id="rId1691" ref="B838"/>
    <hyperlink r:id="rId1692" ref="E838"/>
    <hyperlink r:id="rId1693" ref="B839"/>
    <hyperlink r:id="rId1694" ref="E839"/>
    <hyperlink r:id="rId1695" location=":~:text=Brainlabs%20focuses%20on%20scientific%20marketing,rely%20on%20modeling%20and%20testing." ref="B840"/>
    <hyperlink r:id="rId1696" ref="B841"/>
    <hyperlink r:id="rId1697" ref="E841"/>
    <hyperlink r:id="rId1698" ref="B842"/>
    <hyperlink r:id="rId1699" ref="E842"/>
    <hyperlink r:id="rId1700" ref="B843"/>
    <hyperlink r:id="rId1701" ref="E843"/>
    <hyperlink r:id="rId1702" ref="B844"/>
    <hyperlink r:id="rId1703" ref="E844"/>
    <hyperlink r:id="rId1704" ref="B845"/>
    <hyperlink r:id="rId1705" ref="E845"/>
    <hyperlink r:id="rId1706" ref="B846"/>
    <hyperlink r:id="rId1707" ref="E846"/>
    <hyperlink r:id="rId1708" ref="B847"/>
    <hyperlink r:id="rId1709" ref="E847"/>
    <hyperlink r:id="rId1710" ref="B848"/>
    <hyperlink r:id="rId1711" ref="E848"/>
    <hyperlink r:id="rId1712" ref="B849"/>
    <hyperlink r:id="rId1713" ref="E849"/>
    <hyperlink r:id="rId1714" ref="B850"/>
    <hyperlink r:id="rId1715" ref="E850"/>
    <hyperlink r:id="rId1716" ref="B851"/>
    <hyperlink r:id="rId1717" ref="E851"/>
    <hyperlink r:id="rId1718" ref="B852"/>
    <hyperlink r:id="rId1719" ref="E852"/>
    <hyperlink r:id="rId1720" ref="B853"/>
    <hyperlink r:id="rId1721" ref="E853"/>
    <hyperlink r:id="rId1722" ref="B854"/>
    <hyperlink r:id="rId1723" ref="E854"/>
    <hyperlink r:id="rId1724" ref="B855"/>
    <hyperlink r:id="rId1725" ref="E855"/>
    <hyperlink r:id="rId1726" ref="B856"/>
    <hyperlink r:id="rId1727" ref="E856"/>
    <hyperlink r:id="rId1728" ref="B857"/>
    <hyperlink r:id="rId1729" ref="E857"/>
    <hyperlink r:id="rId1730" ref="B858"/>
    <hyperlink r:id="rId1731" ref="E858"/>
    <hyperlink r:id="rId1732" ref="B859"/>
    <hyperlink r:id="rId1733" ref="E859"/>
    <hyperlink r:id="rId1734" ref="B860"/>
    <hyperlink r:id="rId1735" ref="E860"/>
    <hyperlink r:id="rId1736" ref="B861"/>
    <hyperlink r:id="rId1737" ref="E861"/>
    <hyperlink r:id="rId1738" ref="B862"/>
    <hyperlink r:id="rId1739" ref="E862"/>
    <hyperlink r:id="rId1740" ref="B863"/>
    <hyperlink r:id="rId1741" ref="E863"/>
    <hyperlink r:id="rId1742" ref="B864"/>
    <hyperlink r:id="rId1743" ref="E864"/>
    <hyperlink r:id="rId1744" ref="B865"/>
    <hyperlink r:id="rId1745" ref="E865"/>
    <hyperlink r:id="rId1746" ref="B866"/>
    <hyperlink r:id="rId1747" ref="E866"/>
    <hyperlink r:id="rId1748" ref="B867"/>
    <hyperlink r:id="rId1749" ref="E867"/>
    <hyperlink r:id="rId1750" ref="B868"/>
    <hyperlink r:id="rId1751" ref="E868"/>
    <hyperlink r:id="rId1752" ref="B869"/>
    <hyperlink r:id="rId1753" ref="E869"/>
    <hyperlink r:id="rId1754" ref="B870"/>
    <hyperlink r:id="rId1755" ref="E870"/>
    <hyperlink r:id="rId1756" ref="B871"/>
    <hyperlink r:id="rId1757" ref="E871"/>
    <hyperlink r:id="rId1758" ref="B872"/>
    <hyperlink r:id="rId1759" ref="E872"/>
    <hyperlink r:id="rId1760" ref="B873"/>
    <hyperlink r:id="rId1761" ref="E873"/>
    <hyperlink r:id="rId1762" ref="B874"/>
    <hyperlink r:id="rId1763" ref="E874"/>
    <hyperlink r:id="rId1764" ref="B875"/>
    <hyperlink r:id="rId1765" ref="E875"/>
    <hyperlink r:id="rId1766" ref="B876"/>
    <hyperlink r:id="rId1767" ref="E876"/>
    <hyperlink r:id="rId1768" ref="B877"/>
    <hyperlink r:id="rId1769" ref="E877"/>
    <hyperlink r:id="rId1770" ref="B878"/>
    <hyperlink r:id="rId1771" ref="E878"/>
    <hyperlink r:id="rId1772" ref="B879"/>
    <hyperlink r:id="rId1773" ref="E879"/>
    <hyperlink r:id="rId1774" ref="B880"/>
    <hyperlink r:id="rId1775" ref="E880"/>
    <hyperlink r:id="rId1776" location=":~:text=Adastra%20achieved%20Elite%20Partner%20Status,Worked%20in%20Retail%20(%2B10)" ref="B881"/>
    <hyperlink r:id="rId1777" ref="E881"/>
    <hyperlink r:id="rId1778" ref="B882"/>
    <hyperlink r:id="rId1779" ref="E882"/>
    <hyperlink r:id="rId1780" ref="B883"/>
    <hyperlink r:id="rId1781" ref="E883"/>
    <hyperlink r:id="rId1782" ref="B884"/>
    <hyperlink r:id="rId1783" ref="E884"/>
    <hyperlink r:id="rId1784" ref="B885"/>
    <hyperlink r:id="rId1785" ref="E885"/>
    <hyperlink r:id="rId1786" ref="B886"/>
    <hyperlink r:id="rId1787" ref="E886"/>
    <hyperlink r:id="rId1788" ref="B887"/>
    <hyperlink r:id="rId1789" ref="E887"/>
    <hyperlink r:id="rId1790" ref="B888"/>
    <hyperlink r:id="rId1791" ref="E888"/>
    <hyperlink r:id="rId1792" ref="B889"/>
    <hyperlink r:id="rId1793" ref="E889"/>
    <hyperlink r:id="rId1794" ref="B890"/>
    <hyperlink r:id="rId1795" ref="E890"/>
    <hyperlink r:id="rId1796" ref="B891"/>
    <hyperlink r:id="rId1797" ref="E891"/>
    <hyperlink r:id="rId1798" ref="B892"/>
    <hyperlink r:id="rId1799" ref="E892"/>
    <hyperlink r:id="rId1800" ref="B893"/>
    <hyperlink r:id="rId1801" ref="E893"/>
    <hyperlink r:id="rId1802" ref="B894"/>
    <hyperlink r:id="rId1803" ref="E894"/>
    <hyperlink r:id="rId1804" ref="B895"/>
    <hyperlink r:id="rId1805" ref="E895"/>
    <hyperlink r:id="rId1806" ref="B896"/>
    <hyperlink r:id="rId1807" ref="E896"/>
    <hyperlink r:id="rId1808" ref="B897"/>
    <hyperlink r:id="rId1809" ref="E897"/>
    <hyperlink r:id="rId1810" ref="B898"/>
    <hyperlink r:id="rId1811" ref="E898"/>
    <hyperlink r:id="rId1812" ref="B899"/>
    <hyperlink r:id="rId1813" ref="E899"/>
    <hyperlink r:id="rId1814" ref="B900"/>
    <hyperlink r:id="rId1815" ref="E900"/>
    <hyperlink r:id="rId1816" ref="B901"/>
    <hyperlink r:id="rId1817" ref="E901"/>
    <hyperlink r:id="rId1818" ref="B902"/>
    <hyperlink r:id="rId1819" ref="E902"/>
    <hyperlink r:id="rId1820" ref="B903"/>
    <hyperlink r:id="rId1821" ref="E903"/>
    <hyperlink r:id="rId1822" ref="B904"/>
    <hyperlink r:id="rId1823" ref="E904"/>
    <hyperlink r:id="rId1824" ref="B905"/>
    <hyperlink r:id="rId1825" ref="E905"/>
    <hyperlink r:id="rId1826" ref="B906"/>
    <hyperlink r:id="rId1827" ref="E906"/>
    <hyperlink r:id="rId1828" ref="B907"/>
    <hyperlink r:id="rId1829" ref="E907"/>
    <hyperlink r:id="rId1830" ref="B908"/>
    <hyperlink r:id="rId1831" ref="E908"/>
    <hyperlink r:id="rId1832" ref="B909"/>
    <hyperlink r:id="rId1833" ref="E909"/>
    <hyperlink r:id="rId1834" ref="B910"/>
    <hyperlink r:id="rId1835" ref="E910"/>
    <hyperlink r:id="rId1836" ref="B911"/>
    <hyperlink r:id="rId1837" ref="E911"/>
    <hyperlink r:id="rId1838" ref="B912"/>
    <hyperlink r:id="rId1839" ref="E912"/>
    <hyperlink r:id="rId1840" ref="B913"/>
    <hyperlink r:id="rId1841" ref="E913"/>
    <hyperlink r:id="rId1842" ref="B914"/>
    <hyperlink r:id="rId1843" ref="E914"/>
    <hyperlink r:id="rId1844" ref="B915"/>
    <hyperlink r:id="rId1845" ref="B916"/>
    <hyperlink r:id="rId1846" ref="E916"/>
    <hyperlink r:id="rId1847" ref="B917"/>
    <hyperlink r:id="rId1848" ref="E917"/>
    <hyperlink r:id="rId1849" ref="B918"/>
    <hyperlink r:id="rId1850" ref="E918"/>
    <hyperlink r:id="rId1851" ref="B919"/>
    <hyperlink r:id="rId1852" ref="E919"/>
    <hyperlink r:id="rId1853" ref="B920"/>
    <hyperlink r:id="rId1854" ref="E920"/>
    <hyperlink r:id="rId1855" ref="B921"/>
    <hyperlink r:id="rId1856" ref="E921"/>
    <hyperlink r:id="rId1857" ref="B922"/>
    <hyperlink r:id="rId1858" ref="E922"/>
    <hyperlink r:id="rId1859" ref="B923"/>
    <hyperlink r:id="rId1860" ref="E923"/>
    <hyperlink r:id="rId1861" ref="B924"/>
    <hyperlink r:id="rId1862" ref="E924"/>
    <hyperlink r:id="rId1863" ref="B925"/>
    <hyperlink r:id="rId1864" ref="E925"/>
    <hyperlink r:id="rId1865" ref="B926"/>
    <hyperlink r:id="rId1866" ref="E926"/>
    <hyperlink r:id="rId1867" ref="B927"/>
    <hyperlink r:id="rId1868" ref="E927"/>
    <hyperlink r:id="rId1869" location=":~:text=from%20on...-,Read%20More,100%25%20relevance%20%E2%9C%93%20Inform%20now" ref="B928"/>
    <hyperlink r:id="rId1870" ref="E928"/>
    <hyperlink r:id="rId1871" ref="B929"/>
    <hyperlink r:id="rId1872" ref="B930"/>
    <hyperlink r:id="rId1873" ref="E930"/>
    <hyperlink r:id="rId1874" ref="B931"/>
    <hyperlink r:id="rId1875" ref="E931"/>
    <hyperlink r:id="rId1876" ref="B932"/>
    <hyperlink r:id="rId1877" ref="E932"/>
    <hyperlink r:id="rId1878" ref="B933"/>
    <hyperlink r:id="rId1879" ref="E933"/>
    <hyperlink r:id="rId1880" ref="B934"/>
    <hyperlink r:id="rId1881" ref="E934"/>
    <hyperlink r:id="rId1882" ref="B935"/>
    <hyperlink r:id="rId1883" ref="B936"/>
    <hyperlink r:id="rId1884" ref="E936"/>
    <hyperlink r:id="rId1885" ref="B937"/>
    <hyperlink r:id="rId1886" ref="E937"/>
    <hyperlink r:id="rId1887" ref="B938"/>
    <hyperlink r:id="rId1888" ref="E938"/>
    <hyperlink r:id="rId1889" ref="B939"/>
    <hyperlink r:id="rId1890" ref="E939"/>
    <hyperlink r:id="rId1891" ref="B940"/>
    <hyperlink r:id="rId1892" ref="E940"/>
    <hyperlink r:id="rId1893" ref="B941"/>
    <hyperlink r:id="rId1894" ref="E941"/>
    <hyperlink r:id="rId1895" ref="B942"/>
    <hyperlink r:id="rId1896" ref="E942"/>
    <hyperlink r:id="rId1897" ref="B943"/>
    <hyperlink r:id="rId1898" ref="E943"/>
    <hyperlink r:id="rId1899" ref="B944"/>
    <hyperlink r:id="rId1900" ref="E944"/>
    <hyperlink r:id="rId1901" ref="B945"/>
    <hyperlink r:id="rId1902" ref="E945"/>
    <hyperlink r:id="rId1903" ref="B946"/>
    <hyperlink r:id="rId1904" ref="E946"/>
    <hyperlink r:id="rId1905" ref="B947"/>
    <hyperlink r:id="rId1906" ref="E947"/>
    <hyperlink r:id="rId1907" ref="B948"/>
    <hyperlink r:id="rId1908" ref="E948"/>
    <hyperlink r:id="rId1909" ref="B949"/>
    <hyperlink r:id="rId1910" ref="E949"/>
    <hyperlink r:id="rId1911" ref="B950"/>
    <hyperlink r:id="rId1912" ref="E950"/>
    <hyperlink r:id="rId1913" ref="B951"/>
    <hyperlink r:id="rId1914" ref="E951"/>
    <hyperlink r:id="rId1915" ref="B952"/>
    <hyperlink r:id="rId1916" ref="E952"/>
    <hyperlink r:id="rId1917" ref="B953"/>
    <hyperlink r:id="rId1918" ref="E953"/>
    <hyperlink r:id="rId1919" ref="B954"/>
    <hyperlink r:id="rId1920" ref="E954"/>
    <hyperlink r:id="rId1921" ref="B955"/>
    <hyperlink r:id="rId1922" ref="E955"/>
    <hyperlink r:id="rId1923" ref="B956"/>
    <hyperlink r:id="rId1924" ref="E956"/>
    <hyperlink r:id="rId1925" ref="B957"/>
    <hyperlink r:id="rId1926" ref="E957"/>
    <hyperlink r:id="rId1927" ref="B958"/>
    <hyperlink r:id="rId1928" ref="E958"/>
    <hyperlink r:id="rId1929" ref="B959"/>
    <hyperlink r:id="rId1930" ref="E959"/>
    <hyperlink r:id="rId1931" ref="B960"/>
    <hyperlink r:id="rId1932" ref="E960"/>
    <hyperlink r:id="rId1933" ref="B961"/>
    <hyperlink r:id="rId1934" ref="E961"/>
    <hyperlink r:id="rId1935" ref="B962"/>
    <hyperlink r:id="rId1936" ref="E962"/>
    <hyperlink r:id="rId1937" ref="B963"/>
    <hyperlink r:id="rId1938" ref="E963"/>
    <hyperlink r:id="rId1939" ref="B964"/>
    <hyperlink r:id="rId1940" ref="E964"/>
    <hyperlink r:id="rId1941" ref="B965"/>
    <hyperlink r:id="rId1942" ref="E965"/>
    <hyperlink r:id="rId1943" ref="B966"/>
    <hyperlink r:id="rId1944" ref="E966"/>
    <hyperlink r:id="rId1945" ref="B967"/>
    <hyperlink r:id="rId1946" ref="E967"/>
    <hyperlink r:id="rId1947" ref="B968"/>
    <hyperlink r:id="rId1948" ref="B969"/>
    <hyperlink r:id="rId1949" ref="E969"/>
    <hyperlink r:id="rId1950" ref="B970"/>
    <hyperlink r:id="rId1951" ref="E970"/>
    <hyperlink r:id="rId1952" ref="B971"/>
    <hyperlink r:id="rId1953" ref="E971"/>
    <hyperlink r:id="rId1954" ref="B972"/>
    <hyperlink r:id="rId1955" ref="E972"/>
    <hyperlink r:id="rId1956" ref="B973"/>
    <hyperlink r:id="rId1957" ref="E973"/>
    <hyperlink r:id="rId1958" ref="B974"/>
    <hyperlink r:id="rId1959" ref="E974"/>
    <hyperlink r:id="rId1960" ref="B975"/>
    <hyperlink r:id="rId1961" ref="E975"/>
    <hyperlink r:id="rId1962" ref="B976"/>
    <hyperlink r:id="rId1963" ref="E976"/>
    <hyperlink r:id="rId1964" ref="B977"/>
    <hyperlink r:id="rId1965" ref="E977"/>
    <hyperlink r:id="rId1966" ref="B978"/>
    <hyperlink r:id="rId1967" ref="E978"/>
    <hyperlink r:id="rId1968" ref="B979"/>
    <hyperlink r:id="rId1969" ref="E979"/>
    <hyperlink r:id="rId1970" ref="B980"/>
    <hyperlink r:id="rId1971" ref="E980"/>
    <hyperlink r:id="rId1972" ref="B981"/>
    <hyperlink r:id="rId1973" ref="E981"/>
    <hyperlink r:id="rId1974" ref="B982"/>
    <hyperlink r:id="rId1975" ref="E982"/>
    <hyperlink r:id="rId1976" ref="B983"/>
    <hyperlink r:id="rId1977" ref="E983"/>
    <hyperlink r:id="rId1978" ref="B984"/>
    <hyperlink r:id="rId1979" ref="E984"/>
    <hyperlink r:id="rId1980" ref="B985"/>
    <hyperlink r:id="rId1981" ref="E985"/>
    <hyperlink r:id="rId1982" ref="B986"/>
    <hyperlink r:id="rId1983" ref="E986"/>
    <hyperlink r:id="rId1984" ref="B987"/>
    <hyperlink r:id="rId1985" ref="E987"/>
    <hyperlink r:id="rId1986" ref="B988"/>
    <hyperlink r:id="rId1987" ref="E988"/>
    <hyperlink r:id="rId1988" ref="B989"/>
    <hyperlink r:id="rId1989" ref="E989"/>
    <hyperlink r:id="rId1990" ref="B990"/>
    <hyperlink r:id="rId1991" ref="E990"/>
    <hyperlink r:id="rId1992" ref="B991"/>
    <hyperlink r:id="rId1993" ref="E991"/>
    <hyperlink r:id="rId1994" ref="B992"/>
    <hyperlink r:id="rId1995" ref="E992"/>
    <hyperlink r:id="rId1996" ref="B993"/>
    <hyperlink r:id="rId1997" ref="E993"/>
    <hyperlink r:id="rId1998" ref="B994"/>
    <hyperlink r:id="rId1999" ref="E994"/>
    <hyperlink r:id="rId2000" ref="B995"/>
    <hyperlink r:id="rId2001" ref="E995"/>
    <hyperlink r:id="rId2002" ref="B996"/>
    <hyperlink r:id="rId2003" ref="E996"/>
    <hyperlink r:id="rId2004" ref="B997"/>
    <hyperlink r:id="rId2005" ref="E997"/>
    <hyperlink r:id="rId2006" ref="B998"/>
    <hyperlink r:id="rId2007" ref="E998"/>
    <hyperlink r:id="rId2008" ref="B999"/>
    <hyperlink r:id="rId2009" ref="E999"/>
    <hyperlink r:id="rId2010" ref="B1000"/>
    <hyperlink r:id="rId2011" ref="E1000"/>
    <hyperlink r:id="rId2012" ref="B1001"/>
    <hyperlink r:id="rId2013" ref="E1001"/>
    <hyperlink r:id="rId2014" ref="B1002"/>
    <hyperlink r:id="rId2015" ref="E1002"/>
    <hyperlink r:id="rId2016" ref="B1003"/>
    <hyperlink r:id="rId2017" ref="E1003"/>
    <hyperlink r:id="rId2018" location=":~:text=They%20offer%20Advertising%2C%20Branding%2C%20Event,is%20based%20in%20K%C3%B6ln%2C%20Germany." ref="B1004"/>
    <hyperlink r:id="rId2019" ref="E1004"/>
    <hyperlink r:id="rId2020" ref="B1005"/>
    <hyperlink r:id="rId2021" ref="E1005"/>
    <hyperlink r:id="rId2022" ref="B1006"/>
    <hyperlink r:id="rId2023" ref="E1006"/>
    <hyperlink r:id="rId2024" ref="B1007"/>
    <hyperlink r:id="rId2025" ref="E1007"/>
    <hyperlink r:id="rId2026" ref="B1008"/>
    <hyperlink r:id="rId2027" ref="E1008"/>
    <hyperlink r:id="rId2028" ref="B1009"/>
    <hyperlink r:id="rId2029" ref="E1009"/>
    <hyperlink r:id="rId2030" ref="B1010"/>
    <hyperlink r:id="rId2031" ref="E1010"/>
    <hyperlink r:id="rId2032" ref="B1011"/>
    <hyperlink r:id="rId2033" ref="E1011"/>
    <hyperlink r:id="rId2034" ref="B1012"/>
    <hyperlink r:id="rId2035" ref="E1012"/>
    <hyperlink r:id="rId2036" ref="B1013"/>
    <hyperlink r:id="rId2037" ref="E1013"/>
    <hyperlink r:id="rId2038" ref="B1014"/>
    <hyperlink r:id="rId2039" ref="E1014"/>
    <hyperlink r:id="rId2040" ref="B1015"/>
    <hyperlink r:id="rId2041" ref="E1015"/>
    <hyperlink r:id="rId2042" ref="B1016"/>
    <hyperlink r:id="rId2043" ref="E1016"/>
    <hyperlink r:id="rId2044" ref="B1017"/>
    <hyperlink r:id="rId2045" ref="E1017"/>
    <hyperlink r:id="rId2046" ref="B1018"/>
    <hyperlink r:id="rId2047" ref="E1018"/>
    <hyperlink r:id="rId2048" ref="B1019"/>
    <hyperlink r:id="rId2049" ref="E1019"/>
    <hyperlink r:id="rId2050" ref="B1020"/>
    <hyperlink r:id="rId2051" ref="E1020"/>
    <hyperlink r:id="rId2052" ref="B1021"/>
    <hyperlink r:id="rId2053" ref="E1021"/>
    <hyperlink r:id="rId2054" ref="B1022"/>
    <hyperlink r:id="rId2055" ref="E1022"/>
    <hyperlink r:id="rId2056" ref="B1023"/>
    <hyperlink r:id="rId2057" ref="E1023"/>
    <hyperlink r:id="rId2058" ref="B1024"/>
    <hyperlink r:id="rId2059" ref="E1024"/>
    <hyperlink r:id="rId2060" ref="B1025"/>
    <hyperlink r:id="rId2061" ref="E1025"/>
    <hyperlink r:id="rId2062" ref="B1026"/>
    <hyperlink r:id="rId2063" ref="E1026"/>
    <hyperlink r:id="rId2064" ref="B1027"/>
    <hyperlink r:id="rId2065" ref="E1027"/>
    <hyperlink r:id="rId2066" ref="B1028"/>
    <hyperlink r:id="rId2067" ref="E1028"/>
    <hyperlink r:id="rId2068" ref="B1029"/>
    <hyperlink r:id="rId2069" ref="E1029"/>
    <hyperlink r:id="rId2070" ref="B1030"/>
    <hyperlink r:id="rId2071" ref="E1030"/>
    <hyperlink r:id="rId2072" ref="B1031"/>
    <hyperlink r:id="rId2073" ref="E1031"/>
    <hyperlink r:id="rId2074" ref="B1032"/>
    <hyperlink r:id="rId2075" ref="E1032"/>
    <hyperlink r:id="rId2076" ref="B1033"/>
    <hyperlink r:id="rId2077" ref="E1033"/>
    <hyperlink r:id="rId2078" ref="B1034"/>
    <hyperlink r:id="rId2079" ref="E1034"/>
    <hyperlink r:id="rId2080" ref="B1035"/>
    <hyperlink r:id="rId2081" ref="E1035"/>
    <hyperlink r:id="rId2082" ref="B1036"/>
    <hyperlink r:id="rId2083" ref="E1036"/>
    <hyperlink r:id="rId2084" ref="B1037"/>
    <hyperlink r:id="rId2085" ref="E1037"/>
    <hyperlink r:id="rId2086" ref="B1038"/>
    <hyperlink r:id="rId2087" ref="E1038"/>
    <hyperlink r:id="rId2088" ref="B1039"/>
    <hyperlink r:id="rId2089" ref="E1039"/>
    <hyperlink r:id="rId2090" ref="B1040"/>
    <hyperlink r:id="rId2091" ref="E1040"/>
    <hyperlink r:id="rId2092" ref="B1041"/>
    <hyperlink r:id="rId2093" ref="E1041"/>
    <hyperlink r:id="rId2094" ref="B1042"/>
    <hyperlink r:id="rId2095" ref="E1042"/>
    <hyperlink r:id="rId2096" ref="B1043"/>
    <hyperlink r:id="rId2097" ref="E1043"/>
    <hyperlink r:id="rId2098" ref="B1044"/>
    <hyperlink r:id="rId2099" ref="E1044"/>
    <hyperlink r:id="rId2100" ref="B1045"/>
    <hyperlink r:id="rId2101" ref="E1045"/>
    <hyperlink r:id="rId2102" ref="B1046"/>
    <hyperlink r:id="rId2103" ref="E1046"/>
    <hyperlink r:id="rId2104" ref="B1047"/>
    <hyperlink r:id="rId2105" ref="E1047"/>
    <hyperlink r:id="rId2106" ref="B1048"/>
    <hyperlink r:id="rId2107" ref="E1048"/>
    <hyperlink r:id="rId2108" ref="B1049"/>
    <hyperlink r:id="rId2109" ref="E1049"/>
    <hyperlink r:id="rId2110" ref="B1050"/>
    <hyperlink r:id="rId2111" ref="E1050"/>
    <hyperlink r:id="rId2112" ref="B1051"/>
    <hyperlink r:id="rId2113" ref="E1051"/>
    <hyperlink r:id="rId2114" ref="B1052"/>
    <hyperlink r:id="rId2115" ref="E1052"/>
    <hyperlink r:id="rId2116" ref="B1053"/>
    <hyperlink r:id="rId2117" ref="E1053"/>
    <hyperlink r:id="rId2118" ref="B1054"/>
    <hyperlink r:id="rId2119" ref="E1054"/>
    <hyperlink r:id="rId2120" ref="B1055"/>
    <hyperlink r:id="rId2121" ref="E1055"/>
    <hyperlink r:id="rId2122" ref="B1056"/>
    <hyperlink r:id="rId2123" ref="E1056"/>
    <hyperlink r:id="rId2124" ref="B1057"/>
    <hyperlink r:id="rId2125" ref="E1057"/>
    <hyperlink r:id="rId2126" ref="B1058"/>
    <hyperlink r:id="rId2127" ref="E1058"/>
    <hyperlink r:id="rId2128" ref="B1059"/>
    <hyperlink r:id="rId2129" ref="E1059"/>
    <hyperlink r:id="rId2130" ref="B1060"/>
    <hyperlink r:id="rId2131" ref="E1060"/>
    <hyperlink r:id="rId2132" ref="B1061"/>
    <hyperlink r:id="rId2133" ref="E1061"/>
    <hyperlink r:id="rId2134" ref="B1062"/>
    <hyperlink r:id="rId2135" ref="E1062"/>
    <hyperlink r:id="rId2136" ref="B1063"/>
    <hyperlink r:id="rId2137" ref="E1063"/>
    <hyperlink r:id="rId2138" ref="B1064"/>
    <hyperlink r:id="rId2139" ref="E1064"/>
    <hyperlink r:id="rId2140" ref="B1065"/>
    <hyperlink r:id="rId2141" ref="E1065"/>
    <hyperlink r:id="rId2142" ref="B1066"/>
    <hyperlink r:id="rId2143" ref="E1066"/>
    <hyperlink r:id="rId2144" ref="B1067"/>
    <hyperlink r:id="rId2145" ref="E1067"/>
    <hyperlink r:id="rId2146" ref="B1068"/>
    <hyperlink r:id="rId2147" ref="E1068"/>
    <hyperlink r:id="rId2148" ref="B1069"/>
    <hyperlink r:id="rId2149" ref="E1069"/>
    <hyperlink r:id="rId2150" ref="B1070"/>
    <hyperlink r:id="rId2151" ref="E1070"/>
    <hyperlink r:id="rId2152" location=":~:text=morefire,Healthcare%20%26%20Hospital%2C%20Ecommerce%20%2B3" ref="B1071"/>
    <hyperlink r:id="rId2153" ref="E1071"/>
    <hyperlink r:id="rId2154" ref="B1072"/>
    <hyperlink r:id="rId2155" ref="E1072"/>
    <hyperlink r:id="rId2156" location=":~:text=Mediaplus%20Performance%20GmbH%20%26%20Co%20KG,%2C%20programmatic%2C%20and%20conversion%20optimization." ref="B1073"/>
    <hyperlink r:id="rId2157" ref="E1073"/>
    <hyperlink r:id="rId2158" ref="B1074"/>
    <hyperlink r:id="rId2159" ref="E1074"/>
    <hyperlink r:id="rId2160" ref="B1075"/>
    <hyperlink r:id="rId2161" ref="E1075"/>
    <hyperlink r:id="rId2162" ref="B1076"/>
    <hyperlink r:id="rId2163" ref="E1076"/>
    <hyperlink r:id="rId2164" ref="B1077"/>
    <hyperlink r:id="rId2165" ref="E1077"/>
    <hyperlink r:id="rId2166" ref="B1078"/>
    <hyperlink r:id="rId2167" ref="E1078"/>
    <hyperlink r:id="rId2168" ref="B1079"/>
    <hyperlink r:id="rId2169" ref="E1079"/>
    <hyperlink r:id="rId2170" ref="B1080"/>
    <hyperlink r:id="rId2171" ref="E1080"/>
    <hyperlink r:id="rId2172" ref="B1081"/>
    <hyperlink r:id="rId2173" ref="E1081"/>
    <hyperlink r:id="rId2174" ref="B1082"/>
    <hyperlink r:id="rId2175" ref="E1082"/>
    <hyperlink r:id="rId2176" ref="B1083"/>
    <hyperlink r:id="rId2177" ref="E1083"/>
    <hyperlink r:id="rId2178" ref="B1084"/>
    <hyperlink r:id="rId2179" ref="E1084"/>
    <hyperlink r:id="rId2180" ref="B1085"/>
    <hyperlink r:id="rId2181" ref="E1085"/>
    <hyperlink r:id="rId2182" ref="B1086"/>
    <hyperlink r:id="rId2183" ref="E1086"/>
    <hyperlink r:id="rId2184" ref="B1087"/>
    <hyperlink r:id="rId2185" ref="E1087"/>
    <hyperlink r:id="rId2186" ref="B1088"/>
    <hyperlink r:id="rId2187" ref="E1088"/>
    <hyperlink r:id="rId2188" ref="B1089"/>
    <hyperlink r:id="rId2189" ref="E1089"/>
    <hyperlink r:id="rId2190" ref="B1090"/>
    <hyperlink r:id="rId2191" ref="E1090"/>
    <hyperlink r:id="rId2192" ref="B1091"/>
    <hyperlink r:id="rId2193" ref="E1091"/>
    <hyperlink r:id="rId2194" ref="B1092"/>
    <hyperlink r:id="rId2195" ref="E1092"/>
    <hyperlink r:id="rId2196" ref="B1093"/>
    <hyperlink r:id="rId2197" ref="E1093"/>
    <hyperlink r:id="rId2198" ref="B1094"/>
    <hyperlink r:id="rId2199" ref="E1094"/>
    <hyperlink r:id="rId2200" ref="B1095"/>
    <hyperlink r:id="rId2201" ref="E1095"/>
    <hyperlink r:id="rId2202" ref="B1096"/>
    <hyperlink r:id="rId2203" ref="E1096"/>
    <hyperlink r:id="rId2204" ref="B1097"/>
    <hyperlink r:id="rId2205" ref="E1097"/>
    <hyperlink r:id="rId2206" ref="B1098"/>
    <hyperlink r:id="rId2207" ref="E1098"/>
    <hyperlink r:id="rId2208" ref="B1099"/>
    <hyperlink r:id="rId2209" ref="E1099"/>
    <hyperlink r:id="rId2210" ref="B1100"/>
    <hyperlink r:id="rId2211" ref="E1100"/>
    <hyperlink r:id="rId2212" ref="B1101"/>
    <hyperlink r:id="rId2213" ref="E1101"/>
    <hyperlink r:id="rId2214" ref="B1102"/>
    <hyperlink r:id="rId2215" ref="E1102"/>
    <hyperlink r:id="rId2216" ref="B1103"/>
    <hyperlink r:id="rId2217" ref="E1103"/>
    <hyperlink r:id="rId2218" ref="B1104"/>
    <hyperlink r:id="rId2219" ref="E1104"/>
    <hyperlink r:id="rId2220" ref="B1105"/>
    <hyperlink r:id="rId2221" ref="E1105"/>
    <hyperlink r:id="rId2222" ref="B1106"/>
    <hyperlink r:id="rId2223" ref="E1106"/>
    <hyperlink r:id="rId2224" location=":~:text=e%2Ddynamics%20GmbH" ref="B1107"/>
    <hyperlink r:id="rId2225" ref="E1107"/>
    <hyperlink r:id="rId2226" ref="B1108"/>
    <hyperlink r:id="rId2227" ref="E1108"/>
    <hyperlink r:id="rId2228" location=":~:text=About%3A%20Hawke%20Media%20pioneered%20the,email%20marketing%2C%20and%20conversion%20optimization." ref="B1109"/>
    <hyperlink r:id="rId2229" ref="E1109"/>
    <hyperlink r:id="rId2230" ref="B1110"/>
    <hyperlink r:id="rId2231" ref="E1110"/>
    <hyperlink r:id="rId2232" ref="B1111"/>
    <hyperlink r:id="rId2233" ref="E1111"/>
    <hyperlink r:id="rId2234" ref="B1112"/>
    <hyperlink r:id="rId2235" ref="E1112"/>
    <hyperlink r:id="rId2236" ref="B1113"/>
    <hyperlink r:id="rId2237" ref="E1113"/>
    <hyperlink r:id="rId2238" ref="B1114"/>
    <hyperlink r:id="rId2239" ref="E1114"/>
    <hyperlink r:id="rId2240" ref="B1115"/>
    <hyperlink r:id="rId2241" ref="E1115"/>
    <hyperlink r:id="rId2242" ref="B1116"/>
    <hyperlink r:id="rId2243" ref="E1116"/>
    <hyperlink r:id="rId2244" ref="B1117"/>
    <hyperlink r:id="rId2245" ref="E1117"/>
    <hyperlink r:id="rId2246" ref="B1118"/>
    <hyperlink r:id="rId2247" ref="E1118"/>
    <hyperlink r:id="rId2248" ref="B1119"/>
    <hyperlink r:id="rId2249" ref="E1119"/>
    <hyperlink r:id="rId2250" ref="B1120"/>
    <hyperlink r:id="rId2251" ref="E1120"/>
    <hyperlink r:id="rId2252" ref="B1121"/>
    <hyperlink r:id="rId2253" ref="E1121"/>
    <hyperlink r:id="rId2254" ref="B1122"/>
    <hyperlink r:id="rId2255" ref="E1122"/>
    <hyperlink r:id="rId2256" ref="B1123"/>
    <hyperlink r:id="rId2257" ref="E1123"/>
    <hyperlink r:id="rId2258" ref="B1124"/>
    <hyperlink r:id="rId2259" ref="E1124"/>
    <hyperlink r:id="rId2260" ref="B1125"/>
    <hyperlink r:id="rId2261" ref="E1125"/>
    <hyperlink r:id="rId2262" ref="B1126"/>
    <hyperlink r:id="rId2263" ref="E1126"/>
    <hyperlink r:id="rId2264" ref="B1127"/>
    <hyperlink r:id="rId2265" ref="E1127"/>
    <hyperlink r:id="rId2266" ref="B1128"/>
    <hyperlink r:id="rId2267" ref="E1128"/>
    <hyperlink r:id="rId2268" ref="B1129"/>
    <hyperlink r:id="rId2269" ref="E1129"/>
    <hyperlink r:id="rId2270" ref="B1130"/>
    <hyperlink r:id="rId2271" ref="E1130"/>
    <hyperlink r:id="rId2272" ref="B1131"/>
    <hyperlink r:id="rId2273" ref="E1131"/>
    <hyperlink r:id="rId2274" ref="B1132"/>
    <hyperlink r:id="rId2275" ref="E1132"/>
    <hyperlink r:id="rId2276" ref="B1133"/>
    <hyperlink r:id="rId2277" ref="E1133"/>
    <hyperlink r:id="rId2278" ref="B1134"/>
    <hyperlink r:id="rId2279" ref="E1134"/>
    <hyperlink r:id="rId2280" ref="B1135"/>
    <hyperlink r:id="rId2281" ref="E1135"/>
    <hyperlink r:id="rId2282" ref="B1136"/>
    <hyperlink r:id="rId2283" ref="E1136"/>
    <hyperlink r:id="rId2284" ref="B1137"/>
    <hyperlink r:id="rId2285" ref="E1137"/>
    <hyperlink r:id="rId2286" ref="B1138"/>
    <hyperlink r:id="rId2287" ref="E1138"/>
    <hyperlink r:id="rId2288" ref="B1139"/>
    <hyperlink r:id="rId2289" ref="E1139"/>
    <hyperlink r:id="rId2290" ref="B1140"/>
    <hyperlink r:id="rId2291" ref="E1140"/>
    <hyperlink r:id="rId2292" ref="B1141"/>
    <hyperlink r:id="rId2293" ref="E1141"/>
    <hyperlink r:id="rId2294" ref="B1142"/>
    <hyperlink r:id="rId2295" ref="E1142"/>
    <hyperlink r:id="rId2296" ref="B1143"/>
    <hyperlink r:id="rId2297" ref="E1143"/>
    <hyperlink r:id="rId2298" ref="B1144"/>
    <hyperlink r:id="rId2299" ref="E1144"/>
    <hyperlink r:id="rId2300" ref="B1145"/>
    <hyperlink r:id="rId2301" ref="E1145"/>
    <hyperlink r:id="rId2302" ref="B1146"/>
    <hyperlink r:id="rId2303" ref="E1146"/>
    <hyperlink r:id="rId2304" ref="B1147"/>
    <hyperlink r:id="rId2305" ref="E1147"/>
    <hyperlink r:id="rId2306" ref="B1148"/>
    <hyperlink r:id="rId2307" ref="E1148"/>
    <hyperlink r:id="rId2308" ref="B1149"/>
    <hyperlink r:id="rId2309" ref="E1149"/>
    <hyperlink r:id="rId2310" ref="B1150"/>
    <hyperlink r:id="rId2311" ref="E1150"/>
    <hyperlink r:id="rId2312" ref="B1151"/>
    <hyperlink r:id="rId2313" ref="E1151"/>
    <hyperlink r:id="rId2314" ref="B1152"/>
    <hyperlink r:id="rId2315" ref="E1152"/>
    <hyperlink r:id="rId2316" ref="B1153"/>
    <hyperlink r:id="rId2317" ref="E1153"/>
    <hyperlink r:id="rId2318" ref="B1154"/>
    <hyperlink r:id="rId2319" ref="E1154"/>
    <hyperlink r:id="rId2320" ref="B1155"/>
    <hyperlink r:id="rId2321" ref="E1155"/>
    <hyperlink r:id="rId2322" ref="B1156"/>
    <hyperlink r:id="rId2323" ref="E1156"/>
    <hyperlink r:id="rId2324" ref="B1157"/>
    <hyperlink r:id="rId2325" ref="E1157"/>
    <hyperlink r:id="rId2326" ref="B1158"/>
    <hyperlink r:id="rId2327" ref="E1158"/>
    <hyperlink r:id="rId2328" ref="B1159"/>
    <hyperlink r:id="rId2329" ref="E1159"/>
    <hyperlink r:id="rId2330" ref="B1160"/>
    <hyperlink r:id="rId2331" ref="E1160"/>
    <hyperlink r:id="rId2332" ref="B1161"/>
    <hyperlink r:id="rId2333" ref="E1161"/>
    <hyperlink r:id="rId2334" ref="B1162"/>
    <hyperlink r:id="rId2335" ref="E1162"/>
    <hyperlink r:id="rId2336" ref="B1163"/>
    <hyperlink r:id="rId2337" ref="E1163"/>
    <hyperlink r:id="rId2338" ref="B1164"/>
    <hyperlink r:id="rId2339" ref="E1164"/>
    <hyperlink r:id="rId2340" ref="B1165"/>
    <hyperlink r:id="rId2341" ref="E1165"/>
    <hyperlink r:id="rId2342" ref="B1166"/>
    <hyperlink r:id="rId2343" ref="E1166"/>
    <hyperlink r:id="rId2344" ref="B1167"/>
    <hyperlink r:id="rId2345" ref="B1168"/>
    <hyperlink r:id="rId2346" ref="E1168"/>
    <hyperlink r:id="rId2347" ref="B1169"/>
    <hyperlink r:id="rId2348" ref="E1169"/>
    <hyperlink r:id="rId2349" ref="B1170"/>
    <hyperlink r:id="rId2350" ref="E1170"/>
    <hyperlink r:id="rId2351" ref="B1171"/>
    <hyperlink r:id="rId2352" ref="E1171"/>
    <hyperlink r:id="rId2353" ref="B1172"/>
    <hyperlink r:id="rId2354" ref="E1172"/>
    <hyperlink r:id="rId2355" ref="B1173"/>
    <hyperlink r:id="rId2356" ref="E1173"/>
    <hyperlink r:id="rId2357" ref="B1174"/>
    <hyperlink r:id="rId2358" ref="E1174"/>
    <hyperlink r:id="rId2359" ref="B1175"/>
    <hyperlink r:id="rId2360" ref="E1175"/>
    <hyperlink r:id="rId2361" ref="B1176"/>
    <hyperlink r:id="rId2362" ref="E1176"/>
    <hyperlink r:id="rId2363" ref="B1177"/>
    <hyperlink r:id="rId2364" ref="E1177"/>
    <hyperlink r:id="rId2365" ref="B1178"/>
    <hyperlink r:id="rId2366" ref="E1178"/>
    <hyperlink r:id="rId2367" ref="B1179"/>
    <hyperlink r:id="rId2368" ref="E1179"/>
    <hyperlink r:id="rId2369" ref="B1180"/>
    <hyperlink r:id="rId2370" ref="E1180"/>
    <hyperlink r:id="rId2371" ref="B1181"/>
    <hyperlink r:id="rId2372" ref="E1181"/>
    <hyperlink r:id="rId2373" ref="B1182"/>
    <hyperlink r:id="rId2374" ref="E1182"/>
    <hyperlink r:id="rId2375" ref="B1183"/>
    <hyperlink r:id="rId2376" ref="E1183"/>
    <hyperlink r:id="rId2377" ref="B1184"/>
    <hyperlink r:id="rId2378" ref="E1184"/>
    <hyperlink r:id="rId2379" ref="B1185"/>
    <hyperlink r:id="rId2380" ref="E1185"/>
    <hyperlink r:id="rId2381" ref="B1186"/>
    <hyperlink r:id="rId2382" ref="E1186"/>
    <hyperlink r:id="rId2383" ref="B1187"/>
    <hyperlink r:id="rId2384" ref="E1187"/>
    <hyperlink r:id="rId2385" ref="B1188"/>
    <hyperlink r:id="rId2386" ref="E1188"/>
    <hyperlink r:id="rId2387" ref="B1189"/>
    <hyperlink r:id="rId2388" ref="E1189"/>
    <hyperlink r:id="rId2389" ref="B1190"/>
    <hyperlink r:id="rId2390" ref="E1190"/>
    <hyperlink r:id="rId2391" ref="B1191"/>
    <hyperlink r:id="rId2392" ref="E1191"/>
    <hyperlink r:id="rId2393" ref="B1192"/>
    <hyperlink r:id="rId2394" ref="E1192"/>
    <hyperlink r:id="rId2395" ref="B1193"/>
    <hyperlink r:id="rId2396" ref="E1193"/>
    <hyperlink r:id="rId2397" ref="B1194"/>
    <hyperlink r:id="rId2398" ref="E1194"/>
    <hyperlink r:id="rId2399" ref="B1195"/>
    <hyperlink r:id="rId2400" ref="E1195"/>
    <hyperlink r:id="rId2401" ref="B1196"/>
    <hyperlink r:id="rId2402" ref="E1196"/>
    <hyperlink r:id="rId2403" ref="B1197"/>
    <hyperlink r:id="rId2404" ref="E1197"/>
    <hyperlink r:id="rId2405" ref="B1198"/>
    <hyperlink r:id="rId2406" ref="E1198"/>
    <hyperlink r:id="rId2407" ref="B1199"/>
    <hyperlink r:id="rId2408" ref="E1199"/>
    <hyperlink r:id="rId2409" ref="B1200"/>
    <hyperlink r:id="rId2410" ref="E1200"/>
    <hyperlink r:id="rId2411" ref="B1201"/>
    <hyperlink r:id="rId2412" ref="E1201"/>
    <hyperlink r:id="rId2413" ref="B1202"/>
    <hyperlink r:id="rId2414" ref="E1202"/>
    <hyperlink r:id="rId2415" ref="B1203"/>
    <hyperlink r:id="rId2416" ref="E1203"/>
    <hyperlink r:id="rId2417" ref="B1204"/>
    <hyperlink r:id="rId2418" ref="E1204"/>
    <hyperlink r:id="rId2419" ref="B1205"/>
    <hyperlink r:id="rId2420" ref="E1205"/>
    <hyperlink r:id="rId2421" ref="B1206"/>
    <hyperlink r:id="rId2422" ref="E1206"/>
    <hyperlink r:id="rId2423" ref="B1207"/>
    <hyperlink r:id="rId2424" ref="E1207"/>
    <hyperlink r:id="rId2425" location=":~:text=Get%20Expert%20Consultation,more%20structured%20data%2Ddriven%20operations." ref="B1208"/>
    <hyperlink r:id="rId2426" ref="B1209"/>
    <hyperlink r:id="rId2427" ref="E1209"/>
    <hyperlink r:id="rId2428" ref="B1210"/>
    <hyperlink r:id="rId2429" ref="E1210"/>
    <hyperlink r:id="rId2430" ref="B1211"/>
    <hyperlink r:id="rId2431" ref="E1211"/>
    <hyperlink r:id="rId2432" ref="B1212"/>
    <hyperlink r:id="rId2433" ref="E1212"/>
    <hyperlink r:id="rId2434" ref="B1213"/>
    <hyperlink r:id="rId2435" ref="E1213"/>
    <hyperlink r:id="rId2436" ref="B1214"/>
    <hyperlink r:id="rId2437" ref="E1214"/>
    <hyperlink r:id="rId2438" ref="B1215"/>
    <hyperlink r:id="rId2439" ref="E1215"/>
    <hyperlink r:id="rId2440" ref="B1216"/>
    <hyperlink r:id="rId2441" ref="E1216"/>
    <hyperlink r:id="rId2442" ref="B1217"/>
    <hyperlink r:id="rId2443" ref="E1217"/>
    <hyperlink r:id="rId2444" ref="B1218"/>
    <hyperlink r:id="rId2445" ref="E1218"/>
    <hyperlink r:id="rId2446" ref="B1219"/>
    <hyperlink r:id="rId2447" ref="E1219"/>
    <hyperlink r:id="rId2448" ref="B1220"/>
    <hyperlink r:id="rId2449" ref="E1220"/>
    <hyperlink r:id="rId2450" ref="B1221"/>
    <hyperlink r:id="rId2451" ref="E1221"/>
    <hyperlink r:id="rId2452" ref="B1222"/>
    <hyperlink r:id="rId2453" ref="E1222"/>
    <hyperlink r:id="rId2454" ref="B1223"/>
    <hyperlink r:id="rId2455" ref="E1223"/>
    <hyperlink r:id="rId2456" ref="B1224"/>
    <hyperlink r:id="rId2457" ref="E1224"/>
    <hyperlink r:id="rId2458" location=":~:text=%F0%9F%87%AC%F0%9F%87%A7%20below%20%F0%9F%87%AC%F0%9F%87%A7%20Say%20hi%20to%20Digital,we%20support%20you%20in%20digitizing%20your%20business." ref="B1225"/>
    <hyperlink r:id="rId2459" ref="E1225"/>
    <hyperlink r:id="rId2460" ref="B1226"/>
    <hyperlink r:id="rId2461" ref="E1226"/>
    <hyperlink r:id="rId2462" ref="B1227"/>
    <hyperlink r:id="rId2463" ref="E1227"/>
    <hyperlink r:id="rId2464" ref="B1228"/>
    <hyperlink r:id="rId2465" ref="E1228"/>
    <hyperlink r:id="rId2466" ref="B1229"/>
    <hyperlink r:id="rId2467" ref="E1229"/>
    <hyperlink r:id="rId2468" ref="B1230"/>
    <hyperlink r:id="rId2469" ref="E1230"/>
    <hyperlink r:id="rId2470" ref="B1231"/>
    <hyperlink r:id="rId2471" ref="E1231"/>
    <hyperlink r:id="rId2472" ref="B1232"/>
    <hyperlink r:id="rId2473" ref="E1232"/>
    <hyperlink r:id="rId2474" ref="B1233"/>
    <hyperlink r:id="rId2475" ref="E1233"/>
    <hyperlink r:id="rId2476" ref="B1234"/>
    <hyperlink r:id="rId2477" ref="E1234"/>
    <hyperlink r:id="rId2478" ref="B1235"/>
    <hyperlink r:id="rId2479" ref="E1235"/>
    <hyperlink r:id="rId2480" ref="B1236"/>
    <hyperlink r:id="rId2481" ref="E1236"/>
    <hyperlink r:id="rId2482" ref="B1237"/>
    <hyperlink r:id="rId2483" ref="E1237"/>
    <hyperlink r:id="rId2484" ref="B1238"/>
    <hyperlink r:id="rId2485" ref="E1238"/>
    <hyperlink r:id="rId2486" ref="B1239"/>
    <hyperlink r:id="rId2487" ref="E1239"/>
    <hyperlink r:id="rId2488" ref="B1240"/>
    <hyperlink r:id="rId2489" ref="E1240"/>
    <hyperlink r:id="rId2490" ref="B1241"/>
    <hyperlink r:id="rId2491" ref="E1241"/>
    <hyperlink r:id="rId2492" ref="B1242"/>
    <hyperlink r:id="rId2493" ref="E1242"/>
    <hyperlink r:id="rId2494" ref="B1243"/>
    <hyperlink r:id="rId2495" ref="E1243"/>
    <hyperlink r:id="rId2496" ref="B1244"/>
    <hyperlink r:id="rId2497" ref="E1244"/>
    <hyperlink r:id="rId2498" location=":~:text=List%20of%20the%20Best%20Germany,business%20consulting%2C%20and%20digital%20strategy." ref="B1245"/>
    <hyperlink r:id="rId2499" ref="E1245"/>
    <hyperlink r:id="rId2500" ref="B1246"/>
    <hyperlink r:id="rId2501" ref="E1246"/>
    <hyperlink r:id="rId2502" ref="B1247"/>
    <hyperlink r:id="rId2503" ref="E1247"/>
    <hyperlink r:id="rId2504" ref="B1248"/>
    <hyperlink r:id="rId2505" ref="E1248"/>
    <hyperlink r:id="rId2506" ref="B1250"/>
    <hyperlink r:id="rId2507" ref="E1250"/>
    <hyperlink r:id="rId2508" ref="B1251"/>
    <hyperlink r:id="rId2509" ref="E1251"/>
    <hyperlink r:id="rId2510" ref="B1252"/>
    <hyperlink r:id="rId2511" ref="E1252"/>
    <hyperlink r:id="rId2512" ref="B1253"/>
    <hyperlink r:id="rId2513" ref="E1253"/>
    <hyperlink r:id="rId2514" ref="B1254"/>
    <hyperlink r:id="rId2515" ref="E1254"/>
    <hyperlink r:id="rId2516" ref="B1255"/>
    <hyperlink r:id="rId2517" ref="E1255"/>
    <hyperlink r:id="rId2518" ref="B1256"/>
    <hyperlink r:id="rId2519" ref="E1256"/>
    <hyperlink r:id="rId2520" ref="B1257"/>
    <hyperlink r:id="rId2521" ref="E1257"/>
    <hyperlink r:id="rId2522" ref="B1258"/>
    <hyperlink r:id="rId2523" ref="E1258"/>
    <hyperlink r:id="rId2524" ref="B1259"/>
    <hyperlink r:id="rId2525" ref="E1259"/>
    <hyperlink r:id="rId2526" ref="B1260"/>
    <hyperlink r:id="rId2527" ref="B1261"/>
    <hyperlink r:id="rId2528" ref="E1261"/>
    <hyperlink r:id="rId2529" ref="B1262"/>
    <hyperlink r:id="rId2530" ref="E1262"/>
    <hyperlink r:id="rId2531" ref="B1263"/>
    <hyperlink r:id="rId2532" ref="E1263"/>
    <hyperlink r:id="rId2533" ref="B1264"/>
    <hyperlink r:id="rId2534" ref="E1264"/>
    <hyperlink r:id="rId2535" ref="B1265"/>
    <hyperlink r:id="rId2536" ref="E1265"/>
    <hyperlink r:id="rId2537" ref="B1266"/>
    <hyperlink r:id="rId2538" ref="E1266"/>
    <hyperlink r:id="rId2539" ref="B1267"/>
    <hyperlink r:id="rId2540" ref="E1267"/>
    <hyperlink r:id="rId2541" ref="B1268"/>
    <hyperlink r:id="rId2542" ref="E1268"/>
  </hyperlinks>
  <drawing r:id="rId254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56"/>
    <col customWidth="1" min="2" max="2" width="46.78"/>
    <col customWidth="1" min="3" max="3" width="57.89"/>
    <col customWidth="1" min="4" max="4" width="31.22"/>
    <col customWidth="1" min="5" max="5" width="10.67"/>
    <col customWidth="1" min="6" max="6" width="16.78"/>
    <col customWidth="1" min="7" max="7" width="13.44"/>
  </cols>
  <sheetData>
    <row r="1">
      <c r="A1" s="192" t="s">
        <v>289</v>
      </c>
      <c r="B1" s="193" t="s">
        <v>287</v>
      </c>
      <c r="C1" s="193" t="s">
        <v>288</v>
      </c>
      <c r="D1" s="194" t="s">
        <v>293</v>
      </c>
      <c r="E1" s="194" t="s">
        <v>294</v>
      </c>
      <c r="F1" s="194" t="s">
        <v>295</v>
      </c>
      <c r="G1" s="194" t="s">
        <v>296</v>
      </c>
    </row>
    <row r="2">
      <c r="A2" s="195"/>
      <c r="B2" s="196" t="s">
        <v>300</v>
      </c>
      <c r="C2" s="197"/>
      <c r="D2" s="197"/>
      <c r="E2" s="197"/>
      <c r="F2" s="197"/>
      <c r="G2" s="197"/>
    </row>
    <row r="3">
      <c r="A3" s="198"/>
      <c r="B3" s="194" t="s">
        <v>2201</v>
      </c>
      <c r="C3" s="199" t="s">
        <v>298</v>
      </c>
      <c r="D3" s="194"/>
      <c r="E3" s="194"/>
      <c r="F3" s="194"/>
      <c r="G3" s="194"/>
    </row>
    <row r="4" ht="30.0" customHeight="1">
      <c r="A4" s="200" t="s">
        <v>303</v>
      </c>
      <c r="B4" s="201" t="s">
        <v>382</v>
      </c>
      <c r="C4" s="202" t="s">
        <v>383</v>
      </c>
      <c r="D4" s="203" t="s">
        <v>386</v>
      </c>
      <c r="E4" s="204">
        <v>87.0</v>
      </c>
      <c r="F4" s="205">
        <v>0.09</v>
      </c>
      <c r="G4" s="205">
        <v>0.26</v>
      </c>
    </row>
    <row r="5" ht="30.0" customHeight="1">
      <c r="A5" s="200" t="s">
        <v>303</v>
      </c>
      <c r="B5" s="206" t="s">
        <v>387</v>
      </c>
      <c r="C5" s="202" t="s">
        <v>388</v>
      </c>
      <c r="D5" s="203" t="s">
        <v>389</v>
      </c>
      <c r="E5" s="204">
        <v>86.0</v>
      </c>
      <c r="F5" s="205">
        <v>0.08</v>
      </c>
      <c r="G5" s="205">
        <v>0.78</v>
      </c>
    </row>
    <row r="6" ht="30.0" customHeight="1">
      <c r="A6" s="200" t="s">
        <v>303</v>
      </c>
      <c r="B6" s="206" t="s">
        <v>2212</v>
      </c>
      <c r="C6" s="202" t="s">
        <v>2214</v>
      </c>
      <c r="D6" s="203" t="s">
        <v>2215</v>
      </c>
      <c r="E6" s="204">
        <v>68.0</v>
      </c>
      <c r="F6" s="205">
        <v>0.07</v>
      </c>
      <c r="G6" s="205">
        <v>1.37</v>
      </c>
    </row>
    <row r="7" ht="30.0" customHeight="1">
      <c r="A7" s="200" t="s">
        <v>303</v>
      </c>
      <c r="B7" s="206" t="s">
        <v>635</v>
      </c>
      <c r="C7" s="202" t="s">
        <v>636</v>
      </c>
      <c r="D7" s="203" t="s">
        <v>637</v>
      </c>
      <c r="E7" s="204">
        <v>65.0</v>
      </c>
      <c r="F7" s="205">
        <v>0.06</v>
      </c>
      <c r="G7" s="205">
        <v>0.74</v>
      </c>
    </row>
    <row r="8" ht="30.0" customHeight="1">
      <c r="A8" s="200" t="s">
        <v>303</v>
      </c>
      <c r="B8" s="206" t="s">
        <v>2221</v>
      </c>
      <c r="C8" s="202" t="s">
        <v>2224</v>
      </c>
      <c r="D8" s="203" t="s">
        <v>2225</v>
      </c>
      <c r="E8" s="204">
        <v>63.0</v>
      </c>
      <c r="F8" s="205">
        <v>0.06</v>
      </c>
      <c r="G8" s="205">
        <v>1.16</v>
      </c>
    </row>
    <row r="9" ht="30.0" customHeight="1">
      <c r="A9" s="200" t="s">
        <v>303</v>
      </c>
      <c r="B9" s="206" t="s">
        <v>638</v>
      </c>
      <c r="C9" s="202" t="s">
        <v>639</v>
      </c>
      <c r="D9" s="203" t="s">
        <v>641</v>
      </c>
      <c r="E9" s="204">
        <v>62.0</v>
      </c>
      <c r="F9" s="205">
        <v>0.06</v>
      </c>
      <c r="G9" s="205">
        <v>2.06</v>
      </c>
    </row>
    <row r="10" ht="30.0" customHeight="1">
      <c r="A10" s="200" t="s">
        <v>303</v>
      </c>
      <c r="B10" s="206" t="s">
        <v>642</v>
      </c>
      <c r="C10" s="202" t="s">
        <v>643</v>
      </c>
      <c r="D10" s="203" t="s">
        <v>645</v>
      </c>
      <c r="E10" s="204">
        <v>62.0</v>
      </c>
      <c r="F10" s="205">
        <v>0.06</v>
      </c>
      <c r="G10" s="205">
        <v>0.9</v>
      </c>
    </row>
    <row r="11" ht="30.0" customHeight="1">
      <c r="A11" s="200" t="s">
        <v>303</v>
      </c>
      <c r="B11" s="206" t="s">
        <v>2230</v>
      </c>
      <c r="C11" s="202" t="s">
        <v>2232</v>
      </c>
      <c r="D11" s="203" t="s">
        <v>2234</v>
      </c>
      <c r="E11" s="204">
        <v>59.0</v>
      </c>
      <c r="F11" s="205">
        <v>0.06</v>
      </c>
      <c r="G11" s="205">
        <v>0.22</v>
      </c>
    </row>
    <row r="12" ht="30.0" customHeight="1">
      <c r="A12" s="200" t="s">
        <v>303</v>
      </c>
      <c r="B12" s="206" t="s">
        <v>646</v>
      </c>
      <c r="C12" s="202" t="s">
        <v>647</v>
      </c>
      <c r="D12" s="203" t="s">
        <v>649</v>
      </c>
      <c r="E12" s="204">
        <v>55.0</v>
      </c>
      <c r="F12" s="205">
        <v>0.05</v>
      </c>
      <c r="G12" s="205">
        <v>1.82</v>
      </c>
    </row>
    <row r="13" ht="30.0" customHeight="1">
      <c r="A13" s="200" t="s">
        <v>303</v>
      </c>
      <c r="B13" s="206" t="s">
        <v>650</v>
      </c>
      <c r="C13" s="202" t="s">
        <v>651</v>
      </c>
      <c r="D13" s="203" t="s">
        <v>652</v>
      </c>
      <c r="E13" s="204">
        <v>53.0</v>
      </c>
      <c r="F13" s="205">
        <v>0.05</v>
      </c>
      <c r="G13" s="205">
        <v>2.25</v>
      </c>
    </row>
    <row r="14" ht="30.0" customHeight="1">
      <c r="A14" s="200" t="s">
        <v>303</v>
      </c>
      <c r="B14" s="206" t="s">
        <v>653</v>
      </c>
      <c r="C14" s="202" t="s">
        <v>654</v>
      </c>
      <c r="D14" s="203" t="s">
        <v>656</v>
      </c>
      <c r="E14" s="204">
        <v>46.0</v>
      </c>
      <c r="F14" s="205">
        <v>0.05</v>
      </c>
      <c r="G14" s="205">
        <v>0.98</v>
      </c>
    </row>
    <row r="15" ht="30.0" customHeight="1">
      <c r="A15" s="200" t="s">
        <v>303</v>
      </c>
      <c r="B15" s="206" t="s">
        <v>2244</v>
      </c>
      <c r="C15" s="202" t="s">
        <v>2245</v>
      </c>
      <c r="D15" s="203" t="s">
        <v>2246</v>
      </c>
      <c r="E15" s="204">
        <v>44.0</v>
      </c>
      <c r="F15" s="205">
        <v>0.04</v>
      </c>
      <c r="G15" s="205">
        <v>0.0</v>
      </c>
    </row>
    <row r="16" ht="30.0" customHeight="1">
      <c r="A16" s="200" t="s">
        <v>303</v>
      </c>
      <c r="B16" s="206" t="s">
        <v>2247</v>
      </c>
      <c r="C16" s="202" t="s">
        <v>2248</v>
      </c>
      <c r="D16" s="203" t="s">
        <v>2249</v>
      </c>
      <c r="E16" s="204">
        <v>42.0</v>
      </c>
      <c r="F16" s="205">
        <v>0.04</v>
      </c>
      <c r="G16" s="205">
        <v>0.17</v>
      </c>
    </row>
    <row r="17" ht="30.0" customHeight="1">
      <c r="A17" s="200" t="s">
        <v>303</v>
      </c>
      <c r="B17" s="206" t="s">
        <v>323</v>
      </c>
      <c r="C17" s="202" t="s">
        <v>324</v>
      </c>
      <c r="D17" s="203" t="s">
        <v>327</v>
      </c>
      <c r="E17" s="204">
        <v>41.0</v>
      </c>
      <c r="F17" s="205">
        <v>0.04</v>
      </c>
      <c r="G17" s="205">
        <v>0.83</v>
      </c>
    </row>
    <row r="18" ht="30.0" customHeight="1">
      <c r="A18" s="200" t="s">
        <v>303</v>
      </c>
      <c r="B18" s="206" t="s">
        <v>657</v>
      </c>
      <c r="C18" s="202" t="s">
        <v>658</v>
      </c>
      <c r="D18" s="203" t="s">
        <v>660</v>
      </c>
      <c r="E18" s="204">
        <v>41.0</v>
      </c>
      <c r="F18" s="205">
        <v>0.04</v>
      </c>
      <c r="G18" s="205">
        <v>1.59</v>
      </c>
    </row>
    <row r="19" ht="30.0" customHeight="1">
      <c r="A19" s="200" t="s">
        <v>303</v>
      </c>
      <c r="B19" s="206" t="s">
        <v>390</v>
      </c>
      <c r="C19" s="202" t="s">
        <v>391</v>
      </c>
      <c r="D19" s="203" t="s">
        <v>392</v>
      </c>
      <c r="E19" s="204">
        <v>39.0</v>
      </c>
      <c r="F19" s="205">
        <v>0.04</v>
      </c>
      <c r="G19" s="205">
        <v>0.54</v>
      </c>
    </row>
    <row r="20" ht="30.0" customHeight="1">
      <c r="A20" s="200" t="s">
        <v>303</v>
      </c>
      <c r="B20" s="206" t="s">
        <v>661</v>
      </c>
      <c r="C20" s="202" t="s">
        <v>662</v>
      </c>
      <c r="D20" s="203" t="s">
        <v>664</v>
      </c>
      <c r="E20" s="204">
        <v>39.0</v>
      </c>
      <c r="F20" s="205">
        <v>0.04</v>
      </c>
      <c r="G20" s="205">
        <v>0.77</v>
      </c>
    </row>
    <row r="21" ht="30.0" customHeight="1">
      <c r="A21" s="200" t="s">
        <v>303</v>
      </c>
      <c r="B21" s="206" t="s">
        <v>665</v>
      </c>
      <c r="C21" s="202" t="s">
        <v>666</v>
      </c>
      <c r="D21" s="203" t="s">
        <v>668</v>
      </c>
      <c r="E21" s="204">
        <v>39.0</v>
      </c>
      <c r="F21" s="205">
        <v>0.04</v>
      </c>
      <c r="G21" s="205">
        <v>0.85</v>
      </c>
    </row>
    <row r="22" ht="30.0" customHeight="1">
      <c r="A22" s="200" t="s">
        <v>303</v>
      </c>
      <c r="B22" s="206" t="s">
        <v>669</v>
      </c>
      <c r="C22" s="202" t="s">
        <v>670</v>
      </c>
      <c r="D22" s="203" t="s">
        <v>671</v>
      </c>
      <c r="E22" s="204">
        <v>38.0</v>
      </c>
      <c r="F22" s="205">
        <v>0.04</v>
      </c>
      <c r="G22" s="205">
        <v>3.21</v>
      </c>
    </row>
    <row r="23" ht="30.0" customHeight="1">
      <c r="A23" s="200" t="s">
        <v>303</v>
      </c>
      <c r="B23" s="206" t="s">
        <v>2256</v>
      </c>
      <c r="C23" s="202" t="s">
        <v>2257</v>
      </c>
      <c r="D23" s="203" t="s">
        <v>2258</v>
      </c>
      <c r="E23" s="204">
        <v>37.0</v>
      </c>
      <c r="F23" s="205">
        <v>0.04</v>
      </c>
      <c r="G23" s="205">
        <v>0.54</v>
      </c>
    </row>
    <row r="24">
      <c r="A24" s="200" t="s">
        <v>303</v>
      </c>
      <c r="B24" s="206" t="s">
        <v>2261</v>
      </c>
      <c r="C24" s="202" t="s">
        <v>2262</v>
      </c>
      <c r="D24" s="203" t="s">
        <v>2263</v>
      </c>
      <c r="E24" s="204">
        <v>37.0</v>
      </c>
      <c r="F24" s="205">
        <v>0.04</v>
      </c>
      <c r="G24" s="205">
        <v>1.65</v>
      </c>
    </row>
    <row r="25" ht="30.0" customHeight="1">
      <c r="A25" s="200" t="s">
        <v>303</v>
      </c>
      <c r="B25" s="206" t="s">
        <v>672</v>
      </c>
      <c r="C25" s="202" t="s">
        <v>673</v>
      </c>
      <c r="D25" s="203" t="s">
        <v>674</v>
      </c>
      <c r="E25" s="204">
        <v>37.0</v>
      </c>
      <c r="F25" s="205">
        <v>0.04</v>
      </c>
      <c r="G25" s="205">
        <v>1.84</v>
      </c>
    </row>
    <row r="26" ht="30.0" customHeight="1">
      <c r="A26" s="200" t="s">
        <v>303</v>
      </c>
      <c r="B26" s="206" t="s">
        <v>2264</v>
      </c>
      <c r="C26" s="202" t="s">
        <v>2265</v>
      </c>
      <c r="D26" s="203" t="s">
        <v>641</v>
      </c>
      <c r="E26" s="204">
        <v>36.0</v>
      </c>
      <c r="F26" s="205">
        <v>0.04</v>
      </c>
      <c r="G26" s="205">
        <v>1.22</v>
      </c>
    </row>
    <row r="27" ht="30.0" customHeight="1">
      <c r="A27" s="200" t="s">
        <v>303</v>
      </c>
      <c r="B27" s="206" t="s">
        <v>2266</v>
      </c>
      <c r="C27" s="202" t="s">
        <v>2267</v>
      </c>
      <c r="D27" s="203" t="s">
        <v>2268</v>
      </c>
      <c r="E27" s="204">
        <v>36.0</v>
      </c>
      <c r="F27" s="205">
        <v>0.04</v>
      </c>
      <c r="G27" s="205">
        <v>0.5</v>
      </c>
    </row>
    <row r="28" ht="30.0" customHeight="1">
      <c r="A28" s="200" t="s">
        <v>303</v>
      </c>
      <c r="B28" s="206" t="s">
        <v>675</v>
      </c>
      <c r="C28" s="202" t="s">
        <v>676</v>
      </c>
      <c r="D28" s="203" t="s">
        <v>678</v>
      </c>
      <c r="E28" s="204">
        <v>35.0</v>
      </c>
      <c r="F28" s="205">
        <v>0.03</v>
      </c>
      <c r="G28" s="205">
        <v>1.11</v>
      </c>
    </row>
    <row r="29" ht="30.0" customHeight="1">
      <c r="A29" s="200" t="s">
        <v>303</v>
      </c>
      <c r="B29" s="206" t="s">
        <v>679</v>
      </c>
      <c r="C29" s="202" t="s">
        <v>680</v>
      </c>
      <c r="D29" s="203" t="s">
        <v>681</v>
      </c>
      <c r="E29" s="204">
        <v>35.0</v>
      </c>
      <c r="F29" s="205">
        <v>0.03</v>
      </c>
      <c r="G29" s="205">
        <v>0.97</v>
      </c>
    </row>
    <row r="30" ht="30.0" customHeight="1">
      <c r="A30" s="200" t="s">
        <v>303</v>
      </c>
      <c r="B30" s="206" t="s">
        <v>2269</v>
      </c>
      <c r="C30" s="202" t="s">
        <v>2270</v>
      </c>
      <c r="D30" s="203" t="s">
        <v>2271</v>
      </c>
      <c r="E30" s="204">
        <v>34.0</v>
      </c>
      <c r="F30" s="205">
        <v>0.03</v>
      </c>
      <c r="G30" s="205">
        <v>0.76</v>
      </c>
    </row>
    <row r="31" ht="30.0" customHeight="1">
      <c r="A31" s="200" t="s">
        <v>303</v>
      </c>
      <c r="B31" s="206" t="s">
        <v>682</v>
      </c>
      <c r="C31" s="202" t="s">
        <v>683</v>
      </c>
      <c r="D31" s="203" t="s">
        <v>685</v>
      </c>
      <c r="E31" s="204">
        <v>34.0</v>
      </c>
      <c r="F31" s="205">
        <v>0.03</v>
      </c>
      <c r="G31" s="205">
        <v>1.32</v>
      </c>
    </row>
    <row r="32" ht="30.0" customHeight="1">
      <c r="A32" s="200" t="s">
        <v>303</v>
      </c>
      <c r="B32" s="206" t="s">
        <v>686</v>
      </c>
      <c r="C32" s="202" t="s">
        <v>687</v>
      </c>
      <c r="D32" s="203" t="s">
        <v>689</v>
      </c>
      <c r="E32" s="204">
        <v>34.0</v>
      </c>
      <c r="F32" s="205">
        <v>0.03</v>
      </c>
      <c r="G32" s="205">
        <v>0.12</v>
      </c>
    </row>
    <row r="33" ht="30.0" customHeight="1">
      <c r="A33" s="200" t="s">
        <v>303</v>
      </c>
      <c r="B33" s="206" t="s">
        <v>690</v>
      </c>
      <c r="C33" s="202" t="s">
        <v>691</v>
      </c>
      <c r="D33" s="203" t="s">
        <v>692</v>
      </c>
      <c r="E33" s="204">
        <v>34.0</v>
      </c>
      <c r="F33" s="205">
        <v>0.03</v>
      </c>
      <c r="G33" s="205">
        <v>1.53</v>
      </c>
    </row>
    <row r="34" ht="30.0" customHeight="1">
      <c r="A34" s="200" t="s">
        <v>303</v>
      </c>
      <c r="B34" s="206" t="s">
        <v>2272</v>
      </c>
      <c r="C34" s="202" t="s">
        <v>2273</v>
      </c>
      <c r="D34" s="203" t="s">
        <v>254</v>
      </c>
      <c r="E34" s="204">
        <v>33.0</v>
      </c>
      <c r="F34" s="205">
        <v>0.03</v>
      </c>
      <c r="G34" s="205">
        <v>0.24</v>
      </c>
    </row>
    <row r="35" ht="30.0" customHeight="1">
      <c r="A35" s="200" t="s">
        <v>303</v>
      </c>
      <c r="B35" s="206" t="s">
        <v>2274</v>
      </c>
      <c r="C35" s="202" t="s">
        <v>457</v>
      </c>
      <c r="D35" s="203" t="s">
        <v>526</v>
      </c>
      <c r="E35" s="204">
        <v>33.0</v>
      </c>
      <c r="F35" s="205">
        <v>0.03</v>
      </c>
      <c r="G35" s="205">
        <v>0.94</v>
      </c>
    </row>
    <row r="36" ht="30.0" customHeight="1">
      <c r="A36" s="200" t="s">
        <v>303</v>
      </c>
      <c r="B36" s="206" t="s">
        <v>693</v>
      </c>
      <c r="C36" s="202" t="s">
        <v>694</v>
      </c>
      <c r="D36" s="203" t="s">
        <v>652</v>
      </c>
      <c r="E36" s="204">
        <v>33.0</v>
      </c>
      <c r="F36" s="205">
        <v>0.03</v>
      </c>
      <c r="G36" s="205">
        <v>1.7</v>
      </c>
    </row>
    <row r="37" ht="30.0" customHeight="1">
      <c r="A37" s="200" t="s">
        <v>303</v>
      </c>
      <c r="B37" s="206" t="s">
        <v>2275</v>
      </c>
      <c r="C37" s="202" t="s">
        <v>2276</v>
      </c>
      <c r="D37" s="203" t="s">
        <v>2277</v>
      </c>
      <c r="E37" s="204">
        <v>32.0</v>
      </c>
      <c r="F37" s="205">
        <v>0.03</v>
      </c>
      <c r="G37" s="205">
        <v>0.84</v>
      </c>
    </row>
    <row r="38" ht="30.0" customHeight="1">
      <c r="A38" s="200" t="s">
        <v>303</v>
      </c>
      <c r="B38" s="206" t="s">
        <v>393</v>
      </c>
      <c r="C38" s="202" t="s">
        <v>394</v>
      </c>
      <c r="D38" s="203" t="s">
        <v>395</v>
      </c>
      <c r="E38" s="204">
        <v>31.0</v>
      </c>
      <c r="F38" s="205">
        <v>0.03</v>
      </c>
      <c r="G38" s="205">
        <v>1.03</v>
      </c>
    </row>
    <row r="39" ht="30.0" customHeight="1">
      <c r="A39" s="200" t="s">
        <v>303</v>
      </c>
      <c r="B39" s="206" t="s">
        <v>2278</v>
      </c>
      <c r="C39" s="202" t="s">
        <v>2279</v>
      </c>
      <c r="D39" s="203" t="s">
        <v>2280</v>
      </c>
      <c r="E39" s="204">
        <v>31.0</v>
      </c>
      <c r="F39" s="205">
        <v>0.03</v>
      </c>
      <c r="G39" s="205">
        <v>0.55</v>
      </c>
    </row>
    <row r="40" ht="30.0" customHeight="1">
      <c r="A40" s="200" t="s">
        <v>303</v>
      </c>
      <c r="B40" s="206" t="s">
        <v>2281</v>
      </c>
      <c r="C40" s="202" t="s">
        <v>2282</v>
      </c>
      <c r="D40" s="203" t="s">
        <v>2283</v>
      </c>
      <c r="E40" s="204">
        <v>31.0</v>
      </c>
      <c r="F40" s="205">
        <v>0.03</v>
      </c>
      <c r="G40" s="205">
        <v>0.19</v>
      </c>
    </row>
    <row r="41" ht="30.0" customHeight="1">
      <c r="A41" s="200" t="s">
        <v>303</v>
      </c>
      <c r="B41" s="206" t="s">
        <v>2284</v>
      </c>
      <c r="C41" s="202" t="s">
        <v>2285</v>
      </c>
      <c r="D41" s="203" t="s">
        <v>2286</v>
      </c>
      <c r="E41" s="204">
        <v>30.0</v>
      </c>
      <c r="F41" s="205">
        <v>0.03</v>
      </c>
      <c r="G41" s="205">
        <v>0.57</v>
      </c>
    </row>
    <row r="42" ht="30.0" customHeight="1">
      <c r="A42" s="200" t="s">
        <v>303</v>
      </c>
      <c r="B42" s="206" t="s">
        <v>328</v>
      </c>
      <c r="C42" s="202" t="s">
        <v>329</v>
      </c>
      <c r="D42" s="203" t="s">
        <v>331</v>
      </c>
      <c r="E42" s="204">
        <v>30.0</v>
      </c>
      <c r="F42" s="205">
        <v>0.03</v>
      </c>
      <c r="G42" s="205">
        <v>1.27</v>
      </c>
    </row>
    <row r="43" ht="30.0" customHeight="1">
      <c r="A43" s="200" t="s">
        <v>303</v>
      </c>
      <c r="B43" s="206" t="s">
        <v>396</v>
      </c>
      <c r="C43" s="202" t="s">
        <v>397</v>
      </c>
      <c r="D43" s="203" t="s">
        <v>398</v>
      </c>
      <c r="E43" s="204">
        <v>29.0</v>
      </c>
      <c r="F43" s="205">
        <v>0.03</v>
      </c>
      <c r="G43" s="205">
        <v>0.93</v>
      </c>
    </row>
    <row r="44" ht="30.0" customHeight="1">
      <c r="A44" s="200" t="s">
        <v>303</v>
      </c>
      <c r="B44" s="206" t="s">
        <v>695</v>
      </c>
      <c r="C44" s="202" t="s">
        <v>696</v>
      </c>
      <c r="D44" s="203" t="s">
        <v>697</v>
      </c>
      <c r="E44" s="204">
        <v>29.0</v>
      </c>
      <c r="F44" s="205">
        <v>0.03</v>
      </c>
      <c r="G44" s="205">
        <v>1.72</v>
      </c>
    </row>
    <row r="45" ht="30.0" customHeight="1">
      <c r="A45" s="200" t="s">
        <v>303</v>
      </c>
      <c r="B45" s="206" t="s">
        <v>698</v>
      </c>
      <c r="C45" s="202" t="s">
        <v>699</v>
      </c>
      <c r="D45" s="203" t="s">
        <v>701</v>
      </c>
      <c r="E45" s="204">
        <v>29.0</v>
      </c>
      <c r="F45" s="205">
        <v>0.03</v>
      </c>
      <c r="G45" s="205">
        <v>1.17</v>
      </c>
    </row>
    <row r="46" ht="30.0" customHeight="1">
      <c r="A46" s="200" t="s">
        <v>303</v>
      </c>
      <c r="B46" s="206" t="s">
        <v>2287</v>
      </c>
      <c r="C46" s="202" t="s">
        <v>2288</v>
      </c>
      <c r="D46" s="203" t="s">
        <v>2289</v>
      </c>
      <c r="E46" s="204">
        <v>29.0</v>
      </c>
      <c r="F46" s="205">
        <v>0.03</v>
      </c>
      <c r="G46" s="205">
        <v>0.76</v>
      </c>
    </row>
    <row r="47" ht="30.0" customHeight="1">
      <c r="A47" s="200" t="s">
        <v>303</v>
      </c>
      <c r="B47" s="206" t="s">
        <v>702</v>
      </c>
      <c r="C47" s="202" t="s">
        <v>703</v>
      </c>
      <c r="D47" s="203" t="s">
        <v>705</v>
      </c>
      <c r="E47" s="204">
        <v>29.0</v>
      </c>
      <c r="F47" s="205">
        <v>0.03</v>
      </c>
      <c r="G47" s="205">
        <v>0.48</v>
      </c>
    </row>
    <row r="48" ht="30.0" customHeight="1">
      <c r="A48" s="200" t="s">
        <v>303</v>
      </c>
      <c r="B48" s="206" t="s">
        <v>706</v>
      </c>
      <c r="C48" s="202" t="s">
        <v>707</v>
      </c>
      <c r="D48" s="203" t="s">
        <v>709</v>
      </c>
      <c r="E48" s="204">
        <v>29.0</v>
      </c>
      <c r="F48" s="205">
        <v>0.03</v>
      </c>
      <c r="G48" s="205">
        <v>1.48</v>
      </c>
    </row>
    <row r="49" ht="30.0" customHeight="1">
      <c r="A49" s="200" t="s">
        <v>303</v>
      </c>
      <c r="B49" s="206" t="s">
        <v>399</v>
      </c>
      <c r="C49" s="202" t="s">
        <v>400</v>
      </c>
      <c r="D49" s="203" t="s">
        <v>401</v>
      </c>
      <c r="E49" s="204">
        <v>28.0</v>
      </c>
      <c r="F49" s="205">
        <v>0.03</v>
      </c>
      <c r="G49" s="205">
        <v>0.21</v>
      </c>
    </row>
    <row r="50" ht="30.0" customHeight="1">
      <c r="A50" s="200" t="s">
        <v>303</v>
      </c>
      <c r="B50" s="206" t="s">
        <v>710</v>
      </c>
      <c r="C50" s="202" t="s">
        <v>711</v>
      </c>
      <c r="D50" s="203" t="s">
        <v>712</v>
      </c>
      <c r="E50" s="204">
        <v>28.0</v>
      </c>
      <c r="F50" s="205">
        <v>0.03</v>
      </c>
      <c r="G50" s="205">
        <v>1.18</v>
      </c>
    </row>
    <row r="51" ht="30.0" customHeight="1">
      <c r="A51" s="200" t="s">
        <v>303</v>
      </c>
      <c r="B51" s="206" t="s">
        <v>2290</v>
      </c>
      <c r="C51" s="202" t="s">
        <v>2291</v>
      </c>
      <c r="D51" s="203" t="s">
        <v>2292</v>
      </c>
      <c r="E51" s="204">
        <v>28.0</v>
      </c>
      <c r="F51" s="205">
        <v>0.03</v>
      </c>
      <c r="G51" s="205">
        <v>0.5</v>
      </c>
    </row>
    <row r="52" ht="30.0" customHeight="1">
      <c r="A52" s="200" t="s">
        <v>303</v>
      </c>
      <c r="B52" s="206" t="s">
        <v>2293</v>
      </c>
      <c r="C52" s="202" t="s">
        <v>2294</v>
      </c>
      <c r="D52" s="203" t="s">
        <v>2295</v>
      </c>
      <c r="E52" s="204">
        <v>28.0</v>
      </c>
      <c r="F52" s="205">
        <v>0.03</v>
      </c>
      <c r="G52" s="205">
        <v>1.14</v>
      </c>
    </row>
    <row r="53" ht="30.0" customHeight="1">
      <c r="A53" s="200" t="s">
        <v>303</v>
      </c>
      <c r="B53" s="206" t="s">
        <v>2296</v>
      </c>
      <c r="C53" s="202" t="s">
        <v>2297</v>
      </c>
      <c r="D53" s="203" t="s">
        <v>2298</v>
      </c>
      <c r="E53" s="204">
        <v>28.0</v>
      </c>
      <c r="F53" s="205">
        <v>0.03</v>
      </c>
      <c r="G53" s="205">
        <v>0.68</v>
      </c>
    </row>
    <row r="54" ht="30.0" customHeight="1">
      <c r="A54" s="200" t="s">
        <v>303</v>
      </c>
      <c r="B54" s="206" t="s">
        <v>2299</v>
      </c>
      <c r="C54" s="202" t="s">
        <v>2300</v>
      </c>
      <c r="D54" s="203" t="s">
        <v>2301</v>
      </c>
      <c r="E54" s="204">
        <v>27.0</v>
      </c>
      <c r="F54" s="205">
        <v>0.03</v>
      </c>
      <c r="G54" s="205">
        <v>0.93</v>
      </c>
    </row>
    <row r="55" ht="30.0" customHeight="1">
      <c r="A55" s="200" t="s">
        <v>303</v>
      </c>
      <c r="B55" s="206" t="s">
        <v>713</v>
      </c>
      <c r="C55" s="202" t="s">
        <v>714</v>
      </c>
      <c r="D55" s="203" t="s">
        <v>715</v>
      </c>
      <c r="E55" s="204">
        <v>27.0</v>
      </c>
      <c r="F55" s="205">
        <v>0.03</v>
      </c>
      <c r="G55" s="205">
        <v>1.7</v>
      </c>
    </row>
    <row r="56" ht="30.0" customHeight="1">
      <c r="A56" s="200" t="s">
        <v>303</v>
      </c>
      <c r="B56" s="206" t="s">
        <v>2302</v>
      </c>
      <c r="C56" s="202" t="s">
        <v>2303</v>
      </c>
      <c r="D56" s="203" t="s">
        <v>2304</v>
      </c>
      <c r="E56" s="204">
        <v>27.0</v>
      </c>
      <c r="F56" s="205">
        <v>0.03</v>
      </c>
      <c r="G56" s="205">
        <v>2.15</v>
      </c>
    </row>
    <row r="57" ht="30.0" customHeight="1">
      <c r="A57" s="200" t="s">
        <v>303</v>
      </c>
      <c r="B57" s="206" t="s">
        <v>716</v>
      </c>
      <c r="C57" s="202" t="s">
        <v>717</v>
      </c>
      <c r="D57" s="203" t="s">
        <v>719</v>
      </c>
      <c r="E57" s="204">
        <v>27.0</v>
      </c>
      <c r="F57" s="205">
        <v>0.03</v>
      </c>
      <c r="G57" s="205">
        <v>1.41</v>
      </c>
    </row>
    <row r="58" ht="30.0" customHeight="1">
      <c r="A58" s="200" t="s">
        <v>303</v>
      </c>
      <c r="B58" s="206" t="s">
        <v>2305</v>
      </c>
      <c r="C58" s="202" t="s">
        <v>2306</v>
      </c>
      <c r="D58" s="203" t="s">
        <v>2307</v>
      </c>
      <c r="E58" s="204">
        <v>27.0</v>
      </c>
      <c r="F58" s="205">
        <v>0.03</v>
      </c>
      <c r="G58" s="205">
        <v>0.0</v>
      </c>
    </row>
    <row r="59" ht="30.0" customHeight="1">
      <c r="A59" s="200" t="s">
        <v>303</v>
      </c>
      <c r="B59" s="206" t="s">
        <v>2308</v>
      </c>
      <c r="C59" s="202" t="s">
        <v>2309</v>
      </c>
      <c r="D59" s="203" t="s">
        <v>2310</v>
      </c>
      <c r="E59" s="204">
        <v>26.0</v>
      </c>
      <c r="F59" s="205">
        <v>0.03</v>
      </c>
      <c r="G59" s="205">
        <v>0.5</v>
      </c>
    </row>
    <row r="60" ht="30.0" customHeight="1">
      <c r="A60" s="200" t="s">
        <v>303</v>
      </c>
      <c r="B60" s="206" t="s">
        <v>402</v>
      </c>
      <c r="C60" s="202" t="s">
        <v>403</v>
      </c>
      <c r="D60" s="203" t="s">
        <v>404</v>
      </c>
      <c r="E60" s="204">
        <v>26.0</v>
      </c>
      <c r="F60" s="205">
        <v>0.03</v>
      </c>
      <c r="G60" s="205">
        <v>0.12</v>
      </c>
    </row>
    <row r="61" ht="30.0" customHeight="1">
      <c r="A61" s="200" t="s">
        <v>303</v>
      </c>
      <c r="B61" s="206" t="s">
        <v>2311</v>
      </c>
      <c r="C61" s="202" t="s">
        <v>2312</v>
      </c>
      <c r="D61" s="203" t="s">
        <v>2313</v>
      </c>
      <c r="E61" s="204">
        <v>26.0</v>
      </c>
      <c r="F61" s="205">
        <v>0.03</v>
      </c>
      <c r="G61" s="205">
        <v>0.12</v>
      </c>
    </row>
    <row r="62" ht="30.0" customHeight="1">
      <c r="A62" s="200" t="s">
        <v>303</v>
      </c>
      <c r="B62" s="206" t="s">
        <v>723</v>
      </c>
      <c r="C62" s="202" t="s">
        <v>724</v>
      </c>
      <c r="D62" s="203" t="s">
        <v>725</v>
      </c>
      <c r="E62" s="204">
        <v>26.0</v>
      </c>
      <c r="F62" s="205">
        <v>0.03</v>
      </c>
      <c r="G62" s="205">
        <v>0.92</v>
      </c>
    </row>
    <row r="63" ht="30.0" customHeight="1">
      <c r="A63" s="200" t="s">
        <v>303</v>
      </c>
      <c r="B63" s="206" t="s">
        <v>726</v>
      </c>
      <c r="C63" s="202" t="s">
        <v>727</v>
      </c>
      <c r="D63" s="203" t="s">
        <v>728</v>
      </c>
      <c r="E63" s="204">
        <v>26.0</v>
      </c>
      <c r="F63" s="205">
        <v>0.03</v>
      </c>
      <c r="G63" s="205">
        <v>0.42</v>
      </c>
    </row>
    <row r="64" ht="30.0" customHeight="1">
      <c r="A64" s="200" t="s">
        <v>303</v>
      </c>
      <c r="B64" s="206" t="s">
        <v>405</v>
      </c>
      <c r="C64" s="202" t="s">
        <v>406</v>
      </c>
      <c r="D64" s="203" t="s">
        <v>407</v>
      </c>
      <c r="E64" s="204">
        <v>25.0</v>
      </c>
      <c r="F64" s="205">
        <v>0.02</v>
      </c>
      <c r="G64" s="205">
        <v>0.4</v>
      </c>
    </row>
    <row r="65" ht="30.0" customHeight="1">
      <c r="A65" s="200" t="s">
        <v>303</v>
      </c>
      <c r="B65" s="206" t="s">
        <v>2314</v>
      </c>
      <c r="C65" s="202" t="s">
        <v>2315</v>
      </c>
      <c r="D65" s="203" t="s">
        <v>2316</v>
      </c>
      <c r="E65" s="204">
        <v>24.0</v>
      </c>
      <c r="F65" s="205">
        <v>0.02</v>
      </c>
      <c r="G65" s="205">
        <v>1.13</v>
      </c>
    </row>
    <row r="66" ht="30.0" customHeight="1">
      <c r="A66" s="200" t="s">
        <v>303</v>
      </c>
      <c r="B66" s="206" t="s">
        <v>2317</v>
      </c>
      <c r="C66" s="202" t="s">
        <v>2318</v>
      </c>
      <c r="D66" s="203" t="s">
        <v>2319</v>
      </c>
      <c r="E66" s="204">
        <v>24.0</v>
      </c>
      <c r="F66" s="205">
        <v>0.02</v>
      </c>
      <c r="G66" s="205">
        <v>1.04</v>
      </c>
    </row>
    <row r="67" ht="30.0" customHeight="1">
      <c r="A67" s="200" t="s">
        <v>303</v>
      </c>
      <c r="B67" s="206" t="s">
        <v>408</v>
      </c>
      <c r="C67" s="202" t="s">
        <v>409</v>
      </c>
      <c r="D67" s="203" t="s">
        <v>410</v>
      </c>
      <c r="E67" s="204">
        <v>24.0</v>
      </c>
      <c r="F67" s="205">
        <v>0.02</v>
      </c>
      <c r="G67" s="205">
        <v>1.54</v>
      </c>
    </row>
    <row r="68" ht="30.0" customHeight="1">
      <c r="A68" s="200" t="s">
        <v>303</v>
      </c>
      <c r="B68" s="206" t="s">
        <v>729</v>
      </c>
      <c r="C68" s="202" t="s">
        <v>730</v>
      </c>
      <c r="D68" s="203" t="s">
        <v>731</v>
      </c>
      <c r="E68" s="204">
        <v>24.0</v>
      </c>
      <c r="F68" s="205">
        <v>0.02</v>
      </c>
      <c r="G68" s="205">
        <v>2.25</v>
      </c>
    </row>
    <row r="69" ht="30.0" customHeight="1">
      <c r="A69" s="200" t="s">
        <v>303</v>
      </c>
      <c r="B69" s="206" t="s">
        <v>2320</v>
      </c>
      <c r="C69" s="202" t="s">
        <v>2321</v>
      </c>
      <c r="D69" s="203" t="s">
        <v>2322</v>
      </c>
      <c r="E69" s="204">
        <v>24.0</v>
      </c>
      <c r="F69" s="205">
        <v>0.02</v>
      </c>
      <c r="G69" s="205">
        <v>0.79</v>
      </c>
    </row>
    <row r="70" ht="30.0" customHeight="1">
      <c r="A70" s="200" t="s">
        <v>303</v>
      </c>
      <c r="B70" s="206" t="s">
        <v>732</v>
      </c>
      <c r="C70" s="202" t="s">
        <v>733</v>
      </c>
      <c r="D70" s="203" t="s">
        <v>734</v>
      </c>
      <c r="E70" s="204">
        <v>24.0</v>
      </c>
      <c r="F70" s="205">
        <v>0.02</v>
      </c>
      <c r="G70" s="205">
        <v>1.38</v>
      </c>
    </row>
    <row r="71" ht="30.0" customHeight="1">
      <c r="A71" s="200" t="s">
        <v>303</v>
      </c>
      <c r="B71" s="206" t="s">
        <v>2323</v>
      </c>
      <c r="C71" s="202" t="s">
        <v>2324</v>
      </c>
      <c r="D71" s="203" t="s">
        <v>2325</v>
      </c>
      <c r="E71" s="204">
        <v>24.0</v>
      </c>
      <c r="F71" s="205">
        <v>0.02</v>
      </c>
      <c r="G71" s="205">
        <v>1.46</v>
      </c>
    </row>
    <row r="72" ht="30.0" customHeight="1">
      <c r="A72" s="200" t="s">
        <v>303</v>
      </c>
      <c r="B72" s="206" t="s">
        <v>2326</v>
      </c>
      <c r="C72" s="202" t="s">
        <v>2327</v>
      </c>
      <c r="D72" s="203" t="s">
        <v>2328</v>
      </c>
      <c r="E72" s="204">
        <v>24.0</v>
      </c>
      <c r="F72" s="205">
        <v>0.02</v>
      </c>
      <c r="G72" s="205">
        <v>0.38</v>
      </c>
    </row>
    <row r="73" ht="30.0" customHeight="1">
      <c r="A73" s="200" t="s">
        <v>303</v>
      </c>
      <c r="B73" s="206" t="s">
        <v>2329</v>
      </c>
      <c r="C73" s="202" t="s">
        <v>2330</v>
      </c>
      <c r="D73" s="203" t="s">
        <v>2331</v>
      </c>
      <c r="E73" s="204">
        <v>23.0</v>
      </c>
      <c r="F73" s="205">
        <v>0.02</v>
      </c>
      <c r="G73" s="205">
        <v>0.39</v>
      </c>
    </row>
    <row r="74" ht="30.0" customHeight="1">
      <c r="A74" s="200" t="s">
        <v>303</v>
      </c>
      <c r="B74" s="206" t="s">
        <v>2332</v>
      </c>
      <c r="C74" s="202" t="s">
        <v>2333</v>
      </c>
      <c r="D74" s="203" t="s">
        <v>2334</v>
      </c>
      <c r="E74" s="204">
        <v>23.0</v>
      </c>
      <c r="F74" s="205">
        <v>0.02</v>
      </c>
      <c r="G74" s="205">
        <v>0.87</v>
      </c>
    </row>
    <row r="75" ht="30.0" customHeight="1">
      <c r="A75" s="200" t="s">
        <v>303</v>
      </c>
      <c r="B75" s="206" t="s">
        <v>735</v>
      </c>
      <c r="C75" s="202" t="s">
        <v>736</v>
      </c>
      <c r="D75" s="203" t="s">
        <v>738</v>
      </c>
      <c r="E75" s="204">
        <v>23.0</v>
      </c>
      <c r="F75" s="205">
        <v>0.02</v>
      </c>
      <c r="G75" s="205">
        <v>0.57</v>
      </c>
    </row>
    <row r="76" ht="30.0" customHeight="1">
      <c r="A76" s="200" t="s">
        <v>303</v>
      </c>
      <c r="B76" s="206" t="s">
        <v>2335</v>
      </c>
      <c r="C76" s="202" t="s">
        <v>2336</v>
      </c>
      <c r="D76" s="203" t="s">
        <v>2337</v>
      </c>
      <c r="E76" s="204">
        <v>23.0</v>
      </c>
      <c r="F76" s="205">
        <v>0.02</v>
      </c>
      <c r="G76" s="205">
        <v>0.74</v>
      </c>
    </row>
    <row r="77" ht="30.0" customHeight="1">
      <c r="A77" s="200" t="s">
        <v>303</v>
      </c>
      <c r="B77" s="206" t="s">
        <v>739</v>
      </c>
      <c r="C77" s="202" t="s">
        <v>740</v>
      </c>
      <c r="D77" s="203" t="s">
        <v>741</v>
      </c>
      <c r="E77" s="204">
        <v>23.0</v>
      </c>
      <c r="F77" s="205">
        <v>0.02</v>
      </c>
      <c r="G77" s="205">
        <v>1.0</v>
      </c>
    </row>
    <row r="78" ht="30.0" customHeight="1">
      <c r="A78" s="200" t="s">
        <v>303</v>
      </c>
      <c r="B78" s="206" t="s">
        <v>2339</v>
      </c>
      <c r="C78" s="202" t="s">
        <v>2341</v>
      </c>
      <c r="D78" s="203" t="s">
        <v>2342</v>
      </c>
      <c r="E78" s="204">
        <v>23.0</v>
      </c>
      <c r="F78" s="205">
        <v>0.02</v>
      </c>
      <c r="G78" s="205">
        <v>0.04</v>
      </c>
    </row>
    <row r="79" ht="30.0" customHeight="1">
      <c r="A79" s="200" t="s">
        <v>303</v>
      </c>
      <c r="B79" s="206" t="s">
        <v>742</v>
      </c>
      <c r="C79" s="202" t="s">
        <v>744</v>
      </c>
      <c r="D79" s="203" t="s">
        <v>748</v>
      </c>
      <c r="E79" s="204">
        <v>23.0</v>
      </c>
      <c r="F79" s="205">
        <v>0.02</v>
      </c>
      <c r="G79" s="205">
        <v>0.91</v>
      </c>
    </row>
    <row r="80" ht="30.0" customHeight="1">
      <c r="A80" s="200" t="s">
        <v>303</v>
      </c>
      <c r="B80" s="206" t="s">
        <v>750</v>
      </c>
      <c r="C80" s="202" t="s">
        <v>752</v>
      </c>
      <c r="D80" s="203" t="s">
        <v>753</v>
      </c>
      <c r="E80" s="204">
        <v>23.0</v>
      </c>
      <c r="F80" s="205">
        <v>0.02</v>
      </c>
      <c r="G80" s="205">
        <v>2.43</v>
      </c>
    </row>
    <row r="81" ht="30.0" customHeight="1">
      <c r="A81" s="200" t="s">
        <v>303</v>
      </c>
      <c r="B81" s="206" t="s">
        <v>411</v>
      </c>
      <c r="C81" s="202" t="s">
        <v>412</v>
      </c>
      <c r="D81" s="203" t="s">
        <v>413</v>
      </c>
      <c r="E81" s="204">
        <v>22.0</v>
      </c>
      <c r="F81" s="205">
        <v>0.02</v>
      </c>
      <c r="G81" s="205">
        <v>2.09</v>
      </c>
    </row>
    <row r="82" ht="30.0" customHeight="1">
      <c r="A82" s="200" t="s">
        <v>303</v>
      </c>
      <c r="B82" s="206" t="s">
        <v>2345</v>
      </c>
      <c r="C82" s="202" t="s">
        <v>2346</v>
      </c>
      <c r="D82" s="203"/>
      <c r="E82" s="204">
        <v>22.0</v>
      </c>
      <c r="F82" s="205">
        <v>0.02</v>
      </c>
      <c r="G82" s="205">
        <v>0.14</v>
      </c>
    </row>
    <row r="83" ht="30.0" customHeight="1">
      <c r="A83" s="200" t="s">
        <v>303</v>
      </c>
      <c r="B83" s="206" t="s">
        <v>2347</v>
      </c>
      <c r="C83" s="202" t="s">
        <v>2350</v>
      </c>
      <c r="D83" s="203" t="s">
        <v>2351</v>
      </c>
      <c r="E83" s="204">
        <v>22.0</v>
      </c>
      <c r="F83" s="205">
        <v>0.02</v>
      </c>
      <c r="G83" s="205">
        <v>1.45</v>
      </c>
    </row>
    <row r="84" ht="30.0" customHeight="1">
      <c r="A84" s="200" t="s">
        <v>303</v>
      </c>
      <c r="B84" s="206" t="s">
        <v>754</v>
      </c>
      <c r="C84" s="202" t="s">
        <v>755</v>
      </c>
      <c r="D84" s="203" t="s">
        <v>757</v>
      </c>
      <c r="E84" s="204">
        <v>22.0</v>
      </c>
      <c r="F84" s="205">
        <v>0.02</v>
      </c>
      <c r="G84" s="205">
        <v>0.77</v>
      </c>
    </row>
    <row r="85" ht="30.0" customHeight="1">
      <c r="A85" s="200" t="s">
        <v>303</v>
      </c>
      <c r="B85" s="206" t="s">
        <v>2352</v>
      </c>
      <c r="C85" s="202" t="s">
        <v>2353</v>
      </c>
      <c r="D85" s="203" t="s">
        <v>2354</v>
      </c>
      <c r="E85" s="204">
        <v>22.0</v>
      </c>
      <c r="F85" s="205">
        <v>0.02</v>
      </c>
      <c r="G85" s="205">
        <v>0.82</v>
      </c>
    </row>
    <row r="86" ht="30.0" customHeight="1">
      <c r="A86" s="200" t="s">
        <v>303</v>
      </c>
      <c r="B86" s="206" t="s">
        <v>758</v>
      </c>
      <c r="C86" s="202" t="s">
        <v>759</v>
      </c>
      <c r="D86" s="203" t="s">
        <v>761</v>
      </c>
      <c r="E86" s="204">
        <v>22.0</v>
      </c>
      <c r="F86" s="205">
        <v>0.02</v>
      </c>
      <c r="G86" s="205">
        <v>0.77</v>
      </c>
    </row>
    <row r="87" ht="30.0" customHeight="1">
      <c r="A87" s="200" t="s">
        <v>303</v>
      </c>
      <c r="B87" s="206" t="s">
        <v>2357</v>
      </c>
      <c r="C87" s="202" t="s">
        <v>2358</v>
      </c>
      <c r="D87" s="203" t="s">
        <v>2249</v>
      </c>
      <c r="E87" s="204">
        <v>21.0</v>
      </c>
      <c r="F87" s="205">
        <v>0.02</v>
      </c>
      <c r="G87" s="205">
        <v>0.1</v>
      </c>
    </row>
    <row r="88" ht="30.0" customHeight="1">
      <c r="A88" s="200" t="s">
        <v>303</v>
      </c>
      <c r="B88" s="206" t="s">
        <v>2359</v>
      </c>
      <c r="C88" s="202" t="s">
        <v>2361</v>
      </c>
      <c r="D88" s="203" t="s">
        <v>2363</v>
      </c>
      <c r="E88" s="204">
        <v>21.0</v>
      </c>
      <c r="F88" s="205">
        <v>0.02</v>
      </c>
      <c r="G88" s="205">
        <v>0.24</v>
      </c>
    </row>
    <row r="89" ht="30.0" customHeight="1">
      <c r="A89" s="200" t="s">
        <v>303</v>
      </c>
      <c r="B89" s="206" t="s">
        <v>2364</v>
      </c>
      <c r="C89" s="202" t="s">
        <v>2365</v>
      </c>
      <c r="D89" s="203" t="s">
        <v>2366</v>
      </c>
      <c r="E89" s="204">
        <v>21.0</v>
      </c>
      <c r="F89" s="205">
        <v>0.02</v>
      </c>
      <c r="G89" s="205">
        <v>1.05</v>
      </c>
    </row>
    <row r="90" ht="30.0" customHeight="1">
      <c r="A90" s="200" t="s">
        <v>303</v>
      </c>
      <c r="B90" s="206" t="s">
        <v>2367</v>
      </c>
      <c r="C90" s="202" t="s">
        <v>2368</v>
      </c>
      <c r="D90" s="203" t="s">
        <v>2369</v>
      </c>
      <c r="E90" s="204">
        <v>21.0</v>
      </c>
      <c r="F90" s="205">
        <v>0.02</v>
      </c>
      <c r="G90" s="205">
        <v>1.43</v>
      </c>
    </row>
    <row r="91" ht="30.0" customHeight="1">
      <c r="A91" s="200" t="s">
        <v>303</v>
      </c>
      <c r="B91" s="206" t="s">
        <v>2372</v>
      </c>
      <c r="C91" s="202" t="s">
        <v>2373</v>
      </c>
      <c r="D91" s="203" t="s">
        <v>2374</v>
      </c>
      <c r="E91" s="204">
        <v>21.0</v>
      </c>
      <c r="F91" s="205">
        <v>0.02</v>
      </c>
      <c r="G91" s="205">
        <v>0.57</v>
      </c>
    </row>
    <row r="92" ht="30.0" customHeight="1">
      <c r="A92" s="200" t="s">
        <v>303</v>
      </c>
      <c r="B92" s="206" t="s">
        <v>763</v>
      </c>
      <c r="C92" s="202" t="s">
        <v>764</v>
      </c>
      <c r="D92" s="203" t="s">
        <v>765</v>
      </c>
      <c r="E92" s="204">
        <v>21.0</v>
      </c>
      <c r="F92" s="205">
        <v>0.02</v>
      </c>
      <c r="G92" s="205">
        <v>0.0</v>
      </c>
    </row>
    <row r="93" ht="30.0" customHeight="1">
      <c r="A93" s="200" t="s">
        <v>303</v>
      </c>
      <c r="B93" s="206" t="s">
        <v>766</v>
      </c>
      <c r="C93" s="202" t="s">
        <v>767</v>
      </c>
      <c r="D93" s="203" t="s">
        <v>768</v>
      </c>
      <c r="E93" s="204">
        <v>21.0</v>
      </c>
      <c r="F93" s="205">
        <v>0.02</v>
      </c>
      <c r="G93" s="205">
        <v>2.48</v>
      </c>
    </row>
    <row r="94" ht="30.0" customHeight="1">
      <c r="A94" s="200" t="s">
        <v>303</v>
      </c>
      <c r="B94" s="206" t="s">
        <v>2376</v>
      </c>
      <c r="C94" s="202" t="s">
        <v>2377</v>
      </c>
      <c r="D94" s="203" t="s">
        <v>2378</v>
      </c>
      <c r="E94" s="204">
        <v>20.0</v>
      </c>
      <c r="F94" s="205">
        <v>0.02</v>
      </c>
      <c r="G94" s="205">
        <v>1.1</v>
      </c>
    </row>
    <row r="95" ht="30.0" customHeight="1">
      <c r="A95" s="200" t="s">
        <v>303</v>
      </c>
      <c r="B95" s="206" t="s">
        <v>2379</v>
      </c>
      <c r="C95" s="202" t="s">
        <v>2380</v>
      </c>
      <c r="D95" s="203" t="s">
        <v>2381</v>
      </c>
      <c r="E95" s="204">
        <v>20.0</v>
      </c>
      <c r="F95" s="205">
        <v>0.02</v>
      </c>
      <c r="G95" s="205">
        <v>0.7</v>
      </c>
    </row>
    <row r="96" ht="30.0" customHeight="1">
      <c r="A96" s="200" t="s">
        <v>303</v>
      </c>
      <c r="B96" s="206" t="s">
        <v>2384</v>
      </c>
      <c r="C96" s="202" t="s">
        <v>2385</v>
      </c>
      <c r="D96" s="203" t="s">
        <v>2386</v>
      </c>
      <c r="E96" s="204">
        <v>20.0</v>
      </c>
      <c r="F96" s="205">
        <v>0.02</v>
      </c>
      <c r="G96" s="205">
        <v>1.2</v>
      </c>
    </row>
    <row r="97" ht="30.0" customHeight="1">
      <c r="A97" s="200" t="s">
        <v>303</v>
      </c>
      <c r="B97" s="206" t="s">
        <v>2387</v>
      </c>
      <c r="C97" s="202" t="s">
        <v>2388</v>
      </c>
      <c r="D97" s="203" t="s">
        <v>2389</v>
      </c>
      <c r="E97" s="204">
        <v>20.0</v>
      </c>
      <c r="F97" s="205">
        <v>0.02</v>
      </c>
      <c r="G97" s="205">
        <v>0.05</v>
      </c>
    </row>
    <row r="98" ht="30.0" customHeight="1">
      <c r="A98" s="200" t="s">
        <v>303</v>
      </c>
      <c r="B98" s="206" t="s">
        <v>2390</v>
      </c>
      <c r="C98" s="202" t="s">
        <v>2391</v>
      </c>
      <c r="D98" s="203" t="s">
        <v>2392</v>
      </c>
      <c r="E98" s="204">
        <v>20.0</v>
      </c>
      <c r="F98" s="205">
        <v>0.02</v>
      </c>
      <c r="G98" s="205">
        <v>0.3</v>
      </c>
    </row>
    <row r="99" ht="30.0" customHeight="1">
      <c r="A99" s="200" t="s">
        <v>303</v>
      </c>
      <c r="B99" s="206" t="s">
        <v>2393</v>
      </c>
      <c r="C99" s="202" t="s">
        <v>2394</v>
      </c>
      <c r="D99" s="203" t="s">
        <v>2395</v>
      </c>
      <c r="E99" s="204">
        <v>20.0</v>
      </c>
      <c r="F99" s="205">
        <v>0.02</v>
      </c>
      <c r="G99" s="205">
        <v>2.45</v>
      </c>
    </row>
    <row r="100" ht="30.0" customHeight="1">
      <c r="A100" s="200" t="s">
        <v>303</v>
      </c>
      <c r="B100" s="206" t="s">
        <v>2398</v>
      </c>
      <c r="C100" s="202" t="s">
        <v>2399</v>
      </c>
      <c r="D100" s="203" t="s">
        <v>2400</v>
      </c>
      <c r="E100" s="204">
        <v>20.0</v>
      </c>
      <c r="F100" s="205">
        <v>0.02</v>
      </c>
      <c r="G100" s="205">
        <v>1.5</v>
      </c>
    </row>
    <row r="101" ht="30.0" customHeight="1">
      <c r="A101" s="200" t="s">
        <v>303</v>
      </c>
      <c r="B101" s="206" t="s">
        <v>2401</v>
      </c>
      <c r="C101" s="202" t="s">
        <v>2402</v>
      </c>
      <c r="D101" s="203" t="s">
        <v>813</v>
      </c>
      <c r="E101" s="204">
        <v>19.0</v>
      </c>
      <c r="F101" s="205">
        <v>0.02</v>
      </c>
      <c r="G101" s="205">
        <v>1.21</v>
      </c>
    </row>
    <row r="102" ht="30.0" customHeight="1">
      <c r="A102" s="200" t="s">
        <v>303</v>
      </c>
      <c r="B102" s="206" t="s">
        <v>414</v>
      </c>
      <c r="C102" s="202" t="s">
        <v>415</v>
      </c>
      <c r="D102" s="203" t="s">
        <v>416</v>
      </c>
      <c r="E102" s="204">
        <v>19.0</v>
      </c>
      <c r="F102" s="205">
        <v>0.02</v>
      </c>
      <c r="G102" s="205">
        <v>0.26</v>
      </c>
    </row>
    <row r="103" ht="30.0" customHeight="1">
      <c r="A103" s="200" t="s">
        <v>303</v>
      </c>
      <c r="B103" s="206" t="s">
        <v>2405</v>
      </c>
      <c r="C103" s="202" t="s">
        <v>2406</v>
      </c>
      <c r="D103" s="203" t="s">
        <v>2407</v>
      </c>
      <c r="E103" s="204">
        <v>19.0</v>
      </c>
      <c r="F103" s="205">
        <v>0.02</v>
      </c>
      <c r="G103" s="205">
        <v>0.26</v>
      </c>
    </row>
    <row r="104" ht="30.0" customHeight="1">
      <c r="A104" s="200" t="s">
        <v>303</v>
      </c>
      <c r="B104" s="206" t="s">
        <v>2408</v>
      </c>
      <c r="C104" s="202" t="s">
        <v>2409</v>
      </c>
      <c r="D104" s="203" t="s">
        <v>2410</v>
      </c>
      <c r="E104" s="204">
        <v>19.0</v>
      </c>
      <c r="F104" s="205">
        <v>0.02</v>
      </c>
      <c r="G104" s="205">
        <v>1.05</v>
      </c>
    </row>
    <row r="105" ht="30.0" customHeight="1">
      <c r="A105" s="200" t="s">
        <v>303</v>
      </c>
      <c r="B105" s="206" t="s">
        <v>2413</v>
      </c>
      <c r="C105" s="202" t="s">
        <v>2414</v>
      </c>
      <c r="D105" s="203"/>
      <c r="E105" s="204">
        <v>19.0</v>
      </c>
      <c r="F105" s="205">
        <v>0.02</v>
      </c>
      <c r="G105" s="205">
        <v>0.05</v>
      </c>
    </row>
    <row r="106" ht="30.0" customHeight="1">
      <c r="A106" s="200" t="s">
        <v>303</v>
      </c>
      <c r="B106" s="206" t="s">
        <v>769</v>
      </c>
      <c r="C106" s="202" t="s">
        <v>770</v>
      </c>
      <c r="D106" s="203" t="s">
        <v>771</v>
      </c>
      <c r="E106" s="204">
        <v>19.0</v>
      </c>
      <c r="F106" s="205">
        <v>0.02</v>
      </c>
      <c r="G106" s="205">
        <v>0.53</v>
      </c>
    </row>
    <row r="107" ht="30.0" customHeight="1">
      <c r="A107" s="200" t="s">
        <v>303</v>
      </c>
      <c r="B107" s="206" t="s">
        <v>2415</v>
      </c>
      <c r="C107" s="202" t="s">
        <v>2416</v>
      </c>
      <c r="D107" s="203" t="s">
        <v>2417</v>
      </c>
      <c r="E107" s="204">
        <v>19.0</v>
      </c>
      <c r="F107" s="205">
        <v>0.02</v>
      </c>
      <c r="G107" s="205">
        <v>0.58</v>
      </c>
    </row>
    <row r="108" ht="30.0" customHeight="1">
      <c r="A108" s="200" t="s">
        <v>303</v>
      </c>
      <c r="B108" s="206" t="s">
        <v>417</v>
      </c>
      <c r="C108" s="202" t="s">
        <v>418</v>
      </c>
      <c r="D108" s="203" t="s">
        <v>419</v>
      </c>
      <c r="E108" s="204">
        <v>18.0</v>
      </c>
      <c r="F108" s="205">
        <v>0.02</v>
      </c>
      <c r="G108" s="205">
        <v>0.22</v>
      </c>
    </row>
    <row r="109" ht="30.0" customHeight="1">
      <c r="A109" s="200" t="s">
        <v>303</v>
      </c>
      <c r="B109" s="206" t="s">
        <v>772</v>
      </c>
      <c r="C109" s="202" t="s">
        <v>773</v>
      </c>
      <c r="D109" s="203" t="s">
        <v>774</v>
      </c>
      <c r="E109" s="204">
        <v>18.0</v>
      </c>
      <c r="F109" s="205">
        <v>0.02</v>
      </c>
      <c r="G109" s="205">
        <v>1.44</v>
      </c>
    </row>
    <row r="110" ht="30.0" customHeight="1">
      <c r="A110" s="200" t="s">
        <v>303</v>
      </c>
      <c r="B110" s="206" t="s">
        <v>775</v>
      </c>
      <c r="C110" s="202" t="s">
        <v>776</v>
      </c>
      <c r="D110" s="203" t="s">
        <v>777</v>
      </c>
      <c r="E110" s="204">
        <v>18.0</v>
      </c>
      <c r="F110" s="205">
        <v>0.02</v>
      </c>
      <c r="G110" s="205">
        <v>1.44</v>
      </c>
    </row>
    <row r="111" ht="30.0" customHeight="1">
      <c r="A111" s="200" t="s">
        <v>303</v>
      </c>
      <c r="B111" s="206" t="s">
        <v>1625</v>
      </c>
      <c r="C111" s="202" t="s">
        <v>2422</v>
      </c>
      <c r="D111" s="203" t="s">
        <v>2423</v>
      </c>
      <c r="E111" s="204">
        <v>18.0</v>
      </c>
      <c r="F111" s="205">
        <v>0.02</v>
      </c>
      <c r="G111" s="205">
        <v>1.61</v>
      </c>
    </row>
    <row r="112" ht="30.0" customHeight="1">
      <c r="A112" s="200" t="s">
        <v>303</v>
      </c>
      <c r="B112" s="206" t="s">
        <v>2424</v>
      </c>
      <c r="C112" s="202" t="s">
        <v>2425</v>
      </c>
      <c r="D112" s="203"/>
      <c r="E112" s="204">
        <v>18.0</v>
      </c>
      <c r="F112" s="205">
        <v>0.02</v>
      </c>
      <c r="G112" s="205">
        <v>0.0</v>
      </c>
    </row>
    <row r="113" ht="30.0" customHeight="1">
      <c r="A113" s="200" t="s">
        <v>303</v>
      </c>
      <c r="B113" s="206" t="s">
        <v>2426</v>
      </c>
      <c r="C113" s="202" t="s">
        <v>2427</v>
      </c>
      <c r="D113" s="203" t="s">
        <v>2428</v>
      </c>
      <c r="E113" s="204">
        <v>18.0</v>
      </c>
      <c r="F113" s="205">
        <v>0.02</v>
      </c>
      <c r="G113" s="205">
        <v>1.44</v>
      </c>
    </row>
    <row r="114" ht="30.0" customHeight="1">
      <c r="A114" s="200" t="s">
        <v>303</v>
      </c>
      <c r="B114" s="206" t="s">
        <v>2429</v>
      </c>
      <c r="C114" s="202" t="s">
        <v>2430</v>
      </c>
      <c r="D114" s="203" t="s">
        <v>2431</v>
      </c>
      <c r="E114" s="204">
        <v>18.0</v>
      </c>
      <c r="F114" s="205">
        <v>0.02</v>
      </c>
      <c r="G114" s="205">
        <v>1.17</v>
      </c>
    </row>
    <row r="115" ht="30.0" customHeight="1">
      <c r="A115" s="200" t="s">
        <v>303</v>
      </c>
      <c r="B115" s="206" t="s">
        <v>2432</v>
      </c>
      <c r="C115" s="202" t="s">
        <v>2433</v>
      </c>
      <c r="D115" s="203" t="s">
        <v>2435</v>
      </c>
      <c r="E115" s="204">
        <v>18.0</v>
      </c>
      <c r="F115" s="205">
        <v>0.02</v>
      </c>
      <c r="G115" s="205">
        <v>2.44</v>
      </c>
    </row>
    <row r="116" ht="30.0" customHeight="1">
      <c r="A116" s="200" t="s">
        <v>303</v>
      </c>
      <c r="B116" s="206" t="s">
        <v>778</v>
      </c>
      <c r="C116" s="202" t="s">
        <v>779</v>
      </c>
      <c r="D116" s="203" t="s">
        <v>782</v>
      </c>
      <c r="E116" s="204">
        <v>18.0</v>
      </c>
      <c r="F116" s="205">
        <v>0.02</v>
      </c>
      <c r="G116" s="205">
        <v>0.89</v>
      </c>
    </row>
    <row r="117" ht="30.0" customHeight="1">
      <c r="A117" s="200" t="s">
        <v>303</v>
      </c>
      <c r="B117" s="206" t="s">
        <v>783</v>
      </c>
      <c r="C117" s="202" t="s">
        <v>784</v>
      </c>
      <c r="D117" s="203" t="s">
        <v>785</v>
      </c>
      <c r="E117" s="204">
        <v>17.0</v>
      </c>
      <c r="F117" s="205">
        <v>0.02</v>
      </c>
      <c r="G117" s="205">
        <v>1.12</v>
      </c>
    </row>
    <row r="118" ht="30.0" customHeight="1">
      <c r="A118" s="200" t="s">
        <v>303</v>
      </c>
      <c r="B118" s="206" t="s">
        <v>420</v>
      </c>
      <c r="C118" s="202" t="s">
        <v>421</v>
      </c>
      <c r="D118" s="203" t="s">
        <v>422</v>
      </c>
      <c r="E118" s="204">
        <v>17.0</v>
      </c>
      <c r="F118" s="205">
        <v>0.02</v>
      </c>
      <c r="G118" s="205">
        <v>0.12</v>
      </c>
    </row>
    <row r="119" ht="30.0" customHeight="1">
      <c r="A119" s="200" t="s">
        <v>303</v>
      </c>
      <c r="B119" s="206" t="s">
        <v>2436</v>
      </c>
      <c r="C119" s="202" t="s">
        <v>2437</v>
      </c>
      <c r="D119" s="203" t="s">
        <v>254</v>
      </c>
      <c r="E119" s="204">
        <v>17.0</v>
      </c>
      <c r="F119" s="205">
        <v>0.02</v>
      </c>
      <c r="G119" s="205">
        <v>0.35</v>
      </c>
    </row>
    <row r="120" ht="30.0" customHeight="1">
      <c r="A120" s="200" t="s">
        <v>303</v>
      </c>
      <c r="B120" s="206" t="s">
        <v>2440</v>
      </c>
      <c r="C120" s="202" t="s">
        <v>2441</v>
      </c>
      <c r="D120" s="203" t="s">
        <v>2442</v>
      </c>
      <c r="E120" s="204">
        <v>17.0</v>
      </c>
      <c r="F120" s="205">
        <v>0.02</v>
      </c>
      <c r="G120" s="205">
        <v>3.53</v>
      </c>
    </row>
    <row r="121" ht="30.0" customHeight="1">
      <c r="A121" s="200" t="s">
        <v>303</v>
      </c>
      <c r="B121" s="206" t="s">
        <v>2443</v>
      </c>
      <c r="C121" s="202" t="s">
        <v>2444</v>
      </c>
      <c r="D121" s="203" t="s">
        <v>2445</v>
      </c>
      <c r="E121" s="204">
        <v>17.0</v>
      </c>
      <c r="F121" s="205">
        <v>0.02</v>
      </c>
      <c r="G121" s="205">
        <v>0.35</v>
      </c>
    </row>
    <row r="122" ht="30.0" customHeight="1">
      <c r="A122" s="200" t="s">
        <v>303</v>
      </c>
      <c r="B122" s="206" t="s">
        <v>2446</v>
      </c>
      <c r="C122" s="202" t="s">
        <v>2447</v>
      </c>
      <c r="D122" s="203"/>
      <c r="E122" s="204">
        <v>17.0</v>
      </c>
      <c r="F122" s="205">
        <v>0.02</v>
      </c>
      <c r="G122" s="205">
        <v>2.35</v>
      </c>
    </row>
    <row r="123" ht="30.0" customHeight="1">
      <c r="A123" s="200" t="s">
        <v>303</v>
      </c>
      <c r="B123" s="206" t="s">
        <v>2448</v>
      </c>
      <c r="C123" s="202" t="s">
        <v>2449</v>
      </c>
      <c r="D123" s="203" t="s">
        <v>2450</v>
      </c>
      <c r="E123" s="204">
        <v>17.0</v>
      </c>
      <c r="F123" s="205">
        <v>0.02</v>
      </c>
      <c r="G123" s="205">
        <v>1.65</v>
      </c>
    </row>
    <row r="124" ht="30.0" customHeight="1">
      <c r="A124" s="200" t="s">
        <v>303</v>
      </c>
      <c r="B124" s="206" t="s">
        <v>2451</v>
      </c>
      <c r="C124" s="202" t="s">
        <v>2452</v>
      </c>
      <c r="D124" s="203" t="s">
        <v>2453</v>
      </c>
      <c r="E124" s="204">
        <v>17.0</v>
      </c>
      <c r="F124" s="205">
        <v>0.02</v>
      </c>
      <c r="G124" s="205">
        <v>2.35</v>
      </c>
    </row>
    <row r="125" ht="30.0" customHeight="1">
      <c r="A125" s="200" t="s">
        <v>303</v>
      </c>
      <c r="B125" s="206" t="s">
        <v>2454</v>
      </c>
      <c r="C125" s="202" t="s">
        <v>2455</v>
      </c>
      <c r="D125" s="203" t="s">
        <v>2456</v>
      </c>
      <c r="E125" s="204">
        <v>16.0</v>
      </c>
      <c r="F125" s="205">
        <v>0.02</v>
      </c>
      <c r="G125" s="205">
        <v>0.38</v>
      </c>
    </row>
    <row r="126" ht="30.0" customHeight="1">
      <c r="A126" s="200" t="s">
        <v>303</v>
      </c>
      <c r="B126" s="206" t="s">
        <v>2457</v>
      </c>
      <c r="C126" s="202" t="s">
        <v>2458</v>
      </c>
      <c r="D126" s="203" t="s">
        <v>2459</v>
      </c>
      <c r="E126" s="204">
        <v>16.0</v>
      </c>
      <c r="F126" s="205">
        <v>0.02</v>
      </c>
      <c r="G126" s="205">
        <v>1.0</v>
      </c>
    </row>
    <row r="127" ht="30.0" customHeight="1">
      <c r="A127" s="200" t="s">
        <v>303</v>
      </c>
      <c r="B127" s="206" t="s">
        <v>2460</v>
      </c>
      <c r="C127" s="202" t="s">
        <v>2462</v>
      </c>
      <c r="D127" s="203" t="s">
        <v>2463</v>
      </c>
      <c r="E127" s="204">
        <v>16.0</v>
      </c>
      <c r="F127" s="205">
        <v>0.02</v>
      </c>
      <c r="G127" s="205">
        <v>0.69</v>
      </c>
    </row>
    <row r="128" ht="30.0" customHeight="1">
      <c r="A128" s="200" t="s">
        <v>303</v>
      </c>
      <c r="B128" s="206" t="s">
        <v>2464</v>
      </c>
      <c r="C128" s="202" t="s">
        <v>2465</v>
      </c>
      <c r="D128" s="203" t="s">
        <v>2466</v>
      </c>
      <c r="E128" s="204">
        <v>16.0</v>
      </c>
      <c r="F128" s="205">
        <v>0.02</v>
      </c>
      <c r="G128" s="205">
        <v>1.13</v>
      </c>
    </row>
    <row r="129" ht="30.0" customHeight="1">
      <c r="A129" s="200" t="s">
        <v>303</v>
      </c>
      <c r="B129" s="206" t="s">
        <v>2467</v>
      </c>
      <c r="C129" s="202" t="s">
        <v>2468</v>
      </c>
      <c r="D129" s="203" t="s">
        <v>2469</v>
      </c>
      <c r="E129" s="204">
        <v>16.0</v>
      </c>
      <c r="F129" s="205">
        <v>0.02</v>
      </c>
      <c r="G129" s="205">
        <v>0.19</v>
      </c>
    </row>
    <row r="130" ht="30.0" customHeight="1">
      <c r="A130" s="200" t="s">
        <v>303</v>
      </c>
      <c r="B130" s="206" t="s">
        <v>423</v>
      </c>
      <c r="C130" s="202" t="s">
        <v>424</v>
      </c>
      <c r="D130" s="203" t="s">
        <v>425</v>
      </c>
      <c r="E130" s="204">
        <v>16.0</v>
      </c>
      <c r="F130" s="205">
        <v>0.02</v>
      </c>
      <c r="G130" s="205">
        <v>0.19</v>
      </c>
    </row>
    <row r="131" ht="30.0" customHeight="1">
      <c r="A131" s="200" t="s">
        <v>303</v>
      </c>
      <c r="B131" s="206" t="s">
        <v>2470</v>
      </c>
      <c r="C131" s="202" t="s">
        <v>2471</v>
      </c>
      <c r="D131" s="203" t="s">
        <v>2472</v>
      </c>
      <c r="E131" s="204">
        <v>16.0</v>
      </c>
      <c r="F131" s="205">
        <v>0.02</v>
      </c>
      <c r="G131" s="205">
        <v>0.19</v>
      </c>
    </row>
    <row r="132" ht="30.0" customHeight="1">
      <c r="A132" s="200" t="s">
        <v>303</v>
      </c>
      <c r="B132" s="206" t="s">
        <v>2473</v>
      </c>
      <c r="C132" s="202" t="s">
        <v>2474</v>
      </c>
      <c r="D132" s="203" t="s">
        <v>2475</v>
      </c>
      <c r="E132" s="204">
        <v>16.0</v>
      </c>
      <c r="F132" s="205">
        <v>0.02</v>
      </c>
      <c r="G132" s="205">
        <v>0.0</v>
      </c>
    </row>
    <row r="133" ht="30.0" customHeight="1">
      <c r="A133" s="200" t="s">
        <v>303</v>
      </c>
      <c r="B133" s="206" t="s">
        <v>2477</v>
      </c>
      <c r="C133" s="202" t="s">
        <v>2478</v>
      </c>
      <c r="D133" s="203" t="s">
        <v>2479</v>
      </c>
      <c r="E133" s="204">
        <v>16.0</v>
      </c>
      <c r="F133" s="205">
        <v>0.02</v>
      </c>
      <c r="G133" s="205">
        <v>0.56</v>
      </c>
    </row>
    <row r="134" ht="30.0" customHeight="1">
      <c r="A134" s="200" t="s">
        <v>303</v>
      </c>
      <c r="B134" s="206" t="s">
        <v>2480</v>
      </c>
      <c r="C134" s="202" t="s">
        <v>2481</v>
      </c>
      <c r="D134" s="203" t="s">
        <v>2482</v>
      </c>
      <c r="E134" s="204">
        <v>16.0</v>
      </c>
      <c r="F134" s="205">
        <v>0.02</v>
      </c>
      <c r="G134" s="205">
        <v>0.75</v>
      </c>
    </row>
    <row r="135" ht="30.0" customHeight="1">
      <c r="A135" s="200" t="s">
        <v>303</v>
      </c>
      <c r="B135" s="206" t="s">
        <v>786</v>
      </c>
      <c r="C135" s="202" t="s">
        <v>787</v>
      </c>
      <c r="D135" s="203" t="s">
        <v>789</v>
      </c>
      <c r="E135" s="204">
        <v>16.0</v>
      </c>
      <c r="F135" s="205">
        <v>0.02</v>
      </c>
      <c r="G135" s="205">
        <v>0.06</v>
      </c>
    </row>
    <row r="136" ht="30.0" customHeight="1">
      <c r="A136" s="200" t="s">
        <v>303</v>
      </c>
      <c r="B136" s="206" t="s">
        <v>2483</v>
      </c>
      <c r="C136" s="202" t="s">
        <v>2484</v>
      </c>
      <c r="D136" s="203" t="s">
        <v>2485</v>
      </c>
      <c r="E136" s="204">
        <v>16.0</v>
      </c>
      <c r="F136" s="205">
        <v>0.02</v>
      </c>
      <c r="G136" s="205">
        <v>0.13</v>
      </c>
    </row>
    <row r="137" ht="30.0" customHeight="1">
      <c r="A137" s="200" t="s">
        <v>303</v>
      </c>
      <c r="B137" s="206" t="s">
        <v>2486</v>
      </c>
      <c r="C137" s="202" t="s">
        <v>2487</v>
      </c>
      <c r="D137" s="203" t="s">
        <v>2488</v>
      </c>
      <c r="E137" s="204">
        <v>16.0</v>
      </c>
      <c r="F137" s="205">
        <v>0.02</v>
      </c>
      <c r="G137" s="205">
        <v>1.06</v>
      </c>
    </row>
    <row r="138" ht="30.0" customHeight="1">
      <c r="A138" s="200" t="s">
        <v>303</v>
      </c>
      <c r="B138" s="206" t="s">
        <v>2489</v>
      </c>
      <c r="C138" s="202" t="s">
        <v>2490</v>
      </c>
      <c r="D138" s="203" t="s">
        <v>2491</v>
      </c>
      <c r="E138" s="204">
        <v>16.0</v>
      </c>
      <c r="F138" s="205">
        <v>0.02</v>
      </c>
      <c r="G138" s="205">
        <v>2.5</v>
      </c>
    </row>
    <row r="139" ht="30.0" customHeight="1">
      <c r="A139" s="200" t="s">
        <v>303</v>
      </c>
      <c r="B139" s="206" t="s">
        <v>2492</v>
      </c>
      <c r="C139" s="202" t="s">
        <v>2333</v>
      </c>
      <c r="D139" s="203" t="s">
        <v>254</v>
      </c>
      <c r="E139" s="204">
        <v>16.0</v>
      </c>
      <c r="F139" s="205">
        <v>0.02</v>
      </c>
      <c r="G139" s="205">
        <v>0.25</v>
      </c>
    </row>
    <row r="140" ht="30.0" customHeight="1">
      <c r="A140" s="200" t="s">
        <v>303</v>
      </c>
      <c r="B140" s="206" t="s">
        <v>792</v>
      </c>
      <c r="C140" s="202" t="s">
        <v>793</v>
      </c>
      <c r="D140" s="203" t="s">
        <v>794</v>
      </c>
      <c r="E140" s="204">
        <v>16.0</v>
      </c>
      <c r="F140" s="205">
        <v>0.02</v>
      </c>
      <c r="G140" s="205">
        <v>0.38</v>
      </c>
    </row>
    <row r="141" ht="30.0" customHeight="1">
      <c r="A141" s="200" t="s">
        <v>303</v>
      </c>
      <c r="B141" s="206" t="s">
        <v>795</v>
      </c>
      <c r="C141" s="202" t="s">
        <v>796</v>
      </c>
      <c r="D141" s="203" t="s">
        <v>798</v>
      </c>
      <c r="E141" s="204">
        <v>16.0</v>
      </c>
      <c r="F141" s="205">
        <v>0.02</v>
      </c>
      <c r="G141" s="205">
        <v>0.88</v>
      </c>
    </row>
    <row r="142" ht="30.0" customHeight="1">
      <c r="A142" s="200" t="s">
        <v>303</v>
      </c>
      <c r="B142" s="206" t="s">
        <v>2493</v>
      </c>
      <c r="C142" s="202" t="s">
        <v>2494</v>
      </c>
      <c r="D142" s="203" t="s">
        <v>2495</v>
      </c>
      <c r="E142" s="204">
        <v>16.0</v>
      </c>
      <c r="F142" s="205">
        <v>0.02</v>
      </c>
      <c r="G142" s="205">
        <v>0.25</v>
      </c>
    </row>
    <row r="143" ht="30.0" customHeight="1">
      <c r="A143" s="200" t="s">
        <v>303</v>
      </c>
      <c r="B143" s="206" t="s">
        <v>2496</v>
      </c>
      <c r="C143" s="202" t="s">
        <v>2497</v>
      </c>
      <c r="D143" s="203" t="s">
        <v>2498</v>
      </c>
      <c r="E143" s="204">
        <v>16.0</v>
      </c>
      <c r="F143" s="205">
        <v>0.02</v>
      </c>
      <c r="G143" s="205">
        <v>0.63</v>
      </c>
    </row>
    <row r="144" ht="30.0" customHeight="1">
      <c r="A144" s="200" t="s">
        <v>303</v>
      </c>
      <c r="B144" s="206" t="s">
        <v>2499</v>
      </c>
      <c r="C144" s="202" t="s">
        <v>2500</v>
      </c>
      <c r="D144" s="203" t="s">
        <v>1264</v>
      </c>
      <c r="E144" s="204">
        <v>15.0</v>
      </c>
      <c r="F144" s="205">
        <v>0.01</v>
      </c>
      <c r="G144" s="205">
        <v>0.0</v>
      </c>
    </row>
    <row r="145" ht="30.0" customHeight="1">
      <c r="A145" s="200" t="s">
        <v>303</v>
      </c>
      <c r="B145" s="206" t="s">
        <v>426</v>
      </c>
      <c r="C145" s="202" t="s">
        <v>427</v>
      </c>
      <c r="D145" s="203" t="s">
        <v>428</v>
      </c>
      <c r="E145" s="204">
        <v>15.0</v>
      </c>
      <c r="F145" s="205">
        <v>0.01</v>
      </c>
      <c r="G145" s="205">
        <v>0.47</v>
      </c>
    </row>
    <row r="146" ht="30.0" customHeight="1">
      <c r="A146" s="200" t="s">
        <v>303</v>
      </c>
      <c r="B146" s="206" t="s">
        <v>2501</v>
      </c>
      <c r="C146" s="202" t="s">
        <v>2502</v>
      </c>
      <c r="D146" s="203" t="s">
        <v>2503</v>
      </c>
      <c r="E146" s="204">
        <v>15.0</v>
      </c>
      <c r="F146" s="205">
        <v>0.01</v>
      </c>
      <c r="G146" s="205">
        <v>0.4</v>
      </c>
    </row>
    <row r="147" ht="30.0" customHeight="1">
      <c r="A147" s="200" t="s">
        <v>303</v>
      </c>
      <c r="B147" s="206" t="s">
        <v>2504</v>
      </c>
      <c r="C147" s="202" t="s">
        <v>2505</v>
      </c>
      <c r="D147" s="203" t="s">
        <v>2506</v>
      </c>
      <c r="E147" s="204">
        <v>15.0</v>
      </c>
      <c r="F147" s="205">
        <v>0.01</v>
      </c>
      <c r="G147" s="205">
        <v>0.27</v>
      </c>
    </row>
    <row r="148" ht="30.0" customHeight="1">
      <c r="A148" s="200" t="s">
        <v>303</v>
      </c>
      <c r="B148" s="206" t="s">
        <v>2507</v>
      </c>
      <c r="C148" s="202" t="s">
        <v>2508</v>
      </c>
      <c r="D148" s="203" t="s">
        <v>2509</v>
      </c>
      <c r="E148" s="204">
        <v>15.0</v>
      </c>
      <c r="F148" s="205">
        <v>0.01</v>
      </c>
      <c r="G148" s="205">
        <v>0.33</v>
      </c>
    </row>
    <row r="149" ht="30.0" customHeight="1">
      <c r="A149" s="200" t="s">
        <v>303</v>
      </c>
      <c r="B149" s="206" t="s">
        <v>2510</v>
      </c>
      <c r="C149" s="202" t="s">
        <v>2511</v>
      </c>
      <c r="D149" s="203" t="s">
        <v>2512</v>
      </c>
      <c r="E149" s="204">
        <v>15.0</v>
      </c>
      <c r="F149" s="205">
        <v>0.01</v>
      </c>
      <c r="G149" s="205">
        <v>1.47</v>
      </c>
    </row>
    <row r="150" ht="30.0" customHeight="1">
      <c r="A150" s="200" t="s">
        <v>303</v>
      </c>
      <c r="B150" s="206" t="s">
        <v>2513</v>
      </c>
      <c r="C150" s="202" t="s">
        <v>2514</v>
      </c>
      <c r="D150" s="203" t="s">
        <v>2515</v>
      </c>
      <c r="E150" s="204">
        <v>15.0</v>
      </c>
      <c r="F150" s="205">
        <v>0.01</v>
      </c>
      <c r="G150" s="205">
        <v>0.07</v>
      </c>
    </row>
    <row r="151" ht="30.0" customHeight="1">
      <c r="A151" s="200" t="s">
        <v>303</v>
      </c>
      <c r="B151" s="206" t="s">
        <v>2516</v>
      </c>
      <c r="C151" s="202" t="s">
        <v>2517</v>
      </c>
      <c r="D151" s="203" t="s">
        <v>2518</v>
      </c>
      <c r="E151" s="204">
        <v>15.0</v>
      </c>
      <c r="F151" s="205">
        <v>0.01</v>
      </c>
      <c r="G151" s="205">
        <v>1.67</v>
      </c>
    </row>
    <row r="152" ht="30.0" customHeight="1">
      <c r="A152" s="200" t="s">
        <v>303</v>
      </c>
      <c r="B152" s="206" t="s">
        <v>2519</v>
      </c>
      <c r="C152" s="202" t="s">
        <v>2520</v>
      </c>
      <c r="D152" s="203"/>
      <c r="E152" s="204">
        <v>15.0</v>
      </c>
      <c r="F152" s="205">
        <v>0.01</v>
      </c>
      <c r="G152" s="205">
        <v>0.13</v>
      </c>
    </row>
    <row r="153" ht="30.0" customHeight="1">
      <c r="A153" s="200" t="s">
        <v>303</v>
      </c>
      <c r="B153" s="206" t="s">
        <v>801</v>
      </c>
      <c r="C153" s="202" t="s">
        <v>802</v>
      </c>
      <c r="D153" s="203" t="s">
        <v>803</v>
      </c>
      <c r="E153" s="204">
        <v>15.0</v>
      </c>
      <c r="F153" s="205">
        <v>0.01</v>
      </c>
      <c r="G153" s="205">
        <v>1.4</v>
      </c>
    </row>
    <row r="154" ht="30.0" customHeight="1">
      <c r="A154" s="200" t="s">
        <v>303</v>
      </c>
      <c r="B154" s="206" t="s">
        <v>804</v>
      </c>
      <c r="C154" s="202" t="s">
        <v>805</v>
      </c>
      <c r="D154" s="203" t="s">
        <v>806</v>
      </c>
      <c r="E154" s="204">
        <v>15.0</v>
      </c>
      <c r="F154" s="205">
        <v>0.01</v>
      </c>
      <c r="G154" s="205">
        <v>0.07</v>
      </c>
    </row>
    <row r="155" ht="30.0" customHeight="1">
      <c r="A155" s="200" t="s">
        <v>303</v>
      </c>
      <c r="B155" s="206" t="s">
        <v>807</v>
      </c>
      <c r="C155" s="202" t="s">
        <v>808</v>
      </c>
      <c r="D155" s="203" t="s">
        <v>809</v>
      </c>
      <c r="E155" s="204">
        <v>15.0</v>
      </c>
      <c r="F155" s="205">
        <v>0.01</v>
      </c>
      <c r="G155" s="205">
        <v>1.07</v>
      </c>
    </row>
    <row r="156" ht="30.0" customHeight="1">
      <c r="A156" s="200" t="s">
        <v>303</v>
      </c>
      <c r="B156" s="206" t="s">
        <v>2521</v>
      </c>
      <c r="C156" s="202" t="s">
        <v>2522</v>
      </c>
      <c r="D156" s="203" t="s">
        <v>2523</v>
      </c>
      <c r="E156" s="204">
        <v>15.0</v>
      </c>
      <c r="F156" s="205">
        <v>0.01</v>
      </c>
      <c r="G156" s="205">
        <v>1.27</v>
      </c>
    </row>
    <row r="157" ht="30.0" customHeight="1">
      <c r="A157" s="200" t="s">
        <v>303</v>
      </c>
      <c r="B157" s="206" t="s">
        <v>429</v>
      </c>
      <c r="C157" s="202" t="s">
        <v>430</v>
      </c>
      <c r="D157" s="203" t="s">
        <v>431</v>
      </c>
      <c r="E157" s="204">
        <v>14.0</v>
      </c>
      <c r="F157" s="205">
        <v>0.01</v>
      </c>
      <c r="G157" s="205">
        <v>0.21</v>
      </c>
    </row>
    <row r="158" ht="30.0" customHeight="1">
      <c r="A158" s="200" t="s">
        <v>303</v>
      </c>
      <c r="B158" s="206" t="s">
        <v>432</v>
      </c>
      <c r="C158" s="202" t="s">
        <v>433</v>
      </c>
      <c r="D158" s="203" t="s">
        <v>434</v>
      </c>
      <c r="E158" s="204">
        <v>14.0</v>
      </c>
      <c r="F158" s="205">
        <v>0.01</v>
      </c>
      <c r="G158" s="205">
        <v>1.5</v>
      </c>
    </row>
    <row r="159" ht="30.0" customHeight="1">
      <c r="A159" s="200" t="s">
        <v>303</v>
      </c>
      <c r="B159" s="206" t="s">
        <v>810</v>
      </c>
      <c r="C159" s="202" t="s">
        <v>811</v>
      </c>
      <c r="D159" s="203" t="s">
        <v>813</v>
      </c>
      <c r="E159" s="204">
        <v>14.0</v>
      </c>
      <c r="F159" s="205">
        <v>0.01</v>
      </c>
      <c r="G159" s="205">
        <v>0.86</v>
      </c>
    </row>
    <row r="160" ht="30.0" customHeight="1">
      <c r="A160" s="200" t="s">
        <v>303</v>
      </c>
      <c r="B160" s="206" t="s">
        <v>2530</v>
      </c>
      <c r="C160" s="202" t="s">
        <v>2531</v>
      </c>
      <c r="D160" s="203" t="s">
        <v>2532</v>
      </c>
      <c r="E160" s="204">
        <v>14.0</v>
      </c>
      <c r="F160" s="205">
        <v>0.01</v>
      </c>
      <c r="G160" s="205">
        <v>1.0</v>
      </c>
    </row>
    <row r="161" ht="30.0" customHeight="1">
      <c r="A161" s="200" t="s">
        <v>303</v>
      </c>
      <c r="B161" s="206" t="s">
        <v>2533</v>
      </c>
      <c r="C161" s="202" t="s">
        <v>2536</v>
      </c>
      <c r="D161" s="203" t="s">
        <v>2537</v>
      </c>
      <c r="E161" s="204">
        <v>14.0</v>
      </c>
      <c r="F161" s="205">
        <v>0.01</v>
      </c>
      <c r="G161" s="205">
        <v>0.0</v>
      </c>
    </row>
    <row r="162" ht="30.0" customHeight="1">
      <c r="A162" s="200" t="s">
        <v>303</v>
      </c>
      <c r="B162" s="206" t="s">
        <v>815</v>
      </c>
      <c r="C162" s="202" t="s">
        <v>816</v>
      </c>
      <c r="D162" s="203" t="s">
        <v>817</v>
      </c>
      <c r="E162" s="204">
        <v>14.0</v>
      </c>
      <c r="F162" s="205">
        <v>0.01</v>
      </c>
      <c r="G162" s="205">
        <v>0.0</v>
      </c>
    </row>
    <row r="163" ht="30.0" customHeight="1">
      <c r="A163" s="200" t="s">
        <v>303</v>
      </c>
      <c r="B163" s="206" t="s">
        <v>2543</v>
      </c>
      <c r="C163" s="202" t="s">
        <v>2548</v>
      </c>
      <c r="D163" s="203" t="s">
        <v>2549</v>
      </c>
      <c r="E163" s="204">
        <v>13.0</v>
      </c>
      <c r="F163" s="205">
        <v>0.01</v>
      </c>
      <c r="G163" s="205">
        <v>0.0</v>
      </c>
    </row>
    <row r="164" ht="30.0" customHeight="1">
      <c r="A164" s="200" t="s">
        <v>303</v>
      </c>
      <c r="B164" s="206" t="s">
        <v>2552</v>
      </c>
      <c r="C164" s="202" t="s">
        <v>2553</v>
      </c>
      <c r="D164" s="203" t="s">
        <v>2249</v>
      </c>
      <c r="E164" s="204">
        <v>13.0</v>
      </c>
      <c r="F164" s="205">
        <v>0.01</v>
      </c>
      <c r="G164" s="205">
        <v>0.0</v>
      </c>
    </row>
    <row r="165" ht="15.75" customHeight="1">
      <c r="A165" s="200" t="s">
        <v>303</v>
      </c>
      <c r="B165" s="206" t="s">
        <v>435</v>
      </c>
      <c r="C165" s="202" t="s">
        <v>436</v>
      </c>
      <c r="D165" s="203" t="s">
        <v>437</v>
      </c>
      <c r="E165" s="204">
        <v>13.0</v>
      </c>
      <c r="F165" s="205">
        <v>0.01</v>
      </c>
      <c r="G165" s="205">
        <v>0.23</v>
      </c>
    </row>
    <row r="166" ht="15.75" customHeight="1">
      <c r="A166" s="200" t="s">
        <v>303</v>
      </c>
      <c r="B166" s="206" t="s">
        <v>438</v>
      </c>
      <c r="C166" s="202" t="s">
        <v>439</v>
      </c>
      <c r="D166" s="203" t="s">
        <v>440</v>
      </c>
      <c r="E166" s="204">
        <v>13.0</v>
      </c>
      <c r="F166" s="205">
        <v>0.01</v>
      </c>
      <c r="G166" s="205">
        <v>0.0</v>
      </c>
    </row>
    <row r="167" ht="15.75" customHeight="1">
      <c r="A167" s="200" t="s">
        <v>303</v>
      </c>
      <c r="B167" s="206" t="s">
        <v>441</v>
      </c>
      <c r="C167" s="202" t="s">
        <v>442</v>
      </c>
      <c r="D167" s="203" t="s">
        <v>443</v>
      </c>
      <c r="E167" s="204">
        <v>13.0</v>
      </c>
      <c r="F167" s="205">
        <v>0.01</v>
      </c>
      <c r="G167" s="205">
        <v>1.0</v>
      </c>
    </row>
    <row r="168" ht="15.75" customHeight="1">
      <c r="A168" s="200" t="s">
        <v>303</v>
      </c>
      <c r="B168" s="206" t="s">
        <v>818</v>
      </c>
      <c r="C168" s="202" t="s">
        <v>819</v>
      </c>
      <c r="D168" s="203" t="s">
        <v>820</v>
      </c>
      <c r="E168" s="204">
        <v>13.0</v>
      </c>
      <c r="F168" s="205">
        <v>0.01</v>
      </c>
      <c r="G168" s="205">
        <v>0.38</v>
      </c>
    </row>
    <row r="169" ht="15.75" customHeight="1">
      <c r="A169" s="200" t="s">
        <v>303</v>
      </c>
      <c r="B169" s="206" t="s">
        <v>821</v>
      </c>
      <c r="C169" s="202" t="s">
        <v>822</v>
      </c>
      <c r="D169" s="203" t="s">
        <v>824</v>
      </c>
      <c r="E169" s="204">
        <v>13.0</v>
      </c>
      <c r="F169" s="205">
        <v>0.01</v>
      </c>
      <c r="G169" s="205">
        <v>0.23</v>
      </c>
    </row>
    <row r="170" ht="15.75" customHeight="1">
      <c r="A170" s="200" t="s">
        <v>303</v>
      </c>
      <c r="B170" s="206" t="s">
        <v>2566</v>
      </c>
      <c r="C170" s="202" t="s">
        <v>2567</v>
      </c>
      <c r="D170" s="203" t="s">
        <v>2568</v>
      </c>
      <c r="E170" s="204">
        <v>13.0</v>
      </c>
      <c r="F170" s="205">
        <v>0.01</v>
      </c>
      <c r="G170" s="205">
        <v>1.0</v>
      </c>
    </row>
    <row r="171" ht="15.75" customHeight="1">
      <c r="A171" s="200" t="s">
        <v>303</v>
      </c>
      <c r="B171" s="206" t="s">
        <v>2572</v>
      </c>
      <c r="C171" s="202" t="s">
        <v>2573</v>
      </c>
      <c r="D171" s="203" t="s">
        <v>2574</v>
      </c>
      <c r="E171" s="204">
        <v>13.0</v>
      </c>
      <c r="F171" s="205">
        <v>0.01</v>
      </c>
      <c r="G171" s="205">
        <v>0.23</v>
      </c>
    </row>
    <row r="172" ht="15.75" customHeight="1">
      <c r="A172" s="200" t="s">
        <v>303</v>
      </c>
      <c r="B172" s="206" t="s">
        <v>2578</v>
      </c>
      <c r="C172" s="202" t="s">
        <v>2580</v>
      </c>
      <c r="D172" s="203" t="s">
        <v>2581</v>
      </c>
      <c r="E172" s="204">
        <v>13.0</v>
      </c>
      <c r="F172" s="205">
        <v>0.01</v>
      </c>
      <c r="G172" s="205">
        <v>1.08</v>
      </c>
    </row>
    <row r="173" ht="15.75" customHeight="1">
      <c r="A173" s="200" t="s">
        <v>303</v>
      </c>
      <c r="B173" s="206" t="s">
        <v>2583</v>
      </c>
      <c r="C173" s="202" t="s">
        <v>2585</v>
      </c>
      <c r="D173" s="203" t="s">
        <v>2586</v>
      </c>
      <c r="E173" s="204">
        <v>13.0</v>
      </c>
      <c r="F173" s="205">
        <v>0.01</v>
      </c>
      <c r="G173" s="205">
        <v>0.92</v>
      </c>
    </row>
    <row r="174" ht="15.75" customHeight="1">
      <c r="A174" s="200" t="s">
        <v>303</v>
      </c>
      <c r="B174" s="206" t="s">
        <v>2589</v>
      </c>
      <c r="C174" s="202" t="s">
        <v>2590</v>
      </c>
      <c r="D174" s="203" t="s">
        <v>2591</v>
      </c>
      <c r="E174" s="204">
        <v>13.0</v>
      </c>
      <c r="F174" s="205">
        <v>0.01</v>
      </c>
      <c r="G174" s="205">
        <v>0.0</v>
      </c>
    </row>
    <row r="175" ht="15.75" customHeight="1">
      <c r="A175" s="200" t="s">
        <v>303</v>
      </c>
      <c r="B175" s="206" t="s">
        <v>2595</v>
      </c>
      <c r="C175" s="202" t="s">
        <v>2596</v>
      </c>
      <c r="D175" s="203" t="s">
        <v>2597</v>
      </c>
      <c r="E175" s="204">
        <v>13.0</v>
      </c>
      <c r="F175" s="205">
        <v>0.01</v>
      </c>
      <c r="G175" s="205">
        <v>0.15</v>
      </c>
    </row>
    <row r="176" ht="15.75" customHeight="1">
      <c r="A176" s="200" t="s">
        <v>303</v>
      </c>
      <c r="B176" s="206" t="s">
        <v>2601</v>
      </c>
      <c r="C176" s="202" t="s">
        <v>2602</v>
      </c>
      <c r="D176" s="203" t="s">
        <v>2603</v>
      </c>
      <c r="E176" s="204">
        <v>13.0</v>
      </c>
      <c r="F176" s="205">
        <v>0.01</v>
      </c>
      <c r="G176" s="205">
        <v>0.0</v>
      </c>
    </row>
    <row r="177" ht="15.75" customHeight="1">
      <c r="A177" s="200" t="s">
        <v>303</v>
      </c>
      <c r="B177" s="206" t="s">
        <v>2605</v>
      </c>
      <c r="C177" s="202" t="s">
        <v>2606</v>
      </c>
      <c r="D177" s="203" t="s">
        <v>2607</v>
      </c>
      <c r="E177" s="204">
        <v>13.0</v>
      </c>
      <c r="F177" s="205">
        <v>0.01</v>
      </c>
      <c r="G177" s="205">
        <v>0.46</v>
      </c>
    </row>
    <row r="178" ht="15.75" customHeight="1">
      <c r="A178" s="200" t="s">
        <v>303</v>
      </c>
      <c r="B178" s="206" t="s">
        <v>2610</v>
      </c>
      <c r="C178" s="202" t="s">
        <v>2611</v>
      </c>
      <c r="D178" s="203" t="s">
        <v>2612</v>
      </c>
      <c r="E178" s="204">
        <v>13.0</v>
      </c>
      <c r="F178" s="205">
        <v>0.01</v>
      </c>
      <c r="G178" s="205">
        <v>1.46</v>
      </c>
    </row>
    <row r="179" ht="15.75" customHeight="1">
      <c r="A179" s="200" t="s">
        <v>303</v>
      </c>
      <c r="B179" s="206" t="s">
        <v>2613</v>
      </c>
      <c r="C179" s="202" t="s">
        <v>2614</v>
      </c>
      <c r="D179" s="203" t="s">
        <v>2615</v>
      </c>
      <c r="E179" s="204">
        <v>13.0</v>
      </c>
      <c r="F179" s="205">
        <v>0.01</v>
      </c>
      <c r="G179" s="205">
        <v>0.31</v>
      </c>
    </row>
    <row r="180" ht="15.75" customHeight="1">
      <c r="A180" s="200" t="s">
        <v>303</v>
      </c>
      <c r="B180" s="206" t="s">
        <v>2616</v>
      </c>
      <c r="C180" s="202" t="s">
        <v>2617</v>
      </c>
      <c r="D180" s="203" t="s">
        <v>2618</v>
      </c>
      <c r="E180" s="204">
        <v>13.0</v>
      </c>
      <c r="F180" s="205">
        <v>0.01</v>
      </c>
      <c r="G180" s="205">
        <v>1.0</v>
      </c>
    </row>
    <row r="181" ht="15.75" customHeight="1">
      <c r="A181" s="200" t="s">
        <v>303</v>
      </c>
      <c r="B181" s="206" t="s">
        <v>2621</v>
      </c>
      <c r="C181" s="202" t="s">
        <v>2622</v>
      </c>
      <c r="D181" s="203" t="s">
        <v>2623</v>
      </c>
      <c r="E181" s="204">
        <v>13.0</v>
      </c>
      <c r="F181" s="205">
        <v>0.01</v>
      </c>
      <c r="G181" s="205">
        <v>1.08</v>
      </c>
    </row>
    <row r="182" ht="15.75" customHeight="1">
      <c r="A182" s="200" t="s">
        <v>303</v>
      </c>
      <c r="B182" s="206" t="s">
        <v>2627</v>
      </c>
      <c r="C182" s="202" t="s">
        <v>2628</v>
      </c>
      <c r="D182" s="203" t="s">
        <v>2629</v>
      </c>
      <c r="E182" s="204">
        <v>13.0</v>
      </c>
      <c r="F182" s="205">
        <v>0.01</v>
      </c>
      <c r="G182" s="205">
        <v>0.46</v>
      </c>
    </row>
    <row r="183" ht="15.75" customHeight="1">
      <c r="A183" s="200" t="s">
        <v>303</v>
      </c>
      <c r="B183" s="206" t="s">
        <v>2631</v>
      </c>
      <c r="C183" s="202" t="s">
        <v>2632</v>
      </c>
      <c r="D183" s="203" t="s">
        <v>2633</v>
      </c>
      <c r="E183" s="204">
        <v>13.0</v>
      </c>
      <c r="F183" s="205">
        <v>0.01</v>
      </c>
      <c r="G183" s="205">
        <v>0.46</v>
      </c>
    </row>
    <row r="184" ht="15.75" customHeight="1">
      <c r="A184" s="200" t="s">
        <v>303</v>
      </c>
      <c r="B184" s="206" t="s">
        <v>2635</v>
      </c>
      <c r="C184" s="202" t="s">
        <v>2636</v>
      </c>
      <c r="D184" s="203" t="s">
        <v>2637</v>
      </c>
      <c r="E184" s="204">
        <v>13.0</v>
      </c>
      <c r="F184" s="205">
        <v>0.01</v>
      </c>
      <c r="G184" s="205">
        <v>0.08</v>
      </c>
    </row>
    <row r="185" ht="15.75" customHeight="1">
      <c r="A185" s="200" t="s">
        <v>303</v>
      </c>
      <c r="B185" s="206" t="s">
        <v>2639</v>
      </c>
      <c r="C185" s="202" t="s">
        <v>2640</v>
      </c>
      <c r="D185" s="203" t="s">
        <v>2642</v>
      </c>
      <c r="E185" s="204">
        <v>13.0</v>
      </c>
      <c r="F185" s="205">
        <v>0.01</v>
      </c>
      <c r="G185" s="205">
        <v>1.15</v>
      </c>
    </row>
    <row r="186" ht="15.75" customHeight="1">
      <c r="A186" s="200" t="s">
        <v>303</v>
      </c>
      <c r="B186" s="206" t="s">
        <v>2644</v>
      </c>
      <c r="C186" s="202" t="s">
        <v>2645</v>
      </c>
      <c r="D186" s="203" t="s">
        <v>1201</v>
      </c>
      <c r="E186" s="204">
        <v>13.0</v>
      </c>
      <c r="F186" s="205">
        <v>0.01</v>
      </c>
      <c r="G186" s="205">
        <v>0.0</v>
      </c>
    </row>
    <row r="187" ht="15.75" customHeight="1">
      <c r="A187" s="200" t="s">
        <v>303</v>
      </c>
      <c r="B187" s="206" t="s">
        <v>2647</v>
      </c>
      <c r="C187" s="202" t="s">
        <v>2648</v>
      </c>
      <c r="D187" s="203" t="s">
        <v>2650</v>
      </c>
      <c r="E187" s="204">
        <v>12.0</v>
      </c>
      <c r="F187" s="205">
        <v>0.01</v>
      </c>
      <c r="G187" s="205">
        <v>0.83</v>
      </c>
    </row>
    <row r="188" ht="15.75" customHeight="1">
      <c r="A188" s="200" t="s">
        <v>303</v>
      </c>
      <c r="B188" s="206" t="s">
        <v>2651</v>
      </c>
      <c r="C188" s="202" t="s">
        <v>2652</v>
      </c>
      <c r="D188" s="203" t="s">
        <v>2249</v>
      </c>
      <c r="E188" s="204">
        <v>12.0</v>
      </c>
      <c r="F188" s="205">
        <v>0.01</v>
      </c>
      <c r="G188" s="205">
        <v>0.08</v>
      </c>
    </row>
    <row r="189" ht="15.75" customHeight="1">
      <c r="A189" s="200" t="s">
        <v>303</v>
      </c>
      <c r="B189" s="206" t="s">
        <v>2654</v>
      </c>
      <c r="C189" s="202" t="s">
        <v>2655</v>
      </c>
      <c r="D189" s="203" t="s">
        <v>2656</v>
      </c>
      <c r="E189" s="204">
        <v>12.0</v>
      </c>
      <c r="F189" s="205">
        <v>0.01</v>
      </c>
      <c r="G189" s="205">
        <v>0.0</v>
      </c>
    </row>
    <row r="190" ht="15.75" customHeight="1">
      <c r="A190" s="200" t="s">
        <v>303</v>
      </c>
      <c r="B190" s="206" t="s">
        <v>2657</v>
      </c>
      <c r="C190" s="202" t="s">
        <v>2660</v>
      </c>
      <c r="D190" s="203" t="s">
        <v>2661</v>
      </c>
      <c r="E190" s="204">
        <v>12.0</v>
      </c>
      <c r="F190" s="205">
        <v>0.01</v>
      </c>
      <c r="G190" s="205">
        <v>0.25</v>
      </c>
    </row>
    <row r="191" ht="15.75" customHeight="1">
      <c r="A191" s="200" t="s">
        <v>303</v>
      </c>
      <c r="B191" s="206" t="s">
        <v>825</v>
      </c>
      <c r="C191" s="202" t="s">
        <v>826</v>
      </c>
      <c r="D191" s="203" t="s">
        <v>827</v>
      </c>
      <c r="E191" s="204">
        <v>12.0</v>
      </c>
      <c r="F191" s="205">
        <v>0.01</v>
      </c>
      <c r="G191" s="205">
        <v>1.0</v>
      </c>
    </row>
    <row r="192" ht="15.75" customHeight="1">
      <c r="A192" s="200" t="s">
        <v>303</v>
      </c>
      <c r="B192" s="206" t="s">
        <v>2664</v>
      </c>
      <c r="C192" s="202" t="s">
        <v>536</v>
      </c>
      <c r="D192" s="203" t="s">
        <v>2665</v>
      </c>
      <c r="E192" s="204">
        <v>12.0</v>
      </c>
      <c r="F192" s="205">
        <v>0.01</v>
      </c>
      <c r="G192" s="205">
        <v>1.5</v>
      </c>
    </row>
    <row r="193" ht="15.75" customHeight="1">
      <c r="A193" s="200" t="s">
        <v>303</v>
      </c>
      <c r="B193" s="206" t="s">
        <v>2666</v>
      </c>
      <c r="C193" s="202" t="s">
        <v>2670</v>
      </c>
      <c r="D193" s="203" t="s">
        <v>2671</v>
      </c>
      <c r="E193" s="204">
        <v>12.0</v>
      </c>
      <c r="F193" s="205">
        <v>0.01</v>
      </c>
      <c r="G193" s="205">
        <v>1.5</v>
      </c>
    </row>
    <row r="194" ht="15.75" customHeight="1">
      <c r="A194" s="200" t="s">
        <v>303</v>
      </c>
      <c r="B194" s="206" t="s">
        <v>2672</v>
      </c>
      <c r="C194" s="202" t="s">
        <v>2673</v>
      </c>
      <c r="D194" s="203" t="s">
        <v>2674</v>
      </c>
      <c r="E194" s="204">
        <v>12.0</v>
      </c>
      <c r="F194" s="205">
        <v>0.01</v>
      </c>
      <c r="G194" s="205">
        <v>0.0</v>
      </c>
    </row>
    <row r="195" ht="15.75" customHeight="1">
      <c r="A195" s="200" t="s">
        <v>303</v>
      </c>
      <c r="B195" s="206" t="s">
        <v>828</v>
      </c>
      <c r="C195" s="202" t="s">
        <v>829</v>
      </c>
      <c r="D195" s="203" t="s">
        <v>830</v>
      </c>
      <c r="E195" s="204">
        <v>12.0</v>
      </c>
      <c r="F195" s="205">
        <v>0.01</v>
      </c>
      <c r="G195" s="205">
        <v>1.42</v>
      </c>
    </row>
    <row r="196" ht="15.75" customHeight="1">
      <c r="A196" s="200" t="s">
        <v>303</v>
      </c>
      <c r="B196" s="206" t="s">
        <v>2675</v>
      </c>
      <c r="C196" s="202" t="s">
        <v>2676</v>
      </c>
      <c r="D196" s="203" t="s">
        <v>2677</v>
      </c>
      <c r="E196" s="204">
        <v>12.0</v>
      </c>
      <c r="F196" s="205">
        <v>0.01</v>
      </c>
      <c r="G196" s="205">
        <v>1.25</v>
      </c>
    </row>
    <row r="197" ht="15.75" customHeight="1">
      <c r="A197" s="200" t="s">
        <v>303</v>
      </c>
      <c r="B197" s="206" t="s">
        <v>2678</v>
      </c>
      <c r="C197" s="202" t="s">
        <v>2679</v>
      </c>
      <c r="D197" s="203" t="s">
        <v>1101</v>
      </c>
      <c r="E197" s="204">
        <v>12.0</v>
      </c>
      <c r="F197" s="205">
        <v>0.01</v>
      </c>
      <c r="G197" s="205">
        <v>0.17</v>
      </c>
    </row>
    <row r="198" ht="15.75" customHeight="1">
      <c r="A198" s="200" t="s">
        <v>303</v>
      </c>
      <c r="B198" s="206" t="s">
        <v>2681</v>
      </c>
      <c r="C198" s="202" t="s">
        <v>2682</v>
      </c>
      <c r="D198" s="203" t="s">
        <v>2683</v>
      </c>
      <c r="E198" s="204">
        <v>12.0</v>
      </c>
      <c r="F198" s="205">
        <v>0.01</v>
      </c>
      <c r="G198" s="205">
        <v>0.0</v>
      </c>
    </row>
    <row r="199" ht="15.75" customHeight="1">
      <c r="A199" s="200" t="s">
        <v>303</v>
      </c>
      <c r="B199" s="206" t="s">
        <v>2685</v>
      </c>
      <c r="C199" s="202" t="s">
        <v>2686</v>
      </c>
      <c r="D199" s="203" t="s">
        <v>2687</v>
      </c>
      <c r="E199" s="204">
        <v>12.0</v>
      </c>
      <c r="F199" s="205">
        <v>0.01</v>
      </c>
      <c r="G199" s="205">
        <v>0.0</v>
      </c>
    </row>
    <row r="200" ht="15.75" customHeight="1">
      <c r="A200" s="200" t="s">
        <v>303</v>
      </c>
      <c r="B200" s="206" t="s">
        <v>831</v>
      </c>
      <c r="C200" s="202" t="s">
        <v>832</v>
      </c>
      <c r="D200" s="203" t="s">
        <v>835</v>
      </c>
      <c r="E200" s="204">
        <v>12.0</v>
      </c>
      <c r="F200" s="205">
        <v>0.01</v>
      </c>
      <c r="G200" s="205">
        <v>0.58</v>
      </c>
    </row>
    <row r="201" ht="15.75" customHeight="1">
      <c r="A201" s="200" t="s">
        <v>303</v>
      </c>
      <c r="B201" s="206" t="s">
        <v>2689</v>
      </c>
      <c r="C201" s="202" t="s">
        <v>2690</v>
      </c>
      <c r="D201" s="203" t="s">
        <v>2691</v>
      </c>
      <c r="E201" s="204">
        <v>12.0</v>
      </c>
      <c r="F201" s="205">
        <v>0.01</v>
      </c>
      <c r="G201" s="205">
        <v>0.67</v>
      </c>
    </row>
    <row r="202" ht="15.75" customHeight="1">
      <c r="A202" s="200" t="s">
        <v>303</v>
      </c>
      <c r="B202" s="206" t="s">
        <v>836</v>
      </c>
      <c r="C202" s="202" t="s">
        <v>837</v>
      </c>
      <c r="D202" s="203" t="s">
        <v>839</v>
      </c>
      <c r="E202" s="204">
        <v>12.0</v>
      </c>
      <c r="F202" s="205">
        <v>0.01</v>
      </c>
      <c r="G202" s="205">
        <v>0.0</v>
      </c>
    </row>
    <row r="203" ht="15.75" customHeight="1">
      <c r="A203" s="200" t="s">
        <v>303</v>
      </c>
      <c r="B203" s="206" t="s">
        <v>2695</v>
      </c>
      <c r="C203" s="202" t="s">
        <v>2696</v>
      </c>
      <c r="D203" s="203" t="s">
        <v>2697</v>
      </c>
      <c r="E203" s="204">
        <v>12.0</v>
      </c>
      <c r="F203" s="205">
        <v>0.01</v>
      </c>
      <c r="G203" s="205">
        <v>1.08</v>
      </c>
    </row>
    <row r="204" ht="15.75" customHeight="1">
      <c r="A204" s="200" t="s">
        <v>303</v>
      </c>
      <c r="B204" s="206" t="s">
        <v>2699</v>
      </c>
      <c r="C204" s="202" t="s">
        <v>2700</v>
      </c>
      <c r="D204" s="203" t="s">
        <v>2701</v>
      </c>
      <c r="E204" s="204">
        <v>12.0</v>
      </c>
      <c r="F204" s="205">
        <v>0.01</v>
      </c>
      <c r="G204" s="205">
        <v>1.17</v>
      </c>
    </row>
    <row r="205" ht="15.75" customHeight="1">
      <c r="A205" s="200" t="s">
        <v>303</v>
      </c>
      <c r="B205" s="206" t="s">
        <v>2704</v>
      </c>
      <c r="C205" s="202" t="s">
        <v>2706</v>
      </c>
      <c r="D205" s="203" t="s">
        <v>2707</v>
      </c>
      <c r="E205" s="204">
        <v>12.0</v>
      </c>
      <c r="F205" s="205">
        <v>0.01</v>
      </c>
      <c r="G205" s="205">
        <v>0.83</v>
      </c>
    </row>
    <row r="206" ht="15.75" customHeight="1">
      <c r="A206" s="200" t="s">
        <v>303</v>
      </c>
      <c r="B206" s="206" t="s">
        <v>2708</v>
      </c>
      <c r="C206" s="202" t="s">
        <v>2709</v>
      </c>
      <c r="D206" s="203" t="s">
        <v>2711</v>
      </c>
      <c r="E206" s="204">
        <v>12.0</v>
      </c>
      <c r="F206" s="205">
        <v>0.01</v>
      </c>
      <c r="G206" s="205">
        <v>1.58</v>
      </c>
    </row>
    <row r="207" ht="15.75" customHeight="1">
      <c r="A207" s="200" t="s">
        <v>303</v>
      </c>
      <c r="B207" s="206" t="s">
        <v>2714</v>
      </c>
      <c r="C207" s="202" t="s">
        <v>2715</v>
      </c>
      <c r="D207" s="203"/>
      <c r="E207" s="204">
        <v>12.0</v>
      </c>
      <c r="F207" s="205">
        <v>0.01</v>
      </c>
      <c r="G207" s="205">
        <v>0.0</v>
      </c>
    </row>
    <row r="208" ht="15.75" customHeight="1">
      <c r="A208" s="200" t="s">
        <v>303</v>
      </c>
      <c r="B208" s="206" t="s">
        <v>840</v>
      </c>
      <c r="C208" s="202" t="s">
        <v>841</v>
      </c>
      <c r="D208" s="203" t="s">
        <v>842</v>
      </c>
      <c r="E208" s="204">
        <v>12.0</v>
      </c>
      <c r="F208" s="205">
        <v>0.01</v>
      </c>
      <c r="G208" s="205">
        <v>1.5</v>
      </c>
    </row>
    <row r="209" ht="15.75" customHeight="1">
      <c r="A209" s="200" t="s">
        <v>303</v>
      </c>
      <c r="B209" s="206" t="s">
        <v>2751</v>
      </c>
      <c r="C209" s="202" t="s">
        <v>2752</v>
      </c>
      <c r="D209" s="203" t="s">
        <v>2753</v>
      </c>
      <c r="E209" s="204">
        <v>12.0</v>
      </c>
      <c r="F209" s="205">
        <v>0.01</v>
      </c>
      <c r="G209" s="205">
        <v>0.42</v>
      </c>
    </row>
    <row r="210" ht="15.75" customHeight="1">
      <c r="A210" s="200" t="s">
        <v>303</v>
      </c>
      <c r="B210" s="206" t="s">
        <v>2754</v>
      </c>
      <c r="C210" s="202" t="s">
        <v>2755</v>
      </c>
      <c r="D210" s="203" t="s">
        <v>2756</v>
      </c>
      <c r="E210" s="204">
        <v>12.0</v>
      </c>
      <c r="F210" s="205">
        <v>0.01</v>
      </c>
      <c r="G210" s="205">
        <v>0.0</v>
      </c>
    </row>
    <row r="211" ht="15.75" customHeight="1">
      <c r="A211" s="200" t="s">
        <v>303</v>
      </c>
      <c r="B211" s="206" t="s">
        <v>2757</v>
      </c>
      <c r="C211" s="202" t="s">
        <v>2758</v>
      </c>
      <c r="D211" s="203" t="s">
        <v>2759</v>
      </c>
      <c r="E211" s="204">
        <v>12.0</v>
      </c>
      <c r="F211" s="205">
        <v>0.01</v>
      </c>
      <c r="G211" s="205">
        <v>1.0</v>
      </c>
    </row>
    <row r="212" ht="15.75" customHeight="1">
      <c r="A212" s="200" t="s">
        <v>303</v>
      </c>
      <c r="B212" s="206" t="s">
        <v>845</v>
      </c>
      <c r="C212" s="202" t="s">
        <v>846</v>
      </c>
      <c r="D212" s="203" t="s">
        <v>847</v>
      </c>
      <c r="E212" s="204">
        <v>12.0</v>
      </c>
      <c r="F212" s="205">
        <v>0.01</v>
      </c>
      <c r="G212" s="205">
        <v>1.83</v>
      </c>
    </row>
    <row r="213" ht="15.75" customHeight="1">
      <c r="A213" s="200" t="s">
        <v>303</v>
      </c>
      <c r="B213" s="206" t="s">
        <v>2760</v>
      </c>
      <c r="C213" s="202" t="s">
        <v>2761</v>
      </c>
      <c r="D213" s="203" t="s">
        <v>2763</v>
      </c>
      <c r="E213" s="204">
        <v>12.0</v>
      </c>
      <c r="F213" s="205">
        <v>0.01</v>
      </c>
      <c r="G213" s="205">
        <v>0.0</v>
      </c>
    </row>
    <row r="214" ht="15.75" customHeight="1">
      <c r="A214" s="200" t="s">
        <v>303</v>
      </c>
      <c r="B214" s="206" t="s">
        <v>2766</v>
      </c>
      <c r="C214" s="202" t="s">
        <v>2767</v>
      </c>
      <c r="D214" s="203" t="s">
        <v>2768</v>
      </c>
      <c r="E214" s="204">
        <v>11.0</v>
      </c>
      <c r="F214" s="205">
        <v>0.01</v>
      </c>
      <c r="G214" s="205">
        <v>0.0</v>
      </c>
    </row>
    <row r="215" ht="15.75" customHeight="1">
      <c r="A215" s="200" t="s">
        <v>303</v>
      </c>
      <c r="B215" s="206" t="s">
        <v>2772</v>
      </c>
      <c r="C215" s="202" t="s">
        <v>2773</v>
      </c>
      <c r="D215" s="203" t="s">
        <v>2774</v>
      </c>
      <c r="E215" s="204">
        <v>11.0</v>
      </c>
      <c r="F215" s="205">
        <v>0.01</v>
      </c>
      <c r="G215" s="205">
        <v>0.0</v>
      </c>
    </row>
    <row r="216" ht="15.75" customHeight="1">
      <c r="A216" s="200" t="s">
        <v>303</v>
      </c>
      <c r="B216" s="206" t="s">
        <v>2779</v>
      </c>
      <c r="C216" s="202" t="s">
        <v>2780</v>
      </c>
      <c r="D216" s="203" t="s">
        <v>2781</v>
      </c>
      <c r="E216" s="204">
        <v>11.0</v>
      </c>
      <c r="F216" s="205">
        <v>0.01</v>
      </c>
      <c r="G216" s="205">
        <v>0.0</v>
      </c>
    </row>
    <row r="217" ht="15.75" customHeight="1">
      <c r="A217" s="200" t="s">
        <v>303</v>
      </c>
      <c r="B217" s="206" t="s">
        <v>2785</v>
      </c>
      <c r="C217" s="202" t="s">
        <v>2786</v>
      </c>
      <c r="D217" s="203" t="s">
        <v>2787</v>
      </c>
      <c r="E217" s="204">
        <v>11.0</v>
      </c>
      <c r="F217" s="205">
        <v>0.01</v>
      </c>
      <c r="G217" s="205">
        <v>0.18</v>
      </c>
    </row>
    <row r="218" ht="15.75" customHeight="1">
      <c r="A218" s="200" t="s">
        <v>303</v>
      </c>
      <c r="B218" s="206" t="s">
        <v>2790</v>
      </c>
      <c r="C218" s="202" t="s">
        <v>2791</v>
      </c>
      <c r="D218" s="203" t="s">
        <v>2792</v>
      </c>
      <c r="E218" s="204">
        <v>11.0</v>
      </c>
      <c r="F218" s="205">
        <v>0.01</v>
      </c>
      <c r="G218" s="205">
        <v>0.0</v>
      </c>
    </row>
    <row r="219" ht="15.75" customHeight="1">
      <c r="A219" s="200" t="s">
        <v>303</v>
      </c>
      <c r="B219" s="206" t="s">
        <v>2795</v>
      </c>
      <c r="C219" s="202" t="s">
        <v>2796</v>
      </c>
      <c r="D219" s="203" t="s">
        <v>2798</v>
      </c>
      <c r="E219" s="204">
        <v>11.0</v>
      </c>
      <c r="F219" s="205">
        <v>0.01</v>
      </c>
      <c r="G219" s="205">
        <v>0.0</v>
      </c>
    </row>
    <row r="220" ht="15.75" customHeight="1">
      <c r="A220" s="200" t="s">
        <v>303</v>
      </c>
      <c r="B220" s="206" t="s">
        <v>2801</v>
      </c>
      <c r="C220" s="202" t="s">
        <v>2802</v>
      </c>
      <c r="D220" s="203" t="s">
        <v>2803</v>
      </c>
      <c r="E220" s="204">
        <v>11.0</v>
      </c>
      <c r="F220" s="205">
        <v>0.01</v>
      </c>
      <c r="G220" s="205">
        <v>1.09</v>
      </c>
    </row>
    <row r="221" ht="15.75" customHeight="1">
      <c r="A221" s="200" t="s">
        <v>303</v>
      </c>
      <c r="B221" s="206" t="s">
        <v>2807</v>
      </c>
      <c r="C221" s="202" t="s">
        <v>2809</v>
      </c>
      <c r="D221" s="203" t="s">
        <v>2810</v>
      </c>
      <c r="E221" s="204">
        <v>11.0</v>
      </c>
      <c r="F221" s="205">
        <v>0.01</v>
      </c>
      <c r="G221" s="205">
        <v>0.0</v>
      </c>
    </row>
    <row r="222" ht="15.75" customHeight="1">
      <c r="A222" s="200" t="s">
        <v>303</v>
      </c>
      <c r="B222" s="206" t="s">
        <v>2813</v>
      </c>
      <c r="C222" s="202" t="s">
        <v>2814</v>
      </c>
      <c r="D222" s="203" t="s">
        <v>2816</v>
      </c>
      <c r="E222" s="204">
        <v>11.0</v>
      </c>
      <c r="F222" s="205">
        <v>0.01</v>
      </c>
      <c r="G222" s="205">
        <v>0.09</v>
      </c>
    </row>
    <row r="223" ht="15.75" customHeight="1">
      <c r="A223" s="200" t="s">
        <v>303</v>
      </c>
      <c r="B223" s="206" t="s">
        <v>2819</v>
      </c>
      <c r="C223" s="202" t="s">
        <v>2820</v>
      </c>
      <c r="D223" s="203" t="s">
        <v>2816</v>
      </c>
      <c r="E223" s="204">
        <v>11.0</v>
      </c>
      <c r="F223" s="205">
        <v>0.01</v>
      </c>
      <c r="G223" s="205">
        <v>0.0</v>
      </c>
    </row>
    <row r="224" ht="15.75" customHeight="1">
      <c r="A224" s="200" t="s">
        <v>303</v>
      </c>
      <c r="B224" s="206" t="s">
        <v>2824</v>
      </c>
      <c r="C224" s="202" t="s">
        <v>2826</v>
      </c>
      <c r="D224" s="203" t="s">
        <v>2827</v>
      </c>
      <c r="E224" s="204">
        <v>11.0</v>
      </c>
      <c r="F224" s="205">
        <v>0.01</v>
      </c>
      <c r="G224" s="205">
        <v>0.09</v>
      </c>
    </row>
    <row r="225" ht="15.75" customHeight="1">
      <c r="A225" s="200" t="s">
        <v>303</v>
      </c>
      <c r="B225" s="206" t="s">
        <v>2831</v>
      </c>
      <c r="C225" s="202" t="s">
        <v>2833</v>
      </c>
      <c r="D225" s="203" t="s">
        <v>2834</v>
      </c>
      <c r="E225" s="204">
        <v>11.0</v>
      </c>
      <c r="F225" s="205">
        <v>0.01</v>
      </c>
      <c r="G225" s="205">
        <v>2.0</v>
      </c>
    </row>
    <row r="226" ht="15.75" customHeight="1">
      <c r="A226" s="200" t="s">
        <v>303</v>
      </c>
      <c r="B226" s="206" t="s">
        <v>2838</v>
      </c>
      <c r="C226" s="202" t="s">
        <v>2839</v>
      </c>
      <c r="D226" s="203" t="s">
        <v>2841</v>
      </c>
      <c r="E226" s="204">
        <v>11.0</v>
      </c>
      <c r="F226" s="205">
        <v>0.01</v>
      </c>
      <c r="G226" s="205">
        <v>0.09</v>
      </c>
    </row>
    <row r="227" ht="15.75" customHeight="1">
      <c r="A227" s="200" t="s">
        <v>303</v>
      </c>
      <c r="B227" s="206" t="s">
        <v>2844</v>
      </c>
      <c r="C227" s="202" t="s">
        <v>2846</v>
      </c>
      <c r="D227" s="203" t="s">
        <v>2848</v>
      </c>
      <c r="E227" s="204">
        <v>11.0</v>
      </c>
      <c r="F227" s="205">
        <v>0.01</v>
      </c>
      <c r="G227" s="205">
        <v>0.55</v>
      </c>
    </row>
    <row r="228" ht="15.75" customHeight="1">
      <c r="A228" s="200" t="s">
        <v>303</v>
      </c>
      <c r="B228" s="206" t="s">
        <v>848</v>
      </c>
      <c r="C228" s="202" t="s">
        <v>849</v>
      </c>
      <c r="D228" s="203" t="s">
        <v>850</v>
      </c>
      <c r="E228" s="204">
        <v>11.0</v>
      </c>
      <c r="F228" s="205">
        <v>0.01</v>
      </c>
      <c r="G228" s="205">
        <v>0.0</v>
      </c>
    </row>
    <row r="229" ht="15.75" customHeight="1">
      <c r="A229" s="200" t="s">
        <v>303</v>
      </c>
      <c r="B229" s="206" t="s">
        <v>2852</v>
      </c>
      <c r="C229" s="202" t="s">
        <v>2853</v>
      </c>
      <c r="D229" s="203" t="s">
        <v>2854</v>
      </c>
      <c r="E229" s="204">
        <v>11.0</v>
      </c>
      <c r="F229" s="205">
        <v>0.01</v>
      </c>
      <c r="G229" s="205">
        <v>3.0</v>
      </c>
    </row>
    <row r="230" ht="15.75" customHeight="1">
      <c r="A230" s="200" t="s">
        <v>303</v>
      </c>
      <c r="B230" s="206" t="s">
        <v>2858</v>
      </c>
      <c r="C230" s="202" t="s">
        <v>2859</v>
      </c>
      <c r="D230" s="203" t="s">
        <v>2860</v>
      </c>
      <c r="E230" s="204">
        <v>11.0</v>
      </c>
      <c r="F230" s="205">
        <v>0.01</v>
      </c>
      <c r="G230" s="205">
        <v>2.0</v>
      </c>
    </row>
    <row r="231" ht="15.75" customHeight="1">
      <c r="A231" s="200" t="s">
        <v>303</v>
      </c>
      <c r="B231" s="206" t="s">
        <v>2861</v>
      </c>
      <c r="C231" s="202" t="s">
        <v>2864</v>
      </c>
      <c r="D231" s="203" t="s">
        <v>2865</v>
      </c>
      <c r="E231" s="204">
        <v>11.0</v>
      </c>
      <c r="F231" s="205">
        <v>0.01</v>
      </c>
      <c r="G231" s="205">
        <v>0.18</v>
      </c>
    </row>
    <row r="232" ht="15.75" customHeight="1">
      <c r="A232" s="200" t="s">
        <v>303</v>
      </c>
      <c r="B232" s="206" t="s">
        <v>2868</v>
      </c>
      <c r="C232" s="202" t="s">
        <v>2870</v>
      </c>
      <c r="D232" s="203" t="s">
        <v>2872</v>
      </c>
      <c r="E232" s="204">
        <v>11.0</v>
      </c>
      <c r="F232" s="205">
        <v>0.01</v>
      </c>
      <c r="G232" s="205">
        <v>1.0</v>
      </c>
    </row>
    <row r="233" ht="15.75" customHeight="1">
      <c r="A233" s="200" t="s">
        <v>303</v>
      </c>
      <c r="B233" s="206" t="s">
        <v>2873</v>
      </c>
      <c r="C233" s="202" t="s">
        <v>2874</v>
      </c>
      <c r="D233" s="203" t="s">
        <v>2875</v>
      </c>
      <c r="E233" s="204">
        <v>11.0</v>
      </c>
      <c r="F233" s="205">
        <v>0.01</v>
      </c>
      <c r="G233" s="205">
        <v>0.91</v>
      </c>
    </row>
    <row r="234" ht="15.75" customHeight="1">
      <c r="A234" s="200" t="s">
        <v>303</v>
      </c>
      <c r="B234" s="206" t="s">
        <v>2877</v>
      </c>
      <c r="C234" s="202" t="s">
        <v>2878</v>
      </c>
      <c r="D234" s="203" t="s">
        <v>2879</v>
      </c>
      <c r="E234" s="204">
        <v>11.0</v>
      </c>
      <c r="F234" s="205">
        <v>0.01</v>
      </c>
      <c r="G234" s="205">
        <v>0.09</v>
      </c>
    </row>
    <row r="235" ht="15.75" customHeight="1">
      <c r="A235" s="200" t="s">
        <v>303</v>
      </c>
      <c r="B235" s="206" t="s">
        <v>2881</v>
      </c>
      <c r="C235" s="202" t="s">
        <v>2883</v>
      </c>
      <c r="D235" s="203"/>
      <c r="E235" s="204">
        <v>11.0</v>
      </c>
      <c r="F235" s="205">
        <v>0.01</v>
      </c>
      <c r="G235" s="205">
        <v>0.0</v>
      </c>
    </row>
    <row r="236" ht="15.75" customHeight="1">
      <c r="A236" s="200" t="s">
        <v>303</v>
      </c>
      <c r="B236" s="206" t="s">
        <v>2886</v>
      </c>
      <c r="C236" s="202" t="s">
        <v>2888</v>
      </c>
      <c r="D236" s="203" t="s">
        <v>2890</v>
      </c>
      <c r="E236" s="204">
        <v>10.0</v>
      </c>
      <c r="F236" s="205">
        <v>0.01</v>
      </c>
      <c r="G236" s="205">
        <v>0.0</v>
      </c>
    </row>
    <row r="237" ht="15.75" customHeight="1">
      <c r="A237" s="200" t="s">
        <v>303</v>
      </c>
      <c r="B237" s="206" t="s">
        <v>851</v>
      </c>
      <c r="C237" s="202" t="s">
        <v>852</v>
      </c>
      <c r="D237" s="203" t="s">
        <v>855</v>
      </c>
      <c r="E237" s="204">
        <v>10.0</v>
      </c>
      <c r="F237" s="205">
        <v>0.01</v>
      </c>
      <c r="G237" s="205">
        <v>1.4</v>
      </c>
    </row>
    <row r="238" ht="15.75" customHeight="1">
      <c r="A238" s="200" t="s">
        <v>303</v>
      </c>
      <c r="B238" s="206" t="s">
        <v>856</v>
      </c>
      <c r="C238" s="202" t="s">
        <v>857</v>
      </c>
      <c r="D238" s="203" t="s">
        <v>858</v>
      </c>
      <c r="E238" s="204">
        <v>10.0</v>
      </c>
      <c r="F238" s="205">
        <v>0.01</v>
      </c>
      <c r="G238" s="205">
        <v>2.3</v>
      </c>
    </row>
    <row r="239" ht="15.75" customHeight="1">
      <c r="A239" s="200" t="s">
        <v>303</v>
      </c>
      <c r="B239" s="206" t="s">
        <v>2896</v>
      </c>
      <c r="C239" s="202" t="s">
        <v>2897</v>
      </c>
      <c r="D239" s="203" t="s">
        <v>2898</v>
      </c>
      <c r="E239" s="204">
        <v>10.0</v>
      </c>
      <c r="F239" s="205">
        <v>0.01</v>
      </c>
      <c r="G239" s="205">
        <v>0.0</v>
      </c>
    </row>
    <row r="240" ht="15.75" customHeight="1">
      <c r="A240" s="200" t="s">
        <v>303</v>
      </c>
      <c r="B240" s="206" t="s">
        <v>2901</v>
      </c>
      <c r="C240" s="202" t="s">
        <v>2902</v>
      </c>
      <c r="D240" s="203" t="s">
        <v>2903</v>
      </c>
      <c r="E240" s="204">
        <v>10.0</v>
      </c>
      <c r="F240" s="205">
        <v>0.01</v>
      </c>
      <c r="G240" s="205">
        <v>0.2</v>
      </c>
    </row>
    <row r="241" ht="15.75" customHeight="1">
      <c r="A241" s="200" t="s">
        <v>303</v>
      </c>
      <c r="B241" s="206" t="s">
        <v>2905</v>
      </c>
      <c r="C241" s="202" t="s">
        <v>2907</v>
      </c>
      <c r="D241" s="203" t="s">
        <v>2908</v>
      </c>
      <c r="E241" s="204">
        <v>10.0</v>
      </c>
      <c r="F241" s="205">
        <v>0.01</v>
      </c>
      <c r="G241" s="205">
        <v>0.2</v>
      </c>
    </row>
    <row r="242" ht="15.75" customHeight="1">
      <c r="A242" s="200" t="s">
        <v>303</v>
      </c>
      <c r="B242" s="206" t="s">
        <v>859</v>
      </c>
      <c r="C242" s="202" t="s">
        <v>860</v>
      </c>
      <c r="D242" s="203" t="s">
        <v>861</v>
      </c>
      <c r="E242" s="204">
        <v>10.0</v>
      </c>
      <c r="F242" s="205">
        <v>0.01</v>
      </c>
      <c r="G242" s="205">
        <v>0.1</v>
      </c>
    </row>
    <row r="243" ht="15.75" customHeight="1">
      <c r="A243" s="200" t="s">
        <v>303</v>
      </c>
      <c r="B243" s="206" t="s">
        <v>864</v>
      </c>
      <c r="C243" s="202" t="s">
        <v>860</v>
      </c>
      <c r="D243" s="203" t="s">
        <v>861</v>
      </c>
      <c r="E243" s="204">
        <v>10.0</v>
      </c>
      <c r="F243" s="205">
        <v>0.01</v>
      </c>
      <c r="G243" s="205">
        <v>0.0</v>
      </c>
    </row>
    <row r="244" ht="15.75" customHeight="1">
      <c r="A244" s="200" t="s">
        <v>303</v>
      </c>
      <c r="B244" s="206" t="s">
        <v>865</v>
      </c>
      <c r="C244" s="202" t="s">
        <v>866</v>
      </c>
      <c r="D244" s="203" t="s">
        <v>867</v>
      </c>
      <c r="E244" s="204">
        <v>10.0</v>
      </c>
      <c r="F244" s="205">
        <v>0.01</v>
      </c>
      <c r="G244" s="205">
        <v>1.4</v>
      </c>
    </row>
    <row r="245" ht="15.75" customHeight="1">
      <c r="A245" s="200" t="s">
        <v>303</v>
      </c>
      <c r="B245" s="206" t="s">
        <v>2916</v>
      </c>
      <c r="C245" s="202" t="s">
        <v>2917</v>
      </c>
      <c r="D245" s="203" t="s">
        <v>2918</v>
      </c>
      <c r="E245" s="204">
        <v>10.0</v>
      </c>
      <c r="F245" s="205">
        <v>0.01</v>
      </c>
      <c r="G245" s="205">
        <v>0.1</v>
      </c>
    </row>
    <row r="246" ht="15.75" customHeight="1">
      <c r="A246" s="200" t="s">
        <v>303</v>
      </c>
      <c r="B246" s="206" t="s">
        <v>868</v>
      </c>
      <c r="C246" s="202" t="s">
        <v>869</v>
      </c>
      <c r="D246" s="203" t="s">
        <v>871</v>
      </c>
      <c r="E246" s="204">
        <v>10.0</v>
      </c>
      <c r="F246" s="205">
        <v>0.01</v>
      </c>
      <c r="G246" s="205">
        <v>1.4</v>
      </c>
    </row>
    <row r="247" ht="15.75" customHeight="1">
      <c r="A247" s="200" t="s">
        <v>303</v>
      </c>
      <c r="B247" s="206" t="s">
        <v>2923</v>
      </c>
      <c r="C247" s="202" t="s">
        <v>2924</v>
      </c>
      <c r="D247" s="203" t="s">
        <v>2926</v>
      </c>
      <c r="E247" s="204">
        <v>10.0</v>
      </c>
      <c r="F247" s="205">
        <v>0.01</v>
      </c>
      <c r="G247" s="205">
        <v>0.0</v>
      </c>
    </row>
    <row r="248" ht="15.75" customHeight="1">
      <c r="A248" s="200" t="s">
        <v>303</v>
      </c>
      <c r="B248" s="206" t="s">
        <v>2928</v>
      </c>
      <c r="C248" s="202" t="s">
        <v>2929</v>
      </c>
      <c r="D248" s="203" t="s">
        <v>2931</v>
      </c>
      <c r="E248" s="204">
        <v>10.0</v>
      </c>
      <c r="F248" s="205">
        <v>0.01</v>
      </c>
      <c r="G248" s="205">
        <v>1.0</v>
      </c>
    </row>
    <row r="249" ht="15.75" customHeight="1">
      <c r="A249" s="200" t="s">
        <v>303</v>
      </c>
      <c r="B249" s="206" t="s">
        <v>2933</v>
      </c>
      <c r="C249" s="202" t="s">
        <v>2935</v>
      </c>
      <c r="D249" s="203" t="s">
        <v>2937</v>
      </c>
      <c r="E249" s="204">
        <v>10.0</v>
      </c>
      <c r="F249" s="205">
        <v>0.01</v>
      </c>
      <c r="G249" s="205">
        <v>1.1</v>
      </c>
    </row>
    <row r="250" ht="15.75" customHeight="1">
      <c r="A250" s="200" t="s">
        <v>303</v>
      </c>
      <c r="B250" s="206" t="s">
        <v>2938</v>
      </c>
      <c r="C250" s="202" t="s">
        <v>2939</v>
      </c>
      <c r="D250" s="203" t="s">
        <v>2941</v>
      </c>
      <c r="E250" s="204">
        <v>10.0</v>
      </c>
      <c r="F250" s="205">
        <v>0.01</v>
      </c>
      <c r="G250" s="205">
        <v>0.6</v>
      </c>
    </row>
    <row r="251" ht="15.75" customHeight="1">
      <c r="A251" s="200" t="s">
        <v>303</v>
      </c>
      <c r="B251" s="206" t="s">
        <v>2943</v>
      </c>
      <c r="C251" s="202" t="s">
        <v>2944</v>
      </c>
      <c r="D251" s="203" t="s">
        <v>2946</v>
      </c>
      <c r="E251" s="204">
        <v>10.0</v>
      </c>
      <c r="F251" s="205">
        <v>0.01</v>
      </c>
      <c r="G251" s="205">
        <v>1.5</v>
      </c>
    </row>
    <row r="252" ht="15.75" customHeight="1">
      <c r="A252" s="200" t="s">
        <v>303</v>
      </c>
      <c r="B252" s="206" t="s">
        <v>2949</v>
      </c>
      <c r="C252" s="202" t="s">
        <v>2950</v>
      </c>
      <c r="D252" s="203" t="s">
        <v>2951</v>
      </c>
      <c r="E252" s="204">
        <v>10.0</v>
      </c>
      <c r="F252" s="205">
        <v>0.01</v>
      </c>
      <c r="G252" s="205">
        <v>0.3</v>
      </c>
    </row>
    <row r="253" ht="15.75" customHeight="1">
      <c r="A253" s="200" t="s">
        <v>303</v>
      </c>
      <c r="B253" s="206" t="s">
        <v>2955</v>
      </c>
      <c r="C253" s="202" t="s">
        <v>2956</v>
      </c>
      <c r="D253" s="203" t="s">
        <v>2957</v>
      </c>
      <c r="E253" s="204">
        <v>10.0</v>
      </c>
      <c r="F253" s="205">
        <v>0.01</v>
      </c>
      <c r="G253" s="205">
        <v>1.2</v>
      </c>
    </row>
    <row r="254" ht="15.75" customHeight="1">
      <c r="A254" s="200" t="s">
        <v>303</v>
      </c>
      <c r="B254" s="206" t="s">
        <v>2960</v>
      </c>
      <c r="C254" s="202" t="s">
        <v>2961</v>
      </c>
      <c r="D254" s="203" t="s">
        <v>2965</v>
      </c>
      <c r="E254" s="204">
        <v>10.0</v>
      </c>
      <c r="F254" s="205">
        <v>0.01</v>
      </c>
      <c r="G254" s="205">
        <v>1.4</v>
      </c>
    </row>
    <row r="255" ht="15.75" customHeight="1">
      <c r="A255" s="200" t="s">
        <v>303</v>
      </c>
      <c r="B255" s="206" t="s">
        <v>872</v>
      </c>
      <c r="C255" s="202" t="s">
        <v>873</v>
      </c>
      <c r="D255" s="203" t="s">
        <v>874</v>
      </c>
      <c r="E255" s="204">
        <v>10.0</v>
      </c>
      <c r="F255" s="205">
        <v>0.01</v>
      </c>
      <c r="G255" s="205">
        <v>0.6</v>
      </c>
    </row>
    <row r="256" ht="15.75" customHeight="1">
      <c r="A256" s="200" t="s">
        <v>303</v>
      </c>
      <c r="B256" s="206" t="s">
        <v>2970</v>
      </c>
      <c r="C256" s="202" t="s">
        <v>2971</v>
      </c>
      <c r="D256" s="203" t="s">
        <v>2972</v>
      </c>
      <c r="E256" s="204">
        <v>10.0</v>
      </c>
      <c r="F256" s="205">
        <v>0.01</v>
      </c>
      <c r="G256" s="205">
        <v>0.0</v>
      </c>
    </row>
    <row r="257" ht="15.75" customHeight="1">
      <c r="A257" s="200" t="s">
        <v>303</v>
      </c>
      <c r="B257" s="206" t="s">
        <v>875</v>
      </c>
      <c r="C257" s="202" t="s">
        <v>876</v>
      </c>
      <c r="D257" s="203" t="s">
        <v>880</v>
      </c>
      <c r="E257" s="204">
        <v>10.0</v>
      </c>
      <c r="F257" s="205">
        <v>0.01</v>
      </c>
      <c r="G257" s="205">
        <v>2.0</v>
      </c>
    </row>
    <row r="258" ht="15.75" customHeight="1">
      <c r="A258" s="200" t="s">
        <v>303</v>
      </c>
      <c r="B258" s="206" t="s">
        <v>2975</v>
      </c>
      <c r="C258" s="202" t="s">
        <v>2976</v>
      </c>
      <c r="D258" s="203" t="s">
        <v>2977</v>
      </c>
      <c r="E258" s="204">
        <v>10.0</v>
      </c>
      <c r="F258" s="205">
        <v>0.01</v>
      </c>
      <c r="G258" s="205">
        <v>0.0</v>
      </c>
    </row>
    <row r="259" ht="15.75" customHeight="1">
      <c r="A259" s="200" t="s">
        <v>303</v>
      </c>
      <c r="B259" s="206" t="s">
        <v>2981</v>
      </c>
      <c r="C259" s="202" t="s">
        <v>2982</v>
      </c>
      <c r="D259" s="203"/>
      <c r="E259" s="204">
        <v>9.0</v>
      </c>
      <c r="F259" s="205">
        <v>0.01</v>
      </c>
      <c r="G259" s="205">
        <v>0.0</v>
      </c>
    </row>
    <row r="260" ht="15.75" customHeight="1">
      <c r="A260" s="200" t="s">
        <v>303</v>
      </c>
      <c r="B260" s="206" t="s">
        <v>2985</v>
      </c>
      <c r="C260" s="202" t="s">
        <v>2987</v>
      </c>
      <c r="D260" s="203" t="s">
        <v>2988</v>
      </c>
      <c r="E260" s="204">
        <v>9.0</v>
      </c>
      <c r="F260" s="205">
        <v>0.01</v>
      </c>
      <c r="G260" s="205">
        <v>0.89</v>
      </c>
    </row>
    <row r="261" ht="15.75" customHeight="1">
      <c r="A261" s="200" t="s">
        <v>303</v>
      </c>
      <c r="B261" s="206" t="s">
        <v>2992</v>
      </c>
      <c r="C261" s="202" t="s">
        <v>2994</v>
      </c>
      <c r="D261" s="203"/>
      <c r="E261" s="204">
        <v>9.0</v>
      </c>
      <c r="F261" s="205">
        <v>0.01</v>
      </c>
      <c r="G261" s="205">
        <v>0.0</v>
      </c>
    </row>
    <row r="262" ht="15.75" customHeight="1">
      <c r="A262" s="200" t="s">
        <v>303</v>
      </c>
      <c r="B262" s="206" t="s">
        <v>2997</v>
      </c>
      <c r="C262" s="202" t="s">
        <v>2998</v>
      </c>
      <c r="D262" s="203" t="s">
        <v>3000</v>
      </c>
      <c r="E262" s="204">
        <v>9.0</v>
      </c>
      <c r="F262" s="205">
        <v>0.01</v>
      </c>
      <c r="G262" s="205">
        <v>2.33</v>
      </c>
    </row>
    <row r="263" ht="15.75" customHeight="1">
      <c r="A263" s="200" t="s">
        <v>303</v>
      </c>
      <c r="B263" s="206" t="s">
        <v>444</v>
      </c>
      <c r="C263" s="202" t="s">
        <v>445</v>
      </c>
      <c r="D263" s="203" t="s">
        <v>254</v>
      </c>
      <c r="E263" s="204">
        <v>9.0</v>
      </c>
      <c r="F263" s="205">
        <v>0.01</v>
      </c>
      <c r="G263" s="205">
        <v>0.11</v>
      </c>
    </row>
    <row r="264" ht="15.75" customHeight="1">
      <c r="A264" s="200" t="s">
        <v>303</v>
      </c>
      <c r="B264" s="206" t="s">
        <v>446</v>
      </c>
      <c r="C264" s="202" t="s">
        <v>447</v>
      </c>
      <c r="D264" s="203" t="s">
        <v>448</v>
      </c>
      <c r="E264" s="204">
        <v>9.0</v>
      </c>
      <c r="F264" s="205">
        <v>0.01</v>
      </c>
      <c r="G264" s="205">
        <v>0.11</v>
      </c>
    </row>
    <row r="265" ht="15.75" customHeight="1">
      <c r="A265" s="200" t="s">
        <v>303</v>
      </c>
      <c r="B265" s="206" t="s">
        <v>3007</v>
      </c>
      <c r="C265" s="202" t="s">
        <v>3008</v>
      </c>
      <c r="D265" s="203" t="s">
        <v>3009</v>
      </c>
      <c r="E265" s="204">
        <v>9.0</v>
      </c>
      <c r="F265" s="205">
        <v>0.01</v>
      </c>
      <c r="G265" s="205">
        <v>1.33</v>
      </c>
    </row>
    <row r="266" ht="15.75" customHeight="1">
      <c r="A266" s="200" t="s">
        <v>303</v>
      </c>
      <c r="B266" s="206" t="s">
        <v>3012</v>
      </c>
      <c r="C266" s="202" t="s">
        <v>3013</v>
      </c>
      <c r="D266" s="203" t="s">
        <v>3015</v>
      </c>
      <c r="E266" s="204">
        <v>9.0</v>
      </c>
      <c r="F266" s="205">
        <v>0.01</v>
      </c>
      <c r="G266" s="205">
        <v>0.11</v>
      </c>
    </row>
    <row r="267" ht="15.75" customHeight="1">
      <c r="A267" s="200" t="s">
        <v>303</v>
      </c>
      <c r="B267" s="206" t="s">
        <v>3018</v>
      </c>
      <c r="C267" s="202" t="s">
        <v>3020</v>
      </c>
      <c r="D267" s="203" t="s">
        <v>3021</v>
      </c>
      <c r="E267" s="204">
        <v>9.0</v>
      </c>
      <c r="F267" s="205">
        <v>0.01</v>
      </c>
      <c r="G267" s="205">
        <v>0.44</v>
      </c>
    </row>
    <row r="268" ht="15.75" customHeight="1">
      <c r="A268" s="200" t="s">
        <v>303</v>
      </c>
      <c r="B268" s="206" t="s">
        <v>881</v>
      </c>
      <c r="C268" s="202" t="s">
        <v>882</v>
      </c>
      <c r="D268" s="203" t="s">
        <v>883</v>
      </c>
      <c r="E268" s="204">
        <v>9.0</v>
      </c>
      <c r="F268" s="205">
        <v>0.01</v>
      </c>
      <c r="G268" s="205">
        <v>0.89</v>
      </c>
    </row>
    <row r="269" ht="15.75" customHeight="1">
      <c r="A269" s="200" t="s">
        <v>303</v>
      </c>
      <c r="B269" s="206" t="s">
        <v>884</v>
      </c>
      <c r="C269" s="202" t="s">
        <v>885</v>
      </c>
      <c r="D269" s="203" t="s">
        <v>886</v>
      </c>
      <c r="E269" s="204">
        <v>9.0</v>
      </c>
      <c r="F269" s="205">
        <v>0.01</v>
      </c>
      <c r="G269" s="205">
        <v>1.33</v>
      </c>
    </row>
    <row r="270" ht="15.75" customHeight="1">
      <c r="A270" s="200" t="s">
        <v>303</v>
      </c>
      <c r="B270" s="206" t="s">
        <v>3028</v>
      </c>
      <c r="C270" s="202" t="s">
        <v>3029</v>
      </c>
      <c r="D270" s="203" t="s">
        <v>3030</v>
      </c>
      <c r="E270" s="204">
        <v>9.0</v>
      </c>
      <c r="F270" s="205">
        <v>0.01</v>
      </c>
      <c r="G270" s="205">
        <v>0.11</v>
      </c>
    </row>
    <row r="271" ht="15.75" customHeight="1">
      <c r="A271" s="200" t="s">
        <v>303</v>
      </c>
      <c r="B271" s="206" t="s">
        <v>3034</v>
      </c>
      <c r="C271" s="202" t="s">
        <v>3035</v>
      </c>
      <c r="D271" s="203" t="s">
        <v>3036</v>
      </c>
      <c r="E271" s="204">
        <v>9.0</v>
      </c>
      <c r="F271" s="205">
        <v>0.01</v>
      </c>
      <c r="G271" s="205">
        <v>0.0</v>
      </c>
    </row>
    <row r="272" ht="15.75" customHeight="1">
      <c r="A272" s="200" t="s">
        <v>303</v>
      </c>
      <c r="B272" s="206" t="s">
        <v>3039</v>
      </c>
      <c r="C272" s="202" t="s">
        <v>3040</v>
      </c>
      <c r="D272" s="203"/>
      <c r="E272" s="204">
        <v>9.0</v>
      </c>
      <c r="F272" s="205">
        <v>0.01</v>
      </c>
      <c r="G272" s="205">
        <v>0.0</v>
      </c>
    </row>
    <row r="273" ht="15.75" customHeight="1">
      <c r="A273" s="200" t="s">
        <v>303</v>
      </c>
      <c r="B273" s="206" t="s">
        <v>3043</v>
      </c>
      <c r="C273" s="202" t="s">
        <v>3044</v>
      </c>
      <c r="D273" s="203" t="s">
        <v>3045</v>
      </c>
      <c r="E273" s="204">
        <v>9.0</v>
      </c>
      <c r="F273" s="205">
        <v>0.01</v>
      </c>
      <c r="G273" s="205">
        <v>0.11</v>
      </c>
    </row>
    <row r="274" ht="15.75" customHeight="1">
      <c r="A274" s="200" t="s">
        <v>303</v>
      </c>
      <c r="B274" s="206" t="s">
        <v>3048</v>
      </c>
      <c r="C274" s="202" t="s">
        <v>3049</v>
      </c>
      <c r="D274" s="203" t="s">
        <v>3050</v>
      </c>
      <c r="E274" s="204">
        <v>9.0</v>
      </c>
      <c r="F274" s="205">
        <v>0.01</v>
      </c>
      <c r="G274" s="205">
        <v>0.11</v>
      </c>
    </row>
    <row r="275" ht="15.75" customHeight="1">
      <c r="A275" s="200" t="s">
        <v>303</v>
      </c>
      <c r="B275" s="206" t="s">
        <v>3053</v>
      </c>
      <c r="C275" s="202" t="s">
        <v>3059</v>
      </c>
      <c r="D275" s="203" t="s">
        <v>3060</v>
      </c>
      <c r="E275" s="204">
        <v>9.0</v>
      </c>
      <c r="F275" s="205">
        <v>0.01</v>
      </c>
      <c r="G275" s="205">
        <v>1.22</v>
      </c>
    </row>
    <row r="276" ht="15.75" customHeight="1">
      <c r="A276" s="200" t="s">
        <v>303</v>
      </c>
      <c r="B276" s="206" t="s">
        <v>3063</v>
      </c>
      <c r="C276" s="202" t="s">
        <v>3064</v>
      </c>
      <c r="D276" s="203" t="s">
        <v>3066</v>
      </c>
      <c r="E276" s="204">
        <v>9.0</v>
      </c>
      <c r="F276" s="205">
        <v>0.01</v>
      </c>
      <c r="G276" s="205">
        <v>0.22</v>
      </c>
    </row>
    <row r="277" ht="15.75" customHeight="1">
      <c r="A277" s="200" t="s">
        <v>303</v>
      </c>
      <c r="B277" s="206" t="s">
        <v>3069</v>
      </c>
      <c r="C277" s="202" t="s">
        <v>3070</v>
      </c>
      <c r="D277" s="203" t="s">
        <v>3072</v>
      </c>
      <c r="E277" s="204">
        <v>9.0</v>
      </c>
      <c r="F277" s="205">
        <v>0.01</v>
      </c>
      <c r="G277" s="205">
        <v>2.0</v>
      </c>
    </row>
    <row r="278" ht="15.75" customHeight="1">
      <c r="A278" s="200" t="s">
        <v>303</v>
      </c>
      <c r="B278" s="206" t="s">
        <v>3073</v>
      </c>
      <c r="C278" s="202" t="s">
        <v>3074</v>
      </c>
      <c r="D278" s="203" t="s">
        <v>3075</v>
      </c>
      <c r="E278" s="204">
        <v>9.0</v>
      </c>
      <c r="F278" s="205">
        <v>0.01</v>
      </c>
      <c r="G278" s="205">
        <v>0.11</v>
      </c>
    </row>
    <row r="279" ht="15.75" customHeight="1">
      <c r="A279" s="200" t="s">
        <v>303</v>
      </c>
      <c r="B279" s="206" t="s">
        <v>3076</v>
      </c>
      <c r="C279" s="202" t="s">
        <v>3077</v>
      </c>
      <c r="D279" s="203" t="s">
        <v>254</v>
      </c>
      <c r="E279" s="204">
        <v>9.0</v>
      </c>
      <c r="F279" s="205">
        <v>0.01</v>
      </c>
      <c r="G279" s="205">
        <v>0.22</v>
      </c>
    </row>
    <row r="280" ht="15.75" customHeight="1">
      <c r="A280" s="200" t="s">
        <v>303</v>
      </c>
      <c r="B280" s="206" t="s">
        <v>3079</v>
      </c>
      <c r="C280" s="202" t="s">
        <v>3080</v>
      </c>
      <c r="D280" s="203" t="s">
        <v>3081</v>
      </c>
      <c r="E280" s="204">
        <v>9.0</v>
      </c>
      <c r="F280" s="205">
        <v>0.01</v>
      </c>
      <c r="G280" s="205">
        <v>0.33</v>
      </c>
    </row>
    <row r="281" ht="15.75" customHeight="1">
      <c r="A281" s="200" t="s">
        <v>303</v>
      </c>
      <c r="B281" s="206" t="s">
        <v>3083</v>
      </c>
      <c r="C281" s="202" t="s">
        <v>3084</v>
      </c>
      <c r="D281" s="203" t="s">
        <v>3085</v>
      </c>
      <c r="E281" s="204">
        <v>9.0</v>
      </c>
      <c r="F281" s="205">
        <v>0.01</v>
      </c>
      <c r="G281" s="205">
        <v>1.0</v>
      </c>
    </row>
    <row r="282" ht="15.75" customHeight="1">
      <c r="A282" s="200" t="s">
        <v>303</v>
      </c>
      <c r="B282" s="206" t="s">
        <v>3088</v>
      </c>
      <c r="C282" s="202" t="s">
        <v>3089</v>
      </c>
      <c r="D282" s="203" t="s">
        <v>3090</v>
      </c>
      <c r="E282" s="204">
        <v>9.0</v>
      </c>
      <c r="F282" s="205">
        <v>0.01</v>
      </c>
      <c r="G282" s="205">
        <v>0.0</v>
      </c>
    </row>
    <row r="283" ht="15.75" customHeight="1">
      <c r="A283" s="200" t="s">
        <v>303</v>
      </c>
      <c r="B283" s="206" t="s">
        <v>3092</v>
      </c>
      <c r="C283" s="202" t="s">
        <v>3093</v>
      </c>
      <c r="D283" s="203"/>
      <c r="E283" s="204">
        <v>8.0</v>
      </c>
      <c r="F283" s="205">
        <v>0.01</v>
      </c>
      <c r="G283" s="205">
        <v>0.0</v>
      </c>
    </row>
    <row r="284" ht="15.75" customHeight="1">
      <c r="A284" s="200" t="s">
        <v>303</v>
      </c>
      <c r="B284" s="206" t="s">
        <v>3097</v>
      </c>
      <c r="C284" s="202" t="s">
        <v>3098</v>
      </c>
      <c r="D284" s="203" t="s">
        <v>3099</v>
      </c>
      <c r="E284" s="204">
        <v>8.0</v>
      </c>
      <c r="F284" s="205">
        <v>0.01</v>
      </c>
      <c r="G284" s="205">
        <v>0.0</v>
      </c>
    </row>
    <row r="285" ht="15.75" customHeight="1">
      <c r="A285" s="200" t="s">
        <v>303</v>
      </c>
      <c r="B285" s="206" t="s">
        <v>3102</v>
      </c>
      <c r="C285" s="202" t="s">
        <v>3103</v>
      </c>
      <c r="D285" s="203" t="s">
        <v>1087</v>
      </c>
      <c r="E285" s="204">
        <v>8.0</v>
      </c>
      <c r="F285" s="205">
        <v>0.01</v>
      </c>
      <c r="G285" s="205">
        <v>1.13</v>
      </c>
    </row>
    <row r="286" ht="15.75" customHeight="1">
      <c r="A286" s="200" t="s">
        <v>303</v>
      </c>
      <c r="B286" s="206" t="s">
        <v>3107</v>
      </c>
      <c r="C286" s="202" t="s">
        <v>406</v>
      </c>
      <c r="D286" s="203" t="s">
        <v>3108</v>
      </c>
      <c r="E286" s="204">
        <v>8.0</v>
      </c>
      <c r="F286" s="205">
        <v>0.01</v>
      </c>
      <c r="G286" s="205">
        <v>0.0</v>
      </c>
    </row>
    <row r="287" ht="15.75" customHeight="1">
      <c r="A287" s="200" t="s">
        <v>303</v>
      </c>
      <c r="B287" s="206" t="s">
        <v>449</v>
      </c>
      <c r="C287" s="202" t="s">
        <v>450</v>
      </c>
      <c r="D287" s="203" t="s">
        <v>451</v>
      </c>
      <c r="E287" s="204">
        <v>8.0</v>
      </c>
      <c r="F287" s="205">
        <v>0.01</v>
      </c>
      <c r="G287" s="205">
        <v>0.13</v>
      </c>
    </row>
    <row r="288" ht="15.75" customHeight="1">
      <c r="A288" s="200" t="s">
        <v>303</v>
      </c>
      <c r="B288" s="206" t="s">
        <v>892</v>
      </c>
      <c r="C288" s="202" t="s">
        <v>893</v>
      </c>
      <c r="D288" s="203" t="s">
        <v>894</v>
      </c>
      <c r="E288" s="204">
        <v>8.0</v>
      </c>
      <c r="F288" s="205">
        <v>0.01</v>
      </c>
      <c r="G288" s="205">
        <v>0.75</v>
      </c>
    </row>
    <row r="289" ht="15.75" customHeight="1">
      <c r="A289" s="200" t="s">
        <v>303</v>
      </c>
      <c r="B289" s="206" t="s">
        <v>3118</v>
      </c>
      <c r="C289" s="202" t="s">
        <v>3120</v>
      </c>
      <c r="D289" s="203" t="s">
        <v>3121</v>
      </c>
      <c r="E289" s="204">
        <v>8.0</v>
      </c>
      <c r="F289" s="205">
        <v>0.01</v>
      </c>
      <c r="G289" s="205">
        <v>2.0</v>
      </c>
    </row>
    <row r="290" ht="15.75" customHeight="1">
      <c r="A290" s="200" t="s">
        <v>303</v>
      </c>
      <c r="B290" s="206" t="s">
        <v>3125</v>
      </c>
      <c r="C290" s="202" t="s">
        <v>3126</v>
      </c>
      <c r="D290" s="203" t="s">
        <v>3127</v>
      </c>
      <c r="E290" s="204">
        <v>8.0</v>
      </c>
      <c r="F290" s="205">
        <v>0.01</v>
      </c>
      <c r="G290" s="205">
        <v>0.0</v>
      </c>
    </row>
    <row r="291" ht="15.75" customHeight="1">
      <c r="A291" s="200" t="s">
        <v>303</v>
      </c>
      <c r="B291" s="206" t="s">
        <v>3131</v>
      </c>
      <c r="C291" s="202" t="s">
        <v>3133</v>
      </c>
      <c r="D291" s="203" t="s">
        <v>2280</v>
      </c>
      <c r="E291" s="204">
        <v>8.0</v>
      </c>
      <c r="F291" s="205">
        <v>0.01</v>
      </c>
      <c r="G291" s="205">
        <v>0.5</v>
      </c>
    </row>
    <row r="292" ht="15.75" customHeight="1">
      <c r="A292" s="200" t="s">
        <v>303</v>
      </c>
      <c r="B292" s="206" t="s">
        <v>3137</v>
      </c>
      <c r="C292" s="202" t="s">
        <v>3138</v>
      </c>
      <c r="D292" s="203" t="s">
        <v>3140</v>
      </c>
      <c r="E292" s="204">
        <v>8.0</v>
      </c>
      <c r="F292" s="205">
        <v>0.01</v>
      </c>
      <c r="G292" s="205">
        <v>0.0</v>
      </c>
    </row>
    <row r="293" ht="15.75" customHeight="1">
      <c r="A293" s="200" t="s">
        <v>303</v>
      </c>
      <c r="B293" s="206" t="s">
        <v>3143</v>
      </c>
      <c r="C293" s="202" t="s">
        <v>3144</v>
      </c>
      <c r="D293" s="203" t="s">
        <v>3145</v>
      </c>
      <c r="E293" s="204">
        <v>8.0</v>
      </c>
      <c r="F293" s="205">
        <v>0.01</v>
      </c>
      <c r="G293" s="205">
        <v>2.38</v>
      </c>
    </row>
    <row r="294" ht="15.75" customHeight="1">
      <c r="A294" s="200" t="s">
        <v>303</v>
      </c>
      <c r="B294" s="206" t="s">
        <v>3147</v>
      </c>
      <c r="C294" s="202" t="s">
        <v>3148</v>
      </c>
      <c r="D294" s="203" t="s">
        <v>3149</v>
      </c>
      <c r="E294" s="204">
        <v>8.0</v>
      </c>
      <c r="F294" s="205">
        <v>0.01</v>
      </c>
      <c r="G294" s="205">
        <v>0.25</v>
      </c>
    </row>
    <row r="295" ht="15.75" customHeight="1">
      <c r="A295" s="200" t="s">
        <v>303</v>
      </c>
      <c r="B295" s="206" t="s">
        <v>332</v>
      </c>
      <c r="C295" s="202" t="s">
        <v>333</v>
      </c>
      <c r="D295" s="203" t="s">
        <v>335</v>
      </c>
      <c r="E295" s="204">
        <v>8.0</v>
      </c>
      <c r="F295" s="205">
        <v>0.01</v>
      </c>
      <c r="G295" s="205">
        <v>0.5</v>
      </c>
    </row>
    <row r="296" ht="15.75" customHeight="1">
      <c r="A296" s="200" t="s">
        <v>303</v>
      </c>
      <c r="B296" s="206" t="s">
        <v>896</v>
      </c>
      <c r="C296" s="202" t="s">
        <v>897</v>
      </c>
      <c r="D296" s="203" t="s">
        <v>898</v>
      </c>
      <c r="E296" s="204">
        <v>8.0</v>
      </c>
      <c r="F296" s="205">
        <v>0.01</v>
      </c>
      <c r="G296" s="205">
        <v>0.0</v>
      </c>
    </row>
    <row r="297" ht="15.75" customHeight="1">
      <c r="A297" s="200" t="s">
        <v>303</v>
      </c>
      <c r="B297" s="206" t="s">
        <v>3156</v>
      </c>
      <c r="C297" s="202" t="s">
        <v>3158</v>
      </c>
      <c r="D297" s="203" t="s">
        <v>3160</v>
      </c>
      <c r="E297" s="204">
        <v>8.0</v>
      </c>
      <c r="F297" s="205">
        <v>0.01</v>
      </c>
      <c r="G297" s="205">
        <v>0.38</v>
      </c>
    </row>
    <row r="298" ht="15.75" customHeight="1">
      <c r="A298" s="200" t="s">
        <v>303</v>
      </c>
      <c r="B298" s="206" t="s">
        <v>3163</v>
      </c>
      <c r="C298" s="202" t="s">
        <v>3166</v>
      </c>
      <c r="D298" s="203" t="s">
        <v>3167</v>
      </c>
      <c r="E298" s="204">
        <v>8.0</v>
      </c>
      <c r="F298" s="205">
        <v>0.01</v>
      </c>
      <c r="G298" s="205">
        <v>0.75</v>
      </c>
    </row>
    <row r="299" ht="15.75" customHeight="1">
      <c r="A299" s="200" t="s">
        <v>303</v>
      </c>
      <c r="B299" s="206" t="s">
        <v>3168</v>
      </c>
      <c r="C299" s="202" t="s">
        <v>3171</v>
      </c>
      <c r="D299" s="203" t="s">
        <v>3172</v>
      </c>
      <c r="E299" s="204">
        <v>8.0</v>
      </c>
      <c r="F299" s="205">
        <v>0.01</v>
      </c>
      <c r="G299" s="205">
        <v>2.0</v>
      </c>
    </row>
    <row r="300" ht="15.75" customHeight="1">
      <c r="A300" s="200" t="s">
        <v>303</v>
      </c>
      <c r="B300" s="206" t="s">
        <v>3174</v>
      </c>
      <c r="C300" s="202" t="s">
        <v>3176</v>
      </c>
      <c r="D300" s="203" t="s">
        <v>3178</v>
      </c>
      <c r="E300" s="204">
        <v>8.0</v>
      </c>
      <c r="F300" s="205">
        <v>0.01</v>
      </c>
      <c r="G300" s="205">
        <v>1.75</v>
      </c>
    </row>
    <row r="301" ht="15.75" customHeight="1">
      <c r="A301" s="200" t="s">
        <v>303</v>
      </c>
      <c r="B301" s="206" t="s">
        <v>3181</v>
      </c>
      <c r="C301" s="202" t="s">
        <v>3183</v>
      </c>
      <c r="D301" s="203" t="s">
        <v>3185</v>
      </c>
      <c r="E301" s="204">
        <v>8.0</v>
      </c>
      <c r="F301" s="205">
        <v>0.01</v>
      </c>
      <c r="G301" s="205">
        <v>0.0</v>
      </c>
    </row>
    <row r="302" ht="15.75" customHeight="1">
      <c r="A302" s="200" t="s">
        <v>303</v>
      </c>
      <c r="B302" s="206" t="s">
        <v>3187</v>
      </c>
      <c r="C302" s="202" t="s">
        <v>3189</v>
      </c>
      <c r="D302" s="203" t="s">
        <v>3190</v>
      </c>
      <c r="E302" s="204">
        <v>8.0</v>
      </c>
      <c r="F302" s="205">
        <v>0.01</v>
      </c>
      <c r="G302" s="205">
        <v>3.63</v>
      </c>
    </row>
    <row r="303" ht="15.75" customHeight="1">
      <c r="A303" s="200" t="s">
        <v>303</v>
      </c>
      <c r="B303" s="206" t="s">
        <v>3194</v>
      </c>
      <c r="C303" s="202" t="s">
        <v>3195</v>
      </c>
      <c r="D303" s="203" t="s">
        <v>3197</v>
      </c>
      <c r="E303" s="204">
        <v>8.0</v>
      </c>
      <c r="F303" s="205">
        <v>0.01</v>
      </c>
      <c r="G303" s="205">
        <v>1.13</v>
      </c>
    </row>
    <row r="304" ht="15.75" customHeight="1">
      <c r="A304" s="200" t="s">
        <v>303</v>
      </c>
      <c r="B304" s="206" t="s">
        <v>899</v>
      </c>
      <c r="C304" s="202" t="s">
        <v>900</v>
      </c>
      <c r="D304" s="203" t="s">
        <v>901</v>
      </c>
      <c r="E304" s="204">
        <v>8.0</v>
      </c>
      <c r="F304" s="205">
        <v>0.01</v>
      </c>
      <c r="G304" s="205">
        <v>0.13</v>
      </c>
    </row>
    <row r="305" ht="15.75" customHeight="1">
      <c r="A305" s="200" t="s">
        <v>303</v>
      </c>
      <c r="B305" s="206" t="s">
        <v>3205</v>
      </c>
      <c r="C305" s="202" t="s">
        <v>3207</v>
      </c>
      <c r="D305" s="203" t="s">
        <v>2515</v>
      </c>
      <c r="E305" s="204">
        <v>8.0</v>
      </c>
      <c r="F305" s="205">
        <v>0.01</v>
      </c>
      <c r="G305" s="205">
        <v>0.0</v>
      </c>
    </row>
    <row r="306" ht="15.75" customHeight="1">
      <c r="A306" s="200" t="s">
        <v>303</v>
      </c>
      <c r="B306" s="206" t="s">
        <v>902</v>
      </c>
      <c r="C306" s="202" t="s">
        <v>903</v>
      </c>
      <c r="D306" s="203" t="s">
        <v>905</v>
      </c>
      <c r="E306" s="204">
        <v>8.0</v>
      </c>
      <c r="F306" s="205">
        <v>0.01</v>
      </c>
      <c r="G306" s="205">
        <v>1.0</v>
      </c>
    </row>
    <row r="307" ht="15.75" customHeight="1">
      <c r="A307" s="200" t="s">
        <v>303</v>
      </c>
      <c r="B307" s="206" t="s">
        <v>906</v>
      </c>
      <c r="C307" s="202" t="s">
        <v>907</v>
      </c>
      <c r="D307" s="203" t="s">
        <v>908</v>
      </c>
      <c r="E307" s="204">
        <v>8.0</v>
      </c>
      <c r="F307" s="205">
        <v>0.01</v>
      </c>
      <c r="G307" s="205">
        <v>1.25</v>
      </c>
    </row>
    <row r="308" ht="15.75" customHeight="1">
      <c r="A308" s="200" t="s">
        <v>303</v>
      </c>
      <c r="B308" s="206" t="s">
        <v>3213</v>
      </c>
      <c r="C308" s="202" t="s">
        <v>3215</v>
      </c>
      <c r="D308" s="203" t="s">
        <v>3216</v>
      </c>
      <c r="E308" s="204">
        <v>7.0</v>
      </c>
      <c r="F308" s="205">
        <v>0.01</v>
      </c>
      <c r="G308" s="205">
        <v>0.0</v>
      </c>
    </row>
    <row r="309" ht="15.75" customHeight="1">
      <c r="A309" s="200" t="s">
        <v>303</v>
      </c>
      <c r="B309" s="206" t="s">
        <v>3218</v>
      </c>
      <c r="C309" s="202" t="s">
        <v>3219</v>
      </c>
      <c r="D309" s="203" t="s">
        <v>3220</v>
      </c>
      <c r="E309" s="204">
        <v>7.0</v>
      </c>
      <c r="F309" s="205">
        <v>0.01</v>
      </c>
      <c r="G309" s="205">
        <v>2.14</v>
      </c>
    </row>
    <row r="310" ht="15.75" customHeight="1">
      <c r="A310" s="200" t="s">
        <v>303</v>
      </c>
      <c r="B310" s="206" t="s">
        <v>452</v>
      </c>
      <c r="C310" s="202" t="s">
        <v>412</v>
      </c>
      <c r="D310" s="203" t="s">
        <v>453</v>
      </c>
      <c r="E310" s="204">
        <v>7.0</v>
      </c>
      <c r="F310" s="205">
        <v>0.01</v>
      </c>
      <c r="G310" s="205">
        <v>0.0</v>
      </c>
    </row>
    <row r="311" ht="15.75" customHeight="1">
      <c r="A311" s="200" t="s">
        <v>303</v>
      </c>
      <c r="B311" s="209" t="s">
        <v>454</v>
      </c>
      <c r="C311" s="203" t="s">
        <v>412</v>
      </c>
      <c r="D311" s="203" t="s">
        <v>455</v>
      </c>
      <c r="E311" s="204">
        <v>7.0</v>
      </c>
      <c r="F311" s="205">
        <v>0.01</v>
      </c>
      <c r="G311" s="205">
        <v>0.43</v>
      </c>
    </row>
    <row r="312" ht="15.75" customHeight="1">
      <c r="A312" s="200" t="s">
        <v>303</v>
      </c>
      <c r="B312" s="209" t="s">
        <v>3233</v>
      </c>
      <c r="C312" s="203" t="s">
        <v>3234</v>
      </c>
      <c r="D312" s="203" t="s">
        <v>3235</v>
      </c>
      <c r="E312" s="204">
        <v>7.0</v>
      </c>
      <c r="F312" s="205">
        <v>0.01</v>
      </c>
      <c r="G312" s="205">
        <v>0.0</v>
      </c>
    </row>
    <row r="313" ht="15.75" customHeight="1">
      <c r="A313" s="200" t="s">
        <v>303</v>
      </c>
      <c r="B313" s="209" t="s">
        <v>3240</v>
      </c>
      <c r="C313" s="203" t="s">
        <v>3241</v>
      </c>
      <c r="D313" s="203" t="s">
        <v>3244</v>
      </c>
      <c r="E313" s="204">
        <v>7.0</v>
      </c>
      <c r="F313" s="205">
        <v>0.01</v>
      </c>
      <c r="G313" s="205">
        <v>0.43</v>
      </c>
    </row>
    <row r="314" ht="15.75" customHeight="1">
      <c r="A314" s="200" t="s">
        <v>303</v>
      </c>
      <c r="B314" s="209" t="s">
        <v>3249</v>
      </c>
      <c r="C314" s="203" t="s">
        <v>3252</v>
      </c>
      <c r="D314" s="203" t="s">
        <v>3253</v>
      </c>
      <c r="E314" s="204">
        <v>7.0</v>
      </c>
      <c r="F314" s="205">
        <v>0.01</v>
      </c>
      <c r="G314" s="205">
        <v>0.86</v>
      </c>
    </row>
    <row r="315" ht="15.75" customHeight="1">
      <c r="A315" s="200" t="s">
        <v>303</v>
      </c>
      <c r="B315" s="209" t="s">
        <v>3256</v>
      </c>
      <c r="C315" s="203" t="s">
        <v>3258</v>
      </c>
      <c r="D315" s="203" t="s">
        <v>3259</v>
      </c>
      <c r="E315" s="204">
        <v>7.0</v>
      </c>
      <c r="F315" s="205">
        <v>0.01</v>
      </c>
      <c r="G315" s="205">
        <v>0.29</v>
      </c>
    </row>
    <row r="316" ht="15.75" customHeight="1">
      <c r="A316" s="200" t="s">
        <v>303</v>
      </c>
      <c r="B316" s="209" t="s">
        <v>3262</v>
      </c>
      <c r="C316" s="203" t="s">
        <v>3264</v>
      </c>
      <c r="D316" s="203" t="s">
        <v>3265</v>
      </c>
      <c r="E316" s="204">
        <v>7.0</v>
      </c>
      <c r="F316" s="205">
        <v>0.01</v>
      </c>
      <c r="G316" s="205">
        <v>0.0</v>
      </c>
    </row>
    <row r="317" ht="15.75" customHeight="1">
      <c r="A317" s="200" t="s">
        <v>303</v>
      </c>
      <c r="B317" s="209" t="s">
        <v>3267</v>
      </c>
      <c r="C317" s="203" t="s">
        <v>3268</v>
      </c>
      <c r="D317" s="203" t="s">
        <v>3269</v>
      </c>
      <c r="E317" s="204">
        <v>7.0</v>
      </c>
      <c r="F317" s="205">
        <v>0.01</v>
      </c>
      <c r="G317" s="205">
        <v>1.0</v>
      </c>
    </row>
    <row r="318" ht="15.75" customHeight="1">
      <c r="A318" s="200" t="s">
        <v>303</v>
      </c>
      <c r="B318" s="209" t="s">
        <v>3270</v>
      </c>
      <c r="C318" s="203" t="s">
        <v>3273</v>
      </c>
      <c r="D318" s="203" t="s">
        <v>3274</v>
      </c>
      <c r="E318" s="204">
        <v>7.0</v>
      </c>
      <c r="F318" s="205">
        <v>0.01</v>
      </c>
      <c r="G318" s="205">
        <v>1.29</v>
      </c>
    </row>
    <row r="319" ht="15.75" customHeight="1">
      <c r="A319" s="200" t="s">
        <v>303</v>
      </c>
      <c r="B319" s="209" t="s">
        <v>914</v>
      </c>
      <c r="C319" s="203" t="s">
        <v>915</v>
      </c>
      <c r="D319" s="203" t="s">
        <v>916</v>
      </c>
      <c r="E319" s="204">
        <v>7.0</v>
      </c>
      <c r="F319" s="205">
        <v>0.01</v>
      </c>
      <c r="G319" s="205">
        <v>1.43</v>
      </c>
    </row>
    <row r="320" ht="15.75" customHeight="1">
      <c r="A320" s="200" t="s">
        <v>303</v>
      </c>
      <c r="B320" s="209" t="s">
        <v>3282</v>
      </c>
      <c r="C320" s="203" t="s">
        <v>3284</v>
      </c>
      <c r="D320" s="203" t="s">
        <v>3285</v>
      </c>
      <c r="E320" s="204">
        <v>7.0</v>
      </c>
      <c r="F320" s="205">
        <v>0.01</v>
      </c>
      <c r="G320" s="205">
        <v>0.71</v>
      </c>
    </row>
    <row r="321" ht="15.75" customHeight="1">
      <c r="A321" s="200" t="s">
        <v>303</v>
      </c>
      <c r="B321" s="209" t="s">
        <v>3289</v>
      </c>
      <c r="C321" s="203" t="s">
        <v>3291</v>
      </c>
      <c r="D321" s="203" t="s">
        <v>3292</v>
      </c>
      <c r="E321" s="204">
        <v>7.0</v>
      </c>
      <c r="F321" s="205">
        <v>0.01</v>
      </c>
      <c r="G321" s="205">
        <v>1.43</v>
      </c>
    </row>
    <row r="322" ht="15.75" customHeight="1">
      <c r="A322" s="200" t="s">
        <v>303</v>
      </c>
      <c r="B322" s="209" t="s">
        <v>3295</v>
      </c>
      <c r="C322" s="203" t="s">
        <v>3296</v>
      </c>
      <c r="D322" s="203" t="s">
        <v>3298</v>
      </c>
      <c r="E322" s="204">
        <v>7.0</v>
      </c>
      <c r="F322" s="205">
        <v>0.01</v>
      </c>
      <c r="G322" s="205">
        <v>1.14</v>
      </c>
    </row>
    <row r="323" ht="15.75" customHeight="1">
      <c r="A323" s="200" t="s">
        <v>303</v>
      </c>
      <c r="B323" s="209" t="s">
        <v>301</v>
      </c>
      <c r="C323" s="203" t="s">
        <v>302</v>
      </c>
      <c r="D323" s="203" t="s">
        <v>307</v>
      </c>
      <c r="E323" s="204">
        <v>7.0</v>
      </c>
      <c r="F323" s="205">
        <v>0.01</v>
      </c>
      <c r="G323" s="205">
        <v>1.14</v>
      </c>
    </row>
    <row r="324" ht="15.75" customHeight="1">
      <c r="A324" s="200" t="s">
        <v>303</v>
      </c>
      <c r="B324" s="209" t="s">
        <v>3304</v>
      </c>
      <c r="C324" s="203" t="s">
        <v>3306</v>
      </c>
      <c r="D324" s="203" t="s">
        <v>2342</v>
      </c>
      <c r="E324" s="204">
        <v>7.0</v>
      </c>
      <c r="F324" s="205">
        <v>0.01</v>
      </c>
      <c r="G324" s="205">
        <v>0.0</v>
      </c>
    </row>
    <row r="325" ht="15.75" customHeight="1">
      <c r="A325" s="200" t="s">
        <v>303</v>
      </c>
      <c r="B325" s="209" t="s">
        <v>3310</v>
      </c>
      <c r="C325" s="203" t="s">
        <v>3312</v>
      </c>
      <c r="D325" s="203" t="s">
        <v>3313</v>
      </c>
      <c r="E325" s="204">
        <v>7.0</v>
      </c>
      <c r="F325" s="205">
        <v>0.01</v>
      </c>
      <c r="G325" s="205">
        <v>0.29</v>
      </c>
    </row>
    <row r="326" ht="15.75" customHeight="1">
      <c r="A326" s="200" t="s">
        <v>303</v>
      </c>
      <c r="B326" s="209" t="s">
        <v>3316</v>
      </c>
      <c r="C326" s="203" t="s">
        <v>3317</v>
      </c>
      <c r="D326" s="203" t="s">
        <v>3319</v>
      </c>
      <c r="E326" s="204">
        <v>7.0</v>
      </c>
      <c r="F326" s="205">
        <v>0.01</v>
      </c>
      <c r="G326" s="205">
        <v>0.57</v>
      </c>
    </row>
    <row r="327" ht="15.75" customHeight="1">
      <c r="A327" s="200" t="s">
        <v>303</v>
      </c>
      <c r="B327" s="209" t="s">
        <v>3322</v>
      </c>
      <c r="C327" s="203" t="s">
        <v>3323</v>
      </c>
      <c r="D327" s="203" t="s">
        <v>3325</v>
      </c>
      <c r="E327" s="204">
        <v>7.0</v>
      </c>
      <c r="F327" s="205">
        <v>0.01</v>
      </c>
      <c r="G327" s="205">
        <v>0.29</v>
      </c>
    </row>
    <row r="328" ht="15.75" customHeight="1">
      <c r="A328" s="200" t="s">
        <v>303</v>
      </c>
      <c r="B328" s="209" t="s">
        <v>3328</v>
      </c>
      <c r="C328" s="203" t="s">
        <v>3329</v>
      </c>
      <c r="D328" s="203" t="s">
        <v>3330</v>
      </c>
      <c r="E328" s="204">
        <v>6.0</v>
      </c>
      <c r="F328" s="205">
        <v>0.01</v>
      </c>
      <c r="G328" s="205">
        <v>3.17</v>
      </c>
    </row>
    <row r="329" ht="15.75" customHeight="1">
      <c r="A329" s="200" t="s">
        <v>303</v>
      </c>
      <c r="B329" s="209" t="s">
        <v>3333</v>
      </c>
      <c r="C329" s="203" t="s">
        <v>3334</v>
      </c>
      <c r="D329" s="203" t="s">
        <v>3336</v>
      </c>
      <c r="E329" s="204">
        <v>6.0</v>
      </c>
      <c r="F329" s="205">
        <v>0.01</v>
      </c>
      <c r="G329" s="205">
        <v>0.0</v>
      </c>
    </row>
    <row r="330" ht="15.75" customHeight="1">
      <c r="A330" s="200" t="s">
        <v>303</v>
      </c>
      <c r="B330" s="209" t="s">
        <v>3338</v>
      </c>
      <c r="C330" s="203" t="s">
        <v>3340</v>
      </c>
      <c r="D330" s="203" t="s">
        <v>3341</v>
      </c>
      <c r="E330" s="204">
        <v>6.0</v>
      </c>
      <c r="F330" s="205">
        <v>0.01</v>
      </c>
      <c r="G330" s="205">
        <v>0.0</v>
      </c>
    </row>
    <row r="331" ht="15.75" customHeight="1">
      <c r="A331" s="200" t="s">
        <v>303</v>
      </c>
      <c r="B331" s="209" t="s">
        <v>3343</v>
      </c>
      <c r="C331" s="203" t="s">
        <v>3345</v>
      </c>
      <c r="D331" s="203" t="s">
        <v>3346</v>
      </c>
      <c r="E331" s="204">
        <v>6.0</v>
      </c>
      <c r="F331" s="205">
        <v>0.01</v>
      </c>
      <c r="G331" s="205">
        <v>0.0</v>
      </c>
    </row>
    <row r="332" ht="15.75" customHeight="1">
      <c r="A332" s="200" t="s">
        <v>303</v>
      </c>
      <c r="B332" s="209" t="s">
        <v>3348</v>
      </c>
      <c r="C332" s="203" t="s">
        <v>3351</v>
      </c>
      <c r="D332" s="203" t="s">
        <v>3352</v>
      </c>
      <c r="E332" s="204">
        <v>6.0</v>
      </c>
      <c r="F332" s="205">
        <v>0.01</v>
      </c>
      <c r="G332" s="205">
        <v>1.17</v>
      </c>
    </row>
    <row r="333" ht="15.75" customHeight="1">
      <c r="A333" s="200" t="s">
        <v>303</v>
      </c>
      <c r="B333" s="209" t="s">
        <v>3353</v>
      </c>
      <c r="C333" s="203" t="s">
        <v>3356</v>
      </c>
      <c r="D333" s="203" t="s">
        <v>3357</v>
      </c>
      <c r="E333" s="204">
        <v>6.0</v>
      </c>
      <c r="F333" s="205">
        <v>0.01</v>
      </c>
      <c r="G333" s="205">
        <v>2.5</v>
      </c>
    </row>
    <row r="334" ht="15.75" customHeight="1">
      <c r="A334" s="200" t="s">
        <v>303</v>
      </c>
      <c r="B334" s="209" t="s">
        <v>456</v>
      </c>
      <c r="C334" s="203" t="s">
        <v>457</v>
      </c>
      <c r="D334" s="203" t="s">
        <v>458</v>
      </c>
      <c r="E334" s="204">
        <v>6.0</v>
      </c>
      <c r="F334" s="205">
        <v>0.01</v>
      </c>
      <c r="G334" s="205">
        <v>0.0</v>
      </c>
    </row>
    <row r="335" ht="15.75" customHeight="1">
      <c r="A335" s="200" t="s">
        <v>303</v>
      </c>
      <c r="B335" s="209" t="s">
        <v>3366</v>
      </c>
      <c r="C335" s="203" t="s">
        <v>3367</v>
      </c>
      <c r="D335" s="203" t="s">
        <v>3368</v>
      </c>
      <c r="E335" s="204">
        <v>6.0</v>
      </c>
      <c r="F335" s="205">
        <v>0.01</v>
      </c>
      <c r="G335" s="205">
        <v>1.33</v>
      </c>
    </row>
    <row r="336" ht="15.75" customHeight="1">
      <c r="A336" s="200" t="s">
        <v>303</v>
      </c>
      <c r="B336" s="209" t="s">
        <v>3371</v>
      </c>
      <c r="C336" s="203" t="s">
        <v>3372</v>
      </c>
      <c r="D336" s="203" t="s">
        <v>3374</v>
      </c>
      <c r="E336" s="204">
        <v>6.0</v>
      </c>
      <c r="F336" s="205">
        <v>0.01</v>
      </c>
      <c r="G336" s="205">
        <v>0.0</v>
      </c>
    </row>
    <row r="337" ht="15.75" customHeight="1">
      <c r="A337" s="200" t="s">
        <v>303</v>
      </c>
      <c r="B337" s="209" t="s">
        <v>3377</v>
      </c>
      <c r="C337" s="203" t="s">
        <v>3378</v>
      </c>
      <c r="D337" s="203" t="s">
        <v>3379</v>
      </c>
      <c r="E337" s="204">
        <v>6.0</v>
      </c>
      <c r="F337" s="205">
        <v>0.01</v>
      </c>
      <c r="G337" s="205">
        <v>0.5</v>
      </c>
    </row>
    <row r="338" ht="15.75" customHeight="1">
      <c r="A338" s="200" t="s">
        <v>303</v>
      </c>
      <c r="B338" s="209" t="s">
        <v>3382</v>
      </c>
      <c r="C338" s="203" t="s">
        <v>3383</v>
      </c>
      <c r="D338" s="203" t="s">
        <v>3384</v>
      </c>
      <c r="E338" s="204">
        <v>6.0</v>
      </c>
      <c r="F338" s="205">
        <v>0.01</v>
      </c>
      <c r="G338" s="205">
        <v>0.0</v>
      </c>
    </row>
    <row r="339" ht="15.75" customHeight="1">
      <c r="A339" s="200" t="s">
        <v>303</v>
      </c>
      <c r="B339" s="209" t="s">
        <v>3387</v>
      </c>
      <c r="C339" s="203" t="s">
        <v>3388</v>
      </c>
      <c r="D339" s="203"/>
      <c r="E339" s="204">
        <v>6.0</v>
      </c>
      <c r="F339" s="205">
        <v>0.01</v>
      </c>
      <c r="G339" s="205">
        <v>0.0</v>
      </c>
    </row>
    <row r="340" ht="15.75" customHeight="1">
      <c r="A340" s="200" t="s">
        <v>303</v>
      </c>
      <c r="B340" s="209" t="s">
        <v>3391</v>
      </c>
      <c r="C340" s="203" t="s">
        <v>3392</v>
      </c>
      <c r="D340" s="203" t="s">
        <v>3393</v>
      </c>
      <c r="E340" s="204">
        <v>6.0</v>
      </c>
      <c r="F340" s="205">
        <v>0.01</v>
      </c>
      <c r="G340" s="205">
        <v>0.0</v>
      </c>
    </row>
    <row r="341" ht="15.75" customHeight="1">
      <c r="A341" s="200" t="s">
        <v>303</v>
      </c>
      <c r="B341" s="209" t="s">
        <v>3396</v>
      </c>
      <c r="C341" s="203" t="s">
        <v>3397</v>
      </c>
      <c r="D341" s="203" t="s">
        <v>3398</v>
      </c>
      <c r="E341" s="204">
        <v>6.0</v>
      </c>
      <c r="F341" s="205">
        <v>0.01</v>
      </c>
      <c r="G341" s="205">
        <v>1.83</v>
      </c>
    </row>
    <row r="342" ht="15.75" customHeight="1">
      <c r="A342" s="200" t="s">
        <v>303</v>
      </c>
      <c r="B342" s="209" t="s">
        <v>3402</v>
      </c>
      <c r="C342" s="203" t="s">
        <v>3403</v>
      </c>
      <c r="D342" s="203" t="s">
        <v>3404</v>
      </c>
      <c r="E342" s="204">
        <v>6.0</v>
      </c>
      <c r="F342" s="205">
        <v>0.01</v>
      </c>
      <c r="G342" s="205">
        <v>2.33</v>
      </c>
    </row>
    <row r="343" ht="15.75" customHeight="1">
      <c r="A343" s="200" t="s">
        <v>303</v>
      </c>
      <c r="B343" s="209" t="s">
        <v>3408</v>
      </c>
      <c r="C343" s="203" t="s">
        <v>3409</v>
      </c>
      <c r="D343" s="203" t="s">
        <v>3410</v>
      </c>
      <c r="E343" s="204">
        <v>6.0</v>
      </c>
      <c r="F343" s="205">
        <v>0.01</v>
      </c>
      <c r="G343" s="205">
        <v>0.17</v>
      </c>
    </row>
    <row r="344" ht="15.75" customHeight="1">
      <c r="A344" s="200" t="s">
        <v>303</v>
      </c>
      <c r="B344" s="209" t="s">
        <v>3412</v>
      </c>
      <c r="C344" s="203" t="s">
        <v>3413</v>
      </c>
      <c r="D344" s="203" t="s">
        <v>3414</v>
      </c>
      <c r="E344" s="204">
        <v>6.0</v>
      </c>
      <c r="F344" s="205">
        <v>0.01</v>
      </c>
      <c r="G344" s="205">
        <v>0.83</v>
      </c>
    </row>
    <row r="345" ht="15.75" customHeight="1">
      <c r="A345" s="200" t="s">
        <v>303</v>
      </c>
      <c r="B345" s="209" t="s">
        <v>3416</v>
      </c>
      <c r="C345" s="203" t="s">
        <v>3418</v>
      </c>
      <c r="D345" s="203" t="s">
        <v>3420</v>
      </c>
      <c r="E345" s="204">
        <v>6.0</v>
      </c>
      <c r="F345" s="205">
        <v>0.01</v>
      </c>
      <c r="G345" s="205">
        <v>0.0</v>
      </c>
    </row>
    <row r="346" ht="15.75" customHeight="1">
      <c r="A346" s="200" t="s">
        <v>303</v>
      </c>
      <c r="B346" s="209" t="s">
        <v>3423</v>
      </c>
      <c r="C346" s="203" t="s">
        <v>3425</v>
      </c>
      <c r="D346" s="203" t="s">
        <v>3426</v>
      </c>
      <c r="E346" s="204">
        <v>6.0</v>
      </c>
      <c r="F346" s="205">
        <v>0.01</v>
      </c>
      <c r="G346" s="205">
        <v>0.0</v>
      </c>
    </row>
    <row r="347" ht="15.75" customHeight="1">
      <c r="A347" s="200" t="s">
        <v>303</v>
      </c>
      <c r="B347" s="209" t="s">
        <v>3427</v>
      </c>
      <c r="C347" s="203" t="s">
        <v>3429</v>
      </c>
      <c r="D347" s="203" t="s">
        <v>3431</v>
      </c>
      <c r="E347" s="204">
        <v>6.0</v>
      </c>
      <c r="F347" s="205">
        <v>0.01</v>
      </c>
      <c r="G347" s="205">
        <v>0.33</v>
      </c>
    </row>
    <row r="348" ht="15.75" customHeight="1">
      <c r="A348" s="200" t="s">
        <v>303</v>
      </c>
      <c r="B348" s="209" t="s">
        <v>3434</v>
      </c>
      <c r="C348" s="203" t="s">
        <v>3437</v>
      </c>
      <c r="D348" s="203" t="s">
        <v>3438</v>
      </c>
      <c r="E348" s="204">
        <v>6.0</v>
      </c>
      <c r="F348" s="205">
        <v>0.01</v>
      </c>
      <c r="G348" s="205">
        <v>1.17</v>
      </c>
    </row>
    <row r="349" ht="15.75" customHeight="1">
      <c r="A349" s="200" t="s">
        <v>303</v>
      </c>
      <c r="B349" s="209" t="s">
        <v>917</v>
      </c>
      <c r="C349" s="203" t="s">
        <v>918</v>
      </c>
      <c r="D349" s="203" t="s">
        <v>919</v>
      </c>
      <c r="E349" s="204">
        <v>6.0</v>
      </c>
      <c r="F349" s="205">
        <v>0.01</v>
      </c>
      <c r="G349" s="205">
        <v>0.0</v>
      </c>
    </row>
    <row r="350" ht="15.75" customHeight="1">
      <c r="A350" s="200" t="s">
        <v>303</v>
      </c>
      <c r="B350" s="209" t="s">
        <v>920</v>
      </c>
      <c r="C350" s="203" t="s">
        <v>921</v>
      </c>
      <c r="D350" s="203" t="s">
        <v>922</v>
      </c>
      <c r="E350" s="204">
        <v>6.0</v>
      </c>
      <c r="F350" s="205">
        <v>0.01</v>
      </c>
      <c r="G350" s="205">
        <v>0.83</v>
      </c>
    </row>
    <row r="351" ht="15.75" customHeight="1">
      <c r="A351" s="200" t="s">
        <v>303</v>
      </c>
      <c r="B351" s="209" t="s">
        <v>3443</v>
      </c>
      <c r="C351" s="203" t="s">
        <v>3444</v>
      </c>
      <c r="D351" s="203" t="s">
        <v>3447</v>
      </c>
      <c r="E351" s="204">
        <v>6.0</v>
      </c>
      <c r="F351" s="205">
        <v>0.01</v>
      </c>
      <c r="G351" s="205">
        <v>0.17</v>
      </c>
    </row>
    <row r="352" ht="15.75" customHeight="1">
      <c r="A352" s="200" t="s">
        <v>303</v>
      </c>
      <c r="B352" s="209" t="s">
        <v>3449</v>
      </c>
      <c r="C352" s="203" t="s">
        <v>3450</v>
      </c>
      <c r="D352" s="203" t="s">
        <v>3452</v>
      </c>
      <c r="E352" s="204">
        <v>6.0</v>
      </c>
      <c r="F352" s="205">
        <v>0.01</v>
      </c>
      <c r="G352" s="205">
        <v>1.33</v>
      </c>
    </row>
    <row r="353" ht="15.75" customHeight="1">
      <c r="A353" s="200" t="s">
        <v>303</v>
      </c>
      <c r="B353" s="209" t="s">
        <v>3454</v>
      </c>
      <c r="C353" s="203" t="s">
        <v>3455</v>
      </c>
      <c r="D353" s="203" t="s">
        <v>3456</v>
      </c>
      <c r="E353" s="204">
        <v>6.0</v>
      </c>
      <c r="F353" s="205">
        <v>0.01</v>
      </c>
      <c r="G353" s="205">
        <v>0.0</v>
      </c>
    </row>
    <row r="354" ht="15.75" customHeight="1">
      <c r="A354" s="200" t="s">
        <v>303</v>
      </c>
      <c r="B354" s="209" t="s">
        <v>3459</v>
      </c>
      <c r="C354" s="203" t="s">
        <v>3460</v>
      </c>
      <c r="D354" s="203" t="s">
        <v>3461</v>
      </c>
      <c r="E354" s="204">
        <v>6.0</v>
      </c>
      <c r="F354" s="205">
        <v>0.01</v>
      </c>
      <c r="G354" s="205">
        <v>0.17</v>
      </c>
    </row>
    <row r="355" ht="15.75" customHeight="1">
      <c r="A355" s="200" t="s">
        <v>303</v>
      </c>
      <c r="B355" s="209" t="s">
        <v>925</v>
      </c>
      <c r="C355" s="203" t="s">
        <v>926</v>
      </c>
      <c r="D355" s="203" t="s">
        <v>927</v>
      </c>
      <c r="E355" s="204">
        <v>6.0</v>
      </c>
      <c r="F355" s="205">
        <v>0.01</v>
      </c>
      <c r="G355" s="205">
        <v>0.67</v>
      </c>
    </row>
    <row r="356" ht="15.75" customHeight="1">
      <c r="A356" s="200" t="s">
        <v>303</v>
      </c>
      <c r="B356" s="209" t="s">
        <v>928</v>
      </c>
      <c r="C356" s="203" t="s">
        <v>929</v>
      </c>
      <c r="D356" s="203" t="s">
        <v>930</v>
      </c>
      <c r="E356" s="204">
        <v>6.0</v>
      </c>
      <c r="F356" s="205">
        <v>0.01</v>
      </c>
      <c r="G356" s="205">
        <v>0.0</v>
      </c>
    </row>
    <row r="357" ht="15.75" customHeight="1">
      <c r="A357" s="200" t="s">
        <v>303</v>
      </c>
      <c r="B357" s="209" t="s">
        <v>3473</v>
      </c>
      <c r="C357" s="203" t="s">
        <v>3475</v>
      </c>
      <c r="D357" s="203" t="s">
        <v>3476</v>
      </c>
      <c r="E357" s="204">
        <v>6.0</v>
      </c>
      <c r="F357" s="205">
        <v>0.01</v>
      </c>
      <c r="G357" s="205">
        <v>0.33</v>
      </c>
    </row>
    <row r="358" ht="15.75" customHeight="1">
      <c r="A358" s="200" t="s">
        <v>303</v>
      </c>
      <c r="B358" s="209" t="s">
        <v>3479</v>
      </c>
      <c r="C358" s="203" t="s">
        <v>3480</v>
      </c>
      <c r="D358" s="203" t="s">
        <v>3481</v>
      </c>
      <c r="E358" s="204">
        <v>5.0</v>
      </c>
      <c r="F358" s="205">
        <v>0.0</v>
      </c>
      <c r="G358" s="205">
        <v>1.6</v>
      </c>
    </row>
    <row r="359" ht="15.75" customHeight="1">
      <c r="A359" s="200" t="s">
        <v>303</v>
      </c>
      <c r="B359" s="209" t="s">
        <v>3484</v>
      </c>
      <c r="C359" s="203" t="s">
        <v>3485</v>
      </c>
      <c r="D359" s="203" t="s">
        <v>3486</v>
      </c>
      <c r="E359" s="204">
        <v>5.0</v>
      </c>
      <c r="F359" s="205">
        <v>0.0</v>
      </c>
      <c r="G359" s="205">
        <v>1.0</v>
      </c>
    </row>
    <row r="360" ht="15.75" customHeight="1">
      <c r="A360" s="200" t="s">
        <v>303</v>
      </c>
      <c r="B360" s="209" t="s">
        <v>3489</v>
      </c>
      <c r="C360" s="203" t="s">
        <v>3490</v>
      </c>
      <c r="D360" s="203" t="s">
        <v>3491</v>
      </c>
      <c r="E360" s="204">
        <v>5.0</v>
      </c>
      <c r="F360" s="205">
        <v>0.0</v>
      </c>
      <c r="G360" s="205">
        <v>0.0</v>
      </c>
    </row>
    <row r="361" ht="15.75" customHeight="1">
      <c r="A361" s="200" t="s">
        <v>303</v>
      </c>
      <c r="B361" s="209" t="s">
        <v>3494</v>
      </c>
      <c r="C361" s="203" t="s">
        <v>3495</v>
      </c>
      <c r="D361" s="203" t="s">
        <v>3496</v>
      </c>
      <c r="E361" s="204">
        <v>5.0</v>
      </c>
      <c r="F361" s="205">
        <v>0.0</v>
      </c>
      <c r="G361" s="205">
        <v>1.2</v>
      </c>
    </row>
    <row r="362" ht="15.75" customHeight="1">
      <c r="A362" s="200" t="s">
        <v>303</v>
      </c>
      <c r="B362" s="209" t="s">
        <v>3499</v>
      </c>
      <c r="C362" s="203" t="s">
        <v>3500</v>
      </c>
      <c r="D362" s="203" t="s">
        <v>3501</v>
      </c>
      <c r="E362" s="204">
        <v>5.0</v>
      </c>
      <c r="F362" s="205">
        <v>0.0</v>
      </c>
      <c r="G362" s="205">
        <v>0.0</v>
      </c>
    </row>
    <row r="363" ht="15.75" customHeight="1">
      <c r="A363" s="200" t="s">
        <v>303</v>
      </c>
      <c r="B363" s="209" t="s">
        <v>3503</v>
      </c>
      <c r="C363" s="203" t="s">
        <v>3504</v>
      </c>
      <c r="D363" s="203" t="s">
        <v>1101</v>
      </c>
      <c r="E363" s="204">
        <v>5.0</v>
      </c>
      <c r="F363" s="205">
        <v>0.0</v>
      </c>
      <c r="G363" s="205">
        <v>0.0</v>
      </c>
    </row>
    <row r="364" ht="15.75" customHeight="1">
      <c r="A364" s="200" t="s">
        <v>303</v>
      </c>
      <c r="B364" s="209" t="s">
        <v>3508</v>
      </c>
      <c r="C364" s="203" t="s">
        <v>3509</v>
      </c>
      <c r="D364" s="203" t="s">
        <v>3510</v>
      </c>
      <c r="E364" s="204">
        <v>5.0</v>
      </c>
      <c r="F364" s="205">
        <v>0.0</v>
      </c>
      <c r="G364" s="205">
        <v>0.8</v>
      </c>
    </row>
    <row r="365" ht="15.75" customHeight="1">
      <c r="A365" s="200" t="s">
        <v>303</v>
      </c>
      <c r="B365" s="209" t="s">
        <v>3514</v>
      </c>
      <c r="C365" s="203" t="s">
        <v>3515</v>
      </c>
      <c r="D365" s="203"/>
      <c r="E365" s="204">
        <v>5.0</v>
      </c>
      <c r="F365" s="205">
        <v>0.0</v>
      </c>
      <c r="G365" s="205">
        <v>0.8</v>
      </c>
    </row>
    <row r="366" ht="15.75" customHeight="1">
      <c r="A366" s="200" t="s">
        <v>303</v>
      </c>
      <c r="B366" s="209" t="s">
        <v>459</v>
      </c>
      <c r="C366" s="203" t="s">
        <v>460</v>
      </c>
      <c r="D366" s="203" t="s">
        <v>461</v>
      </c>
      <c r="E366" s="204">
        <v>5.0</v>
      </c>
      <c r="F366" s="205">
        <v>0.0</v>
      </c>
      <c r="G366" s="205">
        <v>0.2</v>
      </c>
    </row>
    <row r="367" ht="15.75" customHeight="1">
      <c r="A367" s="200" t="s">
        <v>303</v>
      </c>
      <c r="B367" s="209" t="s">
        <v>462</v>
      </c>
      <c r="C367" s="203" t="s">
        <v>463</v>
      </c>
      <c r="D367" s="203" t="s">
        <v>464</v>
      </c>
      <c r="E367" s="204">
        <v>5.0</v>
      </c>
      <c r="F367" s="205">
        <v>0.0</v>
      </c>
      <c r="G367" s="205">
        <v>0.0</v>
      </c>
    </row>
    <row r="368" ht="15.75" customHeight="1">
      <c r="A368" s="200" t="s">
        <v>303</v>
      </c>
      <c r="B368" s="209" t="s">
        <v>465</v>
      </c>
      <c r="C368" s="203" t="s">
        <v>466</v>
      </c>
      <c r="D368" s="203" t="s">
        <v>443</v>
      </c>
      <c r="E368" s="204">
        <v>5.0</v>
      </c>
      <c r="F368" s="205">
        <v>0.0</v>
      </c>
      <c r="G368" s="205">
        <v>0.4</v>
      </c>
    </row>
    <row r="369" ht="15.75" customHeight="1">
      <c r="A369" s="200" t="s">
        <v>303</v>
      </c>
      <c r="B369" s="209" t="s">
        <v>467</v>
      </c>
      <c r="C369" s="203" t="s">
        <v>468</v>
      </c>
      <c r="D369" s="203" t="s">
        <v>469</v>
      </c>
      <c r="E369" s="204">
        <v>5.0</v>
      </c>
      <c r="F369" s="205">
        <v>0.0</v>
      </c>
      <c r="G369" s="205">
        <v>0.0</v>
      </c>
    </row>
    <row r="370" ht="15.75" customHeight="1">
      <c r="A370" s="200" t="s">
        <v>303</v>
      </c>
      <c r="B370" s="209" t="s">
        <v>3531</v>
      </c>
      <c r="C370" s="203" t="s">
        <v>471</v>
      </c>
      <c r="D370" s="203" t="s">
        <v>416</v>
      </c>
      <c r="E370" s="204">
        <v>5.0</v>
      </c>
      <c r="F370" s="205">
        <v>0.0</v>
      </c>
      <c r="G370" s="205">
        <v>1.6</v>
      </c>
    </row>
    <row r="371" ht="15.75" customHeight="1">
      <c r="A371" s="200" t="s">
        <v>303</v>
      </c>
      <c r="B371" s="209" t="s">
        <v>470</v>
      </c>
      <c r="C371" s="203" t="s">
        <v>471</v>
      </c>
      <c r="D371" s="203" t="s">
        <v>428</v>
      </c>
      <c r="E371" s="204">
        <v>5.0</v>
      </c>
      <c r="F371" s="205">
        <v>0.0</v>
      </c>
      <c r="G371" s="205">
        <v>0.0</v>
      </c>
    </row>
    <row r="372" ht="15.75" customHeight="1">
      <c r="A372" s="200" t="s">
        <v>303</v>
      </c>
      <c r="B372" s="186" t="s">
        <v>933</v>
      </c>
      <c r="C372" s="210" t="s">
        <v>934</v>
      </c>
      <c r="D372" s="210" t="s">
        <v>935</v>
      </c>
      <c r="E372" s="204">
        <v>5.0</v>
      </c>
      <c r="F372" s="205">
        <v>0.0</v>
      </c>
      <c r="G372" s="205">
        <v>0.8</v>
      </c>
    </row>
    <row r="373" ht="15.75" customHeight="1">
      <c r="A373" s="200" t="s">
        <v>303</v>
      </c>
      <c r="B373" s="186" t="s">
        <v>936</v>
      </c>
      <c r="C373" s="210" t="s">
        <v>937</v>
      </c>
      <c r="D373" s="210" t="s">
        <v>938</v>
      </c>
      <c r="E373" s="204">
        <v>5.0</v>
      </c>
      <c r="F373" s="205">
        <v>0.0</v>
      </c>
      <c r="G373" s="205">
        <v>1.2</v>
      </c>
    </row>
    <row r="374" ht="15.75" customHeight="1">
      <c r="A374" s="200" t="s">
        <v>303</v>
      </c>
      <c r="B374" s="186" t="s">
        <v>939</v>
      </c>
      <c r="C374" s="210" t="s">
        <v>940</v>
      </c>
      <c r="D374" s="210" t="s">
        <v>943</v>
      </c>
      <c r="E374" s="204">
        <v>5.0</v>
      </c>
      <c r="F374" s="205">
        <v>0.0</v>
      </c>
      <c r="G374" s="205">
        <v>0.0</v>
      </c>
    </row>
    <row r="375" ht="15.75" customHeight="1">
      <c r="A375" s="200" t="s">
        <v>303</v>
      </c>
      <c r="B375" s="186" t="s">
        <v>3547</v>
      </c>
      <c r="C375" s="210" t="s">
        <v>3548</v>
      </c>
      <c r="D375" s="210" t="s">
        <v>3549</v>
      </c>
      <c r="E375" s="204">
        <v>5.0</v>
      </c>
      <c r="F375" s="205">
        <v>0.0</v>
      </c>
      <c r="G375" s="205">
        <v>1.2</v>
      </c>
    </row>
    <row r="376" ht="15.75" customHeight="1">
      <c r="A376" s="200" t="s">
        <v>303</v>
      </c>
      <c r="B376" s="186" t="s">
        <v>3553</v>
      </c>
      <c r="C376" s="210" t="s">
        <v>3554</v>
      </c>
      <c r="D376" s="210" t="s">
        <v>3555</v>
      </c>
      <c r="E376" s="204">
        <v>5.0</v>
      </c>
      <c r="F376" s="205">
        <v>0.0</v>
      </c>
      <c r="G376" s="205">
        <v>0.0</v>
      </c>
    </row>
    <row r="377" ht="15.75" customHeight="1">
      <c r="A377" s="200" t="s">
        <v>303</v>
      </c>
      <c r="B377" s="186" t="s">
        <v>3557</v>
      </c>
      <c r="C377" s="210" t="s">
        <v>3559</v>
      </c>
      <c r="D377" s="210"/>
      <c r="E377" s="204">
        <v>5.0</v>
      </c>
      <c r="F377" s="205">
        <v>0.0</v>
      </c>
      <c r="G377" s="205">
        <v>0.0</v>
      </c>
    </row>
    <row r="378" ht="15.75" customHeight="1">
      <c r="A378" s="200" t="s">
        <v>303</v>
      </c>
      <c r="B378" s="186" t="s">
        <v>3561</v>
      </c>
      <c r="C378" s="210" t="s">
        <v>3562</v>
      </c>
      <c r="D378" s="210" t="s">
        <v>3563</v>
      </c>
      <c r="E378" s="204">
        <v>5.0</v>
      </c>
      <c r="F378" s="205">
        <v>0.0</v>
      </c>
      <c r="G378" s="205">
        <v>0.8</v>
      </c>
    </row>
    <row r="379" ht="15.75" customHeight="1">
      <c r="A379" s="200" t="s">
        <v>303</v>
      </c>
      <c r="B379" s="186" t="s">
        <v>3564</v>
      </c>
      <c r="C379" s="210" t="s">
        <v>3565</v>
      </c>
      <c r="D379" s="210" t="s">
        <v>3566</v>
      </c>
      <c r="E379" s="204">
        <v>5.0</v>
      </c>
      <c r="F379" s="205">
        <v>0.0</v>
      </c>
      <c r="G379" s="205">
        <v>1.2</v>
      </c>
    </row>
    <row r="380" ht="15.75" customHeight="1">
      <c r="A380" s="200" t="s">
        <v>303</v>
      </c>
      <c r="B380" s="186" t="s">
        <v>3569</v>
      </c>
      <c r="C380" s="210" t="s">
        <v>3571</v>
      </c>
      <c r="D380" s="210" t="s">
        <v>3572</v>
      </c>
      <c r="E380" s="204">
        <v>5.0</v>
      </c>
      <c r="F380" s="205">
        <v>0.0</v>
      </c>
      <c r="G380" s="205">
        <v>0.0</v>
      </c>
    </row>
    <row r="381" ht="15.75" customHeight="1">
      <c r="A381" s="200" t="s">
        <v>303</v>
      </c>
      <c r="B381" s="186" t="s">
        <v>3575</v>
      </c>
      <c r="C381" s="210" t="s">
        <v>3577</v>
      </c>
      <c r="D381" s="210" t="s">
        <v>3578</v>
      </c>
      <c r="E381" s="204">
        <v>5.0</v>
      </c>
      <c r="F381" s="205">
        <v>0.0</v>
      </c>
      <c r="G381" s="205">
        <v>0.0</v>
      </c>
    </row>
    <row r="382" ht="15.75" customHeight="1">
      <c r="A382" s="200" t="s">
        <v>303</v>
      </c>
      <c r="B382" s="186" t="s">
        <v>3581</v>
      </c>
      <c r="C382" s="210" t="s">
        <v>3582</v>
      </c>
      <c r="D382" s="210" t="s">
        <v>3583</v>
      </c>
      <c r="E382" s="204">
        <v>5.0</v>
      </c>
      <c r="F382" s="205">
        <v>0.0</v>
      </c>
      <c r="G382" s="205">
        <v>2.8</v>
      </c>
    </row>
    <row r="383" ht="15.75" customHeight="1">
      <c r="A383" s="200" t="s">
        <v>303</v>
      </c>
      <c r="B383" s="186" t="s">
        <v>3586</v>
      </c>
      <c r="C383" s="210" t="s">
        <v>3588</v>
      </c>
      <c r="D383" s="210" t="s">
        <v>3589</v>
      </c>
      <c r="E383" s="204">
        <v>5.0</v>
      </c>
      <c r="F383" s="205">
        <v>0.0</v>
      </c>
      <c r="G383" s="205">
        <v>0.0</v>
      </c>
    </row>
    <row r="384" ht="15.75" customHeight="1">
      <c r="A384" s="200" t="s">
        <v>303</v>
      </c>
      <c r="B384" s="186" t="s">
        <v>308</v>
      </c>
      <c r="C384" s="210" t="s">
        <v>309</v>
      </c>
      <c r="D384" s="210" t="s">
        <v>310</v>
      </c>
      <c r="E384" s="204">
        <v>5.0</v>
      </c>
      <c r="F384" s="205">
        <v>0.0</v>
      </c>
      <c r="G384" s="205">
        <v>0.0</v>
      </c>
    </row>
    <row r="385" ht="15.75" customHeight="1">
      <c r="A385" s="200" t="s">
        <v>303</v>
      </c>
      <c r="B385" s="186" t="s">
        <v>944</v>
      </c>
      <c r="C385" s="210" t="s">
        <v>945</v>
      </c>
      <c r="D385" s="210" t="s">
        <v>946</v>
      </c>
      <c r="E385" s="204">
        <v>5.0</v>
      </c>
      <c r="F385" s="205">
        <v>0.0</v>
      </c>
      <c r="G385" s="205">
        <v>0.0</v>
      </c>
    </row>
    <row r="386" ht="15.75" customHeight="1">
      <c r="A386" s="200" t="s">
        <v>303</v>
      </c>
      <c r="B386" s="186" t="s">
        <v>3597</v>
      </c>
      <c r="C386" s="210" t="s">
        <v>3598</v>
      </c>
      <c r="D386" s="210" t="s">
        <v>2515</v>
      </c>
      <c r="E386" s="204">
        <v>5.0</v>
      </c>
      <c r="F386" s="205">
        <v>0.0</v>
      </c>
      <c r="G386" s="205">
        <v>0.0</v>
      </c>
    </row>
    <row r="387" ht="15.75" customHeight="1">
      <c r="A387" s="200" t="s">
        <v>303</v>
      </c>
      <c r="B387" s="186" t="s">
        <v>3601</v>
      </c>
      <c r="C387" s="210" t="s">
        <v>3602</v>
      </c>
      <c r="D387" s="210" t="s">
        <v>3604</v>
      </c>
      <c r="E387" s="204">
        <v>5.0</v>
      </c>
      <c r="F387" s="205">
        <v>0.0</v>
      </c>
      <c r="G387" s="205">
        <v>1.6</v>
      </c>
    </row>
    <row r="388" ht="15.75" customHeight="1">
      <c r="A388" s="200" t="s">
        <v>303</v>
      </c>
      <c r="B388" s="186" t="s">
        <v>3607</v>
      </c>
      <c r="C388" s="210" t="s">
        <v>3608</v>
      </c>
      <c r="D388" s="210" t="s">
        <v>3609</v>
      </c>
      <c r="E388" s="204">
        <v>5.0</v>
      </c>
      <c r="F388" s="205">
        <v>0.0</v>
      </c>
      <c r="G388" s="205">
        <v>0.0</v>
      </c>
    </row>
    <row r="389" ht="15.75" customHeight="1">
      <c r="A389" s="200" t="s">
        <v>303</v>
      </c>
      <c r="B389" s="186" t="s">
        <v>3613</v>
      </c>
      <c r="C389" s="210" t="s">
        <v>3614</v>
      </c>
      <c r="D389" s="210" t="s">
        <v>3615</v>
      </c>
      <c r="E389" s="204">
        <v>5.0</v>
      </c>
      <c r="F389" s="205">
        <v>0.0</v>
      </c>
      <c r="G389" s="205">
        <v>0.0</v>
      </c>
    </row>
    <row r="390" ht="15.75" customHeight="1">
      <c r="A390" s="200" t="s">
        <v>303</v>
      </c>
      <c r="B390" s="186" t="s">
        <v>3618</v>
      </c>
      <c r="C390" s="210" t="s">
        <v>3620</v>
      </c>
      <c r="D390" s="210" t="s">
        <v>3621</v>
      </c>
      <c r="E390" s="204">
        <v>5.0</v>
      </c>
      <c r="F390" s="205">
        <v>0.0</v>
      </c>
      <c r="G390" s="205">
        <v>0.0</v>
      </c>
    </row>
    <row r="391" ht="15.75" customHeight="1">
      <c r="A391" s="200" t="s">
        <v>303</v>
      </c>
      <c r="B391" s="186" t="s">
        <v>3623</v>
      </c>
      <c r="C391" s="210" t="s">
        <v>3625</v>
      </c>
      <c r="D391" s="210"/>
      <c r="E391" s="204">
        <v>5.0</v>
      </c>
      <c r="F391" s="205">
        <v>0.0</v>
      </c>
      <c r="G391" s="205">
        <v>0.0</v>
      </c>
    </row>
    <row r="392" ht="15.75" customHeight="1">
      <c r="A392" s="200" t="s">
        <v>303</v>
      </c>
      <c r="B392" s="186" t="s">
        <v>3627</v>
      </c>
      <c r="C392" s="210" t="s">
        <v>3628</v>
      </c>
      <c r="D392" s="210" t="s">
        <v>3631</v>
      </c>
      <c r="E392" s="204">
        <v>5.0</v>
      </c>
      <c r="F392" s="205">
        <v>0.0</v>
      </c>
      <c r="G392" s="205">
        <v>0.0</v>
      </c>
    </row>
    <row r="393" ht="15.75" customHeight="1">
      <c r="A393" s="200" t="s">
        <v>303</v>
      </c>
      <c r="B393" s="186" t="s">
        <v>3632</v>
      </c>
      <c r="C393" s="210" t="s">
        <v>3633</v>
      </c>
      <c r="D393" s="210" t="s">
        <v>3634</v>
      </c>
      <c r="E393" s="204">
        <v>5.0</v>
      </c>
      <c r="F393" s="205">
        <v>0.0</v>
      </c>
      <c r="G393" s="205">
        <v>0.4</v>
      </c>
    </row>
    <row r="394" ht="15.75" customHeight="1">
      <c r="A394" s="200" t="s">
        <v>303</v>
      </c>
      <c r="B394" s="186" t="s">
        <v>3635</v>
      </c>
      <c r="C394" s="210" t="s">
        <v>3636</v>
      </c>
      <c r="D394" s="210"/>
      <c r="E394" s="204">
        <v>5.0</v>
      </c>
      <c r="F394" s="205">
        <v>0.0</v>
      </c>
      <c r="G394" s="205">
        <v>1.0</v>
      </c>
    </row>
    <row r="395" ht="15.75" customHeight="1">
      <c r="A395" s="200" t="s">
        <v>303</v>
      </c>
      <c r="B395" s="186" t="s">
        <v>3639</v>
      </c>
      <c r="C395" s="210" t="s">
        <v>3641</v>
      </c>
      <c r="D395" s="210" t="s">
        <v>1029</v>
      </c>
      <c r="E395" s="204">
        <v>5.0</v>
      </c>
      <c r="F395" s="205">
        <v>0.0</v>
      </c>
      <c r="G395" s="205">
        <v>1.4</v>
      </c>
    </row>
    <row r="396" ht="15.75" customHeight="1">
      <c r="A396" s="200" t="s">
        <v>303</v>
      </c>
      <c r="B396" s="186" t="s">
        <v>3644</v>
      </c>
      <c r="C396" s="210" t="s">
        <v>3645</v>
      </c>
      <c r="D396" s="210" t="s">
        <v>254</v>
      </c>
      <c r="E396" s="204">
        <v>4.0</v>
      </c>
      <c r="F396" s="205">
        <v>0.0</v>
      </c>
      <c r="G396" s="205">
        <v>0.0</v>
      </c>
    </row>
    <row r="397" ht="15.75" customHeight="1">
      <c r="A397" s="200" t="s">
        <v>303</v>
      </c>
      <c r="B397" s="186" t="s">
        <v>3649</v>
      </c>
      <c r="C397" s="210" t="s">
        <v>3650</v>
      </c>
      <c r="D397" s="210" t="s">
        <v>1264</v>
      </c>
      <c r="E397" s="204">
        <v>4.0</v>
      </c>
      <c r="F397" s="205">
        <v>0.0</v>
      </c>
      <c r="G397" s="205">
        <v>0.0</v>
      </c>
    </row>
    <row r="398" ht="15.75" customHeight="1">
      <c r="A398" s="200" t="s">
        <v>303</v>
      </c>
      <c r="B398" s="186" t="s">
        <v>3653</v>
      </c>
      <c r="C398" s="210" t="s">
        <v>3655</v>
      </c>
      <c r="D398" s="210" t="s">
        <v>3657</v>
      </c>
      <c r="E398" s="204">
        <v>4.0</v>
      </c>
      <c r="F398" s="205">
        <v>0.0</v>
      </c>
      <c r="G398" s="205">
        <v>1.0</v>
      </c>
    </row>
    <row r="399" ht="15.75" customHeight="1">
      <c r="A399" s="200" t="s">
        <v>303</v>
      </c>
      <c r="B399" s="186" t="s">
        <v>3659</v>
      </c>
      <c r="C399" s="210" t="s">
        <v>3660</v>
      </c>
      <c r="D399" s="210" t="s">
        <v>3661</v>
      </c>
      <c r="E399" s="204">
        <v>4.0</v>
      </c>
      <c r="F399" s="205">
        <v>0.0</v>
      </c>
      <c r="G399" s="205">
        <v>1.0</v>
      </c>
    </row>
    <row r="400" ht="15.75" customHeight="1">
      <c r="A400" s="200" t="s">
        <v>303</v>
      </c>
      <c r="B400" s="186" t="s">
        <v>3662</v>
      </c>
      <c r="C400" s="210" t="s">
        <v>3664</v>
      </c>
      <c r="D400" s="210" t="s">
        <v>2925</v>
      </c>
      <c r="E400" s="204">
        <v>4.0</v>
      </c>
      <c r="F400" s="205">
        <v>0.0</v>
      </c>
      <c r="G400" s="205">
        <v>0.0</v>
      </c>
    </row>
    <row r="401" ht="15.75" customHeight="1">
      <c r="A401" s="200" t="s">
        <v>303</v>
      </c>
      <c r="B401" s="186" t="s">
        <v>3665</v>
      </c>
      <c r="C401" s="210" t="s">
        <v>3666</v>
      </c>
      <c r="D401" s="210" t="s">
        <v>1101</v>
      </c>
      <c r="E401" s="204">
        <v>4.0</v>
      </c>
      <c r="F401" s="205">
        <v>0.0</v>
      </c>
      <c r="G401" s="205">
        <v>0.0</v>
      </c>
    </row>
    <row r="402" ht="15.75" customHeight="1">
      <c r="A402" s="200" t="s">
        <v>303</v>
      </c>
      <c r="B402" s="186" t="s">
        <v>3669</v>
      </c>
      <c r="C402" s="210" t="s">
        <v>3670</v>
      </c>
      <c r="D402" s="210" t="s">
        <v>3672</v>
      </c>
      <c r="E402" s="204">
        <v>4.0</v>
      </c>
      <c r="F402" s="205">
        <v>0.0</v>
      </c>
      <c r="G402" s="205">
        <v>0.0</v>
      </c>
    </row>
    <row r="403" ht="15.75" customHeight="1">
      <c r="A403" s="200" t="s">
        <v>303</v>
      </c>
      <c r="B403" s="186" t="s">
        <v>3674</v>
      </c>
      <c r="C403" s="210" t="s">
        <v>3675</v>
      </c>
      <c r="D403" s="210" t="s">
        <v>3677</v>
      </c>
      <c r="E403" s="204">
        <v>4.0</v>
      </c>
      <c r="F403" s="205">
        <v>0.0</v>
      </c>
      <c r="G403" s="205">
        <v>0.5</v>
      </c>
    </row>
    <row r="404" ht="15.75" customHeight="1">
      <c r="A404" s="200" t="s">
        <v>303</v>
      </c>
      <c r="B404" s="186" t="s">
        <v>472</v>
      </c>
      <c r="C404" s="210" t="s">
        <v>473</v>
      </c>
      <c r="D404" s="210" t="s">
        <v>474</v>
      </c>
      <c r="E404" s="204">
        <v>4.0</v>
      </c>
      <c r="F404" s="205">
        <v>0.0</v>
      </c>
      <c r="G404" s="205">
        <v>0.0</v>
      </c>
    </row>
    <row r="405" ht="15.75" customHeight="1">
      <c r="A405" s="200" t="s">
        <v>303</v>
      </c>
      <c r="B405" s="186" t="s">
        <v>3680</v>
      </c>
      <c r="C405" s="210" t="s">
        <v>3681</v>
      </c>
      <c r="D405" s="210" t="s">
        <v>254</v>
      </c>
      <c r="E405" s="204">
        <v>4.0</v>
      </c>
      <c r="F405" s="205">
        <v>0.0</v>
      </c>
      <c r="G405" s="205">
        <v>0.0</v>
      </c>
    </row>
    <row r="406" ht="15.75" customHeight="1">
      <c r="A406" s="200" t="s">
        <v>303</v>
      </c>
      <c r="B406" s="186" t="s">
        <v>947</v>
      </c>
      <c r="C406" s="210" t="s">
        <v>948</v>
      </c>
      <c r="D406" s="210" t="s">
        <v>949</v>
      </c>
      <c r="E406" s="204">
        <v>4.0</v>
      </c>
      <c r="F406" s="205">
        <v>0.0</v>
      </c>
      <c r="G406" s="205">
        <v>0.25</v>
      </c>
    </row>
    <row r="407" ht="15.75" customHeight="1">
      <c r="A407" s="200" t="s">
        <v>303</v>
      </c>
      <c r="B407" s="186" t="s">
        <v>3686</v>
      </c>
      <c r="C407" s="210" t="s">
        <v>3687</v>
      </c>
      <c r="D407" s="210" t="s">
        <v>3688</v>
      </c>
      <c r="E407" s="204">
        <v>4.0</v>
      </c>
      <c r="F407" s="205">
        <v>0.0</v>
      </c>
      <c r="G407" s="205">
        <v>1.5</v>
      </c>
    </row>
    <row r="408" ht="15.75" customHeight="1">
      <c r="A408" s="200" t="s">
        <v>303</v>
      </c>
      <c r="B408" s="186" t="s">
        <v>3691</v>
      </c>
      <c r="C408" s="210" t="s">
        <v>3692</v>
      </c>
      <c r="D408" s="210" t="s">
        <v>3693</v>
      </c>
      <c r="E408" s="204">
        <v>4.0</v>
      </c>
      <c r="F408" s="205">
        <v>0.0</v>
      </c>
      <c r="G408" s="205">
        <v>0.0</v>
      </c>
    </row>
    <row r="409" ht="15.75" customHeight="1">
      <c r="A409" s="200" t="s">
        <v>303</v>
      </c>
      <c r="B409" s="186" t="s">
        <v>3694</v>
      </c>
      <c r="C409" s="210" t="s">
        <v>3695</v>
      </c>
      <c r="D409" s="210" t="s">
        <v>3697</v>
      </c>
      <c r="E409" s="204">
        <v>4.0</v>
      </c>
      <c r="F409" s="205">
        <v>0.0</v>
      </c>
      <c r="G409" s="205">
        <v>0.75</v>
      </c>
    </row>
    <row r="410" ht="15.75" customHeight="1">
      <c r="A410" s="200" t="s">
        <v>303</v>
      </c>
      <c r="B410" s="186" t="s">
        <v>3698</v>
      </c>
      <c r="C410" s="210" t="s">
        <v>3700</v>
      </c>
      <c r="D410" s="210" t="s">
        <v>3701</v>
      </c>
      <c r="E410" s="204">
        <v>4.0</v>
      </c>
      <c r="F410" s="205">
        <v>0.0</v>
      </c>
      <c r="G410" s="205">
        <v>1.0</v>
      </c>
    </row>
    <row r="411" ht="15.75" customHeight="1">
      <c r="A411" s="200" t="s">
        <v>303</v>
      </c>
      <c r="B411" s="186" t="s">
        <v>3702</v>
      </c>
      <c r="C411" s="210" t="s">
        <v>3703</v>
      </c>
      <c r="D411" s="210"/>
      <c r="E411" s="204">
        <v>4.0</v>
      </c>
      <c r="F411" s="205">
        <v>0.0</v>
      </c>
      <c r="G411" s="205">
        <v>0.0</v>
      </c>
    </row>
    <row r="412" ht="15.75" customHeight="1">
      <c r="A412" s="200" t="s">
        <v>303</v>
      </c>
      <c r="B412" s="186" t="s">
        <v>3706</v>
      </c>
      <c r="C412" s="210" t="s">
        <v>3707</v>
      </c>
      <c r="D412" s="210"/>
      <c r="E412" s="204">
        <v>4.0</v>
      </c>
      <c r="F412" s="205">
        <v>0.0</v>
      </c>
      <c r="G412" s="205">
        <v>0.0</v>
      </c>
    </row>
    <row r="413" ht="15.75" customHeight="1">
      <c r="A413" s="200" t="s">
        <v>303</v>
      </c>
      <c r="B413" s="186" t="s">
        <v>2829</v>
      </c>
      <c r="C413" s="210" t="s">
        <v>2830</v>
      </c>
      <c r="D413" s="210" t="s">
        <v>2832</v>
      </c>
      <c r="E413" s="204">
        <v>4.0</v>
      </c>
      <c r="F413" s="205">
        <v>0.0</v>
      </c>
      <c r="G413" s="205">
        <v>1.25</v>
      </c>
    </row>
    <row r="414" ht="15.75" customHeight="1">
      <c r="A414" s="200" t="s">
        <v>303</v>
      </c>
      <c r="B414" s="186" t="s">
        <v>952</v>
      </c>
      <c r="C414" s="210" t="s">
        <v>953</v>
      </c>
      <c r="D414" s="210" t="s">
        <v>954</v>
      </c>
      <c r="E414" s="204">
        <v>4.0</v>
      </c>
      <c r="F414" s="205">
        <v>0.0</v>
      </c>
      <c r="G414" s="205">
        <v>0.5</v>
      </c>
    </row>
    <row r="415" ht="15.75" customHeight="1">
      <c r="A415" s="200" t="s">
        <v>303</v>
      </c>
      <c r="B415" s="186" t="s">
        <v>3713</v>
      </c>
      <c r="C415" s="210" t="s">
        <v>3715</v>
      </c>
      <c r="D415" s="210" t="s">
        <v>254</v>
      </c>
      <c r="E415" s="204">
        <v>4.0</v>
      </c>
      <c r="F415" s="205">
        <v>0.0</v>
      </c>
      <c r="G415" s="205">
        <v>0.0</v>
      </c>
    </row>
    <row r="416" ht="15.75" customHeight="1">
      <c r="A416" s="200" t="s">
        <v>303</v>
      </c>
      <c r="B416" s="186" t="s">
        <v>3716</v>
      </c>
      <c r="C416" s="210" t="s">
        <v>3718</v>
      </c>
      <c r="D416" s="210" t="s">
        <v>3719</v>
      </c>
      <c r="E416" s="204">
        <v>4.0</v>
      </c>
      <c r="F416" s="205">
        <v>0.0</v>
      </c>
      <c r="G416" s="205">
        <v>0.5</v>
      </c>
    </row>
    <row r="417" ht="15.75" customHeight="1">
      <c r="A417" s="200" t="s">
        <v>303</v>
      </c>
      <c r="B417" s="186" t="s">
        <v>3721</v>
      </c>
      <c r="C417" s="210" t="s">
        <v>3722</v>
      </c>
      <c r="D417" s="210" t="s">
        <v>3723</v>
      </c>
      <c r="E417" s="204">
        <v>4.0</v>
      </c>
      <c r="F417" s="205">
        <v>0.0</v>
      </c>
      <c r="G417" s="205">
        <v>0.0</v>
      </c>
    </row>
    <row r="418" ht="15.75" customHeight="1">
      <c r="A418" s="200" t="s">
        <v>303</v>
      </c>
      <c r="B418" s="186" t="s">
        <v>955</v>
      </c>
      <c r="C418" s="210" t="s">
        <v>956</v>
      </c>
      <c r="D418" s="210" t="s">
        <v>957</v>
      </c>
      <c r="E418" s="204">
        <v>4.0</v>
      </c>
      <c r="F418" s="205">
        <v>0.0</v>
      </c>
      <c r="G418" s="205">
        <v>0.75</v>
      </c>
    </row>
    <row r="419" ht="15.75" customHeight="1">
      <c r="A419" s="200" t="s">
        <v>303</v>
      </c>
      <c r="B419" s="186" t="s">
        <v>3727</v>
      </c>
      <c r="C419" s="210" t="s">
        <v>3728</v>
      </c>
      <c r="D419" s="210" t="s">
        <v>3729</v>
      </c>
      <c r="E419" s="204">
        <v>4.0</v>
      </c>
      <c r="F419" s="205">
        <v>0.0</v>
      </c>
      <c r="G419" s="205">
        <v>0.25</v>
      </c>
    </row>
    <row r="420" ht="15.75" customHeight="1">
      <c r="A420" s="200" t="s">
        <v>303</v>
      </c>
      <c r="B420" s="186" t="s">
        <v>3730</v>
      </c>
      <c r="C420" s="210" t="s">
        <v>3731</v>
      </c>
      <c r="D420" s="210" t="s">
        <v>3732</v>
      </c>
      <c r="E420" s="204">
        <v>4.0</v>
      </c>
      <c r="F420" s="205">
        <v>0.0</v>
      </c>
      <c r="G420" s="205">
        <v>0.75</v>
      </c>
    </row>
    <row r="421" ht="15.75" customHeight="1">
      <c r="A421" s="200" t="s">
        <v>303</v>
      </c>
      <c r="B421" s="186" t="s">
        <v>3733</v>
      </c>
      <c r="C421" s="210" t="s">
        <v>3734</v>
      </c>
      <c r="D421" s="210" t="s">
        <v>3735</v>
      </c>
      <c r="E421" s="204">
        <v>4.0</v>
      </c>
      <c r="F421" s="205">
        <v>0.0</v>
      </c>
      <c r="G421" s="205">
        <v>0.0</v>
      </c>
    </row>
    <row r="422" ht="15.75" customHeight="1">
      <c r="A422" s="200" t="s">
        <v>303</v>
      </c>
      <c r="B422" s="186" t="s">
        <v>3736</v>
      </c>
      <c r="C422" s="210" t="s">
        <v>3737</v>
      </c>
      <c r="D422" s="210" t="s">
        <v>3738</v>
      </c>
      <c r="E422" s="204">
        <v>4.0</v>
      </c>
      <c r="F422" s="205">
        <v>0.0</v>
      </c>
      <c r="G422" s="205">
        <v>0.0</v>
      </c>
    </row>
    <row r="423" ht="15.75" customHeight="1">
      <c r="A423" s="200" t="s">
        <v>303</v>
      </c>
      <c r="B423" s="186" t="s">
        <v>3739</v>
      </c>
      <c r="C423" s="210" t="s">
        <v>3740</v>
      </c>
      <c r="D423" s="210" t="s">
        <v>3741</v>
      </c>
      <c r="E423" s="204">
        <v>4.0</v>
      </c>
      <c r="F423" s="205">
        <v>0.0</v>
      </c>
      <c r="G423" s="205">
        <v>0.0</v>
      </c>
    </row>
    <row r="424" ht="15.75" customHeight="1">
      <c r="A424" s="200" t="s">
        <v>303</v>
      </c>
      <c r="B424" s="186" t="s">
        <v>3742</v>
      </c>
      <c r="C424" s="210" t="s">
        <v>3740</v>
      </c>
      <c r="D424" s="210" t="s">
        <v>3741</v>
      </c>
      <c r="E424" s="204">
        <v>4.0</v>
      </c>
      <c r="F424" s="205">
        <v>0.0</v>
      </c>
      <c r="G424" s="205">
        <v>0.0</v>
      </c>
    </row>
    <row r="425" ht="15.75" customHeight="1">
      <c r="A425" s="200" t="s">
        <v>303</v>
      </c>
      <c r="B425" s="186" t="s">
        <v>3743</v>
      </c>
      <c r="C425" s="210" t="s">
        <v>3744</v>
      </c>
      <c r="D425" s="210" t="s">
        <v>3745</v>
      </c>
      <c r="E425" s="204">
        <v>4.0</v>
      </c>
      <c r="F425" s="205">
        <v>0.0</v>
      </c>
      <c r="G425" s="205">
        <v>0.25</v>
      </c>
    </row>
    <row r="426" ht="15.75" customHeight="1">
      <c r="A426" s="200" t="s">
        <v>303</v>
      </c>
      <c r="B426" s="186" t="s">
        <v>3746</v>
      </c>
      <c r="C426" s="210" t="s">
        <v>3747</v>
      </c>
      <c r="D426" s="210" t="s">
        <v>3748</v>
      </c>
      <c r="E426" s="204">
        <v>4.0</v>
      </c>
      <c r="F426" s="205">
        <v>0.0</v>
      </c>
      <c r="G426" s="205">
        <v>2.5</v>
      </c>
    </row>
    <row r="427" ht="15.75" customHeight="1">
      <c r="A427" s="200" t="s">
        <v>303</v>
      </c>
      <c r="B427" s="186" t="s">
        <v>3749</v>
      </c>
      <c r="C427" s="210" t="s">
        <v>3750</v>
      </c>
      <c r="D427" s="210" t="s">
        <v>3751</v>
      </c>
      <c r="E427" s="204">
        <v>4.0</v>
      </c>
      <c r="F427" s="205">
        <v>0.0</v>
      </c>
      <c r="G427" s="205">
        <v>1.5</v>
      </c>
    </row>
    <row r="428" ht="15.75" customHeight="1">
      <c r="A428" s="200" t="s">
        <v>303</v>
      </c>
      <c r="B428" s="186" t="s">
        <v>3752</v>
      </c>
      <c r="C428" s="210" t="s">
        <v>3753</v>
      </c>
      <c r="D428" s="210" t="s">
        <v>3754</v>
      </c>
      <c r="E428" s="204">
        <v>4.0</v>
      </c>
      <c r="F428" s="205">
        <v>0.0</v>
      </c>
      <c r="G428" s="205">
        <v>0.0</v>
      </c>
    </row>
    <row r="429" ht="15.75" customHeight="1">
      <c r="A429" s="200" t="s">
        <v>303</v>
      </c>
      <c r="B429" s="186" t="s">
        <v>3755</v>
      </c>
      <c r="C429" s="210" t="s">
        <v>3756</v>
      </c>
      <c r="D429" s="210" t="s">
        <v>3757</v>
      </c>
      <c r="E429" s="204">
        <v>4.0</v>
      </c>
      <c r="F429" s="205">
        <v>0.0</v>
      </c>
      <c r="G429" s="205">
        <v>0.5</v>
      </c>
    </row>
    <row r="430" ht="15.75" customHeight="1">
      <c r="A430" s="200" t="s">
        <v>303</v>
      </c>
      <c r="B430" s="186" t="s">
        <v>3758</v>
      </c>
      <c r="C430" s="210" t="s">
        <v>3759</v>
      </c>
      <c r="D430" s="210" t="s">
        <v>3760</v>
      </c>
      <c r="E430" s="204">
        <v>4.0</v>
      </c>
      <c r="F430" s="205">
        <v>0.0</v>
      </c>
      <c r="G430" s="205">
        <v>0.25</v>
      </c>
    </row>
    <row r="431" ht="15.75" customHeight="1">
      <c r="A431" s="200" t="s">
        <v>303</v>
      </c>
      <c r="B431" s="186" t="s">
        <v>3761</v>
      </c>
      <c r="C431" s="210" t="s">
        <v>3762</v>
      </c>
      <c r="D431" s="210" t="s">
        <v>3763</v>
      </c>
      <c r="E431" s="204">
        <v>4.0</v>
      </c>
      <c r="F431" s="205">
        <v>0.0</v>
      </c>
      <c r="G431" s="205">
        <v>1.25</v>
      </c>
    </row>
    <row r="432" ht="15.75" customHeight="1">
      <c r="A432" s="200" t="s">
        <v>303</v>
      </c>
      <c r="B432" s="186" t="s">
        <v>3764</v>
      </c>
      <c r="C432" s="210" t="s">
        <v>3765</v>
      </c>
      <c r="D432" s="210" t="s">
        <v>3766</v>
      </c>
      <c r="E432" s="204">
        <v>4.0</v>
      </c>
      <c r="F432" s="205">
        <v>0.0</v>
      </c>
      <c r="G432" s="205">
        <v>0.5</v>
      </c>
    </row>
    <row r="433" ht="15.75" customHeight="1">
      <c r="A433" s="200" t="s">
        <v>303</v>
      </c>
      <c r="B433" s="186" t="s">
        <v>3767</v>
      </c>
      <c r="C433" s="210" t="s">
        <v>3768</v>
      </c>
      <c r="D433" s="210" t="s">
        <v>3769</v>
      </c>
      <c r="E433" s="204">
        <v>4.0</v>
      </c>
      <c r="F433" s="205">
        <v>0.0</v>
      </c>
      <c r="G433" s="205">
        <v>0.0</v>
      </c>
    </row>
    <row r="434" ht="15.75" customHeight="1">
      <c r="A434" s="200" t="s">
        <v>303</v>
      </c>
      <c r="B434" s="186" t="s">
        <v>958</v>
      </c>
      <c r="C434" s="210" t="s">
        <v>959</v>
      </c>
      <c r="D434" s="210" t="s">
        <v>962</v>
      </c>
      <c r="E434" s="204">
        <v>4.0</v>
      </c>
      <c r="F434" s="205">
        <v>0.0</v>
      </c>
      <c r="G434" s="205">
        <v>0.5</v>
      </c>
    </row>
    <row r="435" ht="15.75" customHeight="1">
      <c r="A435" s="200" t="s">
        <v>303</v>
      </c>
      <c r="B435" s="186" t="s">
        <v>3770</v>
      </c>
      <c r="C435" s="210" t="s">
        <v>3771</v>
      </c>
      <c r="D435" s="210" t="s">
        <v>3772</v>
      </c>
      <c r="E435" s="204">
        <v>4.0</v>
      </c>
      <c r="F435" s="205">
        <v>0.0</v>
      </c>
      <c r="G435" s="205">
        <v>0.0</v>
      </c>
    </row>
    <row r="436" ht="15.75" customHeight="1">
      <c r="A436" s="200" t="s">
        <v>303</v>
      </c>
      <c r="B436" s="186" t="s">
        <v>3773</v>
      </c>
      <c r="C436" s="210" t="s">
        <v>3774</v>
      </c>
      <c r="D436" s="210" t="s">
        <v>3775</v>
      </c>
      <c r="E436" s="204">
        <v>4.0</v>
      </c>
      <c r="F436" s="205">
        <v>0.0</v>
      </c>
      <c r="G436" s="205">
        <v>0.0</v>
      </c>
    </row>
    <row r="437" ht="15.75" customHeight="1">
      <c r="A437" s="200" t="s">
        <v>303</v>
      </c>
      <c r="B437" s="186" t="s">
        <v>963</v>
      </c>
      <c r="C437" s="210" t="s">
        <v>964</v>
      </c>
      <c r="D437" s="210" t="s">
        <v>965</v>
      </c>
      <c r="E437" s="204">
        <v>4.0</v>
      </c>
      <c r="F437" s="205">
        <v>0.0</v>
      </c>
      <c r="G437" s="205">
        <v>0.5</v>
      </c>
    </row>
    <row r="438" ht="15.75" customHeight="1">
      <c r="A438" s="200" t="s">
        <v>303</v>
      </c>
      <c r="B438" s="186" t="s">
        <v>3776</v>
      </c>
      <c r="C438" s="210" t="s">
        <v>3777</v>
      </c>
      <c r="D438" s="210" t="s">
        <v>3778</v>
      </c>
      <c r="E438" s="204">
        <v>4.0</v>
      </c>
      <c r="F438" s="205">
        <v>0.0</v>
      </c>
      <c r="G438" s="205">
        <v>0.25</v>
      </c>
    </row>
    <row r="439" ht="15.75" customHeight="1">
      <c r="A439" s="200" t="s">
        <v>303</v>
      </c>
      <c r="B439" s="186" t="s">
        <v>3779</v>
      </c>
      <c r="C439" s="210" t="s">
        <v>3780</v>
      </c>
      <c r="D439" s="210" t="s">
        <v>3781</v>
      </c>
      <c r="E439" s="204">
        <v>4.0</v>
      </c>
      <c r="F439" s="205">
        <v>0.0</v>
      </c>
      <c r="G439" s="205">
        <v>0.5</v>
      </c>
    </row>
    <row r="440" ht="15.75" customHeight="1">
      <c r="A440" s="200" t="s">
        <v>303</v>
      </c>
      <c r="B440" s="186" t="s">
        <v>3782</v>
      </c>
      <c r="C440" s="210" t="s">
        <v>3783</v>
      </c>
      <c r="D440" s="210" t="s">
        <v>3784</v>
      </c>
      <c r="E440" s="204">
        <v>4.0</v>
      </c>
      <c r="F440" s="205">
        <v>0.0</v>
      </c>
      <c r="G440" s="205">
        <v>0.25</v>
      </c>
    </row>
    <row r="441" ht="15.75" customHeight="1">
      <c r="A441" s="200" t="s">
        <v>303</v>
      </c>
      <c r="B441" s="186" t="s">
        <v>3785</v>
      </c>
      <c r="C441" s="210" t="s">
        <v>3786</v>
      </c>
      <c r="D441" s="210" t="s">
        <v>3787</v>
      </c>
      <c r="E441" s="204">
        <v>4.0</v>
      </c>
      <c r="F441" s="205">
        <v>0.0</v>
      </c>
      <c r="G441" s="205">
        <v>0.75</v>
      </c>
    </row>
    <row r="442" ht="15.75" customHeight="1">
      <c r="A442" s="200" t="s">
        <v>303</v>
      </c>
      <c r="B442" s="186" t="s">
        <v>966</v>
      </c>
      <c r="C442" s="210" t="s">
        <v>967</v>
      </c>
      <c r="D442" s="210" t="s">
        <v>969</v>
      </c>
      <c r="E442" s="204">
        <v>4.0</v>
      </c>
      <c r="F442" s="205">
        <v>0.0</v>
      </c>
      <c r="G442" s="205">
        <v>1.5</v>
      </c>
    </row>
    <row r="443" ht="15.75" customHeight="1">
      <c r="A443" s="200" t="s">
        <v>303</v>
      </c>
      <c r="B443" s="186" t="s">
        <v>3892</v>
      </c>
      <c r="C443" s="210" t="s">
        <v>3893</v>
      </c>
      <c r="D443" s="210" t="s">
        <v>3894</v>
      </c>
      <c r="E443" s="204">
        <v>4.0</v>
      </c>
      <c r="F443" s="205">
        <v>0.0</v>
      </c>
      <c r="G443" s="205">
        <v>0.0</v>
      </c>
    </row>
    <row r="444" ht="15.75" customHeight="1">
      <c r="A444" s="200" t="s">
        <v>303</v>
      </c>
      <c r="B444" s="186" t="s">
        <v>3895</v>
      </c>
      <c r="C444" s="210" t="s">
        <v>3896</v>
      </c>
      <c r="D444" s="210" t="s">
        <v>3897</v>
      </c>
      <c r="E444" s="204">
        <v>4.0</v>
      </c>
      <c r="F444" s="205">
        <v>0.0</v>
      </c>
      <c r="G444" s="205">
        <v>2.0</v>
      </c>
    </row>
    <row r="445" ht="15.75" customHeight="1">
      <c r="A445" s="200" t="s">
        <v>303</v>
      </c>
      <c r="B445" s="186" t="s">
        <v>3898</v>
      </c>
      <c r="C445" s="210" t="s">
        <v>3899</v>
      </c>
      <c r="D445" s="210" t="s">
        <v>2872</v>
      </c>
      <c r="E445" s="204">
        <v>4.0</v>
      </c>
      <c r="F445" s="205">
        <v>0.0</v>
      </c>
      <c r="G445" s="205">
        <v>0.0</v>
      </c>
    </row>
    <row r="446" ht="15.75" customHeight="1">
      <c r="A446" s="200" t="s">
        <v>303</v>
      </c>
      <c r="B446" s="186" t="s">
        <v>972</v>
      </c>
      <c r="C446" s="210" t="s">
        <v>973</v>
      </c>
      <c r="D446" s="210" t="s">
        <v>974</v>
      </c>
      <c r="E446" s="204">
        <v>4.0</v>
      </c>
      <c r="F446" s="205">
        <v>0.0</v>
      </c>
      <c r="G446" s="205">
        <v>1.75</v>
      </c>
    </row>
    <row r="447" ht="15.75" customHeight="1">
      <c r="A447" s="200" t="s">
        <v>303</v>
      </c>
      <c r="B447" s="186" t="s">
        <v>3900</v>
      </c>
      <c r="C447" s="210" t="s">
        <v>3901</v>
      </c>
      <c r="D447" s="210" t="s">
        <v>3902</v>
      </c>
      <c r="E447" s="204">
        <v>4.0</v>
      </c>
      <c r="F447" s="205">
        <v>0.0</v>
      </c>
      <c r="G447" s="205">
        <v>1.0</v>
      </c>
    </row>
    <row r="448" ht="15.75" customHeight="1">
      <c r="A448" s="200" t="s">
        <v>303</v>
      </c>
      <c r="B448" s="186" t="s">
        <v>3903</v>
      </c>
      <c r="C448" s="210" t="s">
        <v>3904</v>
      </c>
      <c r="D448" s="210" t="s">
        <v>3905</v>
      </c>
      <c r="E448" s="204">
        <v>4.0</v>
      </c>
      <c r="F448" s="205">
        <v>0.0</v>
      </c>
      <c r="G448" s="205">
        <v>0.0</v>
      </c>
    </row>
    <row r="449" ht="15.75" customHeight="1">
      <c r="A449" s="200" t="s">
        <v>303</v>
      </c>
      <c r="B449" s="186" t="s">
        <v>3906</v>
      </c>
      <c r="C449" s="210" t="s">
        <v>3907</v>
      </c>
      <c r="D449" s="210" t="s">
        <v>3908</v>
      </c>
      <c r="E449" s="204">
        <v>3.0</v>
      </c>
      <c r="F449" s="205">
        <v>0.0</v>
      </c>
      <c r="G449" s="205">
        <v>0.0</v>
      </c>
    </row>
    <row r="450" ht="15.75" customHeight="1">
      <c r="A450" s="200" t="s">
        <v>303</v>
      </c>
      <c r="B450" s="186" t="s">
        <v>3909</v>
      </c>
      <c r="C450" s="210" t="s">
        <v>3910</v>
      </c>
      <c r="D450" s="210" t="s">
        <v>3911</v>
      </c>
      <c r="E450" s="204">
        <v>3.0</v>
      </c>
      <c r="F450" s="205">
        <v>0.0</v>
      </c>
      <c r="G450" s="205">
        <v>1.33</v>
      </c>
    </row>
    <row r="451" ht="15.75" customHeight="1">
      <c r="A451" s="200" t="s">
        <v>303</v>
      </c>
      <c r="B451" s="186" t="s">
        <v>3912</v>
      </c>
      <c r="C451" s="210" t="s">
        <v>3913</v>
      </c>
      <c r="D451" s="210" t="s">
        <v>3914</v>
      </c>
      <c r="E451" s="204">
        <v>3.0</v>
      </c>
      <c r="F451" s="205">
        <v>0.0</v>
      </c>
      <c r="G451" s="205">
        <v>0.0</v>
      </c>
    </row>
    <row r="452" ht="15.75" customHeight="1">
      <c r="A452" s="200" t="s">
        <v>303</v>
      </c>
      <c r="B452" s="186" t="s">
        <v>3915</v>
      </c>
      <c r="C452" s="210" t="s">
        <v>3916</v>
      </c>
      <c r="D452" s="210" t="s">
        <v>3917</v>
      </c>
      <c r="E452" s="204">
        <v>3.0</v>
      </c>
      <c r="F452" s="205">
        <v>0.0</v>
      </c>
      <c r="G452" s="205">
        <v>0.0</v>
      </c>
    </row>
    <row r="453" ht="15.75" customHeight="1">
      <c r="A453" s="200" t="s">
        <v>303</v>
      </c>
      <c r="B453" s="186" t="s">
        <v>3918</v>
      </c>
      <c r="C453" s="210" t="s">
        <v>3919</v>
      </c>
      <c r="D453" s="210" t="s">
        <v>2827</v>
      </c>
      <c r="E453" s="204">
        <v>3.0</v>
      </c>
      <c r="F453" s="205">
        <v>0.0</v>
      </c>
      <c r="G453" s="205">
        <v>0.0</v>
      </c>
    </row>
    <row r="454" ht="15.75" customHeight="1">
      <c r="A454" s="200" t="s">
        <v>303</v>
      </c>
      <c r="B454" s="186" t="s">
        <v>975</v>
      </c>
      <c r="C454" s="210" t="s">
        <v>976</v>
      </c>
      <c r="D454" s="210" t="s">
        <v>978</v>
      </c>
      <c r="E454" s="204">
        <v>3.0</v>
      </c>
      <c r="F454" s="205">
        <v>0.0</v>
      </c>
      <c r="G454" s="205">
        <v>1.67</v>
      </c>
    </row>
    <row r="455" ht="15.75" customHeight="1">
      <c r="A455" s="200" t="s">
        <v>303</v>
      </c>
      <c r="B455" s="186" t="s">
        <v>979</v>
      </c>
      <c r="C455" s="210" t="s">
        <v>980</v>
      </c>
      <c r="D455" s="210" t="s">
        <v>981</v>
      </c>
      <c r="E455" s="204">
        <v>3.0</v>
      </c>
      <c r="F455" s="205">
        <v>0.0</v>
      </c>
      <c r="G455" s="205">
        <v>0.0</v>
      </c>
    </row>
    <row r="456" ht="15.75" customHeight="1">
      <c r="A456" s="200" t="s">
        <v>303</v>
      </c>
      <c r="B456" s="186" t="s">
        <v>3920</v>
      </c>
      <c r="C456" s="210" t="s">
        <v>3921</v>
      </c>
      <c r="D456" s="210" t="s">
        <v>3922</v>
      </c>
      <c r="E456" s="204">
        <v>3.0</v>
      </c>
      <c r="F456" s="205">
        <v>0.0</v>
      </c>
      <c r="G456" s="205">
        <v>1.0</v>
      </c>
    </row>
    <row r="457" ht="15.75" customHeight="1">
      <c r="A457" s="200" t="s">
        <v>303</v>
      </c>
      <c r="B457" s="186" t="s">
        <v>475</v>
      </c>
      <c r="C457" s="210" t="s">
        <v>457</v>
      </c>
      <c r="D457" s="210" t="s">
        <v>458</v>
      </c>
      <c r="E457" s="204">
        <v>3.0</v>
      </c>
      <c r="F457" s="205">
        <v>0.0</v>
      </c>
      <c r="G457" s="205">
        <v>0.0</v>
      </c>
    </row>
    <row r="458" ht="15.75" customHeight="1">
      <c r="A458" s="200" t="s">
        <v>303</v>
      </c>
      <c r="B458" s="186" t="s">
        <v>476</v>
      </c>
      <c r="C458" s="210" t="s">
        <v>477</v>
      </c>
      <c r="D458" s="210" t="s">
        <v>478</v>
      </c>
      <c r="E458" s="204">
        <v>3.0</v>
      </c>
      <c r="F458" s="205">
        <v>0.0</v>
      </c>
      <c r="G458" s="205">
        <v>0.67</v>
      </c>
    </row>
    <row r="459" ht="15.75" customHeight="1">
      <c r="A459" s="200" t="s">
        <v>303</v>
      </c>
      <c r="B459" s="186" t="s">
        <v>479</v>
      </c>
      <c r="C459" s="210" t="s">
        <v>480</v>
      </c>
      <c r="D459" s="210" t="s">
        <v>481</v>
      </c>
      <c r="E459" s="204">
        <v>3.0</v>
      </c>
      <c r="F459" s="205">
        <v>0.0</v>
      </c>
      <c r="G459" s="205">
        <v>0.0</v>
      </c>
    </row>
    <row r="460" ht="15.75" customHeight="1">
      <c r="A460" s="200" t="s">
        <v>303</v>
      </c>
      <c r="B460" s="186" t="s">
        <v>482</v>
      </c>
      <c r="C460" s="210" t="s">
        <v>483</v>
      </c>
      <c r="D460" s="210" t="s">
        <v>443</v>
      </c>
      <c r="E460" s="204">
        <v>3.0</v>
      </c>
      <c r="F460" s="205">
        <v>0.0</v>
      </c>
      <c r="G460" s="205">
        <v>0.0</v>
      </c>
    </row>
    <row r="461" ht="15.75" customHeight="1">
      <c r="A461" s="200" t="s">
        <v>303</v>
      </c>
      <c r="B461" s="186" t="s">
        <v>982</v>
      </c>
      <c r="C461" s="210" t="s">
        <v>983</v>
      </c>
      <c r="D461" s="210" t="s">
        <v>813</v>
      </c>
      <c r="E461" s="204">
        <v>3.0</v>
      </c>
      <c r="F461" s="205">
        <v>0.0</v>
      </c>
      <c r="G461" s="205">
        <v>1.33</v>
      </c>
    </row>
    <row r="462" ht="15.75" customHeight="1">
      <c r="A462" s="200" t="s">
        <v>303</v>
      </c>
      <c r="B462" s="186" t="s">
        <v>984</v>
      </c>
      <c r="C462" s="210" t="s">
        <v>985</v>
      </c>
      <c r="D462" s="210" t="s">
        <v>986</v>
      </c>
      <c r="E462" s="204">
        <v>3.0</v>
      </c>
      <c r="F462" s="205">
        <v>0.0</v>
      </c>
      <c r="G462" s="205">
        <v>1.33</v>
      </c>
    </row>
    <row r="463" ht="15.75" customHeight="1">
      <c r="A463" s="200" t="s">
        <v>303</v>
      </c>
      <c r="B463" s="186" t="s">
        <v>3923</v>
      </c>
      <c r="C463" s="210" t="s">
        <v>3924</v>
      </c>
      <c r="D463" s="210" t="s">
        <v>3925</v>
      </c>
      <c r="E463" s="204">
        <v>3.0</v>
      </c>
      <c r="F463" s="205">
        <v>0.0</v>
      </c>
      <c r="G463" s="205">
        <v>0.0</v>
      </c>
    </row>
    <row r="464" ht="15.75" customHeight="1">
      <c r="A464" s="200" t="s">
        <v>303</v>
      </c>
      <c r="B464" s="186" t="s">
        <v>3926</v>
      </c>
      <c r="C464" s="210" t="s">
        <v>3927</v>
      </c>
      <c r="D464" s="210" t="s">
        <v>3928</v>
      </c>
      <c r="E464" s="204">
        <v>3.0</v>
      </c>
      <c r="F464" s="205">
        <v>0.0</v>
      </c>
      <c r="G464" s="205">
        <v>2.0</v>
      </c>
    </row>
    <row r="465" ht="15.75" customHeight="1">
      <c r="A465" s="200" t="s">
        <v>303</v>
      </c>
      <c r="B465" s="186" t="s">
        <v>3929</v>
      </c>
      <c r="C465" s="210" t="s">
        <v>3930</v>
      </c>
      <c r="D465" s="210" t="s">
        <v>3931</v>
      </c>
      <c r="E465" s="204">
        <v>3.0</v>
      </c>
      <c r="F465" s="205">
        <v>0.0</v>
      </c>
      <c r="G465" s="205">
        <v>1.0</v>
      </c>
    </row>
    <row r="466" ht="15.75" customHeight="1">
      <c r="A466" s="200" t="s">
        <v>303</v>
      </c>
      <c r="B466" s="186" t="s">
        <v>3932</v>
      </c>
      <c r="C466" s="210" t="s">
        <v>3933</v>
      </c>
      <c r="D466" s="210" t="s">
        <v>3934</v>
      </c>
      <c r="E466" s="204">
        <v>3.0</v>
      </c>
      <c r="F466" s="205">
        <v>0.0</v>
      </c>
      <c r="G466" s="205">
        <v>0.0</v>
      </c>
    </row>
    <row r="467" ht="15.75" customHeight="1">
      <c r="A467" s="200" t="s">
        <v>303</v>
      </c>
      <c r="B467" s="186" t="s">
        <v>3935</v>
      </c>
      <c r="C467" s="210" t="s">
        <v>3936</v>
      </c>
      <c r="D467" s="210" t="s">
        <v>3937</v>
      </c>
      <c r="E467" s="204">
        <v>3.0</v>
      </c>
      <c r="F467" s="205">
        <v>0.0</v>
      </c>
      <c r="G467" s="205">
        <v>0.67</v>
      </c>
    </row>
    <row r="468" ht="15.75" customHeight="1">
      <c r="A468" s="200" t="s">
        <v>303</v>
      </c>
      <c r="B468" s="186" t="s">
        <v>987</v>
      </c>
      <c r="C468" s="210" t="s">
        <v>988</v>
      </c>
      <c r="D468" s="210" t="s">
        <v>989</v>
      </c>
      <c r="E468" s="204">
        <v>3.0</v>
      </c>
      <c r="F468" s="205">
        <v>0.0</v>
      </c>
      <c r="G468" s="205">
        <v>0.67</v>
      </c>
    </row>
    <row r="469" ht="15.75" customHeight="1">
      <c r="A469" s="200" t="s">
        <v>303</v>
      </c>
      <c r="B469" s="186" t="s">
        <v>990</v>
      </c>
      <c r="C469" s="210" t="s">
        <v>991</v>
      </c>
      <c r="D469" s="210" t="s">
        <v>994</v>
      </c>
      <c r="E469" s="204">
        <v>3.0</v>
      </c>
      <c r="F469" s="205">
        <v>0.0</v>
      </c>
      <c r="G469" s="205">
        <v>0.67</v>
      </c>
    </row>
    <row r="470" ht="15.75" customHeight="1">
      <c r="A470" s="200" t="s">
        <v>303</v>
      </c>
      <c r="B470" s="186" t="s">
        <v>3938</v>
      </c>
      <c r="C470" s="210" t="s">
        <v>3939</v>
      </c>
      <c r="D470" s="210" t="s">
        <v>3940</v>
      </c>
      <c r="E470" s="204">
        <v>3.0</v>
      </c>
      <c r="F470" s="205">
        <v>0.0</v>
      </c>
      <c r="G470" s="205">
        <v>1.33</v>
      </c>
    </row>
    <row r="471" ht="15.75" customHeight="1">
      <c r="A471" s="200" t="s">
        <v>303</v>
      </c>
      <c r="B471" s="186" t="s">
        <v>3941</v>
      </c>
      <c r="C471" s="210" t="s">
        <v>2279</v>
      </c>
      <c r="D471" s="210" t="s">
        <v>3942</v>
      </c>
      <c r="E471" s="204">
        <v>3.0</v>
      </c>
      <c r="F471" s="205">
        <v>0.0</v>
      </c>
      <c r="G471" s="205">
        <v>0.0</v>
      </c>
    </row>
    <row r="472" ht="15.75" customHeight="1">
      <c r="A472" s="200" t="s">
        <v>303</v>
      </c>
      <c r="B472" s="186" t="s">
        <v>3943</v>
      </c>
      <c r="C472" s="210" t="s">
        <v>2279</v>
      </c>
      <c r="D472" s="210" t="s">
        <v>3944</v>
      </c>
      <c r="E472" s="204">
        <v>3.0</v>
      </c>
      <c r="F472" s="205">
        <v>0.0</v>
      </c>
      <c r="G472" s="205">
        <v>0.0</v>
      </c>
    </row>
    <row r="473" ht="15.75" customHeight="1">
      <c r="A473" s="200" t="s">
        <v>303</v>
      </c>
      <c r="B473" s="186" t="s">
        <v>3945</v>
      </c>
      <c r="C473" s="210" t="s">
        <v>3946</v>
      </c>
      <c r="D473" s="210" t="s">
        <v>3947</v>
      </c>
      <c r="E473" s="204">
        <v>3.0</v>
      </c>
      <c r="F473" s="205">
        <v>0.0</v>
      </c>
      <c r="G473" s="205">
        <v>3.0</v>
      </c>
    </row>
    <row r="474" ht="15.75" customHeight="1">
      <c r="A474" s="200" t="s">
        <v>303</v>
      </c>
      <c r="B474" s="186" t="s">
        <v>3948</v>
      </c>
      <c r="C474" s="210" t="s">
        <v>3949</v>
      </c>
      <c r="D474" s="210" t="s">
        <v>3950</v>
      </c>
      <c r="E474" s="204">
        <v>3.0</v>
      </c>
      <c r="F474" s="205">
        <v>0.0</v>
      </c>
      <c r="G474" s="205">
        <v>3.0</v>
      </c>
    </row>
    <row r="475" ht="15.75" customHeight="1">
      <c r="A475" s="200" t="s">
        <v>303</v>
      </c>
      <c r="B475" s="186" t="s">
        <v>3951</v>
      </c>
      <c r="C475" s="210" t="s">
        <v>3952</v>
      </c>
      <c r="D475" s="210" t="s">
        <v>3953</v>
      </c>
      <c r="E475" s="204">
        <v>3.0</v>
      </c>
      <c r="F475" s="205">
        <v>0.0</v>
      </c>
      <c r="G475" s="205">
        <v>0.33</v>
      </c>
    </row>
    <row r="476" ht="15.75" customHeight="1">
      <c r="A476" s="200" t="s">
        <v>303</v>
      </c>
      <c r="B476" s="186" t="s">
        <v>3954</v>
      </c>
      <c r="C476" s="210" t="s">
        <v>3955</v>
      </c>
      <c r="D476" s="210" t="s">
        <v>3956</v>
      </c>
      <c r="E476" s="204">
        <v>3.0</v>
      </c>
      <c r="F476" s="205">
        <v>0.0</v>
      </c>
      <c r="G476" s="205">
        <v>0.33</v>
      </c>
    </row>
    <row r="477" ht="15.75" customHeight="1">
      <c r="A477" s="200" t="s">
        <v>303</v>
      </c>
      <c r="B477" s="186" t="s">
        <v>3957</v>
      </c>
      <c r="C477" s="210" t="s">
        <v>3958</v>
      </c>
      <c r="D477" s="210" t="s">
        <v>3959</v>
      </c>
      <c r="E477" s="204">
        <v>3.0</v>
      </c>
      <c r="F477" s="205">
        <v>0.0</v>
      </c>
      <c r="G477" s="205">
        <v>0.67</v>
      </c>
    </row>
    <row r="478" ht="15.75" customHeight="1">
      <c r="A478" s="200" t="s">
        <v>303</v>
      </c>
      <c r="B478" s="186" t="s">
        <v>3960</v>
      </c>
      <c r="C478" s="210" t="s">
        <v>3961</v>
      </c>
      <c r="D478" s="210" t="s">
        <v>3962</v>
      </c>
      <c r="E478" s="204">
        <v>3.0</v>
      </c>
      <c r="F478" s="205">
        <v>0.0</v>
      </c>
      <c r="G478" s="205">
        <v>0.33</v>
      </c>
    </row>
    <row r="479" ht="15.75" customHeight="1">
      <c r="A479" s="200" t="s">
        <v>303</v>
      </c>
      <c r="B479" s="186" t="s">
        <v>3963</v>
      </c>
      <c r="C479" s="210" t="s">
        <v>3964</v>
      </c>
      <c r="D479" s="210" t="s">
        <v>3965</v>
      </c>
      <c r="E479" s="204">
        <v>3.0</v>
      </c>
      <c r="F479" s="205">
        <v>0.0</v>
      </c>
      <c r="G479" s="205">
        <v>0.67</v>
      </c>
    </row>
    <row r="480" ht="15.75" customHeight="1">
      <c r="A480" s="200" t="s">
        <v>303</v>
      </c>
      <c r="B480" s="186" t="s">
        <v>3966</v>
      </c>
      <c r="C480" s="210" t="s">
        <v>3967</v>
      </c>
      <c r="D480" s="210" t="s">
        <v>3968</v>
      </c>
      <c r="E480" s="204">
        <v>3.0</v>
      </c>
      <c r="F480" s="205">
        <v>0.0</v>
      </c>
      <c r="G480" s="205">
        <v>0.67</v>
      </c>
    </row>
    <row r="481" ht="15.75" customHeight="1">
      <c r="A481" s="200" t="s">
        <v>303</v>
      </c>
      <c r="B481" s="186" t="s">
        <v>3969</v>
      </c>
      <c r="C481" s="210" t="s">
        <v>3970</v>
      </c>
      <c r="D481" s="210" t="s">
        <v>1225</v>
      </c>
      <c r="E481" s="204">
        <v>3.0</v>
      </c>
      <c r="F481" s="205">
        <v>0.0</v>
      </c>
      <c r="G481" s="205">
        <v>0.67</v>
      </c>
    </row>
    <row r="482" ht="15.75" customHeight="1">
      <c r="A482" s="200" t="s">
        <v>303</v>
      </c>
      <c r="B482" s="186" t="s">
        <v>3971</v>
      </c>
      <c r="C482" s="210" t="s">
        <v>3972</v>
      </c>
      <c r="D482" s="210" t="s">
        <v>3973</v>
      </c>
      <c r="E482" s="204">
        <v>3.0</v>
      </c>
      <c r="F482" s="205">
        <v>0.0</v>
      </c>
      <c r="G482" s="205">
        <v>0.33</v>
      </c>
    </row>
    <row r="483" ht="15.75" customHeight="1">
      <c r="A483" s="200" t="s">
        <v>303</v>
      </c>
      <c r="B483" s="186" t="s">
        <v>3974</v>
      </c>
      <c r="C483" s="210" t="s">
        <v>3975</v>
      </c>
      <c r="D483" s="210" t="s">
        <v>3976</v>
      </c>
      <c r="E483" s="204">
        <v>3.0</v>
      </c>
      <c r="F483" s="205">
        <v>0.0</v>
      </c>
      <c r="G483" s="205">
        <v>3.67</v>
      </c>
    </row>
    <row r="484" ht="15.75" customHeight="1">
      <c r="A484" s="200" t="s">
        <v>303</v>
      </c>
      <c r="B484" s="186" t="s">
        <v>3977</v>
      </c>
      <c r="C484" s="210" t="s">
        <v>3978</v>
      </c>
      <c r="D484" s="210" t="s">
        <v>3979</v>
      </c>
      <c r="E484" s="204">
        <v>3.0</v>
      </c>
      <c r="F484" s="205">
        <v>0.0</v>
      </c>
      <c r="G484" s="205">
        <v>1.0</v>
      </c>
    </row>
    <row r="485" ht="15.75" customHeight="1">
      <c r="A485" s="200" t="s">
        <v>303</v>
      </c>
      <c r="B485" s="186" t="s">
        <v>3980</v>
      </c>
      <c r="C485" s="210" t="s">
        <v>3981</v>
      </c>
      <c r="D485" s="210" t="s">
        <v>3982</v>
      </c>
      <c r="E485" s="204">
        <v>3.0</v>
      </c>
      <c r="F485" s="205">
        <v>0.0</v>
      </c>
      <c r="G485" s="205">
        <v>0.0</v>
      </c>
    </row>
    <row r="486" ht="15.75" customHeight="1">
      <c r="A486" s="200" t="s">
        <v>303</v>
      </c>
      <c r="B486" s="186" t="s">
        <v>3983</v>
      </c>
      <c r="C486" s="210" t="s">
        <v>3984</v>
      </c>
      <c r="D486" s="210" t="s">
        <v>3985</v>
      </c>
      <c r="E486" s="204">
        <v>3.0</v>
      </c>
      <c r="F486" s="205">
        <v>0.0</v>
      </c>
      <c r="G486" s="205">
        <v>1.0</v>
      </c>
    </row>
    <row r="487" ht="15.75" customHeight="1">
      <c r="A487" s="200" t="s">
        <v>303</v>
      </c>
      <c r="B487" s="186" t="s">
        <v>3986</v>
      </c>
      <c r="C487" s="210" t="s">
        <v>3987</v>
      </c>
      <c r="D487" s="210" t="s">
        <v>3988</v>
      </c>
      <c r="E487" s="204">
        <v>3.0</v>
      </c>
      <c r="F487" s="205">
        <v>0.0</v>
      </c>
      <c r="G487" s="205">
        <v>0.0</v>
      </c>
    </row>
    <row r="488" ht="15.75" customHeight="1">
      <c r="A488" s="200" t="s">
        <v>303</v>
      </c>
      <c r="B488" s="186" t="s">
        <v>3989</v>
      </c>
      <c r="C488" s="210" t="s">
        <v>3990</v>
      </c>
      <c r="D488" s="210" t="s">
        <v>3991</v>
      </c>
      <c r="E488" s="204">
        <v>3.0</v>
      </c>
      <c r="F488" s="205">
        <v>0.0</v>
      </c>
      <c r="G488" s="205">
        <v>0.33</v>
      </c>
    </row>
    <row r="489" ht="15.75" customHeight="1">
      <c r="A489" s="200" t="s">
        <v>303</v>
      </c>
      <c r="B489" s="186" t="s">
        <v>3992</v>
      </c>
      <c r="C489" s="210" t="s">
        <v>3993</v>
      </c>
      <c r="D489" s="210" t="s">
        <v>3994</v>
      </c>
      <c r="E489" s="204">
        <v>3.0</v>
      </c>
      <c r="F489" s="205">
        <v>0.0</v>
      </c>
      <c r="G489" s="205">
        <v>0.0</v>
      </c>
    </row>
    <row r="490" ht="15.75" customHeight="1">
      <c r="A490" s="200" t="s">
        <v>303</v>
      </c>
      <c r="B490" s="186" t="s">
        <v>3995</v>
      </c>
      <c r="C490" s="210" t="s">
        <v>3996</v>
      </c>
      <c r="D490" s="210" t="s">
        <v>3997</v>
      </c>
      <c r="E490" s="204">
        <v>3.0</v>
      </c>
      <c r="F490" s="205">
        <v>0.0</v>
      </c>
      <c r="G490" s="205">
        <v>0.33</v>
      </c>
    </row>
    <row r="491" ht="15.75" customHeight="1">
      <c r="A491" s="200" t="s">
        <v>303</v>
      </c>
      <c r="B491" s="186" t="s">
        <v>3998</v>
      </c>
      <c r="C491" s="210" t="s">
        <v>3999</v>
      </c>
      <c r="D491" s="210" t="s">
        <v>4000</v>
      </c>
      <c r="E491" s="204">
        <v>3.0</v>
      </c>
      <c r="F491" s="205">
        <v>0.0</v>
      </c>
      <c r="G491" s="205">
        <v>0.0</v>
      </c>
    </row>
    <row r="492" ht="15.75" customHeight="1">
      <c r="A492" s="200" t="s">
        <v>303</v>
      </c>
      <c r="B492" s="186" t="s">
        <v>4001</v>
      </c>
      <c r="C492" s="210" t="s">
        <v>4002</v>
      </c>
      <c r="D492" s="210" t="s">
        <v>4003</v>
      </c>
      <c r="E492" s="204">
        <v>3.0</v>
      </c>
      <c r="F492" s="205">
        <v>0.0</v>
      </c>
      <c r="G492" s="205">
        <v>0.0</v>
      </c>
    </row>
    <row r="493" ht="15.75" customHeight="1">
      <c r="A493" s="200" t="s">
        <v>303</v>
      </c>
      <c r="B493" s="186" t="s">
        <v>4004</v>
      </c>
      <c r="C493" s="210" t="s">
        <v>4005</v>
      </c>
      <c r="D493" s="210" t="s">
        <v>4006</v>
      </c>
      <c r="E493" s="204">
        <v>3.0</v>
      </c>
      <c r="F493" s="205">
        <v>0.0</v>
      </c>
      <c r="G493" s="205">
        <v>1.0</v>
      </c>
    </row>
    <row r="494" ht="15.75" customHeight="1">
      <c r="A494" s="200" t="s">
        <v>303</v>
      </c>
      <c r="B494" s="186" t="s">
        <v>4007</v>
      </c>
      <c r="C494" s="210" t="s">
        <v>4008</v>
      </c>
      <c r="D494" s="210" t="s">
        <v>4009</v>
      </c>
      <c r="E494" s="204">
        <v>3.0</v>
      </c>
      <c r="F494" s="205">
        <v>0.0</v>
      </c>
      <c r="G494" s="205">
        <v>1.0</v>
      </c>
    </row>
    <row r="495" ht="15.75" customHeight="1">
      <c r="A495" s="200" t="s">
        <v>303</v>
      </c>
      <c r="B495" s="186" t="s">
        <v>4010</v>
      </c>
      <c r="C495" s="210" t="s">
        <v>2971</v>
      </c>
      <c r="D495" s="210" t="s">
        <v>2972</v>
      </c>
      <c r="E495" s="204">
        <v>3.0</v>
      </c>
      <c r="F495" s="205">
        <v>0.0</v>
      </c>
      <c r="G495" s="205">
        <v>0.0</v>
      </c>
    </row>
    <row r="496" ht="15.75" customHeight="1">
      <c r="A496" s="200" t="s">
        <v>303</v>
      </c>
      <c r="B496" s="186" t="s">
        <v>998</v>
      </c>
      <c r="C496" s="210" t="s">
        <v>999</v>
      </c>
      <c r="D496" s="210" t="s">
        <v>1000</v>
      </c>
      <c r="E496" s="204">
        <v>3.0</v>
      </c>
      <c r="F496" s="205">
        <v>0.0</v>
      </c>
      <c r="G496" s="205">
        <v>3.33</v>
      </c>
    </row>
    <row r="497" ht="15.75" customHeight="1">
      <c r="A497" s="200" t="s">
        <v>303</v>
      </c>
      <c r="B497" s="186" t="s">
        <v>4011</v>
      </c>
      <c r="C497" s="210" t="s">
        <v>4012</v>
      </c>
      <c r="D497" s="210"/>
      <c r="E497" s="204">
        <v>3.0</v>
      </c>
      <c r="F497" s="205">
        <v>0.0</v>
      </c>
      <c r="G497" s="205">
        <v>0.0</v>
      </c>
    </row>
    <row r="498" ht="15.75" customHeight="1">
      <c r="A498" s="200" t="s">
        <v>303</v>
      </c>
      <c r="B498" s="186" t="s">
        <v>4013</v>
      </c>
      <c r="C498" s="210" t="s">
        <v>4014</v>
      </c>
      <c r="D498" s="210" t="s">
        <v>4015</v>
      </c>
      <c r="E498" s="204">
        <v>3.0</v>
      </c>
      <c r="F498" s="205">
        <v>0.0</v>
      </c>
      <c r="G498" s="205">
        <v>0.0</v>
      </c>
    </row>
    <row r="499" ht="15.75" customHeight="1">
      <c r="A499" s="200" t="s">
        <v>303</v>
      </c>
      <c r="B499" s="186" t="s">
        <v>4016</v>
      </c>
      <c r="C499" s="210" t="s">
        <v>4017</v>
      </c>
      <c r="D499" s="210" t="s">
        <v>4018</v>
      </c>
      <c r="E499" s="204">
        <v>3.0</v>
      </c>
      <c r="F499" s="205">
        <v>0.0</v>
      </c>
      <c r="G499" s="205">
        <v>0.0</v>
      </c>
    </row>
    <row r="500" ht="15.75" customHeight="1">
      <c r="A500" s="200" t="s">
        <v>303</v>
      </c>
      <c r="B500" s="186" t="s">
        <v>1001</v>
      </c>
      <c r="C500" s="210" t="s">
        <v>1002</v>
      </c>
      <c r="D500" s="210" t="s">
        <v>1003</v>
      </c>
      <c r="E500" s="204">
        <v>3.0</v>
      </c>
      <c r="F500" s="205">
        <v>0.0</v>
      </c>
      <c r="G500" s="205">
        <v>0.67</v>
      </c>
    </row>
    <row r="501" ht="15.75" customHeight="1">
      <c r="A501" s="200" t="s">
        <v>303</v>
      </c>
      <c r="B501" s="186" t="s">
        <v>4019</v>
      </c>
      <c r="C501" s="210" t="s">
        <v>4020</v>
      </c>
      <c r="D501" s="210" t="s">
        <v>4021</v>
      </c>
      <c r="E501" s="204">
        <v>3.0</v>
      </c>
      <c r="F501" s="205">
        <v>0.0</v>
      </c>
      <c r="G501" s="205">
        <v>0.67</v>
      </c>
    </row>
    <row r="502" ht="15.75" customHeight="1">
      <c r="A502" s="200" t="s">
        <v>303</v>
      </c>
      <c r="B502" s="186" t="s">
        <v>4022</v>
      </c>
      <c r="C502" s="210" t="s">
        <v>4023</v>
      </c>
      <c r="D502" s="210" t="s">
        <v>2268</v>
      </c>
      <c r="E502" s="204">
        <v>3.0</v>
      </c>
      <c r="F502" s="205">
        <v>0.0</v>
      </c>
      <c r="G502" s="205">
        <v>0.67</v>
      </c>
    </row>
    <row r="503" ht="15.75" customHeight="1">
      <c r="A503" s="200" t="s">
        <v>303</v>
      </c>
      <c r="B503" s="186" t="s">
        <v>4024</v>
      </c>
      <c r="C503" s="210" t="s">
        <v>4025</v>
      </c>
      <c r="D503" s="210" t="s">
        <v>4026</v>
      </c>
      <c r="E503" s="204">
        <v>3.0</v>
      </c>
      <c r="F503" s="205">
        <v>0.0</v>
      </c>
      <c r="G503" s="205">
        <v>0.0</v>
      </c>
    </row>
    <row r="504" ht="15.75" customHeight="1">
      <c r="A504" s="200" t="s">
        <v>303</v>
      </c>
      <c r="B504" s="186" t="s">
        <v>4027</v>
      </c>
      <c r="C504" s="210" t="s">
        <v>4028</v>
      </c>
      <c r="D504" s="210" t="s">
        <v>4029</v>
      </c>
      <c r="E504" s="204">
        <v>3.0</v>
      </c>
      <c r="F504" s="205">
        <v>0.0</v>
      </c>
      <c r="G504" s="205">
        <v>0.33</v>
      </c>
    </row>
    <row r="505" ht="15.75" customHeight="1">
      <c r="A505" s="200" t="s">
        <v>303</v>
      </c>
      <c r="B505" s="186" t="s">
        <v>4030</v>
      </c>
      <c r="C505" s="210" t="s">
        <v>4031</v>
      </c>
      <c r="D505" s="210" t="s">
        <v>4032</v>
      </c>
      <c r="E505" s="204">
        <v>3.0</v>
      </c>
      <c r="F505" s="205">
        <v>0.0</v>
      </c>
      <c r="G505" s="205">
        <v>0.0</v>
      </c>
    </row>
    <row r="506" ht="15.75" customHeight="1">
      <c r="A506" s="200" t="s">
        <v>303</v>
      </c>
      <c r="B506" s="186" t="s">
        <v>4033</v>
      </c>
      <c r="C506" s="210" t="s">
        <v>4034</v>
      </c>
      <c r="D506" s="210" t="s">
        <v>4035</v>
      </c>
      <c r="E506" s="204">
        <v>3.0</v>
      </c>
      <c r="F506" s="205">
        <v>0.0</v>
      </c>
      <c r="G506" s="205">
        <v>1.67</v>
      </c>
    </row>
    <row r="507" ht="15.75" customHeight="1">
      <c r="A507" s="200" t="s">
        <v>303</v>
      </c>
      <c r="B507" s="186" t="s">
        <v>4036</v>
      </c>
      <c r="C507" s="210" t="s">
        <v>4037</v>
      </c>
      <c r="D507" s="210" t="s">
        <v>4038</v>
      </c>
      <c r="E507" s="204">
        <v>3.0</v>
      </c>
      <c r="F507" s="205">
        <v>0.0</v>
      </c>
      <c r="G507" s="205">
        <v>1.0</v>
      </c>
    </row>
    <row r="508" ht="15.75" customHeight="1">
      <c r="A508" s="200" t="s">
        <v>303</v>
      </c>
      <c r="B508" s="186" t="s">
        <v>4039</v>
      </c>
      <c r="C508" s="210" t="s">
        <v>4040</v>
      </c>
      <c r="D508" s="210" t="s">
        <v>4041</v>
      </c>
      <c r="E508" s="204">
        <v>3.0</v>
      </c>
      <c r="F508" s="205">
        <v>0.0</v>
      </c>
      <c r="G508" s="205">
        <v>0.67</v>
      </c>
    </row>
    <row r="509" ht="15.75" customHeight="1">
      <c r="A509" s="200" t="s">
        <v>303</v>
      </c>
      <c r="B509" s="186" t="s">
        <v>1004</v>
      </c>
      <c r="C509" s="210" t="s">
        <v>1005</v>
      </c>
      <c r="D509" s="210" t="s">
        <v>1006</v>
      </c>
      <c r="E509" s="204">
        <v>3.0</v>
      </c>
      <c r="F509" s="205">
        <v>0.0</v>
      </c>
      <c r="G509" s="205">
        <v>0.33</v>
      </c>
    </row>
    <row r="510" ht="15.75" customHeight="1">
      <c r="A510" s="200" t="s">
        <v>303</v>
      </c>
      <c r="B510" s="186" t="s">
        <v>1007</v>
      </c>
      <c r="C510" s="210" t="s">
        <v>1008</v>
      </c>
      <c r="D510" s="210" t="s">
        <v>1009</v>
      </c>
      <c r="E510" s="204">
        <v>3.0</v>
      </c>
      <c r="F510" s="205">
        <v>0.0</v>
      </c>
      <c r="G510" s="205">
        <v>1.33</v>
      </c>
    </row>
    <row r="511" ht="15.75" customHeight="1">
      <c r="A511" s="200" t="s">
        <v>303</v>
      </c>
      <c r="B511" s="186" t="s">
        <v>1010</v>
      </c>
      <c r="C511" s="210" t="s">
        <v>1011</v>
      </c>
      <c r="D511" s="210" t="s">
        <v>1014</v>
      </c>
      <c r="E511" s="204">
        <v>3.0</v>
      </c>
      <c r="F511" s="205">
        <v>0.0</v>
      </c>
      <c r="G511" s="205">
        <v>1.33</v>
      </c>
    </row>
    <row r="512" ht="15.75" customHeight="1">
      <c r="A512" s="200" t="s">
        <v>303</v>
      </c>
      <c r="B512" s="186" t="s">
        <v>4042</v>
      </c>
      <c r="C512" s="210" t="s">
        <v>4043</v>
      </c>
      <c r="D512" s="210" t="s">
        <v>4044</v>
      </c>
      <c r="E512" s="204">
        <v>3.0</v>
      </c>
      <c r="F512" s="205">
        <v>0.0</v>
      </c>
      <c r="G512" s="205">
        <v>0.0</v>
      </c>
    </row>
    <row r="513" ht="15.75" customHeight="1">
      <c r="A513" s="200" t="s">
        <v>303</v>
      </c>
      <c r="B513" s="186" t="s">
        <v>4045</v>
      </c>
      <c r="C513" s="210" t="s">
        <v>4046</v>
      </c>
      <c r="D513" s="210" t="s">
        <v>4047</v>
      </c>
      <c r="E513" s="204">
        <v>3.0</v>
      </c>
      <c r="F513" s="205">
        <v>0.0</v>
      </c>
      <c r="G513" s="205">
        <v>0.0</v>
      </c>
    </row>
    <row r="514" ht="15.75" customHeight="1">
      <c r="A514" s="200" t="s">
        <v>303</v>
      </c>
      <c r="B514" s="186" t="s">
        <v>4048</v>
      </c>
      <c r="C514" s="210" t="s">
        <v>4049</v>
      </c>
      <c r="D514" s="210" t="s">
        <v>4050</v>
      </c>
      <c r="E514" s="204">
        <v>3.0</v>
      </c>
      <c r="F514" s="205">
        <v>0.0</v>
      </c>
      <c r="G514" s="205">
        <v>1.0</v>
      </c>
    </row>
    <row r="515" ht="15.75" customHeight="1">
      <c r="A515" s="200" t="s">
        <v>303</v>
      </c>
      <c r="B515" s="186" t="s">
        <v>4051</v>
      </c>
      <c r="C515" s="210" t="s">
        <v>4052</v>
      </c>
      <c r="D515" s="210" t="s">
        <v>4053</v>
      </c>
      <c r="E515" s="204">
        <v>3.0</v>
      </c>
      <c r="F515" s="205">
        <v>0.0</v>
      </c>
      <c r="G515" s="205">
        <v>1.33</v>
      </c>
    </row>
    <row r="516" ht="15.75" customHeight="1">
      <c r="A516" s="200" t="s">
        <v>303</v>
      </c>
      <c r="B516" s="186" t="s">
        <v>4054</v>
      </c>
      <c r="C516" s="210" t="s">
        <v>4055</v>
      </c>
      <c r="D516" s="210" t="s">
        <v>4056</v>
      </c>
      <c r="E516" s="204">
        <v>3.0</v>
      </c>
      <c r="F516" s="205">
        <v>0.0</v>
      </c>
      <c r="G516" s="205">
        <v>1.33</v>
      </c>
    </row>
    <row r="517" ht="15.75" customHeight="1">
      <c r="A517" s="200" t="s">
        <v>303</v>
      </c>
      <c r="B517" s="186" t="s">
        <v>4057</v>
      </c>
      <c r="C517" s="210" t="s">
        <v>4058</v>
      </c>
      <c r="D517" s="210" t="s">
        <v>4059</v>
      </c>
      <c r="E517" s="204">
        <v>3.0</v>
      </c>
      <c r="F517" s="205">
        <v>0.0</v>
      </c>
      <c r="G517" s="205">
        <v>1.0</v>
      </c>
    </row>
    <row r="518" ht="15.75" customHeight="1">
      <c r="A518" s="200" t="s">
        <v>303</v>
      </c>
      <c r="B518" s="186" t="s">
        <v>4060</v>
      </c>
      <c r="C518" s="210" t="s">
        <v>4061</v>
      </c>
      <c r="D518" s="210" t="s">
        <v>4062</v>
      </c>
      <c r="E518" s="204">
        <v>3.0</v>
      </c>
      <c r="F518" s="205">
        <v>0.0</v>
      </c>
      <c r="G518" s="205">
        <v>3.67</v>
      </c>
    </row>
    <row r="519" ht="15.75" customHeight="1">
      <c r="A519" s="200" t="s">
        <v>303</v>
      </c>
      <c r="B519" s="186" t="s">
        <v>4063</v>
      </c>
      <c r="C519" s="210" t="s">
        <v>4064</v>
      </c>
      <c r="D519" s="210" t="s">
        <v>4065</v>
      </c>
      <c r="E519" s="204">
        <v>3.0</v>
      </c>
      <c r="F519" s="205">
        <v>0.0</v>
      </c>
      <c r="G519" s="205">
        <v>0.0</v>
      </c>
    </row>
    <row r="520" ht="15.75" customHeight="1">
      <c r="A520" s="200" t="s">
        <v>303</v>
      </c>
      <c r="B520" s="186" t="s">
        <v>4066</v>
      </c>
      <c r="C520" s="210" t="s">
        <v>4067</v>
      </c>
      <c r="D520" s="210" t="s">
        <v>4068</v>
      </c>
      <c r="E520" s="204">
        <v>3.0</v>
      </c>
      <c r="F520" s="205">
        <v>0.0</v>
      </c>
      <c r="G520" s="205">
        <v>1.33</v>
      </c>
    </row>
    <row r="521" ht="15.75" customHeight="1">
      <c r="A521" s="200" t="s">
        <v>303</v>
      </c>
      <c r="B521" s="186" t="s">
        <v>4069</v>
      </c>
      <c r="C521" s="210" t="s">
        <v>4070</v>
      </c>
      <c r="D521" s="210" t="s">
        <v>4071</v>
      </c>
      <c r="E521" s="204">
        <v>3.0</v>
      </c>
      <c r="F521" s="205">
        <v>0.0</v>
      </c>
      <c r="G521" s="205">
        <v>0.0</v>
      </c>
    </row>
    <row r="522" ht="15.75" customHeight="1">
      <c r="A522" s="200" t="s">
        <v>303</v>
      </c>
      <c r="B522" s="186" t="s">
        <v>4072</v>
      </c>
      <c r="C522" s="210" t="s">
        <v>4073</v>
      </c>
      <c r="D522" s="210"/>
      <c r="E522" s="204">
        <v>3.0</v>
      </c>
      <c r="F522" s="205">
        <v>0.0</v>
      </c>
      <c r="G522" s="205">
        <v>0.0</v>
      </c>
    </row>
    <row r="523" ht="15.75" customHeight="1">
      <c r="A523" s="200" t="s">
        <v>303</v>
      </c>
      <c r="B523" s="186" t="s">
        <v>4074</v>
      </c>
      <c r="C523" s="210" t="s">
        <v>4075</v>
      </c>
      <c r="D523" s="210" t="s">
        <v>4076</v>
      </c>
      <c r="E523" s="204">
        <v>2.0</v>
      </c>
      <c r="F523" s="205">
        <v>0.0</v>
      </c>
      <c r="G523" s="205">
        <v>1.0</v>
      </c>
    </row>
    <row r="524" ht="15.75" customHeight="1">
      <c r="A524" s="200" t="s">
        <v>303</v>
      </c>
      <c r="B524" s="186" t="s">
        <v>4077</v>
      </c>
      <c r="C524" s="210" t="s">
        <v>4078</v>
      </c>
      <c r="D524" s="210" t="s">
        <v>4079</v>
      </c>
      <c r="E524" s="204">
        <v>2.0</v>
      </c>
      <c r="F524" s="205">
        <v>0.0</v>
      </c>
      <c r="G524" s="205">
        <v>2.0</v>
      </c>
    </row>
    <row r="525" ht="15.75" customHeight="1">
      <c r="A525" s="200" t="s">
        <v>303</v>
      </c>
      <c r="B525" s="186" t="s">
        <v>4080</v>
      </c>
      <c r="C525" s="210" t="s">
        <v>4081</v>
      </c>
      <c r="D525" s="210" t="s">
        <v>2774</v>
      </c>
      <c r="E525" s="204">
        <v>2.0</v>
      </c>
      <c r="F525" s="205">
        <v>0.0</v>
      </c>
      <c r="G525" s="205">
        <v>0.0</v>
      </c>
    </row>
    <row r="526" ht="15.75" customHeight="1">
      <c r="A526" s="200" t="s">
        <v>303</v>
      </c>
      <c r="B526" s="186" t="s">
        <v>4082</v>
      </c>
      <c r="C526" s="210" t="s">
        <v>4083</v>
      </c>
      <c r="D526" s="210" t="s">
        <v>4084</v>
      </c>
      <c r="E526" s="204">
        <v>2.0</v>
      </c>
      <c r="F526" s="205">
        <v>0.0</v>
      </c>
      <c r="G526" s="205">
        <v>1.5</v>
      </c>
    </row>
    <row r="527" ht="15.75" customHeight="1">
      <c r="A527" s="200" t="s">
        <v>303</v>
      </c>
      <c r="B527" s="186" t="s">
        <v>4085</v>
      </c>
      <c r="C527" s="210" t="s">
        <v>4086</v>
      </c>
      <c r="D527" s="210" t="s">
        <v>4087</v>
      </c>
      <c r="E527" s="204">
        <v>2.0</v>
      </c>
      <c r="F527" s="205">
        <v>0.0</v>
      </c>
      <c r="G527" s="205">
        <v>1.0</v>
      </c>
    </row>
    <row r="528" ht="15.75" customHeight="1">
      <c r="A528" s="200" t="s">
        <v>303</v>
      </c>
      <c r="B528" s="186" t="s">
        <v>4088</v>
      </c>
      <c r="C528" s="210" t="s">
        <v>4089</v>
      </c>
      <c r="D528" s="210" t="s">
        <v>4090</v>
      </c>
      <c r="E528" s="204">
        <v>2.0</v>
      </c>
      <c r="F528" s="205">
        <v>0.0</v>
      </c>
      <c r="G528" s="205">
        <v>0.0</v>
      </c>
    </row>
    <row r="529" ht="15.75" customHeight="1">
      <c r="A529" s="200" t="s">
        <v>303</v>
      </c>
      <c r="B529" s="186" t="s">
        <v>4091</v>
      </c>
      <c r="C529" s="210" t="s">
        <v>4092</v>
      </c>
      <c r="D529" s="210" t="s">
        <v>4093</v>
      </c>
      <c r="E529" s="204">
        <v>2.0</v>
      </c>
      <c r="F529" s="205">
        <v>0.0</v>
      </c>
      <c r="G529" s="205">
        <v>0.0</v>
      </c>
    </row>
    <row r="530" ht="15.75" customHeight="1">
      <c r="A530" s="200" t="s">
        <v>303</v>
      </c>
      <c r="B530" s="186" t="s">
        <v>4094</v>
      </c>
      <c r="C530" s="210" t="s">
        <v>4095</v>
      </c>
      <c r="D530" s="210" t="s">
        <v>4096</v>
      </c>
      <c r="E530" s="204">
        <v>2.0</v>
      </c>
      <c r="F530" s="205">
        <v>0.0</v>
      </c>
      <c r="G530" s="205">
        <v>0.5</v>
      </c>
    </row>
    <row r="531" ht="15.75" customHeight="1">
      <c r="A531" s="200" t="s">
        <v>303</v>
      </c>
      <c r="B531" s="186" t="s">
        <v>1015</v>
      </c>
      <c r="C531" s="210" t="s">
        <v>1016</v>
      </c>
      <c r="D531" s="210" t="s">
        <v>1018</v>
      </c>
      <c r="E531" s="204">
        <v>2.0</v>
      </c>
      <c r="F531" s="205">
        <v>0.0</v>
      </c>
      <c r="G531" s="205">
        <v>1.0</v>
      </c>
    </row>
    <row r="532" ht="15.75" customHeight="1">
      <c r="A532" s="200" t="s">
        <v>303</v>
      </c>
      <c r="B532" s="186" t="s">
        <v>4097</v>
      </c>
      <c r="C532" s="210" t="s">
        <v>4098</v>
      </c>
      <c r="D532" s="210" t="s">
        <v>4099</v>
      </c>
      <c r="E532" s="204">
        <v>2.0</v>
      </c>
      <c r="F532" s="205">
        <v>0.0</v>
      </c>
      <c r="G532" s="205">
        <v>0.0</v>
      </c>
    </row>
    <row r="533" ht="15.75" customHeight="1">
      <c r="A533" s="200" t="s">
        <v>303</v>
      </c>
      <c r="B533" s="186" t="s">
        <v>4100</v>
      </c>
      <c r="C533" s="210" t="s">
        <v>4101</v>
      </c>
      <c r="D533" s="210" t="s">
        <v>4102</v>
      </c>
      <c r="E533" s="204">
        <v>2.0</v>
      </c>
      <c r="F533" s="205">
        <v>0.0</v>
      </c>
      <c r="G533" s="205">
        <v>1.0</v>
      </c>
    </row>
    <row r="534" ht="15.75" customHeight="1">
      <c r="A534" s="200" t="s">
        <v>303</v>
      </c>
      <c r="B534" s="186" t="s">
        <v>4103</v>
      </c>
      <c r="C534" s="210" t="s">
        <v>4104</v>
      </c>
      <c r="D534" s="210" t="s">
        <v>4105</v>
      </c>
      <c r="E534" s="204">
        <v>2.0</v>
      </c>
      <c r="F534" s="205">
        <v>0.0</v>
      </c>
      <c r="G534" s="205">
        <v>0.0</v>
      </c>
    </row>
    <row r="535" ht="15.75" customHeight="1">
      <c r="A535" s="200" t="s">
        <v>303</v>
      </c>
      <c r="B535" s="186" t="s">
        <v>4106</v>
      </c>
      <c r="C535" s="210" t="s">
        <v>4107</v>
      </c>
      <c r="D535" s="210"/>
      <c r="E535" s="204">
        <v>2.0</v>
      </c>
      <c r="F535" s="205">
        <v>0.0</v>
      </c>
      <c r="G535" s="205">
        <v>1.0</v>
      </c>
    </row>
    <row r="536" ht="15.75" customHeight="1">
      <c r="A536" s="200" t="s">
        <v>303</v>
      </c>
      <c r="B536" s="186" t="s">
        <v>4108</v>
      </c>
      <c r="C536" s="210" t="s">
        <v>4109</v>
      </c>
      <c r="D536" s="210" t="s">
        <v>4110</v>
      </c>
      <c r="E536" s="204">
        <v>2.0</v>
      </c>
      <c r="F536" s="205">
        <v>0.0</v>
      </c>
      <c r="G536" s="205">
        <v>0.0</v>
      </c>
    </row>
    <row r="537" ht="15.75" customHeight="1">
      <c r="A537" s="200" t="s">
        <v>303</v>
      </c>
      <c r="B537" s="186" t="s">
        <v>4111</v>
      </c>
      <c r="C537" s="210" t="s">
        <v>4112</v>
      </c>
      <c r="D537" s="210" t="s">
        <v>4113</v>
      </c>
      <c r="E537" s="204">
        <v>2.0</v>
      </c>
      <c r="F537" s="205">
        <v>0.0</v>
      </c>
      <c r="G537" s="205">
        <v>1.5</v>
      </c>
    </row>
    <row r="538" ht="15.75" customHeight="1">
      <c r="A538" s="200" t="s">
        <v>303</v>
      </c>
      <c r="B538" s="186" t="s">
        <v>4114</v>
      </c>
      <c r="C538" s="210" t="s">
        <v>4115</v>
      </c>
      <c r="D538" s="210" t="s">
        <v>4116</v>
      </c>
      <c r="E538" s="204">
        <v>2.0</v>
      </c>
      <c r="F538" s="205">
        <v>0.0</v>
      </c>
      <c r="G538" s="205">
        <v>0.0</v>
      </c>
    </row>
    <row r="539" ht="15.75" customHeight="1">
      <c r="A539" s="200" t="s">
        <v>303</v>
      </c>
      <c r="B539" s="186" t="s">
        <v>4117</v>
      </c>
      <c r="C539" s="210" t="s">
        <v>4118</v>
      </c>
      <c r="D539" s="210" t="s">
        <v>4119</v>
      </c>
      <c r="E539" s="204">
        <v>2.0</v>
      </c>
      <c r="F539" s="205">
        <v>0.0</v>
      </c>
      <c r="G539" s="205">
        <v>1.0</v>
      </c>
    </row>
    <row r="540" ht="15.75" customHeight="1">
      <c r="A540" s="200" t="s">
        <v>303</v>
      </c>
      <c r="B540" s="186" t="s">
        <v>4120</v>
      </c>
      <c r="C540" s="210" t="s">
        <v>4121</v>
      </c>
      <c r="D540" s="210"/>
      <c r="E540" s="204">
        <v>2.0</v>
      </c>
      <c r="F540" s="205">
        <v>0.0</v>
      </c>
      <c r="G540" s="205">
        <v>1.0</v>
      </c>
    </row>
    <row r="541" ht="15.75" customHeight="1">
      <c r="A541" s="200" t="s">
        <v>303</v>
      </c>
      <c r="B541" s="186" t="s">
        <v>4122</v>
      </c>
      <c r="C541" s="210" t="s">
        <v>4123</v>
      </c>
      <c r="D541" s="210" t="s">
        <v>4124</v>
      </c>
      <c r="E541" s="204">
        <v>2.0</v>
      </c>
      <c r="F541" s="205">
        <v>0.0</v>
      </c>
      <c r="G541" s="205">
        <v>0.0</v>
      </c>
    </row>
    <row r="542" ht="15.75" customHeight="1">
      <c r="A542" s="200" t="s">
        <v>303</v>
      </c>
      <c r="B542" s="186" t="s">
        <v>4125</v>
      </c>
      <c r="C542" s="210" t="s">
        <v>4126</v>
      </c>
      <c r="D542" s="210" t="s">
        <v>1101</v>
      </c>
      <c r="E542" s="204">
        <v>2.0</v>
      </c>
      <c r="F542" s="205">
        <v>0.0</v>
      </c>
      <c r="G542" s="205">
        <v>0.0</v>
      </c>
    </row>
    <row r="543" ht="15.75" customHeight="1">
      <c r="A543" s="200" t="s">
        <v>303</v>
      </c>
      <c r="B543" s="186" t="s">
        <v>1019</v>
      </c>
      <c r="C543" s="210" t="s">
        <v>1020</v>
      </c>
      <c r="D543" s="210" t="s">
        <v>1023</v>
      </c>
      <c r="E543" s="204">
        <v>2.0</v>
      </c>
      <c r="F543" s="205">
        <v>0.0</v>
      </c>
      <c r="G543" s="205">
        <v>0.0</v>
      </c>
    </row>
    <row r="544" ht="15.75" customHeight="1">
      <c r="A544" s="200" t="s">
        <v>303</v>
      </c>
      <c r="B544" s="186" t="s">
        <v>484</v>
      </c>
      <c r="C544" s="210" t="s">
        <v>485</v>
      </c>
      <c r="D544" s="210" t="s">
        <v>486</v>
      </c>
      <c r="E544" s="204">
        <v>2.0</v>
      </c>
      <c r="F544" s="205">
        <v>0.0</v>
      </c>
      <c r="G544" s="205">
        <v>0.0</v>
      </c>
    </row>
    <row r="545" ht="15.75" customHeight="1">
      <c r="A545" s="200" t="s">
        <v>303</v>
      </c>
      <c r="B545" s="186" t="s">
        <v>1024</v>
      </c>
      <c r="C545" s="210" t="s">
        <v>1025</v>
      </c>
      <c r="D545" s="210" t="s">
        <v>1026</v>
      </c>
      <c r="E545" s="204">
        <v>2.0</v>
      </c>
      <c r="F545" s="205">
        <v>0.0</v>
      </c>
      <c r="G545" s="205">
        <v>0.0</v>
      </c>
    </row>
    <row r="546" ht="15.75" customHeight="1">
      <c r="A546" s="200" t="s">
        <v>303</v>
      </c>
      <c r="B546" s="186" t="s">
        <v>487</v>
      </c>
      <c r="C546" s="210" t="s">
        <v>488</v>
      </c>
      <c r="D546" s="210" t="s">
        <v>489</v>
      </c>
      <c r="E546" s="204">
        <v>2.0</v>
      </c>
      <c r="F546" s="205">
        <v>0.0</v>
      </c>
      <c r="G546" s="205">
        <v>0.0</v>
      </c>
    </row>
    <row r="547" ht="15.75" customHeight="1">
      <c r="A547" s="200" t="s">
        <v>303</v>
      </c>
      <c r="B547" s="186" t="s">
        <v>490</v>
      </c>
      <c r="C547" s="210" t="s">
        <v>388</v>
      </c>
      <c r="D547" s="210" t="s">
        <v>389</v>
      </c>
      <c r="E547" s="204">
        <v>2.0</v>
      </c>
      <c r="F547" s="205">
        <v>0.0</v>
      </c>
      <c r="G547" s="205">
        <v>0.0</v>
      </c>
    </row>
    <row r="548" ht="15.75" customHeight="1">
      <c r="A548" s="200" t="s">
        <v>303</v>
      </c>
      <c r="B548" s="186" t="s">
        <v>491</v>
      </c>
      <c r="C548" s="210" t="s">
        <v>492</v>
      </c>
      <c r="D548" s="210" t="s">
        <v>493</v>
      </c>
      <c r="E548" s="204">
        <v>2.0</v>
      </c>
      <c r="F548" s="205">
        <v>0.0</v>
      </c>
      <c r="G548" s="205">
        <v>0.0</v>
      </c>
    </row>
    <row r="549" ht="15.75" customHeight="1">
      <c r="A549" s="200" t="s">
        <v>303</v>
      </c>
      <c r="B549" s="186" t="s">
        <v>494</v>
      </c>
      <c r="C549" s="210" t="s">
        <v>495</v>
      </c>
      <c r="D549" s="210" t="s">
        <v>496</v>
      </c>
      <c r="E549" s="204">
        <v>2.0</v>
      </c>
      <c r="F549" s="205">
        <v>0.0</v>
      </c>
      <c r="G549" s="205">
        <v>0.0</v>
      </c>
    </row>
    <row r="550" ht="15.75" customHeight="1">
      <c r="A550" s="200" t="s">
        <v>303</v>
      </c>
      <c r="B550" s="186" t="s">
        <v>2876</v>
      </c>
      <c r="C550" s="210" t="s">
        <v>457</v>
      </c>
      <c r="D550" s="210" t="s">
        <v>526</v>
      </c>
      <c r="E550" s="204">
        <v>2.0</v>
      </c>
      <c r="F550" s="205">
        <v>0.0</v>
      </c>
      <c r="G550" s="205">
        <v>0.0</v>
      </c>
    </row>
    <row r="551" ht="15.75" customHeight="1">
      <c r="A551" s="200" t="s">
        <v>303</v>
      </c>
      <c r="B551" s="186" t="s">
        <v>4127</v>
      </c>
      <c r="C551" s="210" t="s">
        <v>4128</v>
      </c>
      <c r="D551" s="210" t="s">
        <v>4129</v>
      </c>
      <c r="E551" s="204">
        <v>2.0</v>
      </c>
      <c r="F551" s="205">
        <v>0.0</v>
      </c>
      <c r="G551" s="205">
        <v>1.0</v>
      </c>
    </row>
    <row r="552" ht="15.75" customHeight="1">
      <c r="A552" s="200" t="s">
        <v>303</v>
      </c>
      <c r="B552" s="186" t="s">
        <v>1027</v>
      </c>
      <c r="C552" s="210" t="s">
        <v>1028</v>
      </c>
      <c r="D552" s="210" t="s">
        <v>813</v>
      </c>
      <c r="E552" s="204">
        <v>2.0</v>
      </c>
      <c r="F552" s="205">
        <v>0.0</v>
      </c>
      <c r="G552" s="205">
        <v>2.0</v>
      </c>
    </row>
    <row r="553" ht="15.75" customHeight="1">
      <c r="A553" s="200" t="s">
        <v>303</v>
      </c>
      <c r="B553" s="186" t="s">
        <v>4130</v>
      </c>
      <c r="C553" s="210" t="s">
        <v>4131</v>
      </c>
      <c r="D553" s="210" t="s">
        <v>4132</v>
      </c>
      <c r="E553" s="204">
        <v>2.0</v>
      </c>
      <c r="F553" s="205">
        <v>0.0</v>
      </c>
      <c r="G553" s="205">
        <v>0.0</v>
      </c>
    </row>
    <row r="554" ht="15.75" customHeight="1">
      <c r="A554" s="200" t="s">
        <v>303</v>
      </c>
      <c r="B554" s="186" t="s">
        <v>4133</v>
      </c>
      <c r="C554" s="210" t="s">
        <v>4134</v>
      </c>
      <c r="D554" s="210" t="s">
        <v>4135</v>
      </c>
      <c r="E554" s="204">
        <v>2.0</v>
      </c>
      <c r="F554" s="205">
        <v>0.0</v>
      </c>
      <c r="G554" s="205">
        <v>0.0</v>
      </c>
    </row>
    <row r="555" ht="15.75" customHeight="1">
      <c r="A555" s="200" t="s">
        <v>303</v>
      </c>
      <c r="B555" s="186" t="s">
        <v>1030</v>
      </c>
      <c r="C555" s="210" t="s">
        <v>1032</v>
      </c>
      <c r="D555" s="210" t="s">
        <v>1033</v>
      </c>
      <c r="E555" s="204">
        <v>2.0</v>
      </c>
      <c r="F555" s="205">
        <v>0.0</v>
      </c>
      <c r="G555" s="205">
        <v>0.0</v>
      </c>
    </row>
    <row r="556" ht="15.75" customHeight="1">
      <c r="A556" s="200" t="s">
        <v>303</v>
      </c>
      <c r="B556" s="186" t="s">
        <v>4136</v>
      </c>
      <c r="C556" s="210" t="s">
        <v>4137</v>
      </c>
      <c r="D556" s="210" t="s">
        <v>4138</v>
      </c>
      <c r="E556" s="204">
        <v>2.0</v>
      </c>
      <c r="F556" s="205">
        <v>0.0</v>
      </c>
      <c r="G556" s="205">
        <v>1.0</v>
      </c>
    </row>
    <row r="557" ht="15.75" customHeight="1">
      <c r="A557" s="200" t="s">
        <v>303</v>
      </c>
      <c r="B557" s="186" t="s">
        <v>4139</v>
      </c>
      <c r="C557" s="210" t="s">
        <v>4140</v>
      </c>
      <c r="D557" s="210" t="s">
        <v>4141</v>
      </c>
      <c r="E557" s="204">
        <v>2.0</v>
      </c>
      <c r="F557" s="205">
        <v>0.0</v>
      </c>
      <c r="G557" s="205">
        <v>0.0</v>
      </c>
    </row>
    <row r="558" ht="15.75" customHeight="1">
      <c r="A558" s="200" t="s">
        <v>303</v>
      </c>
      <c r="B558" s="186" t="s">
        <v>4142</v>
      </c>
      <c r="C558" s="210" t="s">
        <v>4143</v>
      </c>
      <c r="D558" s="210" t="s">
        <v>4144</v>
      </c>
      <c r="E558" s="204">
        <v>2.0</v>
      </c>
      <c r="F558" s="205">
        <v>0.0</v>
      </c>
      <c r="G558" s="205">
        <v>0.0</v>
      </c>
    </row>
    <row r="559" ht="15.75" customHeight="1">
      <c r="A559" s="200" t="s">
        <v>303</v>
      </c>
      <c r="B559" s="186" t="s">
        <v>4145</v>
      </c>
      <c r="C559" s="210" t="s">
        <v>4146</v>
      </c>
      <c r="D559" s="210" t="s">
        <v>4147</v>
      </c>
      <c r="E559" s="204">
        <v>2.0</v>
      </c>
      <c r="F559" s="205">
        <v>0.0</v>
      </c>
      <c r="G559" s="205">
        <v>1.0</v>
      </c>
    </row>
    <row r="560" ht="15.75" customHeight="1">
      <c r="A560" s="200" t="s">
        <v>303</v>
      </c>
      <c r="B560" s="186" t="s">
        <v>4148</v>
      </c>
      <c r="C560" s="210" t="s">
        <v>4149</v>
      </c>
      <c r="D560" s="210" t="s">
        <v>4150</v>
      </c>
      <c r="E560" s="204">
        <v>2.0</v>
      </c>
      <c r="F560" s="205">
        <v>0.0</v>
      </c>
      <c r="G560" s="205">
        <v>0.0</v>
      </c>
    </row>
    <row r="561" ht="15.75" customHeight="1">
      <c r="A561" s="200" t="s">
        <v>303</v>
      </c>
      <c r="B561" s="186" t="s">
        <v>4151</v>
      </c>
      <c r="C561" s="210" t="s">
        <v>4152</v>
      </c>
      <c r="D561" s="210" t="s">
        <v>2827</v>
      </c>
      <c r="E561" s="204">
        <v>2.0</v>
      </c>
      <c r="F561" s="205">
        <v>0.0</v>
      </c>
      <c r="G561" s="205">
        <v>1.5</v>
      </c>
    </row>
    <row r="562" ht="15.75" customHeight="1">
      <c r="A562" s="200" t="s">
        <v>303</v>
      </c>
      <c r="B562" s="186" t="s">
        <v>4153</v>
      </c>
      <c r="C562" s="210" t="s">
        <v>4154</v>
      </c>
      <c r="D562" s="210" t="s">
        <v>4155</v>
      </c>
      <c r="E562" s="204">
        <v>2.0</v>
      </c>
      <c r="F562" s="205">
        <v>0.0</v>
      </c>
      <c r="G562" s="205">
        <v>1.0</v>
      </c>
    </row>
    <row r="563" ht="15.75" customHeight="1">
      <c r="A563" s="200" t="s">
        <v>303</v>
      </c>
      <c r="B563" s="186" t="s">
        <v>1037</v>
      </c>
      <c r="C563" s="210" t="s">
        <v>1038</v>
      </c>
      <c r="D563" s="210" t="s">
        <v>1041</v>
      </c>
      <c r="E563" s="204">
        <v>2.0</v>
      </c>
      <c r="F563" s="205">
        <v>0.0</v>
      </c>
      <c r="G563" s="205">
        <v>1.5</v>
      </c>
    </row>
    <row r="564" ht="15.75" customHeight="1">
      <c r="A564" s="200" t="s">
        <v>303</v>
      </c>
      <c r="B564" s="186" t="s">
        <v>1042</v>
      </c>
      <c r="C564" s="210" t="s">
        <v>662</v>
      </c>
      <c r="D564" s="210" t="s">
        <v>664</v>
      </c>
      <c r="E564" s="204">
        <v>2.0</v>
      </c>
      <c r="F564" s="205">
        <v>0.0</v>
      </c>
      <c r="G564" s="205">
        <v>0.5</v>
      </c>
    </row>
    <row r="565" ht="15.75" customHeight="1">
      <c r="A565" s="200" t="s">
        <v>303</v>
      </c>
      <c r="B565" s="186" t="s">
        <v>4156</v>
      </c>
      <c r="C565" s="210" t="s">
        <v>4157</v>
      </c>
      <c r="D565" s="210" t="s">
        <v>4158</v>
      </c>
      <c r="E565" s="204">
        <v>2.0</v>
      </c>
      <c r="F565" s="205">
        <v>0.0</v>
      </c>
      <c r="G565" s="205">
        <v>2.5</v>
      </c>
    </row>
    <row r="566" ht="15.75" customHeight="1">
      <c r="A566" s="200" t="s">
        <v>303</v>
      </c>
      <c r="B566" s="186" t="s">
        <v>4159</v>
      </c>
      <c r="C566" s="210" t="s">
        <v>4160</v>
      </c>
      <c r="D566" s="210" t="s">
        <v>4161</v>
      </c>
      <c r="E566" s="204">
        <v>2.0</v>
      </c>
      <c r="F566" s="205">
        <v>0.0</v>
      </c>
      <c r="G566" s="205">
        <v>0.0</v>
      </c>
    </row>
    <row r="567" ht="15.75" customHeight="1">
      <c r="A567" s="200" t="s">
        <v>303</v>
      </c>
      <c r="B567" s="186" t="s">
        <v>4162</v>
      </c>
      <c r="C567" s="210" t="s">
        <v>4163</v>
      </c>
      <c r="D567" s="210" t="s">
        <v>4164</v>
      </c>
      <c r="E567" s="204">
        <v>2.0</v>
      </c>
      <c r="F567" s="205">
        <v>0.0</v>
      </c>
      <c r="G567" s="205">
        <v>0.0</v>
      </c>
    </row>
    <row r="568" ht="15.75" customHeight="1">
      <c r="A568" s="200" t="s">
        <v>303</v>
      </c>
      <c r="B568" s="186" t="s">
        <v>4165</v>
      </c>
      <c r="C568" s="210" t="s">
        <v>4166</v>
      </c>
      <c r="D568" s="210" t="s">
        <v>4167</v>
      </c>
      <c r="E568" s="204">
        <v>2.0</v>
      </c>
      <c r="F568" s="205">
        <v>0.0</v>
      </c>
      <c r="G568" s="205">
        <v>0.0</v>
      </c>
    </row>
    <row r="569" ht="15.75" customHeight="1">
      <c r="A569" s="200" t="s">
        <v>303</v>
      </c>
      <c r="B569" s="186" t="s">
        <v>4168</v>
      </c>
      <c r="C569" s="210" t="s">
        <v>4169</v>
      </c>
      <c r="D569" s="210" t="s">
        <v>4170</v>
      </c>
      <c r="E569" s="204">
        <v>2.0</v>
      </c>
      <c r="F569" s="205">
        <v>0.0</v>
      </c>
      <c r="G569" s="205">
        <v>1.0</v>
      </c>
    </row>
    <row r="570" ht="15.75" customHeight="1">
      <c r="A570" s="200" t="s">
        <v>303</v>
      </c>
      <c r="B570" s="186" t="s">
        <v>4171</v>
      </c>
      <c r="C570" s="210" t="s">
        <v>4172</v>
      </c>
      <c r="D570" s="210" t="s">
        <v>4173</v>
      </c>
      <c r="E570" s="204">
        <v>2.0</v>
      </c>
      <c r="F570" s="205">
        <v>0.0</v>
      </c>
      <c r="G570" s="205">
        <v>0.5</v>
      </c>
    </row>
    <row r="571" ht="15.75" customHeight="1">
      <c r="A571" s="200" t="s">
        <v>303</v>
      </c>
      <c r="B571" s="186" t="s">
        <v>4174</v>
      </c>
      <c r="C571" s="210" t="s">
        <v>4175</v>
      </c>
      <c r="D571" s="210" t="s">
        <v>4176</v>
      </c>
      <c r="E571" s="204">
        <v>2.0</v>
      </c>
      <c r="F571" s="205">
        <v>0.0</v>
      </c>
      <c r="G571" s="205">
        <v>0.0</v>
      </c>
    </row>
    <row r="572" ht="15.75" customHeight="1">
      <c r="A572" s="200" t="s">
        <v>303</v>
      </c>
      <c r="B572" s="186" t="s">
        <v>1043</v>
      </c>
      <c r="C572" s="210" t="s">
        <v>1044</v>
      </c>
      <c r="D572" s="210" t="s">
        <v>1045</v>
      </c>
      <c r="E572" s="204">
        <v>2.0</v>
      </c>
      <c r="F572" s="205">
        <v>0.0</v>
      </c>
      <c r="G572" s="205">
        <v>1.5</v>
      </c>
    </row>
    <row r="573" ht="15.75" customHeight="1">
      <c r="A573" s="200" t="s">
        <v>303</v>
      </c>
      <c r="B573" s="186" t="s">
        <v>4177</v>
      </c>
      <c r="C573" s="210" t="s">
        <v>4178</v>
      </c>
      <c r="D573" s="210" t="s">
        <v>4179</v>
      </c>
      <c r="E573" s="204">
        <v>2.0</v>
      </c>
      <c r="F573" s="205">
        <v>0.0</v>
      </c>
      <c r="G573" s="205">
        <v>1.0</v>
      </c>
    </row>
    <row r="574" ht="15.75" customHeight="1">
      <c r="A574" s="200" t="s">
        <v>303</v>
      </c>
      <c r="B574" s="186" t="s">
        <v>4180</v>
      </c>
      <c r="C574" s="210" t="s">
        <v>4181</v>
      </c>
      <c r="D574" s="210" t="s">
        <v>4182</v>
      </c>
      <c r="E574" s="204">
        <v>2.0</v>
      </c>
      <c r="F574" s="205">
        <v>0.0</v>
      </c>
      <c r="G574" s="205">
        <v>1.0</v>
      </c>
    </row>
    <row r="575" ht="15.75" customHeight="1">
      <c r="A575" s="200" t="s">
        <v>303</v>
      </c>
      <c r="B575" s="186" t="s">
        <v>4183</v>
      </c>
      <c r="C575" s="210" t="s">
        <v>4184</v>
      </c>
      <c r="D575" s="210" t="s">
        <v>4185</v>
      </c>
      <c r="E575" s="204">
        <v>2.0</v>
      </c>
      <c r="F575" s="205">
        <v>0.0</v>
      </c>
      <c r="G575" s="205">
        <v>1.0</v>
      </c>
    </row>
    <row r="576" ht="15.75" customHeight="1">
      <c r="A576" s="200" t="s">
        <v>303</v>
      </c>
      <c r="B576" s="186" t="s">
        <v>4186</v>
      </c>
      <c r="C576" s="210" t="s">
        <v>4187</v>
      </c>
      <c r="D576" s="210" t="s">
        <v>4188</v>
      </c>
      <c r="E576" s="204">
        <v>2.0</v>
      </c>
      <c r="F576" s="205">
        <v>0.0</v>
      </c>
      <c r="G576" s="205">
        <v>1.0</v>
      </c>
    </row>
    <row r="577" ht="15.75" customHeight="1">
      <c r="A577" s="200" t="s">
        <v>303</v>
      </c>
      <c r="B577" s="186" t="s">
        <v>4189</v>
      </c>
      <c r="C577" s="210" t="s">
        <v>4190</v>
      </c>
      <c r="D577" s="210" t="s">
        <v>4191</v>
      </c>
      <c r="E577" s="204">
        <v>2.0</v>
      </c>
      <c r="F577" s="205">
        <v>0.0</v>
      </c>
      <c r="G577" s="205">
        <v>0.0</v>
      </c>
    </row>
    <row r="578" ht="15.75" customHeight="1">
      <c r="A578" s="200" t="s">
        <v>303</v>
      </c>
      <c r="B578" s="186" t="s">
        <v>4192</v>
      </c>
      <c r="C578" s="210" t="s">
        <v>4193</v>
      </c>
      <c r="D578" s="210" t="s">
        <v>4194</v>
      </c>
      <c r="E578" s="204">
        <v>2.0</v>
      </c>
      <c r="F578" s="205">
        <v>0.0</v>
      </c>
      <c r="G578" s="205">
        <v>0.0</v>
      </c>
    </row>
    <row r="579" ht="15.75" customHeight="1">
      <c r="A579" s="200" t="s">
        <v>303</v>
      </c>
      <c r="B579" s="186" t="s">
        <v>4195</v>
      </c>
      <c r="C579" s="210" t="s">
        <v>4196</v>
      </c>
      <c r="D579" s="210"/>
      <c r="E579" s="204">
        <v>2.0</v>
      </c>
      <c r="F579" s="205">
        <v>0.0</v>
      </c>
      <c r="G579" s="205">
        <v>1.0</v>
      </c>
    </row>
    <row r="580" ht="15.75" customHeight="1">
      <c r="A580" s="200" t="s">
        <v>303</v>
      </c>
      <c r="B580" s="186" t="s">
        <v>4197</v>
      </c>
      <c r="C580" s="210" t="s">
        <v>3126</v>
      </c>
      <c r="D580" s="210" t="s">
        <v>4198</v>
      </c>
      <c r="E580" s="204">
        <v>2.0</v>
      </c>
      <c r="F580" s="205">
        <v>0.0</v>
      </c>
      <c r="G580" s="205">
        <v>0.0</v>
      </c>
    </row>
    <row r="581" ht="15.75" customHeight="1">
      <c r="A581" s="200" t="s">
        <v>303</v>
      </c>
      <c r="B581" s="186" t="s">
        <v>4199</v>
      </c>
      <c r="C581" s="210" t="s">
        <v>2279</v>
      </c>
      <c r="D581" s="210" t="s">
        <v>2280</v>
      </c>
      <c r="E581" s="204">
        <v>2.0</v>
      </c>
      <c r="F581" s="205">
        <v>0.0</v>
      </c>
      <c r="G581" s="205">
        <v>0.0</v>
      </c>
    </row>
    <row r="582" ht="15.75" customHeight="1">
      <c r="A582" s="200" t="s">
        <v>303</v>
      </c>
      <c r="B582" s="186" t="s">
        <v>4200</v>
      </c>
      <c r="C582" s="210" t="s">
        <v>4201</v>
      </c>
      <c r="D582" s="210" t="s">
        <v>4202</v>
      </c>
      <c r="E582" s="204">
        <v>2.0</v>
      </c>
      <c r="F582" s="205">
        <v>0.0</v>
      </c>
      <c r="G582" s="205">
        <v>1.0</v>
      </c>
    </row>
    <row r="583" ht="15.75" customHeight="1">
      <c r="A583" s="200" t="s">
        <v>303</v>
      </c>
      <c r="B583" s="186" t="s">
        <v>1048</v>
      </c>
      <c r="C583" s="210" t="s">
        <v>1049</v>
      </c>
      <c r="D583" s="210" t="s">
        <v>1051</v>
      </c>
      <c r="E583" s="204">
        <v>2.0</v>
      </c>
      <c r="F583" s="205">
        <v>0.0</v>
      </c>
      <c r="G583" s="205">
        <v>3.0</v>
      </c>
    </row>
    <row r="584" ht="15.75" customHeight="1">
      <c r="A584" s="200" t="s">
        <v>303</v>
      </c>
      <c r="B584" s="186" t="s">
        <v>4203</v>
      </c>
      <c r="C584" s="210" t="s">
        <v>4204</v>
      </c>
      <c r="D584" s="210" t="s">
        <v>4205</v>
      </c>
      <c r="E584" s="204">
        <v>2.0</v>
      </c>
      <c r="F584" s="205">
        <v>0.0</v>
      </c>
      <c r="G584" s="205">
        <v>0.0</v>
      </c>
    </row>
    <row r="585" ht="15.75" customHeight="1">
      <c r="A585" s="200" t="s">
        <v>303</v>
      </c>
      <c r="B585" s="186" t="s">
        <v>1052</v>
      </c>
      <c r="C585" s="210" t="s">
        <v>1053</v>
      </c>
      <c r="D585" s="210" t="s">
        <v>1054</v>
      </c>
      <c r="E585" s="204">
        <v>2.0</v>
      </c>
      <c r="F585" s="205">
        <v>0.0</v>
      </c>
      <c r="G585" s="205">
        <v>2.0</v>
      </c>
    </row>
    <row r="586" ht="15.75" customHeight="1">
      <c r="A586" s="200" t="s">
        <v>303</v>
      </c>
      <c r="B586" s="186" t="s">
        <v>4206</v>
      </c>
      <c r="C586" s="210" t="s">
        <v>4207</v>
      </c>
      <c r="D586" s="210" t="s">
        <v>4208</v>
      </c>
      <c r="E586" s="204">
        <v>2.0</v>
      </c>
      <c r="F586" s="205">
        <v>0.0</v>
      </c>
      <c r="G586" s="205">
        <v>1.5</v>
      </c>
    </row>
    <row r="587" ht="15.75" customHeight="1">
      <c r="A587" s="200" t="s">
        <v>303</v>
      </c>
      <c r="B587" s="186" t="s">
        <v>4209</v>
      </c>
      <c r="C587" s="210" t="s">
        <v>4210</v>
      </c>
      <c r="D587" s="210" t="s">
        <v>4211</v>
      </c>
      <c r="E587" s="204">
        <v>2.0</v>
      </c>
      <c r="F587" s="205">
        <v>0.0</v>
      </c>
      <c r="G587" s="205">
        <v>1.0</v>
      </c>
    </row>
    <row r="588" ht="15.75" customHeight="1">
      <c r="A588" s="200" t="s">
        <v>303</v>
      </c>
      <c r="B588" s="186" t="s">
        <v>4212</v>
      </c>
      <c r="C588" s="210" t="s">
        <v>4213</v>
      </c>
      <c r="D588" s="210" t="s">
        <v>4214</v>
      </c>
      <c r="E588" s="204">
        <v>2.0</v>
      </c>
      <c r="F588" s="205">
        <v>0.0</v>
      </c>
      <c r="G588" s="205">
        <v>1.0</v>
      </c>
    </row>
    <row r="589" ht="15.75" customHeight="1">
      <c r="A589" s="200" t="s">
        <v>303</v>
      </c>
      <c r="B589" s="186" t="s">
        <v>4215</v>
      </c>
      <c r="C589" s="210" t="s">
        <v>4216</v>
      </c>
      <c r="D589" s="210" t="s">
        <v>4217</v>
      </c>
      <c r="E589" s="204">
        <v>2.0</v>
      </c>
      <c r="F589" s="205">
        <v>0.0</v>
      </c>
      <c r="G589" s="205">
        <v>0.0</v>
      </c>
    </row>
    <row r="590" ht="15.75" customHeight="1">
      <c r="A590" s="200" t="s">
        <v>303</v>
      </c>
      <c r="B590" s="186" t="s">
        <v>4218</v>
      </c>
      <c r="C590" s="210" t="s">
        <v>4219</v>
      </c>
      <c r="D590" s="210" t="s">
        <v>4220</v>
      </c>
      <c r="E590" s="204">
        <v>2.0</v>
      </c>
      <c r="F590" s="205">
        <v>0.0</v>
      </c>
      <c r="G590" s="205">
        <v>0.0</v>
      </c>
    </row>
    <row r="591" ht="15.75" customHeight="1">
      <c r="A591" s="200" t="s">
        <v>303</v>
      </c>
      <c r="B591" s="186" t="s">
        <v>4221</v>
      </c>
      <c r="C591" s="210" t="s">
        <v>4222</v>
      </c>
      <c r="D591" s="210" t="s">
        <v>4223</v>
      </c>
      <c r="E591" s="204">
        <v>2.0</v>
      </c>
      <c r="F591" s="205">
        <v>0.0</v>
      </c>
      <c r="G591" s="205">
        <v>0.5</v>
      </c>
    </row>
    <row r="592" ht="15.75" customHeight="1">
      <c r="A592" s="200" t="s">
        <v>303</v>
      </c>
      <c r="B592" s="186" t="s">
        <v>1057</v>
      </c>
      <c r="C592" s="210" t="s">
        <v>1058</v>
      </c>
      <c r="D592" s="210" t="s">
        <v>1059</v>
      </c>
      <c r="E592" s="204">
        <v>2.0</v>
      </c>
      <c r="F592" s="205">
        <v>0.0</v>
      </c>
      <c r="G592" s="205">
        <v>3.0</v>
      </c>
    </row>
    <row r="593" ht="15.75" customHeight="1">
      <c r="A593" s="200" t="s">
        <v>303</v>
      </c>
      <c r="B593" s="186" t="s">
        <v>336</v>
      </c>
      <c r="C593" s="210" t="s">
        <v>337</v>
      </c>
      <c r="D593" s="210" t="s">
        <v>338</v>
      </c>
      <c r="E593" s="204">
        <v>2.0</v>
      </c>
      <c r="F593" s="205">
        <v>0.0</v>
      </c>
      <c r="G593" s="205">
        <v>1.0</v>
      </c>
    </row>
    <row r="594" ht="15.75" customHeight="1">
      <c r="A594" s="200" t="s">
        <v>303</v>
      </c>
      <c r="B594" s="186" t="s">
        <v>4224</v>
      </c>
      <c r="C594" s="210" t="s">
        <v>4225</v>
      </c>
      <c r="D594" s="210" t="s">
        <v>4194</v>
      </c>
      <c r="E594" s="204">
        <v>2.0</v>
      </c>
      <c r="F594" s="205">
        <v>0.0</v>
      </c>
      <c r="G594" s="205">
        <v>0.0</v>
      </c>
    </row>
    <row r="595" ht="15.75" customHeight="1">
      <c r="A595" s="200" t="s">
        <v>303</v>
      </c>
      <c r="B595" s="186" t="s">
        <v>4226</v>
      </c>
      <c r="C595" s="210" t="s">
        <v>4227</v>
      </c>
      <c r="D595" s="210" t="s">
        <v>4228</v>
      </c>
      <c r="E595" s="204">
        <v>2.0</v>
      </c>
      <c r="F595" s="205">
        <v>0.0</v>
      </c>
      <c r="G595" s="205">
        <v>0.5</v>
      </c>
    </row>
    <row r="596" ht="15.75" customHeight="1">
      <c r="A596" s="200" t="s">
        <v>303</v>
      </c>
      <c r="B596" s="186" t="s">
        <v>4229</v>
      </c>
      <c r="C596" s="210" t="s">
        <v>4230</v>
      </c>
      <c r="D596" s="210" t="s">
        <v>4231</v>
      </c>
      <c r="E596" s="204">
        <v>2.0</v>
      </c>
      <c r="F596" s="205">
        <v>0.0</v>
      </c>
      <c r="G596" s="205">
        <v>1.0</v>
      </c>
    </row>
    <row r="597" ht="15.75" customHeight="1">
      <c r="A597" s="200" t="s">
        <v>303</v>
      </c>
      <c r="B597" s="186" t="s">
        <v>4232</v>
      </c>
      <c r="C597" s="210" t="s">
        <v>4233</v>
      </c>
      <c r="D597" s="210" t="s">
        <v>2784</v>
      </c>
      <c r="E597" s="204">
        <v>2.0</v>
      </c>
      <c r="F597" s="205">
        <v>0.0</v>
      </c>
      <c r="G597" s="205">
        <v>0.0</v>
      </c>
    </row>
    <row r="598" ht="15.75" customHeight="1">
      <c r="A598" s="200" t="s">
        <v>303</v>
      </c>
      <c r="B598" s="186" t="s">
        <v>4234</v>
      </c>
      <c r="C598" s="210" t="s">
        <v>4235</v>
      </c>
      <c r="D598" s="210" t="s">
        <v>4236</v>
      </c>
      <c r="E598" s="204">
        <v>2.0</v>
      </c>
      <c r="F598" s="205">
        <v>0.0</v>
      </c>
      <c r="G598" s="205">
        <v>1.0</v>
      </c>
    </row>
    <row r="599" ht="15.75" customHeight="1">
      <c r="A599" s="200" t="s">
        <v>303</v>
      </c>
      <c r="B599" s="186" t="s">
        <v>4237</v>
      </c>
      <c r="C599" s="210" t="s">
        <v>4238</v>
      </c>
      <c r="D599" s="210" t="s">
        <v>4239</v>
      </c>
      <c r="E599" s="204">
        <v>2.0</v>
      </c>
      <c r="F599" s="205">
        <v>0.0</v>
      </c>
      <c r="G599" s="205">
        <v>0.0</v>
      </c>
    </row>
    <row r="600" ht="15.75" customHeight="1">
      <c r="A600" s="200" t="s">
        <v>303</v>
      </c>
      <c r="B600" s="186" t="s">
        <v>4240</v>
      </c>
      <c r="C600" s="210" t="s">
        <v>4241</v>
      </c>
      <c r="D600" s="210" t="s">
        <v>4242</v>
      </c>
      <c r="E600" s="204">
        <v>2.0</v>
      </c>
      <c r="F600" s="205">
        <v>0.0</v>
      </c>
      <c r="G600" s="205">
        <v>1.0</v>
      </c>
    </row>
    <row r="601" ht="15.75" customHeight="1">
      <c r="A601" s="200" t="s">
        <v>303</v>
      </c>
      <c r="B601" s="186" t="s">
        <v>4243</v>
      </c>
      <c r="C601" s="210" t="s">
        <v>4244</v>
      </c>
      <c r="D601" s="210" t="s">
        <v>4245</v>
      </c>
      <c r="E601" s="204">
        <v>2.0</v>
      </c>
      <c r="F601" s="205">
        <v>0.0</v>
      </c>
      <c r="G601" s="205">
        <v>1.0</v>
      </c>
    </row>
    <row r="602" ht="15.75" customHeight="1">
      <c r="A602" s="200" t="s">
        <v>303</v>
      </c>
      <c r="B602" s="186" t="s">
        <v>4246</v>
      </c>
      <c r="C602" s="210" t="s">
        <v>4247</v>
      </c>
      <c r="D602" s="210" t="s">
        <v>4248</v>
      </c>
      <c r="E602" s="204">
        <v>2.0</v>
      </c>
      <c r="F602" s="205">
        <v>0.0</v>
      </c>
      <c r="G602" s="205">
        <v>0.0</v>
      </c>
    </row>
    <row r="603" ht="15.75" customHeight="1">
      <c r="A603" s="200" t="s">
        <v>303</v>
      </c>
      <c r="B603" s="186" t="s">
        <v>1060</v>
      </c>
      <c r="C603" s="210" t="s">
        <v>1061</v>
      </c>
      <c r="D603" s="210" t="s">
        <v>835</v>
      </c>
      <c r="E603" s="204">
        <v>2.0</v>
      </c>
      <c r="F603" s="205">
        <v>0.0</v>
      </c>
      <c r="G603" s="205">
        <v>2.0</v>
      </c>
    </row>
    <row r="604" ht="15.75" customHeight="1">
      <c r="A604" s="200" t="s">
        <v>303</v>
      </c>
      <c r="B604" s="186" t="s">
        <v>4249</v>
      </c>
      <c r="C604" s="210" t="s">
        <v>4250</v>
      </c>
      <c r="D604" s="210" t="s">
        <v>4251</v>
      </c>
      <c r="E604" s="204">
        <v>2.0</v>
      </c>
      <c r="F604" s="205">
        <v>0.0</v>
      </c>
      <c r="G604" s="205">
        <v>1.0</v>
      </c>
    </row>
    <row r="605" ht="15.75" customHeight="1">
      <c r="A605" s="200" t="s">
        <v>303</v>
      </c>
      <c r="B605" s="186" t="s">
        <v>4252</v>
      </c>
      <c r="C605" s="210" t="s">
        <v>4253</v>
      </c>
      <c r="D605" s="210" t="s">
        <v>4254</v>
      </c>
      <c r="E605" s="204">
        <v>2.0</v>
      </c>
      <c r="F605" s="205">
        <v>0.0</v>
      </c>
      <c r="G605" s="205">
        <v>1.0</v>
      </c>
    </row>
    <row r="606" ht="15.75" customHeight="1">
      <c r="A606" s="200" t="s">
        <v>303</v>
      </c>
      <c r="B606" s="186" t="s">
        <v>4255</v>
      </c>
      <c r="C606" s="210" t="s">
        <v>4256</v>
      </c>
      <c r="D606" s="210" t="s">
        <v>4257</v>
      </c>
      <c r="E606" s="204">
        <v>2.0</v>
      </c>
      <c r="F606" s="205">
        <v>0.0</v>
      </c>
      <c r="G606" s="205">
        <v>0.5</v>
      </c>
    </row>
    <row r="607" ht="15.75" customHeight="1">
      <c r="A607" s="200" t="s">
        <v>303</v>
      </c>
      <c r="B607" s="186" t="s">
        <v>4258</v>
      </c>
      <c r="C607" s="210" t="s">
        <v>4259</v>
      </c>
      <c r="D607" s="210" t="s">
        <v>4260</v>
      </c>
      <c r="E607" s="204">
        <v>2.0</v>
      </c>
      <c r="F607" s="205">
        <v>0.0</v>
      </c>
      <c r="G607" s="205">
        <v>0.0</v>
      </c>
    </row>
    <row r="608" ht="15.75" customHeight="1">
      <c r="A608" s="200" t="s">
        <v>303</v>
      </c>
      <c r="B608" s="186" t="s">
        <v>4261</v>
      </c>
      <c r="C608" s="210" t="s">
        <v>4262</v>
      </c>
      <c r="D608" s="210" t="s">
        <v>4263</v>
      </c>
      <c r="E608" s="204">
        <v>2.0</v>
      </c>
      <c r="F608" s="205">
        <v>0.0</v>
      </c>
      <c r="G608" s="205">
        <v>0.0</v>
      </c>
    </row>
    <row r="609" ht="15.75" customHeight="1">
      <c r="A609" s="200" t="s">
        <v>303</v>
      </c>
      <c r="B609" s="186" t="s">
        <v>1062</v>
      </c>
      <c r="C609" s="210" t="s">
        <v>1063</v>
      </c>
      <c r="D609" s="210" t="s">
        <v>1067</v>
      </c>
      <c r="E609" s="204">
        <v>2.0</v>
      </c>
      <c r="F609" s="205">
        <v>0.0</v>
      </c>
      <c r="G609" s="205">
        <v>1.0</v>
      </c>
    </row>
    <row r="610" ht="15.75" customHeight="1">
      <c r="A610" s="200" t="s">
        <v>303</v>
      </c>
      <c r="B610" s="186" t="s">
        <v>4264</v>
      </c>
      <c r="C610" s="210" t="s">
        <v>4265</v>
      </c>
      <c r="D610" s="210" t="s">
        <v>4266</v>
      </c>
      <c r="E610" s="204">
        <v>2.0</v>
      </c>
      <c r="F610" s="205">
        <v>0.0</v>
      </c>
      <c r="G610" s="205">
        <v>0.0</v>
      </c>
    </row>
    <row r="611" ht="15.75" customHeight="1">
      <c r="A611" s="200" t="s">
        <v>303</v>
      </c>
      <c r="B611" s="186" t="s">
        <v>4267</v>
      </c>
      <c r="C611" s="210" t="s">
        <v>4268</v>
      </c>
      <c r="D611" s="210" t="s">
        <v>4269</v>
      </c>
      <c r="E611" s="204">
        <v>2.0</v>
      </c>
      <c r="F611" s="205">
        <v>0.0</v>
      </c>
      <c r="G611" s="205">
        <v>1.0</v>
      </c>
    </row>
    <row r="612" ht="15.75" customHeight="1">
      <c r="A612" s="200" t="s">
        <v>303</v>
      </c>
      <c r="B612" s="186" t="s">
        <v>4270</v>
      </c>
      <c r="C612" s="210" t="s">
        <v>4271</v>
      </c>
      <c r="D612" s="210" t="s">
        <v>4272</v>
      </c>
      <c r="E612" s="204">
        <v>2.0</v>
      </c>
      <c r="F612" s="205">
        <v>0.0</v>
      </c>
      <c r="G612" s="205">
        <v>0.0</v>
      </c>
    </row>
    <row r="613" ht="15.75" customHeight="1">
      <c r="A613" s="200" t="s">
        <v>303</v>
      </c>
      <c r="B613" s="186" t="s">
        <v>4273</v>
      </c>
      <c r="C613" s="210" t="s">
        <v>4274</v>
      </c>
      <c r="D613" s="210" t="s">
        <v>4275</v>
      </c>
      <c r="E613" s="204">
        <v>2.0</v>
      </c>
      <c r="F613" s="205">
        <v>0.0</v>
      </c>
      <c r="G613" s="205">
        <v>1.0</v>
      </c>
    </row>
    <row r="614" ht="15.75" customHeight="1">
      <c r="A614" s="200" t="s">
        <v>303</v>
      </c>
      <c r="B614" s="186" t="s">
        <v>4276</v>
      </c>
      <c r="C614" s="210" t="s">
        <v>4277</v>
      </c>
      <c r="D614" s="210" t="s">
        <v>380</v>
      </c>
      <c r="E614" s="204">
        <v>2.0</v>
      </c>
      <c r="F614" s="205">
        <v>0.0</v>
      </c>
      <c r="G614" s="205">
        <v>1.5</v>
      </c>
    </row>
    <row r="615" ht="15.75" customHeight="1">
      <c r="A615" s="200" t="s">
        <v>303</v>
      </c>
      <c r="B615" s="186" t="s">
        <v>4278</v>
      </c>
      <c r="C615" s="210" t="s">
        <v>4279</v>
      </c>
      <c r="D615" s="210" t="s">
        <v>4280</v>
      </c>
      <c r="E615" s="204">
        <v>2.0</v>
      </c>
      <c r="F615" s="205">
        <v>0.0</v>
      </c>
      <c r="G615" s="205">
        <v>1.0</v>
      </c>
    </row>
    <row r="616" ht="15.75" customHeight="1">
      <c r="A616" s="200" t="s">
        <v>303</v>
      </c>
      <c r="B616" s="186" t="s">
        <v>4281</v>
      </c>
      <c r="C616" s="210" t="s">
        <v>4282</v>
      </c>
      <c r="D616" s="210" t="s">
        <v>4283</v>
      </c>
      <c r="E616" s="204">
        <v>2.0</v>
      </c>
      <c r="F616" s="205">
        <v>0.0</v>
      </c>
      <c r="G616" s="205">
        <v>2.0</v>
      </c>
    </row>
    <row r="617" ht="15.75" customHeight="1">
      <c r="A617" s="200" t="s">
        <v>303</v>
      </c>
      <c r="B617" s="186" t="s">
        <v>4284</v>
      </c>
      <c r="C617" s="210" t="s">
        <v>4285</v>
      </c>
      <c r="D617" s="210" t="s">
        <v>4286</v>
      </c>
      <c r="E617" s="204">
        <v>2.0</v>
      </c>
      <c r="F617" s="205">
        <v>0.0</v>
      </c>
      <c r="G617" s="205">
        <v>1.0</v>
      </c>
    </row>
    <row r="618" ht="15.75" customHeight="1">
      <c r="A618" s="200" t="s">
        <v>303</v>
      </c>
      <c r="B618" s="186" t="s">
        <v>4287</v>
      </c>
      <c r="C618" s="210" t="s">
        <v>4288</v>
      </c>
      <c r="D618" s="210" t="s">
        <v>4289</v>
      </c>
      <c r="E618" s="204">
        <v>2.0</v>
      </c>
      <c r="F618" s="205">
        <v>0.0</v>
      </c>
      <c r="G618" s="205">
        <v>1.0</v>
      </c>
    </row>
    <row r="619" ht="15.75" customHeight="1">
      <c r="A619" s="200" t="s">
        <v>303</v>
      </c>
      <c r="B619" s="186" t="s">
        <v>4290</v>
      </c>
      <c r="C619" s="210" t="s">
        <v>4291</v>
      </c>
      <c r="D619" s="210" t="s">
        <v>4292</v>
      </c>
      <c r="E619" s="204">
        <v>2.0</v>
      </c>
      <c r="F619" s="205">
        <v>0.0</v>
      </c>
      <c r="G619" s="205">
        <v>2.0</v>
      </c>
    </row>
    <row r="620" ht="15.75" customHeight="1">
      <c r="A620" s="200" t="s">
        <v>303</v>
      </c>
      <c r="B620" s="186" t="s">
        <v>4293</v>
      </c>
      <c r="C620" s="210" t="s">
        <v>4294</v>
      </c>
      <c r="D620" s="210" t="s">
        <v>4295</v>
      </c>
      <c r="E620" s="204">
        <v>2.0</v>
      </c>
      <c r="F620" s="205">
        <v>0.0</v>
      </c>
      <c r="G620" s="205">
        <v>1.0</v>
      </c>
    </row>
    <row r="621" ht="15.75" customHeight="1">
      <c r="A621" s="200" t="s">
        <v>303</v>
      </c>
      <c r="B621" s="186" t="s">
        <v>4296</v>
      </c>
      <c r="C621" s="210" t="s">
        <v>4297</v>
      </c>
      <c r="D621" s="210" t="s">
        <v>4298</v>
      </c>
      <c r="E621" s="204">
        <v>2.0</v>
      </c>
      <c r="F621" s="205">
        <v>0.0</v>
      </c>
      <c r="G621" s="205">
        <v>4.0</v>
      </c>
    </row>
    <row r="622" ht="15.75" customHeight="1">
      <c r="A622" s="200" t="s">
        <v>303</v>
      </c>
      <c r="B622" s="186" t="s">
        <v>4299</v>
      </c>
      <c r="C622" s="210" t="s">
        <v>4300</v>
      </c>
      <c r="D622" s="210" t="s">
        <v>4301</v>
      </c>
      <c r="E622" s="204">
        <v>2.0</v>
      </c>
      <c r="F622" s="205">
        <v>0.0</v>
      </c>
      <c r="G622" s="205">
        <v>2.0</v>
      </c>
    </row>
    <row r="623" ht="15.75" customHeight="1">
      <c r="A623" s="200" t="s">
        <v>303</v>
      </c>
      <c r="B623" s="186" t="s">
        <v>4302</v>
      </c>
      <c r="C623" s="210" t="s">
        <v>4303</v>
      </c>
      <c r="D623" s="210" t="s">
        <v>1003</v>
      </c>
      <c r="E623" s="204">
        <v>2.0</v>
      </c>
      <c r="F623" s="205">
        <v>0.0</v>
      </c>
      <c r="G623" s="205">
        <v>0.5</v>
      </c>
    </row>
    <row r="624" ht="15.75" customHeight="1">
      <c r="A624" s="200" t="s">
        <v>303</v>
      </c>
      <c r="B624" s="186" t="s">
        <v>4304</v>
      </c>
      <c r="C624" s="210" t="s">
        <v>4305</v>
      </c>
      <c r="D624" s="210" t="s">
        <v>4306</v>
      </c>
      <c r="E624" s="204">
        <v>2.0</v>
      </c>
      <c r="F624" s="205">
        <v>0.0</v>
      </c>
      <c r="G624" s="205">
        <v>1.5</v>
      </c>
    </row>
    <row r="625" ht="15.75" customHeight="1">
      <c r="A625" s="200" t="s">
        <v>303</v>
      </c>
      <c r="B625" s="186" t="s">
        <v>4307</v>
      </c>
      <c r="C625" s="210" t="s">
        <v>4308</v>
      </c>
      <c r="D625" s="210" t="s">
        <v>4309</v>
      </c>
      <c r="E625" s="204">
        <v>2.0</v>
      </c>
      <c r="F625" s="205">
        <v>0.0</v>
      </c>
      <c r="G625" s="205">
        <v>1.0</v>
      </c>
    </row>
    <row r="626" ht="15.75" customHeight="1">
      <c r="A626" s="200" t="s">
        <v>303</v>
      </c>
      <c r="B626" s="186" t="s">
        <v>4310</v>
      </c>
      <c r="C626" s="210" t="s">
        <v>4311</v>
      </c>
      <c r="D626" s="210" t="s">
        <v>4312</v>
      </c>
      <c r="E626" s="204">
        <v>2.0</v>
      </c>
      <c r="F626" s="205">
        <v>0.0</v>
      </c>
      <c r="G626" s="205">
        <v>0.0</v>
      </c>
    </row>
    <row r="627" ht="15.75" customHeight="1">
      <c r="A627" s="200" t="s">
        <v>303</v>
      </c>
      <c r="B627" s="186" t="s">
        <v>4313</v>
      </c>
      <c r="C627" s="210" t="s">
        <v>4314</v>
      </c>
      <c r="D627" s="210" t="s">
        <v>254</v>
      </c>
      <c r="E627" s="204">
        <v>2.0</v>
      </c>
      <c r="F627" s="205">
        <v>0.0</v>
      </c>
      <c r="G627" s="205">
        <v>0.5</v>
      </c>
    </row>
    <row r="628" ht="15.75" customHeight="1">
      <c r="A628" s="200" t="s">
        <v>303</v>
      </c>
      <c r="B628" s="186" t="s">
        <v>339</v>
      </c>
      <c r="C628" s="210" t="s">
        <v>340</v>
      </c>
      <c r="D628" s="210" t="s">
        <v>341</v>
      </c>
      <c r="E628" s="204">
        <v>2.0</v>
      </c>
      <c r="F628" s="205">
        <v>0.0</v>
      </c>
      <c r="G628" s="205">
        <v>0.0</v>
      </c>
    </row>
    <row r="629" ht="15.75" customHeight="1">
      <c r="A629" s="200" t="s">
        <v>303</v>
      </c>
      <c r="B629" s="186" t="s">
        <v>4315</v>
      </c>
      <c r="C629" s="210" t="s">
        <v>4316</v>
      </c>
      <c r="D629" s="210" t="s">
        <v>4317</v>
      </c>
      <c r="E629" s="204">
        <v>2.0</v>
      </c>
      <c r="F629" s="205">
        <v>0.0</v>
      </c>
      <c r="G629" s="205">
        <v>0.5</v>
      </c>
    </row>
    <row r="630" ht="15.75" customHeight="1">
      <c r="A630" s="200" t="s">
        <v>303</v>
      </c>
      <c r="B630" s="186" t="s">
        <v>4318</v>
      </c>
      <c r="C630" s="210" t="s">
        <v>4319</v>
      </c>
      <c r="D630" s="210" t="s">
        <v>2249</v>
      </c>
      <c r="E630" s="204">
        <v>2.0</v>
      </c>
      <c r="F630" s="205">
        <v>0.0</v>
      </c>
      <c r="G630" s="205">
        <v>0.0</v>
      </c>
    </row>
    <row r="631" ht="15.75" customHeight="1">
      <c r="A631" s="200" t="s">
        <v>303</v>
      </c>
      <c r="B631" s="186" t="s">
        <v>4320</v>
      </c>
      <c r="C631" s="210" t="s">
        <v>4321</v>
      </c>
      <c r="D631" s="210" t="s">
        <v>4322</v>
      </c>
      <c r="E631" s="204">
        <v>2.0</v>
      </c>
      <c r="F631" s="205">
        <v>0.0</v>
      </c>
      <c r="G631" s="205">
        <v>0.0</v>
      </c>
    </row>
    <row r="632" ht="15.75" customHeight="1">
      <c r="A632" s="200" t="s">
        <v>303</v>
      </c>
      <c r="B632" s="186" t="s">
        <v>4323</v>
      </c>
      <c r="C632" s="210" t="s">
        <v>4324</v>
      </c>
      <c r="D632" s="210" t="s">
        <v>4325</v>
      </c>
      <c r="E632" s="204">
        <v>2.0</v>
      </c>
      <c r="F632" s="205">
        <v>0.0</v>
      </c>
      <c r="G632" s="205">
        <v>1.0</v>
      </c>
    </row>
    <row r="633" ht="15.75" customHeight="1">
      <c r="A633" s="200" t="s">
        <v>303</v>
      </c>
      <c r="B633" s="186" t="s">
        <v>4326</v>
      </c>
      <c r="C633" s="210" t="s">
        <v>4327</v>
      </c>
      <c r="D633" s="210" t="s">
        <v>4328</v>
      </c>
      <c r="E633" s="204">
        <v>2.0</v>
      </c>
      <c r="F633" s="205">
        <v>0.0</v>
      </c>
      <c r="G633" s="205">
        <v>0.0</v>
      </c>
    </row>
    <row r="634" ht="15.75" customHeight="1">
      <c r="A634" s="200" t="s">
        <v>303</v>
      </c>
      <c r="B634" s="186" t="s">
        <v>1068</v>
      </c>
      <c r="C634" s="210" t="s">
        <v>1069</v>
      </c>
      <c r="D634" s="210" t="s">
        <v>1070</v>
      </c>
      <c r="E634" s="204">
        <v>2.0</v>
      </c>
      <c r="F634" s="205">
        <v>0.0</v>
      </c>
      <c r="G634" s="205">
        <v>0.5</v>
      </c>
    </row>
    <row r="635" ht="15.75" customHeight="1">
      <c r="A635" s="200" t="s">
        <v>303</v>
      </c>
      <c r="B635" s="186" t="s">
        <v>4329</v>
      </c>
      <c r="C635" s="210" t="s">
        <v>4330</v>
      </c>
      <c r="D635" s="210" t="s">
        <v>254</v>
      </c>
      <c r="E635" s="204">
        <v>2.0</v>
      </c>
      <c r="F635" s="205">
        <v>0.0</v>
      </c>
      <c r="G635" s="205">
        <v>2.0</v>
      </c>
    </row>
    <row r="636" ht="15.75" customHeight="1">
      <c r="A636" s="200" t="s">
        <v>303</v>
      </c>
      <c r="B636" s="186" t="s">
        <v>4331</v>
      </c>
      <c r="C636" s="210" t="s">
        <v>4332</v>
      </c>
      <c r="D636" s="210" t="s">
        <v>4333</v>
      </c>
      <c r="E636" s="204">
        <v>2.0</v>
      </c>
      <c r="F636" s="205">
        <v>0.0</v>
      </c>
      <c r="G636" s="205">
        <v>0.0</v>
      </c>
    </row>
    <row r="637" ht="15.75" customHeight="1">
      <c r="A637" s="200" t="s">
        <v>303</v>
      </c>
      <c r="B637" s="186" t="s">
        <v>4334</v>
      </c>
      <c r="C637" s="210" t="s">
        <v>4335</v>
      </c>
      <c r="D637" s="210" t="s">
        <v>4336</v>
      </c>
      <c r="E637" s="204">
        <v>2.0</v>
      </c>
      <c r="F637" s="205">
        <v>0.0</v>
      </c>
      <c r="G637" s="205">
        <v>1.0</v>
      </c>
    </row>
    <row r="638" ht="15.75" customHeight="1">
      <c r="A638" s="200" t="s">
        <v>303</v>
      </c>
      <c r="B638" s="186" t="s">
        <v>1071</v>
      </c>
      <c r="C638" s="210" t="s">
        <v>1073</v>
      </c>
      <c r="D638" s="210" t="s">
        <v>1003</v>
      </c>
      <c r="E638" s="204">
        <v>2.0</v>
      </c>
      <c r="F638" s="205">
        <v>0.0</v>
      </c>
      <c r="G638" s="205">
        <v>1.0</v>
      </c>
    </row>
    <row r="639" ht="15.75" customHeight="1">
      <c r="A639" s="200" t="s">
        <v>303</v>
      </c>
      <c r="B639" s="186" t="s">
        <v>4337</v>
      </c>
      <c r="C639" s="210" t="s">
        <v>4338</v>
      </c>
      <c r="D639" s="210" t="s">
        <v>4339</v>
      </c>
      <c r="E639" s="204">
        <v>2.0</v>
      </c>
      <c r="F639" s="205">
        <v>0.0</v>
      </c>
      <c r="G639" s="205">
        <v>1.0</v>
      </c>
    </row>
    <row r="640" ht="15.75" customHeight="1">
      <c r="A640" s="200" t="s">
        <v>303</v>
      </c>
      <c r="B640" s="186" t="s">
        <v>4340</v>
      </c>
      <c r="C640" s="210" t="s">
        <v>4341</v>
      </c>
      <c r="D640" s="210"/>
      <c r="E640" s="204">
        <v>2.0</v>
      </c>
      <c r="F640" s="205">
        <v>0.0</v>
      </c>
      <c r="G640" s="205">
        <v>0.0</v>
      </c>
    </row>
    <row r="641" ht="15.75" customHeight="1">
      <c r="A641" s="200" t="s">
        <v>303</v>
      </c>
      <c r="B641" s="186" t="s">
        <v>1074</v>
      </c>
      <c r="C641" s="210" t="s">
        <v>1075</v>
      </c>
      <c r="D641" s="210" t="s">
        <v>1076</v>
      </c>
      <c r="E641" s="204">
        <v>2.0</v>
      </c>
      <c r="F641" s="205">
        <v>0.0</v>
      </c>
      <c r="G641" s="205">
        <v>1.0</v>
      </c>
    </row>
    <row r="642" ht="15.75" customHeight="1">
      <c r="A642" s="200" t="s">
        <v>303</v>
      </c>
      <c r="B642" s="186" t="s">
        <v>1077</v>
      </c>
      <c r="C642" s="210" t="s">
        <v>1079</v>
      </c>
      <c r="D642" s="210" t="s">
        <v>1081</v>
      </c>
      <c r="E642" s="204">
        <v>2.0</v>
      </c>
      <c r="F642" s="205">
        <v>0.0</v>
      </c>
      <c r="G642" s="205">
        <v>3.5</v>
      </c>
    </row>
    <row r="643" ht="15.75" customHeight="1">
      <c r="A643" s="200" t="s">
        <v>303</v>
      </c>
      <c r="B643" s="186" t="s">
        <v>4342</v>
      </c>
      <c r="C643" s="210" t="s">
        <v>4343</v>
      </c>
      <c r="D643" s="210" t="s">
        <v>4344</v>
      </c>
      <c r="E643" s="204">
        <v>2.0</v>
      </c>
      <c r="F643" s="205">
        <v>0.0</v>
      </c>
      <c r="G643" s="205">
        <v>0.0</v>
      </c>
    </row>
    <row r="644" ht="15.75" customHeight="1">
      <c r="A644" s="200" t="s">
        <v>303</v>
      </c>
      <c r="B644" s="186" t="s">
        <v>4345</v>
      </c>
      <c r="C644" s="210" t="s">
        <v>4346</v>
      </c>
      <c r="D644" s="210" t="s">
        <v>4347</v>
      </c>
      <c r="E644" s="204">
        <v>2.0</v>
      </c>
      <c r="F644" s="205">
        <v>0.0</v>
      </c>
      <c r="G644" s="205">
        <v>1.0</v>
      </c>
    </row>
    <row r="645" ht="15.75" customHeight="1">
      <c r="A645" s="200" t="s">
        <v>303</v>
      </c>
      <c r="B645" s="186" t="s">
        <v>4348</v>
      </c>
      <c r="C645" s="210" t="s">
        <v>4349</v>
      </c>
      <c r="D645" s="210" t="s">
        <v>4350</v>
      </c>
      <c r="E645" s="204">
        <v>2.0</v>
      </c>
      <c r="F645" s="205">
        <v>0.0</v>
      </c>
      <c r="G645" s="205">
        <v>0.5</v>
      </c>
    </row>
    <row r="646" ht="15.75" customHeight="1">
      <c r="A646" s="200" t="s">
        <v>303</v>
      </c>
      <c r="B646" s="186" t="s">
        <v>4351</v>
      </c>
      <c r="C646" s="210" t="s">
        <v>4352</v>
      </c>
      <c r="D646" s="210" t="s">
        <v>4353</v>
      </c>
      <c r="E646" s="204">
        <v>2.0</v>
      </c>
      <c r="F646" s="205">
        <v>0.0</v>
      </c>
      <c r="G646" s="205">
        <v>0.0</v>
      </c>
    </row>
    <row r="647" ht="15.75" customHeight="1">
      <c r="A647" s="200" t="s">
        <v>303</v>
      </c>
      <c r="B647" s="186" t="s">
        <v>4354</v>
      </c>
      <c r="C647" s="210" t="s">
        <v>4355</v>
      </c>
      <c r="D647" s="210" t="s">
        <v>4356</v>
      </c>
      <c r="E647" s="204">
        <v>2.0</v>
      </c>
      <c r="F647" s="205">
        <v>0.0</v>
      </c>
      <c r="G647" s="205">
        <v>1.0</v>
      </c>
    </row>
    <row r="648" ht="15.75" customHeight="1">
      <c r="A648" s="200" t="s">
        <v>303</v>
      </c>
      <c r="B648" s="186" t="s">
        <v>4357</v>
      </c>
      <c r="C648" s="210" t="s">
        <v>4358</v>
      </c>
      <c r="D648" s="210" t="s">
        <v>1201</v>
      </c>
      <c r="E648" s="204">
        <v>2.0</v>
      </c>
      <c r="F648" s="205">
        <v>0.0</v>
      </c>
      <c r="G648" s="205">
        <v>1.0</v>
      </c>
    </row>
    <row r="649" ht="15.75" customHeight="1">
      <c r="A649" s="200" t="s">
        <v>303</v>
      </c>
      <c r="B649" s="186" t="s">
        <v>1082</v>
      </c>
      <c r="C649" s="210" t="s">
        <v>1083</v>
      </c>
      <c r="D649" s="210" t="s">
        <v>1084</v>
      </c>
      <c r="E649" s="204">
        <v>2.0</v>
      </c>
      <c r="F649" s="205">
        <v>0.0</v>
      </c>
      <c r="G649" s="205">
        <v>2.0</v>
      </c>
    </row>
    <row r="650" ht="15.75" customHeight="1">
      <c r="A650" s="200" t="s">
        <v>303</v>
      </c>
      <c r="B650" s="186" t="s">
        <v>501</v>
      </c>
      <c r="C650" s="210" t="s">
        <v>502</v>
      </c>
      <c r="D650" s="210" t="s">
        <v>504</v>
      </c>
      <c r="E650" s="204">
        <v>2.0</v>
      </c>
      <c r="F650" s="205">
        <v>0.0</v>
      </c>
      <c r="G650" s="205">
        <v>1.5</v>
      </c>
    </row>
    <row r="651" ht="15.75" customHeight="1">
      <c r="A651" s="200" t="s">
        <v>303</v>
      </c>
      <c r="B651" s="186" t="s">
        <v>1088</v>
      </c>
      <c r="C651" s="210" t="s">
        <v>1089</v>
      </c>
      <c r="D651" s="210" t="s">
        <v>1090</v>
      </c>
      <c r="E651" s="204">
        <v>2.0</v>
      </c>
      <c r="F651" s="205">
        <v>0.0</v>
      </c>
      <c r="G651" s="205">
        <v>0.0</v>
      </c>
    </row>
    <row r="652" ht="15.75" customHeight="1">
      <c r="A652" s="200" t="s">
        <v>303</v>
      </c>
      <c r="B652" s="186" t="s">
        <v>1093</v>
      </c>
      <c r="C652" s="210" t="s">
        <v>1094</v>
      </c>
      <c r="D652" s="210" t="s">
        <v>1095</v>
      </c>
      <c r="E652" s="204">
        <v>2.0</v>
      </c>
      <c r="F652" s="205">
        <v>0.0</v>
      </c>
      <c r="G652" s="205">
        <v>3.0</v>
      </c>
    </row>
    <row r="653" ht="15.75" customHeight="1">
      <c r="A653" s="200" t="s">
        <v>303</v>
      </c>
      <c r="B653" s="186" t="s">
        <v>1096</v>
      </c>
      <c r="C653" s="210" t="s">
        <v>1097</v>
      </c>
      <c r="D653" s="210" t="s">
        <v>1098</v>
      </c>
      <c r="E653" s="204">
        <v>2.0</v>
      </c>
      <c r="F653" s="205">
        <v>0.0</v>
      </c>
      <c r="G653" s="205">
        <v>1.0</v>
      </c>
    </row>
    <row r="654" ht="15.75" customHeight="1">
      <c r="A654" s="200" t="s">
        <v>303</v>
      </c>
      <c r="B654" s="186" t="s">
        <v>4359</v>
      </c>
      <c r="C654" s="210" t="s">
        <v>4360</v>
      </c>
      <c r="D654" s="210" t="s">
        <v>4361</v>
      </c>
      <c r="E654" s="204">
        <v>2.0</v>
      </c>
      <c r="F654" s="205">
        <v>0.0</v>
      </c>
      <c r="G654" s="205">
        <v>0.0</v>
      </c>
    </row>
    <row r="655" ht="15.75" customHeight="1">
      <c r="A655" s="200" t="s">
        <v>303</v>
      </c>
      <c r="B655" s="186" t="s">
        <v>4362</v>
      </c>
      <c r="C655" s="210" t="s">
        <v>4363</v>
      </c>
      <c r="D655" s="210" t="s">
        <v>4364</v>
      </c>
      <c r="E655" s="204">
        <v>2.0</v>
      </c>
      <c r="F655" s="205">
        <v>0.0</v>
      </c>
      <c r="G655" s="205">
        <v>5.0</v>
      </c>
    </row>
    <row r="656" ht="15.75" customHeight="1">
      <c r="A656" s="200" t="s">
        <v>303</v>
      </c>
      <c r="B656" s="186" t="s">
        <v>4365</v>
      </c>
      <c r="C656" s="210" t="s">
        <v>4366</v>
      </c>
      <c r="D656" s="210" t="s">
        <v>4367</v>
      </c>
      <c r="E656" s="204">
        <v>2.0</v>
      </c>
      <c r="F656" s="205">
        <v>0.0</v>
      </c>
      <c r="G656" s="205">
        <v>1.0</v>
      </c>
    </row>
    <row r="657" ht="15.75" customHeight="1">
      <c r="A657" s="200" t="s">
        <v>303</v>
      </c>
      <c r="B657" s="186" t="s">
        <v>4368</v>
      </c>
      <c r="C657" s="210" t="s">
        <v>4369</v>
      </c>
      <c r="D657" s="210" t="s">
        <v>4370</v>
      </c>
      <c r="E657" s="204">
        <v>2.0</v>
      </c>
      <c r="F657" s="205">
        <v>0.0</v>
      </c>
      <c r="G657" s="205">
        <v>0.0</v>
      </c>
    </row>
    <row r="658" ht="15.75" customHeight="1">
      <c r="A658" s="200" t="s">
        <v>303</v>
      </c>
      <c r="B658" s="186" t="s">
        <v>4371</v>
      </c>
      <c r="C658" s="210" t="s">
        <v>4372</v>
      </c>
      <c r="D658" s="210" t="s">
        <v>4373</v>
      </c>
      <c r="E658" s="204">
        <v>2.0</v>
      </c>
      <c r="F658" s="205">
        <v>0.0</v>
      </c>
      <c r="G658" s="205">
        <v>1.0</v>
      </c>
    </row>
    <row r="659" ht="15.75" customHeight="1">
      <c r="A659" s="200" t="s">
        <v>303</v>
      </c>
      <c r="B659" s="186" t="s">
        <v>4374</v>
      </c>
      <c r="C659" s="210" t="s">
        <v>4375</v>
      </c>
      <c r="D659" s="210" t="s">
        <v>4376</v>
      </c>
      <c r="E659" s="204">
        <v>2.0</v>
      </c>
      <c r="F659" s="205">
        <v>0.0</v>
      </c>
      <c r="G659" s="205">
        <v>1.0</v>
      </c>
    </row>
    <row r="660" ht="15.75" customHeight="1">
      <c r="A660" s="200" t="s">
        <v>303</v>
      </c>
      <c r="B660" s="186" t="s">
        <v>4377</v>
      </c>
      <c r="C660" s="210" t="s">
        <v>4378</v>
      </c>
      <c r="D660" s="210" t="s">
        <v>4379</v>
      </c>
      <c r="E660" s="204">
        <v>2.0</v>
      </c>
      <c r="F660" s="205">
        <v>0.0</v>
      </c>
      <c r="G660" s="205">
        <v>1.5</v>
      </c>
    </row>
    <row r="661" ht="15.75" customHeight="1">
      <c r="A661" s="200" t="s">
        <v>303</v>
      </c>
      <c r="B661" s="186" t="s">
        <v>4380</v>
      </c>
      <c r="C661" s="210" t="s">
        <v>4381</v>
      </c>
      <c r="D661" s="210" t="s">
        <v>4382</v>
      </c>
      <c r="E661" s="204">
        <v>2.0</v>
      </c>
      <c r="F661" s="205">
        <v>0.0</v>
      </c>
      <c r="G661" s="205">
        <v>1.0</v>
      </c>
    </row>
    <row r="662" ht="15.75" customHeight="1">
      <c r="A662" s="200" t="s">
        <v>303</v>
      </c>
      <c r="B662" s="186" t="s">
        <v>4383</v>
      </c>
      <c r="C662" s="210" t="s">
        <v>4384</v>
      </c>
      <c r="D662" s="210" t="s">
        <v>4385</v>
      </c>
      <c r="E662" s="204">
        <v>2.0</v>
      </c>
      <c r="F662" s="205">
        <v>0.0</v>
      </c>
      <c r="G662" s="205">
        <v>0.0</v>
      </c>
    </row>
    <row r="663" ht="15.75" customHeight="1">
      <c r="A663" s="200" t="s">
        <v>303</v>
      </c>
      <c r="B663" s="186" t="s">
        <v>4386</v>
      </c>
      <c r="C663" s="210" t="s">
        <v>4387</v>
      </c>
      <c r="D663" s="210" t="s">
        <v>4388</v>
      </c>
      <c r="E663" s="204">
        <v>2.0</v>
      </c>
      <c r="F663" s="205">
        <v>0.0</v>
      </c>
      <c r="G663" s="205">
        <v>1.0</v>
      </c>
    </row>
    <row r="664" ht="15.75" customHeight="1">
      <c r="A664" s="200" t="s">
        <v>303</v>
      </c>
      <c r="B664" s="186" t="s">
        <v>4389</v>
      </c>
      <c r="C664" s="210" t="s">
        <v>4390</v>
      </c>
      <c r="D664" s="210" t="s">
        <v>4391</v>
      </c>
      <c r="E664" s="204">
        <v>2.0</v>
      </c>
      <c r="F664" s="205">
        <v>0.0</v>
      </c>
      <c r="G664" s="205">
        <v>0.0</v>
      </c>
    </row>
    <row r="665" ht="15.75" customHeight="1">
      <c r="A665" s="200" t="s">
        <v>303</v>
      </c>
      <c r="B665" s="186" t="s">
        <v>4392</v>
      </c>
      <c r="C665" s="210" t="s">
        <v>4393</v>
      </c>
      <c r="D665" s="210" t="s">
        <v>4394</v>
      </c>
      <c r="E665" s="204">
        <v>1.0</v>
      </c>
      <c r="F665" s="205">
        <v>0.0</v>
      </c>
      <c r="G665" s="205">
        <v>1.0</v>
      </c>
    </row>
    <row r="666" ht="15.75" customHeight="1">
      <c r="A666" s="200" t="s">
        <v>303</v>
      </c>
      <c r="B666" s="186" t="s">
        <v>4395</v>
      </c>
      <c r="C666" s="210" t="s">
        <v>4396</v>
      </c>
      <c r="D666" s="210"/>
      <c r="E666" s="204">
        <v>1.0</v>
      </c>
      <c r="F666" s="205">
        <v>0.0</v>
      </c>
      <c r="G666" s="205">
        <v>0.0</v>
      </c>
    </row>
    <row r="667" ht="15.75" customHeight="1">
      <c r="A667" s="200" t="s">
        <v>303</v>
      </c>
      <c r="B667" s="186" t="s">
        <v>4397</v>
      </c>
      <c r="C667" s="210" t="s">
        <v>4398</v>
      </c>
      <c r="D667" s="210" t="s">
        <v>461</v>
      </c>
      <c r="E667" s="204">
        <v>1.0</v>
      </c>
      <c r="F667" s="205">
        <v>0.0</v>
      </c>
      <c r="G667" s="205">
        <v>0.0</v>
      </c>
    </row>
    <row r="668" ht="15.75" customHeight="1">
      <c r="A668" s="200" t="s">
        <v>303</v>
      </c>
      <c r="B668" s="186" t="s">
        <v>4399</v>
      </c>
      <c r="C668" s="210" t="s">
        <v>4400</v>
      </c>
      <c r="D668" s="210" t="s">
        <v>1101</v>
      </c>
      <c r="E668" s="204">
        <v>1.0</v>
      </c>
      <c r="F668" s="205">
        <v>0.0</v>
      </c>
      <c r="G668" s="205">
        <v>0.0</v>
      </c>
    </row>
    <row r="669" ht="15.75" customHeight="1">
      <c r="A669" s="200" t="s">
        <v>303</v>
      </c>
      <c r="B669" s="186" t="s">
        <v>4401</v>
      </c>
      <c r="C669" s="210" t="s">
        <v>4402</v>
      </c>
      <c r="D669" s="210" t="s">
        <v>4403</v>
      </c>
      <c r="E669" s="204">
        <v>1.0</v>
      </c>
      <c r="F669" s="205">
        <v>0.0</v>
      </c>
      <c r="G669" s="205">
        <v>0.0</v>
      </c>
    </row>
    <row r="670" ht="15.75" customHeight="1">
      <c r="A670" s="200" t="s">
        <v>303</v>
      </c>
      <c r="B670" s="186" t="s">
        <v>4404</v>
      </c>
      <c r="C670" s="210" t="s">
        <v>4405</v>
      </c>
      <c r="D670" s="210" t="s">
        <v>4406</v>
      </c>
      <c r="E670" s="204">
        <v>1.0</v>
      </c>
      <c r="F670" s="205">
        <v>0.0</v>
      </c>
      <c r="G670" s="205">
        <v>1.0</v>
      </c>
    </row>
    <row r="671" ht="15.75" customHeight="1">
      <c r="A671" s="200" t="s">
        <v>303</v>
      </c>
      <c r="B671" s="186" t="s">
        <v>4407</v>
      </c>
      <c r="C671" s="210" t="s">
        <v>4408</v>
      </c>
      <c r="D671" s="210" t="s">
        <v>2816</v>
      </c>
      <c r="E671" s="204">
        <v>1.0</v>
      </c>
      <c r="F671" s="205">
        <v>0.0</v>
      </c>
      <c r="G671" s="205">
        <v>1.0</v>
      </c>
    </row>
    <row r="672" ht="15.75" customHeight="1">
      <c r="A672" s="200" t="s">
        <v>303</v>
      </c>
      <c r="B672" s="186" t="s">
        <v>4409</v>
      </c>
      <c r="C672" s="210" t="s">
        <v>4410</v>
      </c>
      <c r="D672" s="210" t="s">
        <v>4411</v>
      </c>
      <c r="E672" s="204">
        <v>1.0</v>
      </c>
      <c r="F672" s="205">
        <v>0.0</v>
      </c>
      <c r="G672" s="205">
        <v>0.0</v>
      </c>
    </row>
    <row r="673" ht="15.75" customHeight="1">
      <c r="A673" s="200" t="s">
        <v>303</v>
      </c>
      <c r="B673" s="186" t="s">
        <v>4412</v>
      </c>
      <c r="C673" s="210" t="s">
        <v>4413</v>
      </c>
      <c r="D673" s="210" t="s">
        <v>4414</v>
      </c>
      <c r="E673" s="204">
        <v>1.0</v>
      </c>
      <c r="F673" s="205">
        <v>0.0</v>
      </c>
      <c r="G673" s="205">
        <v>1.0</v>
      </c>
    </row>
    <row r="674" ht="15.75" customHeight="1">
      <c r="A674" s="200" t="s">
        <v>303</v>
      </c>
      <c r="B674" s="186" t="s">
        <v>4415</v>
      </c>
      <c r="C674" s="210" t="s">
        <v>4416</v>
      </c>
      <c r="D674" s="210" t="s">
        <v>4417</v>
      </c>
      <c r="E674" s="204">
        <v>1.0</v>
      </c>
      <c r="F674" s="205">
        <v>0.0</v>
      </c>
      <c r="G674" s="205">
        <v>1.0</v>
      </c>
    </row>
    <row r="675" ht="15.75" customHeight="1">
      <c r="A675" s="200" t="s">
        <v>303</v>
      </c>
      <c r="B675" s="186" t="s">
        <v>4418</v>
      </c>
      <c r="C675" s="210" t="s">
        <v>4419</v>
      </c>
      <c r="D675" s="210" t="s">
        <v>4420</v>
      </c>
      <c r="E675" s="204">
        <v>1.0</v>
      </c>
      <c r="F675" s="205">
        <v>0.0</v>
      </c>
      <c r="G675" s="205">
        <v>1.0</v>
      </c>
    </row>
    <row r="676" ht="15.75" customHeight="1">
      <c r="A676" s="200" t="s">
        <v>303</v>
      </c>
      <c r="B676" s="186" t="s">
        <v>4421</v>
      </c>
      <c r="C676" s="210" t="s">
        <v>4422</v>
      </c>
      <c r="D676" s="210" t="s">
        <v>4423</v>
      </c>
      <c r="E676" s="204">
        <v>1.0</v>
      </c>
      <c r="F676" s="205">
        <v>0.0</v>
      </c>
      <c r="G676" s="205">
        <v>2.0</v>
      </c>
    </row>
    <row r="677" ht="15.75" customHeight="1">
      <c r="A677" s="200" t="s">
        <v>303</v>
      </c>
      <c r="B677" s="186" t="s">
        <v>4424</v>
      </c>
      <c r="C677" s="210" t="s">
        <v>4425</v>
      </c>
      <c r="D677" s="210" t="s">
        <v>4426</v>
      </c>
      <c r="E677" s="204">
        <v>1.0</v>
      </c>
      <c r="F677" s="205">
        <v>0.0</v>
      </c>
      <c r="G677" s="205">
        <v>0.0</v>
      </c>
    </row>
    <row r="678" ht="15.75" customHeight="1">
      <c r="A678" s="200" t="s">
        <v>303</v>
      </c>
      <c r="B678" s="186" t="s">
        <v>4427</v>
      </c>
      <c r="C678" s="210" t="s">
        <v>4428</v>
      </c>
      <c r="D678" s="210"/>
      <c r="E678" s="204">
        <v>1.0</v>
      </c>
      <c r="F678" s="205">
        <v>0.0</v>
      </c>
      <c r="G678" s="205">
        <v>0.0</v>
      </c>
    </row>
    <row r="679" ht="15.75" customHeight="1">
      <c r="A679" s="200" t="s">
        <v>303</v>
      </c>
      <c r="B679" s="186" t="s">
        <v>4429</v>
      </c>
      <c r="C679" s="210" t="s">
        <v>4430</v>
      </c>
      <c r="D679" s="210" t="s">
        <v>2381</v>
      </c>
      <c r="E679" s="204">
        <v>1.0</v>
      </c>
      <c r="F679" s="205">
        <v>0.0</v>
      </c>
      <c r="G679" s="205">
        <v>0.0</v>
      </c>
    </row>
    <row r="680" ht="15.75" customHeight="1">
      <c r="A680" s="200" t="s">
        <v>303</v>
      </c>
      <c r="B680" s="186" t="s">
        <v>4431</v>
      </c>
      <c r="C680" s="210" t="s">
        <v>4432</v>
      </c>
      <c r="D680" s="210" t="s">
        <v>2381</v>
      </c>
      <c r="E680" s="204">
        <v>1.0</v>
      </c>
      <c r="F680" s="205">
        <v>0.0</v>
      </c>
      <c r="G680" s="205">
        <v>0.0</v>
      </c>
    </row>
    <row r="681" ht="15.75" customHeight="1">
      <c r="A681" s="200" t="s">
        <v>303</v>
      </c>
      <c r="B681" s="186" t="s">
        <v>4433</v>
      </c>
      <c r="C681" s="210" t="s">
        <v>4434</v>
      </c>
      <c r="D681" s="210"/>
      <c r="E681" s="204">
        <v>1.0</v>
      </c>
      <c r="F681" s="205">
        <v>0.0</v>
      </c>
      <c r="G681" s="205">
        <v>0.0</v>
      </c>
    </row>
    <row r="682" ht="15.75" customHeight="1">
      <c r="A682" s="200" t="s">
        <v>303</v>
      </c>
      <c r="B682" s="186" t="s">
        <v>4435</v>
      </c>
      <c r="C682" s="210" t="s">
        <v>4436</v>
      </c>
      <c r="D682" s="210" t="s">
        <v>3914</v>
      </c>
      <c r="E682" s="204">
        <v>1.0</v>
      </c>
      <c r="F682" s="205">
        <v>0.0</v>
      </c>
      <c r="G682" s="205">
        <v>0.0</v>
      </c>
    </row>
    <row r="683" ht="15.75" customHeight="1">
      <c r="A683" s="200" t="s">
        <v>303</v>
      </c>
      <c r="B683" s="186" t="s">
        <v>4437</v>
      </c>
      <c r="C683" s="210" t="s">
        <v>4438</v>
      </c>
      <c r="D683" s="210" t="s">
        <v>4439</v>
      </c>
      <c r="E683" s="204">
        <v>1.0</v>
      </c>
      <c r="F683" s="205">
        <v>0.0</v>
      </c>
      <c r="G683" s="205">
        <v>0.0</v>
      </c>
    </row>
    <row r="684" ht="15.75" customHeight="1">
      <c r="A684" s="200" t="s">
        <v>303</v>
      </c>
      <c r="B684" s="186" t="s">
        <v>4440</v>
      </c>
      <c r="C684" s="210" t="s">
        <v>4441</v>
      </c>
      <c r="D684" s="210"/>
      <c r="E684" s="204">
        <v>1.0</v>
      </c>
      <c r="F684" s="205">
        <v>0.0</v>
      </c>
      <c r="G684" s="205">
        <v>0.0</v>
      </c>
    </row>
    <row r="685" ht="15.75" customHeight="1">
      <c r="A685" s="200" t="s">
        <v>303</v>
      </c>
      <c r="B685" s="186" t="s">
        <v>4442</v>
      </c>
      <c r="C685" s="210" t="s">
        <v>4443</v>
      </c>
      <c r="D685" s="210" t="s">
        <v>4444</v>
      </c>
      <c r="E685" s="204">
        <v>1.0</v>
      </c>
      <c r="F685" s="205">
        <v>0.0</v>
      </c>
      <c r="G685" s="205">
        <v>0.0</v>
      </c>
    </row>
    <row r="686" ht="15.75" customHeight="1">
      <c r="A686" s="200" t="s">
        <v>303</v>
      </c>
      <c r="B686" s="186" t="s">
        <v>4445</v>
      </c>
      <c r="C686" s="210" t="s">
        <v>4446</v>
      </c>
      <c r="D686" s="210"/>
      <c r="E686" s="204">
        <v>1.0</v>
      </c>
      <c r="F686" s="205">
        <v>0.0</v>
      </c>
      <c r="G686" s="205">
        <v>0.0</v>
      </c>
    </row>
    <row r="687" ht="15.75" customHeight="1">
      <c r="A687" s="200" t="s">
        <v>303</v>
      </c>
      <c r="B687" s="186" t="s">
        <v>4447</v>
      </c>
      <c r="C687" s="210" t="s">
        <v>4448</v>
      </c>
      <c r="D687" s="210" t="s">
        <v>4449</v>
      </c>
      <c r="E687" s="204">
        <v>1.0</v>
      </c>
      <c r="F687" s="205">
        <v>0.0</v>
      </c>
      <c r="G687" s="205">
        <v>1.0</v>
      </c>
    </row>
    <row r="688" ht="15.75" customHeight="1">
      <c r="A688" s="200" t="s">
        <v>303</v>
      </c>
      <c r="B688" s="186" t="s">
        <v>4450</v>
      </c>
      <c r="C688" s="210" t="s">
        <v>4451</v>
      </c>
      <c r="D688" s="210" t="s">
        <v>4452</v>
      </c>
      <c r="E688" s="204">
        <v>1.0</v>
      </c>
      <c r="F688" s="205">
        <v>0.0</v>
      </c>
      <c r="G688" s="205">
        <v>1.0</v>
      </c>
    </row>
    <row r="689" ht="15.75" customHeight="1">
      <c r="A689" s="200" t="s">
        <v>303</v>
      </c>
      <c r="B689" s="186" t="s">
        <v>4453</v>
      </c>
      <c r="C689" s="210" t="s">
        <v>4454</v>
      </c>
      <c r="D689" s="210" t="s">
        <v>4455</v>
      </c>
      <c r="E689" s="204">
        <v>1.0</v>
      </c>
      <c r="F689" s="205">
        <v>0.0</v>
      </c>
      <c r="G689" s="205">
        <v>1.0</v>
      </c>
    </row>
    <row r="690" ht="15.75" customHeight="1">
      <c r="A690" s="200" t="s">
        <v>303</v>
      </c>
      <c r="B690" s="186" t="s">
        <v>4456</v>
      </c>
      <c r="C690" s="210" t="s">
        <v>4457</v>
      </c>
      <c r="D690" s="210" t="s">
        <v>4458</v>
      </c>
      <c r="E690" s="204">
        <v>1.0</v>
      </c>
      <c r="F690" s="205">
        <v>0.0</v>
      </c>
      <c r="G690" s="205">
        <v>1.0</v>
      </c>
    </row>
    <row r="691" ht="15.75" customHeight="1">
      <c r="A691" s="200" t="s">
        <v>303</v>
      </c>
      <c r="B691" s="186" t="s">
        <v>4459</v>
      </c>
      <c r="C691" s="210" t="s">
        <v>4460</v>
      </c>
      <c r="D691" s="210"/>
      <c r="E691" s="204">
        <v>1.0</v>
      </c>
      <c r="F691" s="205">
        <v>0.0</v>
      </c>
      <c r="G691" s="205">
        <v>1.0</v>
      </c>
    </row>
    <row r="692" ht="15.75" customHeight="1">
      <c r="A692" s="200" t="s">
        <v>303</v>
      </c>
      <c r="B692" s="186" t="s">
        <v>4461</v>
      </c>
      <c r="C692" s="210" t="s">
        <v>4462</v>
      </c>
      <c r="D692" s="210" t="s">
        <v>4463</v>
      </c>
      <c r="E692" s="204">
        <v>1.0</v>
      </c>
      <c r="F692" s="205">
        <v>0.0</v>
      </c>
      <c r="G692" s="205">
        <v>1.0</v>
      </c>
    </row>
    <row r="693" ht="15.75" customHeight="1">
      <c r="A693" s="200" t="s">
        <v>303</v>
      </c>
      <c r="B693" s="186" t="s">
        <v>4464</v>
      </c>
      <c r="C693" s="210" t="s">
        <v>4465</v>
      </c>
      <c r="D693" s="210" t="s">
        <v>4466</v>
      </c>
      <c r="E693" s="204">
        <v>1.0</v>
      </c>
      <c r="F693" s="205">
        <v>0.0</v>
      </c>
      <c r="G693" s="205">
        <v>0.0</v>
      </c>
    </row>
    <row r="694" ht="15.75" customHeight="1">
      <c r="A694" s="200" t="s">
        <v>303</v>
      </c>
      <c r="B694" s="186" t="s">
        <v>4467</v>
      </c>
      <c r="C694" s="210" t="s">
        <v>4468</v>
      </c>
      <c r="D694" s="210" t="s">
        <v>254</v>
      </c>
      <c r="E694" s="204">
        <v>1.0</v>
      </c>
      <c r="F694" s="205">
        <v>0.0</v>
      </c>
      <c r="G694" s="205">
        <v>0.0</v>
      </c>
    </row>
    <row r="695" ht="15.75" customHeight="1">
      <c r="A695" s="200" t="s">
        <v>303</v>
      </c>
      <c r="B695" s="186" t="s">
        <v>4469</v>
      </c>
      <c r="C695" s="210" t="s">
        <v>4470</v>
      </c>
      <c r="D695" s="210" t="s">
        <v>4471</v>
      </c>
      <c r="E695" s="204">
        <v>1.0</v>
      </c>
      <c r="F695" s="205">
        <v>0.0</v>
      </c>
      <c r="G695" s="205">
        <v>0.0</v>
      </c>
    </row>
    <row r="696" ht="15.75" customHeight="1">
      <c r="A696" s="200" t="s">
        <v>303</v>
      </c>
      <c r="B696" s="186" t="s">
        <v>4472</v>
      </c>
      <c r="C696" s="210" t="s">
        <v>4473</v>
      </c>
      <c r="D696" s="210" t="s">
        <v>4474</v>
      </c>
      <c r="E696" s="204">
        <v>1.0</v>
      </c>
      <c r="F696" s="205">
        <v>0.0</v>
      </c>
      <c r="G696" s="205">
        <v>1.0</v>
      </c>
    </row>
    <row r="697" ht="15.75" customHeight="1">
      <c r="A697" s="200" t="s">
        <v>303</v>
      </c>
      <c r="B697" s="186" t="s">
        <v>4475</v>
      </c>
      <c r="C697" s="210" t="s">
        <v>4476</v>
      </c>
      <c r="D697" s="210" t="s">
        <v>4477</v>
      </c>
      <c r="E697" s="204">
        <v>1.0</v>
      </c>
      <c r="F697" s="205">
        <v>0.0</v>
      </c>
      <c r="G697" s="205">
        <v>1.0</v>
      </c>
    </row>
    <row r="698" ht="15.75" customHeight="1">
      <c r="A698" s="200" t="s">
        <v>303</v>
      </c>
      <c r="B698" s="186" t="s">
        <v>4478</v>
      </c>
      <c r="C698" s="210" t="s">
        <v>4479</v>
      </c>
      <c r="D698" s="210" t="s">
        <v>4480</v>
      </c>
      <c r="E698" s="204">
        <v>1.0</v>
      </c>
      <c r="F698" s="205">
        <v>0.0</v>
      </c>
      <c r="G698" s="205">
        <v>0.0</v>
      </c>
    </row>
    <row r="699" ht="15.75" customHeight="1">
      <c r="A699" s="200" t="s">
        <v>303</v>
      </c>
      <c r="B699" s="186" t="s">
        <v>4481</v>
      </c>
      <c r="C699" s="210" t="s">
        <v>4482</v>
      </c>
      <c r="D699" s="210" t="s">
        <v>4483</v>
      </c>
      <c r="E699" s="204">
        <v>1.0</v>
      </c>
      <c r="F699" s="205">
        <v>0.0</v>
      </c>
      <c r="G699" s="205">
        <v>1.0</v>
      </c>
    </row>
    <row r="700" ht="15.75" customHeight="1">
      <c r="A700" s="200" t="s">
        <v>303</v>
      </c>
      <c r="B700" s="186" t="s">
        <v>4484</v>
      </c>
      <c r="C700" s="210" t="s">
        <v>4485</v>
      </c>
      <c r="D700" s="210"/>
      <c r="E700" s="204">
        <v>1.0</v>
      </c>
      <c r="F700" s="205">
        <v>0.0</v>
      </c>
      <c r="G700" s="205">
        <v>1.0</v>
      </c>
    </row>
    <row r="701" ht="15.75" customHeight="1">
      <c r="A701" s="200" t="s">
        <v>303</v>
      </c>
      <c r="B701" s="186" t="s">
        <v>4486</v>
      </c>
      <c r="C701" s="210" t="s">
        <v>4487</v>
      </c>
      <c r="D701" s="210"/>
      <c r="E701" s="204">
        <v>1.0</v>
      </c>
      <c r="F701" s="205">
        <v>0.0</v>
      </c>
      <c r="G701" s="205">
        <v>1.0</v>
      </c>
    </row>
    <row r="702" ht="15.75" customHeight="1">
      <c r="A702" s="200" t="s">
        <v>303</v>
      </c>
      <c r="B702" s="186" t="s">
        <v>1099</v>
      </c>
      <c r="C702" s="210" t="s">
        <v>1100</v>
      </c>
      <c r="D702" s="210" t="s">
        <v>1103</v>
      </c>
      <c r="E702" s="204">
        <v>1.0</v>
      </c>
      <c r="F702" s="205">
        <v>0.0</v>
      </c>
      <c r="G702" s="205">
        <v>1.0</v>
      </c>
    </row>
    <row r="703" ht="15.75" customHeight="1">
      <c r="A703" s="200" t="s">
        <v>303</v>
      </c>
      <c r="B703" s="186" t="s">
        <v>1104</v>
      </c>
      <c r="C703" s="210" t="s">
        <v>1105</v>
      </c>
      <c r="D703" s="210" t="s">
        <v>1106</v>
      </c>
      <c r="E703" s="204">
        <v>1.0</v>
      </c>
      <c r="F703" s="205">
        <v>0.0</v>
      </c>
      <c r="G703" s="205">
        <v>0.0</v>
      </c>
    </row>
    <row r="704" ht="15.75" customHeight="1">
      <c r="A704" s="200" t="s">
        <v>303</v>
      </c>
      <c r="B704" s="186" t="s">
        <v>1107</v>
      </c>
      <c r="C704" s="210" t="s">
        <v>1108</v>
      </c>
      <c r="D704" s="210" t="s">
        <v>1109</v>
      </c>
      <c r="E704" s="204">
        <v>1.0</v>
      </c>
      <c r="F704" s="205">
        <v>0.0</v>
      </c>
      <c r="G704" s="205">
        <v>1.0</v>
      </c>
    </row>
    <row r="705" ht="15.75" customHeight="1">
      <c r="A705" s="200" t="s">
        <v>303</v>
      </c>
      <c r="B705" s="186" t="s">
        <v>4488</v>
      </c>
      <c r="C705" s="210" t="s">
        <v>4489</v>
      </c>
      <c r="D705" s="210" t="s">
        <v>4490</v>
      </c>
      <c r="E705" s="204">
        <v>1.0</v>
      </c>
      <c r="F705" s="205">
        <v>0.0</v>
      </c>
      <c r="G705" s="205">
        <v>1.0</v>
      </c>
    </row>
    <row r="706" ht="15.75" customHeight="1">
      <c r="A706" s="200" t="s">
        <v>303</v>
      </c>
      <c r="B706" s="186" t="s">
        <v>4491</v>
      </c>
      <c r="C706" s="210" t="s">
        <v>4492</v>
      </c>
      <c r="D706" s="210" t="s">
        <v>4493</v>
      </c>
      <c r="E706" s="204">
        <v>1.0</v>
      </c>
      <c r="F706" s="205">
        <v>0.0</v>
      </c>
      <c r="G706" s="205">
        <v>0.0</v>
      </c>
    </row>
    <row r="707" ht="15.75" customHeight="1">
      <c r="A707" s="200" t="s">
        <v>303</v>
      </c>
      <c r="B707" s="186" t="s">
        <v>4494</v>
      </c>
      <c r="C707" s="210" t="s">
        <v>4495</v>
      </c>
      <c r="D707" s="210" t="s">
        <v>4496</v>
      </c>
      <c r="E707" s="204">
        <v>1.0</v>
      </c>
      <c r="F707" s="205">
        <v>0.0</v>
      </c>
      <c r="G707" s="205">
        <v>1.0</v>
      </c>
    </row>
    <row r="708" ht="15.75" customHeight="1">
      <c r="A708" s="200" t="s">
        <v>303</v>
      </c>
      <c r="B708" s="186" t="s">
        <v>4497</v>
      </c>
      <c r="C708" s="210" t="s">
        <v>4498</v>
      </c>
      <c r="D708" s="210" t="s">
        <v>4499</v>
      </c>
      <c r="E708" s="204">
        <v>1.0</v>
      </c>
      <c r="F708" s="205">
        <v>0.0</v>
      </c>
      <c r="G708" s="205">
        <v>0.0</v>
      </c>
    </row>
    <row r="709" ht="15.75" customHeight="1">
      <c r="A709" s="200" t="s">
        <v>303</v>
      </c>
      <c r="B709" s="186" t="s">
        <v>1112</v>
      </c>
      <c r="C709" s="210" t="s">
        <v>1113</v>
      </c>
      <c r="D709" s="210" t="s">
        <v>1114</v>
      </c>
      <c r="E709" s="204">
        <v>1.0</v>
      </c>
      <c r="F709" s="205">
        <v>0.0</v>
      </c>
      <c r="G709" s="205">
        <v>0.0</v>
      </c>
    </row>
    <row r="710" ht="15.75" customHeight="1">
      <c r="A710" s="200" t="s">
        <v>303</v>
      </c>
      <c r="B710" s="186" t="s">
        <v>4500</v>
      </c>
      <c r="C710" s="210" t="s">
        <v>4501</v>
      </c>
      <c r="D710" s="210" t="s">
        <v>4502</v>
      </c>
      <c r="E710" s="204">
        <v>1.0</v>
      </c>
      <c r="F710" s="205">
        <v>0.0</v>
      </c>
      <c r="G710" s="205">
        <v>1.0</v>
      </c>
    </row>
    <row r="711" ht="15.75" customHeight="1">
      <c r="A711" s="200" t="s">
        <v>303</v>
      </c>
      <c r="B711" s="186" t="s">
        <v>4503</v>
      </c>
      <c r="C711" s="210" t="s">
        <v>4504</v>
      </c>
      <c r="D711" s="210" t="s">
        <v>4505</v>
      </c>
      <c r="E711" s="204">
        <v>1.0</v>
      </c>
      <c r="F711" s="205">
        <v>0.0</v>
      </c>
      <c r="G711" s="205">
        <v>0.0</v>
      </c>
    </row>
    <row r="712" ht="15.75" customHeight="1">
      <c r="A712" s="200" t="s">
        <v>303</v>
      </c>
      <c r="B712" s="186" t="s">
        <v>4506</v>
      </c>
      <c r="C712" s="210" t="s">
        <v>4507</v>
      </c>
      <c r="D712" s="210" t="s">
        <v>4508</v>
      </c>
      <c r="E712" s="204">
        <v>1.0</v>
      </c>
      <c r="F712" s="205">
        <v>0.0</v>
      </c>
      <c r="G712" s="205">
        <v>1.0</v>
      </c>
    </row>
    <row r="713" ht="15.75" customHeight="1">
      <c r="A713" s="200" t="s">
        <v>303</v>
      </c>
      <c r="B713" s="186" t="s">
        <v>4509</v>
      </c>
      <c r="C713" s="210" t="s">
        <v>4510</v>
      </c>
      <c r="D713" s="210" t="s">
        <v>4511</v>
      </c>
      <c r="E713" s="204">
        <v>1.0</v>
      </c>
      <c r="F713" s="205">
        <v>0.0</v>
      </c>
      <c r="G713" s="205">
        <v>0.0</v>
      </c>
    </row>
    <row r="714" ht="15.75" customHeight="1">
      <c r="A714" s="200" t="s">
        <v>303</v>
      </c>
      <c r="B714" s="186" t="s">
        <v>4512</v>
      </c>
      <c r="C714" s="210" t="s">
        <v>4513</v>
      </c>
      <c r="D714" s="210" t="s">
        <v>4514</v>
      </c>
      <c r="E714" s="204">
        <v>1.0</v>
      </c>
      <c r="F714" s="205">
        <v>0.0</v>
      </c>
      <c r="G714" s="205">
        <v>0.0</v>
      </c>
    </row>
    <row r="715" ht="15.75" customHeight="1">
      <c r="A715" s="200" t="s">
        <v>303</v>
      </c>
      <c r="B715" s="186" t="s">
        <v>4515</v>
      </c>
      <c r="C715" s="210" t="s">
        <v>4516</v>
      </c>
      <c r="D715" s="210" t="s">
        <v>4517</v>
      </c>
      <c r="E715" s="204">
        <v>1.0</v>
      </c>
      <c r="F715" s="205">
        <v>0.0</v>
      </c>
      <c r="G715" s="205">
        <v>0.0</v>
      </c>
    </row>
    <row r="716" ht="15.75" customHeight="1">
      <c r="A716" s="200" t="s">
        <v>303</v>
      </c>
      <c r="B716" s="186" t="s">
        <v>4518</v>
      </c>
      <c r="C716" s="210" t="s">
        <v>4519</v>
      </c>
      <c r="D716" s="210" t="s">
        <v>4520</v>
      </c>
      <c r="E716" s="204">
        <v>1.0</v>
      </c>
      <c r="F716" s="205">
        <v>0.0</v>
      </c>
      <c r="G716" s="205">
        <v>0.0</v>
      </c>
    </row>
    <row r="717" ht="15.75" customHeight="1">
      <c r="A717" s="200" t="s">
        <v>303</v>
      </c>
      <c r="B717" s="186" t="s">
        <v>4521</v>
      </c>
      <c r="C717" s="210" t="s">
        <v>4522</v>
      </c>
      <c r="D717" s="210" t="s">
        <v>4523</v>
      </c>
      <c r="E717" s="204">
        <v>1.0</v>
      </c>
      <c r="F717" s="205">
        <v>0.0</v>
      </c>
      <c r="G717" s="205">
        <v>1.0</v>
      </c>
    </row>
    <row r="718" ht="15.75" customHeight="1">
      <c r="A718" s="200" t="s">
        <v>303</v>
      </c>
      <c r="B718" s="186" t="s">
        <v>4524</v>
      </c>
      <c r="C718" s="210" t="s">
        <v>4525</v>
      </c>
      <c r="D718" s="210" t="s">
        <v>4526</v>
      </c>
      <c r="E718" s="204">
        <v>1.0</v>
      </c>
      <c r="F718" s="205">
        <v>0.0</v>
      </c>
      <c r="G718" s="205">
        <v>0.0</v>
      </c>
    </row>
    <row r="719" ht="15.75" customHeight="1">
      <c r="A719" s="200" t="s">
        <v>303</v>
      </c>
      <c r="B719" s="186" t="s">
        <v>4527</v>
      </c>
      <c r="C719" s="210" t="s">
        <v>4528</v>
      </c>
      <c r="D719" s="210" t="s">
        <v>4529</v>
      </c>
      <c r="E719" s="204">
        <v>1.0</v>
      </c>
      <c r="F719" s="205">
        <v>0.0</v>
      </c>
      <c r="G719" s="205">
        <v>1.0</v>
      </c>
    </row>
    <row r="720" ht="15.75" customHeight="1">
      <c r="A720" s="200" t="s">
        <v>303</v>
      </c>
      <c r="B720" s="186" t="s">
        <v>4530</v>
      </c>
      <c r="C720" s="210" t="s">
        <v>4531</v>
      </c>
      <c r="D720" s="210" t="s">
        <v>4532</v>
      </c>
      <c r="E720" s="204">
        <v>1.0</v>
      </c>
      <c r="F720" s="205">
        <v>0.0</v>
      </c>
      <c r="G720" s="205">
        <v>0.0</v>
      </c>
    </row>
    <row r="721" ht="15.75" customHeight="1">
      <c r="A721" s="200" t="s">
        <v>303</v>
      </c>
      <c r="B721" s="186" t="s">
        <v>4533</v>
      </c>
      <c r="C721" s="210" t="s">
        <v>4534</v>
      </c>
      <c r="D721" s="210" t="s">
        <v>1259</v>
      </c>
      <c r="E721" s="204">
        <v>1.0</v>
      </c>
      <c r="F721" s="205">
        <v>0.0</v>
      </c>
      <c r="G721" s="205">
        <v>1.0</v>
      </c>
    </row>
    <row r="722" ht="15.75" customHeight="1">
      <c r="A722" s="200" t="s">
        <v>303</v>
      </c>
      <c r="B722" s="186" t="s">
        <v>4535</v>
      </c>
      <c r="C722" s="210" t="s">
        <v>4536</v>
      </c>
      <c r="D722" s="210" t="s">
        <v>4537</v>
      </c>
      <c r="E722" s="204">
        <v>1.0</v>
      </c>
      <c r="F722" s="205">
        <v>0.0</v>
      </c>
      <c r="G722" s="205">
        <v>1.0</v>
      </c>
    </row>
    <row r="723" ht="15.75" customHeight="1">
      <c r="A723" s="200" t="s">
        <v>303</v>
      </c>
      <c r="B723" s="186" t="s">
        <v>4538</v>
      </c>
      <c r="C723" s="210" t="s">
        <v>4539</v>
      </c>
      <c r="D723" s="210"/>
      <c r="E723" s="204">
        <v>1.0</v>
      </c>
      <c r="F723" s="205">
        <v>0.0</v>
      </c>
      <c r="G723" s="205">
        <v>1.0</v>
      </c>
    </row>
    <row r="724" ht="15.75" customHeight="1">
      <c r="A724" s="200" t="s">
        <v>303</v>
      </c>
      <c r="B724" s="186" t="s">
        <v>4540</v>
      </c>
      <c r="C724" s="210" t="s">
        <v>4541</v>
      </c>
      <c r="D724" s="210" t="s">
        <v>1130</v>
      </c>
      <c r="E724" s="204">
        <v>1.0</v>
      </c>
      <c r="F724" s="205">
        <v>0.0</v>
      </c>
      <c r="G724" s="205">
        <v>1.0</v>
      </c>
    </row>
    <row r="725" ht="15.75" customHeight="1">
      <c r="A725" s="200" t="s">
        <v>303</v>
      </c>
      <c r="B725" s="186" t="s">
        <v>4542</v>
      </c>
      <c r="C725" s="210" t="s">
        <v>4543</v>
      </c>
      <c r="D725" s="210"/>
      <c r="E725" s="204">
        <v>1.0</v>
      </c>
      <c r="F725" s="205">
        <v>0.0</v>
      </c>
      <c r="G725" s="205">
        <v>2.0</v>
      </c>
    </row>
    <row r="726" ht="15.75" customHeight="1">
      <c r="A726" s="200" t="s">
        <v>303</v>
      </c>
      <c r="B726" s="186" t="s">
        <v>4544</v>
      </c>
      <c r="C726" s="210" t="s">
        <v>4545</v>
      </c>
      <c r="D726" s="210" t="s">
        <v>4546</v>
      </c>
      <c r="E726" s="204">
        <v>1.0</v>
      </c>
      <c r="F726" s="205">
        <v>0.0</v>
      </c>
      <c r="G726" s="205">
        <v>2.0</v>
      </c>
    </row>
    <row r="727" ht="15.75" customHeight="1">
      <c r="A727" s="200" t="s">
        <v>303</v>
      </c>
      <c r="B727" s="186" t="s">
        <v>4547</v>
      </c>
      <c r="C727" s="210" t="s">
        <v>4548</v>
      </c>
      <c r="D727" s="210" t="s">
        <v>4549</v>
      </c>
      <c r="E727" s="204">
        <v>1.0</v>
      </c>
      <c r="F727" s="205">
        <v>0.0</v>
      </c>
      <c r="G727" s="205">
        <v>0.0</v>
      </c>
    </row>
    <row r="728" ht="15.75" customHeight="1">
      <c r="A728" s="200" t="s">
        <v>303</v>
      </c>
      <c r="B728" s="186" t="s">
        <v>4550</v>
      </c>
      <c r="C728" s="210" t="s">
        <v>4551</v>
      </c>
      <c r="D728" s="210" t="s">
        <v>4552</v>
      </c>
      <c r="E728" s="204">
        <v>1.0</v>
      </c>
      <c r="F728" s="205">
        <v>0.0</v>
      </c>
      <c r="G728" s="205">
        <v>1.0</v>
      </c>
    </row>
    <row r="729" ht="15.75" customHeight="1">
      <c r="A729" s="200" t="s">
        <v>303</v>
      </c>
      <c r="B729" s="186" t="s">
        <v>4553</v>
      </c>
      <c r="C729" s="210" t="s">
        <v>4554</v>
      </c>
      <c r="D729" s="210" t="s">
        <v>4555</v>
      </c>
      <c r="E729" s="204">
        <v>1.0</v>
      </c>
      <c r="F729" s="205">
        <v>0.0</v>
      </c>
      <c r="G729" s="205">
        <v>1.0</v>
      </c>
    </row>
    <row r="730" ht="15.75" customHeight="1">
      <c r="A730" s="200" t="s">
        <v>303</v>
      </c>
      <c r="B730" s="186" t="s">
        <v>4556</v>
      </c>
      <c r="C730" s="210" t="s">
        <v>4557</v>
      </c>
      <c r="D730" s="210" t="s">
        <v>4558</v>
      </c>
      <c r="E730" s="204">
        <v>1.0</v>
      </c>
      <c r="F730" s="205">
        <v>0.0</v>
      </c>
      <c r="G730" s="205">
        <v>3.0</v>
      </c>
    </row>
    <row r="731" ht="15.75" customHeight="1">
      <c r="A731" s="200" t="s">
        <v>303</v>
      </c>
      <c r="B731" s="186" t="s">
        <v>4559</v>
      </c>
      <c r="C731" s="210" t="s">
        <v>4560</v>
      </c>
      <c r="D731" s="210" t="s">
        <v>4561</v>
      </c>
      <c r="E731" s="204">
        <v>1.0</v>
      </c>
      <c r="F731" s="205">
        <v>0.0</v>
      </c>
      <c r="G731" s="205">
        <v>0.0</v>
      </c>
    </row>
    <row r="732" ht="15.75" customHeight="1">
      <c r="A732" s="200" t="s">
        <v>303</v>
      </c>
      <c r="B732" s="186" t="s">
        <v>4562</v>
      </c>
      <c r="C732" s="210" t="s">
        <v>4563</v>
      </c>
      <c r="D732" s="210" t="s">
        <v>4564</v>
      </c>
      <c r="E732" s="204">
        <v>1.0</v>
      </c>
      <c r="F732" s="205">
        <v>0.0</v>
      </c>
      <c r="G732" s="205">
        <v>1.0</v>
      </c>
    </row>
    <row r="733" ht="15.75" customHeight="1">
      <c r="A733" s="200" t="s">
        <v>303</v>
      </c>
      <c r="B733" s="186" t="s">
        <v>4565</v>
      </c>
      <c r="C733" s="210" t="s">
        <v>4566</v>
      </c>
      <c r="D733" s="210" t="s">
        <v>4567</v>
      </c>
      <c r="E733" s="204">
        <v>1.0</v>
      </c>
      <c r="F733" s="205">
        <v>0.0</v>
      </c>
      <c r="G733" s="205">
        <v>1.0</v>
      </c>
    </row>
    <row r="734" ht="15.75" customHeight="1">
      <c r="A734" s="200" t="s">
        <v>303</v>
      </c>
      <c r="B734" s="186" t="s">
        <v>4568</v>
      </c>
      <c r="C734" s="210" t="s">
        <v>4569</v>
      </c>
      <c r="D734" s="210" t="s">
        <v>254</v>
      </c>
      <c r="E734" s="204">
        <v>1.0</v>
      </c>
      <c r="F734" s="205">
        <v>0.0</v>
      </c>
      <c r="G734" s="205">
        <v>0.0</v>
      </c>
    </row>
    <row r="735" ht="15.75" customHeight="1">
      <c r="A735" s="200" t="s">
        <v>303</v>
      </c>
      <c r="B735" s="186" t="s">
        <v>4570</v>
      </c>
      <c r="C735" s="210" t="s">
        <v>4571</v>
      </c>
      <c r="D735" s="210" t="s">
        <v>4572</v>
      </c>
      <c r="E735" s="204">
        <v>1.0</v>
      </c>
      <c r="F735" s="205">
        <v>0.0</v>
      </c>
      <c r="G735" s="205">
        <v>2.0</v>
      </c>
    </row>
    <row r="736" ht="15.75" customHeight="1">
      <c r="A736" s="200" t="s">
        <v>303</v>
      </c>
      <c r="B736" s="186" t="s">
        <v>4573</v>
      </c>
      <c r="C736" s="210" t="s">
        <v>4574</v>
      </c>
      <c r="D736" s="210" t="s">
        <v>254</v>
      </c>
      <c r="E736" s="204">
        <v>1.0</v>
      </c>
      <c r="F736" s="205">
        <v>0.0</v>
      </c>
      <c r="G736" s="205">
        <v>0.0</v>
      </c>
    </row>
    <row r="737" ht="15.75" customHeight="1">
      <c r="A737" s="200" t="s">
        <v>303</v>
      </c>
      <c r="B737" s="186" t="s">
        <v>4575</v>
      </c>
      <c r="C737" s="210" t="s">
        <v>4576</v>
      </c>
      <c r="D737" s="210" t="s">
        <v>4577</v>
      </c>
      <c r="E737" s="204">
        <v>1.0</v>
      </c>
      <c r="F737" s="205">
        <v>0.0</v>
      </c>
      <c r="G737" s="205">
        <v>0.0</v>
      </c>
    </row>
    <row r="738" ht="15.75" customHeight="1">
      <c r="A738" s="200" t="s">
        <v>303</v>
      </c>
      <c r="B738" s="186" t="s">
        <v>4578</v>
      </c>
      <c r="C738" s="210" t="s">
        <v>4579</v>
      </c>
      <c r="D738" s="210" t="s">
        <v>4580</v>
      </c>
      <c r="E738" s="204">
        <v>1.0</v>
      </c>
      <c r="F738" s="205">
        <v>0.0</v>
      </c>
      <c r="G738" s="205">
        <v>1.0</v>
      </c>
    </row>
    <row r="739" ht="15.75" customHeight="1">
      <c r="A739" s="200" t="s">
        <v>303</v>
      </c>
      <c r="B739" s="186" t="s">
        <v>4581</v>
      </c>
      <c r="C739" s="210" t="s">
        <v>4582</v>
      </c>
      <c r="D739" s="210" t="s">
        <v>4583</v>
      </c>
      <c r="E739" s="204">
        <v>1.0</v>
      </c>
      <c r="F739" s="205">
        <v>0.0</v>
      </c>
      <c r="G739" s="205">
        <v>0.0</v>
      </c>
    </row>
    <row r="740" ht="15.75" customHeight="1">
      <c r="A740" s="200" t="s">
        <v>303</v>
      </c>
      <c r="B740" s="186" t="s">
        <v>4584</v>
      </c>
      <c r="C740" s="210" t="s">
        <v>4585</v>
      </c>
      <c r="D740" s="210" t="s">
        <v>1101</v>
      </c>
      <c r="E740" s="204">
        <v>1.0</v>
      </c>
      <c r="F740" s="205">
        <v>0.0</v>
      </c>
      <c r="G740" s="205">
        <v>0.0</v>
      </c>
    </row>
    <row r="741" ht="15.75" customHeight="1">
      <c r="A741" s="200" t="s">
        <v>303</v>
      </c>
      <c r="B741" s="186" t="s">
        <v>4586</v>
      </c>
      <c r="C741" s="210" t="s">
        <v>4587</v>
      </c>
      <c r="D741" s="210"/>
      <c r="E741" s="204">
        <v>1.0</v>
      </c>
      <c r="F741" s="205">
        <v>0.0</v>
      </c>
      <c r="G741" s="205">
        <v>0.0</v>
      </c>
    </row>
    <row r="742" ht="15.75" customHeight="1">
      <c r="A742" s="200" t="s">
        <v>303</v>
      </c>
      <c r="B742" s="186" t="s">
        <v>4588</v>
      </c>
      <c r="C742" s="210" t="s">
        <v>4589</v>
      </c>
      <c r="D742" s="210"/>
      <c r="E742" s="204">
        <v>1.0</v>
      </c>
      <c r="F742" s="205">
        <v>0.0</v>
      </c>
      <c r="G742" s="205">
        <v>0.0</v>
      </c>
    </row>
    <row r="743" ht="15.75" customHeight="1">
      <c r="A743" s="200" t="s">
        <v>303</v>
      </c>
      <c r="B743" s="186" t="s">
        <v>4590</v>
      </c>
      <c r="C743" s="210" t="s">
        <v>4591</v>
      </c>
      <c r="D743" s="210"/>
      <c r="E743" s="204">
        <v>1.0</v>
      </c>
      <c r="F743" s="205">
        <v>0.0</v>
      </c>
      <c r="G743" s="205">
        <v>0.0</v>
      </c>
    </row>
    <row r="744" ht="15.75" customHeight="1">
      <c r="A744" s="200" t="s">
        <v>303</v>
      </c>
      <c r="B744" s="186" t="s">
        <v>4592</v>
      </c>
      <c r="C744" s="210" t="s">
        <v>4593</v>
      </c>
      <c r="D744" s="210" t="s">
        <v>380</v>
      </c>
      <c r="E744" s="204">
        <v>1.0</v>
      </c>
      <c r="F744" s="205">
        <v>0.0</v>
      </c>
      <c r="G744" s="205">
        <v>0.0</v>
      </c>
    </row>
    <row r="745" ht="15.75" customHeight="1">
      <c r="A745" s="200" t="s">
        <v>303</v>
      </c>
      <c r="B745" s="186" t="s">
        <v>4594</v>
      </c>
      <c r="C745" s="210" t="s">
        <v>4595</v>
      </c>
      <c r="D745" s="210" t="s">
        <v>4596</v>
      </c>
      <c r="E745" s="204">
        <v>1.0</v>
      </c>
      <c r="F745" s="205">
        <v>0.0</v>
      </c>
      <c r="G745" s="205">
        <v>2.0</v>
      </c>
    </row>
    <row r="746" ht="15.75" customHeight="1">
      <c r="A746" s="200" t="s">
        <v>303</v>
      </c>
      <c r="B746" s="186" t="s">
        <v>4597</v>
      </c>
      <c r="C746" s="210" t="s">
        <v>4598</v>
      </c>
      <c r="D746" s="210" t="s">
        <v>4599</v>
      </c>
      <c r="E746" s="204">
        <v>1.0</v>
      </c>
      <c r="F746" s="205">
        <v>0.0</v>
      </c>
      <c r="G746" s="205">
        <v>0.0</v>
      </c>
    </row>
    <row r="747" ht="15.75" customHeight="1">
      <c r="A747" s="200" t="s">
        <v>303</v>
      </c>
      <c r="B747" s="186" t="s">
        <v>4600</v>
      </c>
      <c r="C747" s="210" t="s">
        <v>4601</v>
      </c>
      <c r="D747" s="210" t="s">
        <v>4602</v>
      </c>
      <c r="E747" s="204">
        <v>1.0</v>
      </c>
      <c r="F747" s="205">
        <v>0.0</v>
      </c>
      <c r="G747" s="205">
        <v>0.0</v>
      </c>
    </row>
    <row r="748" ht="15.75" customHeight="1">
      <c r="A748" s="200" t="s">
        <v>303</v>
      </c>
      <c r="B748" s="186" t="s">
        <v>4603</v>
      </c>
      <c r="C748" s="210" t="s">
        <v>4604</v>
      </c>
      <c r="D748" s="210" t="s">
        <v>4605</v>
      </c>
      <c r="E748" s="204">
        <v>1.0</v>
      </c>
      <c r="F748" s="205">
        <v>0.0</v>
      </c>
      <c r="G748" s="205">
        <v>1.0</v>
      </c>
    </row>
    <row r="749" ht="15.75" customHeight="1">
      <c r="A749" s="200" t="s">
        <v>303</v>
      </c>
      <c r="B749" s="186" t="s">
        <v>505</v>
      </c>
      <c r="C749" s="210" t="s">
        <v>506</v>
      </c>
      <c r="D749" s="210" t="s">
        <v>507</v>
      </c>
      <c r="E749" s="204">
        <v>1.0</v>
      </c>
      <c r="F749" s="205">
        <v>0.0</v>
      </c>
      <c r="G749" s="205">
        <v>0.0</v>
      </c>
    </row>
    <row r="750" ht="15.75" customHeight="1">
      <c r="A750" s="200" t="s">
        <v>303</v>
      </c>
      <c r="B750" s="186" t="s">
        <v>508</v>
      </c>
      <c r="C750" s="210" t="s">
        <v>509</v>
      </c>
      <c r="D750" s="210" t="s">
        <v>510</v>
      </c>
      <c r="E750" s="204">
        <v>1.0</v>
      </c>
      <c r="F750" s="205">
        <v>0.0</v>
      </c>
      <c r="G750" s="205">
        <v>0.0</v>
      </c>
    </row>
    <row r="751" ht="15.75" customHeight="1">
      <c r="A751" s="200" t="s">
        <v>303</v>
      </c>
      <c r="B751" s="186" t="s">
        <v>4606</v>
      </c>
      <c r="C751" s="210" t="s">
        <v>4607</v>
      </c>
      <c r="D751" s="210" t="s">
        <v>4608</v>
      </c>
      <c r="E751" s="204">
        <v>1.0</v>
      </c>
      <c r="F751" s="205">
        <v>0.0</v>
      </c>
      <c r="G751" s="205">
        <v>0.0</v>
      </c>
    </row>
    <row r="752" ht="15.75" customHeight="1">
      <c r="A752" s="200" t="s">
        <v>303</v>
      </c>
      <c r="B752" s="186" t="s">
        <v>511</v>
      </c>
      <c r="C752" s="210" t="s">
        <v>512</v>
      </c>
      <c r="D752" s="210" t="s">
        <v>513</v>
      </c>
      <c r="E752" s="204">
        <v>1.0</v>
      </c>
      <c r="F752" s="205">
        <v>0.0</v>
      </c>
      <c r="G752" s="205">
        <v>0.0</v>
      </c>
    </row>
    <row r="753" ht="15.75" customHeight="1">
      <c r="A753" s="200" t="s">
        <v>303</v>
      </c>
      <c r="B753" s="186" t="s">
        <v>514</v>
      </c>
      <c r="C753" s="210" t="s">
        <v>515</v>
      </c>
      <c r="D753" s="210" t="s">
        <v>516</v>
      </c>
      <c r="E753" s="204">
        <v>1.0</v>
      </c>
      <c r="F753" s="205">
        <v>0.0</v>
      </c>
      <c r="G753" s="205">
        <v>0.0</v>
      </c>
    </row>
    <row r="754" ht="15.75" customHeight="1">
      <c r="A754" s="200" t="s">
        <v>303</v>
      </c>
      <c r="B754" s="186" t="s">
        <v>1115</v>
      </c>
      <c r="C754" s="210" t="s">
        <v>1116</v>
      </c>
      <c r="D754" s="210" t="s">
        <v>1117</v>
      </c>
      <c r="E754" s="204">
        <v>1.0</v>
      </c>
      <c r="F754" s="205">
        <v>0.0</v>
      </c>
      <c r="G754" s="205">
        <v>2.0</v>
      </c>
    </row>
    <row r="755" ht="15.75" customHeight="1">
      <c r="A755" s="200" t="s">
        <v>303</v>
      </c>
      <c r="B755" s="186" t="s">
        <v>517</v>
      </c>
      <c r="C755" s="210" t="s">
        <v>518</v>
      </c>
      <c r="D755" s="210" t="s">
        <v>392</v>
      </c>
      <c r="E755" s="204">
        <v>1.0</v>
      </c>
      <c r="F755" s="205">
        <v>0.0</v>
      </c>
      <c r="G755" s="205">
        <v>0.0</v>
      </c>
    </row>
    <row r="756" ht="15.75" customHeight="1">
      <c r="A756" s="200" t="s">
        <v>303</v>
      </c>
      <c r="B756" s="186" t="s">
        <v>519</v>
      </c>
      <c r="C756" s="210" t="s">
        <v>520</v>
      </c>
      <c r="D756" s="210" t="s">
        <v>521</v>
      </c>
      <c r="E756" s="204">
        <v>1.0</v>
      </c>
      <c r="F756" s="205">
        <v>0.0</v>
      </c>
      <c r="G756" s="205">
        <v>0.0</v>
      </c>
    </row>
    <row r="757" ht="15.75" customHeight="1">
      <c r="A757" s="200" t="s">
        <v>303</v>
      </c>
      <c r="B757" s="186" t="s">
        <v>4609</v>
      </c>
      <c r="C757" s="210" t="s">
        <v>4610</v>
      </c>
      <c r="D757" s="210" t="s">
        <v>4611</v>
      </c>
      <c r="E757" s="204">
        <v>1.0</v>
      </c>
      <c r="F757" s="205">
        <v>0.0</v>
      </c>
      <c r="G757" s="205">
        <v>1.0</v>
      </c>
    </row>
    <row r="758" ht="15.75" customHeight="1">
      <c r="A758" s="200" t="s">
        <v>303</v>
      </c>
      <c r="B758" s="186" t="s">
        <v>522</v>
      </c>
      <c r="C758" s="210" t="s">
        <v>523</v>
      </c>
      <c r="D758" s="210" t="s">
        <v>524</v>
      </c>
      <c r="E758" s="204">
        <v>1.0</v>
      </c>
      <c r="F758" s="205">
        <v>0.0</v>
      </c>
      <c r="G758" s="205">
        <v>0.0</v>
      </c>
    </row>
    <row r="759" ht="15.75" customHeight="1">
      <c r="A759" s="200" t="s">
        <v>303</v>
      </c>
      <c r="B759" s="186" t="s">
        <v>2919</v>
      </c>
      <c r="C759" s="210" t="s">
        <v>2920</v>
      </c>
      <c r="D759" s="210" t="s">
        <v>526</v>
      </c>
      <c r="E759" s="204">
        <v>1.0</v>
      </c>
      <c r="F759" s="205">
        <v>0.0</v>
      </c>
      <c r="G759" s="205">
        <v>0.0</v>
      </c>
    </row>
    <row r="760" ht="15.75" customHeight="1">
      <c r="A760" s="200" t="s">
        <v>303</v>
      </c>
      <c r="B760" s="186" t="s">
        <v>525</v>
      </c>
      <c r="C760" s="210" t="s">
        <v>457</v>
      </c>
      <c r="D760" s="210" t="s">
        <v>526</v>
      </c>
      <c r="E760" s="204">
        <v>1.0</v>
      </c>
      <c r="F760" s="205">
        <v>0.0</v>
      </c>
      <c r="G760" s="205">
        <v>0.0</v>
      </c>
    </row>
    <row r="761" ht="15.75" customHeight="1">
      <c r="A761" s="200" t="s">
        <v>303</v>
      </c>
      <c r="B761" s="186" t="s">
        <v>4612</v>
      </c>
      <c r="C761" s="210" t="s">
        <v>4613</v>
      </c>
      <c r="D761" s="210" t="s">
        <v>443</v>
      </c>
      <c r="E761" s="204">
        <v>1.0</v>
      </c>
      <c r="F761" s="205">
        <v>0.0</v>
      </c>
      <c r="G761" s="205">
        <v>0.0</v>
      </c>
    </row>
    <row r="762" ht="15.75" customHeight="1">
      <c r="A762" s="200" t="s">
        <v>303</v>
      </c>
      <c r="B762" s="186" t="s">
        <v>527</v>
      </c>
      <c r="C762" s="210" t="s">
        <v>528</v>
      </c>
      <c r="D762" s="210" t="s">
        <v>529</v>
      </c>
      <c r="E762" s="204">
        <v>1.0</v>
      </c>
      <c r="F762" s="205">
        <v>0.0</v>
      </c>
      <c r="G762" s="205">
        <v>0.0</v>
      </c>
    </row>
    <row r="763" ht="15.75" customHeight="1">
      <c r="A763" s="200" t="s">
        <v>303</v>
      </c>
      <c r="B763" s="186" t="s">
        <v>530</v>
      </c>
      <c r="C763" s="210" t="s">
        <v>531</v>
      </c>
      <c r="D763" s="210" t="s">
        <v>532</v>
      </c>
      <c r="E763" s="204">
        <v>1.0</v>
      </c>
      <c r="F763" s="205">
        <v>0.0</v>
      </c>
      <c r="G763" s="205">
        <v>1.0</v>
      </c>
    </row>
    <row r="764" ht="15.75" customHeight="1">
      <c r="A764" s="200" t="s">
        <v>303</v>
      </c>
      <c r="B764" s="186" t="s">
        <v>533</v>
      </c>
      <c r="C764" s="210" t="s">
        <v>433</v>
      </c>
      <c r="D764" s="210" t="s">
        <v>534</v>
      </c>
      <c r="E764" s="204">
        <v>1.0</v>
      </c>
      <c r="F764" s="205">
        <v>0.0</v>
      </c>
      <c r="G764" s="205">
        <v>0.0</v>
      </c>
    </row>
    <row r="765" ht="15.75" customHeight="1">
      <c r="A765" s="200" t="s">
        <v>303</v>
      </c>
      <c r="B765" s="186" t="s">
        <v>535</v>
      </c>
      <c r="C765" s="210" t="s">
        <v>536</v>
      </c>
      <c r="D765" s="210" t="s">
        <v>537</v>
      </c>
      <c r="E765" s="204">
        <v>1.0</v>
      </c>
      <c r="F765" s="205">
        <v>0.0</v>
      </c>
      <c r="G765" s="205">
        <v>0.0</v>
      </c>
    </row>
    <row r="766" ht="15.75" customHeight="1">
      <c r="A766" s="200" t="s">
        <v>303</v>
      </c>
      <c r="B766" s="186" t="s">
        <v>538</v>
      </c>
      <c r="C766" s="210" t="s">
        <v>536</v>
      </c>
      <c r="D766" s="210" t="s">
        <v>537</v>
      </c>
      <c r="E766" s="204">
        <v>1.0</v>
      </c>
      <c r="F766" s="205">
        <v>0.0</v>
      </c>
      <c r="G766" s="205">
        <v>0.0</v>
      </c>
    </row>
    <row r="767" ht="15.75" customHeight="1">
      <c r="A767" s="200" t="s">
        <v>303</v>
      </c>
      <c r="B767" s="186" t="s">
        <v>539</v>
      </c>
      <c r="C767" s="210" t="s">
        <v>536</v>
      </c>
      <c r="D767" s="210" t="s">
        <v>537</v>
      </c>
      <c r="E767" s="204">
        <v>1.0</v>
      </c>
      <c r="F767" s="205">
        <v>0.0</v>
      </c>
      <c r="G767" s="205">
        <v>0.0</v>
      </c>
    </row>
    <row r="768" ht="15.75" customHeight="1">
      <c r="A768" s="200" t="s">
        <v>303</v>
      </c>
      <c r="B768" s="186" t="s">
        <v>540</v>
      </c>
      <c r="C768" s="210" t="s">
        <v>541</v>
      </c>
      <c r="D768" s="210" t="s">
        <v>542</v>
      </c>
      <c r="E768" s="204">
        <v>1.0</v>
      </c>
      <c r="F768" s="205">
        <v>0.0</v>
      </c>
      <c r="G768" s="205">
        <v>0.0</v>
      </c>
    </row>
    <row r="769" ht="15.75" customHeight="1">
      <c r="A769" s="200" t="s">
        <v>303</v>
      </c>
      <c r="B769" s="186" t="s">
        <v>543</v>
      </c>
      <c r="C769" s="210" t="s">
        <v>544</v>
      </c>
      <c r="D769" s="210" t="s">
        <v>545</v>
      </c>
      <c r="E769" s="204">
        <v>1.0</v>
      </c>
      <c r="F769" s="205">
        <v>0.0</v>
      </c>
      <c r="G769" s="205">
        <v>6.0</v>
      </c>
    </row>
    <row r="770" ht="15.75" customHeight="1">
      <c r="A770" s="200" t="s">
        <v>303</v>
      </c>
      <c r="B770" s="186" t="s">
        <v>546</v>
      </c>
      <c r="C770" s="210" t="s">
        <v>547</v>
      </c>
      <c r="D770" s="210" t="s">
        <v>416</v>
      </c>
      <c r="E770" s="204">
        <v>1.0</v>
      </c>
      <c r="F770" s="205">
        <v>0.0</v>
      </c>
      <c r="G770" s="205">
        <v>0.0</v>
      </c>
    </row>
    <row r="771" ht="15.75" customHeight="1">
      <c r="A771" s="200" t="s">
        <v>303</v>
      </c>
      <c r="B771" s="186" t="s">
        <v>548</v>
      </c>
      <c r="C771" s="210" t="s">
        <v>549</v>
      </c>
      <c r="D771" s="210" t="s">
        <v>550</v>
      </c>
      <c r="E771" s="204">
        <v>1.0</v>
      </c>
      <c r="F771" s="205">
        <v>0.0</v>
      </c>
      <c r="G771" s="205">
        <v>0.0</v>
      </c>
    </row>
    <row r="772" ht="15.75" customHeight="1">
      <c r="A772" s="200" t="s">
        <v>303</v>
      </c>
      <c r="B772" s="186" t="s">
        <v>551</v>
      </c>
      <c r="C772" s="210" t="s">
        <v>552</v>
      </c>
      <c r="D772" s="210" t="s">
        <v>553</v>
      </c>
      <c r="E772" s="204">
        <v>1.0</v>
      </c>
      <c r="F772" s="205">
        <v>0.0</v>
      </c>
      <c r="G772" s="205">
        <v>0.0</v>
      </c>
    </row>
    <row r="773" ht="15.75" customHeight="1">
      <c r="A773" s="200" t="s">
        <v>303</v>
      </c>
      <c r="B773" s="186" t="s">
        <v>554</v>
      </c>
      <c r="C773" s="210" t="s">
        <v>555</v>
      </c>
      <c r="D773" s="210" t="s">
        <v>556</v>
      </c>
      <c r="E773" s="204">
        <v>1.0</v>
      </c>
      <c r="F773" s="205">
        <v>0.0</v>
      </c>
      <c r="G773" s="205">
        <v>1.0</v>
      </c>
    </row>
    <row r="774" ht="15.75" customHeight="1">
      <c r="A774" s="200" t="s">
        <v>303</v>
      </c>
      <c r="B774" s="186" t="s">
        <v>557</v>
      </c>
      <c r="C774" s="210" t="s">
        <v>558</v>
      </c>
      <c r="D774" s="210" t="s">
        <v>559</v>
      </c>
      <c r="E774" s="204">
        <v>1.0</v>
      </c>
      <c r="F774" s="205">
        <v>0.0</v>
      </c>
      <c r="G774" s="205">
        <v>0.0</v>
      </c>
    </row>
    <row r="775" ht="15.75" customHeight="1">
      <c r="A775" s="200" t="s">
        <v>303</v>
      </c>
      <c r="B775" s="186" t="s">
        <v>560</v>
      </c>
      <c r="C775" s="210" t="s">
        <v>561</v>
      </c>
      <c r="D775" s="210" t="s">
        <v>254</v>
      </c>
      <c r="E775" s="204">
        <v>1.0</v>
      </c>
      <c r="F775" s="205">
        <v>0.0</v>
      </c>
      <c r="G775" s="205">
        <v>0.0</v>
      </c>
    </row>
    <row r="776" ht="15.75" customHeight="1">
      <c r="A776" s="200" t="s">
        <v>303</v>
      </c>
      <c r="B776" s="186" t="s">
        <v>4614</v>
      </c>
      <c r="C776" s="210" t="s">
        <v>4615</v>
      </c>
      <c r="D776" s="210" t="s">
        <v>4616</v>
      </c>
      <c r="E776" s="204">
        <v>1.0</v>
      </c>
      <c r="F776" s="205">
        <v>0.0</v>
      </c>
      <c r="G776" s="205">
        <v>0.0</v>
      </c>
    </row>
    <row r="777" ht="15.75" customHeight="1">
      <c r="A777" s="200" t="s">
        <v>303</v>
      </c>
      <c r="B777" s="186" t="s">
        <v>4617</v>
      </c>
      <c r="C777" s="210" t="s">
        <v>4618</v>
      </c>
      <c r="D777" s="210" t="s">
        <v>4619</v>
      </c>
      <c r="E777" s="204">
        <v>1.0</v>
      </c>
      <c r="F777" s="205">
        <v>0.0</v>
      </c>
      <c r="G777" s="205">
        <v>1.0</v>
      </c>
    </row>
    <row r="778" ht="15.75" customHeight="1">
      <c r="A778" s="200" t="s">
        <v>303</v>
      </c>
      <c r="B778" s="186" t="s">
        <v>1118</v>
      </c>
      <c r="C778" s="210" t="s">
        <v>1119</v>
      </c>
      <c r="D778" s="210" t="s">
        <v>1121</v>
      </c>
      <c r="E778" s="204">
        <v>1.0</v>
      </c>
      <c r="F778" s="205">
        <v>0.0</v>
      </c>
      <c r="G778" s="205">
        <v>1.0</v>
      </c>
    </row>
    <row r="779" ht="15.75" customHeight="1">
      <c r="A779" s="200" t="s">
        <v>303</v>
      </c>
      <c r="B779" s="186" t="s">
        <v>1122</v>
      </c>
      <c r="C779" s="210" t="s">
        <v>1123</v>
      </c>
      <c r="D779" s="210" t="s">
        <v>1124</v>
      </c>
      <c r="E779" s="204">
        <v>1.0</v>
      </c>
      <c r="F779" s="205">
        <v>0.0</v>
      </c>
      <c r="G779" s="205">
        <v>1.0</v>
      </c>
    </row>
    <row r="780" ht="15.75" customHeight="1">
      <c r="A780" s="200" t="s">
        <v>303</v>
      </c>
      <c r="B780" s="186" t="s">
        <v>1125</v>
      </c>
      <c r="C780" s="210" t="s">
        <v>1126</v>
      </c>
      <c r="D780" s="210" t="s">
        <v>1127</v>
      </c>
      <c r="E780" s="204">
        <v>1.0</v>
      </c>
      <c r="F780" s="205">
        <v>0.0</v>
      </c>
      <c r="G780" s="205">
        <v>1.0</v>
      </c>
    </row>
    <row r="781" ht="15.75" customHeight="1">
      <c r="A781" s="200" t="s">
        <v>303</v>
      </c>
      <c r="B781" s="186" t="s">
        <v>1128</v>
      </c>
      <c r="C781" s="210" t="s">
        <v>1129</v>
      </c>
      <c r="D781" s="210" t="s">
        <v>1132</v>
      </c>
      <c r="E781" s="204">
        <v>1.0</v>
      </c>
      <c r="F781" s="205">
        <v>0.0</v>
      </c>
      <c r="G781" s="205">
        <v>1.0</v>
      </c>
    </row>
    <row r="782" ht="15.75" customHeight="1">
      <c r="A782" s="200" t="s">
        <v>303</v>
      </c>
      <c r="B782" s="186" t="s">
        <v>1133</v>
      </c>
      <c r="C782" s="210" t="s">
        <v>1134</v>
      </c>
      <c r="D782" s="210" t="s">
        <v>820</v>
      </c>
      <c r="E782" s="204">
        <v>1.0</v>
      </c>
      <c r="F782" s="205">
        <v>0.0</v>
      </c>
      <c r="G782" s="205">
        <v>1.0</v>
      </c>
    </row>
    <row r="783" ht="15.75" customHeight="1">
      <c r="A783" s="200" t="s">
        <v>303</v>
      </c>
      <c r="B783" s="186" t="s">
        <v>1135</v>
      </c>
      <c r="C783" s="210" t="s">
        <v>1136</v>
      </c>
      <c r="D783" s="210" t="s">
        <v>1137</v>
      </c>
      <c r="E783" s="204">
        <v>1.0</v>
      </c>
      <c r="F783" s="205">
        <v>0.0</v>
      </c>
      <c r="G783" s="205">
        <v>1.0</v>
      </c>
    </row>
    <row r="784" ht="15.75" customHeight="1">
      <c r="A784" s="200" t="s">
        <v>303</v>
      </c>
      <c r="B784" s="186" t="s">
        <v>1142</v>
      </c>
      <c r="C784" s="210" t="s">
        <v>1143</v>
      </c>
      <c r="D784" s="210" t="s">
        <v>1144</v>
      </c>
      <c r="E784" s="204">
        <v>1.0</v>
      </c>
      <c r="F784" s="205">
        <v>0.0</v>
      </c>
      <c r="G784" s="205">
        <v>1.0</v>
      </c>
    </row>
    <row r="785" ht="15.75" customHeight="1">
      <c r="A785" s="200" t="s">
        <v>303</v>
      </c>
      <c r="B785" s="186" t="s">
        <v>1145</v>
      </c>
      <c r="C785" s="210" t="s">
        <v>1146</v>
      </c>
      <c r="D785" s="210" t="s">
        <v>1144</v>
      </c>
      <c r="E785" s="204">
        <v>1.0</v>
      </c>
      <c r="F785" s="205">
        <v>0.0</v>
      </c>
      <c r="G785" s="205">
        <v>1.0</v>
      </c>
    </row>
    <row r="786" ht="15.75" customHeight="1">
      <c r="A786" s="200" t="s">
        <v>303</v>
      </c>
      <c r="B786" s="186" t="s">
        <v>4620</v>
      </c>
      <c r="C786" s="210" t="s">
        <v>4621</v>
      </c>
      <c r="D786" s="210" t="s">
        <v>4622</v>
      </c>
      <c r="E786" s="204">
        <v>1.0</v>
      </c>
      <c r="F786" s="205">
        <v>0.0</v>
      </c>
      <c r="G786" s="205">
        <v>0.0</v>
      </c>
    </row>
    <row r="787" ht="15.75" customHeight="1">
      <c r="A787" s="200" t="s">
        <v>303</v>
      </c>
      <c r="B787" s="186" t="s">
        <v>4623</v>
      </c>
      <c r="C787" s="210" t="s">
        <v>4624</v>
      </c>
      <c r="D787" s="210" t="s">
        <v>4625</v>
      </c>
      <c r="E787" s="204">
        <v>1.0</v>
      </c>
      <c r="F787" s="205">
        <v>0.0</v>
      </c>
      <c r="G787" s="205">
        <v>1.0</v>
      </c>
    </row>
    <row r="788" ht="15.75" customHeight="1">
      <c r="A788" s="200" t="s">
        <v>303</v>
      </c>
      <c r="B788" s="186" t="s">
        <v>4626</v>
      </c>
      <c r="C788" s="210" t="s">
        <v>4627</v>
      </c>
      <c r="D788" s="210" t="s">
        <v>4628</v>
      </c>
      <c r="E788" s="204">
        <v>1.0</v>
      </c>
      <c r="F788" s="205">
        <v>0.0</v>
      </c>
      <c r="G788" s="205">
        <v>1.0</v>
      </c>
    </row>
    <row r="789" ht="15.75" customHeight="1">
      <c r="A789" s="200" t="s">
        <v>303</v>
      </c>
      <c r="B789" s="186" t="s">
        <v>4629</v>
      </c>
      <c r="C789" s="210" t="s">
        <v>4630</v>
      </c>
      <c r="D789" s="210" t="s">
        <v>4631</v>
      </c>
      <c r="E789" s="204">
        <v>1.0</v>
      </c>
      <c r="F789" s="205">
        <v>0.0</v>
      </c>
      <c r="G789" s="205">
        <v>1.0</v>
      </c>
    </row>
    <row r="790" ht="15.75" customHeight="1">
      <c r="A790" s="200" t="s">
        <v>303</v>
      </c>
      <c r="B790" s="186" t="s">
        <v>4632</v>
      </c>
      <c r="C790" s="210" t="s">
        <v>4633</v>
      </c>
      <c r="D790" s="210" t="s">
        <v>4634</v>
      </c>
      <c r="E790" s="204">
        <v>1.0</v>
      </c>
      <c r="F790" s="205">
        <v>0.0</v>
      </c>
      <c r="G790" s="205">
        <v>1.0</v>
      </c>
    </row>
    <row r="791" ht="15.75" customHeight="1">
      <c r="A791" s="200" t="s">
        <v>303</v>
      </c>
      <c r="B791" s="186" t="s">
        <v>4635</v>
      </c>
      <c r="C791" s="210" t="s">
        <v>4636</v>
      </c>
      <c r="D791" s="210" t="s">
        <v>4637</v>
      </c>
      <c r="E791" s="204">
        <v>1.0</v>
      </c>
      <c r="F791" s="205">
        <v>0.0</v>
      </c>
      <c r="G791" s="205">
        <v>1.0</v>
      </c>
    </row>
    <row r="792" ht="15.75" customHeight="1">
      <c r="A792" s="200" t="s">
        <v>303</v>
      </c>
      <c r="B792" s="186" t="s">
        <v>4638</v>
      </c>
      <c r="C792" s="210" t="s">
        <v>4639</v>
      </c>
      <c r="D792" s="210" t="s">
        <v>4640</v>
      </c>
      <c r="E792" s="204">
        <v>1.0</v>
      </c>
      <c r="F792" s="205">
        <v>0.0</v>
      </c>
      <c r="G792" s="205">
        <v>1.0</v>
      </c>
    </row>
    <row r="793" ht="15.75" customHeight="1">
      <c r="A793" s="200" t="s">
        <v>303</v>
      </c>
      <c r="B793" s="186" t="s">
        <v>4641</v>
      </c>
      <c r="C793" s="210" t="s">
        <v>4642</v>
      </c>
      <c r="D793" s="210" t="s">
        <v>4643</v>
      </c>
      <c r="E793" s="204">
        <v>1.0</v>
      </c>
      <c r="F793" s="205">
        <v>0.0</v>
      </c>
      <c r="G793" s="205">
        <v>1.0</v>
      </c>
    </row>
    <row r="794" ht="15.75" customHeight="1">
      <c r="A794" s="200" t="s">
        <v>303</v>
      </c>
      <c r="B794" s="186" t="s">
        <v>4644</v>
      </c>
      <c r="C794" s="210" t="s">
        <v>4645</v>
      </c>
      <c r="D794" s="210" t="s">
        <v>4646</v>
      </c>
      <c r="E794" s="204">
        <v>1.0</v>
      </c>
      <c r="F794" s="205">
        <v>0.0</v>
      </c>
      <c r="G794" s="205">
        <v>1.0</v>
      </c>
    </row>
    <row r="795" ht="15.75" customHeight="1">
      <c r="A795" s="200" t="s">
        <v>303</v>
      </c>
      <c r="B795" s="186" t="s">
        <v>4647</v>
      </c>
      <c r="C795" s="210" t="s">
        <v>4648</v>
      </c>
      <c r="D795" s="210" t="s">
        <v>4649</v>
      </c>
      <c r="E795" s="204">
        <v>1.0</v>
      </c>
      <c r="F795" s="205">
        <v>0.0</v>
      </c>
      <c r="G795" s="205">
        <v>0.0</v>
      </c>
    </row>
    <row r="796" ht="15.75" customHeight="1">
      <c r="A796" s="200" t="s">
        <v>303</v>
      </c>
      <c r="B796" s="186" t="s">
        <v>4650</v>
      </c>
      <c r="C796" s="210" t="s">
        <v>4651</v>
      </c>
      <c r="D796" s="210" t="s">
        <v>4652</v>
      </c>
      <c r="E796" s="204">
        <v>1.0</v>
      </c>
      <c r="F796" s="205">
        <v>0.0</v>
      </c>
      <c r="G796" s="205">
        <v>0.0</v>
      </c>
    </row>
    <row r="797" ht="15.75" customHeight="1">
      <c r="A797" s="200" t="s">
        <v>303</v>
      </c>
      <c r="B797" s="186" t="s">
        <v>4653</v>
      </c>
      <c r="C797" s="210" t="s">
        <v>4654</v>
      </c>
      <c r="D797" s="210" t="s">
        <v>4655</v>
      </c>
      <c r="E797" s="204">
        <v>1.0</v>
      </c>
      <c r="F797" s="205">
        <v>0.0</v>
      </c>
      <c r="G797" s="205">
        <v>0.0</v>
      </c>
    </row>
    <row r="798" ht="15.75" customHeight="1">
      <c r="A798" s="200" t="s">
        <v>303</v>
      </c>
      <c r="B798" s="186" t="s">
        <v>4656</v>
      </c>
      <c r="C798" s="210" t="s">
        <v>4657</v>
      </c>
      <c r="D798" s="210" t="s">
        <v>1282</v>
      </c>
      <c r="E798" s="204">
        <v>1.0</v>
      </c>
      <c r="F798" s="205">
        <v>0.0</v>
      </c>
      <c r="G798" s="205">
        <v>1.0</v>
      </c>
    </row>
    <row r="799" ht="15.75" customHeight="1">
      <c r="A799" s="200" t="s">
        <v>303</v>
      </c>
      <c r="B799" s="186" t="s">
        <v>4658</v>
      </c>
      <c r="C799" s="210" t="s">
        <v>4659</v>
      </c>
      <c r="D799" s="210" t="s">
        <v>254</v>
      </c>
      <c r="E799" s="204">
        <v>1.0</v>
      </c>
      <c r="F799" s="205">
        <v>0.0</v>
      </c>
      <c r="G799" s="205">
        <v>1.0</v>
      </c>
    </row>
    <row r="800" ht="15.75" customHeight="1">
      <c r="A800" s="200" t="s">
        <v>303</v>
      </c>
      <c r="B800" s="186" t="s">
        <v>4660</v>
      </c>
      <c r="C800" s="210" t="s">
        <v>4661</v>
      </c>
      <c r="D800" s="210" t="s">
        <v>4662</v>
      </c>
      <c r="E800" s="204">
        <v>1.0</v>
      </c>
      <c r="F800" s="205">
        <v>0.0</v>
      </c>
      <c r="G800" s="205">
        <v>1.0</v>
      </c>
    </row>
    <row r="801" ht="15.75" customHeight="1">
      <c r="A801" s="200" t="s">
        <v>303</v>
      </c>
      <c r="B801" s="186" t="s">
        <v>1149</v>
      </c>
      <c r="C801" s="210" t="s">
        <v>934</v>
      </c>
      <c r="D801" s="210" t="s">
        <v>935</v>
      </c>
      <c r="E801" s="204">
        <v>1.0</v>
      </c>
      <c r="F801" s="205">
        <v>0.0</v>
      </c>
      <c r="G801" s="205">
        <v>3.0</v>
      </c>
    </row>
    <row r="802" ht="15.75" customHeight="1">
      <c r="A802" s="200" t="s">
        <v>303</v>
      </c>
      <c r="B802" s="186" t="s">
        <v>1155</v>
      </c>
      <c r="C802" s="210" t="s">
        <v>1156</v>
      </c>
      <c r="D802" s="210" t="s">
        <v>1157</v>
      </c>
      <c r="E802" s="204">
        <v>1.0</v>
      </c>
      <c r="F802" s="205">
        <v>0.0</v>
      </c>
      <c r="G802" s="205">
        <v>1.0</v>
      </c>
    </row>
    <row r="803" ht="15.75" customHeight="1">
      <c r="A803" s="200" t="s">
        <v>303</v>
      </c>
      <c r="B803" s="186" t="s">
        <v>4663</v>
      </c>
      <c r="C803" s="210" t="s">
        <v>4664</v>
      </c>
      <c r="D803" s="210" t="s">
        <v>4665</v>
      </c>
      <c r="E803" s="204">
        <v>1.0</v>
      </c>
      <c r="F803" s="205">
        <v>0.0</v>
      </c>
      <c r="G803" s="205">
        <v>0.0</v>
      </c>
    </row>
    <row r="804" ht="15.75" customHeight="1">
      <c r="A804" s="200" t="s">
        <v>303</v>
      </c>
      <c r="B804" s="186" t="s">
        <v>4666</v>
      </c>
      <c r="C804" s="210" t="s">
        <v>4667</v>
      </c>
      <c r="D804" s="210" t="s">
        <v>4668</v>
      </c>
      <c r="E804" s="204">
        <v>1.0</v>
      </c>
      <c r="F804" s="205">
        <v>0.0</v>
      </c>
      <c r="G804" s="205">
        <v>1.0</v>
      </c>
    </row>
    <row r="805" ht="15.75" customHeight="1">
      <c r="A805" s="200" t="s">
        <v>303</v>
      </c>
      <c r="B805" s="186" t="s">
        <v>4669</v>
      </c>
      <c r="C805" s="210" t="s">
        <v>4670</v>
      </c>
      <c r="D805" s="210" t="s">
        <v>4671</v>
      </c>
      <c r="E805" s="204">
        <v>1.0</v>
      </c>
      <c r="F805" s="205">
        <v>0.0</v>
      </c>
      <c r="G805" s="205">
        <v>0.0</v>
      </c>
    </row>
    <row r="806" ht="15.75" customHeight="1">
      <c r="A806" s="200" t="s">
        <v>303</v>
      </c>
      <c r="B806" s="186" t="s">
        <v>4672</v>
      </c>
      <c r="C806" s="210" t="s">
        <v>4673</v>
      </c>
      <c r="D806" s="210" t="s">
        <v>4674</v>
      </c>
      <c r="E806" s="204">
        <v>1.0</v>
      </c>
      <c r="F806" s="205">
        <v>0.0</v>
      </c>
      <c r="G806" s="205">
        <v>1.0</v>
      </c>
    </row>
    <row r="807" ht="15.75" customHeight="1">
      <c r="A807" s="200" t="s">
        <v>303</v>
      </c>
      <c r="B807" s="186" t="s">
        <v>4675</v>
      </c>
      <c r="C807" s="210" t="s">
        <v>4676</v>
      </c>
      <c r="D807" s="210" t="s">
        <v>4677</v>
      </c>
      <c r="E807" s="204">
        <v>1.0</v>
      </c>
      <c r="F807" s="205">
        <v>0.0</v>
      </c>
      <c r="G807" s="205">
        <v>1.0</v>
      </c>
    </row>
    <row r="808" ht="15.75" customHeight="1">
      <c r="A808" s="200" t="s">
        <v>303</v>
      </c>
      <c r="B808" s="186" t="s">
        <v>4678</v>
      </c>
      <c r="C808" s="210" t="s">
        <v>4679</v>
      </c>
      <c r="D808" s="210" t="s">
        <v>4680</v>
      </c>
      <c r="E808" s="204">
        <v>1.0</v>
      </c>
      <c r="F808" s="205">
        <v>0.0</v>
      </c>
      <c r="G808" s="205">
        <v>1.0</v>
      </c>
    </row>
    <row r="809" ht="15.75" customHeight="1">
      <c r="A809" s="200" t="s">
        <v>303</v>
      </c>
      <c r="B809" s="186" t="s">
        <v>4681</v>
      </c>
      <c r="C809" s="210" t="s">
        <v>4682</v>
      </c>
      <c r="D809" s="210" t="s">
        <v>4683</v>
      </c>
      <c r="E809" s="204">
        <v>1.0</v>
      </c>
      <c r="F809" s="205">
        <v>0.0</v>
      </c>
      <c r="G809" s="205">
        <v>1.0</v>
      </c>
    </row>
    <row r="810" ht="15.75" customHeight="1">
      <c r="A810" s="200" t="s">
        <v>303</v>
      </c>
      <c r="B810" s="186" t="s">
        <v>4684</v>
      </c>
      <c r="C810" s="210" t="s">
        <v>4685</v>
      </c>
      <c r="D810" s="210" t="s">
        <v>4686</v>
      </c>
      <c r="E810" s="204">
        <v>1.0</v>
      </c>
      <c r="F810" s="205">
        <v>0.0</v>
      </c>
      <c r="G810" s="205">
        <v>0.0</v>
      </c>
    </row>
    <row r="811" ht="15.75" customHeight="1">
      <c r="A811" s="200" t="s">
        <v>303</v>
      </c>
      <c r="B811" s="186" t="s">
        <v>4687</v>
      </c>
      <c r="C811" s="210" t="s">
        <v>4688</v>
      </c>
      <c r="D811" s="210" t="s">
        <v>4689</v>
      </c>
      <c r="E811" s="204">
        <v>1.0</v>
      </c>
      <c r="F811" s="205">
        <v>0.0</v>
      </c>
      <c r="G811" s="205">
        <v>0.0</v>
      </c>
    </row>
    <row r="812" ht="15.75" customHeight="1">
      <c r="A812" s="200" t="s">
        <v>303</v>
      </c>
      <c r="B812" s="186" t="s">
        <v>4690</v>
      </c>
      <c r="C812" s="210" t="s">
        <v>4691</v>
      </c>
      <c r="D812" s="210" t="s">
        <v>4692</v>
      </c>
      <c r="E812" s="204">
        <v>1.0</v>
      </c>
      <c r="F812" s="205">
        <v>0.0</v>
      </c>
      <c r="G812" s="205">
        <v>0.0</v>
      </c>
    </row>
    <row r="813" ht="15.75" customHeight="1">
      <c r="A813" s="200" t="s">
        <v>303</v>
      </c>
      <c r="B813" s="186" t="s">
        <v>4693</v>
      </c>
      <c r="C813" s="210" t="s">
        <v>4694</v>
      </c>
      <c r="D813" s="210"/>
      <c r="E813" s="204">
        <v>1.0</v>
      </c>
      <c r="F813" s="205">
        <v>0.0</v>
      </c>
      <c r="G813" s="205">
        <v>1.0</v>
      </c>
    </row>
    <row r="814" ht="15.75" customHeight="1">
      <c r="A814" s="200" t="s">
        <v>303</v>
      </c>
      <c r="B814" s="186" t="s">
        <v>4695</v>
      </c>
      <c r="C814" s="210" t="s">
        <v>4696</v>
      </c>
      <c r="D814" s="210" t="s">
        <v>4697</v>
      </c>
      <c r="E814" s="204">
        <v>1.0</v>
      </c>
      <c r="F814" s="205">
        <v>0.0</v>
      </c>
      <c r="G814" s="205">
        <v>1.0</v>
      </c>
    </row>
    <row r="815" ht="15.75" customHeight="1">
      <c r="A815" s="200" t="s">
        <v>303</v>
      </c>
      <c r="B815" s="186" t="s">
        <v>4698</v>
      </c>
      <c r="C815" s="210" t="s">
        <v>4699</v>
      </c>
      <c r="D815" s="210"/>
      <c r="E815" s="204">
        <v>1.0</v>
      </c>
      <c r="F815" s="205">
        <v>0.0</v>
      </c>
      <c r="G815" s="205">
        <v>1.0</v>
      </c>
    </row>
    <row r="816" ht="15.75" customHeight="1">
      <c r="A816" s="200" t="s">
        <v>303</v>
      </c>
      <c r="B816" s="186" t="s">
        <v>4700</v>
      </c>
      <c r="C816" s="210" t="s">
        <v>4701</v>
      </c>
      <c r="D816" s="210" t="s">
        <v>4702</v>
      </c>
      <c r="E816" s="204">
        <v>1.0</v>
      </c>
      <c r="F816" s="205">
        <v>0.0</v>
      </c>
      <c r="G816" s="205">
        <v>1.0</v>
      </c>
    </row>
    <row r="817" ht="15.75" customHeight="1">
      <c r="A817" s="200" t="s">
        <v>303</v>
      </c>
      <c r="B817" s="186" t="s">
        <v>4703</v>
      </c>
      <c r="C817" s="210" t="s">
        <v>4704</v>
      </c>
      <c r="D817" s="210" t="s">
        <v>4705</v>
      </c>
      <c r="E817" s="204">
        <v>1.0</v>
      </c>
      <c r="F817" s="205">
        <v>0.0</v>
      </c>
      <c r="G817" s="205">
        <v>1.0</v>
      </c>
    </row>
    <row r="818" ht="15.75" customHeight="1">
      <c r="A818" s="200" t="s">
        <v>303</v>
      </c>
      <c r="B818" s="186" t="s">
        <v>4706</v>
      </c>
      <c r="C818" s="210" t="s">
        <v>4707</v>
      </c>
      <c r="D818" s="210" t="s">
        <v>4708</v>
      </c>
      <c r="E818" s="204">
        <v>1.0</v>
      </c>
      <c r="F818" s="205">
        <v>0.0</v>
      </c>
      <c r="G818" s="205">
        <v>1.0</v>
      </c>
    </row>
    <row r="819" ht="15.75" customHeight="1">
      <c r="A819" s="200" t="s">
        <v>303</v>
      </c>
      <c r="B819" s="186" t="s">
        <v>4709</v>
      </c>
      <c r="C819" s="210" t="s">
        <v>4710</v>
      </c>
      <c r="D819" s="210" t="s">
        <v>4711</v>
      </c>
      <c r="E819" s="204">
        <v>1.0</v>
      </c>
      <c r="F819" s="205">
        <v>0.0</v>
      </c>
      <c r="G819" s="205">
        <v>2.0</v>
      </c>
    </row>
    <row r="820" ht="15.75" customHeight="1">
      <c r="A820" s="200" t="s">
        <v>303</v>
      </c>
      <c r="B820" s="186" t="s">
        <v>4712</v>
      </c>
      <c r="C820" s="210" t="s">
        <v>4713</v>
      </c>
      <c r="D820" s="210" t="s">
        <v>1101</v>
      </c>
      <c r="E820" s="204">
        <v>1.0</v>
      </c>
      <c r="F820" s="205">
        <v>0.0</v>
      </c>
      <c r="G820" s="205">
        <v>0.0</v>
      </c>
    </row>
    <row r="821" ht="15.75" customHeight="1">
      <c r="A821" s="200" t="s">
        <v>303</v>
      </c>
      <c r="B821" s="186" t="s">
        <v>4714</v>
      </c>
      <c r="C821" s="210" t="s">
        <v>4715</v>
      </c>
      <c r="D821" s="210" t="s">
        <v>4716</v>
      </c>
      <c r="E821" s="204">
        <v>1.0</v>
      </c>
      <c r="F821" s="205">
        <v>0.0</v>
      </c>
      <c r="G821" s="205">
        <v>2.0</v>
      </c>
    </row>
    <row r="822" ht="15.75" customHeight="1">
      <c r="A822" s="200" t="s">
        <v>303</v>
      </c>
      <c r="B822" s="186" t="s">
        <v>1158</v>
      </c>
      <c r="C822" s="210" t="s">
        <v>1159</v>
      </c>
      <c r="D822" s="210" t="s">
        <v>1160</v>
      </c>
      <c r="E822" s="204">
        <v>1.0</v>
      </c>
      <c r="F822" s="205">
        <v>0.0</v>
      </c>
      <c r="G822" s="205">
        <v>1.0</v>
      </c>
    </row>
    <row r="823" ht="15.75" customHeight="1">
      <c r="A823" s="200" t="s">
        <v>303</v>
      </c>
      <c r="B823" s="186" t="s">
        <v>1161</v>
      </c>
      <c r="C823" s="210" t="s">
        <v>1162</v>
      </c>
      <c r="D823" s="210" t="s">
        <v>1163</v>
      </c>
      <c r="E823" s="204">
        <v>1.0</v>
      </c>
      <c r="F823" s="205">
        <v>0.0</v>
      </c>
      <c r="G823" s="205">
        <v>1.0</v>
      </c>
    </row>
    <row r="824" ht="15.75" customHeight="1">
      <c r="A824" s="200" t="s">
        <v>303</v>
      </c>
      <c r="B824" s="186" t="s">
        <v>1164</v>
      </c>
      <c r="C824" s="210" t="s">
        <v>1165</v>
      </c>
      <c r="D824" s="210" t="s">
        <v>1166</v>
      </c>
      <c r="E824" s="204">
        <v>1.0</v>
      </c>
      <c r="F824" s="205">
        <v>0.0</v>
      </c>
      <c r="G824" s="205">
        <v>1.0</v>
      </c>
    </row>
    <row r="825" ht="15.75" customHeight="1">
      <c r="A825" s="200" t="s">
        <v>303</v>
      </c>
      <c r="B825" s="186" t="s">
        <v>1167</v>
      </c>
      <c r="C825" s="210" t="s">
        <v>1168</v>
      </c>
      <c r="D825" s="210" t="s">
        <v>1169</v>
      </c>
      <c r="E825" s="204">
        <v>1.0</v>
      </c>
      <c r="F825" s="205">
        <v>0.0</v>
      </c>
      <c r="G825" s="205">
        <v>1.0</v>
      </c>
    </row>
    <row r="826" ht="15.75" customHeight="1">
      <c r="A826" s="200" t="s">
        <v>303</v>
      </c>
      <c r="B826" s="186" t="s">
        <v>4717</v>
      </c>
      <c r="C826" s="210" t="s">
        <v>4718</v>
      </c>
      <c r="D826" s="210" t="s">
        <v>4719</v>
      </c>
      <c r="E826" s="204">
        <v>1.0</v>
      </c>
      <c r="F826" s="205">
        <v>0.0</v>
      </c>
      <c r="G826" s="205">
        <v>0.0</v>
      </c>
    </row>
    <row r="827" ht="15.75" customHeight="1">
      <c r="A827" s="200" t="s">
        <v>303</v>
      </c>
      <c r="B827" s="186" t="s">
        <v>4720</v>
      </c>
      <c r="C827" s="210" t="s">
        <v>4721</v>
      </c>
      <c r="D827" s="210" t="s">
        <v>4722</v>
      </c>
      <c r="E827" s="204">
        <v>1.0</v>
      </c>
      <c r="F827" s="205">
        <v>0.0</v>
      </c>
      <c r="G827" s="205">
        <v>1.0</v>
      </c>
    </row>
    <row r="828" ht="15.75" customHeight="1">
      <c r="A828" s="200" t="s">
        <v>303</v>
      </c>
      <c r="B828" s="186" t="s">
        <v>4723</v>
      </c>
      <c r="C828" s="210" t="s">
        <v>4724</v>
      </c>
      <c r="D828" s="210" t="s">
        <v>4725</v>
      </c>
      <c r="E828" s="204">
        <v>1.0</v>
      </c>
      <c r="F828" s="205">
        <v>0.0</v>
      </c>
      <c r="G828" s="205">
        <v>1.0</v>
      </c>
    </row>
    <row r="829" ht="15.75" customHeight="1">
      <c r="A829" s="200" t="s">
        <v>303</v>
      </c>
      <c r="B829" s="186" t="s">
        <v>4726</v>
      </c>
      <c r="C829" s="210" t="s">
        <v>4727</v>
      </c>
      <c r="D829" s="210" t="s">
        <v>1072</v>
      </c>
      <c r="E829" s="204">
        <v>1.0</v>
      </c>
      <c r="F829" s="205">
        <v>0.0</v>
      </c>
      <c r="G829" s="205">
        <v>1.0</v>
      </c>
    </row>
    <row r="830" ht="15.75" customHeight="1">
      <c r="A830" s="200" t="s">
        <v>303</v>
      </c>
      <c r="B830" s="186" t="s">
        <v>4728</v>
      </c>
      <c r="C830" s="210" t="s">
        <v>4729</v>
      </c>
      <c r="D830" s="210" t="s">
        <v>4730</v>
      </c>
      <c r="E830" s="204">
        <v>1.0</v>
      </c>
      <c r="F830" s="205">
        <v>0.0</v>
      </c>
      <c r="G830" s="205">
        <v>2.0</v>
      </c>
    </row>
    <row r="831" ht="15.75" customHeight="1">
      <c r="A831" s="200" t="s">
        <v>303</v>
      </c>
      <c r="B831" s="186" t="s">
        <v>4731</v>
      </c>
      <c r="C831" s="210" t="s">
        <v>4732</v>
      </c>
      <c r="D831" s="210" t="s">
        <v>4733</v>
      </c>
      <c r="E831" s="204">
        <v>1.0</v>
      </c>
      <c r="F831" s="205">
        <v>0.0</v>
      </c>
      <c r="G831" s="205">
        <v>1.0</v>
      </c>
    </row>
    <row r="832" ht="15.75" customHeight="1">
      <c r="A832" s="200" t="s">
        <v>303</v>
      </c>
      <c r="B832" s="186" t="s">
        <v>4734</v>
      </c>
      <c r="C832" s="210" t="s">
        <v>4735</v>
      </c>
      <c r="D832" s="210" t="s">
        <v>3379</v>
      </c>
      <c r="E832" s="204">
        <v>1.0</v>
      </c>
      <c r="F832" s="205">
        <v>0.0</v>
      </c>
      <c r="G832" s="205">
        <v>1.0</v>
      </c>
    </row>
    <row r="833" ht="15.75" customHeight="1">
      <c r="A833" s="200" t="s">
        <v>303</v>
      </c>
      <c r="B833" s="186" t="s">
        <v>4736</v>
      </c>
      <c r="C833" s="210" t="s">
        <v>4737</v>
      </c>
      <c r="D833" s="210" t="s">
        <v>254</v>
      </c>
      <c r="E833" s="204">
        <v>1.0</v>
      </c>
      <c r="F833" s="205">
        <v>0.0</v>
      </c>
      <c r="G833" s="205">
        <v>1.0</v>
      </c>
    </row>
    <row r="834" ht="15.75" customHeight="1">
      <c r="A834" s="200" t="s">
        <v>303</v>
      </c>
      <c r="B834" s="186" t="s">
        <v>4738</v>
      </c>
      <c r="C834" s="210" t="s">
        <v>4739</v>
      </c>
      <c r="D834" s="210"/>
      <c r="E834" s="204">
        <v>1.0</v>
      </c>
      <c r="F834" s="205">
        <v>0.0</v>
      </c>
      <c r="G834" s="205">
        <v>1.0</v>
      </c>
    </row>
    <row r="835" ht="15.75" customHeight="1">
      <c r="A835" s="200" t="s">
        <v>303</v>
      </c>
      <c r="B835" s="186" t="s">
        <v>4740</v>
      </c>
      <c r="C835" s="210" t="s">
        <v>4741</v>
      </c>
      <c r="D835" s="210" t="s">
        <v>4742</v>
      </c>
      <c r="E835" s="204">
        <v>1.0</v>
      </c>
      <c r="F835" s="205">
        <v>0.0</v>
      </c>
      <c r="G835" s="205">
        <v>4.0</v>
      </c>
    </row>
    <row r="836" ht="15.75" customHeight="1">
      <c r="A836" s="200" t="s">
        <v>303</v>
      </c>
      <c r="B836" s="186" t="s">
        <v>4743</v>
      </c>
      <c r="C836" s="210" t="s">
        <v>4744</v>
      </c>
      <c r="D836" s="210" t="s">
        <v>4745</v>
      </c>
      <c r="E836" s="204">
        <v>1.0</v>
      </c>
      <c r="F836" s="205">
        <v>0.0</v>
      </c>
      <c r="G836" s="205">
        <v>1.0</v>
      </c>
    </row>
    <row r="837" ht="15.75" customHeight="1">
      <c r="A837" s="200" t="s">
        <v>303</v>
      </c>
      <c r="B837" s="186" t="s">
        <v>4746</v>
      </c>
      <c r="C837" s="210" t="s">
        <v>4747</v>
      </c>
      <c r="D837" s="210"/>
      <c r="E837" s="204">
        <v>1.0</v>
      </c>
      <c r="F837" s="205">
        <v>0.0</v>
      </c>
      <c r="G837" s="205">
        <v>0.0</v>
      </c>
    </row>
    <row r="838" ht="15.75" customHeight="1">
      <c r="A838" s="200" t="s">
        <v>303</v>
      </c>
      <c r="B838" s="186" t="s">
        <v>4748</v>
      </c>
      <c r="C838" s="210" t="s">
        <v>4749</v>
      </c>
      <c r="D838" s="210"/>
      <c r="E838" s="204">
        <v>1.0</v>
      </c>
      <c r="F838" s="205">
        <v>0.0</v>
      </c>
      <c r="G838" s="205">
        <v>0.0</v>
      </c>
    </row>
    <row r="839" ht="15.75" customHeight="1">
      <c r="A839" s="200" t="s">
        <v>303</v>
      </c>
      <c r="B839" s="186" t="s">
        <v>4750</v>
      </c>
      <c r="C839" s="210" t="s">
        <v>4751</v>
      </c>
      <c r="D839" s="210" t="s">
        <v>4752</v>
      </c>
      <c r="E839" s="204">
        <v>1.0</v>
      </c>
      <c r="F839" s="205">
        <v>0.0</v>
      </c>
      <c r="G839" s="205">
        <v>0.0</v>
      </c>
    </row>
    <row r="840" ht="15.75" customHeight="1">
      <c r="A840" s="200" t="s">
        <v>303</v>
      </c>
      <c r="B840" s="186" t="s">
        <v>4753</v>
      </c>
      <c r="C840" s="210" t="s">
        <v>4754</v>
      </c>
      <c r="D840" s="210" t="s">
        <v>1029</v>
      </c>
      <c r="E840" s="204">
        <v>1.0</v>
      </c>
      <c r="F840" s="205">
        <v>0.0</v>
      </c>
      <c r="G840" s="205">
        <v>0.0</v>
      </c>
    </row>
    <row r="841" ht="15.75" customHeight="1">
      <c r="A841" s="200" t="s">
        <v>303</v>
      </c>
      <c r="B841" s="186" t="s">
        <v>4755</v>
      </c>
      <c r="C841" s="210" t="s">
        <v>4756</v>
      </c>
      <c r="D841" s="210"/>
      <c r="E841" s="204">
        <v>1.0</v>
      </c>
      <c r="F841" s="205">
        <v>0.0</v>
      </c>
      <c r="G841" s="205">
        <v>0.0</v>
      </c>
    </row>
    <row r="842" ht="15.75" customHeight="1">
      <c r="A842" s="200" t="s">
        <v>303</v>
      </c>
      <c r="B842" s="186" t="s">
        <v>4757</v>
      </c>
      <c r="C842" s="210" t="s">
        <v>4758</v>
      </c>
      <c r="D842" s="210"/>
      <c r="E842" s="204">
        <v>1.0</v>
      </c>
      <c r="F842" s="205">
        <v>0.0</v>
      </c>
      <c r="G842" s="205">
        <v>0.0</v>
      </c>
    </row>
    <row r="843" ht="15.75" customHeight="1">
      <c r="A843" s="200" t="s">
        <v>303</v>
      </c>
      <c r="B843" s="186" t="s">
        <v>4759</v>
      </c>
      <c r="C843" s="210" t="s">
        <v>4760</v>
      </c>
      <c r="D843" s="210"/>
      <c r="E843" s="204">
        <v>1.0</v>
      </c>
      <c r="F843" s="205">
        <v>0.0</v>
      </c>
      <c r="G843" s="205">
        <v>2.0</v>
      </c>
    </row>
    <row r="844" ht="15.75" customHeight="1">
      <c r="A844" s="200" t="s">
        <v>303</v>
      </c>
      <c r="B844" s="186" t="s">
        <v>4761</v>
      </c>
      <c r="C844" s="210" t="s">
        <v>4762</v>
      </c>
      <c r="D844" s="210" t="s">
        <v>4763</v>
      </c>
      <c r="E844" s="204">
        <v>1.0</v>
      </c>
      <c r="F844" s="205">
        <v>0.0</v>
      </c>
      <c r="G844" s="205">
        <v>8.0</v>
      </c>
    </row>
    <row r="845" ht="15.75" customHeight="1">
      <c r="A845" s="200" t="s">
        <v>303</v>
      </c>
      <c r="B845" s="186" t="s">
        <v>4764</v>
      </c>
      <c r="C845" s="210" t="s">
        <v>4765</v>
      </c>
      <c r="D845" s="210" t="s">
        <v>4766</v>
      </c>
      <c r="E845" s="204">
        <v>1.0</v>
      </c>
      <c r="F845" s="205">
        <v>0.0</v>
      </c>
      <c r="G845" s="205">
        <v>0.0</v>
      </c>
    </row>
    <row r="846" ht="15.75" customHeight="1">
      <c r="A846" s="200" t="s">
        <v>303</v>
      </c>
      <c r="B846" s="186" t="s">
        <v>4767</v>
      </c>
      <c r="C846" s="210" t="s">
        <v>4768</v>
      </c>
      <c r="D846" s="210" t="s">
        <v>4769</v>
      </c>
      <c r="E846" s="204">
        <v>1.0</v>
      </c>
      <c r="F846" s="205">
        <v>0.0</v>
      </c>
      <c r="G846" s="205">
        <v>1.0</v>
      </c>
    </row>
    <row r="847" ht="15.75" customHeight="1">
      <c r="A847" s="200" t="s">
        <v>303</v>
      </c>
      <c r="B847" s="186" t="s">
        <v>1170</v>
      </c>
      <c r="C847" s="210" t="s">
        <v>1171</v>
      </c>
      <c r="D847" s="210" t="s">
        <v>1172</v>
      </c>
      <c r="E847" s="204">
        <v>1.0</v>
      </c>
      <c r="F847" s="205">
        <v>0.0</v>
      </c>
      <c r="G847" s="205">
        <v>1.0</v>
      </c>
    </row>
    <row r="848" ht="15.75" customHeight="1">
      <c r="A848" s="200" t="s">
        <v>303</v>
      </c>
      <c r="B848" s="186" t="s">
        <v>1173</v>
      </c>
      <c r="C848" s="210" t="s">
        <v>1174</v>
      </c>
      <c r="D848" s="210" t="s">
        <v>1175</v>
      </c>
      <c r="E848" s="204">
        <v>1.0</v>
      </c>
      <c r="F848" s="205">
        <v>0.0</v>
      </c>
      <c r="G848" s="205">
        <v>1.0</v>
      </c>
    </row>
    <row r="849" ht="15.75" customHeight="1">
      <c r="A849" s="200" t="s">
        <v>303</v>
      </c>
      <c r="B849" s="186" t="s">
        <v>4770</v>
      </c>
      <c r="C849" s="210" t="s">
        <v>4771</v>
      </c>
      <c r="D849" s="210" t="s">
        <v>4772</v>
      </c>
      <c r="E849" s="204">
        <v>1.0</v>
      </c>
      <c r="F849" s="205">
        <v>0.0</v>
      </c>
      <c r="G849" s="205">
        <v>2.0</v>
      </c>
    </row>
    <row r="850" ht="15.75" customHeight="1">
      <c r="A850" s="200" t="s">
        <v>303</v>
      </c>
      <c r="B850" s="186" t="s">
        <v>4773</v>
      </c>
      <c r="C850" s="210" t="s">
        <v>4774</v>
      </c>
      <c r="D850" s="210" t="s">
        <v>4775</v>
      </c>
      <c r="E850" s="204">
        <v>1.0</v>
      </c>
      <c r="F850" s="205">
        <v>0.0</v>
      </c>
      <c r="G850" s="205">
        <v>0.0</v>
      </c>
    </row>
    <row r="851" ht="15.75" customHeight="1">
      <c r="A851" s="200" t="s">
        <v>303</v>
      </c>
      <c r="B851" s="186" t="s">
        <v>4776</v>
      </c>
      <c r="C851" s="210" t="s">
        <v>4777</v>
      </c>
      <c r="D851" s="210" t="s">
        <v>4778</v>
      </c>
      <c r="E851" s="204">
        <v>1.0</v>
      </c>
      <c r="F851" s="205">
        <v>0.0</v>
      </c>
      <c r="G851" s="205">
        <v>1.0</v>
      </c>
    </row>
    <row r="852" ht="15.75" customHeight="1">
      <c r="A852" s="200" t="s">
        <v>303</v>
      </c>
      <c r="B852" s="186" t="s">
        <v>4779</v>
      </c>
      <c r="C852" s="210" t="s">
        <v>4780</v>
      </c>
      <c r="D852" s="210" t="s">
        <v>4781</v>
      </c>
      <c r="E852" s="204">
        <v>1.0</v>
      </c>
      <c r="F852" s="205">
        <v>0.0</v>
      </c>
      <c r="G852" s="205">
        <v>0.0</v>
      </c>
    </row>
    <row r="853" ht="15.75" customHeight="1">
      <c r="A853" s="200" t="s">
        <v>303</v>
      </c>
      <c r="B853" s="186" t="s">
        <v>4782</v>
      </c>
      <c r="C853" s="210" t="s">
        <v>4783</v>
      </c>
      <c r="D853" s="210" t="s">
        <v>4784</v>
      </c>
      <c r="E853" s="204">
        <v>1.0</v>
      </c>
      <c r="F853" s="205">
        <v>0.0</v>
      </c>
      <c r="G853" s="205">
        <v>2.0</v>
      </c>
    </row>
    <row r="854" ht="15.75" customHeight="1">
      <c r="A854" s="200" t="s">
        <v>303</v>
      </c>
      <c r="B854" s="186" t="s">
        <v>4785</v>
      </c>
      <c r="C854" s="210" t="s">
        <v>4786</v>
      </c>
      <c r="D854" s="210" t="s">
        <v>2827</v>
      </c>
      <c r="E854" s="204">
        <v>1.0</v>
      </c>
      <c r="F854" s="205">
        <v>0.0</v>
      </c>
      <c r="G854" s="205">
        <v>1.0</v>
      </c>
    </row>
    <row r="855" ht="15.75" customHeight="1">
      <c r="A855" s="200" t="s">
        <v>303</v>
      </c>
      <c r="B855" s="186" t="s">
        <v>4787</v>
      </c>
      <c r="C855" s="210" t="s">
        <v>4788</v>
      </c>
      <c r="D855" s="210" t="s">
        <v>4789</v>
      </c>
      <c r="E855" s="204">
        <v>1.0</v>
      </c>
      <c r="F855" s="205">
        <v>0.0</v>
      </c>
      <c r="G855" s="205">
        <v>0.0</v>
      </c>
    </row>
    <row r="856" ht="15.75" customHeight="1">
      <c r="A856" s="200" t="s">
        <v>303</v>
      </c>
      <c r="B856" s="186" t="s">
        <v>4790</v>
      </c>
      <c r="C856" s="210" t="s">
        <v>4791</v>
      </c>
      <c r="D856" s="210" t="s">
        <v>4792</v>
      </c>
      <c r="E856" s="204">
        <v>1.0</v>
      </c>
      <c r="F856" s="205">
        <v>0.0</v>
      </c>
      <c r="G856" s="205">
        <v>1.0</v>
      </c>
    </row>
    <row r="857" ht="15.75" customHeight="1">
      <c r="A857" s="200" t="s">
        <v>303</v>
      </c>
      <c r="B857" s="186" t="s">
        <v>4793</v>
      </c>
      <c r="C857" s="210" t="s">
        <v>4794</v>
      </c>
      <c r="D857" s="210" t="s">
        <v>4795</v>
      </c>
      <c r="E857" s="204">
        <v>1.0</v>
      </c>
      <c r="F857" s="205">
        <v>0.0</v>
      </c>
      <c r="G857" s="205">
        <v>0.0</v>
      </c>
    </row>
    <row r="858" ht="15.75" customHeight="1">
      <c r="A858" s="200" t="s">
        <v>303</v>
      </c>
      <c r="B858" s="186" t="s">
        <v>4796</v>
      </c>
      <c r="C858" s="210" t="s">
        <v>4797</v>
      </c>
      <c r="D858" s="210" t="s">
        <v>4798</v>
      </c>
      <c r="E858" s="204">
        <v>1.0</v>
      </c>
      <c r="F858" s="205">
        <v>0.0</v>
      </c>
      <c r="G858" s="205">
        <v>1.0</v>
      </c>
    </row>
    <row r="859" ht="15.75" customHeight="1">
      <c r="A859" s="200" t="s">
        <v>303</v>
      </c>
      <c r="B859" s="186" t="s">
        <v>4799</v>
      </c>
      <c r="C859" s="210" t="s">
        <v>4800</v>
      </c>
      <c r="D859" s="210" t="s">
        <v>4801</v>
      </c>
      <c r="E859" s="204">
        <v>1.0</v>
      </c>
      <c r="F859" s="205">
        <v>0.0</v>
      </c>
      <c r="G859" s="205">
        <v>1.0</v>
      </c>
    </row>
    <row r="860" ht="15.75" customHeight="1">
      <c r="A860" s="200" t="s">
        <v>303</v>
      </c>
      <c r="B860" s="186" t="s">
        <v>4802</v>
      </c>
      <c r="C860" s="210" t="s">
        <v>4803</v>
      </c>
      <c r="D860" s="210" t="s">
        <v>4804</v>
      </c>
      <c r="E860" s="204">
        <v>1.0</v>
      </c>
      <c r="F860" s="205">
        <v>0.0</v>
      </c>
      <c r="G860" s="205">
        <v>0.0</v>
      </c>
    </row>
    <row r="861" ht="15.75" customHeight="1">
      <c r="A861" s="200" t="s">
        <v>303</v>
      </c>
      <c r="B861" s="186" t="s">
        <v>4805</v>
      </c>
      <c r="C861" s="210" t="s">
        <v>4806</v>
      </c>
      <c r="D861" s="210" t="s">
        <v>4807</v>
      </c>
      <c r="E861" s="204">
        <v>1.0</v>
      </c>
      <c r="F861" s="205">
        <v>0.0</v>
      </c>
      <c r="G861" s="205">
        <v>1.0</v>
      </c>
    </row>
    <row r="862" ht="15.75" customHeight="1">
      <c r="A862" s="200" t="s">
        <v>303</v>
      </c>
      <c r="B862" s="186" t="s">
        <v>4808</v>
      </c>
      <c r="C862" s="210" t="s">
        <v>4809</v>
      </c>
      <c r="D862" s="210" t="s">
        <v>4810</v>
      </c>
      <c r="E862" s="204">
        <v>1.0</v>
      </c>
      <c r="F862" s="205">
        <v>0.0</v>
      </c>
      <c r="G862" s="205">
        <v>0.0</v>
      </c>
    </row>
    <row r="863" ht="15.75" customHeight="1">
      <c r="A863" s="200" t="s">
        <v>303</v>
      </c>
      <c r="B863" s="186" t="s">
        <v>4811</v>
      </c>
      <c r="C863" s="210" t="s">
        <v>4812</v>
      </c>
      <c r="D863" s="210" t="s">
        <v>4813</v>
      </c>
      <c r="E863" s="204">
        <v>1.0</v>
      </c>
      <c r="F863" s="205">
        <v>0.0</v>
      </c>
      <c r="G863" s="205">
        <v>1.0</v>
      </c>
    </row>
    <row r="864" ht="15.75" customHeight="1">
      <c r="A864" s="200" t="s">
        <v>303</v>
      </c>
      <c r="B864" s="186" t="s">
        <v>4814</v>
      </c>
      <c r="C864" s="210" t="s">
        <v>4815</v>
      </c>
      <c r="D864" s="210"/>
      <c r="E864" s="204">
        <v>1.0</v>
      </c>
      <c r="F864" s="205">
        <v>0.0</v>
      </c>
      <c r="G864" s="205">
        <v>0.0</v>
      </c>
    </row>
    <row r="865" ht="15.75" customHeight="1">
      <c r="A865" s="200" t="s">
        <v>303</v>
      </c>
      <c r="B865" s="186" t="s">
        <v>4816</v>
      </c>
      <c r="C865" s="210" t="s">
        <v>4817</v>
      </c>
      <c r="D865" s="210" t="s">
        <v>4818</v>
      </c>
      <c r="E865" s="204">
        <v>1.0</v>
      </c>
      <c r="F865" s="205">
        <v>0.0</v>
      </c>
      <c r="G865" s="205">
        <v>1.0</v>
      </c>
    </row>
    <row r="866" ht="15.75" customHeight="1">
      <c r="A866" s="200" t="s">
        <v>303</v>
      </c>
      <c r="B866" s="186" t="s">
        <v>4819</v>
      </c>
      <c r="C866" s="210" t="s">
        <v>4820</v>
      </c>
      <c r="D866" s="210" t="s">
        <v>4821</v>
      </c>
      <c r="E866" s="204">
        <v>1.0</v>
      </c>
      <c r="F866" s="205">
        <v>0.0</v>
      </c>
      <c r="G866" s="205">
        <v>0.0</v>
      </c>
    </row>
    <row r="867" ht="15.75" customHeight="1">
      <c r="A867" s="200" t="s">
        <v>303</v>
      </c>
      <c r="B867" s="186" t="s">
        <v>4822</v>
      </c>
      <c r="C867" s="210" t="s">
        <v>4823</v>
      </c>
      <c r="D867" s="210" t="s">
        <v>4824</v>
      </c>
      <c r="E867" s="204">
        <v>1.0</v>
      </c>
      <c r="F867" s="205">
        <v>0.0</v>
      </c>
      <c r="G867" s="205">
        <v>0.0</v>
      </c>
    </row>
    <row r="868" ht="15.75" customHeight="1">
      <c r="A868" s="200" t="s">
        <v>303</v>
      </c>
      <c r="B868" s="186" t="s">
        <v>4825</v>
      </c>
      <c r="C868" s="210" t="s">
        <v>4826</v>
      </c>
      <c r="D868" s="210" t="s">
        <v>4827</v>
      </c>
      <c r="E868" s="204">
        <v>1.0</v>
      </c>
      <c r="F868" s="205">
        <v>0.0</v>
      </c>
      <c r="G868" s="205">
        <v>3.0</v>
      </c>
    </row>
    <row r="869" ht="15.75" customHeight="1">
      <c r="A869" s="200" t="s">
        <v>303</v>
      </c>
      <c r="B869" s="186" t="s">
        <v>4828</v>
      </c>
      <c r="C869" s="210" t="s">
        <v>4829</v>
      </c>
      <c r="D869" s="210" t="s">
        <v>4830</v>
      </c>
      <c r="E869" s="204">
        <v>1.0</v>
      </c>
      <c r="F869" s="205">
        <v>0.0</v>
      </c>
      <c r="G869" s="205">
        <v>0.0</v>
      </c>
    </row>
    <row r="870" ht="15.75" customHeight="1">
      <c r="A870" s="200" t="s">
        <v>303</v>
      </c>
      <c r="B870" s="186" t="s">
        <v>4831</v>
      </c>
      <c r="C870" s="210" t="s">
        <v>4832</v>
      </c>
      <c r="D870" s="210" t="s">
        <v>3216</v>
      </c>
      <c r="E870" s="204">
        <v>1.0</v>
      </c>
      <c r="F870" s="205">
        <v>0.0</v>
      </c>
      <c r="G870" s="205">
        <v>3.0</v>
      </c>
    </row>
    <row r="871" ht="15.75" customHeight="1">
      <c r="A871" s="200" t="s">
        <v>303</v>
      </c>
      <c r="B871" s="186" t="s">
        <v>4833</v>
      </c>
      <c r="C871" s="210" t="s">
        <v>3035</v>
      </c>
      <c r="D871" s="210" t="s">
        <v>380</v>
      </c>
      <c r="E871" s="204">
        <v>1.0</v>
      </c>
      <c r="F871" s="205">
        <v>0.0</v>
      </c>
      <c r="G871" s="205">
        <v>0.0</v>
      </c>
    </row>
    <row r="872" ht="15.75" customHeight="1">
      <c r="A872" s="200" t="s">
        <v>303</v>
      </c>
      <c r="B872" s="186" t="s">
        <v>4834</v>
      </c>
      <c r="C872" s="210" t="s">
        <v>3035</v>
      </c>
      <c r="D872" s="210" t="s">
        <v>4835</v>
      </c>
      <c r="E872" s="204">
        <v>1.0</v>
      </c>
      <c r="F872" s="205">
        <v>0.0</v>
      </c>
      <c r="G872" s="205">
        <v>0.0</v>
      </c>
    </row>
    <row r="873" ht="15.75" customHeight="1">
      <c r="A873" s="200" t="s">
        <v>303</v>
      </c>
      <c r="B873" s="186" t="s">
        <v>4836</v>
      </c>
      <c r="C873" s="210" t="s">
        <v>4837</v>
      </c>
      <c r="D873" s="210" t="s">
        <v>2827</v>
      </c>
      <c r="E873" s="204">
        <v>1.0</v>
      </c>
      <c r="F873" s="205">
        <v>0.0</v>
      </c>
      <c r="G873" s="205">
        <v>0.0</v>
      </c>
    </row>
    <row r="874" ht="15.75" customHeight="1">
      <c r="A874" s="200" t="s">
        <v>303</v>
      </c>
      <c r="B874" s="186" t="s">
        <v>4838</v>
      </c>
      <c r="C874" s="210" t="s">
        <v>4839</v>
      </c>
      <c r="D874" s="210" t="s">
        <v>4840</v>
      </c>
      <c r="E874" s="204">
        <v>1.0</v>
      </c>
      <c r="F874" s="205">
        <v>0.0</v>
      </c>
      <c r="G874" s="205">
        <v>0.0</v>
      </c>
    </row>
    <row r="875" ht="15.75" customHeight="1">
      <c r="A875" s="200" t="s">
        <v>303</v>
      </c>
      <c r="B875" s="186" t="s">
        <v>4841</v>
      </c>
      <c r="C875" s="210" t="s">
        <v>2279</v>
      </c>
      <c r="D875" s="210" t="s">
        <v>4842</v>
      </c>
      <c r="E875" s="204">
        <v>1.0</v>
      </c>
      <c r="F875" s="205">
        <v>0.0</v>
      </c>
      <c r="G875" s="205">
        <v>0.0</v>
      </c>
    </row>
    <row r="876" ht="15.75" customHeight="1">
      <c r="A876" s="200" t="s">
        <v>303</v>
      </c>
      <c r="B876" s="186" t="s">
        <v>4843</v>
      </c>
      <c r="C876" s="210" t="s">
        <v>2279</v>
      </c>
      <c r="D876" s="210" t="s">
        <v>4844</v>
      </c>
      <c r="E876" s="204">
        <v>1.0</v>
      </c>
      <c r="F876" s="205">
        <v>0.0</v>
      </c>
      <c r="G876" s="205">
        <v>0.0</v>
      </c>
    </row>
    <row r="877" ht="15.75" customHeight="1">
      <c r="A877" s="200" t="s">
        <v>303</v>
      </c>
      <c r="B877" s="186" t="s">
        <v>4845</v>
      </c>
      <c r="C877" s="210" t="s">
        <v>2279</v>
      </c>
      <c r="D877" s="210" t="s">
        <v>4846</v>
      </c>
      <c r="E877" s="204">
        <v>1.0</v>
      </c>
      <c r="F877" s="205">
        <v>0.0</v>
      </c>
      <c r="G877" s="205">
        <v>0.0</v>
      </c>
    </row>
    <row r="878" ht="15.75" customHeight="1">
      <c r="A878" s="200" t="s">
        <v>303</v>
      </c>
      <c r="B878" s="186" t="s">
        <v>4847</v>
      </c>
      <c r="C878" s="210" t="s">
        <v>2279</v>
      </c>
      <c r="D878" s="210" t="s">
        <v>4848</v>
      </c>
      <c r="E878" s="204">
        <v>1.0</v>
      </c>
      <c r="F878" s="205">
        <v>0.0</v>
      </c>
      <c r="G878" s="205">
        <v>0.0</v>
      </c>
    </row>
    <row r="879" ht="15.75" customHeight="1">
      <c r="A879" s="200" t="s">
        <v>303</v>
      </c>
      <c r="B879" s="186" t="s">
        <v>4849</v>
      </c>
      <c r="C879" s="210" t="s">
        <v>4850</v>
      </c>
      <c r="D879" s="210" t="s">
        <v>4851</v>
      </c>
      <c r="E879" s="204">
        <v>1.0</v>
      </c>
      <c r="F879" s="205">
        <v>0.0</v>
      </c>
      <c r="G879" s="205">
        <v>0.0</v>
      </c>
    </row>
    <row r="880" ht="15.75" customHeight="1">
      <c r="A880" s="200" t="s">
        <v>303</v>
      </c>
      <c r="B880" s="186" t="s">
        <v>4852</v>
      </c>
      <c r="C880" s="210" t="s">
        <v>4853</v>
      </c>
      <c r="D880" s="210" t="s">
        <v>4854</v>
      </c>
      <c r="E880" s="204">
        <v>1.0</v>
      </c>
      <c r="F880" s="205">
        <v>0.0</v>
      </c>
      <c r="G880" s="205">
        <v>0.0</v>
      </c>
    </row>
    <row r="881" ht="15.75" customHeight="1">
      <c r="A881" s="200" t="s">
        <v>303</v>
      </c>
      <c r="B881" s="186" t="s">
        <v>4855</v>
      </c>
      <c r="C881" s="210" t="s">
        <v>4856</v>
      </c>
      <c r="D881" s="210"/>
      <c r="E881" s="204">
        <v>1.0</v>
      </c>
      <c r="F881" s="205">
        <v>0.0</v>
      </c>
      <c r="G881" s="205">
        <v>0.0</v>
      </c>
    </row>
    <row r="882" ht="15.75" customHeight="1">
      <c r="A882" s="200" t="s">
        <v>303</v>
      </c>
      <c r="B882" s="186" t="s">
        <v>4857</v>
      </c>
      <c r="C882" s="210" t="s">
        <v>4858</v>
      </c>
      <c r="D882" s="210" t="s">
        <v>4859</v>
      </c>
      <c r="E882" s="204">
        <v>1.0</v>
      </c>
      <c r="F882" s="205">
        <v>0.0</v>
      </c>
      <c r="G882" s="205">
        <v>1.0</v>
      </c>
    </row>
    <row r="883" ht="15.75" customHeight="1">
      <c r="A883" s="200" t="s">
        <v>303</v>
      </c>
      <c r="B883" s="186" t="s">
        <v>4860</v>
      </c>
      <c r="C883" s="210" t="s">
        <v>4861</v>
      </c>
      <c r="D883" s="210" t="s">
        <v>4862</v>
      </c>
      <c r="E883" s="204">
        <v>1.0</v>
      </c>
      <c r="F883" s="205">
        <v>0.0</v>
      </c>
      <c r="G883" s="205">
        <v>1.0</v>
      </c>
    </row>
    <row r="884" ht="15.75" customHeight="1">
      <c r="A884" s="200" t="s">
        <v>303</v>
      </c>
      <c r="B884" s="186" t="s">
        <v>4863</v>
      </c>
      <c r="C884" s="210" t="s">
        <v>4864</v>
      </c>
      <c r="D884" s="210" t="s">
        <v>4865</v>
      </c>
      <c r="E884" s="204">
        <v>1.0</v>
      </c>
      <c r="F884" s="205">
        <v>0.0</v>
      </c>
      <c r="G884" s="205">
        <v>0.0</v>
      </c>
    </row>
    <row r="885" ht="15.75" customHeight="1">
      <c r="A885" s="200" t="s">
        <v>303</v>
      </c>
      <c r="B885" s="186" t="s">
        <v>4866</v>
      </c>
      <c r="C885" s="210" t="s">
        <v>4867</v>
      </c>
      <c r="D885" s="210" t="s">
        <v>4868</v>
      </c>
      <c r="E885" s="204">
        <v>1.0</v>
      </c>
      <c r="F885" s="205">
        <v>0.0</v>
      </c>
      <c r="G885" s="205">
        <v>0.0</v>
      </c>
    </row>
    <row r="886" ht="15.75" customHeight="1">
      <c r="A886" s="200" t="s">
        <v>303</v>
      </c>
      <c r="B886" s="186" t="s">
        <v>4869</v>
      </c>
      <c r="C886" s="210" t="s">
        <v>4870</v>
      </c>
      <c r="D886" s="210" t="s">
        <v>4871</v>
      </c>
      <c r="E886" s="204">
        <v>1.0</v>
      </c>
      <c r="F886" s="205">
        <v>0.0</v>
      </c>
      <c r="G886" s="205">
        <v>1.0</v>
      </c>
    </row>
    <row r="887" ht="15.75" customHeight="1">
      <c r="A887" s="200" t="s">
        <v>303</v>
      </c>
      <c r="B887" s="186" t="s">
        <v>4872</v>
      </c>
      <c r="C887" s="210" t="s">
        <v>4873</v>
      </c>
      <c r="D887" s="210" t="s">
        <v>4874</v>
      </c>
      <c r="E887" s="204">
        <v>1.0</v>
      </c>
      <c r="F887" s="205">
        <v>0.0</v>
      </c>
      <c r="G887" s="205">
        <v>1.0</v>
      </c>
    </row>
    <row r="888" ht="15.75" customHeight="1">
      <c r="A888" s="200" t="s">
        <v>303</v>
      </c>
      <c r="B888" s="186" t="s">
        <v>4875</v>
      </c>
      <c r="C888" s="210" t="s">
        <v>4876</v>
      </c>
      <c r="D888" s="210" t="s">
        <v>4877</v>
      </c>
      <c r="E888" s="204">
        <v>1.0</v>
      </c>
      <c r="F888" s="205">
        <v>0.0</v>
      </c>
      <c r="G888" s="205">
        <v>1.0</v>
      </c>
    </row>
    <row r="889" ht="15.75" customHeight="1">
      <c r="A889" s="200" t="s">
        <v>303</v>
      </c>
      <c r="B889" s="186" t="s">
        <v>4878</v>
      </c>
      <c r="C889" s="210" t="s">
        <v>4879</v>
      </c>
      <c r="D889" s="210" t="s">
        <v>4880</v>
      </c>
      <c r="E889" s="204">
        <v>1.0</v>
      </c>
      <c r="F889" s="205">
        <v>0.0</v>
      </c>
      <c r="G889" s="205">
        <v>1.0</v>
      </c>
    </row>
    <row r="890" ht="15.75" customHeight="1">
      <c r="A890" s="200" t="s">
        <v>303</v>
      </c>
      <c r="B890" s="186" t="s">
        <v>4881</v>
      </c>
      <c r="C890" s="210" t="s">
        <v>4882</v>
      </c>
      <c r="D890" s="210" t="s">
        <v>4883</v>
      </c>
      <c r="E890" s="204">
        <v>1.0</v>
      </c>
      <c r="F890" s="205">
        <v>0.0</v>
      </c>
      <c r="G890" s="205">
        <v>1.0</v>
      </c>
    </row>
    <row r="891" ht="15.75" customHeight="1">
      <c r="A891" s="200" t="s">
        <v>303</v>
      </c>
      <c r="B891" s="186" t="s">
        <v>4884</v>
      </c>
      <c r="C891" s="210" t="s">
        <v>4885</v>
      </c>
      <c r="D891" s="210" t="s">
        <v>4886</v>
      </c>
      <c r="E891" s="204">
        <v>1.0</v>
      </c>
      <c r="F891" s="205">
        <v>0.0</v>
      </c>
      <c r="G891" s="205">
        <v>1.0</v>
      </c>
    </row>
    <row r="892" ht="15.75" customHeight="1">
      <c r="A892" s="200" t="s">
        <v>303</v>
      </c>
      <c r="B892" s="186" t="s">
        <v>4887</v>
      </c>
      <c r="C892" s="210" t="s">
        <v>4888</v>
      </c>
      <c r="D892" s="210" t="s">
        <v>1101</v>
      </c>
      <c r="E892" s="204">
        <v>1.0</v>
      </c>
      <c r="F892" s="205">
        <v>0.0</v>
      </c>
      <c r="G892" s="205">
        <v>1.0</v>
      </c>
    </row>
    <row r="893" ht="15.75" customHeight="1">
      <c r="A893" s="200" t="s">
        <v>303</v>
      </c>
      <c r="B893" s="186" t="s">
        <v>4889</v>
      </c>
      <c r="C893" s="210" t="s">
        <v>4890</v>
      </c>
      <c r="D893" s="210" t="s">
        <v>254</v>
      </c>
      <c r="E893" s="204">
        <v>1.0</v>
      </c>
      <c r="F893" s="205">
        <v>0.0</v>
      </c>
      <c r="G893" s="205">
        <v>0.0</v>
      </c>
    </row>
    <row r="894" ht="15.75" customHeight="1">
      <c r="A894" s="200" t="s">
        <v>303</v>
      </c>
      <c r="B894" s="186" t="s">
        <v>1180</v>
      </c>
      <c r="C894" s="210" t="s">
        <v>1181</v>
      </c>
      <c r="D894" s="210" t="s">
        <v>1183</v>
      </c>
      <c r="E894" s="204">
        <v>1.0</v>
      </c>
      <c r="F894" s="205">
        <v>0.0</v>
      </c>
      <c r="G894" s="205">
        <v>1.0</v>
      </c>
    </row>
    <row r="895" ht="15.75" customHeight="1">
      <c r="A895" s="200" t="s">
        <v>303</v>
      </c>
      <c r="B895" s="186" t="s">
        <v>1184</v>
      </c>
      <c r="C895" s="210" t="s">
        <v>1185</v>
      </c>
      <c r="D895" s="210" t="s">
        <v>1186</v>
      </c>
      <c r="E895" s="204">
        <v>1.0</v>
      </c>
      <c r="F895" s="205">
        <v>0.0</v>
      </c>
      <c r="G895" s="205">
        <v>0.0</v>
      </c>
    </row>
    <row r="896" ht="15.75" customHeight="1">
      <c r="A896" s="200" t="s">
        <v>303</v>
      </c>
      <c r="B896" s="186" t="s">
        <v>1187</v>
      </c>
      <c r="C896" s="210" t="s">
        <v>1188</v>
      </c>
      <c r="D896" s="210" t="s">
        <v>1189</v>
      </c>
      <c r="E896" s="204">
        <v>1.0</v>
      </c>
      <c r="F896" s="205">
        <v>0.0</v>
      </c>
      <c r="G896" s="205">
        <v>1.0</v>
      </c>
    </row>
    <row r="897" ht="15.75" customHeight="1">
      <c r="A897" s="200" t="s">
        <v>303</v>
      </c>
      <c r="B897" s="186" t="s">
        <v>4891</v>
      </c>
      <c r="C897" s="210" t="s">
        <v>4892</v>
      </c>
      <c r="D897" s="210" t="s">
        <v>4893</v>
      </c>
      <c r="E897" s="204">
        <v>1.0</v>
      </c>
      <c r="F897" s="205">
        <v>0.0</v>
      </c>
      <c r="G897" s="205">
        <v>1.0</v>
      </c>
    </row>
    <row r="898" ht="15.75" customHeight="1">
      <c r="A898" s="200" t="s">
        <v>303</v>
      </c>
      <c r="B898" s="186" t="s">
        <v>4894</v>
      </c>
      <c r="C898" s="210" t="s">
        <v>4895</v>
      </c>
      <c r="D898" s="210" t="s">
        <v>4896</v>
      </c>
      <c r="E898" s="204">
        <v>1.0</v>
      </c>
      <c r="F898" s="205">
        <v>0.0</v>
      </c>
      <c r="G898" s="205">
        <v>1.0</v>
      </c>
    </row>
    <row r="899" ht="15.75" customHeight="1">
      <c r="A899" s="200" t="s">
        <v>303</v>
      </c>
      <c r="B899" s="186" t="s">
        <v>1190</v>
      </c>
      <c r="C899" s="210" t="s">
        <v>1191</v>
      </c>
      <c r="D899" s="210" t="s">
        <v>1192</v>
      </c>
      <c r="E899" s="204">
        <v>1.0</v>
      </c>
      <c r="F899" s="205">
        <v>0.0</v>
      </c>
      <c r="G899" s="205">
        <v>0.0</v>
      </c>
    </row>
    <row r="900" ht="15.75" customHeight="1">
      <c r="A900" s="200" t="s">
        <v>303</v>
      </c>
      <c r="B900" s="186" t="s">
        <v>4897</v>
      </c>
      <c r="C900" s="210" t="s">
        <v>4898</v>
      </c>
      <c r="D900" s="210" t="s">
        <v>4899</v>
      </c>
      <c r="E900" s="204">
        <v>1.0</v>
      </c>
      <c r="F900" s="205">
        <v>0.0</v>
      </c>
      <c r="G900" s="205">
        <v>0.0</v>
      </c>
    </row>
    <row r="901" ht="15.75" customHeight="1">
      <c r="A901" s="200" t="s">
        <v>303</v>
      </c>
      <c r="B901" s="186" t="s">
        <v>4900</v>
      </c>
      <c r="C901" s="210" t="s">
        <v>4901</v>
      </c>
      <c r="D901" s="210" t="s">
        <v>4902</v>
      </c>
      <c r="E901" s="204">
        <v>1.0</v>
      </c>
      <c r="F901" s="205">
        <v>0.0</v>
      </c>
      <c r="G901" s="205">
        <v>1.0</v>
      </c>
    </row>
    <row r="902" ht="15.75" customHeight="1">
      <c r="A902" s="200" t="s">
        <v>303</v>
      </c>
      <c r="B902" s="186" t="s">
        <v>4903</v>
      </c>
      <c r="C902" s="210" t="s">
        <v>4904</v>
      </c>
      <c r="D902" s="210" t="s">
        <v>4905</v>
      </c>
      <c r="E902" s="204">
        <v>1.0</v>
      </c>
      <c r="F902" s="205">
        <v>0.0</v>
      </c>
      <c r="G902" s="205">
        <v>1.0</v>
      </c>
    </row>
    <row r="903" ht="15.75" customHeight="1">
      <c r="A903" s="200" t="s">
        <v>303</v>
      </c>
      <c r="B903" s="186" t="s">
        <v>4906</v>
      </c>
      <c r="C903" s="210" t="s">
        <v>4907</v>
      </c>
      <c r="D903" s="210" t="s">
        <v>4908</v>
      </c>
      <c r="E903" s="204">
        <v>1.0</v>
      </c>
      <c r="F903" s="205">
        <v>0.0</v>
      </c>
      <c r="G903" s="205">
        <v>0.0</v>
      </c>
    </row>
    <row r="904" ht="15.75" customHeight="1">
      <c r="A904" s="200" t="s">
        <v>303</v>
      </c>
      <c r="B904" s="186" t="s">
        <v>4909</v>
      </c>
      <c r="C904" s="210" t="s">
        <v>4910</v>
      </c>
      <c r="D904" s="210" t="s">
        <v>4911</v>
      </c>
      <c r="E904" s="204">
        <v>1.0</v>
      </c>
      <c r="F904" s="205">
        <v>0.0</v>
      </c>
      <c r="G904" s="205">
        <v>4.0</v>
      </c>
    </row>
    <row r="905" ht="15.75" customHeight="1">
      <c r="A905" s="200" t="s">
        <v>303</v>
      </c>
      <c r="B905" s="186" t="s">
        <v>4912</v>
      </c>
      <c r="C905" s="210" t="s">
        <v>4913</v>
      </c>
      <c r="D905" s="210"/>
      <c r="E905" s="204">
        <v>1.0</v>
      </c>
      <c r="F905" s="205">
        <v>0.0</v>
      </c>
      <c r="G905" s="205">
        <v>1.0</v>
      </c>
    </row>
    <row r="906" ht="15.75" customHeight="1">
      <c r="A906" s="200" t="s">
        <v>303</v>
      </c>
      <c r="B906" s="186" t="s">
        <v>4914</v>
      </c>
      <c r="C906" s="210" t="s">
        <v>4915</v>
      </c>
      <c r="D906" s="210" t="s">
        <v>4916</v>
      </c>
      <c r="E906" s="204">
        <v>1.0</v>
      </c>
      <c r="F906" s="205">
        <v>0.0</v>
      </c>
      <c r="G906" s="205">
        <v>0.0</v>
      </c>
    </row>
    <row r="907" ht="15.75" customHeight="1">
      <c r="A907" s="200" t="s">
        <v>303</v>
      </c>
      <c r="B907" s="186" t="s">
        <v>4917</v>
      </c>
      <c r="C907" s="210" t="s">
        <v>4918</v>
      </c>
      <c r="D907" s="210" t="s">
        <v>4919</v>
      </c>
      <c r="E907" s="204">
        <v>1.0</v>
      </c>
      <c r="F907" s="205">
        <v>0.0</v>
      </c>
      <c r="G907" s="205">
        <v>0.0</v>
      </c>
    </row>
    <row r="908" ht="15.75" customHeight="1">
      <c r="A908" s="200" t="s">
        <v>303</v>
      </c>
      <c r="B908" s="186" t="s">
        <v>4920</v>
      </c>
      <c r="C908" s="210" t="s">
        <v>4921</v>
      </c>
      <c r="D908" s="210" t="s">
        <v>4922</v>
      </c>
      <c r="E908" s="204">
        <v>1.0</v>
      </c>
      <c r="F908" s="205">
        <v>0.0</v>
      </c>
      <c r="G908" s="205">
        <v>2.0</v>
      </c>
    </row>
    <row r="909" ht="15.75" customHeight="1">
      <c r="A909" s="200" t="s">
        <v>303</v>
      </c>
      <c r="B909" s="186" t="s">
        <v>4923</v>
      </c>
      <c r="C909" s="210" t="s">
        <v>4924</v>
      </c>
      <c r="D909" s="210" t="s">
        <v>4925</v>
      </c>
      <c r="E909" s="204">
        <v>1.0</v>
      </c>
      <c r="F909" s="205">
        <v>0.0</v>
      </c>
      <c r="G909" s="205">
        <v>1.0</v>
      </c>
    </row>
    <row r="910" ht="15.75" customHeight="1">
      <c r="A910" s="200" t="s">
        <v>303</v>
      </c>
      <c r="B910" s="186" t="s">
        <v>1193</v>
      </c>
      <c r="C910" s="210" t="s">
        <v>1194</v>
      </c>
      <c r="D910" s="210" t="s">
        <v>1195</v>
      </c>
      <c r="E910" s="204">
        <v>1.0</v>
      </c>
      <c r="F910" s="205">
        <v>0.0</v>
      </c>
      <c r="G910" s="205">
        <v>0.0</v>
      </c>
    </row>
    <row r="911" ht="15.75" customHeight="1">
      <c r="A911" s="200" t="s">
        <v>303</v>
      </c>
      <c r="B911" s="186" t="s">
        <v>4926</v>
      </c>
      <c r="C911" s="210" t="s">
        <v>4927</v>
      </c>
      <c r="D911" s="210" t="s">
        <v>4928</v>
      </c>
      <c r="E911" s="204">
        <v>1.0</v>
      </c>
      <c r="F911" s="205">
        <v>0.0</v>
      </c>
      <c r="G911" s="205">
        <v>0.0</v>
      </c>
    </row>
    <row r="912" ht="15.75" customHeight="1">
      <c r="A912" s="200" t="s">
        <v>303</v>
      </c>
      <c r="B912" s="186" t="s">
        <v>4929</v>
      </c>
      <c r="C912" s="210" t="s">
        <v>4930</v>
      </c>
      <c r="D912" s="210" t="s">
        <v>4931</v>
      </c>
      <c r="E912" s="204">
        <v>1.0</v>
      </c>
      <c r="F912" s="205">
        <v>0.0</v>
      </c>
      <c r="G912" s="205">
        <v>0.0</v>
      </c>
    </row>
    <row r="913" ht="15.75" customHeight="1">
      <c r="A913" s="200" t="s">
        <v>303</v>
      </c>
      <c r="B913" s="186" t="s">
        <v>4932</v>
      </c>
      <c r="C913" s="210" t="s">
        <v>4933</v>
      </c>
      <c r="D913" s="210" t="s">
        <v>3672</v>
      </c>
      <c r="E913" s="204">
        <v>1.0</v>
      </c>
      <c r="F913" s="205">
        <v>0.0</v>
      </c>
      <c r="G913" s="205">
        <v>11.0</v>
      </c>
    </row>
    <row r="914" ht="15.75" customHeight="1">
      <c r="A914" s="200" t="s">
        <v>303</v>
      </c>
      <c r="B914" s="186" t="s">
        <v>4934</v>
      </c>
      <c r="C914" s="210" t="s">
        <v>4935</v>
      </c>
      <c r="D914" s="210" t="s">
        <v>4936</v>
      </c>
      <c r="E914" s="204">
        <v>1.0</v>
      </c>
      <c r="F914" s="205">
        <v>0.0</v>
      </c>
      <c r="G914" s="205">
        <v>3.0</v>
      </c>
    </row>
    <row r="915" ht="15.75" customHeight="1">
      <c r="A915" s="200" t="s">
        <v>303</v>
      </c>
      <c r="B915" s="186" t="s">
        <v>4937</v>
      </c>
      <c r="C915" s="210" t="s">
        <v>4938</v>
      </c>
      <c r="D915" s="210" t="s">
        <v>4939</v>
      </c>
      <c r="E915" s="204">
        <v>1.0</v>
      </c>
      <c r="F915" s="205">
        <v>0.0</v>
      </c>
      <c r="G915" s="205">
        <v>4.0</v>
      </c>
    </row>
    <row r="916" ht="15.75" customHeight="1">
      <c r="A916" s="200" t="s">
        <v>303</v>
      </c>
      <c r="B916" s="186" t="s">
        <v>4940</v>
      </c>
      <c r="C916" s="210" t="s">
        <v>4941</v>
      </c>
      <c r="D916" s="210" t="s">
        <v>4942</v>
      </c>
      <c r="E916" s="204">
        <v>1.0</v>
      </c>
      <c r="F916" s="205">
        <v>0.0</v>
      </c>
      <c r="G916" s="205">
        <v>1.0</v>
      </c>
    </row>
    <row r="917" ht="15.75" customHeight="1">
      <c r="A917" s="200" t="s">
        <v>303</v>
      </c>
      <c r="B917" s="186" t="s">
        <v>4943</v>
      </c>
      <c r="C917" s="210" t="s">
        <v>4944</v>
      </c>
      <c r="D917" s="210" t="s">
        <v>4945</v>
      </c>
      <c r="E917" s="204">
        <v>1.0</v>
      </c>
      <c r="F917" s="205">
        <v>0.0</v>
      </c>
      <c r="G917" s="205">
        <v>1.0</v>
      </c>
    </row>
    <row r="918" ht="15.75" customHeight="1">
      <c r="A918" s="200" t="s">
        <v>303</v>
      </c>
      <c r="B918" s="186" t="s">
        <v>4946</v>
      </c>
      <c r="C918" s="210" t="s">
        <v>4947</v>
      </c>
      <c r="D918" s="210" t="s">
        <v>4948</v>
      </c>
      <c r="E918" s="204">
        <v>1.0</v>
      </c>
      <c r="F918" s="205">
        <v>0.0</v>
      </c>
      <c r="G918" s="205">
        <v>0.0</v>
      </c>
    </row>
    <row r="919" ht="15.75" customHeight="1">
      <c r="A919" s="200" t="s">
        <v>303</v>
      </c>
      <c r="B919" s="186" t="s">
        <v>4949</v>
      </c>
      <c r="C919" s="210" t="s">
        <v>4950</v>
      </c>
      <c r="D919" s="210" t="s">
        <v>4951</v>
      </c>
      <c r="E919" s="204">
        <v>1.0</v>
      </c>
      <c r="F919" s="205">
        <v>0.0</v>
      </c>
      <c r="G919" s="205">
        <v>1.0</v>
      </c>
    </row>
    <row r="920" ht="15.75" customHeight="1">
      <c r="A920" s="200" t="s">
        <v>303</v>
      </c>
      <c r="B920" s="186" t="s">
        <v>4952</v>
      </c>
      <c r="C920" s="210" t="s">
        <v>4953</v>
      </c>
      <c r="D920" s="210"/>
      <c r="E920" s="204">
        <v>1.0</v>
      </c>
      <c r="F920" s="205">
        <v>0.0</v>
      </c>
      <c r="G920" s="205">
        <v>1.0</v>
      </c>
    </row>
    <row r="921" ht="15.75" customHeight="1">
      <c r="A921" s="200" t="s">
        <v>303</v>
      </c>
      <c r="B921" s="186" t="s">
        <v>4954</v>
      </c>
      <c r="C921" s="210" t="s">
        <v>4955</v>
      </c>
      <c r="D921" s="210" t="s">
        <v>4956</v>
      </c>
      <c r="E921" s="204">
        <v>1.0</v>
      </c>
      <c r="F921" s="205">
        <v>0.0</v>
      </c>
      <c r="G921" s="205">
        <v>1.0</v>
      </c>
    </row>
    <row r="922" ht="15.75" customHeight="1">
      <c r="A922" s="200" t="s">
        <v>303</v>
      </c>
      <c r="B922" s="186" t="s">
        <v>4957</v>
      </c>
      <c r="C922" s="210" t="s">
        <v>4958</v>
      </c>
      <c r="D922" s="210" t="s">
        <v>4959</v>
      </c>
      <c r="E922" s="204">
        <v>1.0</v>
      </c>
      <c r="F922" s="205">
        <v>0.0</v>
      </c>
      <c r="G922" s="205">
        <v>0.0</v>
      </c>
    </row>
    <row r="923" ht="15.75" customHeight="1">
      <c r="A923" s="200" t="s">
        <v>303</v>
      </c>
      <c r="B923" s="186" t="s">
        <v>4960</v>
      </c>
      <c r="C923" s="210" t="s">
        <v>4961</v>
      </c>
      <c r="D923" s="210" t="s">
        <v>4962</v>
      </c>
      <c r="E923" s="204">
        <v>1.0</v>
      </c>
      <c r="F923" s="205">
        <v>0.0</v>
      </c>
      <c r="G923" s="205">
        <v>0.0</v>
      </c>
    </row>
    <row r="924" ht="15.75" customHeight="1">
      <c r="A924" s="200" t="s">
        <v>303</v>
      </c>
      <c r="B924" s="186" t="s">
        <v>4963</v>
      </c>
      <c r="C924" s="210" t="s">
        <v>4964</v>
      </c>
      <c r="D924" s="210" t="s">
        <v>4965</v>
      </c>
      <c r="E924" s="204">
        <v>1.0</v>
      </c>
      <c r="F924" s="205">
        <v>0.0</v>
      </c>
      <c r="G924" s="205">
        <v>1.0</v>
      </c>
    </row>
    <row r="925" ht="15.75" customHeight="1">
      <c r="A925" s="200" t="s">
        <v>303</v>
      </c>
      <c r="B925" s="186" t="s">
        <v>4966</v>
      </c>
      <c r="C925" s="210" t="s">
        <v>4967</v>
      </c>
      <c r="D925" s="210" t="s">
        <v>254</v>
      </c>
      <c r="E925" s="204">
        <v>1.0</v>
      </c>
      <c r="F925" s="205">
        <v>0.0</v>
      </c>
      <c r="G925" s="205">
        <v>1.0</v>
      </c>
    </row>
    <row r="926" ht="15.75" customHeight="1">
      <c r="A926" s="200" t="s">
        <v>303</v>
      </c>
      <c r="B926" s="186" t="s">
        <v>4968</v>
      </c>
      <c r="C926" s="210" t="s">
        <v>4969</v>
      </c>
      <c r="D926" s="210" t="s">
        <v>4970</v>
      </c>
      <c r="E926" s="204">
        <v>1.0</v>
      </c>
      <c r="F926" s="205">
        <v>0.0</v>
      </c>
      <c r="G926" s="205">
        <v>1.0</v>
      </c>
    </row>
    <row r="927" ht="15.75" customHeight="1">
      <c r="A927" s="200" t="s">
        <v>303</v>
      </c>
      <c r="B927" s="186" t="s">
        <v>4971</v>
      </c>
      <c r="C927" s="210" t="s">
        <v>4972</v>
      </c>
      <c r="D927" s="210" t="s">
        <v>4973</v>
      </c>
      <c r="E927" s="204">
        <v>1.0</v>
      </c>
      <c r="F927" s="205">
        <v>0.0</v>
      </c>
      <c r="G927" s="205">
        <v>0.0</v>
      </c>
    </row>
    <row r="928" ht="15.75" customHeight="1">
      <c r="A928" s="200" t="s">
        <v>303</v>
      </c>
      <c r="B928" s="186" t="s">
        <v>4974</v>
      </c>
      <c r="C928" s="210" t="s">
        <v>4975</v>
      </c>
      <c r="D928" s="210" t="s">
        <v>4976</v>
      </c>
      <c r="E928" s="204">
        <v>1.0</v>
      </c>
      <c r="F928" s="205">
        <v>0.0</v>
      </c>
      <c r="G928" s="205">
        <v>1.0</v>
      </c>
    </row>
    <row r="929" ht="15.75" customHeight="1">
      <c r="A929" s="200" t="s">
        <v>303</v>
      </c>
      <c r="B929" s="186" t="s">
        <v>4977</v>
      </c>
      <c r="C929" s="210" t="s">
        <v>4978</v>
      </c>
      <c r="D929" s="210" t="s">
        <v>4979</v>
      </c>
      <c r="E929" s="204">
        <v>1.0</v>
      </c>
      <c r="F929" s="205">
        <v>0.0</v>
      </c>
      <c r="G929" s="205">
        <v>4.0</v>
      </c>
    </row>
    <row r="930" ht="15.75" customHeight="1">
      <c r="A930" s="200" t="s">
        <v>303</v>
      </c>
      <c r="B930" s="186" t="s">
        <v>4980</v>
      </c>
      <c r="C930" s="210" t="s">
        <v>4981</v>
      </c>
      <c r="D930" s="210" t="s">
        <v>4982</v>
      </c>
      <c r="E930" s="204">
        <v>1.0</v>
      </c>
      <c r="F930" s="205">
        <v>0.0</v>
      </c>
      <c r="G930" s="205">
        <v>1.0</v>
      </c>
    </row>
    <row r="931" ht="15.75" customHeight="1">
      <c r="A931" s="200" t="s">
        <v>303</v>
      </c>
      <c r="B931" s="186" t="s">
        <v>4983</v>
      </c>
      <c r="C931" s="210" t="s">
        <v>4984</v>
      </c>
      <c r="D931" s="210" t="s">
        <v>4985</v>
      </c>
      <c r="E931" s="204">
        <v>1.0</v>
      </c>
      <c r="F931" s="205">
        <v>0.0</v>
      </c>
      <c r="G931" s="205">
        <v>0.0</v>
      </c>
    </row>
    <row r="932" ht="15.75" customHeight="1">
      <c r="A932" s="200" t="s">
        <v>303</v>
      </c>
      <c r="B932" s="186" t="s">
        <v>4986</v>
      </c>
      <c r="C932" s="210" t="s">
        <v>4987</v>
      </c>
      <c r="D932" s="210" t="s">
        <v>4988</v>
      </c>
      <c r="E932" s="204">
        <v>1.0</v>
      </c>
      <c r="F932" s="205">
        <v>0.0</v>
      </c>
      <c r="G932" s="205">
        <v>1.0</v>
      </c>
    </row>
    <row r="933" ht="15.75" customHeight="1">
      <c r="A933" s="200" t="s">
        <v>303</v>
      </c>
      <c r="B933" s="186" t="s">
        <v>4989</v>
      </c>
      <c r="C933" s="210" t="s">
        <v>4990</v>
      </c>
      <c r="D933" s="210"/>
      <c r="E933" s="204">
        <v>1.0</v>
      </c>
      <c r="F933" s="205">
        <v>0.0</v>
      </c>
      <c r="G933" s="205">
        <v>1.0</v>
      </c>
    </row>
    <row r="934" ht="15.75" customHeight="1">
      <c r="A934" s="200" t="s">
        <v>303</v>
      </c>
      <c r="B934" s="186" t="s">
        <v>4991</v>
      </c>
      <c r="C934" s="210" t="s">
        <v>4992</v>
      </c>
      <c r="D934" s="210" t="s">
        <v>4993</v>
      </c>
      <c r="E934" s="204">
        <v>1.0</v>
      </c>
      <c r="F934" s="205">
        <v>0.0</v>
      </c>
      <c r="G934" s="205">
        <v>0.0</v>
      </c>
    </row>
    <row r="935" ht="15.75" customHeight="1">
      <c r="A935" s="200" t="s">
        <v>303</v>
      </c>
      <c r="B935" s="186" t="s">
        <v>4994</v>
      </c>
      <c r="C935" s="210" t="s">
        <v>4995</v>
      </c>
      <c r="D935" s="210" t="s">
        <v>4996</v>
      </c>
      <c r="E935" s="204">
        <v>1.0</v>
      </c>
      <c r="F935" s="205">
        <v>0.0</v>
      </c>
      <c r="G935" s="205">
        <v>0.0</v>
      </c>
    </row>
    <row r="936" ht="15.75" customHeight="1">
      <c r="A936" s="200" t="s">
        <v>303</v>
      </c>
      <c r="B936" s="186" t="s">
        <v>4997</v>
      </c>
      <c r="C936" s="210" t="s">
        <v>4998</v>
      </c>
      <c r="D936" s="210" t="s">
        <v>4999</v>
      </c>
      <c r="E936" s="204">
        <v>1.0</v>
      </c>
      <c r="F936" s="205">
        <v>0.0</v>
      </c>
      <c r="G936" s="205">
        <v>1.0</v>
      </c>
    </row>
    <row r="937" ht="15.75" customHeight="1">
      <c r="A937" s="200" t="s">
        <v>303</v>
      </c>
      <c r="B937" s="186" t="s">
        <v>5000</v>
      </c>
      <c r="C937" s="210" t="s">
        <v>5001</v>
      </c>
      <c r="D937" s="210" t="s">
        <v>5002</v>
      </c>
      <c r="E937" s="204">
        <v>1.0</v>
      </c>
      <c r="F937" s="205">
        <v>0.0</v>
      </c>
      <c r="G937" s="205">
        <v>1.0</v>
      </c>
    </row>
    <row r="938" ht="15.75" customHeight="1">
      <c r="A938" s="200" t="s">
        <v>303</v>
      </c>
      <c r="B938" s="186" t="s">
        <v>5003</v>
      </c>
      <c r="C938" s="210" t="s">
        <v>5004</v>
      </c>
      <c r="D938" s="210" t="s">
        <v>5005</v>
      </c>
      <c r="E938" s="204">
        <v>1.0</v>
      </c>
      <c r="F938" s="205">
        <v>0.0</v>
      </c>
      <c r="G938" s="205">
        <v>1.0</v>
      </c>
    </row>
    <row r="939" ht="15.75" customHeight="1">
      <c r="A939" s="200" t="s">
        <v>303</v>
      </c>
      <c r="B939" s="186" t="s">
        <v>5006</v>
      </c>
      <c r="C939" s="210" t="s">
        <v>5007</v>
      </c>
      <c r="D939" s="210" t="s">
        <v>254</v>
      </c>
      <c r="E939" s="204">
        <v>1.0</v>
      </c>
      <c r="F939" s="205">
        <v>0.0</v>
      </c>
      <c r="G939" s="205">
        <v>1.0</v>
      </c>
    </row>
    <row r="940" ht="15.75" customHeight="1">
      <c r="A940" s="200" t="s">
        <v>303</v>
      </c>
      <c r="B940" s="186" t="s">
        <v>5008</v>
      </c>
      <c r="C940" s="210" t="s">
        <v>5009</v>
      </c>
      <c r="D940" s="210" t="s">
        <v>4716</v>
      </c>
      <c r="E940" s="204">
        <v>1.0</v>
      </c>
      <c r="F940" s="205">
        <v>0.0</v>
      </c>
      <c r="G940" s="205">
        <v>1.0</v>
      </c>
    </row>
    <row r="941" ht="15.75" customHeight="1">
      <c r="A941" s="200" t="s">
        <v>303</v>
      </c>
      <c r="B941" s="186" t="s">
        <v>5010</v>
      </c>
      <c r="C941" s="210" t="s">
        <v>5011</v>
      </c>
      <c r="D941" s="210" t="s">
        <v>5012</v>
      </c>
      <c r="E941" s="204">
        <v>1.0</v>
      </c>
      <c r="F941" s="205">
        <v>0.0</v>
      </c>
      <c r="G941" s="205">
        <v>1.0</v>
      </c>
    </row>
    <row r="942" ht="15.75" customHeight="1">
      <c r="A942" s="200" t="s">
        <v>303</v>
      </c>
      <c r="B942" s="186" t="s">
        <v>5013</v>
      </c>
      <c r="C942" s="210" t="s">
        <v>5014</v>
      </c>
      <c r="D942" s="210" t="s">
        <v>5015</v>
      </c>
      <c r="E942" s="204">
        <v>1.0</v>
      </c>
      <c r="F942" s="205">
        <v>0.0</v>
      </c>
      <c r="G942" s="205">
        <v>2.0</v>
      </c>
    </row>
    <row r="943" ht="15.75" customHeight="1">
      <c r="A943" s="200" t="s">
        <v>303</v>
      </c>
      <c r="B943" s="186" t="s">
        <v>5016</v>
      </c>
      <c r="C943" s="210" t="s">
        <v>5017</v>
      </c>
      <c r="D943" s="210" t="s">
        <v>5018</v>
      </c>
      <c r="E943" s="204">
        <v>1.0</v>
      </c>
      <c r="F943" s="205">
        <v>0.0</v>
      </c>
      <c r="G943" s="205">
        <v>1.0</v>
      </c>
    </row>
    <row r="944" ht="15.75" customHeight="1">
      <c r="A944" s="200" t="s">
        <v>303</v>
      </c>
      <c r="B944" s="186" t="s">
        <v>5019</v>
      </c>
      <c r="C944" s="210" t="s">
        <v>5020</v>
      </c>
      <c r="D944" s="210" t="s">
        <v>5021</v>
      </c>
      <c r="E944" s="204">
        <v>1.0</v>
      </c>
      <c r="F944" s="205">
        <v>0.0</v>
      </c>
      <c r="G944" s="205">
        <v>4.0</v>
      </c>
    </row>
    <row r="945" ht="15.75" customHeight="1">
      <c r="A945" s="200" t="s">
        <v>303</v>
      </c>
      <c r="B945" s="186" t="s">
        <v>5022</v>
      </c>
      <c r="C945" s="210" t="s">
        <v>5023</v>
      </c>
      <c r="D945" s="210" t="s">
        <v>5024</v>
      </c>
      <c r="E945" s="204">
        <v>1.0</v>
      </c>
      <c r="F945" s="205">
        <v>0.0</v>
      </c>
      <c r="G945" s="205">
        <v>0.0</v>
      </c>
    </row>
    <row r="946" ht="15.75" customHeight="1">
      <c r="A946" s="200" t="s">
        <v>303</v>
      </c>
      <c r="B946" s="186" t="s">
        <v>5025</v>
      </c>
      <c r="C946" s="210" t="s">
        <v>5026</v>
      </c>
      <c r="D946" s="210" t="s">
        <v>5027</v>
      </c>
      <c r="E946" s="204">
        <v>1.0</v>
      </c>
      <c r="F946" s="205">
        <v>0.0</v>
      </c>
      <c r="G946" s="205">
        <v>1.0</v>
      </c>
    </row>
    <row r="947" ht="15.75" customHeight="1">
      <c r="A947" s="200" t="s">
        <v>303</v>
      </c>
      <c r="B947" s="186" t="s">
        <v>5028</v>
      </c>
      <c r="C947" s="210" t="s">
        <v>5029</v>
      </c>
      <c r="D947" s="210" t="s">
        <v>5030</v>
      </c>
      <c r="E947" s="204">
        <v>1.0</v>
      </c>
      <c r="F947" s="205">
        <v>0.0</v>
      </c>
      <c r="G947" s="205">
        <v>1.0</v>
      </c>
    </row>
    <row r="948" ht="15.75" customHeight="1">
      <c r="A948" s="200" t="s">
        <v>303</v>
      </c>
      <c r="B948" s="186" t="s">
        <v>5031</v>
      </c>
      <c r="C948" s="210" t="s">
        <v>5032</v>
      </c>
      <c r="D948" s="210" t="s">
        <v>5033</v>
      </c>
      <c r="E948" s="204">
        <v>1.0</v>
      </c>
      <c r="F948" s="205">
        <v>0.0</v>
      </c>
      <c r="G948" s="205">
        <v>1.0</v>
      </c>
    </row>
    <row r="949" ht="15.75" customHeight="1">
      <c r="A949" s="200" t="s">
        <v>303</v>
      </c>
      <c r="B949" s="186" t="s">
        <v>5034</v>
      </c>
      <c r="C949" s="210" t="s">
        <v>5035</v>
      </c>
      <c r="D949" s="210" t="s">
        <v>5036</v>
      </c>
      <c r="E949" s="204">
        <v>1.0</v>
      </c>
      <c r="F949" s="205">
        <v>0.0</v>
      </c>
      <c r="G949" s="205">
        <v>1.0</v>
      </c>
    </row>
    <row r="950" ht="15.75" customHeight="1">
      <c r="A950" s="200" t="s">
        <v>303</v>
      </c>
      <c r="B950" s="186" t="s">
        <v>5037</v>
      </c>
      <c r="C950" s="210" t="s">
        <v>5038</v>
      </c>
      <c r="D950" s="210" t="s">
        <v>5039</v>
      </c>
      <c r="E950" s="204">
        <v>1.0</v>
      </c>
      <c r="F950" s="205">
        <v>0.0</v>
      </c>
      <c r="G950" s="205">
        <v>1.0</v>
      </c>
    </row>
    <row r="951" ht="15.75" customHeight="1">
      <c r="A951" s="200" t="s">
        <v>303</v>
      </c>
      <c r="B951" s="186" t="s">
        <v>5040</v>
      </c>
      <c r="C951" s="210" t="s">
        <v>5041</v>
      </c>
      <c r="D951" s="210" t="s">
        <v>254</v>
      </c>
      <c r="E951" s="204">
        <v>1.0</v>
      </c>
      <c r="F951" s="205">
        <v>0.0</v>
      </c>
      <c r="G951" s="205">
        <v>1.0</v>
      </c>
    </row>
    <row r="952" ht="15.75" customHeight="1">
      <c r="A952" s="200" t="s">
        <v>303</v>
      </c>
      <c r="B952" s="186" t="s">
        <v>5042</v>
      </c>
      <c r="C952" s="210" t="s">
        <v>5043</v>
      </c>
      <c r="D952" s="210" t="s">
        <v>5044</v>
      </c>
      <c r="E952" s="204">
        <v>1.0</v>
      </c>
      <c r="F952" s="205">
        <v>0.0</v>
      </c>
      <c r="G952" s="205">
        <v>1.0</v>
      </c>
    </row>
    <row r="953" ht="15.75" customHeight="1">
      <c r="A953" s="200" t="s">
        <v>303</v>
      </c>
      <c r="B953" s="186" t="s">
        <v>5045</v>
      </c>
      <c r="C953" s="210" t="s">
        <v>5046</v>
      </c>
      <c r="D953" s="210" t="s">
        <v>5047</v>
      </c>
      <c r="E953" s="204">
        <v>1.0</v>
      </c>
      <c r="F953" s="205">
        <v>0.0</v>
      </c>
      <c r="G953" s="205">
        <v>0.0</v>
      </c>
    </row>
    <row r="954" ht="15.75" customHeight="1">
      <c r="A954" s="200" t="s">
        <v>303</v>
      </c>
      <c r="B954" s="186" t="s">
        <v>5048</v>
      </c>
      <c r="C954" s="210" t="s">
        <v>5049</v>
      </c>
      <c r="D954" s="210"/>
      <c r="E954" s="204">
        <v>1.0</v>
      </c>
      <c r="F954" s="205">
        <v>0.0</v>
      </c>
      <c r="G954" s="205">
        <v>1.0</v>
      </c>
    </row>
    <row r="955" ht="15.75" customHeight="1">
      <c r="A955" s="200" t="s">
        <v>303</v>
      </c>
      <c r="B955" s="186" t="s">
        <v>5050</v>
      </c>
      <c r="C955" s="210" t="s">
        <v>5051</v>
      </c>
      <c r="D955" s="210" t="s">
        <v>5052</v>
      </c>
      <c r="E955" s="204">
        <v>1.0</v>
      </c>
      <c r="F955" s="205">
        <v>0.0</v>
      </c>
      <c r="G955" s="205">
        <v>0.0</v>
      </c>
    </row>
    <row r="956" ht="15.75" customHeight="1">
      <c r="A956" s="200" t="s">
        <v>303</v>
      </c>
      <c r="B956" s="186" t="s">
        <v>5053</v>
      </c>
      <c r="C956" s="210" t="s">
        <v>5054</v>
      </c>
      <c r="D956" s="210" t="s">
        <v>5055</v>
      </c>
      <c r="E956" s="204">
        <v>1.0</v>
      </c>
      <c r="F956" s="205">
        <v>0.0</v>
      </c>
      <c r="G956" s="205">
        <v>2.0</v>
      </c>
    </row>
    <row r="957" ht="15.75" customHeight="1">
      <c r="A957" s="200" t="s">
        <v>303</v>
      </c>
      <c r="B957" s="186" t="s">
        <v>5056</v>
      </c>
      <c r="C957" s="210" t="s">
        <v>5057</v>
      </c>
      <c r="D957" s="210" t="s">
        <v>5058</v>
      </c>
      <c r="E957" s="204">
        <v>1.0</v>
      </c>
      <c r="F957" s="205">
        <v>0.0</v>
      </c>
      <c r="G957" s="205">
        <v>3.0</v>
      </c>
    </row>
    <row r="958" ht="15.75" customHeight="1">
      <c r="A958" s="200" t="s">
        <v>303</v>
      </c>
      <c r="B958" s="186" t="s">
        <v>5059</v>
      </c>
      <c r="C958" s="210" t="s">
        <v>5060</v>
      </c>
      <c r="D958" s="210" t="s">
        <v>5061</v>
      </c>
      <c r="E958" s="204">
        <v>1.0</v>
      </c>
      <c r="F958" s="205">
        <v>0.0</v>
      </c>
      <c r="G958" s="205">
        <v>0.0</v>
      </c>
    </row>
    <row r="959" ht="15.75" customHeight="1">
      <c r="A959" s="200" t="s">
        <v>303</v>
      </c>
      <c r="B959" s="186" t="s">
        <v>5062</v>
      </c>
      <c r="C959" s="210" t="s">
        <v>5063</v>
      </c>
      <c r="D959" s="210" t="s">
        <v>5064</v>
      </c>
      <c r="E959" s="204">
        <v>1.0</v>
      </c>
      <c r="F959" s="205">
        <v>0.0</v>
      </c>
      <c r="G959" s="205">
        <v>0.0</v>
      </c>
    </row>
    <row r="960" ht="15.75" customHeight="1">
      <c r="A960" s="200" t="s">
        <v>303</v>
      </c>
      <c r="B960" s="186" t="s">
        <v>5065</v>
      </c>
      <c r="C960" s="210" t="s">
        <v>5066</v>
      </c>
      <c r="D960" s="210" t="s">
        <v>569</v>
      </c>
      <c r="E960" s="204">
        <v>1.0</v>
      </c>
      <c r="F960" s="205">
        <v>0.0</v>
      </c>
      <c r="G960" s="205">
        <v>0.0</v>
      </c>
    </row>
    <row r="961" ht="15.75" customHeight="1">
      <c r="A961" s="200" t="s">
        <v>303</v>
      </c>
      <c r="B961" s="186" t="s">
        <v>5067</v>
      </c>
      <c r="C961" s="210" t="s">
        <v>5068</v>
      </c>
      <c r="D961" s="210" t="s">
        <v>5069</v>
      </c>
      <c r="E961" s="204">
        <v>1.0</v>
      </c>
      <c r="F961" s="205">
        <v>0.0</v>
      </c>
      <c r="G961" s="205">
        <v>1.0</v>
      </c>
    </row>
    <row r="962" ht="15.75" customHeight="1">
      <c r="A962" s="200" t="s">
        <v>303</v>
      </c>
      <c r="B962" s="186" t="s">
        <v>5070</v>
      </c>
      <c r="C962" s="210" t="s">
        <v>5071</v>
      </c>
      <c r="D962" s="210" t="s">
        <v>5072</v>
      </c>
      <c r="E962" s="204">
        <v>1.0</v>
      </c>
      <c r="F962" s="205">
        <v>0.0</v>
      </c>
      <c r="G962" s="205">
        <v>1.0</v>
      </c>
    </row>
    <row r="963" ht="15.75" customHeight="1">
      <c r="A963" s="200" t="s">
        <v>303</v>
      </c>
      <c r="B963" s="186" t="s">
        <v>5073</v>
      </c>
      <c r="C963" s="210" t="s">
        <v>5074</v>
      </c>
      <c r="D963" s="210" t="s">
        <v>5075</v>
      </c>
      <c r="E963" s="204">
        <v>1.0</v>
      </c>
      <c r="F963" s="205">
        <v>0.0</v>
      </c>
      <c r="G963" s="205">
        <v>1.0</v>
      </c>
    </row>
    <row r="964" ht="15.75" customHeight="1">
      <c r="A964" s="200" t="s">
        <v>303</v>
      </c>
      <c r="B964" s="186" t="s">
        <v>5076</v>
      </c>
      <c r="C964" s="210" t="s">
        <v>5077</v>
      </c>
      <c r="D964" s="210" t="s">
        <v>5078</v>
      </c>
      <c r="E964" s="204">
        <v>1.0</v>
      </c>
      <c r="F964" s="205">
        <v>0.0</v>
      </c>
      <c r="G964" s="205">
        <v>0.0</v>
      </c>
    </row>
    <row r="965" ht="15.75" customHeight="1">
      <c r="A965" s="200" t="s">
        <v>303</v>
      </c>
      <c r="B965" s="186" t="s">
        <v>5079</v>
      </c>
      <c r="C965" s="210" t="s">
        <v>5080</v>
      </c>
      <c r="D965" s="210" t="s">
        <v>5081</v>
      </c>
      <c r="E965" s="204">
        <v>1.0</v>
      </c>
      <c r="F965" s="205">
        <v>0.0</v>
      </c>
      <c r="G965" s="205">
        <v>1.0</v>
      </c>
    </row>
    <row r="966" ht="15.75" customHeight="1">
      <c r="A966" s="200" t="s">
        <v>303</v>
      </c>
      <c r="B966" s="186" t="s">
        <v>5082</v>
      </c>
      <c r="C966" s="210" t="s">
        <v>4253</v>
      </c>
      <c r="D966" s="210" t="s">
        <v>4254</v>
      </c>
      <c r="E966" s="204">
        <v>1.0</v>
      </c>
      <c r="F966" s="205">
        <v>0.0</v>
      </c>
      <c r="G966" s="205">
        <v>0.0</v>
      </c>
    </row>
    <row r="967" ht="15.75" customHeight="1">
      <c r="A967" s="200" t="s">
        <v>303</v>
      </c>
      <c r="B967" s="186" t="s">
        <v>5083</v>
      </c>
      <c r="C967" s="210" t="s">
        <v>5084</v>
      </c>
      <c r="D967" s="210" t="s">
        <v>5085</v>
      </c>
      <c r="E967" s="204">
        <v>1.0</v>
      </c>
      <c r="F967" s="205">
        <v>0.0</v>
      </c>
      <c r="G967" s="205">
        <v>1.0</v>
      </c>
    </row>
    <row r="968" ht="15.75" customHeight="1">
      <c r="A968" s="200" t="s">
        <v>303</v>
      </c>
      <c r="B968" s="186" t="s">
        <v>5086</v>
      </c>
      <c r="C968" s="210" t="s">
        <v>5087</v>
      </c>
      <c r="D968" s="210"/>
      <c r="E968" s="204">
        <v>1.0</v>
      </c>
      <c r="F968" s="205">
        <v>0.0</v>
      </c>
      <c r="G968" s="205">
        <v>0.0</v>
      </c>
    </row>
    <row r="969" ht="15.75" customHeight="1">
      <c r="A969" s="200" t="s">
        <v>303</v>
      </c>
      <c r="B969" s="186" t="s">
        <v>5088</v>
      </c>
      <c r="C969" s="210" t="s">
        <v>5089</v>
      </c>
      <c r="D969" s="210" t="s">
        <v>5090</v>
      </c>
      <c r="E969" s="204">
        <v>1.0</v>
      </c>
      <c r="F969" s="205">
        <v>0.0</v>
      </c>
      <c r="G969" s="205">
        <v>1.0</v>
      </c>
    </row>
    <row r="970" ht="15.75" customHeight="1">
      <c r="A970" s="200" t="s">
        <v>303</v>
      </c>
      <c r="B970" s="186" t="s">
        <v>1206</v>
      </c>
      <c r="C970" s="210" t="s">
        <v>1207</v>
      </c>
      <c r="D970" s="210" t="s">
        <v>1208</v>
      </c>
      <c r="E970" s="204">
        <v>1.0</v>
      </c>
      <c r="F970" s="205">
        <v>0.0</v>
      </c>
      <c r="G970" s="205">
        <v>1.0</v>
      </c>
    </row>
    <row r="971" ht="15.75" customHeight="1">
      <c r="A971" s="200" t="s">
        <v>303</v>
      </c>
      <c r="B971" s="186" t="s">
        <v>1209</v>
      </c>
      <c r="C971" s="210" t="s">
        <v>1210</v>
      </c>
      <c r="D971" s="210" t="s">
        <v>1211</v>
      </c>
      <c r="E971" s="204">
        <v>1.0</v>
      </c>
      <c r="F971" s="205">
        <v>0.0</v>
      </c>
      <c r="G971" s="205">
        <v>1.0</v>
      </c>
    </row>
    <row r="972" ht="15.75" customHeight="1">
      <c r="A972" s="200" t="s">
        <v>303</v>
      </c>
      <c r="B972" s="186" t="s">
        <v>5091</v>
      </c>
      <c r="C972" s="210" t="s">
        <v>5092</v>
      </c>
      <c r="D972" s="210" t="s">
        <v>3190</v>
      </c>
      <c r="E972" s="204">
        <v>1.0</v>
      </c>
      <c r="F972" s="205">
        <v>0.0</v>
      </c>
      <c r="G972" s="205">
        <v>1.0</v>
      </c>
    </row>
    <row r="973" ht="15.75" customHeight="1">
      <c r="A973" s="200" t="s">
        <v>303</v>
      </c>
      <c r="B973" s="186" t="s">
        <v>1212</v>
      </c>
      <c r="C973" s="210" t="s">
        <v>1213</v>
      </c>
      <c r="D973" s="210" t="s">
        <v>1214</v>
      </c>
      <c r="E973" s="204">
        <v>1.0</v>
      </c>
      <c r="F973" s="205">
        <v>0.0</v>
      </c>
      <c r="G973" s="205">
        <v>1.0</v>
      </c>
    </row>
    <row r="974" ht="15.75" customHeight="1">
      <c r="A974" s="200" t="s">
        <v>303</v>
      </c>
      <c r="B974" s="186" t="s">
        <v>1215</v>
      </c>
      <c r="C974" s="210" t="s">
        <v>1216</v>
      </c>
      <c r="D974" s="210" t="s">
        <v>1219</v>
      </c>
      <c r="E974" s="204">
        <v>1.0</v>
      </c>
      <c r="F974" s="205">
        <v>0.0</v>
      </c>
      <c r="G974" s="205">
        <v>1.0</v>
      </c>
    </row>
    <row r="975" ht="15.75" customHeight="1">
      <c r="A975" s="200" t="s">
        <v>303</v>
      </c>
      <c r="B975" s="186" t="s">
        <v>1220</v>
      </c>
      <c r="C975" s="210" t="s">
        <v>1221</v>
      </c>
      <c r="D975" s="210" t="s">
        <v>1222</v>
      </c>
      <c r="E975" s="204">
        <v>1.0</v>
      </c>
      <c r="F975" s="205">
        <v>0.0</v>
      </c>
      <c r="G975" s="205">
        <v>3.0</v>
      </c>
    </row>
    <row r="976" ht="15.75" customHeight="1">
      <c r="A976" s="200" t="s">
        <v>303</v>
      </c>
      <c r="B976" s="186" t="s">
        <v>1223</v>
      </c>
      <c r="C976" s="210" t="s">
        <v>1224</v>
      </c>
      <c r="D976" s="210" t="s">
        <v>1226</v>
      </c>
      <c r="E976" s="204">
        <v>1.0</v>
      </c>
      <c r="F976" s="205">
        <v>0.0</v>
      </c>
      <c r="G976" s="205">
        <v>1.0</v>
      </c>
    </row>
    <row r="977" ht="15.75" customHeight="1">
      <c r="A977" s="200" t="s">
        <v>303</v>
      </c>
      <c r="B977" s="186" t="s">
        <v>1227</v>
      </c>
      <c r="C977" s="210" t="s">
        <v>1228</v>
      </c>
      <c r="D977" s="210" t="s">
        <v>1229</v>
      </c>
      <c r="E977" s="204">
        <v>1.0</v>
      </c>
      <c r="F977" s="205">
        <v>0.0</v>
      </c>
      <c r="G977" s="205">
        <v>0.0</v>
      </c>
    </row>
    <row r="978" ht="15.75" customHeight="1">
      <c r="A978" s="200" t="s">
        <v>303</v>
      </c>
      <c r="B978" s="186" t="s">
        <v>1234</v>
      </c>
      <c r="C978" s="210" t="s">
        <v>1235</v>
      </c>
      <c r="D978" s="210" t="s">
        <v>1236</v>
      </c>
      <c r="E978" s="204">
        <v>1.0</v>
      </c>
      <c r="F978" s="205">
        <v>0.0</v>
      </c>
      <c r="G978" s="205">
        <v>0.0</v>
      </c>
    </row>
    <row r="979" ht="15.75" customHeight="1">
      <c r="A979" s="200" t="s">
        <v>303</v>
      </c>
      <c r="B979" s="186" t="s">
        <v>5093</v>
      </c>
      <c r="C979" s="210" t="s">
        <v>5094</v>
      </c>
      <c r="D979" s="210" t="s">
        <v>5095</v>
      </c>
      <c r="E979" s="204">
        <v>1.0</v>
      </c>
      <c r="F979" s="205">
        <v>0.0</v>
      </c>
      <c r="G979" s="205">
        <v>0.0</v>
      </c>
    </row>
    <row r="980" ht="15.75" customHeight="1">
      <c r="A980" s="200" t="s">
        <v>303</v>
      </c>
      <c r="B980" s="186" t="s">
        <v>5096</v>
      </c>
      <c r="C980" s="210" t="s">
        <v>5097</v>
      </c>
      <c r="D980" s="210" t="s">
        <v>5098</v>
      </c>
      <c r="E980" s="204">
        <v>1.0</v>
      </c>
      <c r="F980" s="205">
        <v>0.0</v>
      </c>
      <c r="G980" s="205">
        <v>1.0</v>
      </c>
    </row>
    <row r="981" ht="15.75" customHeight="1">
      <c r="A981" s="200" t="s">
        <v>303</v>
      </c>
      <c r="B981" s="186" t="s">
        <v>5099</v>
      </c>
      <c r="C981" s="210" t="s">
        <v>5100</v>
      </c>
      <c r="D981" s="210" t="s">
        <v>5101</v>
      </c>
      <c r="E981" s="204">
        <v>1.0</v>
      </c>
      <c r="F981" s="205">
        <v>0.0</v>
      </c>
      <c r="G981" s="205">
        <v>0.0</v>
      </c>
    </row>
    <row r="982" ht="15.75" customHeight="1">
      <c r="A982" s="200" t="s">
        <v>303</v>
      </c>
      <c r="B982" s="186" t="s">
        <v>5102</v>
      </c>
      <c r="C982" s="210" t="s">
        <v>5103</v>
      </c>
      <c r="D982" s="210" t="s">
        <v>5104</v>
      </c>
      <c r="E982" s="204">
        <v>1.0</v>
      </c>
      <c r="F982" s="205">
        <v>0.0</v>
      </c>
      <c r="G982" s="205">
        <v>0.0</v>
      </c>
    </row>
    <row r="983" ht="15.75" customHeight="1">
      <c r="A983" s="200" t="s">
        <v>303</v>
      </c>
      <c r="B983" s="186" t="s">
        <v>5105</v>
      </c>
      <c r="C983" s="210" t="s">
        <v>5106</v>
      </c>
      <c r="D983" s="210" t="s">
        <v>5107</v>
      </c>
      <c r="E983" s="204">
        <v>1.0</v>
      </c>
      <c r="F983" s="205">
        <v>0.0</v>
      </c>
      <c r="G983" s="205">
        <v>0.0</v>
      </c>
    </row>
    <row r="984" ht="15.75" customHeight="1">
      <c r="A984" s="200" t="s">
        <v>303</v>
      </c>
      <c r="B984" s="186" t="s">
        <v>5108</v>
      </c>
      <c r="C984" s="210" t="s">
        <v>5109</v>
      </c>
      <c r="D984" s="210" t="s">
        <v>2827</v>
      </c>
      <c r="E984" s="204">
        <v>1.0</v>
      </c>
      <c r="F984" s="205">
        <v>0.0</v>
      </c>
      <c r="G984" s="205">
        <v>1.0</v>
      </c>
    </row>
    <row r="985" ht="15.75" customHeight="1">
      <c r="A985" s="200" t="s">
        <v>303</v>
      </c>
      <c r="B985" s="186" t="s">
        <v>5110</v>
      </c>
      <c r="C985" s="210" t="s">
        <v>2577</v>
      </c>
      <c r="D985" s="210" t="s">
        <v>5111</v>
      </c>
      <c r="E985" s="204">
        <v>1.0</v>
      </c>
      <c r="F985" s="205">
        <v>0.0</v>
      </c>
      <c r="G985" s="205">
        <v>1.0</v>
      </c>
    </row>
    <row r="986" ht="15.75" customHeight="1">
      <c r="A986" s="200" t="s">
        <v>303</v>
      </c>
      <c r="B986" s="186" t="s">
        <v>5112</v>
      </c>
      <c r="C986" s="210" t="s">
        <v>5113</v>
      </c>
      <c r="D986" s="210" t="s">
        <v>5114</v>
      </c>
      <c r="E986" s="204">
        <v>1.0</v>
      </c>
      <c r="F986" s="205">
        <v>0.0</v>
      </c>
      <c r="G986" s="205">
        <v>1.0</v>
      </c>
    </row>
    <row r="987" ht="15.75" customHeight="1">
      <c r="A987" s="200" t="s">
        <v>303</v>
      </c>
      <c r="B987" s="186" t="s">
        <v>5115</v>
      </c>
      <c r="C987" s="210" t="s">
        <v>5116</v>
      </c>
      <c r="D987" s="210" t="s">
        <v>5117</v>
      </c>
      <c r="E987" s="204">
        <v>1.0</v>
      </c>
      <c r="F987" s="205">
        <v>0.0</v>
      </c>
      <c r="G987" s="205">
        <v>1.0</v>
      </c>
    </row>
    <row r="988" ht="15.75" customHeight="1">
      <c r="A988" s="200" t="s">
        <v>303</v>
      </c>
      <c r="B988" s="186" t="s">
        <v>5118</v>
      </c>
      <c r="C988" s="210" t="s">
        <v>5119</v>
      </c>
      <c r="D988" s="210" t="s">
        <v>5120</v>
      </c>
      <c r="E988" s="204">
        <v>1.0</v>
      </c>
      <c r="F988" s="205">
        <v>0.0</v>
      </c>
      <c r="G988" s="205">
        <v>1.0</v>
      </c>
    </row>
    <row r="989" ht="15.75" customHeight="1">
      <c r="A989" s="200" t="s">
        <v>303</v>
      </c>
      <c r="B989" s="186" t="s">
        <v>5121</v>
      </c>
      <c r="C989" s="210" t="s">
        <v>5122</v>
      </c>
      <c r="D989" s="210" t="s">
        <v>5123</v>
      </c>
      <c r="E989" s="204">
        <v>1.0</v>
      </c>
      <c r="F989" s="205">
        <v>0.0</v>
      </c>
      <c r="G989" s="205">
        <v>1.0</v>
      </c>
    </row>
    <row r="990" ht="15.75" customHeight="1">
      <c r="A990" s="200" t="s">
        <v>303</v>
      </c>
      <c r="B990" s="186" t="s">
        <v>5124</v>
      </c>
      <c r="C990" s="210" t="s">
        <v>5125</v>
      </c>
      <c r="D990" s="210" t="s">
        <v>5126</v>
      </c>
      <c r="E990" s="204">
        <v>1.0</v>
      </c>
      <c r="F990" s="205">
        <v>0.0</v>
      </c>
      <c r="G990" s="205">
        <v>0.0</v>
      </c>
    </row>
    <row r="991" ht="15.75" customHeight="1">
      <c r="A991" s="200" t="s">
        <v>303</v>
      </c>
      <c r="B991" s="186" t="s">
        <v>5127</v>
      </c>
      <c r="C991" s="210" t="s">
        <v>5128</v>
      </c>
      <c r="D991" s="210" t="s">
        <v>5129</v>
      </c>
      <c r="E991" s="204">
        <v>1.0</v>
      </c>
      <c r="F991" s="205">
        <v>0.0</v>
      </c>
      <c r="G991" s="205">
        <v>1.0</v>
      </c>
    </row>
    <row r="992" ht="15.75" customHeight="1">
      <c r="A992" s="200" t="s">
        <v>303</v>
      </c>
      <c r="B992" s="186" t="s">
        <v>5130</v>
      </c>
      <c r="C992" s="210" t="s">
        <v>5131</v>
      </c>
      <c r="D992" s="210" t="s">
        <v>5132</v>
      </c>
      <c r="E992" s="204">
        <v>1.0</v>
      </c>
      <c r="F992" s="205">
        <v>0.0</v>
      </c>
      <c r="G992" s="205">
        <v>1.0</v>
      </c>
    </row>
    <row r="993" ht="15.75" customHeight="1">
      <c r="A993" s="200" t="s">
        <v>303</v>
      </c>
      <c r="B993" s="186" t="s">
        <v>5133</v>
      </c>
      <c r="C993" s="210" t="s">
        <v>5134</v>
      </c>
      <c r="D993" s="210" t="s">
        <v>5135</v>
      </c>
      <c r="E993" s="204">
        <v>1.0</v>
      </c>
      <c r="F993" s="205">
        <v>0.0</v>
      </c>
      <c r="G993" s="205">
        <v>1.0</v>
      </c>
    </row>
    <row r="994" ht="15.75" customHeight="1">
      <c r="A994" s="200" t="s">
        <v>303</v>
      </c>
      <c r="B994" s="186" t="s">
        <v>5136</v>
      </c>
      <c r="C994" s="210" t="s">
        <v>5137</v>
      </c>
      <c r="D994" s="210"/>
      <c r="E994" s="204">
        <v>1.0</v>
      </c>
      <c r="F994" s="205">
        <v>0.0</v>
      </c>
      <c r="G994" s="205">
        <v>1.0</v>
      </c>
    </row>
    <row r="995" ht="15.75" customHeight="1">
      <c r="A995" s="200" t="s">
        <v>303</v>
      </c>
      <c r="B995" s="186" t="s">
        <v>5138</v>
      </c>
      <c r="C995" s="210" t="s">
        <v>5139</v>
      </c>
      <c r="D995" s="210" t="s">
        <v>2808</v>
      </c>
      <c r="E995" s="204">
        <v>1.0</v>
      </c>
      <c r="F995" s="205">
        <v>0.0</v>
      </c>
      <c r="G995" s="205">
        <v>1.0</v>
      </c>
    </row>
    <row r="996" ht="15.75" customHeight="1">
      <c r="A996" s="200" t="s">
        <v>303</v>
      </c>
      <c r="B996" s="186" t="s">
        <v>5140</v>
      </c>
      <c r="C996" s="210" t="s">
        <v>5141</v>
      </c>
      <c r="D996" s="210" t="s">
        <v>380</v>
      </c>
      <c r="E996" s="204">
        <v>1.0</v>
      </c>
      <c r="F996" s="205">
        <v>0.0</v>
      </c>
      <c r="G996" s="205">
        <v>0.0</v>
      </c>
    </row>
    <row r="997" ht="15.75" customHeight="1">
      <c r="A997" s="200" t="s">
        <v>303</v>
      </c>
      <c r="B997" s="186" t="s">
        <v>5142</v>
      </c>
      <c r="C997" s="210" t="s">
        <v>5143</v>
      </c>
      <c r="D997" s="210" t="s">
        <v>5144</v>
      </c>
      <c r="E997" s="204">
        <v>1.0</v>
      </c>
      <c r="F997" s="205">
        <v>0.0</v>
      </c>
      <c r="G997" s="205">
        <v>1.0</v>
      </c>
    </row>
    <row r="998" ht="15.75" customHeight="1">
      <c r="A998" s="200" t="s">
        <v>303</v>
      </c>
      <c r="B998" s="186" t="s">
        <v>5145</v>
      </c>
      <c r="C998" s="210" t="s">
        <v>5146</v>
      </c>
      <c r="D998" s="210" t="s">
        <v>5147</v>
      </c>
      <c r="E998" s="204">
        <v>1.0</v>
      </c>
      <c r="F998" s="205">
        <v>0.0</v>
      </c>
      <c r="G998" s="205">
        <v>0.0</v>
      </c>
    </row>
    <row r="999" ht="15.75" customHeight="1">
      <c r="A999" s="200" t="s">
        <v>303</v>
      </c>
      <c r="B999" s="186" t="s">
        <v>5148</v>
      </c>
      <c r="C999" s="210" t="s">
        <v>5149</v>
      </c>
      <c r="D999" s="210" t="s">
        <v>5150</v>
      </c>
      <c r="E999" s="204">
        <v>1.0</v>
      </c>
      <c r="F999" s="205">
        <v>0.0</v>
      </c>
      <c r="G999" s="205">
        <v>0.0</v>
      </c>
    </row>
    <row r="1000" ht="15.75" customHeight="1">
      <c r="A1000" s="200" t="s">
        <v>303</v>
      </c>
      <c r="B1000" s="186" t="s">
        <v>5151</v>
      </c>
      <c r="C1000" s="210" t="s">
        <v>5152</v>
      </c>
      <c r="D1000" s="210" t="s">
        <v>5153</v>
      </c>
      <c r="E1000" s="204">
        <v>1.0</v>
      </c>
      <c r="F1000" s="205">
        <v>0.0</v>
      </c>
      <c r="G1000" s="205">
        <v>1.0</v>
      </c>
    </row>
    <row r="1001" ht="15.75" customHeight="1">
      <c r="A1001" s="200" t="s">
        <v>303</v>
      </c>
      <c r="B1001" s="186" t="s">
        <v>5154</v>
      </c>
      <c r="C1001" s="210" t="s">
        <v>5155</v>
      </c>
      <c r="D1001" s="210" t="s">
        <v>5156</v>
      </c>
      <c r="E1001" s="204">
        <v>1.0</v>
      </c>
      <c r="F1001" s="205">
        <v>0.0</v>
      </c>
      <c r="G1001" s="205">
        <v>0.0</v>
      </c>
    </row>
    <row r="1002" ht="15.75" customHeight="1">
      <c r="A1002" s="200" t="s">
        <v>303</v>
      </c>
      <c r="B1002" s="186" t="s">
        <v>5157</v>
      </c>
      <c r="C1002" s="210" t="s">
        <v>5158</v>
      </c>
      <c r="D1002" s="210" t="s">
        <v>5159</v>
      </c>
      <c r="E1002" s="204">
        <v>1.0</v>
      </c>
      <c r="F1002" s="205">
        <v>0.0</v>
      </c>
      <c r="G1002" s="205">
        <v>1.0</v>
      </c>
    </row>
    <row r="1003" ht="15.75" customHeight="1">
      <c r="A1003" s="200" t="s">
        <v>303</v>
      </c>
      <c r="B1003" s="186" t="s">
        <v>5160</v>
      </c>
      <c r="C1003" s="210" t="s">
        <v>5161</v>
      </c>
      <c r="D1003" s="210"/>
      <c r="E1003" s="204">
        <v>1.0</v>
      </c>
      <c r="F1003" s="205">
        <v>0.0</v>
      </c>
      <c r="G1003" s="205">
        <v>1.0</v>
      </c>
    </row>
    <row r="1004" ht="15.75" customHeight="1">
      <c r="A1004" s="200" t="s">
        <v>303</v>
      </c>
      <c r="B1004" s="186" t="s">
        <v>5162</v>
      </c>
      <c r="C1004" s="210" t="s">
        <v>5163</v>
      </c>
      <c r="D1004" s="210" t="s">
        <v>1232</v>
      </c>
      <c r="E1004" s="204">
        <v>1.0</v>
      </c>
      <c r="F1004" s="205">
        <v>0.0</v>
      </c>
      <c r="G1004" s="205">
        <v>0.0</v>
      </c>
    </row>
    <row r="1005" ht="15.75" customHeight="1">
      <c r="A1005" s="200" t="s">
        <v>303</v>
      </c>
      <c r="B1005" s="186" t="s">
        <v>5164</v>
      </c>
      <c r="C1005" s="210" t="s">
        <v>5165</v>
      </c>
      <c r="D1005" s="210"/>
      <c r="E1005" s="204">
        <v>1.0</v>
      </c>
      <c r="F1005" s="205">
        <v>0.0</v>
      </c>
      <c r="G1005" s="205">
        <v>0.0</v>
      </c>
    </row>
    <row r="1006" ht="15.75" customHeight="1">
      <c r="A1006" s="200" t="s">
        <v>303</v>
      </c>
      <c r="B1006" s="186" t="s">
        <v>5166</v>
      </c>
      <c r="C1006" s="210" t="s">
        <v>5167</v>
      </c>
      <c r="D1006" s="210" t="s">
        <v>5168</v>
      </c>
      <c r="E1006" s="204">
        <v>1.0</v>
      </c>
      <c r="F1006" s="205">
        <v>0.0</v>
      </c>
      <c r="G1006" s="205">
        <v>0.0</v>
      </c>
    </row>
    <row r="1007" ht="15.75" customHeight="1">
      <c r="A1007" s="200" t="s">
        <v>303</v>
      </c>
      <c r="B1007" s="186" t="s">
        <v>5169</v>
      </c>
      <c r="C1007" s="210" t="s">
        <v>5170</v>
      </c>
      <c r="D1007" s="210" t="s">
        <v>5171</v>
      </c>
      <c r="E1007" s="204">
        <v>1.0</v>
      </c>
      <c r="F1007" s="205">
        <v>0.0</v>
      </c>
      <c r="G1007" s="205">
        <v>1.0</v>
      </c>
    </row>
    <row r="1008" ht="15.75" customHeight="1">
      <c r="A1008" s="200" t="s">
        <v>303</v>
      </c>
      <c r="B1008" s="186" t="s">
        <v>1237</v>
      </c>
      <c r="C1008" s="210" t="s">
        <v>1238</v>
      </c>
      <c r="D1008" s="210" t="s">
        <v>1239</v>
      </c>
      <c r="E1008" s="204">
        <v>1.0</v>
      </c>
      <c r="F1008" s="205">
        <v>0.0</v>
      </c>
      <c r="G1008" s="205">
        <v>1.0</v>
      </c>
    </row>
    <row r="1009" ht="15.75" customHeight="1">
      <c r="A1009" s="200" t="s">
        <v>303</v>
      </c>
      <c r="B1009" s="186" t="s">
        <v>5172</v>
      </c>
      <c r="C1009" s="210" t="s">
        <v>5173</v>
      </c>
      <c r="D1009" s="210" t="s">
        <v>2827</v>
      </c>
      <c r="E1009" s="204">
        <v>1.0</v>
      </c>
      <c r="F1009" s="205">
        <v>0.0</v>
      </c>
      <c r="G1009" s="205">
        <v>1.0</v>
      </c>
    </row>
    <row r="1010" ht="15.75" customHeight="1">
      <c r="A1010" s="200" t="s">
        <v>303</v>
      </c>
      <c r="B1010" s="186" t="s">
        <v>5174</v>
      </c>
      <c r="C1010" s="210" t="s">
        <v>5175</v>
      </c>
      <c r="D1010" s="210" t="s">
        <v>1259</v>
      </c>
      <c r="E1010" s="204">
        <v>1.0</v>
      </c>
      <c r="F1010" s="205">
        <v>0.0</v>
      </c>
      <c r="G1010" s="205">
        <v>1.0</v>
      </c>
    </row>
    <row r="1011" ht="15.75" customHeight="1">
      <c r="A1011" s="200" t="s">
        <v>303</v>
      </c>
      <c r="B1011" s="186" t="s">
        <v>5177</v>
      </c>
      <c r="C1011" s="210" t="s">
        <v>5178</v>
      </c>
      <c r="D1011" s="210" t="s">
        <v>5179</v>
      </c>
      <c r="E1011" s="204">
        <v>1.0</v>
      </c>
      <c r="F1011" s="205">
        <v>0.0</v>
      </c>
      <c r="G1011" s="205">
        <v>1.0</v>
      </c>
    </row>
    <row r="1012" ht="15.75" customHeight="1">
      <c r="A1012" s="200" t="s">
        <v>303</v>
      </c>
      <c r="B1012" s="186" t="s">
        <v>5181</v>
      </c>
      <c r="C1012" s="210" t="s">
        <v>5183</v>
      </c>
      <c r="D1012" s="210"/>
      <c r="E1012" s="204">
        <v>1.0</v>
      </c>
      <c r="F1012" s="205">
        <v>0.0</v>
      </c>
      <c r="G1012" s="205">
        <v>0.0</v>
      </c>
    </row>
    <row r="1013" ht="15.75" customHeight="1">
      <c r="A1013" s="200" t="s">
        <v>303</v>
      </c>
      <c r="B1013" s="186" t="s">
        <v>5184</v>
      </c>
      <c r="C1013" s="210" t="s">
        <v>5185</v>
      </c>
      <c r="D1013" s="210" t="s">
        <v>5186</v>
      </c>
      <c r="E1013" s="204">
        <v>1.0</v>
      </c>
      <c r="F1013" s="205">
        <v>0.0</v>
      </c>
      <c r="G1013" s="205">
        <v>1.0</v>
      </c>
    </row>
    <row r="1014" ht="15.75" customHeight="1">
      <c r="A1014" s="200" t="s">
        <v>303</v>
      </c>
      <c r="B1014" s="186" t="s">
        <v>5187</v>
      </c>
      <c r="C1014" s="210" t="s">
        <v>5188</v>
      </c>
      <c r="D1014" s="210" t="s">
        <v>1046</v>
      </c>
      <c r="E1014" s="204">
        <v>1.0</v>
      </c>
      <c r="F1014" s="205">
        <v>0.0</v>
      </c>
      <c r="G1014" s="205">
        <v>1.0</v>
      </c>
    </row>
    <row r="1015" ht="15.75" customHeight="1">
      <c r="A1015" s="200" t="s">
        <v>303</v>
      </c>
      <c r="B1015" s="186" t="s">
        <v>5190</v>
      </c>
      <c r="C1015" s="210" t="s">
        <v>5191</v>
      </c>
      <c r="D1015" s="210" t="s">
        <v>5192</v>
      </c>
      <c r="E1015" s="204">
        <v>1.0</v>
      </c>
      <c r="F1015" s="205">
        <v>0.0</v>
      </c>
      <c r="G1015" s="205">
        <v>1.0</v>
      </c>
    </row>
    <row r="1016" ht="15.75" customHeight="1">
      <c r="A1016" s="200" t="s">
        <v>303</v>
      </c>
      <c r="B1016" s="186" t="s">
        <v>5193</v>
      </c>
      <c r="C1016" s="210" t="s">
        <v>5195</v>
      </c>
      <c r="D1016" s="210" t="s">
        <v>5196</v>
      </c>
      <c r="E1016" s="204">
        <v>1.0</v>
      </c>
      <c r="F1016" s="205">
        <v>0.0</v>
      </c>
      <c r="G1016" s="205">
        <v>1.0</v>
      </c>
    </row>
    <row r="1017" ht="15.75" customHeight="1">
      <c r="A1017" s="200" t="s">
        <v>303</v>
      </c>
      <c r="B1017" s="186" t="s">
        <v>5197</v>
      </c>
      <c r="C1017" s="210" t="s">
        <v>5198</v>
      </c>
      <c r="D1017" s="210" t="s">
        <v>5199</v>
      </c>
      <c r="E1017" s="204">
        <v>1.0</v>
      </c>
      <c r="F1017" s="205">
        <v>0.0</v>
      </c>
      <c r="G1017" s="205">
        <v>1.0</v>
      </c>
    </row>
    <row r="1018" ht="15.75" customHeight="1">
      <c r="A1018" s="200" t="s">
        <v>303</v>
      </c>
      <c r="B1018" s="186" t="s">
        <v>5201</v>
      </c>
      <c r="C1018" s="210" t="s">
        <v>5202</v>
      </c>
      <c r="D1018" s="210" t="s">
        <v>5203</v>
      </c>
      <c r="E1018" s="204">
        <v>1.0</v>
      </c>
      <c r="F1018" s="205">
        <v>0.0</v>
      </c>
      <c r="G1018" s="205">
        <v>0.0</v>
      </c>
    </row>
    <row r="1019" ht="15.75" customHeight="1">
      <c r="A1019" s="200" t="s">
        <v>303</v>
      </c>
      <c r="B1019" s="186" t="s">
        <v>5205</v>
      </c>
      <c r="C1019" s="210" t="s">
        <v>5206</v>
      </c>
      <c r="D1019" s="210"/>
      <c r="E1019" s="204">
        <v>1.0</v>
      </c>
      <c r="F1019" s="205">
        <v>0.0</v>
      </c>
      <c r="G1019" s="205">
        <v>1.0</v>
      </c>
    </row>
    <row r="1020" ht="15.75" customHeight="1">
      <c r="A1020" s="200" t="s">
        <v>303</v>
      </c>
      <c r="B1020" s="186" t="s">
        <v>5207</v>
      </c>
      <c r="C1020" s="210" t="s">
        <v>5208</v>
      </c>
      <c r="D1020" s="210" t="s">
        <v>1101</v>
      </c>
      <c r="E1020" s="204">
        <v>1.0</v>
      </c>
      <c r="F1020" s="205">
        <v>0.0</v>
      </c>
      <c r="G1020" s="205">
        <v>1.0</v>
      </c>
    </row>
    <row r="1021" ht="15.75" customHeight="1">
      <c r="A1021" s="200" t="s">
        <v>303</v>
      </c>
      <c r="B1021" s="186" t="s">
        <v>5212</v>
      </c>
      <c r="C1021" s="210" t="s">
        <v>5214</v>
      </c>
      <c r="D1021" s="210" t="s">
        <v>5215</v>
      </c>
      <c r="E1021" s="204">
        <v>1.0</v>
      </c>
      <c r="F1021" s="205">
        <v>0.0</v>
      </c>
      <c r="G1021" s="205">
        <v>0.0</v>
      </c>
    </row>
    <row r="1022" ht="15.75" customHeight="1">
      <c r="A1022" s="200" t="s">
        <v>303</v>
      </c>
      <c r="B1022" s="186" t="s">
        <v>5220</v>
      </c>
      <c r="C1022" s="210" t="s">
        <v>5221</v>
      </c>
      <c r="D1022" s="210" t="s">
        <v>2827</v>
      </c>
      <c r="E1022" s="204">
        <v>1.0</v>
      </c>
      <c r="F1022" s="205">
        <v>0.0</v>
      </c>
      <c r="G1022" s="205">
        <v>0.0</v>
      </c>
    </row>
    <row r="1023" ht="15.75" customHeight="1">
      <c r="A1023" s="200" t="s">
        <v>303</v>
      </c>
      <c r="B1023" s="186" t="s">
        <v>5223</v>
      </c>
      <c r="C1023" s="210" t="s">
        <v>5224</v>
      </c>
      <c r="D1023" s="210" t="s">
        <v>5225</v>
      </c>
      <c r="E1023" s="204">
        <v>1.0</v>
      </c>
      <c r="F1023" s="205">
        <v>0.0</v>
      </c>
      <c r="G1023" s="205">
        <v>0.0</v>
      </c>
    </row>
    <row r="1024" ht="15.75" customHeight="1">
      <c r="A1024" s="200" t="s">
        <v>303</v>
      </c>
      <c r="B1024" s="186" t="s">
        <v>5227</v>
      </c>
      <c r="C1024" s="210" t="s">
        <v>5228</v>
      </c>
      <c r="D1024" s="210" t="s">
        <v>5230</v>
      </c>
      <c r="E1024" s="204">
        <v>1.0</v>
      </c>
      <c r="F1024" s="205">
        <v>0.0</v>
      </c>
      <c r="G1024" s="205">
        <v>6.0</v>
      </c>
    </row>
    <row r="1025" ht="15.75" customHeight="1">
      <c r="A1025" s="200" t="s">
        <v>303</v>
      </c>
      <c r="B1025" s="186" t="s">
        <v>5231</v>
      </c>
      <c r="C1025" s="210" t="s">
        <v>5232</v>
      </c>
      <c r="D1025" s="210" t="s">
        <v>5234</v>
      </c>
      <c r="E1025" s="204">
        <v>1.0</v>
      </c>
      <c r="F1025" s="205">
        <v>0.0</v>
      </c>
      <c r="G1025" s="205">
        <v>0.0</v>
      </c>
    </row>
    <row r="1026" ht="15.75" customHeight="1">
      <c r="A1026" s="200" t="s">
        <v>303</v>
      </c>
      <c r="B1026" s="186" t="s">
        <v>5235</v>
      </c>
      <c r="C1026" s="210" t="s">
        <v>5238</v>
      </c>
      <c r="D1026" s="210" t="s">
        <v>5239</v>
      </c>
      <c r="E1026" s="204">
        <v>1.0</v>
      </c>
      <c r="F1026" s="205">
        <v>0.0</v>
      </c>
      <c r="G1026" s="205">
        <v>1.0</v>
      </c>
    </row>
    <row r="1027" ht="15.75" customHeight="1">
      <c r="A1027" s="200" t="s">
        <v>303</v>
      </c>
      <c r="B1027" s="186" t="s">
        <v>5241</v>
      </c>
      <c r="C1027" s="210" t="s">
        <v>5242</v>
      </c>
      <c r="D1027" s="210" t="s">
        <v>5243</v>
      </c>
      <c r="E1027" s="204">
        <v>1.0</v>
      </c>
      <c r="F1027" s="205">
        <v>0.0</v>
      </c>
      <c r="G1027" s="205">
        <v>0.0</v>
      </c>
    </row>
    <row r="1028" ht="15.75" customHeight="1">
      <c r="A1028" s="200" t="s">
        <v>303</v>
      </c>
      <c r="B1028" s="186" t="s">
        <v>5247</v>
      </c>
      <c r="C1028" s="210" t="s">
        <v>5248</v>
      </c>
      <c r="D1028" s="210" t="s">
        <v>5249</v>
      </c>
      <c r="E1028" s="204">
        <v>1.0</v>
      </c>
      <c r="F1028" s="205">
        <v>0.0</v>
      </c>
      <c r="G1028" s="205">
        <v>0.0</v>
      </c>
    </row>
    <row r="1029" ht="15.75" customHeight="1">
      <c r="A1029" s="200" t="s">
        <v>303</v>
      </c>
      <c r="B1029" s="186" t="s">
        <v>5252</v>
      </c>
      <c r="C1029" s="210" t="s">
        <v>5253</v>
      </c>
      <c r="D1029" s="210"/>
      <c r="E1029" s="204">
        <v>1.0</v>
      </c>
      <c r="F1029" s="205">
        <v>0.0</v>
      </c>
      <c r="G1029" s="205">
        <v>1.0</v>
      </c>
    </row>
    <row r="1030" ht="15.75" customHeight="1">
      <c r="A1030" s="200" t="s">
        <v>303</v>
      </c>
      <c r="B1030" s="186" t="s">
        <v>5255</v>
      </c>
      <c r="C1030" s="210" t="s">
        <v>5256</v>
      </c>
      <c r="D1030" s="210" t="s">
        <v>5257</v>
      </c>
      <c r="E1030" s="204">
        <v>1.0</v>
      </c>
      <c r="F1030" s="205">
        <v>0.0</v>
      </c>
      <c r="G1030" s="205">
        <v>1.0</v>
      </c>
    </row>
    <row r="1031" ht="15.75" customHeight="1">
      <c r="A1031" s="200" t="s">
        <v>303</v>
      </c>
      <c r="B1031" s="186" t="s">
        <v>5258</v>
      </c>
      <c r="C1031" s="210" t="s">
        <v>5260</v>
      </c>
      <c r="D1031" s="210" t="s">
        <v>5261</v>
      </c>
      <c r="E1031" s="204">
        <v>1.0</v>
      </c>
      <c r="F1031" s="205">
        <v>0.0</v>
      </c>
      <c r="G1031" s="205">
        <v>1.0</v>
      </c>
    </row>
    <row r="1032" ht="15.75" customHeight="1">
      <c r="A1032" s="200" t="s">
        <v>303</v>
      </c>
      <c r="B1032" s="186" t="s">
        <v>5264</v>
      </c>
      <c r="C1032" s="210" t="s">
        <v>5265</v>
      </c>
      <c r="D1032" s="210" t="s">
        <v>569</v>
      </c>
      <c r="E1032" s="204">
        <v>1.0</v>
      </c>
      <c r="F1032" s="205">
        <v>0.0</v>
      </c>
      <c r="G1032" s="205">
        <v>2.0</v>
      </c>
    </row>
    <row r="1033" ht="15.75" customHeight="1">
      <c r="A1033" s="200" t="s">
        <v>303</v>
      </c>
      <c r="B1033" s="186" t="s">
        <v>5267</v>
      </c>
      <c r="C1033" s="210" t="s">
        <v>5268</v>
      </c>
      <c r="D1033" s="210" t="s">
        <v>4292</v>
      </c>
      <c r="E1033" s="204">
        <v>1.0</v>
      </c>
      <c r="F1033" s="205">
        <v>0.0</v>
      </c>
      <c r="G1033" s="205">
        <v>2.0</v>
      </c>
    </row>
    <row r="1034" ht="15.75" customHeight="1">
      <c r="A1034" s="200" t="s">
        <v>303</v>
      </c>
      <c r="B1034" s="186" t="s">
        <v>5269</v>
      </c>
      <c r="C1034" s="210" t="s">
        <v>5270</v>
      </c>
      <c r="D1034" s="210" t="s">
        <v>5271</v>
      </c>
      <c r="E1034" s="204">
        <v>1.0</v>
      </c>
      <c r="F1034" s="205">
        <v>0.0</v>
      </c>
      <c r="G1034" s="205">
        <v>1.0</v>
      </c>
    </row>
    <row r="1035" ht="15.75" customHeight="1">
      <c r="A1035" s="200" t="s">
        <v>303</v>
      </c>
      <c r="B1035" s="186" t="s">
        <v>5272</v>
      </c>
      <c r="C1035" s="210" t="s">
        <v>5273</v>
      </c>
      <c r="D1035" s="210" t="s">
        <v>5274</v>
      </c>
      <c r="E1035" s="204">
        <v>1.0</v>
      </c>
      <c r="F1035" s="205">
        <v>0.0</v>
      </c>
      <c r="G1035" s="205">
        <v>0.0</v>
      </c>
    </row>
    <row r="1036" ht="15.75" customHeight="1">
      <c r="A1036" s="200" t="s">
        <v>303</v>
      </c>
      <c r="B1036" s="186" t="s">
        <v>5275</v>
      </c>
      <c r="C1036" s="210" t="s">
        <v>5276</v>
      </c>
      <c r="D1036" s="210" t="s">
        <v>5277</v>
      </c>
      <c r="E1036" s="204">
        <v>1.0</v>
      </c>
      <c r="F1036" s="205">
        <v>0.0</v>
      </c>
      <c r="G1036" s="205">
        <v>1.0</v>
      </c>
    </row>
    <row r="1037" ht="15.75" customHeight="1">
      <c r="A1037" s="200" t="s">
        <v>303</v>
      </c>
      <c r="B1037" s="186" t="s">
        <v>5278</v>
      </c>
      <c r="C1037" s="210" t="s">
        <v>5279</v>
      </c>
      <c r="D1037" s="210" t="s">
        <v>5280</v>
      </c>
      <c r="E1037" s="204">
        <v>1.0</v>
      </c>
      <c r="F1037" s="205">
        <v>0.0</v>
      </c>
      <c r="G1037" s="205">
        <v>1.0</v>
      </c>
    </row>
    <row r="1038" ht="15.75" customHeight="1">
      <c r="A1038" s="200" t="s">
        <v>303</v>
      </c>
      <c r="B1038" s="186" t="s">
        <v>1240</v>
      </c>
      <c r="C1038" s="210" t="s">
        <v>1241</v>
      </c>
      <c r="D1038" s="210" t="s">
        <v>1243</v>
      </c>
      <c r="E1038" s="204">
        <v>1.0</v>
      </c>
      <c r="F1038" s="205">
        <v>0.0</v>
      </c>
      <c r="G1038" s="205">
        <v>1.0</v>
      </c>
    </row>
    <row r="1039" ht="15.75" customHeight="1">
      <c r="A1039" s="200" t="s">
        <v>303</v>
      </c>
      <c r="B1039" s="186" t="s">
        <v>5281</v>
      </c>
      <c r="C1039" s="210" t="s">
        <v>5282</v>
      </c>
      <c r="D1039" s="210" t="s">
        <v>1072</v>
      </c>
      <c r="E1039" s="204">
        <v>1.0</v>
      </c>
      <c r="F1039" s="205">
        <v>0.0</v>
      </c>
      <c r="G1039" s="205">
        <v>1.0</v>
      </c>
    </row>
    <row r="1040" ht="15.75" customHeight="1">
      <c r="A1040" s="200" t="s">
        <v>303</v>
      </c>
      <c r="B1040" s="186" t="s">
        <v>5283</v>
      </c>
      <c r="C1040" s="210" t="s">
        <v>5284</v>
      </c>
      <c r="D1040" s="210" t="s">
        <v>1327</v>
      </c>
      <c r="E1040" s="204">
        <v>1.0</v>
      </c>
      <c r="F1040" s="205">
        <v>0.0</v>
      </c>
      <c r="G1040" s="205">
        <v>0.0</v>
      </c>
    </row>
    <row r="1041" ht="15.75" customHeight="1">
      <c r="A1041" s="200" t="s">
        <v>303</v>
      </c>
      <c r="B1041" s="186" t="s">
        <v>5285</v>
      </c>
      <c r="C1041" s="210" t="s">
        <v>5286</v>
      </c>
      <c r="D1041" s="210" t="s">
        <v>5287</v>
      </c>
      <c r="E1041" s="204">
        <v>1.0</v>
      </c>
      <c r="F1041" s="205">
        <v>0.0</v>
      </c>
      <c r="G1041" s="205">
        <v>1.0</v>
      </c>
    </row>
    <row r="1042" ht="15.75" customHeight="1">
      <c r="A1042" s="200" t="s">
        <v>303</v>
      </c>
      <c r="B1042" s="186" t="s">
        <v>5288</v>
      </c>
      <c r="C1042" s="210" t="s">
        <v>5289</v>
      </c>
      <c r="D1042" s="210" t="s">
        <v>254</v>
      </c>
      <c r="E1042" s="204">
        <v>1.0</v>
      </c>
      <c r="F1042" s="205">
        <v>0.0</v>
      </c>
      <c r="G1042" s="205">
        <v>0.0</v>
      </c>
    </row>
    <row r="1043" ht="15.75" customHeight="1">
      <c r="A1043" s="200" t="s">
        <v>303</v>
      </c>
      <c r="B1043" s="186" t="s">
        <v>5290</v>
      </c>
      <c r="C1043" s="210" t="s">
        <v>5291</v>
      </c>
      <c r="D1043" s="210" t="s">
        <v>5292</v>
      </c>
      <c r="E1043" s="204">
        <v>1.0</v>
      </c>
      <c r="F1043" s="205">
        <v>0.0</v>
      </c>
      <c r="G1043" s="205">
        <v>0.0</v>
      </c>
    </row>
    <row r="1044" ht="15.75" customHeight="1">
      <c r="A1044" s="200" t="s">
        <v>303</v>
      </c>
      <c r="B1044" s="186" t="s">
        <v>5293</v>
      </c>
      <c r="C1044" s="210" t="s">
        <v>5294</v>
      </c>
      <c r="D1044" s="210" t="s">
        <v>5295</v>
      </c>
      <c r="E1044" s="204">
        <v>1.0</v>
      </c>
      <c r="F1044" s="205">
        <v>0.0</v>
      </c>
      <c r="G1044" s="205">
        <v>0.0</v>
      </c>
    </row>
    <row r="1045" ht="15.75" customHeight="1">
      <c r="A1045" s="200" t="s">
        <v>303</v>
      </c>
      <c r="B1045" s="186" t="s">
        <v>1244</v>
      </c>
      <c r="C1045" s="210" t="s">
        <v>1245</v>
      </c>
      <c r="D1045" s="210" t="s">
        <v>1248</v>
      </c>
      <c r="E1045" s="204">
        <v>1.0</v>
      </c>
      <c r="F1045" s="205">
        <v>0.0</v>
      </c>
      <c r="G1045" s="205">
        <v>1.0</v>
      </c>
    </row>
    <row r="1046" ht="15.75" customHeight="1">
      <c r="A1046" s="200" t="s">
        <v>303</v>
      </c>
      <c r="B1046" s="186" t="s">
        <v>5296</v>
      </c>
      <c r="C1046" s="210" t="s">
        <v>5297</v>
      </c>
      <c r="D1046" s="210" t="s">
        <v>5298</v>
      </c>
      <c r="E1046" s="204">
        <v>1.0</v>
      </c>
      <c r="F1046" s="205">
        <v>0.0</v>
      </c>
      <c r="G1046" s="205">
        <v>2.0</v>
      </c>
    </row>
    <row r="1047" ht="15.75" customHeight="1">
      <c r="A1047" s="200" t="s">
        <v>303</v>
      </c>
      <c r="B1047" s="186" t="s">
        <v>5299</v>
      </c>
      <c r="C1047" s="210" t="s">
        <v>5300</v>
      </c>
      <c r="D1047" s="210" t="s">
        <v>5301</v>
      </c>
      <c r="E1047" s="204">
        <v>1.0</v>
      </c>
      <c r="F1047" s="205">
        <v>0.0</v>
      </c>
      <c r="G1047" s="205">
        <v>0.0</v>
      </c>
    </row>
    <row r="1048" ht="15.75" customHeight="1">
      <c r="A1048" s="200" t="s">
        <v>303</v>
      </c>
      <c r="B1048" s="186" t="s">
        <v>5302</v>
      </c>
      <c r="C1048" s="210" t="s">
        <v>5303</v>
      </c>
      <c r="D1048" s="210" t="s">
        <v>5304</v>
      </c>
      <c r="E1048" s="204">
        <v>1.0</v>
      </c>
      <c r="F1048" s="205">
        <v>0.0</v>
      </c>
      <c r="G1048" s="205">
        <v>0.0</v>
      </c>
    </row>
    <row r="1049" ht="15.75" customHeight="1">
      <c r="A1049" s="200" t="s">
        <v>303</v>
      </c>
      <c r="B1049" s="186" t="s">
        <v>5305</v>
      </c>
      <c r="C1049" s="210" t="s">
        <v>5306</v>
      </c>
      <c r="D1049" s="210" t="s">
        <v>5307</v>
      </c>
      <c r="E1049" s="204">
        <v>1.0</v>
      </c>
      <c r="F1049" s="205">
        <v>0.0</v>
      </c>
      <c r="G1049" s="205">
        <v>0.0</v>
      </c>
    </row>
    <row r="1050" ht="15.75" customHeight="1">
      <c r="A1050" s="200" t="s">
        <v>303</v>
      </c>
      <c r="B1050" s="186" t="s">
        <v>5308</v>
      </c>
      <c r="C1050" s="210" t="s">
        <v>5309</v>
      </c>
      <c r="D1050" s="210" t="s">
        <v>4093</v>
      </c>
      <c r="E1050" s="204">
        <v>1.0</v>
      </c>
      <c r="F1050" s="205">
        <v>0.0</v>
      </c>
      <c r="G1050" s="205">
        <v>0.0</v>
      </c>
    </row>
    <row r="1051" ht="15.75" customHeight="1">
      <c r="A1051" s="200" t="s">
        <v>303</v>
      </c>
      <c r="B1051" s="186" t="s">
        <v>5310</v>
      </c>
      <c r="C1051" s="210" t="s">
        <v>5311</v>
      </c>
      <c r="D1051" s="210" t="s">
        <v>5312</v>
      </c>
      <c r="E1051" s="204">
        <v>1.0</v>
      </c>
      <c r="F1051" s="205">
        <v>0.0</v>
      </c>
      <c r="G1051" s="205">
        <v>0.0</v>
      </c>
    </row>
    <row r="1052" ht="15.75" customHeight="1">
      <c r="A1052" s="200" t="s">
        <v>303</v>
      </c>
      <c r="B1052" s="186" t="s">
        <v>5313</v>
      </c>
      <c r="C1052" s="210" t="s">
        <v>5314</v>
      </c>
      <c r="D1052" s="210" t="s">
        <v>5315</v>
      </c>
      <c r="E1052" s="204">
        <v>1.0</v>
      </c>
      <c r="F1052" s="205">
        <v>0.0</v>
      </c>
      <c r="G1052" s="205">
        <v>1.0</v>
      </c>
    </row>
    <row r="1053" ht="15.75" customHeight="1">
      <c r="A1053" s="200" t="s">
        <v>303</v>
      </c>
      <c r="B1053" s="186" t="s">
        <v>5316</v>
      </c>
      <c r="C1053" s="210" t="s">
        <v>5317</v>
      </c>
      <c r="D1053" s="210" t="s">
        <v>5318</v>
      </c>
      <c r="E1053" s="204">
        <v>1.0</v>
      </c>
      <c r="F1053" s="205">
        <v>0.0</v>
      </c>
      <c r="G1053" s="205">
        <v>0.0</v>
      </c>
    </row>
    <row r="1054" ht="15.75" customHeight="1">
      <c r="A1054" s="200" t="s">
        <v>303</v>
      </c>
      <c r="B1054" s="186" t="s">
        <v>1249</v>
      </c>
      <c r="C1054" s="210" t="s">
        <v>1250</v>
      </c>
      <c r="D1054" s="210" t="s">
        <v>1252</v>
      </c>
      <c r="E1054" s="204">
        <v>1.0</v>
      </c>
      <c r="F1054" s="205">
        <v>0.0</v>
      </c>
      <c r="G1054" s="205">
        <v>1.0</v>
      </c>
    </row>
    <row r="1055" ht="15.75" customHeight="1">
      <c r="A1055" s="200" t="s">
        <v>303</v>
      </c>
      <c r="B1055" s="186" t="s">
        <v>1253</v>
      </c>
      <c r="C1055" s="210" t="s">
        <v>1254</v>
      </c>
      <c r="D1055" s="210" t="s">
        <v>1255</v>
      </c>
      <c r="E1055" s="204">
        <v>1.0</v>
      </c>
      <c r="F1055" s="205">
        <v>0.0</v>
      </c>
      <c r="G1055" s="205">
        <v>0.0</v>
      </c>
    </row>
    <row r="1056" ht="15.75" customHeight="1">
      <c r="A1056" s="200" t="s">
        <v>303</v>
      </c>
      <c r="B1056" s="186" t="s">
        <v>5319</v>
      </c>
      <c r="C1056" s="210" t="s">
        <v>5320</v>
      </c>
      <c r="D1056" s="210" t="s">
        <v>5321</v>
      </c>
      <c r="E1056" s="204">
        <v>1.0</v>
      </c>
      <c r="F1056" s="205">
        <v>0.0</v>
      </c>
      <c r="G1056" s="205">
        <v>1.0</v>
      </c>
    </row>
    <row r="1057" ht="15.75" customHeight="1">
      <c r="A1057" s="200" t="s">
        <v>303</v>
      </c>
      <c r="B1057" s="186" t="s">
        <v>1256</v>
      </c>
      <c r="C1057" s="210" t="s">
        <v>1257</v>
      </c>
      <c r="D1057" s="210" t="s">
        <v>1258</v>
      </c>
      <c r="E1057" s="204">
        <v>1.0</v>
      </c>
      <c r="F1057" s="205">
        <v>0.0</v>
      </c>
      <c r="G1057" s="205">
        <v>1.0</v>
      </c>
    </row>
    <row r="1058" ht="15.75" customHeight="1">
      <c r="A1058" s="200" t="s">
        <v>303</v>
      </c>
      <c r="B1058" s="186" t="s">
        <v>5322</v>
      </c>
      <c r="C1058" s="210" t="s">
        <v>5323</v>
      </c>
      <c r="D1058" s="210" t="s">
        <v>5324</v>
      </c>
      <c r="E1058" s="204">
        <v>1.0</v>
      </c>
      <c r="F1058" s="205">
        <v>0.0</v>
      </c>
      <c r="G1058" s="205">
        <v>0.0</v>
      </c>
    </row>
    <row r="1059" ht="15.75" customHeight="1">
      <c r="A1059" s="200" t="s">
        <v>303</v>
      </c>
      <c r="B1059" s="186" t="s">
        <v>5325</v>
      </c>
      <c r="C1059" s="210" t="s">
        <v>900</v>
      </c>
      <c r="D1059" s="210" t="s">
        <v>5326</v>
      </c>
      <c r="E1059" s="204">
        <v>1.0</v>
      </c>
      <c r="F1059" s="205">
        <v>0.0</v>
      </c>
      <c r="G1059" s="205">
        <v>0.0</v>
      </c>
    </row>
    <row r="1060" ht="15.75" customHeight="1">
      <c r="A1060" s="200" t="s">
        <v>303</v>
      </c>
      <c r="B1060" s="186" t="s">
        <v>5327</v>
      </c>
      <c r="C1060" s="210" t="s">
        <v>900</v>
      </c>
      <c r="D1060" s="210" t="s">
        <v>5326</v>
      </c>
      <c r="E1060" s="204">
        <v>1.0</v>
      </c>
      <c r="F1060" s="205">
        <v>0.0</v>
      </c>
      <c r="G1060" s="205">
        <v>0.0</v>
      </c>
    </row>
    <row r="1061" ht="15.75" customHeight="1">
      <c r="A1061" s="200" t="s">
        <v>303</v>
      </c>
      <c r="B1061" s="186" t="s">
        <v>5328</v>
      </c>
      <c r="C1061" s="210" t="s">
        <v>5329</v>
      </c>
      <c r="D1061" s="210" t="s">
        <v>5330</v>
      </c>
      <c r="E1061" s="204">
        <v>1.0</v>
      </c>
      <c r="F1061" s="205">
        <v>0.0</v>
      </c>
      <c r="G1061" s="205">
        <v>1.0</v>
      </c>
    </row>
    <row r="1062" ht="15.75" customHeight="1">
      <c r="A1062" s="200" t="s">
        <v>303</v>
      </c>
      <c r="B1062" s="186" t="s">
        <v>5331</v>
      </c>
      <c r="C1062" s="210" t="s">
        <v>5332</v>
      </c>
      <c r="D1062" s="210" t="s">
        <v>5333</v>
      </c>
      <c r="E1062" s="204">
        <v>1.0</v>
      </c>
      <c r="F1062" s="205">
        <v>0.0</v>
      </c>
      <c r="G1062" s="205">
        <v>0.0</v>
      </c>
    </row>
    <row r="1063" ht="15.75" customHeight="1">
      <c r="A1063" s="200" t="s">
        <v>303</v>
      </c>
      <c r="B1063" s="186" t="s">
        <v>5334</v>
      </c>
      <c r="C1063" s="210" t="s">
        <v>5335</v>
      </c>
      <c r="D1063" s="210" t="s">
        <v>4336</v>
      </c>
      <c r="E1063" s="204">
        <v>1.0</v>
      </c>
      <c r="F1063" s="205">
        <v>0.0</v>
      </c>
      <c r="G1063" s="205">
        <v>0.0</v>
      </c>
    </row>
    <row r="1064" ht="15.75" customHeight="1">
      <c r="A1064" s="200" t="s">
        <v>303</v>
      </c>
      <c r="B1064" s="186" t="s">
        <v>5336</v>
      </c>
      <c r="C1064" s="210" t="s">
        <v>5337</v>
      </c>
      <c r="D1064" s="210" t="s">
        <v>5338</v>
      </c>
      <c r="E1064" s="204">
        <v>1.0</v>
      </c>
      <c r="F1064" s="205">
        <v>0.0</v>
      </c>
      <c r="G1064" s="205">
        <v>1.0</v>
      </c>
    </row>
    <row r="1065" ht="15.75" customHeight="1">
      <c r="A1065" s="200" t="s">
        <v>303</v>
      </c>
      <c r="B1065" s="186" t="s">
        <v>3025</v>
      </c>
      <c r="C1065" s="210" t="s">
        <v>3026</v>
      </c>
      <c r="D1065" s="210" t="s">
        <v>3027</v>
      </c>
      <c r="E1065" s="204">
        <v>1.0</v>
      </c>
      <c r="F1065" s="205">
        <v>0.0</v>
      </c>
      <c r="G1065" s="205">
        <v>1.0</v>
      </c>
    </row>
    <row r="1066" ht="15.75" customHeight="1">
      <c r="A1066" s="200" t="s">
        <v>303</v>
      </c>
      <c r="B1066" s="186" t="s">
        <v>5339</v>
      </c>
      <c r="C1066" s="210" t="s">
        <v>5340</v>
      </c>
      <c r="D1066" s="210" t="s">
        <v>4403</v>
      </c>
      <c r="E1066" s="204">
        <v>1.0</v>
      </c>
      <c r="F1066" s="205">
        <v>0.0</v>
      </c>
      <c r="G1066" s="205">
        <v>1.0</v>
      </c>
    </row>
    <row r="1067" ht="15.75" customHeight="1">
      <c r="A1067" s="200" t="s">
        <v>303</v>
      </c>
      <c r="B1067" s="186" t="s">
        <v>5341</v>
      </c>
      <c r="C1067" s="210" t="s">
        <v>5342</v>
      </c>
      <c r="D1067" s="210" t="s">
        <v>5343</v>
      </c>
      <c r="E1067" s="204">
        <v>1.0</v>
      </c>
      <c r="F1067" s="205">
        <v>0.0</v>
      </c>
      <c r="G1067" s="205">
        <v>1.0</v>
      </c>
    </row>
    <row r="1068" ht="15.75" customHeight="1">
      <c r="A1068" s="200" t="s">
        <v>303</v>
      </c>
      <c r="B1068" s="186" t="s">
        <v>1265</v>
      </c>
      <c r="C1068" s="210" t="s">
        <v>1266</v>
      </c>
      <c r="D1068" s="210" t="s">
        <v>1267</v>
      </c>
      <c r="E1068" s="204">
        <v>1.0</v>
      </c>
      <c r="F1068" s="205">
        <v>0.0</v>
      </c>
      <c r="G1068" s="205">
        <v>0.0</v>
      </c>
    </row>
    <row r="1069" ht="15.75" customHeight="1">
      <c r="A1069" s="200" t="s">
        <v>303</v>
      </c>
      <c r="B1069" s="186" t="s">
        <v>1268</v>
      </c>
      <c r="C1069" s="210" t="s">
        <v>1269</v>
      </c>
      <c r="D1069" s="210" t="s">
        <v>1270</v>
      </c>
      <c r="E1069" s="204">
        <v>1.0</v>
      </c>
      <c r="F1069" s="205">
        <v>0.0</v>
      </c>
      <c r="G1069" s="205">
        <v>0.0</v>
      </c>
    </row>
    <row r="1070" ht="15.75" customHeight="1">
      <c r="A1070" s="200" t="s">
        <v>303</v>
      </c>
      <c r="B1070" s="186" t="s">
        <v>5344</v>
      </c>
      <c r="C1070" s="210" t="s">
        <v>5345</v>
      </c>
      <c r="D1070" s="210" t="s">
        <v>5346</v>
      </c>
      <c r="E1070" s="204">
        <v>1.0</v>
      </c>
      <c r="F1070" s="205">
        <v>0.0</v>
      </c>
      <c r="G1070" s="205">
        <v>0.0</v>
      </c>
    </row>
    <row r="1071" ht="15.75" customHeight="1">
      <c r="A1071" s="200" t="s">
        <v>303</v>
      </c>
      <c r="B1071" s="186" t="s">
        <v>5347</v>
      </c>
      <c r="C1071" s="210" t="s">
        <v>5348</v>
      </c>
      <c r="D1071" s="210" t="s">
        <v>5349</v>
      </c>
      <c r="E1071" s="204">
        <v>1.0</v>
      </c>
      <c r="F1071" s="205">
        <v>0.0</v>
      </c>
      <c r="G1071" s="205">
        <v>1.0</v>
      </c>
    </row>
    <row r="1072" ht="15.75" customHeight="1">
      <c r="A1072" s="200" t="s">
        <v>303</v>
      </c>
      <c r="B1072" s="186" t="s">
        <v>5350</v>
      </c>
      <c r="C1072" s="210" t="s">
        <v>5351</v>
      </c>
      <c r="D1072" s="210"/>
      <c r="E1072" s="204">
        <v>1.0</v>
      </c>
      <c r="F1072" s="205">
        <v>0.0</v>
      </c>
      <c r="G1072" s="205">
        <v>1.0</v>
      </c>
    </row>
    <row r="1073" ht="15.75" customHeight="1">
      <c r="A1073" s="200" t="s">
        <v>303</v>
      </c>
      <c r="B1073" s="186" t="s">
        <v>5352</v>
      </c>
      <c r="C1073" s="210" t="s">
        <v>5353</v>
      </c>
      <c r="D1073" s="210" t="s">
        <v>5354</v>
      </c>
      <c r="E1073" s="204">
        <v>1.0</v>
      </c>
      <c r="F1073" s="205">
        <v>0.0</v>
      </c>
      <c r="G1073" s="205">
        <v>0.0</v>
      </c>
    </row>
    <row r="1074" ht="15.75" customHeight="1">
      <c r="A1074" s="200" t="s">
        <v>303</v>
      </c>
      <c r="B1074" s="186" t="s">
        <v>5355</v>
      </c>
      <c r="C1074" s="210" t="s">
        <v>5356</v>
      </c>
      <c r="D1074" s="210" t="s">
        <v>5357</v>
      </c>
      <c r="E1074" s="204">
        <v>1.0</v>
      </c>
      <c r="F1074" s="205">
        <v>0.0</v>
      </c>
      <c r="G1074" s="205">
        <v>2.0</v>
      </c>
    </row>
    <row r="1075" ht="15.75" customHeight="1">
      <c r="A1075" s="200" t="s">
        <v>303</v>
      </c>
      <c r="B1075" s="186" t="s">
        <v>5358</v>
      </c>
      <c r="C1075" s="210" t="s">
        <v>5359</v>
      </c>
      <c r="D1075" s="210" t="s">
        <v>5360</v>
      </c>
      <c r="E1075" s="204">
        <v>1.0</v>
      </c>
      <c r="F1075" s="205">
        <v>0.0</v>
      </c>
      <c r="G1075" s="205">
        <v>0.0</v>
      </c>
    </row>
    <row r="1076" ht="15.75" customHeight="1">
      <c r="A1076" s="200" t="s">
        <v>303</v>
      </c>
      <c r="B1076" s="186" t="s">
        <v>5361</v>
      </c>
      <c r="C1076" s="210" t="s">
        <v>5362</v>
      </c>
      <c r="D1076" s="210" t="s">
        <v>254</v>
      </c>
      <c r="E1076" s="204">
        <v>1.0</v>
      </c>
      <c r="F1076" s="205">
        <v>0.0</v>
      </c>
      <c r="G1076" s="205">
        <v>0.0</v>
      </c>
    </row>
    <row r="1077" ht="15.75" customHeight="1">
      <c r="A1077" s="200" t="s">
        <v>303</v>
      </c>
      <c r="B1077" s="186" t="s">
        <v>5363</v>
      </c>
      <c r="C1077" s="210" t="s">
        <v>5364</v>
      </c>
      <c r="D1077" s="210" t="s">
        <v>5365</v>
      </c>
      <c r="E1077" s="204">
        <v>1.0</v>
      </c>
      <c r="F1077" s="205">
        <v>0.0</v>
      </c>
      <c r="G1077" s="205">
        <v>0.0</v>
      </c>
    </row>
    <row r="1078" ht="15.75" customHeight="1">
      <c r="A1078" s="200" t="s">
        <v>303</v>
      </c>
      <c r="B1078" s="186" t="s">
        <v>5366</v>
      </c>
      <c r="C1078" s="210" t="s">
        <v>5367</v>
      </c>
      <c r="D1078" s="210" t="s">
        <v>5368</v>
      </c>
      <c r="E1078" s="204">
        <v>1.0</v>
      </c>
      <c r="F1078" s="205">
        <v>0.0</v>
      </c>
      <c r="G1078" s="205">
        <v>0.0</v>
      </c>
    </row>
    <row r="1079" ht="15.75" customHeight="1">
      <c r="A1079" s="200" t="s">
        <v>303</v>
      </c>
      <c r="B1079" s="186" t="s">
        <v>5369</v>
      </c>
      <c r="C1079" s="210" t="s">
        <v>5370</v>
      </c>
      <c r="D1079" s="210" t="s">
        <v>5371</v>
      </c>
      <c r="E1079" s="204">
        <v>1.0</v>
      </c>
      <c r="F1079" s="205">
        <v>0.0</v>
      </c>
      <c r="G1079" s="205">
        <v>0.0</v>
      </c>
    </row>
    <row r="1080" ht="15.75" customHeight="1">
      <c r="A1080" s="200" t="s">
        <v>303</v>
      </c>
      <c r="B1080" s="186" t="s">
        <v>5372</v>
      </c>
      <c r="C1080" s="210" t="s">
        <v>5373</v>
      </c>
      <c r="D1080" s="210" t="s">
        <v>4336</v>
      </c>
      <c r="E1080" s="204">
        <v>1.0</v>
      </c>
      <c r="F1080" s="205">
        <v>0.0</v>
      </c>
      <c r="G1080" s="205">
        <v>0.0</v>
      </c>
    </row>
    <row r="1081" ht="15.75" customHeight="1">
      <c r="A1081" s="200" t="s">
        <v>303</v>
      </c>
      <c r="B1081" s="186" t="s">
        <v>5374</v>
      </c>
      <c r="C1081" s="210" t="s">
        <v>5375</v>
      </c>
      <c r="D1081" s="210" t="s">
        <v>5376</v>
      </c>
      <c r="E1081" s="204">
        <v>1.0</v>
      </c>
      <c r="F1081" s="205">
        <v>0.0</v>
      </c>
      <c r="G1081" s="205">
        <v>0.0</v>
      </c>
    </row>
    <row r="1082" ht="15.75" customHeight="1">
      <c r="A1082" s="200" t="s">
        <v>303</v>
      </c>
      <c r="B1082" s="186" t="s">
        <v>5377</v>
      </c>
      <c r="C1082" s="210" t="s">
        <v>5378</v>
      </c>
      <c r="D1082" s="210" t="s">
        <v>5379</v>
      </c>
      <c r="E1082" s="204">
        <v>1.0</v>
      </c>
      <c r="F1082" s="205">
        <v>0.0</v>
      </c>
      <c r="G1082" s="205">
        <v>2.0</v>
      </c>
    </row>
    <row r="1083" ht="15.75" customHeight="1">
      <c r="A1083" s="200" t="s">
        <v>303</v>
      </c>
      <c r="B1083" s="186" t="s">
        <v>5380</v>
      </c>
      <c r="C1083" s="210" t="s">
        <v>5381</v>
      </c>
      <c r="D1083" s="210" t="s">
        <v>5382</v>
      </c>
      <c r="E1083" s="204">
        <v>1.0</v>
      </c>
      <c r="F1083" s="205">
        <v>0.0</v>
      </c>
      <c r="G1083" s="205">
        <v>1.0</v>
      </c>
    </row>
    <row r="1084" ht="15.75" customHeight="1">
      <c r="A1084" s="200" t="s">
        <v>303</v>
      </c>
      <c r="B1084" s="186" t="s">
        <v>5383</v>
      </c>
      <c r="C1084" s="210" t="s">
        <v>5384</v>
      </c>
      <c r="D1084" s="210" t="s">
        <v>5385</v>
      </c>
      <c r="E1084" s="204">
        <v>1.0</v>
      </c>
      <c r="F1084" s="205">
        <v>0.0</v>
      </c>
      <c r="G1084" s="205">
        <v>5.0</v>
      </c>
    </row>
    <row r="1085" ht="15.75" customHeight="1">
      <c r="A1085" s="200" t="s">
        <v>303</v>
      </c>
      <c r="B1085" s="186" t="s">
        <v>5386</v>
      </c>
      <c r="C1085" s="210" t="s">
        <v>5387</v>
      </c>
      <c r="D1085" s="210"/>
      <c r="E1085" s="204">
        <v>1.0</v>
      </c>
      <c r="F1085" s="205">
        <v>0.0</v>
      </c>
      <c r="G1085" s="205">
        <v>1.0</v>
      </c>
    </row>
    <row r="1086" ht="15.75" customHeight="1">
      <c r="A1086" s="200" t="s">
        <v>303</v>
      </c>
      <c r="B1086" s="186" t="s">
        <v>5388</v>
      </c>
      <c r="C1086" s="210" t="s">
        <v>5389</v>
      </c>
      <c r="D1086" s="210" t="s">
        <v>5390</v>
      </c>
      <c r="E1086" s="204">
        <v>1.0</v>
      </c>
      <c r="F1086" s="205">
        <v>0.0</v>
      </c>
      <c r="G1086" s="205">
        <v>1.0</v>
      </c>
    </row>
    <row r="1087" ht="15.75" customHeight="1">
      <c r="A1087" s="200" t="s">
        <v>303</v>
      </c>
      <c r="B1087" s="186" t="s">
        <v>5391</v>
      </c>
      <c r="C1087" s="210" t="s">
        <v>5392</v>
      </c>
      <c r="D1087" s="210"/>
      <c r="E1087" s="204">
        <v>1.0</v>
      </c>
      <c r="F1087" s="205">
        <v>0.0</v>
      </c>
      <c r="G1087" s="205">
        <v>0.0</v>
      </c>
    </row>
    <row r="1088" ht="15.75" customHeight="1">
      <c r="A1088" s="200" t="s">
        <v>303</v>
      </c>
      <c r="B1088" s="186" t="s">
        <v>1284</v>
      </c>
      <c r="C1088" s="210" t="s">
        <v>1285</v>
      </c>
      <c r="D1088" s="210" t="s">
        <v>1286</v>
      </c>
      <c r="E1088" s="204">
        <v>1.0</v>
      </c>
      <c r="F1088" s="205">
        <v>0.0</v>
      </c>
      <c r="G1088" s="205">
        <v>2.0</v>
      </c>
    </row>
    <row r="1089" ht="15.75" customHeight="1">
      <c r="A1089" s="200" t="s">
        <v>303</v>
      </c>
      <c r="B1089" s="186" t="s">
        <v>1287</v>
      </c>
      <c r="C1089" s="210" t="s">
        <v>1288</v>
      </c>
      <c r="D1089" s="210" t="s">
        <v>1289</v>
      </c>
      <c r="E1089" s="204">
        <v>1.0</v>
      </c>
      <c r="F1089" s="205">
        <v>0.0</v>
      </c>
      <c r="G1089" s="205">
        <v>1.0</v>
      </c>
    </row>
    <row r="1090" ht="15.75" customHeight="1">
      <c r="A1090" s="200" t="s">
        <v>303</v>
      </c>
      <c r="B1090" s="186" t="s">
        <v>5393</v>
      </c>
      <c r="C1090" s="210" t="s">
        <v>5394</v>
      </c>
      <c r="D1090" s="210" t="s">
        <v>5395</v>
      </c>
      <c r="E1090" s="204">
        <v>1.0</v>
      </c>
      <c r="F1090" s="205">
        <v>0.0</v>
      </c>
      <c r="G1090" s="205">
        <v>1.0</v>
      </c>
    </row>
    <row r="1091" ht="15.75" customHeight="1">
      <c r="A1091" s="200" t="s">
        <v>303</v>
      </c>
      <c r="B1091" s="186" t="s">
        <v>5396</v>
      </c>
      <c r="C1091" s="210" t="s">
        <v>5397</v>
      </c>
      <c r="D1091" s="210" t="s">
        <v>5398</v>
      </c>
      <c r="E1091" s="204">
        <v>1.0</v>
      </c>
      <c r="F1091" s="205">
        <v>0.0</v>
      </c>
      <c r="G1091" s="205">
        <v>0.0</v>
      </c>
    </row>
    <row r="1092" ht="15.75" customHeight="1">
      <c r="A1092" s="200" t="s">
        <v>303</v>
      </c>
      <c r="B1092" s="186" t="s">
        <v>5399</v>
      </c>
      <c r="C1092" s="210" t="s">
        <v>5400</v>
      </c>
      <c r="D1092" s="210" t="s">
        <v>5401</v>
      </c>
      <c r="E1092" s="204">
        <v>1.0</v>
      </c>
      <c r="F1092" s="205">
        <v>0.0</v>
      </c>
      <c r="G1092" s="205">
        <v>0.0</v>
      </c>
    </row>
    <row r="1093" ht="15.75" customHeight="1">
      <c r="A1093" s="200" t="s">
        <v>303</v>
      </c>
      <c r="B1093" s="186" t="s">
        <v>5402</v>
      </c>
      <c r="C1093" s="210" t="s">
        <v>5403</v>
      </c>
      <c r="D1093" s="210" t="s">
        <v>5404</v>
      </c>
      <c r="E1093" s="204">
        <v>1.0</v>
      </c>
      <c r="F1093" s="205">
        <v>0.0</v>
      </c>
      <c r="G1093" s="205">
        <v>1.0</v>
      </c>
    </row>
    <row r="1094" ht="15.75" customHeight="1">
      <c r="A1094" s="200" t="s">
        <v>303</v>
      </c>
      <c r="B1094" s="186" t="s">
        <v>5405</v>
      </c>
      <c r="C1094" s="210" t="s">
        <v>5406</v>
      </c>
      <c r="D1094" s="210" t="s">
        <v>5407</v>
      </c>
      <c r="E1094" s="204">
        <v>1.0</v>
      </c>
      <c r="F1094" s="205">
        <v>0.0</v>
      </c>
      <c r="G1094" s="205">
        <v>0.0</v>
      </c>
    </row>
    <row r="1095" ht="15.75" customHeight="1">
      <c r="A1095" s="200" t="s">
        <v>303</v>
      </c>
      <c r="B1095" s="186" t="s">
        <v>5408</v>
      </c>
      <c r="C1095" s="210" t="s">
        <v>5409</v>
      </c>
      <c r="D1095" s="210" t="s">
        <v>5410</v>
      </c>
      <c r="E1095" s="204">
        <v>1.0</v>
      </c>
      <c r="F1095" s="205">
        <v>0.0</v>
      </c>
      <c r="G1095" s="205">
        <v>1.0</v>
      </c>
    </row>
    <row r="1096" ht="15.75" customHeight="1">
      <c r="A1096" s="200" t="s">
        <v>303</v>
      </c>
      <c r="B1096" s="186" t="s">
        <v>5411</v>
      </c>
      <c r="C1096" s="210" t="s">
        <v>5412</v>
      </c>
      <c r="D1096" s="210" t="s">
        <v>5413</v>
      </c>
      <c r="E1096" s="204">
        <v>1.0</v>
      </c>
      <c r="F1096" s="205">
        <v>0.0</v>
      </c>
      <c r="G1096" s="205">
        <v>2.0</v>
      </c>
    </row>
    <row r="1097" ht="15.75" customHeight="1">
      <c r="A1097" s="200" t="s">
        <v>303</v>
      </c>
      <c r="B1097" s="186" t="s">
        <v>5414</v>
      </c>
      <c r="C1097" s="210" t="s">
        <v>5415</v>
      </c>
      <c r="D1097" s="210" t="s">
        <v>5416</v>
      </c>
      <c r="E1097" s="204">
        <v>1.0</v>
      </c>
      <c r="F1097" s="205">
        <v>0.0</v>
      </c>
      <c r="G1097" s="205">
        <v>2.0</v>
      </c>
    </row>
    <row r="1098" ht="15.75" customHeight="1">
      <c r="A1098" s="200" t="s">
        <v>303</v>
      </c>
      <c r="B1098" s="186" t="s">
        <v>5417</v>
      </c>
      <c r="C1098" s="210" t="s">
        <v>5418</v>
      </c>
      <c r="D1098" s="210" t="s">
        <v>5419</v>
      </c>
      <c r="E1098" s="204">
        <v>1.0</v>
      </c>
      <c r="F1098" s="205">
        <v>0.0</v>
      </c>
      <c r="G1098" s="205">
        <v>1.0</v>
      </c>
    </row>
    <row r="1099" ht="15.75" customHeight="1">
      <c r="A1099" s="200" t="s">
        <v>303</v>
      </c>
      <c r="B1099" s="186" t="s">
        <v>5420</v>
      </c>
      <c r="C1099" s="210" t="s">
        <v>5421</v>
      </c>
      <c r="D1099" s="210" t="s">
        <v>1101</v>
      </c>
      <c r="E1099" s="204">
        <v>1.0</v>
      </c>
      <c r="F1099" s="205">
        <v>0.0</v>
      </c>
      <c r="G1099" s="205">
        <v>1.0</v>
      </c>
    </row>
    <row r="1100" ht="15.75" customHeight="1">
      <c r="A1100" s="200" t="s">
        <v>303</v>
      </c>
      <c r="B1100" s="186" t="s">
        <v>5422</v>
      </c>
      <c r="C1100" s="210" t="s">
        <v>5423</v>
      </c>
      <c r="D1100" s="210" t="s">
        <v>5424</v>
      </c>
      <c r="E1100" s="204">
        <v>1.0</v>
      </c>
      <c r="F1100" s="205">
        <v>0.0</v>
      </c>
      <c r="G1100" s="205">
        <v>0.0</v>
      </c>
    </row>
    <row r="1101" ht="15.75" customHeight="1">
      <c r="A1101" s="200" t="s">
        <v>303</v>
      </c>
      <c r="B1101" s="186" t="s">
        <v>5425</v>
      </c>
      <c r="C1101" s="210" t="s">
        <v>5426</v>
      </c>
      <c r="D1101" s="210" t="s">
        <v>5427</v>
      </c>
      <c r="E1101" s="204">
        <v>1.0</v>
      </c>
      <c r="F1101" s="205">
        <v>0.0</v>
      </c>
      <c r="G1101" s="205">
        <v>1.0</v>
      </c>
    </row>
    <row r="1102" ht="15.75" customHeight="1">
      <c r="A1102" s="200" t="s">
        <v>303</v>
      </c>
      <c r="B1102" s="186" t="s">
        <v>5428</v>
      </c>
      <c r="C1102" s="210" t="s">
        <v>5429</v>
      </c>
      <c r="D1102" s="210" t="s">
        <v>5430</v>
      </c>
      <c r="E1102" s="204">
        <v>1.0</v>
      </c>
      <c r="F1102" s="205">
        <v>0.0</v>
      </c>
      <c r="G1102" s="205">
        <v>2.0</v>
      </c>
    </row>
    <row r="1103" ht="15.75" customHeight="1">
      <c r="A1103" s="200" t="s">
        <v>303</v>
      </c>
      <c r="B1103" s="186" t="s">
        <v>5431</v>
      </c>
      <c r="C1103" s="210" t="s">
        <v>5432</v>
      </c>
      <c r="D1103" s="210" t="s">
        <v>5433</v>
      </c>
      <c r="E1103" s="204">
        <v>1.0</v>
      </c>
      <c r="F1103" s="205">
        <v>0.0</v>
      </c>
      <c r="G1103" s="205">
        <v>1.0</v>
      </c>
    </row>
    <row r="1104" ht="15.75" customHeight="1">
      <c r="A1104" s="200" t="s">
        <v>303</v>
      </c>
      <c r="B1104" s="186" t="s">
        <v>1290</v>
      </c>
      <c r="C1104" s="210" t="s">
        <v>1291</v>
      </c>
      <c r="D1104" s="210" t="s">
        <v>1292</v>
      </c>
      <c r="E1104" s="204">
        <v>1.0</v>
      </c>
      <c r="F1104" s="205">
        <v>0.0</v>
      </c>
      <c r="G1104" s="205">
        <v>1.0</v>
      </c>
    </row>
    <row r="1105" ht="15.75" customHeight="1">
      <c r="A1105" s="200" t="s">
        <v>303</v>
      </c>
      <c r="B1105" s="186" t="s">
        <v>3037</v>
      </c>
      <c r="C1105" s="210" t="s">
        <v>3038</v>
      </c>
      <c r="D1105" s="210" t="s">
        <v>1292</v>
      </c>
      <c r="E1105" s="204">
        <v>1.0</v>
      </c>
      <c r="F1105" s="205">
        <v>0.0</v>
      </c>
      <c r="G1105" s="205">
        <v>2.0</v>
      </c>
    </row>
    <row r="1106" ht="15.75" customHeight="1">
      <c r="A1106" s="200" t="s">
        <v>303</v>
      </c>
      <c r="B1106" s="186" t="s">
        <v>5434</v>
      </c>
      <c r="C1106" s="210" t="s">
        <v>5435</v>
      </c>
      <c r="D1106" s="210" t="s">
        <v>5436</v>
      </c>
      <c r="E1106" s="204">
        <v>1.0</v>
      </c>
      <c r="F1106" s="205">
        <v>0.0</v>
      </c>
      <c r="G1106" s="205">
        <v>0.0</v>
      </c>
    </row>
    <row r="1107" ht="15.75" customHeight="1">
      <c r="A1107" s="200" t="s">
        <v>303</v>
      </c>
      <c r="B1107" s="186" t="s">
        <v>5437</v>
      </c>
      <c r="C1107" s="210" t="s">
        <v>3614</v>
      </c>
      <c r="D1107" s="210" t="s">
        <v>254</v>
      </c>
      <c r="E1107" s="204">
        <v>1.0</v>
      </c>
      <c r="F1107" s="205">
        <v>0.0</v>
      </c>
      <c r="G1107" s="205">
        <v>0.0</v>
      </c>
    </row>
    <row r="1108" ht="15.75" customHeight="1">
      <c r="A1108" s="200" t="s">
        <v>303</v>
      </c>
      <c r="B1108" s="186" t="s">
        <v>5438</v>
      </c>
      <c r="C1108" s="210" t="s">
        <v>5439</v>
      </c>
      <c r="D1108" s="210" t="s">
        <v>5440</v>
      </c>
      <c r="E1108" s="204">
        <v>1.0</v>
      </c>
      <c r="F1108" s="205">
        <v>0.0</v>
      </c>
      <c r="G1108" s="205">
        <v>0.0</v>
      </c>
    </row>
    <row r="1109" ht="15.75" customHeight="1">
      <c r="A1109" s="200" t="s">
        <v>303</v>
      </c>
      <c r="B1109" s="186" t="s">
        <v>5441</v>
      </c>
      <c r="C1109" s="210" t="s">
        <v>3620</v>
      </c>
      <c r="D1109" s="210" t="s">
        <v>5442</v>
      </c>
      <c r="E1109" s="204">
        <v>1.0</v>
      </c>
      <c r="F1109" s="205">
        <v>0.0</v>
      </c>
      <c r="G1109" s="205">
        <v>0.0</v>
      </c>
    </row>
    <row r="1110" ht="15.75" customHeight="1">
      <c r="A1110" s="200" t="s">
        <v>303</v>
      </c>
      <c r="B1110" s="186" t="s">
        <v>5443</v>
      </c>
      <c r="C1110" s="210" t="s">
        <v>5444</v>
      </c>
      <c r="D1110" s="210" t="s">
        <v>5445</v>
      </c>
      <c r="E1110" s="204">
        <v>1.0</v>
      </c>
      <c r="F1110" s="205">
        <v>0.0</v>
      </c>
      <c r="G1110" s="205">
        <v>0.0</v>
      </c>
    </row>
    <row r="1111" ht="15.75" customHeight="1">
      <c r="A1111" s="200" t="s">
        <v>303</v>
      </c>
      <c r="B1111" s="186" t="s">
        <v>1293</v>
      </c>
      <c r="C1111" s="210" t="s">
        <v>1294</v>
      </c>
      <c r="D1111" s="210" t="s">
        <v>1295</v>
      </c>
      <c r="E1111" s="204">
        <v>1.0</v>
      </c>
      <c r="F1111" s="205">
        <v>0.0</v>
      </c>
      <c r="G1111" s="205">
        <v>0.0</v>
      </c>
    </row>
    <row r="1112" ht="15.75" customHeight="1">
      <c r="A1112" s="200" t="s">
        <v>303</v>
      </c>
      <c r="B1112" s="186" t="s">
        <v>1296</v>
      </c>
      <c r="C1112" s="210" t="s">
        <v>1298</v>
      </c>
      <c r="D1112" s="210" t="s">
        <v>1299</v>
      </c>
      <c r="E1112" s="204">
        <v>1.0</v>
      </c>
      <c r="F1112" s="205">
        <v>0.0</v>
      </c>
      <c r="G1112" s="205">
        <v>3.0</v>
      </c>
    </row>
    <row r="1113" ht="15.75" customHeight="1">
      <c r="A1113" s="200" t="s">
        <v>303</v>
      </c>
      <c r="B1113" s="186" t="s">
        <v>5446</v>
      </c>
      <c r="C1113" s="210" t="s">
        <v>5447</v>
      </c>
      <c r="D1113" s="210" t="s">
        <v>5448</v>
      </c>
      <c r="E1113" s="204">
        <v>1.0</v>
      </c>
      <c r="F1113" s="205">
        <v>0.0</v>
      </c>
      <c r="G1113" s="205">
        <v>9.0</v>
      </c>
    </row>
    <row r="1114" ht="15.75" customHeight="1">
      <c r="A1114" s="200" t="s">
        <v>303</v>
      </c>
      <c r="B1114" s="186" t="s">
        <v>5449</v>
      </c>
      <c r="C1114" s="210" t="s">
        <v>5450</v>
      </c>
      <c r="D1114" s="210"/>
      <c r="E1114" s="204">
        <v>1.0</v>
      </c>
      <c r="F1114" s="205">
        <v>0.0</v>
      </c>
      <c r="G1114" s="205">
        <v>0.0</v>
      </c>
    </row>
    <row r="1115" ht="15.75" customHeight="1">
      <c r="A1115" s="200" t="s">
        <v>303</v>
      </c>
      <c r="B1115" s="186" t="s">
        <v>5451</v>
      </c>
      <c r="C1115" s="210" t="s">
        <v>5452</v>
      </c>
      <c r="D1115" s="210" t="s">
        <v>254</v>
      </c>
      <c r="E1115" s="204">
        <v>1.0</v>
      </c>
      <c r="F1115" s="205">
        <v>0.0</v>
      </c>
      <c r="G1115" s="205">
        <v>1.0</v>
      </c>
    </row>
    <row r="1116" ht="15.75" customHeight="1">
      <c r="A1116" s="200" t="s">
        <v>303</v>
      </c>
      <c r="B1116" s="186" t="s">
        <v>1300</v>
      </c>
      <c r="C1116" s="210" t="s">
        <v>1301</v>
      </c>
      <c r="D1116" s="210" t="s">
        <v>1302</v>
      </c>
      <c r="E1116" s="204">
        <v>1.0</v>
      </c>
      <c r="F1116" s="205">
        <v>0.0</v>
      </c>
      <c r="G1116" s="205">
        <v>1.0</v>
      </c>
    </row>
    <row r="1117" ht="15.75" customHeight="1">
      <c r="A1117" s="200" t="s">
        <v>303</v>
      </c>
      <c r="B1117" s="186" t="s">
        <v>1303</v>
      </c>
      <c r="C1117" s="210" t="s">
        <v>1304</v>
      </c>
      <c r="D1117" s="210" t="s">
        <v>1305</v>
      </c>
      <c r="E1117" s="204">
        <v>1.0</v>
      </c>
      <c r="F1117" s="205">
        <v>0.0</v>
      </c>
      <c r="G1117" s="205">
        <v>1.0</v>
      </c>
    </row>
    <row r="1118" ht="15.75" customHeight="1">
      <c r="A1118" s="200" t="s">
        <v>303</v>
      </c>
      <c r="B1118" s="186" t="s">
        <v>5453</v>
      </c>
      <c r="C1118" s="210" t="s">
        <v>5454</v>
      </c>
      <c r="D1118" s="210" t="s">
        <v>5455</v>
      </c>
      <c r="E1118" s="204">
        <v>1.0</v>
      </c>
      <c r="F1118" s="205">
        <v>0.0</v>
      </c>
      <c r="G1118" s="205">
        <v>1.0</v>
      </c>
    </row>
    <row r="1119" ht="15.75" customHeight="1">
      <c r="A1119" s="200" t="s">
        <v>303</v>
      </c>
      <c r="B1119" s="186" t="s">
        <v>5456</v>
      </c>
      <c r="C1119" s="210" t="s">
        <v>5457</v>
      </c>
      <c r="D1119" s="210"/>
      <c r="E1119" s="204">
        <v>1.0</v>
      </c>
      <c r="F1119" s="205">
        <v>0.0</v>
      </c>
      <c r="G1119" s="205">
        <v>1.0</v>
      </c>
    </row>
    <row r="1120" ht="15.75" customHeight="1">
      <c r="A1120" s="200" t="s">
        <v>303</v>
      </c>
      <c r="B1120" s="186" t="s">
        <v>5458</v>
      </c>
      <c r="C1120" s="210" t="s">
        <v>5459</v>
      </c>
      <c r="D1120" s="210" t="s">
        <v>5460</v>
      </c>
      <c r="E1120" s="204">
        <v>1.0</v>
      </c>
      <c r="F1120" s="205">
        <v>0.0</v>
      </c>
      <c r="G1120" s="205">
        <v>1.0</v>
      </c>
    </row>
    <row r="1121" ht="15.75" customHeight="1">
      <c r="A1121" s="200" t="s">
        <v>303</v>
      </c>
      <c r="B1121" s="186" t="s">
        <v>5461</v>
      </c>
      <c r="C1121" s="210" t="s">
        <v>5462</v>
      </c>
      <c r="D1121" s="210" t="s">
        <v>5463</v>
      </c>
      <c r="E1121" s="204">
        <v>1.0</v>
      </c>
      <c r="F1121" s="205">
        <v>0.0</v>
      </c>
      <c r="G1121" s="205">
        <v>1.0</v>
      </c>
    </row>
    <row r="1122" ht="15.75" customHeight="1">
      <c r="A1122" s="200" t="s">
        <v>303</v>
      </c>
      <c r="B1122" s="186" t="s">
        <v>5464</v>
      </c>
      <c r="C1122" s="210" t="s">
        <v>5465</v>
      </c>
      <c r="D1122" s="210" t="s">
        <v>5466</v>
      </c>
      <c r="E1122" s="204">
        <v>1.0</v>
      </c>
      <c r="F1122" s="205">
        <v>0.0</v>
      </c>
      <c r="G1122" s="205">
        <v>1.0</v>
      </c>
    </row>
    <row r="1123" ht="15.75" customHeight="1">
      <c r="A1123" s="200" t="s">
        <v>303</v>
      </c>
      <c r="B1123" s="186" t="s">
        <v>5467</v>
      </c>
      <c r="C1123" s="210" t="s">
        <v>5468</v>
      </c>
      <c r="D1123" s="210"/>
      <c r="E1123" s="204">
        <v>1.0</v>
      </c>
      <c r="F1123" s="205">
        <v>0.0</v>
      </c>
      <c r="G1123" s="205">
        <v>0.0</v>
      </c>
    </row>
    <row r="1124" ht="15.75" customHeight="1">
      <c r="A1124" s="200" t="s">
        <v>303</v>
      </c>
      <c r="B1124" s="186" t="s">
        <v>5469</v>
      </c>
      <c r="C1124" s="210" t="s">
        <v>5470</v>
      </c>
      <c r="D1124" s="210" t="s">
        <v>5471</v>
      </c>
      <c r="E1124" s="204">
        <v>1.0</v>
      </c>
      <c r="F1124" s="205">
        <v>0.0</v>
      </c>
      <c r="G1124" s="205">
        <v>1.0</v>
      </c>
    </row>
    <row r="1125" ht="15.75" customHeight="1">
      <c r="A1125" s="200" t="s">
        <v>303</v>
      </c>
      <c r="B1125" s="186" t="s">
        <v>5472</v>
      </c>
      <c r="C1125" s="210" t="s">
        <v>5473</v>
      </c>
      <c r="D1125" s="210" t="s">
        <v>5474</v>
      </c>
      <c r="E1125" s="204">
        <v>1.0</v>
      </c>
      <c r="F1125" s="205">
        <v>0.0</v>
      </c>
      <c r="G1125" s="205">
        <v>1.0</v>
      </c>
    </row>
    <row r="1126" ht="15.75" customHeight="1">
      <c r="A1126" s="200" t="s">
        <v>303</v>
      </c>
      <c r="B1126" s="186" t="s">
        <v>5475</v>
      </c>
      <c r="C1126" s="210" t="s">
        <v>5476</v>
      </c>
      <c r="D1126" s="210" t="s">
        <v>5477</v>
      </c>
      <c r="E1126" s="204">
        <v>1.0</v>
      </c>
      <c r="F1126" s="205">
        <v>0.0</v>
      </c>
      <c r="G1126" s="205">
        <v>1.0</v>
      </c>
    </row>
    <row r="1127" ht="15.75" customHeight="1">
      <c r="A1127" s="200" t="s">
        <v>303</v>
      </c>
      <c r="B1127" s="186" t="s">
        <v>5478</v>
      </c>
      <c r="C1127" s="210" t="s">
        <v>5479</v>
      </c>
      <c r="D1127" s="210" t="s">
        <v>5480</v>
      </c>
      <c r="E1127" s="204">
        <v>1.0</v>
      </c>
      <c r="F1127" s="205">
        <v>0.0</v>
      </c>
      <c r="G1127" s="205">
        <v>1.0</v>
      </c>
    </row>
    <row r="1128" ht="15.75" customHeight="1">
      <c r="A1128" s="200" t="s">
        <v>303</v>
      </c>
      <c r="B1128" s="186" t="s">
        <v>5481</v>
      </c>
      <c r="C1128" s="210" t="s">
        <v>5482</v>
      </c>
      <c r="D1128" s="210" t="s">
        <v>5483</v>
      </c>
      <c r="E1128" s="204">
        <v>1.0</v>
      </c>
      <c r="F1128" s="205">
        <v>0.0</v>
      </c>
      <c r="G1128" s="205">
        <v>2.0</v>
      </c>
    </row>
    <row r="1129" ht="15.75" customHeight="1">
      <c r="A1129" s="200" t="s">
        <v>303</v>
      </c>
      <c r="B1129" s="186" t="s">
        <v>5484</v>
      </c>
      <c r="C1129" s="210" t="s">
        <v>5485</v>
      </c>
      <c r="D1129" s="210" t="s">
        <v>4026</v>
      </c>
      <c r="E1129" s="204">
        <v>1.0</v>
      </c>
      <c r="F1129" s="205">
        <v>0.0</v>
      </c>
      <c r="G1129" s="205">
        <v>0.0</v>
      </c>
    </row>
    <row r="1130" ht="15.75" customHeight="1">
      <c r="A1130" s="200" t="s">
        <v>303</v>
      </c>
      <c r="B1130" s="186" t="s">
        <v>5486</v>
      </c>
      <c r="C1130" s="210" t="s">
        <v>5487</v>
      </c>
      <c r="D1130" s="210" t="s">
        <v>5488</v>
      </c>
      <c r="E1130" s="204">
        <v>1.0</v>
      </c>
      <c r="F1130" s="205">
        <v>0.0</v>
      </c>
      <c r="G1130" s="205">
        <v>1.0</v>
      </c>
    </row>
    <row r="1131" ht="15.75" customHeight="1">
      <c r="A1131" s="200" t="s">
        <v>303</v>
      </c>
      <c r="B1131" s="186" t="s">
        <v>5489</v>
      </c>
      <c r="C1131" s="210" t="s">
        <v>5490</v>
      </c>
      <c r="D1131" s="210" t="s">
        <v>5491</v>
      </c>
      <c r="E1131" s="204">
        <v>1.0</v>
      </c>
      <c r="F1131" s="205">
        <v>0.0</v>
      </c>
      <c r="G1131" s="205">
        <v>0.0</v>
      </c>
    </row>
    <row r="1132" ht="15.75" customHeight="1">
      <c r="A1132" s="200" t="s">
        <v>303</v>
      </c>
      <c r="B1132" s="186" t="s">
        <v>5492</v>
      </c>
      <c r="C1132" s="210" t="s">
        <v>5493</v>
      </c>
      <c r="D1132" s="210" t="s">
        <v>5494</v>
      </c>
      <c r="E1132" s="204">
        <v>1.0</v>
      </c>
      <c r="F1132" s="205">
        <v>0.0</v>
      </c>
      <c r="G1132" s="205">
        <v>1.0</v>
      </c>
    </row>
    <row r="1133" ht="15.75" customHeight="1">
      <c r="A1133" s="200" t="s">
        <v>303</v>
      </c>
      <c r="B1133" s="186" t="s">
        <v>5495</v>
      </c>
      <c r="C1133" s="210" t="s">
        <v>5496</v>
      </c>
      <c r="D1133" s="210" t="s">
        <v>254</v>
      </c>
      <c r="E1133" s="204">
        <v>1.0</v>
      </c>
      <c r="F1133" s="205">
        <v>0.0</v>
      </c>
      <c r="G1133" s="205">
        <v>0.0</v>
      </c>
    </row>
    <row r="1134" ht="15.75" customHeight="1">
      <c r="A1134" s="200" t="s">
        <v>303</v>
      </c>
      <c r="B1134" s="186" t="s">
        <v>5497</v>
      </c>
      <c r="C1134" s="210" t="s">
        <v>5498</v>
      </c>
      <c r="D1134" s="210" t="s">
        <v>5499</v>
      </c>
      <c r="E1134" s="204">
        <v>1.0</v>
      </c>
      <c r="F1134" s="205">
        <v>0.0</v>
      </c>
      <c r="G1134" s="205">
        <v>1.0</v>
      </c>
    </row>
    <row r="1135" ht="15.75" customHeight="1">
      <c r="A1135" s="200" t="s">
        <v>303</v>
      </c>
      <c r="B1135" s="186" t="s">
        <v>5500</v>
      </c>
      <c r="C1135" s="210" t="s">
        <v>5501</v>
      </c>
      <c r="D1135" s="210" t="s">
        <v>5502</v>
      </c>
      <c r="E1135" s="204">
        <v>1.0</v>
      </c>
      <c r="F1135" s="205">
        <v>0.0</v>
      </c>
      <c r="G1135" s="205">
        <v>0.0</v>
      </c>
    </row>
    <row r="1136" ht="15.75" customHeight="1">
      <c r="A1136" s="200" t="s">
        <v>303</v>
      </c>
      <c r="B1136" s="186" t="s">
        <v>5503</v>
      </c>
      <c r="C1136" s="210" t="s">
        <v>5504</v>
      </c>
      <c r="D1136" s="210" t="s">
        <v>5505</v>
      </c>
      <c r="E1136" s="204">
        <v>1.0</v>
      </c>
      <c r="F1136" s="205">
        <v>0.0</v>
      </c>
      <c r="G1136" s="205">
        <v>0.0</v>
      </c>
    </row>
    <row r="1137" ht="15.75" customHeight="1">
      <c r="A1137" s="200" t="s">
        <v>303</v>
      </c>
      <c r="B1137" s="186" t="s">
        <v>1306</v>
      </c>
      <c r="C1137" s="210" t="s">
        <v>1307</v>
      </c>
      <c r="D1137" s="210" t="s">
        <v>1087</v>
      </c>
      <c r="E1137" s="204">
        <v>1.0</v>
      </c>
      <c r="F1137" s="205">
        <v>0.0</v>
      </c>
      <c r="G1137" s="205">
        <v>1.0</v>
      </c>
    </row>
    <row r="1138" ht="15.75" customHeight="1">
      <c r="A1138" s="200" t="s">
        <v>303</v>
      </c>
      <c r="B1138" s="186" t="s">
        <v>1308</v>
      </c>
      <c r="C1138" s="210" t="s">
        <v>1309</v>
      </c>
      <c r="D1138" s="210" t="s">
        <v>1310</v>
      </c>
      <c r="E1138" s="204">
        <v>1.0</v>
      </c>
      <c r="F1138" s="205">
        <v>0.0</v>
      </c>
      <c r="G1138" s="205">
        <v>0.0</v>
      </c>
    </row>
    <row r="1139" ht="15.75" customHeight="1">
      <c r="A1139" s="200" t="s">
        <v>303</v>
      </c>
      <c r="B1139" s="186" t="s">
        <v>1311</v>
      </c>
      <c r="C1139" s="210" t="s">
        <v>1312</v>
      </c>
      <c r="D1139" s="210" t="s">
        <v>1313</v>
      </c>
      <c r="E1139" s="204">
        <v>1.0</v>
      </c>
      <c r="F1139" s="205">
        <v>0.0</v>
      </c>
      <c r="G1139" s="205">
        <v>1.0</v>
      </c>
    </row>
    <row r="1140" ht="15.75" customHeight="1">
      <c r="A1140" s="200" t="s">
        <v>303</v>
      </c>
      <c r="B1140" s="186" t="s">
        <v>1314</v>
      </c>
      <c r="C1140" s="210" t="s">
        <v>1315</v>
      </c>
      <c r="D1140" s="210" t="s">
        <v>1316</v>
      </c>
      <c r="E1140" s="204">
        <v>1.0</v>
      </c>
      <c r="F1140" s="205">
        <v>0.0</v>
      </c>
      <c r="G1140" s="205">
        <v>2.0</v>
      </c>
    </row>
    <row r="1141" ht="15.75" customHeight="1">
      <c r="A1141" s="200" t="s">
        <v>303</v>
      </c>
      <c r="B1141" s="186" t="s">
        <v>1317</v>
      </c>
      <c r="C1141" s="210" t="s">
        <v>1318</v>
      </c>
      <c r="D1141" s="210" t="s">
        <v>1320</v>
      </c>
      <c r="E1141" s="204">
        <v>1.0</v>
      </c>
      <c r="F1141" s="205">
        <v>0.0</v>
      </c>
      <c r="G1141" s="205">
        <v>1.0</v>
      </c>
    </row>
    <row r="1142" ht="15.75" customHeight="1">
      <c r="A1142" s="200" t="s">
        <v>303</v>
      </c>
      <c r="B1142" s="186" t="s">
        <v>1321</v>
      </c>
      <c r="C1142" s="210" t="s">
        <v>1322</v>
      </c>
      <c r="D1142" s="210" t="s">
        <v>1323</v>
      </c>
      <c r="E1142" s="204">
        <v>1.0</v>
      </c>
      <c r="F1142" s="205">
        <v>0.0</v>
      </c>
      <c r="G1142" s="205">
        <v>1.0</v>
      </c>
    </row>
    <row r="1143" ht="15.75" customHeight="1">
      <c r="A1143" s="200" t="s">
        <v>303</v>
      </c>
      <c r="B1143" s="186" t="s">
        <v>5506</v>
      </c>
      <c r="C1143" s="210" t="s">
        <v>5507</v>
      </c>
      <c r="D1143" s="210" t="s">
        <v>5508</v>
      </c>
      <c r="E1143" s="204">
        <v>1.0</v>
      </c>
      <c r="F1143" s="205">
        <v>0.0</v>
      </c>
      <c r="G1143" s="205">
        <v>2.0</v>
      </c>
    </row>
    <row r="1144" ht="15.75" customHeight="1">
      <c r="A1144" s="200" t="s">
        <v>303</v>
      </c>
      <c r="B1144" s="186" t="s">
        <v>5509</v>
      </c>
      <c r="C1144" s="210" t="s">
        <v>5510</v>
      </c>
      <c r="D1144" s="210" t="s">
        <v>5511</v>
      </c>
      <c r="E1144" s="204">
        <v>1.0</v>
      </c>
      <c r="F1144" s="205">
        <v>0.0</v>
      </c>
      <c r="G1144" s="205">
        <v>1.0</v>
      </c>
    </row>
    <row r="1145" ht="15.75" customHeight="1">
      <c r="A1145" s="200" t="s">
        <v>303</v>
      </c>
      <c r="B1145" s="186" t="s">
        <v>5512</v>
      </c>
      <c r="C1145" s="210" t="s">
        <v>5513</v>
      </c>
      <c r="D1145" s="210" t="s">
        <v>5514</v>
      </c>
      <c r="E1145" s="204">
        <v>1.0</v>
      </c>
      <c r="F1145" s="205">
        <v>0.0</v>
      </c>
      <c r="G1145" s="205">
        <v>6.0</v>
      </c>
    </row>
    <row r="1146" ht="15.75" customHeight="1">
      <c r="A1146" s="200" t="s">
        <v>303</v>
      </c>
      <c r="B1146" s="186" t="s">
        <v>5515</v>
      </c>
      <c r="C1146" s="210" t="s">
        <v>5516</v>
      </c>
      <c r="D1146" s="210" t="s">
        <v>5517</v>
      </c>
      <c r="E1146" s="204">
        <v>1.0</v>
      </c>
      <c r="F1146" s="205">
        <v>0.0</v>
      </c>
      <c r="G1146" s="205">
        <v>0.0</v>
      </c>
    </row>
    <row r="1147" ht="15.75" customHeight="1">
      <c r="A1147" s="200" t="s">
        <v>303</v>
      </c>
      <c r="B1147" s="186" t="s">
        <v>5518</v>
      </c>
      <c r="C1147" s="210" t="s">
        <v>5519</v>
      </c>
      <c r="D1147" s="210" t="s">
        <v>5520</v>
      </c>
      <c r="E1147" s="204">
        <v>1.0</v>
      </c>
      <c r="F1147" s="205">
        <v>0.0</v>
      </c>
      <c r="G1147" s="205">
        <v>3.0</v>
      </c>
    </row>
    <row r="1148" ht="15.75" customHeight="1">
      <c r="A1148" s="200" t="s">
        <v>303</v>
      </c>
      <c r="B1148" s="186" t="s">
        <v>5521</v>
      </c>
      <c r="C1148" s="210" t="s">
        <v>5522</v>
      </c>
      <c r="D1148" s="210" t="s">
        <v>5523</v>
      </c>
      <c r="E1148" s="204">
        <v>1.0</v>
      </c>
      <c r="F1148" s="205">
        <v>0.0</v>
      </c>
      <c r="G1148" s="205">
        <v>0.0</v>
      </c>
    </row>
    <row r="1149" ht="15.75" customHeight="1">
      <c r="A1149" s="200" t="s">
        <v>303</v>
      </c>
      <c r="B1149" s="186" t="s">
        <v>5524</v>
      </c>
      <c r="C1149" s="210" t="s">
        <v>5525</v>
      </c>
      <c r="D1149" s="210" t="s">
        <v>5526</v>
      </c>
      <c r="E1149" s="204">
        <v>1.0</v>
      </c>
      <c r="F1149" s="205">
        <v>0.0</v>
      </c>
      <c r="G1149" s="205">
        <v>1.0</v>
      </c>
    </row>
    <row r="1150" ht="15.75" customHeight="1">
      <c r="A1150" s="200" t="s">
        <v>303</v>
      </c>
      <c r="B1150" s="186" t="s">
        <v>5527</v>
      </c>
      <c r="C1150" s="210" t="s">
        <v>5528</v>
      </c>
      <c r="D1150" s="210" t="s">
        <v>5520</v>
      </c>
      <c r="E1150" s="204">
        <v>1.0</v>
      </c>
      <c r="F1150" s="205">
        <v>0.0</v>
      </c>
      <c r="G1150" s="205">
        <v>0.0</v>
      </c>
    </row>
    <row r="1151" ht="15.75" customHeight="1">
      <c r="A1151" s="200" t="s">
        <v>303</v>
      </c>
      <c r="B1151" s="186" t="s">
        <v>5529</v>
      </c>
      <c r="C1151" s="210" t="s">
        <v>5530</v>
      </c>
      <c r="D1151" s="210" t="s">
        <v>5531</v>
      </c>
      <c r="E1151" s="204">
        <v>1.0</v>
      </c>
      <c r="F1151" s="205">
        <v>0.0</v>
      </c>
      <c r="G1151" s="205">
        <v>0.0</v>
      </c>
    </row>
    <row r="1152" ht="15.75" customHeight="1">
      <c r="A1152" s="200" t="s">
        <v>303</v>
      </c>
      <c r="B1152" s="186" t="s">
        <v>5532</v>
      </c>
      <c r="C1152" s="210" t="s">
        <v>5533</v>
      </c>
      <c r="D1152" s="210" t="s">
        <v>5534</v>
      </c>
      <c r="E1152" s="204">
        <v>1.0</v>
      </c>
      <c r="F1152" s="205">
        <v>0.0</v>
      </c>
      <c r="G1152" s="205">
        <v>0.0</v>
      </c>
    </row>
    <row r="1153" ht="15.75" customHeight="1">
      <c r="A1153" s="200" t="s">
        <v>303</v>
      </c>
      <c r="B1153" s="186" t="s">
        <v>5535</v>
      </c>
      <c r="C1153" s="210" t="s">
        <v>5536</v>
      </c>
      <c r="D1153" s="210" t="s">
        <v>5537</v>
      </c>
      <c r="E1153" s="204">
        <v>1.0</v>
      </c>
      <c r="F1153" s="205">
        <v>0.0</v>
      </c>
      <c r="G1153" s="205">
        <v>0.0</v>
      </c>
    </row>
    <row r="1154" ht="15.75" customHeight="1">
      <c r="A1154" s="200" t="s">
        <v>303</v>
      </c>
      <c r="B1154" s="186" t="s">
        <v>5538</v>
      </c>
      <c r="C1154" s="210" t="s">
        <v>5539</v>
      </c>
      <c r="D1154" s="210" t="s">
        <v>5540</v>
      </c>
      <c r="E1154" s="204">
        <v>1.0</v>
      </c>
      <c r="F1154" s="205">
        <v>0.0</v>
      </c>
      <c r="G1154" s="205">
        <v>0.0</v>
      </c>
    </row>
    <row r="1155" ht="15.75" customHeight="1">
      <c r="A1155" s="200" t="s">
        <v>303</v>
      </c>
      <c r="B1155" s="186" t="s">
        <v>5541</v>
      </c>
      <c r="C1155" s="210" t="s">
        <v>5542</v>
      </c>
      <c r="D1155" s="210" t="s">
        <v>5543</v>
      </c>
      <c r="E1155" s="204">
        <v>1.0</v>
      </c>
      <c r="F1155" s="205">
        <v>0.0</v>
      </c>
      <c r="G1155" s="205">
        <v>0.0</v>
      </c>
    </row>
    <row r="1156" ht="15.75" customHeight="1">
      <c r="A1156" s="200" t="s">
        <v>303</v>
      </c>
      <c r="B1156" s="186" t="s">
        <v>5544</v>
      </c>
      <c r="C1156" s="210" t="s">
        <v>5545</v>
      </c>
      <c r="D1156" s="210" t="s">
        <v>5546</v>
      </c>
      <c r="E1156" s="204">
        <v>1.0</v>
      </c>
      <c r="F1156" s="205">
        <v>0.0</v>
      </c>
      <c r="G1156" s="205">
        <v>2.0</v>
      </c>
    </row>
    <row r="1157" ht="15.75" customHeight="1">
      <c r="A1157" s="200" t="s">
        <v>303</v>
      </c>
      <c r="B1157" s="186" t="s">
        <v>5547</v>
      </c>
      <c r="C1157" s="210" t="s">
        <v>5548</v>
      </c>
      <c r="D1157" s="210" t="s">
        <v>5549</v>
      </c>
      <c r="E1157" s="204">
        <v>1.0</v>
      </c>
      <c r="F1157" s="205">
        <v>0.0</v>
      </c>
      <c r="G1157" s="205">
        <v>1.0</v>
      </c>
    </row>
    <row r="1158" ht="15.75" customHeight="1">
      <c r="A1158" s="200" t="s">
        <v>303</v>
      </c>
      <c r="B1158" s="186" t="s">
        <v>5550</v>
      </c>
      <c r="C1158" s="210" t="s">
        <v>5551</v>
      </c>
      <c r="D1158" s="210" t="s">
        <v>5552</v>
      </c>
      <c r="E1158" s="204">
        <v>1.0</v>
      </c>
      <c r="F1158" s="205">
        <v>0.0</v>
      </c>
      <c r="G1158" s="205">
        <v>1.0</v>
      </c>
    </row>
    <row r="1159" ht="15.75" customHeight="1">
      <c r="A1159" s="200" t="s">
        <v>303</v>
      </c>
      <c r="B1159" s="186" t="s">
        <v>5553</v>
      </c>
      <c r="C1159" s="210" t="s">
        <v>5554</v>
      </c>
      <c r="D1159" s="210" t="s">
        <v>5555</v>
      </c>
      <c r="E1159" s="204">
        <v>1.0</v>
      </c>
      <c r="F1159" s="205">
        <v>0.0</v>
      </c>
      <c r="G1159" s="205">
        <v>1.0</v>
      </c>
    </row>
    <row r="1160" ht="15.75" customHeight="1">
      <c r="A1160" s="200" t="s">
        <v>303</v>
      </c>
      <c r="B1160" s="186" t="s">
        <v>5556</v>
      </c>
      <c r="C1160" s="210" t="s">
        <v>5557</v>
      </c>
      <c r="D1160" s="210"/>
      <c r="E1160" s="204">
        <v>1.0</v>
      </c>
      <c r="F1160" s="205">
        <v>0.0</v>
      </c>
      <c r="G1160" s="205">
        <v>1.0</v>
      </c>
    </row>
    <row r="1161" ht="15.75" customHeight="1">
      <c r="A1161" s="200" t="s">
        <v>303</v>
      </c>
      <c r="B1161" s="186" t="s">
        <v>5558</v>
      </c>
      <c r="C1161" s="210" t="s">
        <v>5559</v>
      </c>
      <c r="D1161" s="210" t="s">
        <v>376</v>
      </c>
      <c r="E1161" s="204">
        <v>1.0</v>
      </c>
      <c r="F1161" s="205">
        <v>0.0</v>
      </c>
      <c r="G1161" s="205">
        <v>1.0</v>
      </c>
    </row>
    <row r="1162" ht="15.75" customHeight="1">
      <c r="A1162" s="200" t="s">
        <v>303</v>
      </c>
      <c r="B1162" s="186" t="s">
        <v>5560</v>
      </c>
      <c r="C1162" s="210" t="s">
        <v>5561</v>
      </c>
      <c r="D1162" s="210" t="s">
        <v>5562</v>
      </c>
      <c r="E1162" s="204">
        <v>1.0</v>
      </c>
      <c r="F1162" s="205">
        <v>0.0</v>
      </c>
      <c r="G1162" s="205">
        <v>2.0</v>
      </c>
    </row>
    <row r="1163" ht="15.75" customHeight="1">
      <c r="A1163" s="200" t="s">
        <v>303</v>
      </c>
      <c r="B1163" s="186" t="s">
        <v>5563</v>
      </c>
      <c r="C1163" s="210" t="s">
        <v>5564</v>
      </c>
      <c r="D1163" s="210" t="s">
        <v>5565</v>
      </c>
      <c r="E1163" s="204">
        <v>1.0</v>
      </c>
      <c r="F1163" s="205">
        <v>0.0</v>
      </c>
      <c r="G1163" s="205">
        <v>1.0</v>
      </c>
    </row>
    <row r="1164" ht="15.75" customHeight="1">
      <c r="A1164" s="200" t="s">
        <v>303</v>
      </c>
      <c r="B1164" s="186" t="s">
        <v>5566</v>
      </c>
      <c r="C1164" s="210" t="s">
        <v>5567</v>
      </c>
      <c r="D1164" s="210"/>
      <c r="E1164" s="204">
        <v>1.0</v>
      </c>
      <c r="F1164" s="205">
        <v>0.0</v>
      </c>
      <c r="G1164" s="205">
        <v>1.0</v>
      </c>
    </row>
    <row r="1165" ht="15.75" customHeight="1">
      <c r="A1165" s="200" t="s">
        <v>303</v>
      </c>
      <c r="B1165" s="186" t="s">
        <v>5568</v>
      </c>
      <c r="C1165" s="210" t="s">
        <v>5569</v>
      </c>
      <c r="D1165" s="210" t="s">
        <v>1029</v>
      </c>
      <c r="E1165" s="204">
        <v>1.0</v>
      </c>
      <c r="F1165" s="205">
        <v>0.0</v>
      </c>
      <c r="G1165" s="205">
        <v>1.0</v>
      </c>
    </row>
    <row r="1166" ht="15.75" customHeight="1">
      <c r="A1166" s="200" t="s">
        <v>303</v>
      </c>
      <c r="B1166" s="186" t="s">
        <v>5570</v>
      </c>
      <c r="C1166" s="210" t="s">
        <v>5571</v>
      </c>
      <c r="D1166" s="210"/>
      <c r="E1166" s="204">
        <v>1.0</v>
      </c>
      <c r="F1166" s="205">
        <v>0.0</v>
      </c>
      <c r="G1166" s="205">
        <v>1.0</v>
      </c>
    </row>
    <row r="1167" ht="15.75" customHeight="1">
      <c r="A1167" s="200" t="s">
        <v>303</v>
      </c>
      <c r="B1167" s="186" t="s">
        <v>5572</v>
      </c>
      <c r="C1167" s="210" t="s">
        <v>5573</v>
      </c>
      <c r="D1167" s="210" t="s">
        <v>376</v>
      </c>
      <c r="E1167" s="204">
        <v>1.0</v>
      </c>
      <c r="F1167" s="205">
        <v>0.0</v>
      </c>
      <c r="G1167" s="205">
        <v>1.0</v>
      </c>
    </row>
    <row r="1168" ht="15.75" customHeight="1">
      <c r="A1168" s="200" t="s">
        <v>303</v>
      </c>
      <c r="B1168" s="186" t="s">
        <v>5574</v>
      </c>
      <c r="C1168" s="210" t="s">
        <v>5575</v>
      </c>
      <c r="D1168" s="210" t="s">
        <v>5576</v>
      </c>
      <c r="E1168" s="204">
        <v>1.0</v>
      </c>
      <c r="F1168" s="205">
        <v>0.0</v>
      </c>
      <c r="G1168" s="205">
        <v>1.0</v>
      </c>
    </row>
    <row r="1169" ht="15.75" customHeight="1">
      <c r="A1169" s="200" t="s">
        <v>303</v>
      </c>
      <c r="B1169" s="186" t="s">
        <v>5577</v>
      </c>
      <c r="C1169" s="210" t="s">
        <v>5578</v>
      </c>
      <c r="D1169" s="210" t="s">
        <v>5579</v>
      </c>
      <c r="E1169" s="204">
        <v>1.0</v>
      </c>
      <c r="F1169" s="205">
        <v>0.0</v>
      </c>
      <c r="G1169" s="205">
        <v>1.0</v>
      </c>
    </row>
    <row r="1170" ht="15.75" customHeight="1">
      <c r="A1170" s="200" t="s">
        <v>303</v>
      </c>
      <c r="B1170" s="186" t="s">
        <v>5580</v>
      </c>
      <c r="C1170" s="210" t="s">
        <v>5581</v>
      </c>
      <c r="D1170" s="210" t="s">
        <v>254</v>
      </c>
      <c r="E1170" s="204">
        <v>1.0</v>
      </c>
      <c r="F1170" s="205">
        <v>0.0</v>
      </c>
      <c r="G1170" s="205">
        <v>0.0</v>
      </c>
    </row>
    <row r="1171" ht="15.75" customHeight="1">
      <c r="A1171" s="200" t="s">
        <v>303</v>
      </c>
      <c r="B1171" s="186" t="s">
        <v>5582</v>
      </c>
      <c r="C1171" s="210" t="s">
        <v>5583</v>
      </c>
      <c r="D1171" s="210" t="s">
        <v>5584</v>
      </c>
      <c r="E1171" s="204">
        <v>1.0</v>
      </c>
      <c r="F1171" s="205">
        <v>0.0</v>
      </c>
      <c r="G1171" s="205">
        <v>1.0</v>
      </c>
    </row>
    <row r="1172" ht="15.75" customHeight="1">
      <c r="A1172" s="200" t="s">
        <v>303</v>
      </c>
      <c r="B1172" s="186" t="s">
        <v>5585</v>
      </c>
      <c r="C1172" s="210" t="s">
        <v>5586</v>
      </c>
      <c r="D1172" s="210" t="s">
        <v>5587</v>
      </c>
      <c r="E1172" s="204">
        <v>1.0</v>
      </c>
      <c r="F1172" s="205">
        <v>0.0</v>
      </c>
      <c r="G1172" s="205">
        <v>0.0</v>
      </c>
    </row>
    <row r="1173" ht="15.75" customHeight="1">
      <c r="A1173" s="200" t="s">
        <v>303</v>
      </c>
      <c r="B1173" s="186" t="s">
        <v>5588</v>
      </c>
      <c r="C1173" s="210" t="s">
        <v>5589</v>
      </c>
      <c r="D1173" s="210" t="s">
        <v>5590</v>
      </c>
      <c r="E1173" s="204">
        <v>1.0</v>
      </c>
      <c r="F1173" s="205">
        <v>0.0</v>
      </c>
      <c r="G1173" s="205">
        <v>2.0</v>
      </c>
    </row>
    <row r="1174" ht="15.75" customHeight="1">
      <c r="A1174" s="200" t="s">
        <v>303</v>
      </c>
      <c r="B1174" s="186" t="s">
        <v>5591</v>
      </c>
      <c r="C1174" s="210" t="s">
        <v>5592</v>
      </c>
      <c r="D1174" s="210" t="s">
        <v>5593</v>
      </c>
      <c r="E1174" s="204">
        <v>1.0</v>
      </c>
      <c r="F1174" s="205">
        <v>0.0</v>
      </c>
      <c r="G1174" s="205">
        <v>0.0</v>
      </c>
    </row>
    <row r="1175" ht="15.75" customHeight="1">
      <c r="A1175" s="200" t="s">
        <v>303</v>
      </c>
      <c r="B1175" s="186" t="s">
        <v>5594</v>
      </c>
      <c r="C1175" s="210" t="s">
        <v>5595</v>
      </c>
      <c r="D1175" s="210" t="s">
        <v>5596</v>
      </c>
      <c r="E1175" s="204">
        <v>1.0</v>
      </c>
      <c r="F1175" s="205">
        <v>0.0</v>
      </c>
      <c r="G1175" s="205">
        <v>0.0</v>
      </c>
    </row>
    <row r="1176" ht="15.75" customHeight="1">
      <c r="A1176" s="200" t="s">
        <v>303</v>
      </c>
      <c r="B1176" s="186" t="s">
        <v>5597</v>
      </c>
      <c r="C1176" s="210" t="s">
        <v>5598</v>
      </c>
      <c r="D1176" s="210" t="s">
        <v>5599</v>
      </c>
      <c r="E1176" s="204">
        <v>1.0</v>
      </c>
      <c r="F1176" s="205">
        <v>0.0</v>
      </c>
      <c r="G1176" s="205">
        <v>0.0</v>
      </c>
    </row>
    <row r="1177" ht="15.75" customHeight="1">
      <c r="A1177" s="200" t="s">
        <v>303</v>
      </c>
      <c r="B1177" s="186"/>
      <c r="C1177" s="210"/>
      <c r="D1177" s="210"/>
      <c r="E1177" s="204"/>
      <c r="F1177" s="205"/>
      <c r="G1177" s="205"/>
    </row>
    <row r="1178" ht="15.75" customHeight="1">
      <c r="A1178" s="200"/>
      <c r="B1178" s="226" t="s">
        <v>5194</v>
      </c>
      <c r="C1178" s="226" t="s">
        <v>298</v>
      </c>
      <c r="D1178" s="226" t="s">
        <v>293</v>
      </c>
      <c r="E1178" s="227" t="s">
        <v>294</v>
      </c>
      <c r="F1178" s="229" t="s">
        <v>295</v>
      </c>
      <c r="G1178" s="229" t="s">
        <v>296</v>
      </c>
    </row>
    <row r="1179" ht="15.75" customHeight="1">
      <c r="A1179" s="200" t="s">
        <v>576</v>
      </c>
      <c r="B1179" s="186" t="s">
        <v>1324</v>
      </c>
      <c r="C1179" s="210" t="s">
        <v>1325</v>
      </c>
      <c r="D1179" s="210" t="s">
        <v>1329</v>
      </c>
      <c r="E1179" s="204">
        <v>121.0</v>
      </c>
      <c r="F1179" s="205">
        <v>0.13</v>
      </c>
      <c r="G1179" s="205">
        <v>1.1</v>
      </c>
    </row>
    <row r="1180" ht="15.75" customHeight="1">
      <c r="A1180" s="200" t="s">
        <v>576</v>
      </c>
      <c r="B1180" s="186" t="s">
        <v>5600</v>
      </c>
      <c r="C1180" s="210" t="s">
        <v>5601</v>
      </c>
      <c r="D1180" s="210" t="s">
        <v>5602</v>
      </c>
      <c r="E1180" s="204">
        <v>120.0</v>
      </c>
      <c r="F1180" s="205">
        <v>0.13</v>
      </c>
      <c r="G1180" s="205">
        <v>0.36</v>
      </c>
    </row>
    <row r="1181" ht="15.75" customHeight="1">
      <c r="A1181" s="200" t="s">
        <v>576</v>
      </c>
      <c r="B1181" s="186" t="s">
        <v>1330</v>
      </c>
      <c r="C1181" s="210" t="s">
        <v>1331</v>
      </c>
      <c r="D1181" s="210" t="s">
        <v>1333</v>
      </c>
      <c r="E1181" s="204">
        <v>99.0</v>
      </c>
      <c r="F1181" s="205">
        <v>0.1</v>
      </c>
      <c r="G1181" s="205">
        <v>1.31</v>
      </c>
    </row>
    <row r="1182" ht="15.75" customHeight="1">
      <c r="A1182" s="200" t="s">
        <v>576</v>
      </c>
      <c r="B1182" s="186" t="s">
        <v>5603</v>
      </c>
      <c r="C1182" s="210" t="s">
        <v>5604</v>
      </c>
      <c r="D1182" s="210" t="s">
        <v>5605</v>
      </c>
      <c r="E1182" s="204">
        <v>93.0</v>
      </c>
      <c r="F1182" s="205">
        <v>0.1</v>
      </c>
      <c r="G1182" s="205">
        <v>1.11</v>
      </c>
    </row>
    <row r="1183" ht="15.75" customHeight="1">
      <c r="A1183" s="200" t="s">
        <v>576</v>
      </c>
      <c r="B1183" s="186" t="s">
        <v>1334</v>
      </c>
      <c r="C1183" s="210" t="s">
        <v>1335</v>
      </c>
      <c r="D1183" s="210" t="s">
        <v>1337</v>
      </c>
      <c r="E1183" s="204">
        <v>86.0</v>
      </c>
      <c r="F1183" s="205">
        <v>0.09</v>
      </c>
      <c r="G1183" s="205">
        <v>1.44</v>
      </c>
    </row>
    <row r="1184" ht="15.75" customHeight="1">
      <c r="A1184" s="200" t="s">
        <v>576</v>
      </c>
      <c r="B1184" s="186" t="s">
        <v>5606</v>
      </c>
      <c r="C1184" s="210" t="s">
        <v>5607</v>
      </c>
      <c r="D1184" s="210" t="s">
        <v>5608</v>
      </c>
      <c r="E1184" s="204">
        <v>83.0</v>
      </c>
      <c r="F1184" s="205">
        <v>0.09</v>
      </c>
      <c r="G1184" s="205">
        <v>0.59</v>
      </c>
    </row>
    <row r="1185" ht="15.75" customHeight="1">
      <c r="A1185" s="200" t="s">
        <v>576</v>
      </c>
      <c r="B1185" s="186" t="s">
        <v>1338</v>
      </c>
      <c r="C1185" s="210" t="s">
        <v>1339</v>
      </c>
      <c r="D1185" s="210" t="s">
        <v>1341</v>
      </c>
      <c r="E1185" s="204">
        <v>71.0</v>
      </c>
      <c r="F1185" s="205">
        <v>0.07</v>
      </c>
      <c r="G1185" s="205">
        <v>1.45</v>
      </c>
    </row>
    <row r="1186" ht="15.75" customHeight="1">
      <c r="A1186" s="200" t="s">
        <v>576</v>
      </c>
      <c r="B1186" s="186" t="s">
        <v>5609</v>
      </c>
      <c r="C1186" s="210" t="s">
        <v>5610</v>
      </c>
      <c r="D1186" s="210" t="s">
        <v>5611</v>
      </c>
      <c r="E1186" s="204">
        <v>56.0</v>
      </c>
      <c r="F1186" s="205">
        <v>0.06</v>
      </c>
      <c r="G1186" s="205">
        <v>0.07</v>
      </c>
    </row>
    <row r="1187" ht="15.75" customHeight="1">
      <c r="A1187" s="200" t="s">
        <v>576</v>
      </c>
      <c r="B1187" s="186" t="s">
        <v>1344</v>
      </c>
      <c r="C1187" s="210" t="s">
        <v>1345</v>
      </c>
      <c r="D1187" s="210" t="s">
        <v>1347</v>
      </c>
      <c r="E1187" s="204">
        <v>55.0</v>
      </c>
      <c r="F1187" s="205">
        <v>0.06</v>
      </c>
      <c r="G1187" s="205">
        <v>2.02</v>
      </c>
    </row>
    <row r="1188" ht="15.75" customHeight="1">
      <c r="A1188" s="200" t="s">
        <v>576</v>
      </c>
      <c r="B1188" s="186" t="s">
        <v>5612</v>
      </c>
      <c r="C1188" s="210" t="s">
        <v>5613</v>
      </c>
      <c r="D1188" s="210" t="s">
        <v>5614</v>
      </c>
      <c r="E1188" s="204">
        <v>53.0</v>
      </c>
      <c r="F1188" s="205">
        <v>0.06</v>
      </c>
      <c r="G1188" s="205">
        <v>0.58</v>
      </c>
    </row>
    <row r="1189" ht="15.75" customHeight="1">
      <c r="A1189" s="200" t="s">
        <v>576</v>
      </c>
      <c r="B1189" s="186" t="s">
        <v>1348</v>
      </c>
      <c r="C1189" s="210" t="s">
        <v>1349</v>
      </c>
      <c r="D1189" s="210" t="s">
        <v>1350</v>
      </c>
      <c r="E1189" s="204">
        <v>53.0</v>
      </c>
      <c r="F1189" s="205">
        <v>0.06</v>
      </c>
      <c r="G1189" s="205">
        <v>1.7</v>
      </c>
    </row>
    <row r="1190" ht="15.75" customHeight="1">
      <c r="A1190" s="200" t="s">
        <v>576</v>
      </c>
      <c r="B1190" s="186" t="s">
        <v>5615</v>
      </c>
      <c r="C1190" s="210" t="s">
        <v>5616</v>
      </c>
      <c r="D1190" s="210" t="s">
        <v>5617</v>
      </c>
      <c r="E1190" s="204">
        <v>51.0</v>
      </c>
      <c r="F1190" s="205">
        <v>0.05</v>
      </c>
      <c r="G1190" s="205">
        <v>2.14</v>
      </c>
    </row>
    <row r="1191" ht="15.75" customHeight="1">
      <c r="A1191" s="200" t="s">
        <v>576</v>
      </c>
      <c r="B1191" s="186" t="s">
        <v>5618</v>
      </c>
      <c r="C1191" s="210" t="s">
        <v>5619</v>
      </c>
      <c r="D1191" s="210" t="s">
        <v>5620</v>
      </c>
      <c r="E1191" s="204">
        <v>49.0</v>
      </c>
      <c r="F1191" s="205">
        <v>0.05</v>
      </c>
      <c r="G1191" s="205">
        <v>1.43</v>
      </c>
    </row>
    <row r="1192" ht="15.75" customHeight="1">
      <c r="A1192" s="200" t="s">
        <v>576</v>
      </c>
      <c r="B1192" s="186" t="s">
        <v>5621</v>
      </c>
      <c r="C1192" s="210" t="s">
        <v>5622</v>
      </c>
      <c r="D1192" s="210" t="s">
        <v>5623</v>
      </c>
      <c r="E1192" s="204">
        <v>47.0</v>
      </c>
      <c r="F1192" s="205">
        <v>0.05</v>
      </c>
      <c r="G1192" s="205">
        <v>1.06</v>
      </c>
    </row>
    <row r="1193" ht="15.75" customHeight="1">
      <c r="A1193" s="200" t="s">
        <v>576</v>
      </c>
      <c r="B1193" s="186" t="s">
        <v>1351</v>
      </c>
      <c r="C1193" s="210" t="s">
        <v>1352</v>
      </c>
      <c r="D1193" s="210" t="s">
        <v>1354</v>
      </c>
      <c r="E1193" s="204">
        <v>44.0</v>
      </c>
      <c r="F1193" s="205">
        <v>0.05</v>
      </c>
      <c r="G1193" s="205">
        <v>1.57</v>
      </c>
    </row>
    <row r="1194" ht="15.75" customHeight="1">
      <c r="A1194" s="200" t="s">
        <v>576</v>
      </c>
      <c r="B1194" s="186" t="s">
        <v>5624</v>
      </c>
      <c r="C1194" s="210" t="s">
        <v>5625</v>
      </c>
      <c r="D1194" s="210" t="s">
        <v>5626</v>
      </c>
      <c r="E1194" s="204">
        <v>42.0</v>
      </c>
      <c r="F1194" s="205">
        <v>0.04</v>
      </c>
      <c r="G1194" s="205">
        <v>2.81</v>
      </c>
    </row>
    <row r="1195" ht="15.75" customHeight="1">
      <c r="A1195" s="200" t="s">
        <v>576</v>
      </c>
      <c r="B1195" s="186" t="s">
        <v>1355</v>
      </c>
      <c r="C1195" s="210" t="s">
        <v>1356</v>
      </c>
      <c r="D1195" s="210" t="s">
        <v>1358</v>
      </c>
      <c r="E1195" s="204">
        <v>41.0</v>
      </c>
      <c r="F1195" s="205">
        <v>0.04</v>
      </c>
      <c r="G1195" s="205">
        <v>1.34</v>
      </c>
    </row>
    <row r="1196" ht="15.75" customHeight="1">
      <c r="A1196" s="200" t="s">
        <v>576</v>
      </c>
      <c r="B1196" s="186" t="s">
        <v>5627</v>
      </c>
      <c r="C1196" s="210" t="s">
        <v>5628</v>
      </c>
      <c r="D1196" s="210" t="s">
        <v>5629</v>
      </c>
      <c r="E1196" s="204">
        <v>40.0</v>
      </c>
      <c r="F1196" s="205">
        <v>0.04</v>
      </c>
      <c r="G1196" s="205">
        <v>0.88</v>
      </c>
    </row>
    <row r="1197" ht="15.75" customHeight="1">
      <c r="A1197" s="200" t="s">
        <v>576</v>
      </c>
      <c r="B1197" s="186" t="s">
        <v>1359</v>
      </c>
      <c r="C1197" s="210" t="s">
        <v>1360</v>
      </c>
      <c r="D1197" s="210" t="s">
        <v>1361</v>
      </c>
      <c r="E1197" s="204">
        <v>39.0</v>
      </c>
      <c r="F1197" s="205">
        <v>0.04</v>
      </c>
      <c r="G1197" s="205">
        <v>1.31</v>
      </c>
    </row>
    <row r="1198" ht="15.75" customHeight="1">
      <c r="A1198" s="200" t="s">
        <v>576</v>
      </c>
      <c r="B1198" s="186" t="s">
        <v>5630</v>
      </c>
      <c r="C1198" s="210" t="s">
        <v>5631</v>
      </c>
      <c r="D1198" s="210" t="s">
        <v>5632</v>
      </c>
      <c r="E1198" s="204">
        <v>38.0</v>
      </c>
      <c r="F1198" s="205">
        <v>0.04</v>
      </c>
      <c r="G1198" s="205">
        <v>2.66</v>
      </c>
    </row>
    <row r="1199" ht="15.75" customHeight="1">
      <c r="A1199" s="200" t="s">
        <v>576</v>
      </c>
      <c r="B1199" s="186" t="s">
        <v>1362</v>
      </c>
      <c r="C1199" s="210" t="s">
        <v>1363</v>
      </c>
      <c r="D1199" s="210" t="s">
        <v>1365</v>
      </c>
      <c r="E1199" s="204">
        <v>38.0</v>
      </c>
      <c r="F1199" s="205">
        <v>0.04</v>
      </c>
      <c r="G1199" s="205">
        <v>1.45</v>
      </c>
    </row>
    <row r="1200" ht="15.75" customHeight="1">
      <c r="A1200" s="200" t="s">
        <v>576</v>
      </c>
      <c r="B1200" s="186" t="s">
        <v>5633</v>
      </c>
      <c r="C1200" s="210" t="s">
        <v>5634</v>
      </c>
      <c r="D1200" s="210" t="s">
        <v>5635</v>
      </c>
      <c r="E1200" s="204">
        <v>37.0</v>
      </c>
      <c r="F1200" s="205">
        <v>0.04</v>
      </c>
      <c r="G1200" s="205">
        <v>1.16</v>
      </c>
    </row>
    <row r="1201" ht="15.75" customHeight="1">
      <c r="A1201" s="200" t="s">
        <v>576</v>
      </c>
      <c r="B1201" s="186" t="s">
        <v>5636</v>
      </c>
      <c r="C1201" s="210" t="s">
        <v>5637</v>
      </c>
      <c r="D1201" s="210" t="s">
        <v>5638</v>
      </c>
      <c r="E1201" s="204">
        <v>37.0</v>
      </c>
      <c r="F1201" s="205">
        <v>0.04</v>
      </c>
      <c r="G1201" s="205">
        <v>0.65</v>
      </c>
    </row>
    <row r="1202" ht="15.75" customHeight="1">
      <c r="A1202" s="200" t="s">
        <v>576</v>
      </c>
      <c r="B1202" s="186" t="s">
        <v>5639</v>
      </c>
      <c r="C1202" s="210" t="s">
        <v>5640</v>
      </c>
      <c r="D1202" s="210" t="s">
        <v>5641</v>
      </c>
      <c r="E1202" s="204">
        <v>36.0</v>
      </c>
      <c r="F1202" s="205">
        <v>0.04</v>
      </c>
      <c r="G1202" s="205">
        <v>0.33</v>
      </c>
    </row>
    <row r="1203" ht="15.75" customHeight="1">
      <c r="A1203" s="200" t="s">
        <v>576</v>
      </c>
      <c r="B1203" s="186" t="s">
        <v>5642</v>
      </c>
      <c r="C1203" s="210" t="s">
        <v>5643</v>
      </c>
      <c r="D1203" s="210" t="s">
        <v>5644</v>
      </c>
      <c r="E1203" s="204">
        <v>34.0</v>
      </c>
      <c r="F1203" s="205">
        <v>0.04</v>
      </c>
      <c r="G1203" s="205">
        <v>0.41</v>
      </c>
    </row>
    <row r="1204" ht="15.75" customHeight="1">
      <c r="A1204" s="200" t="s">
        <v>576</v>
      </c>
      <c r="B1204" s="186" t="s">
        <v>5645</v>
      </c>
      <c r="C1204" s="210" t="s">
        <v>5646</v>
      </c>
      <c r="D1204" s="210" t="s">
        <v>5647</v>
      </c>
      <c r="E1204" s="204">
        <v>34.0</v>
      </c>
      <c r="F1204" s="205">
        <v>0.04</v>
      </c>
      <c r="G1204" s="205">
        <v>2.21</v>
      </c>
    </row>
    <row r="1205" ht="15.75" customHeight="1">
      <c r="A1205" s="200" t="s">
        <v>576</v>
      </c>
      <c r="B1205" s="186" t="s">
        <v>5648</v>
      </c>
      <c r="C1205" s="210" t="s">
        <v>5649</v>
      </c>
      <c r="D1205" s="210" t="s">
        <v>5650</v>
      </c>
      <c r="E1205" s="204">
        <v>33.0</v>
      </c>
      <c r="F1205" s="205">
        <v>0.03</v>
      </c>
      <c r="G1205" s="205">
        <v>0.79</v>
      </c>
    </row>
    <row r="1206" ht="15.75" customHeight="1">
      <c r="A1206" s="200" t="s">
        <v>576</v>
      </c>
      <c r="B1206" s="186" t="s">
        <v>5651</v>
      </c>
      <c r="C1206" s="210" t="s">
        <v>5652</v>
      </c>
      <c r="D1206" s="210" t="s">
        <v>5653</v>
      </c>
      <c r="E1206" s="204">
        <v>33.0</v>
      </c>
      <c r="F1206" s="205">
        <v>0.03</v>
      </c>
      <c r="G1206" s="205">
        <v>1.15</v>
      </c>
    </row>
    <row r="1207" ht="15.75" customHeight="1">
      <c r="A1207" s="200" t="s">
        <v>576</v>
      </c>
      <c r="B1207" s="186" t="s">
        <v>1368</v>
      </c>
      <c r="C1207" s="210" t="s">
        <v>1369</v>
      </c>
      <c r="D1207" s="210" t="s">
        <v>1370</v>
      </c>
      <c r="E1207" s="204">
        <v>33.0</v>
      </c>
      <c r="F1207" s="205">
        <v>0.03</v>
      </c>
      <c r="G1207" s="205">
        <v>0.45</v>
      </c>
    </row>
    <row r="1208" ht="15.75" customHeight="1">
      <c r="A1208" s="200" t="s">
        <v>576</v>
      </c>
      <c r="B1208" s="186" t="s">
        <v>5654</v>
      </c>
      <c r="C1208" s="210" t="s">
        <v>5655</v>
      </c>
      <c r="D1208" s="210" t="s">
        <v>5656</v>
      </c>
      <c r="E1208" s="204">
        <v>33.0</v>
      </c>
      <c r="F1208" s="205">
        <v>0.03</v>
      </c>
      <c r="G1208" s="205">
        <v>1.73</v>
      </c>
    </row>
    <row r="1209" ht="15.75" customHeight="1">
      <c r="A1209" s="200" t="s">
        <v>576</v>
      </c>
      <c r="B1209" s="186" t="s">
        <v>5657</v>
      </c>
      <c r="C1209" s="210" t="s">
        <v>5658</v>
      </c>
      <c r="D1209" s="210" t="s">
        <v>5659</v>
      </c>
      <c r="E1209" s="204">
        <v>32.0</v>
      </c>
      <c r="F1209" s="205">
        <v>0.03</v>
      </c>
      <c r="G1209" s="205">
        <v>1.09</v>
      </c>
    </row>
    <row r="1210" ht="15.75" customHeight="1">
      <c r="A1210" s="200" t="s">
        <v>576</v>
      </c>
      <c r="B1210" s="186" t="s">
        <v>5660</v>
      </c>
      <c r="C1210" s="210" t="s">
        <v>5661</v>
      </c>
      <c r="D1210" s="210" t="s">
        <v>5662</v>
      </c>
      <c r="E1210" s="204">
        <v>31.0</v>
      </c>
      <c r="F1210" s="205">
        <v>0.03</v>
      </c>
      <c r="G1210" s="205">
        <v>1.26</v>
      </c>
    </row>
    <row r="1211" ht="15.75" customHeight="1">
      <c r="A1211" s="200" t="s">
        <v>576</v>
      </c>
      <c r="B1211" s="186" t="s">
        <v>5663</v>
      </c>
      <c r="C1211" s="210" t="s">
        <v>5664</v>
      </c>
      <c r="D1211" s="210" t="s">
        <v>5665</v>
      </c>
      <c r="E1211" s="204">
        <v>31.0</v>
      </c>
      <c r="F1211" s="205">
        <v>0.03</v>
      </c>
      <c r="G1211" s="205">
        <v>1.32</v>
      </c>
    </row>
    <row r="1212" ht="15.75" customHeight="1">
      <c r="A1212" s="200" t="s">
        <v>576</v>
      </c>
      <c r="B1212" s="186" t="s">
        <v>5666</v>
      </c>
      <c r="C1212" s="210" t="s">
        <v>5667</v>
      </c>
      <c r="D1212" s="210" t="s">
        <v>5668</v>
      </c>
      <c r="E1212" s="204">
        <v>31.0</v>
      </c>
      <c r="F1212" s="205">
        <v>0.03</v>
      </c>
      <c r="G1212" s="205">
        <v>0.29</v>
      </c>
    </row>
    <row r="1213" ht="15.75" customHeight="1">
      <c r="A1213" s="200" t="s">
        <v>576</v>
      </c>
      <c r="B1213" s="186" t="s">
        <v>5669</v>
      </c>
      <c r="C1213" s="210" t="s">
        <v>5670</v>
      </c>
      <c r="D1213" s="210" t="s">
        <v>5671</v>
      </c>
      <c r="E1213" s="204">
        <v>30.0</v>
      </c>
      <c r="F1213" s="205">
        <v>0.03</v>
      </c>
      <c r="G1213" s="205">
        <v>0.77</v>
      </c>
    </row>
    <row r="1214" ht="15.75" customHeight="1">
      <c r="A1214" s="200" t="s">
        <v>576</v>
      </c>
      <c r="B1214" s="186" t="s">
        <v>5672</v>
      </c>
      <c r="C1214" s="210" t="s">
        <v>5673</v>
      </c>
      <c r="D1214" s="210" t="s">
        <v>5674</v>
      </c>
      <c r="E1214" s="204">
        <v>30.0</v>
      </c>
      <c r="F1214" s="205">
        <v>0.03</v>
      </c>
      <c r="G1214" s="205">
        <v>1.53</v>
      </c>
    </row>
    <row r="1215" ht="15.75" customHeight="1">
      <c r="A1215" s="200" t="s">
        <v>576</v>
      </c>
      <c r="B1215" s="186" t="s">
        <v>1371</v>
      </c>
      <c r="C1215" s="210" t="s">
        <v>1372</v>
      </c>
      <c r="D1215" s="210" t="s">
        <v>1373</v>
      </c>
      <c r="E1215" s="204">
        <v>30.0</v>
      </c>
      <c r="F1215" s="205">
        <v>0.03</v>
      </c>
      <c r="G1215" s="205">
        <v>1.1</v>
      </c>
    </row>
    <row r="1216" ht="15.75" customHeight="1">
      <c r="A1216" s="200" t="s">
        <v>576</v>
      </c>
      <c r="B1216" s="186" t="s">
        <v>5675</v>
      </c>
      <c r="C1216" s="210" t="s">
        <v>5676</v>
      </c>
      <c r="D1216" s="210"/>
      <c r="E1216" s="204">
        <v>30.0</v>
      </c>
      <c r="F1216" s="205">
        <v>0.03</v>
      </c>
      <c r="G1216" s="205">
        <v>0.47</v>
      </c>
    </row>
    <row r="1217" ht="15.75" customHeight="1">
      <c r="A1217" s="200" t="s">
        <v>576</v>
      </c>
      <c r="B1217" s="186" t="s">
        <v>1374</v>
      </c>
      <c r="C1217" s="210" t="s">
        <v>1375</v>
      </c>
      <c r="D1217" s="210" t="s">
        <v>1376</v>
      </c>
      <c r="E1217" s="204">
        <v>29.0</v>
      </c>
      <c r="F1217" s="205">
        <v>0.03</v>
      </c>
      <c r="G1217" s="205">
        <v>1.62</v>
      </c>
    </row>
    <row r="1218" ht="15.75" customHeight="1">
      <c r="A1218" s="200" t="s">
        <v>576</v>
      </c>
      <c r="B1218" s="186" t="s">
        <v>5677</v>
      </c>
      <c r="C1218" s="210" t="s">
        <v>5678</v>
      </c>
      <c r="D1218" s="210" t="s">
        <v>5679</v>
      </c>
      <c r="E1218" s="204">
        <v>29.0</v>
      </c>
      <c r="F1218" s="205">
        <v>0.03</v>
      </c>
      <c r="G1218" s="205">
        <v>0.97</v>
      </c>
    </row>
    <row r="1219" ht="15.75" customHeight="1">
      <c r="A1219" s="200" t="s">
        <v>576</v>
      </c>
      <c r="B1219" s="186" t="s">
        <v>1377</v>
      </c>
      <c r="C1219" s="210" t="s">
        <v>1378</v>
      </c>
      <c r="D1219" s="210" t="s">
        <v>1380</v>
      </c>
      <c r="E1219" s="204">
        <v>29.0</v>
      </c>
      <c r="F1219" s="205">
        <v>0.03</v>
      </c>
      <c r="G1219" s="205">
        <v>1.07</v>
      </c>
    </row>
    <row r="1220" ht="15.75" customHeight="1">
      <c r="A1220" s="200" t="s">
        <v>576</v>
      </c>
      <c r="B1220" s="186" t="s">
        <v>5680</v>
      </c>
      <c r="C1220" s="210" t="s">
        <v>5681</v>
      </c>
      <c r="D1220" s="210" t="s">
        <v>5682</v>
      </c>
      <c r="E1220" s="204">
        <v>28.0</v>
      </c>
      <c r="F1220" s="205">
        <v>0.03</v>
      </c>
      <c r="G1220" s="205">
        <v>1.32</v>
      </c>
    </row>
    <row r="1221" ht="15.75" customHeight="1">
      <c r="A1221" s="200" t="s">
        <v>576</v>
      </c>
      <c r="B1221" s="186" t="s">
        <v>5683</v>
      </c>
      <c r="C1221" s="210" t="s">
        <v>5684</v>
      </c>
      <c r="D1221" s="210" t="s">
        <v>5685</v>
      </c>
      <c r="E1221" s="204">
        <v>27.0</v>
      </c>
      <c r="F1221" s="205">
        <v>0.03</v>
      </c>
      <c r="G1221" s="205">
        <v>0.81</v>
      </c>
    </row>
    <row r="1222" ht="15.75" customHeight="1">
      <c r="A1222" s="200" t="s">
        <v>576</v>
      </c>
      <c r="B1222" s="186" t="s">
        <v>650</v>
      </c>
      <c r="C1222" s="210" t="s">
        <v>651</v>
      </c>
      <c r="D1222" s="210" t="s">
        <v>1381</v>
      </c>
      <c r="E1222" s="204">
        <v>27.0</v>
      </c>
      <c r="F1222" s="205">
        <v>0.03</v>
      </c>
      <c r="G1222" s="205">
        <v>2.0</v>
      </c>
    </row>
    <row r="1223" ht="15.75" customHeight="1">
      <c r="A1223" s="200" t="s">
        <v>576</v>
      </c>
      <c r="B1223" s="186" t="s">
        <v>5686</v>
      </c>
      <c r="C1223" s="210" t="s">
        <v>5687</v>
      </c>
      <c r="D1223" s="210" t="s">
        <v>5688</v>
      </c>
      <c r="E1223" s="204">
        <v>27.0</v>
      </c>
      <c r="F1223" s="205">
        <v>0.03</v>
      </c>
      <c r="G1223" s="205">
        <v>0.85</v>
      </c>
    </row>
    <row r="1224" ht="15.75" customHeight="1">
      <c r="A1224" s="200" t="s">
        <v>576</v>
      </c>
      <c r="B1224" s="186" t="s">
        <v>5689</v>
      </c>
      <c r="C1224" s="210" t="s">
        <v>5690</v>
      </c>
      <c r="D1224" s="210" t="s">
        <v>5691</v>
      </c>
      <c r="E1224" s="204">
        <v>27.0</v>
      </c>
      <c r="F1224" s="205">
        <v>0.03</v>
      </c>
      <c r="G1224" s="205">
        <v>0.56</v>
      </c>
    </row>
    <row r="1225" ht="15.75" customHeight="1">
      <c r="A1225" s="200" t="s">
        <v>576</v>
      </c>
      <c r="B1225" s="186" t="s">
        <v>5692</v>
      </c>
      <c r="C1225" s="210" t="s">
        <v>5693</v>
      </c>
      <c r="D1225" s="210" t="s">
        <v>5694</v>
      </c>
      <c r="E1225" s="204">
        <v>26.0</v>
      </c>
      <c r="F1225" s="205">
        <v>0.03</v>
      </c>
      <c r="G1225" s="205">
        <v>0.0</v>
      </c>
    </row>
    <row r="1226" ht="15.75" customHeight="1">
      <c r="A1226" s="200" t="s">
        <v>576</v>
      </c>
      <c r="B1226" s="186" t="s">
        <v>5695</v>
      </c>
      <c r="C1226" s="210" t="s">
        <v>5696</v>
      </c>
      <c r="D1226" s="210" t="s">
        <v>5697</v>
      </c>
      <c r="E1226" s="204">
        <v>26.0</v>
      </c>
      <c r="F1226" s="205">
        <v>0.03</v>
      </c>
      <c r="G1226" s="205">
        <v>1.15</v>
      </c>
    </row>
    <row r="1227" ht="15.75" customHeight="1">
      <c r="A1227" s="200" t="s">
        <v>576</v>
      </c>
      <c r="B1227" s="186" t="s">
        <v>5698</v>
      </c>
      <c r="C1227" s="210" t="s">
        <v>5699</v>
      </c>
      <c r="D1227" s="210" t="s">
        <v>5700</v>
      </c>
      <c r="E1227" s="204">
        <v>26.0</v>
      </c>
      <c r="F1227" s="205">
        <v>0.03</v>
      </c>
      <c r="G1227" s="205">
        <v>0.62</v>
      </c>
    </row>
    <row r="1228" ht="15.75" customHeight="1">
      <c r="A1228" s="200" t="s">
        <v>576</v>
      </c>
      <c r="B1228" s="186" t="s">
        <v>1382</v>
      </c>
      <c r="C1228" s="210" t="s">
        <v>1383</v>
      </c>
      <c r="D1228" s="210" t="s">
        <v>1385</v>
      </c>
      <c r="E1228" s="204">
        <v>26.0</v>
      </c>
      <c r="F1228" s="205">
        <v>0.03</v>
      </c>
      <c r="G1228" s="205">
        <v>1.12</v>
      </c>
    </row>
    <row r="1229" ht="15.75" customHeight="1">
      <c r="A1229" s="200" t="s">
        <v>576</v>
      </c>
      <c r="B1229" s="186" t="s">
        <v>5701</v>
      </c>
      <c r="C1229" s="210" t="s">
        <v>5702</v>
      </c>
      <c r="D1229" s="210" t="s">
        <v>5703</v>
      </c>
      <c r="E1229" s="204">
        <v>25.0</v>
      </c>
      <c r="F1229" s="205">
        <v>0.03</v>
      </c>
      <c r="G1229" s="205">
        <v>0.12</v>
      </c>
    </row>
    <row r="1230" ht="15.75" customHeight="1">
      <c r="A1230" s="200" t="s">
        <v>576</v>
      </c>
      <c r="B1230" s="186" t="s">
        <v>5704</v>
      </c>
      <c r="C1230" s="210" t="s">
        <v>5705</v>
      </c>
      <c r="D1230" s="210" t="s">
        <v>5706</v>
      </c>
      <c r="E1230" s="204">
        <v>25.0</v>
      </c>
      <c r="F1230" s="205">
        <v>0.03</v>
      </c>
      <c r="G1230" s="205">
        <v>0.12</v>
      </c>
    </row>
    <row r="1231" ht="15.75" customHeight="1">
      <c r="A1231" s="200" t="s">
        <v>576</v>
      </c>
      <c r="B1231" s="186" t="s">
        <v>5707</v>
      </c>
      <c r="C1231" s="210" t="s">
        <v>5708</v>
      </c>
      <c r="D1231" s="210" t="s">
        <v>5709</v>
      </c>
      <c r="E1231" s="204">
        <v>25.0</v>
      </c>
      <c r="F1231" s="205">
        <v>0.03</v>
      </c>
      <c r="G1231" s="205">
        <v>0.16</v>
      </c>
    </row>
    <row r="1232" ht="15.75" customHeight="1">
      <c r="A1232" s="200" t="s">
        <v>576</v>
      </c>
      <c r="B1232" s="186" t="s">
        <v>5710</v>
      </c>
      <c r="C1232" s="210" t="s">
        <v>5711</v>
      </c>
      <c r="D1232" s="210" t="s">
        <v>5712</v>
      </c>
      <c r="E1232" s="204">
        <v>25.0</v>
      </c>
      <c r="F1232" s="205">
        <v>0.03</v>
      </c>
      <c r="G1232" s="205">
        <v>1.16</v>
      </c>
    </row>
    <row r="1233" ht="15.75" customHeight="1">
      <c r="A1233" s="200" t="s">
        <v>576</v>
      </c>
      <c r="B1233" s="186" t="s">
        <v>5713</v>
      </c>
      <c r="C1233" s="210" t="s">
        <v>5714</v>
      </c>
      <c r="D1233" s="210" t="s">
        <v>5715</v>
      </c>
      <c r="E1233" s="204">
        <v>24.0</v>
      </c>
      <c r="F1233" s="205">
        <v>0.03</v>
      </c>
      <c r="G1233" s="205">
        <v>1.33</v>
      </c>
    </row>
    <row r="1234" ht="15.75" customHeight="1">
      <c r="A1234" s="200" t="s">
        <v>576</v>
      </c>
      <c r="B1234" s="186" t="s">
        <v>1386</v>
      </c>
      <c r="C1234" s="210" t="s">
        <v>1387</v>
      </c>
      <c r="D1234" s="210" t="s">
        <v>1388</v>
      </c>
      <c r="E1234" s="204">
        <v>24.0</v>
      </c>
      <c r="F1234" s="205">
        <v>0.03</v>
      </c>
      <c r="G1234" s="205">
        <v>2.13</v>
      </c>
    </row>
    <row r="1235" ht="15.75" customHeight="1">
      <c r="A1235" s="200" t="s">
        <v>576</v>
      </c>
      <c r="B1235" s="186" t="s">
        <v>5716</v>
      </c>
      <c r="C1235" s="210" t="s">
        <v>5717</v>
      </c>
      <c r="D1235" s="210"/>
      <c r="E1235" s="204">
        <v>24.0</v>
      </c>
      <c r="F1235" s="205">
        <v>0.03</v>
      </c>
      <c r="G1235" s="205">
        <v>0.33</v>
      </c>
    </row>
    <row r="1236" ht="15.75" customHeight="1">
      <c r="A1236" s="200" t="s">
        <v>576</v>
      </c>
      <c r="B1236" s="186" t="s">
        <v>5718</v>
      </c>
      <c r="C1236" s="210" t="s">
        <v>5719</v>
      </c>
      <c r="D1236" s="210" t="s">
        <v>5720</v>
      </c>
      <c r="E1236" s="204">
        <v>24.0</v>
      </c>
      <c r="F1236" s="205">
        <v>0.03</v>
      </c>
      <c r="G1236" s="205">
        <v>1.83</v>
      </c>
    </row>
    <row r="1237" ht="15.75" customHeight="1">
      <c r="A1237" s="200" t="s">
        <v>576</v>
      </c>
      <c r="B1237" s="186" t="s">
        <v>323</v>
      </c>
      <c r="C1237" s="210" t="s">
        <v>324</v>
      </c>
      <c r="D1237" s="210" t="s">
        <v>3808</v>
      </c>
      <c r="E1237" s="204">
        <v>24.0</v>
      </c>
      <c r="F1237" s="205">
        <v>0.03</v>
      </c>
      <c r="G1237" s="205">
        <v>0.58</v>
      </c>
    </row>
    <row r="1238" ht="15.75" customHeight="1">
      <c r="A1238" s="200" t="s">
        <v>576</v>
      </c>
      <c r="B1238" s="186" t="s">
        <v>5721</v>
      </c>
      <c r="C1238" s="210" t="s">
        <v>5722</v>
      </c>
      <c r="D1238" s="210" t="s">
        <v>5723</v>
      </c>
      <c r="E1238" s="204">
        <v>23.0</v>
      </c>
      <c r="F1238" s="205">
        <v>0.02</v>
      </c>
      <c r="G1238" s="205">
        <v>0.39</v>
      </c>
    </row>
    <row r="1239" ht="15.75" customHeight="1">
      <c r="A1239" s="200" t="s">
        <v>576</v>
      </c>
      <c r="B1239" s="186" t="s">
        <v>5724</v>
      </c>
      <c r="C1239" s="210" t="s">
        <v>5725</v>
      </c>
      <c r="D1239" s="210" t="s">
        <v>5726</v>
      </c>
      <c r="E1239" s="204">
        <v>23.0</v>
      </c>
      <c r="F1239" s="205">
        <v>0.02</v>
      </c>
      <c r="G1239" s="205">
        <v>0.04</v>
      </c>
    </row>
    <row r="1240" ht="15.75" customHeight="1">
      <c r="A1240" s="200" t="s">
        <v>576</v>
      </c>
      <c r="B1240" s="186" t="s">
        <v>5727</v>
      </c>
      <c r="C1240" s="210" t="s">
        <v>5728</v>
      </c>
      <c r="D1240" s="210" t="s">
        <v>5729</v>
      </c>
      <c r="E1240" s="204">
        <v>23.0</v>
      </c>
      <c r="F1240" s="205">
        <v>0.02</v>
      </c>
      <c r="G1240" s="205">
        <v>0.22</v>
      </c>
    </row>
    <row r="1241" ht="15.75" customHeight="1">
      <c r="A1241" s="200" t="s">
        <v>576</v>
      </c>
      <c r="B1241" s="186" t="s">
        <v>5730</v>
      </c>
      <c r="C1241" s="210" t="s">
        <v>5731</v>
      </c>
      <c r="D1241" s="210" t="s">
        <v>5732</v>
      </c>
      <c r="E1241" s="204">
        <v>23.0</v>
      </c>
      <c r="F1241" s="205">
        <v>0.02</v>
      </c>
      <c r="G1241" s="205">
        <v>0.13</v>
      </c>
    </row>
    <row r="1242" ht="15.75" customHeight="1">
      <c r="A1242" s="200" t="s">
        <v>576</v>
      </c>
      <c r="B1242" s="186" t="s">
        <v>5733</v>
      </c>
      <c r="C1242" s="210" t="s">
        <v>5734</v>
      </c>
      <c r="D1242" s="210" t="s">
        <v>5735</v>
      </c>
      <c r="E1242" s="204">
        <v>23.0</v>
      </c>
      <c r="F1242" s="205">
        <v>0.02</v>
      </c>
      <c r="G1242" s="205">
        <v>1.78</v>
      </c>
    </row>
    <row r="1243" ht="15.75" customHeight="1">
      <c r="A1243" s="200" t="s">
        <v>576</v>
      </c>
      <c r="B1243" s="186" t="s">
        <v>5736</v>
      </c>
      <c r="C1243" s="210" t="s">
        <v>5737</v>
      </c>
      <c r="D1243" s="210" t="s">
        <v>5738</v>
      </c>
      <c r="E1243" s="204">
        <v>22.0</v>
      </c>
      <c r="F1243" s="205">
        <v>0.02</v>
      </c>
      <c r="G1243" s="205">
        <v>1.18</v>
      </c>
    </row>
    <row r="1244" ht="15.75" customHeight="1">
      <c r="A1244" s="200" t="s">
        <v>576</v>
      </c>
      <c r="B1244" s="186" t="s">
        <v>5739</v>
      </c>
      <c r="C1244" s="210" t="s">
        <v>5740</v>
      </c>
      <c r="D1244" s="210" t="s">
        <v>5741</v>
      </c>
      <c r="E1244" s="204">
        <v>21.0</v>
      </c>
      <c r="F1244" s="205">
        <v>0.02</v>
      </c>
      <c r="G1244" s="205">
        <v>0.24</v>
      </c>
    </row>
    <row r="1245" ht="15.75" customHeight="1">
      <c r="A1245" s="200" t="s">
        <v>576</v>
      </c>
      <c r="B1245" s="186" t="s">
        <v>5742</v>
      </c>
      <c r="C1245" s="210" t="s">
        <v>5743</v>
      </c>
      <c r="D1245" s="210" t="s">
        <v>5744</v>
      </c>
      <c r="E1245" s="204">
        <v>21.0</v>
      </c>
      <c r="F1245" s="205">
        <v>0.02</v>
      </c>
      <c r="G1245" s="205">
        <v>0.52</v>
      </c>
    </row>
    <row r="1246" ht="15.75" customHeight="1">
      <c r="A1246" s="200" t="s">
        <v>576</v>
      </c>
      <c r="B1246" s="186" t="s">
        <v>5745</v>
      </c>
      <c r="C1246" s="210" t="s">
        <v>5746</v>
      </c>
      <c r="D1246" s="210" t="s">
        <v>5747</v>
      </c>
      <c r="E1246" s="204">
        <v>21.0</v>
      </c>
      <c r="F1246" s="205">
        <v>0.02</v>
      </c>
      <c r="G1246" s="205">
        <v>1.29</v>
      </c>
    </row>
    <row r="1247" ht="15.75" customHeight="1">
      <c r="A1247" s="200" t="s">
        <v>576</v>
      </c>
      <c r="B1247" s="186" t="s">
        <v>5748</v>
      </c>
      <c r="C1247" s="210" t="s">
        <v>5749</v>
      </c>
      <c r="D1247" s="210" t="s">
        <v>5750</v>
      </c>
      <c r="E1247" s="204">
        <v>20.0</v>
      </c>
      <c r="F1247" s="205">
        <v>0.02</v>
      </c>
      <c r="G1247" s="205">
        <v>0.45</v>
      </c>
    </row>
    <row r="1248" ht="15.75" customHeight="1">
      <c r="A1248" s="200" t="s">
        <v>576</v>
      </c>
      <c r="B1248" s="186" t="s">
        <v>5751</v>
      </c>
      <c r="C1248" s="210" t="s">
        <v>5752</v>
      </c>
      <c r="D1248" s="210" t="s">
        <v>5753</v>
      </c>
      <c r="E1248" s="204">
        <v>20.0</v>
      </c>
      <c r="F1248" s="205">
        <v>0.02</v>
      </c>
      <c r="G1248" s="205">
        <v>2.35</v>
      </c>
    </row>
    <row r="1249" ht="15.75" customHeight="1">
      <c r="A1249" s="200" t="s">
        <v>576</v>
      </c>
      <c r="B1249" s="186" t="s">
        <v>5754</v>
      </c>
      <c r="C1249" s="210" t="s">
        <v>5755</v>
      </c>
      <c r="D1249" s="210" t="s">
        <v>5756</v>
      </c>
      <c r="E1249" s="204">
        <v>20.0</v>
      </c>
      <c r="F1249" s="205">
        <v>0.02</v>
      </c>
      <c r="G1249" s="205">
        <v>1.05</v>
      </c>
    </row>
    <row r="1250" ht="15.75" customHeight="1">
      <c r="A1250" s="200" t="s">
        <v>576</v>
      </c>
      <c r="B1250" s="186" t="s">
        <v>5757</v>
      </c>
      <c r="C1250" s="210" t="s">
        <v>5758</v>
      </c>
      <c r="D1250" s="210" t="s">
        <v>5759</v>
      </c>
      <c r="E1250" s="204">
        <v>20.0</v>
      </c>
      <c r="F1250" s="205">
        <v>0.02</v>
      </c>
      <c r="G1250" s="205">
        <v>0.55</v>
      </c>
    </row>
    <row r="1251" ht="15.75" customHeight="1">
      <c r="A1251" s="200" t="s">
        <v>576</v>
      </c>
      <c r="B1251" s="186" t="s">
        <v>5760</v>
      </c>
      <c r="C1251" s="210" t="s">
        <v>5761</v>
      </c>
      <c r="D1251" s="210" t="s">
        <v>5762</v>
      </c>
      <c r="E1251" s="204">
        <v>20.0</v>
      </c>
      <c r="F1251" s="205">
        <v>0.02</v>
      </c>
      <c r="G1251" s="205">
        <v>0.95</v>
      </c>
    </row>
    <row r="1252" ht="15.75" customHeight="1">
      <c r="A1252" s="200" t="s">
        <v>576</v>
      </c>
      <c r="B1252" s="186" t="s">
        <v>5763</v>
      </c>
      <c r="C1252" s="210" t="s">
        <v>5764</v>
      </c>
      <c r="D1252" s="210" t="s">
        <v>5765</v>
      </c>
      <c r="E1252" s="204">
        <v>20.0</v>
      </c>
      <c r="F1252" s="205">
        <v>0.02</v>
      </c>
      <c r="G1252" s="205">
        <v>0.3</v>
      </c>
    </row>
    <row r="1253" ht="15.75" customHeight="1">
      <c r="A1253" s="200" t="s">
        <v>576</v>
      </c>
      <c r="B1253" s="186" t="s">
        <v>5766</v>
      </c>
      <c r="C1253" s="210" t="s">
        <v>5767</v>
      </c>
      <c r="D1253" s="210" t="s">
        <v>5768</v>
      </c>
      <c r="E1253" s="204">
        <v>19.0</v>
      </c>
      <c r="F1253" s="205">
        <v>0.02</v>
      </c>
      <c r="G1253" s="205">
        <v>1.58</v>
      </c>
    </row>
    <row r="1254" ht="15.75" customHeight="1">
      <c r="A1254" s="200" t="s">
        <v>576</v>
      </c>
      <c r="B1254" s="186" t="s">
        <v>5769</v>
      </c>
      <c r="C1254" s="210" t="s">
        <v>5770</v>
      </c>
      <c r="D1254" s="210" t="s">
        <v>5771</v>
      </c>
      <c r="E1254" s="204">
        <v>18.0</v>
      </c>
      <c r="F1254" s="205">
        <v>0.02</v>
      </c>
      <c r="G1254" s="205">
        <v>0.78</v>
      </c>
    </row>
    <row r="1255" ht="15.75" customHeight="1">
      <c r="A1255" s="200" t="s">
        <v>576</v>
      </c>
      <c r="B1255" s="186" t="s">
        <v>5772</v>
      </c>
      <c r="C1255" s="210" t="s">
        <v>5773</v>
      </c>
      <c r="D1255" s="210" t="s">
        <v>5774</v>
      </c>
      <c r="E1255" s="204">
        <v>18.0</v>
      </c>
      <c r="F1255" s="205">
        <v>0.02</v>
      </c>
      <c r="G1255" s="205">
        <v>0.06</v>
      </c>
    </row>
    <row r="1256" ht="15.75" customHeight="1">
      <c r="A1256" s="200" t="s">
        <v>576</v>
      </c>
      <c r="B1256" s="186" t="s">
        <v>710</v>
      </c>
      <c r="C1256" s="210" t="s">
        <v>711</v>
      </c>
      <c r="D1256" s="210" t="s">
        <v>5775</v>
      </c>
      <c r="E1256" s="204">
        <v>18.0</v>
      </c>
      <c r="F1256" s="205">
        <v>0.02</v>
      </c>
      <c r="G1256" s="205">
        <v>0.67</v>
      </c>
    </row>
    <row r="1257" ht="15.75" customHeight="1">
      <c r="A1257" s="200" t="s">
        <v>576</v>
      </c>
      <c r="B1257" s="186" t="s">
        <v>5776</v>
      </c>
      <c r="C1257" s="210" t="s">
        <v>5777</v>
      </c>
      <c r="D1257" s="210" t="s">
        <v>5778</v>
      </c>
      <c r="E1257" s="204">
        <v>18.0</v>
      </c>
      <c r="F1257" s="205">
        <v>0.02</v>
      </c>
      <c r="G1257" s="205">
        <v>0.67</v>
      </c>
    </row>
    <row r="1258" ht="15.75" customHeight="1">
      <c r="A1258" s="200" t="s">
        <v>576</v>
      </c>
      <c r="B1258" s="186" t="s">
        <v>5779</v>
      </c>
      <c r="C1258" s="210" t="s">
        <v>5780</v>
      </c>
      <c r="D1258" s="210"/>
      <c r="E1258" s="204">
        <v>18.0</v>
      </c>
      <c r="F1258" s="205">
        <v>0.02</v>
      </c>
      <c r="G1258" s="205">
        <v>0.61</v>
      </c>
    </row>
    <row r="1259" ht="15.75" customHeight="1">
      <c r="A1259" s="200" t="s">
        <v>576</v>
      </c>
      <c r="B1259" s="186" t="s">
        <v>5781</v>
      </c>
      <c r="C1259" s="210" t="s">
        <v>5782</v>
      </c>
      <c r="D1259" s="210" t="s">
        <v>5783</v>
      </c>
      <c r="E1259" s="204">
        <v>18.0</v>
      </c>
      <c r="F1259" s="205">
        <v>0.02</v>
      </c>
      <c r="G1259" s="205">
        <v>0.0</v>
      </c>
    </row>
    <row r="1260" ht="15.75" customHeight="1">
      <c r="A1260" s="200" t="s">
        <v>576</v>
      </c>
      <c r="B1260" s="186" t="s">
        <v>5784</v>
      </c>
      <c r="C1260" s="210" t="s">
        <v>5785</v>
      </c>
      <c r="D1260" s="210" t="s">
        <v>5786</v>
      </c>
      <c r="E1260" s="204">
        <v>18.0</v>
      </c>
      <c r="F1260" s="205">
        <v>0.02</v>
      </c>
      <c r="G1260" s="205">
        <v>0.72</v>
      </c>
    </row>
    <row r="1261" ht="15.75" customHeight="1">
      <c r="A1261" s="200" t="s">
        <v>576</v>
      </c>
      <c r="B1261" s="186" t="s">
        <v>5787</v>
      </c>
      <c r="C1261" s="210" t="s">
        <v>5788</v>
      </c>
      <c r="D1261" s="210" t="s">
        <v>5789</v>
      </c>
      <c r="E1261" s="204">
        <v>17.0</v>
      </c>
      <c r="F1261" s="205">
        <v>0.02</v>
      </c>
      <c r="G1261" s="205">
        <v>0.18</v>
      </c>
    </row>
    <row r="1262" ht="15.75" customHeight="1">
      <c r="A1262" s="200" t="s">
        <v>576</v>
      </c>
      <c r="B1262" s="186" t="s">
        <v>5790</v>
      </c>
      <c r="C1262" s="210" t="s">
        <v>5791</v>
      </c>
      <c r="D1262" s="210" t="s">
        <v>5792</v>
      </c>
      <c r="E1262" s="204">
        <v>17.0</v>
      </c>
      <c r="F1262" s="205">
        <v>0.02</v>
      </c>
      <c r="G1262" s="205">
        <v>1.53</v>
      </c>
    </row>
    <row r="1263" ht="15.75" customHeight="1">
      <c r="A1263" s="200" t="s">
        <v>576</v>
      </c>
      <c r="B1263" s="186" t="s">
        <v>5793</v>
      </c>
      <c r="C1263" s="210" t="s">
        <v>5794</v>
      </c>
      <c r="D1263" s="210" t="s">
        <v>5795</v>
      </c>
      <c r="E1263" s="204">
        <v>17.0</v>
      </c>
      <c r="F1263" s="205">
        <v>0.02</v>
      </c>
      <c r="G1263" s="205">
        <v>0.65</v>
      </c>
    </row>
    <row r="1264" ht="15.75" customHeight="1">
      <c r="A1264" s="200" t="s">
        <v>576</v>
      </c>
      <c r="B1264" s="186" t="s">
        <v>5796</v>
      </c>
      <c r="C1264" s="210" t="s">
        <v>5797</v>
      </c>
      <c r="D1264" s="210" t="s">
        <v>5798</v>
      </c>
      <c r="E1264" s="204">
        <v>16.0</v>
      </c>
      <c r="F1264" s="205">
        <v>0.02</v>
      </c>
      <c r="G1264" s="205">
        <v>0.0</v>
      </c>
    </row>
    <row r="1265" ht="15.75" customHeight="1">
      <c r="A1265" s="200" t="s">
        <v>576</v>
      </c>
      <c r="B1265" s="186" t="s">
        <v>5799</v>
      </c>
      <c r="C1265" s="210" t="s">
        <v>5800</v>
      </c>
      <c r="D1265" s="210" t="s">
        <v>5801</v>
      </c>
      <c r="E1265" s="204">
        <v>16.0</v>
      </c>
      <c r="F1265" s="205">
        <v>0.02</v>
      </c>
      <c r="G1265" s="205">
        <v>1.25</v>
      </c>
    </row>
    <row r="1266" ht="15.75" customHeight="1">
      <c r="A1266" s="200" t="s">
        <v>576</v>
      </c>
      <c r="B1266" s="186" t="s">
        <v>1389</v>
      </c>
      <c r="C1266" s="210" t="s">
        <v>1390</v>
      </c>
      <c r="D1266" s="210" t="s">
        <v>1391</v>
      </c>
      <c r="E1266" s="204">
        <v>16.0</v>
      </c>
      <c r="F1266" s="205">
        <v>0.02</v>
      </c>
      <c r="G1266" s="205">
        <v>0.31</v>
      </c>
    </row>
    <row r="1267" ht="15.75" customHeight="1">
      <c r="A1267" s="200" t="s">
        <v>576</v>
      </c>
      <c r="B1267" s="186" t="s">
        <v>5802</v>
      </c>
      <c r="C1267" s="210" t="s">
        <v>5803</v>
      </c>
      <c r="D1267" s="210"/>
      <c r="E1267" s="204">
        <v>16.0</v>
      </c>
      <c r="F1267" s="205">
        <v>0.02</v>
      </c>
      <c r="G1267" s="205">
        <v>0.0</v>
      </c>
    </row>
    <row r="1268" ht="15.75" customHeight="1">
      <c r="A1268" s="200" t="s">
        <v>576</v>
      </c>
      <c r="B1268" s="186" t="s">
        <v>5804</v>
      </c>
      <c r="C1268" s="210" t="s">
        <v>5805</v>
      </c>
      <c r="D1268" s="210" t="s">
        <v>5806</v>
      </c>
      <c r="E1268" s="204">
        <v>16.0</v>
      </c>
      <c r="F1268" s="205">
        <v>0.02</v>
      </c>
      <c r="G1268" s="205">
        <v>0.0</v>
      </c>
    </row>
    <row r="1269" ht="15.75" customHeight="1">
      <c r="A1269" s="200" t="s">
        <v>576</v>
      </c>
      <c r="B1269" s="186" t="s">
        <v>5807</v>
      </c>
      <c r="C1269" s="210" t="s">
        <v>5808</v>
      </c>
      <c r="D1269" s="210" t="s">
        <v>5809</v>
      </c>
      <c r="E1269" s="204">
        <v>15.0</v>
      </c>
      <c r="F1269" s="205">
        <v>0.02</v>
      </c>
      <c r="G1269" s="205">
        <v>0.0</v>
      </c>
    </row>
    <row r="1270" ht="15.75" customHeight="1">
      <c r="A1270" s="200" t="s">
        <v>576</v>
      </c>
      <c r="B1270" s="186" t="s">
        <v>5810</v>
      </c>
      <c r="C1270" s="210" t="s">
        <v>5811</v>
      </c>
      <c r="D1270" s="210" t="s">
        <v>5812</v>
      </c>
      <c r="E1270" s="204">
        <v>15.0</v>
      </c>
      <c r="F1270" s="205">
        <v>0.02</v>
      </c>
      <c r="G1270" s="205">
        <v>0.47</v>
      </c>
    </row>
    <row r="1271" ht="15.75" customHeight="1">
      <c r="A1271" s="200" t="s">
        <v>576</v>
      </c>
      <c r="B1271" s="186" t="s">
        <v>5813</v>
      </c>
      <c r="C1271" s="210" t="s">
        <v>5814</v>
      </c>
      <c r="D1271" s="210" t="s">
        <v>5815</v>
      </c>
      <c r="E1271" s="204">
        <v>15.0</v>
      </c>
      <c r="F1271" s="205">
        <v>0.02</v>
      </c>
      <c r="G1271" s="205">
        <v>2.4</v>
      </c>
    </row>
    <row r="1272" ht="15.75" customHeight="1">
      <c r="A1272" s="200" t="s">
        <v>576</v>
      </c>
      <c r="B1272" s="186" t="s">
        <v>3761</v>
      </c>
      <c r="C1272" s="210" t="s">
        <v>3762</v>
      </c>
      <c r="D1272" s="210" t="s">
        <v>1687</v>
      </c>
      <c r="E1272" s="204">
        <v>15.0</v>
      </c>
      <c r="F1272" s="205">
        <v>0.02</v>
      </c>
      <c r="G1272" s="205">
        <v>1.33</v>
      </c>
    </row>
    <row r="1273" ht="15.75" customHeight="1">
      <c r="A1273" s="200" t="s">
        <v>576</v>
      </c>
      <c r="B1273" s="186" t="s">
        <v>1392</v>
      </c>
      <c r="C1273" s="210" t="s">
        <v>1393</v>
      </c>
      <c r="D1273" s="210" t="s">
        <v>1394</v>
      </c>
      <c r="E1273" s="204">
        <v>14.0</v>
      </c>
      <c r="F1273" s="205">
        <v>0.01</v>
      </c>
      <c r="G1273" s="205">
        <v>0.0</v>
      </c>
    </row>
    <row r="1274" ht="15.75" customHeight="1">
      <c r="A1274" s="200" t="s">
        <v>576</v>
      </c>
      <c r="B1274" s="186" t="s">
        <v>5816</v>
      </c>
      <c r="C1274" s="210" t="s">
        <v>5817</v>
      </c>
      <c r="D1274" s="210" t="s">
        <v>5818</v>
      </c>
      <c r="E1274" s="204">
        <v>14.0</v>
      </c>
      <c r="F1274" s="205">
        <v>0.01</v>
      </c>
      <c r="G1274" s="205">
        <v>0.21</v>
      </c>
    </row>
    <row r="1275" ht="15.75" customHeight="1">
      <c r="A1275" s="200" t="s">
        <v>576</v>
      </c>
      <c r="B1275" s="186" t="s">
        <v>5819</v>
      </c>
      <c r="C1275" s="210" t="s">
        <v>5820</v>
      </c>
      <c r="D1275" s="210"/>
      <c r="E1275" s="204">
        <v>14.0</v>
      </c>
      <c r="F1275" s="205">
        <v>0.01</v>
      </c>
      <c r="G1275" s="205">
        <v>0.14</v>
      </c>
    </row>
    <row r="1276" ht="15.75" customHeight="1">
      <c r="A1276" s="200" t="s">
        <v>576</v>
      </c>
      <c r="B1276" s="186" t="s">
        <v>5821</v>
      </c>
      <c r="C1276" s="210" t="s">
        <v>5822</v>
      </c>
      <c r="D1276" s="210" t="s">
        <v>5823</v>
      </c>
      <c r="E1276" s="204">
        <v>14.0</v>
      </c>
      <c r="F1276" s="205">
        <v>0.01</v>
      </c>
      <c r="G1276" s="205">
        <v>0.14</v>
      </c>
    </row>
    <row r="1277" ht="15.75" customHeight="1">
      <c r="A1277" s="200" t="s">
        <v>576</v>
      </c>
      <c r="B1277" s="186" t="s">
        <v>5824</v>
      </c>
      <c r="C1277" s="210" t="s">
        <v>5825</v>
      </c>
      <c r="D1277" s="210" t="s">
        <v>1503</v>
      </c>
      <c r="E1277" s="204">
        <v>14.0</v>
      </c>
      <c r="F1277" s="205">
        <v>0.01</v>
      </c>
      <c r="G1277" s="205">
        <v>0.14</v>
      </c>
    </row>
    <row r="1278" ht="15.75" customHeight="1">
      <c r="A1278" s="200" t="s">
        <v>576</v>
      </c>
      <c r="B1278" s="186" t="s">
        <v>5826</v>
      </c>
      <c r="C1278" s="210" t="s">
        <v>5827</v>
      </c>
      <c r="D1278" s="210" t="s">
        <v>1370</v>
      </c>
      <c r="E1278" s="204">
        <v>14.0</v>
      </c>
      <c r="F1278" s="205">
        <v>0.01</v>
      </c>
      <c r="G1278" s="205">
        <v>0.5</v>
      </c>
    </row>
    <row r="1279" ht="15.75" customHeight="1">
      <c r="A1279" s="200" t="s">
        <v>576</v>
      </c>
      <c r="B1279" s="186" t="s">
        <v>5828</v>
      </c>
      <c r="C1279" s="210" t="s">
        <v>5829</v>
      </c>
      <c r="D1279" s="210" t="s">
        <v>5830</v>
      </c>
      <c r="E1279" s="204">
        <v>14.0</v>
      </c>
      <c r="F1279" s="205">
        <v>0.01</v>
      </c>
      <c r="G1279" s="205">
        <v>0.36</v>
      </c>
    </row>
    <row r="1280" ht="15.75" customHeight="1">
      <c r="A1280" s="200" t="s">
        <v>576</v>
      </c>
      <c r="B1280" s="186" t="s">
        <v>5831</v>
      </c>
      <c r="C1280" s="210" t="s">
        <v>5832</v>
      </c>
      <c r="D1280" s="210"/>
      <c r="E1280" s="204">
        <v>13.0</v>
      </c>
      <c r="F1280" s="205">
        <v>0.01</v>
      </c>
      <c r="G1280" s="205">
        <v>0.0</v>
      </c>
    </row>
    <row r="1281" ht="15.75" customHeight="1">
      <c r="A1281" s="200" t="s">
        <v>576</v>
      </c>
      <c r="B1281" s="186" t="s">
        <v>2376</v>
      </c>
      <c r="C1281" s="210" t="s">
        <v>2377</v>
      </c>
      <c r="D1281" s="210"/>
      <c r="E1281" s="204">
        <v>13.0</v>
      </c>
      <c r="F1281" s="205">
        <v>0.01</v>
      </c>
      <c r="G1281" s="205">
        <v>0.54</v>
      </c>
    </row>
    <row r="1282" ht="15.75" customHeight="1">
      <c r="A1282" s="200" t="s">
        <v>576</v>
      </c>
      <c r="B1282" s="186" t="s">
        <v>2401</v>
      </c>
      <c r="C1282" s="210" t="s">
        <v>2402</v>
      </c>
      <c r="D1282" s="210"/>
      <c r="E1282" s="204">
        <v>13.0</v>
      </c>
      <c r="F1282" s="205">
        <v>0.01</v>
      </c>
      <c r="G1282" s="205">
        <v>0.15</v>
      </c>
    </row>
    <row r="1283" ht="15.75" customHeight="1">
      <c r="A1283" s="200" t="s">
        <v>576</v>
      </c>
      <c r="B1283" s="186" t="s">
        <v>1395</v>
      </c>
      <c r="C1283" s="210" t="s">
        <v>1396</v>
      </c>
      <c r="D1283" s="210" t="s">
        <v>1397</v>
      </c>
      <c r="E1283" s="204">
        <v>13.0</v>
      </c>
      <c r="F1283" s="205">
        <v>0.01</v>
      </c>
      <c r="G1283" s="205">
        <v>0.69</v>
      </c>
    </row>
    <row r="1284" ht="15.75" customHeight="1">
      <c r="A1284" s="200" t="s">
        <v>576</v>
      </c>
      <c r="B1284" s="186" t="s">
        <v>5833</v>
      </c>
      <c r="C1284" s="210" t="s">
        <v>5834</v>
      </c>
      <c r="D1284" s="210" t="s">
        <v>5835</v>
      </c>
      <c r="E1284" s="204">
        <v>13.0</v>
      </c>
      <c r="F1284" s="205">
        <v>0.01</v>
      </c>
      <c r="G1284" s="205">
        <v>0.77</v>
      </c>
    </row>
    <row r="1285" ht="15.75" customHeight="1">
      <c r="A1285" s="200" t="s">
        <v>576</v>
      </c>
      <c r="B1285" s="186" t="s">
        <v>947</v>
      </c>
      <c r="C1285" s="210" t="s">
        <v>948</v>
      </c>
      <c r="D1285" s="210" t="s">
        <v>380</v>
      </c>
      <c r="E1285" s="204">
        <v>13.0</v>
      </c>
      <c r="F1285" s="205">
        <v>0.01</v>
      </c>
      <c r="G1285" s="205">
        <v>0.46</v>
      </c>
    </row>
    <row r="1286" ht="15.75" customHeight="1">
      <c r="A1286" s="200" t="s">
        <v>576</v>
      </c>
      <c r="B1286" s="186" t="s">
        <v>1890</v>
      </c>
      <c r="C1286" s="210" t="s">
        <v>985</v>
      </c>
      <c r="D1286" s="210" t="s">
        <v>1490</v>
      </c>
      <c r="E1286" s="204">
        <v>13.0</v>
      </c>
      <c r="F1286" s="205">
        <v>0.01</v>
      </c>
      <c r="G1286" s="205">
        <v>1.46</v>
      </c>
    </row>
    <row r="1287" ht="15.75" customHeight="1">
      <c r="A1287" s="200" t="s">
        <v>576</v>
      </c>
      <c r="B1287" s="186" t="s">
        <v>5836</v>
      </c>
      <c r="C1287" s="210" t="s">
        <v>5837</v>
      </c>
      <c r="D1287" s="210" t="s">
        <v>5838</v>
      </c>
      <c r="E1287" s="204">
        <v>13.0</v>
      </c>
      <c r="F1287" s="205">
        <v>0.01</v>
      </c>
      <c r="G1287" s="205">
        <v>1.08</v>
      </c>
    </row>
    <row r="1288" ht="15.75" customHeight="1">
      <c r="A1288" s="200" t="s">
        <v>576</v>
      </c>
      <c r="B1288" s="186" t="s">
        <v>5839</v>
      </c>
      <c r="C1288" s="210" t="s">
        <v>5840</v>
      </c>
      <c r="D1288" s="210" t="s">
        <v>5841</v>
      </c>
      <c r="E1288" s="204">
        <v>13.0</v>
      </c>
      <c r="F1288" s="205">
        <v>0.01</v>
      </c>
      <c r="G1288" s="205">
        <v>0.15</v>
      </c>
    </row>
    <row r="1289" ht="15.75" customHeight="1">
      <c r="A1289" s="200" t="s">
        <v>576</v>
      </c>
      <c r="B1289" s="186" t="s">
        <v>5842</v>
      </c>
      <c r="C1289" s="210" t="s">
        <v>5843</v>
      </c>
      <c r="D1289" s="210" t="s">
        <v>5844</v>
      </c>
      <c r="E1289" s="204">
        <v>13.0</v>
      </c>
      <c r="F1289" s="205">
        <v>0.01</v>
      </c>
      <c r="G1289" s="205">
        <v>1.62</v>
      </c>
    </row>
    <row r="1290" ht="15.75" customHeight="1">
      <c r="A1290" s="200" t="s">
        <v>576</v>
      </c>
      <c r="B1290" s="186" t="s">
        <v>786</v>
      </c>
      <c r="C1290" s="210" t="s">
        <v>787</v>
      </c>
      <c r="D1290" s="210"/>
      <c r="E1290" s="204">
        <v>13.0</v>
      </c>
      <c r="F1290" s="205">
        <v>0.01</v>
      </c>
      <c r="G1290" s="205">
        <v>0.0</v>
      </c>
    </row>
    <row r="1291" ht="15.75" customHeight="1">
      <c r="A1291" s="200" t="s">
        <v>576</v>
      </c>
      <c r="B1291" s="186" t="s">
        <v>5845</v>
      </c>
      <c r="C1291" s="210" t="s">
        <v>5846</v>
      </c>
      <c r="D1291" s="210" t="s">
        <v>5847</v>
      </c>
      <c r="E1291" s="204">
        <v>13.0</v>
      </c>
      <c r="F1291" s="205">
        <v>0.01</v>
      </c>
      <c r="G1291" s="205">
        <v>0.23</v>
      </c>
    </row>
    <row r="1292" ht="15.75" customHeight="1">
      <c r="A1292" s="200" t="s">
        <v>576</v>
      </c>
      <c r="B1292" s="186" t="s">
        <v>5848</v>
      </c>
      <c r="C1292" s="210" t="s">
        <v>5849</v>
      </c>
      <c r="D1292" s="210"/>
      <c r="E1292" s="204">
        <v>13.0</v>
      </c>
      <c r="F1292" s="205">
        <v>0.01</v>
      </c>
      <c r="G1292" s="205">
        <v>0.38</v>
      </c>
    </row>
    <row r="1293" ht="15.75" customHeight="1">
      <c r="A1293" s="200" t="s">
        <v>576</v>
      </c>
      <c r="B1293" s="186" t="s">
        <v>328</v>
      </c>
      <c r="C1293" s="210" t="s">
        <v>329</v>
      </c>
      <c r="D1293" s="210" t="s">
        <v>5850</v>
      </c>
      <c r="E1293" s="204">
        <v>13.0</v>
      </c>
      <c r="F1293" s="205">
        <v>0.01</v>
      </c>
      <c r="G1293" s="205">
        <v>0.46</v>
      </c>
    </row>
    <row r="1294" ht="15.75" customHeight="1">
      <c r="A1294" s="200" t="s">
        <v>576</v>
      </c>
      <c r="B1294" s="186" t="s">
        <v>5851</v>
      </c>
      <c r="C1294" s="210" t="s">
        <v>5852</v>
      </c>
      <c r="D1294" s="210" t="s">
        <v>5853</v>
      </c>
      <c r="E1294" s="204">
        <v>13.0</v>
      </c>
      <c r="F1294" s="205">
        <v>0.01</v>
      </c>
      <c r="G1294" s="205">
        <v>0.92</v>
      </c>
    </row>
    <row r="1295" ht="15.75" customHeight="1">
      <c r="A1295" s="200" t="s">
        <v>576</v>
      </c>
      <c r="B1295" s="186" t="s">
        <v>5854</v>
      </c>
      <c r="C1295" s="210" t="s">
        <v>5855</v>
      </c>
      <c r="D1295" s="210" t="s">
        <v>5856</v>
      </c>
      <c r="E1295" s="204">
        <v>13.0</v>
      </c>
      <c r="F1295" s="205">
        <v>0.01</v>
      </c>
      <c r="G1295" s="205">
        <v>0.08</v>
      </c>
    </row>
    <row r="1296" ht="15.75" customHeight="1">
      <c r="A1296" s="200" t="s">
        <v>576</v>
      </c>
      <c r="B1296" s="186" t="s">
        <v>5857</v>
      </c>
      <c r="C1296" s="210" t="s">
        <v>5858</v>
      </c>
      <c r="D1296" s="210" t="s">
        <v>5859</v>
      </c>
      <c r="E1296" s="204">
        <v>13.0</v>
      </c>
      <c r="F1296" s="205">
        <v>0.01</v>
      </c>
      <c r="G1296" s="205">
        <v>0.85</v>
      </c>
    </row>
    <row r="1297" ht="15.75" customHeight="1">
      <c r="A1297" s="200" t="s">
        <v>576</v>
      </c>
      <c r="B1297" s="186" t="s">
        <v>5860</v>
      </c>
      <c r="C1297" s="210" t="s">
        <v>5861</v>
      </c>
      <c r="D1297" s="210" t="s">
        <v>1702</v>
      </c>
      <c r="E1297" s="204">
        <v>13.0</v>
      </c>
      <c r="F1297" s="205">
        <v>0.01</v>
      </c>
      <c r="G1297" s="205">
        <v>1.23</v>
      </c>
    </row>
    <row r="1298" ht="15.75" customHeight="1">
      <c r="A1298" s="200" t="s">
        <v>576</v>
      </c>
      <c r="B1298" s="186" t="s">
        <v>5862</v>
      </c>
      <c r="C1298" s="210" t="s">
        <v>5863</v>
      </c>
      <c r="D1298" s="210" t="s">
        <v>5864</v>
      </c>
      <c r="E1298" s="204">
        <v>13.0</v>
      </c>
      <c r="F1298" s="205">
        <v>0.01</v>
      </c>
      <c r="G1298" s="205">
        <v>0.23</v>
      </c>
    </row>
    <row r="1299" ht="15.75" customHeight="1">
      <c r="A1299" s="200" t="s">
        <v>576</v>
      </c>
      <c r="B1299" s="186" t="s">
        <v>5865</v>
      </c>
      <c r="C1299" s="210" t="s">
        <v>5866</v>
      </c>
      <c r="D1299" s="210" t="s">
        <v>5867</v>
      </c>
      <c r="E1299" s="204">
        <v>12.0</v>
      </c>
      <c r="F1299" s="205">
        <v>0.01</v>
      </c>
      <c r="G1299" s="205">
        <v>0.5</v>
      </c>
    </row>
    <row r="1300" ht="15.75" customHeight="1">
      <c r="A1300" s="200" t="s">
        <v>576</v>
      </c>
      <c r="B1300" s="186" t="s">
        <v>5868</v>
      </c>
      <c r="C1300" s="210" t="s">
        <v>5869</v>
      </c>
      <c r="D1300" s="210" t="s">
        <v>5870</v>
      </c>
      <c r="E1300" s="204">
        <v>12.0</v>
      </c>
      <c r="F1300" s="205">
        <v>0.01</v>
      </c>
      <c r="G1300" s="205">
        <v>0.5</v>
      </c>
    </row>
    <row r="1301" ht="15.75" customHeight="1">
      <c r="A1301" s="200" t="s">
        <v>576</v>
      </c>
      <c r="B1301" s="186" t="s">
        <v>5871</v>
      </c>
      <c r="C1301" s="210" t="s">
        <v>5872</v>
      </c>
      <c r="D1301" s="210" t="s">
        <v>1101</v>
      </c>
      <c r="E1301" s="204">
        <v>12.0</v>
      </c>
      <c r="F1301" s="205">
        <v>0.01</v>
      </c>
      <c r="G1301" s="205">
        <v>0.08</v>
      </c>
    </row>
    <row r="1302" ht="15.75" customHeight="1">
      <c r="A1302" s="200" t="s">
        <v>576</v>
      </c>
      <c r="B1302" s="186" t="s">
        <v>5873</v>
      </c>
      <c r="C1302" s="210" t="s">
        <v>5874</v>
      </c>
      <c r="D1302" s="210" t="s">
        <v>5875</v>
      </c>
      <c r="E1302" s="204">
        <v>12.0</v>
      </c>
      <c r="F1302" s="205">
        <v>0.01</v>
      </c>
      <c r="G1302" s="205">
        <v>1.0</v>
      </c>
    </row>
    <row r="1303" ht="15.75" customHeight="1">
      <c r="A1303" s="200" t="s">
        <v>576</v>
      </c>
      <c r="B1303" s="186" t="s">
        <v>5876</v>
      </c>
      <c r="C1303" s="210" t="s">
        <v>5877</v>
      </c>
      <c r="D1303" s="210" t="s">
        <v>5878</v>
      </c>
      <c r="E1303" s="204">
        <v>12.0</v>
      </c>
      <c r="F1303" s="205">
        <v>0.01</v>
      </c>
      <c r="G1303" s="205">
        <v>0.0</v>
      </c>
    </row>
    <row r="1304" ht="15.75" customHeight="1">
      <c r="A1304" s="200" t="s">
        <v>576</v>
      </c>
      <c r="B1304" s="186" t="s">
        <v>5879</v>
      </c>
      <c r="C1304" s="210" t="s">
        <v>5880</v>
      </c>
      <c r="D1304" s="210" t="s">
        <v>5881</v>
      </c>
      <c r="E1304" s="204">
        <v>12.0</v>
      </c>
      <c r="F1304" s="205">
        <v>0.01</v>
      </c>
      <c r="G1304" s="205">
        <v>0.42</v>
      </c>
    </row>
    <row r="1305" ht="15.75" customHeight="1">
      <c r="A1305" s="200" t="s">
        <v>576</v>
      </c>
      <c r="B1305" s="186" t="s">
        <v>5882</v>
      </c>
      <c r="C1305" s="210" t="s">
        <v>5883</v>
      </c>
      <c r="D1305" s="210" t="s">
        <v>5884</v>
      </c>
      <c r="E1305" s="204">
        <v>12.0</v>
      </c>
      <c r="F1305" s="205">
        <v>0.01</v>
      </c>
      <c r="G1305" s="205">
        <v>0.92</v>
      </c>
    </row>
    <row r="1306" ht="15.75" customHeight="1">
      <c r="A1306" s="200" t="s">
        <v>576</v>
      </c>
      <c r="B1306" s="186" t="s">
        <v>653</v>
      </c>
      <c r="C1306" s="210" t="s">
        <v>654</v>
      </c>
      <c r="D1306" s="210" t="s">
        <v>380</v>
      </c>
      <c r="E1306" s="204">
        <v>12.0</v>
      </c>
      <c r="F1306" s="205">
        <v>0.01</v>
      </c>
      <c r="G1306" s="205">
        <v>1.5</v>
      </c>
    </row>
    <row r="1307" ht="15.75" customHeight="1">
      <c r="A1307" s="200" t="s">
        <v>576</v>
      </c>
      <c r="B1307" s="186" t="s">
        <v>5885</v>
      </c>
      <c r="C1307" s="210" t="s">
        <v>5886</v>
      </c>
      <c r="D1307" s="210" t="s">
        <v>5887</v>
      </c>
      <c r="E1307" s="204">
        <v>12.0</v>
      </c>
      <c r="F1307" s="205">
        <v>0.01</v>
      </c>
      <c r="G1307" s="205">
        <v>2.17</v>
      </c>
    </row>
    <row r="1308" ht="15.75" customHeight="1">
      <c r="A1308" s="200" t="s">
        <v>576</v>
      </c>
      <c r="B1308" s="186" t="s">
        <v>766</v>
      </c>
      <c r="C1308" s="210" t="s">
        <v>767</v>
      </c>
      <c r="D1308" s="210" t="s">
        <v>5888</v>
      </c>
      <c r="E1308" s="204">
        <v>12.0</v>
      </c>
      <c r="F1308" s="205">
        <v>0.01</v>
      </c>
      <c r="G1308" s="205">
        <v>2.0</v>
      </c>
    </row>
    <row r="1309" ht="15.75" customHeight="1">
      <c r="A1309" s="200" t="s">
        <v>576</v>
      </c>
      <c r="B1309" s="186" t="s">
        <v>5889</v>
      </c>
      <c r="C1309" s="210" t="s">
        <v>5890</v>
      </c>
      <c r="D1309" s="210" t="s">
        <v>5891</v>
      </c>
      <c r="E1309" s="204">
        <v>12.0</v>
      </c>
      <c r="F1309" s="205">
        <v>0.01</v>
      </c>
      <c r="G1309" s="205">
        <v>0.25</v>
      </c>
    </row>
    <row r="1310" ht="15.75" customHeight="1">
      <c r="A1310" s="200" t="s">
        <v>576</v>
      </c>
      <c r="B1310" s="186" t="s">
        <v>5892</v>
      </c>
      <c r="C1310" s="210" t="s">
        <v>5893</v>
      </c>
      <c r="D1310" s="210" t="s">
        <v>5894</v>
      </c>
      <c r="E1310" s="204">
        <v>12.0</v>
      </c>
      <c r="F1310" s="205">
        <v>0.01</v>
      </c>
      <c r="G1310" s="205">
        <v>0.42</v>
      </c>
    </row>
    <row r="1311" ht="15.75" customHeight="1">
      <c r="A1311" s="200" t="s">
        <v>576</v>
      </c>
      <c r="B1311" s="186" t="s">
        <v>2493</v>
      </c>
      <c r="C1311" s="210" t="s">
        <v>2494</v>
      </c>
      <c r="D1311" s="210" t="s">
        <v>1687</v>
      </c>
      <c r="E1311" s="204">
        <v>12.0</v>
      </c>
      <c r="F1311" s="205">
        <v>0.01</v>
      </c>
      <c r="G1311" s="205">
        <v>0.0</v>
      </c>
    </row>
    <row r="1312" ht="15.75" customHeight="1">
      <c r="A1312" s="200" t="s">
        <v>576</v>
      </c>
      <c r="B1312" s="186" t="s">
        <v>5895</v>
      </c>
      <c r="C1312" s="210" t="s">
        <v>5896</v>
      </c>
      <c r="D1312" s="210" t="s">
        <v>760</v>
      </c>
      <c r="E1312" s="204">
        <v>12.0</v>
      </c>
      <c r="F1312" s="205">
        <v>0.01</v>
      </c>
      <c r="G1312" s="205">
        <v>0.92</v>
      </c>
    </row>
    <row r="1313" ht="15.75" customHeight="1">
      <c r="A1313" s="200" t="s">
        <v>576</v>
      </c>
      <c r="B1313" s="186" t="s">
        <v>5897</v>
      </c>
      <c r="C1313" s="210" t="s">
        <v>5898</v>
      </c>
      <c r="D1313" s="210" t="s">
        <v>5899</v>
      </c>
      <c r="E1313" s="204">
        <v>11.0</v>
      </c>
      <c r="F1313" s="205">
        <v>0.01</v>
      </c>
      <c r="G1313" s="205">
        <v>0.0</v>
      </c>
    </row>
    <row r="1314" ht="15.75" customHeight="1">
      <c r="A1314" s="200" t="s">
        <v>576</v>
      </c>
      <c r="B1314" s="186" t="s">
        <v>5900</v>
      </c>
      <c r="C1314" s="210" t="s">
        <v>5901</v>
      </c>
      <c r="D1314" s="210" t="s">
        <v>5902</v>
      </c>
      <c r="E1314" s="204">
        <v>11.0</v>
      </c>
      <c r="F1314" s="205">
        <v>0.01</v>
      </c>
      <c r="G1314" s="205">
        <v>0.36</v>
      </c>
    </row>
    <row r="1315" ht="15.75" customHeight="1">
      <c r="A1315" s="200" t="s">
        <v>576</v>
      </c>
      <c r="B1315" s="186" t="s">
        <v>5903</v>
      </c>
      <c r="C1315" s="210" t="s">
        <v>5904</v>
      </c>
      <c r="D1315" s="210" t="s">
        <v>5905</v>
      </c>
      <c r="E1315" s="204">
        <v>11.0</v>
      </c>
      <c r="F1315" s="205">
        <v>0.01</v>
      </c>
      <c r="G1315" s="205">
        <v>1.0</v>
      </c>
    </row>
    <row r="1316" ht="15.75" customHeight="1">
      <c r="A1316" s="200" t="s">
        <v>576</v>
      </c>
      <c r="B1316" s="186" t="s">
        <v>5906</v>
      </c>
      <c r="C1316" s="210" t="s">
        <v>5907</v>
      </c>
      <c r="D1316" s="210" t="s">
        <v>5908</v>
      </c>
      <c r="E1316" s="204">
        <v>11.0</v>
      </c>
      <c r="F1316" s="205">
        <v>0.01</v>
      </c>
      <c r="G1316" s="205">
        <v>0.0</v>
      </c>
    </row>
    <row r="1317" ht="15.75" customHeight="1">
      <c r="A1317" s="200" t="s">
        <v>576</v>
      </c>
      <c r="B1317" s="186" t="s">
        <v>2678</v>
      </c>
      <c r="C1317" s="210" t="s">
        <v>2679</v>
      </c>
      <c r="D1317" s="210" t="s">
        <v>1101</v>
      </c>
      <c r="E1317" s="204">
        <v>11.0</v>
      </c>
      <c r="F1317" s="205">
        <v>0.01</v>
      </c>
      <c r="G1317" s="205">
        <v>0.73</v>
      </c>
    </row>
    <row r="1318" ht="15.75" customHeight="1">
      <c r="A1318" s="200" t="s">
        <v>576</v>
      </c>
      <c r="B1318" s="186" t="s">
        <v>5909</v>
      </c>
      <c r="C1318" s="210" t="s">
        <v>5910</v>
      </c>
      <c r="D1318" s="210" t="s">
        <v>1490</v>
      </c>
      <c r="E1318" s="204">
        <v>11.0</v>
      </c>
      <c r="F1318" s="205">
        <v>0.01</v>
      </c>
      <c r="G1318" s="205">
        <v>0.45</v>
      </c>
    </row>
    <row r="1319" ht="15.75" customHeight="1">
      <c r="A1319" s="200" t="s">
        <v>576</v>
      </c>
      <c r="B1319" s="186" t="s">
        <v>5911</v>
      </c>
      <c r="C1319" s="210" t="s">
        <v>5912</v>
      </c>
      <c r="D1319" s="210" t="s">
        <v>5623</v>
      </c>
      <c r="E1319" s="204">
        <v>11.0</v>
      </c>
      <c r="F1319" s="205">
        <v>0.01</v>
      </c>
      <c r="G1319" s="205">
        <v>0.18</v>
      </c>
    </row>
    <row r="1320" ht="15.75" customHeight="1">
      <c r="A1320" s="200" t="s">
        <v>576</v>
      </c>
      <c r="B1320" s="186" t="s">
        <v>5913</v>
      </c>
      <c r="C1320" s="210" t="s">
        <v>5914</v>
      </c>
      <c r="D1320" s="210" t="s">
        <v>1733</v>
      </c>
      <c r="E1320" s="204">
        <v>11.0</v>
      </c>
      <c r="F1320" s="205">
        <v>0.01</v>
      </c>
      <c r="G1320" s="205">
        <v>0.0</v>
      </c>
    </row>
    <row r="1321" ht="15.75" customHeight="1">
      <c r="A1321" s="200" t="s">
        <v>576</v>
      </c>
      <c r="B1321" s="186" t="s">
        <v>2451</v>
      </c>
      <c r="C1321" s="210" t="s">
        <v>2452</v>
      </c>
      <c r="D1321" s="210" t="s">
        <v>569</v>
      </c>
      <c r="E1321" s="204">
        <v>11.0</v>
      </c>
      <c r="F1321" s="205">
        <v>0.01</v>
      </c>
      <c r="G1321" s="205">
        <v>0.0</v>
      </c>
    </row>
    <row r="1322" ht="15.75" customHeight="1">
      <c r="A1322" s="200" t="s">
        <v>576</v>
      </c>
      <c r="B1322" s="186" t="s">
        <v>5915</v>
      </c>
      <c r="C1322" s="210" t="s">
        <v>5916</v>
      </c>
      <c r="D1322" s="210" t="s">
        <v>5917</v>
      </c>
      <c r="E1322" s="204">
        <v>10.0</v>
      </c>
      <c r="F1322" s="205">
        <v>0.01</v>
      </c>
      <c r="G1322" s="205">
        <v>0.2</v>
      </c>
    </row>
    <row r="1323" ht="15.75" customHeight="1">
      <c r="A1323" s="200" t="s">
        <v>576</v>
      </c>
      <c r="B1323" s="186" t="s">
        <v>5918</v>
      </c>
      <c r="C1323" s="210" t="s">
        <v>5919</v>
      </c>
      <c r="D1323" s="210" t="s">
        <v>5920</v>
      </c>
      <c r="E1323" s="204">
        <v>10.0</v>
      </c>
      <c r="F1323" s="205">
        <v>0.01</v>
      </c>
      <c r="G1323" s="205">
        <v>0.3</v>
      </c>
    </row>
    <row r="1324" ht="15.75" customHeight="1">
      <c r="A1324" s="200" t="s">
        <v>576</v>
      </c>
      <c r="B1324" s="186" t="s">
        <v>5921</v>
      </c>
      <c r="C1324" s="210" t="s">
        <v>5922</v>
      </c>
      <c r="D1324" s="210" t="s">
        <v>5923</v>
      </c>
      <c r="E1324" s="204">
        <v>10.0</v>
      </c>
      <c r="F1324" s="205">
        <v>0.01</v>
      </c>
      <c r="G1324" s="205">
        <v>0.8</v>
      </c>
    </row>
    <row r="1325" ht="15.75" customHeight="1">
      <c r="A1325" s="200" t="s">
        <v>576</v>
      </c>
      <c r="B1325" s="186" t="s">
        <v>5924</v>
      </c>
      <c r="C1325" s="210" t="s">
        <v>5925</v>
      </c>
      <c r="D1325" s="210" t="s">
        <v>5926</v>
      </c>
      <c r="E1325" s="204">
        <v>10.0</v>
      </c>
      <c r="F1325" s="205">
        <v>0.01</v>
      </c>
      <c r="G1325" s="205">
        <v>0.2</v>
      </c>
    </row>
    <row r="1326" ht="15.75" customHeight="1">
      <c r="A1326" s="200" t="s">
        <v>576</v>
      </c>
      <c r="B1326" s="186" t="s">
        <v>5927</v>
      </c>
      <c r="C1326" s="210" t="s">
        <v>5928</v>
      </c>
      <c r="D1326" s="210" t="s">
        <v>5929</v>
      </c>
      <c r="E1326" s="204">
        <v>10.0</v>
      </c>
      <c r="F1326" s="205">
        <v>0.01</v>
      </c>
      <c r="G1326" s="205">
        <v>0.0</v>
      </c>
    </row>
    <row r="1327" ht="15.75" customHeight="1">
      <c r="A1327" s="200" t="s">
        <v>576</v>
      </c>
      <c r="B1327" s="186" t="s">
        <v>1398</v>
      </c>
      <c r="C1327" s="210" t="s">
        <v>1399</v>
      </c>
      <c r="D1327" s="210" t="s">
        <v>1400</v>
      </c>
      <c r="E1327" s="204">
        <v>10.0</v>
      </c>
      <c r="F1327" s="205">
        <v>0.01</v>
      </c>
      <c r="G1327" s="205">
        <v>0.2</v>
      </c>
    </row>
    <row r="1328" ht="15.75" customHeight="1">
      <c r="A1328" s="200" t="s">
        <v>576</v>
      </c>
      <c r="B1328" s="186" t="s">
        <v>5930</v>
      </c>
      <c r="C1328" s="210" t="s">
        <v>5931</v>
      </c>
      <c r="D1328" s="210" t="s">
        <v>5932</v>
      </c>
      <c r="E1328" s="204">
        <v>10.0</v>
      </c>
      <c r="F1328" s="205">
        <v>0.01</v>
      </c>
      <c r="G1328" s="205">
        <v>2.3</v>
      </c>
    </row>
    <row r="1329" ht="15.75" customHeight="1">
      <c r="A1329" s="200" t="s">
        <v>576</v>
      </c>
      <c r="B1329" s="186" t="s">
        <v>810</v>
      </c>
      <c r="C1329" s="210" t="s">
        <v>811</v>
      </c>
      <c r="D1329" s="210"/>
      <c r="E1329" s="204">
        <v>10.0</v>
      </c>
      <c r="F1329" s="205">
        <v>0.01</v>
      </c>
      <c r="G1329" s="205">
        <v>0.1</v>
      </c>
    </row>
    <row r="1330" ht="15.75" customHeight="1">
      <c r="A1330" s="200" t="s">
        <v>576</v>
      </c>
      <c r="B1330" s="186" t="s">
        <v>5933</v>
      </c>
      <c r="C1330" s="210" t="s">
        <v>5934</v>
      </c>
      <c r="D1330" s="210" t="s">
        <v>5935</v>
      </c>
      <c r="E1330" s="204">
        <v>10.0</v>
      </c>
      <c r="F1330" s="205">
        <v>0.01</v>
      </c>
      <c r="G1330" s="205">
        <v>0.1</v>
      </c>
    </row>
    <row r="1331" ht="15.75" customHeight="1">
      <c r="A1331" s="200" t="s">
        <v>576</v>
      </c>
      <c r="B1331" s="186" t="s">
        <v>1401</v>
      </c>
      <c r="C1331" s="210" t="s">
        <v>1402</v>
      </c>
      <c r="D1331" s="210" t="s">
        <v>1403</v>
      </c>
      <c r="E1331" s="204">
        <v>10.0</v>
      </c>
      <c r="F1331" s="205">
        <v>0.01</v>
      </c>
      <c r="G1331" s="205">
        <v>0.5</v>
      </c>
    </row>
    <row r="1332" ht="15.75" customHeight="1">
      <c r="A1332" s="200" t="s">
        <v>576</v>
      </c>
      <c r="B1332" s="186" t="s">
        <v>5936</v>
      </c>
      <c r="C1332" s="210" t="s">
        <v>5937</v>
      </c>
      <c r="D1332" s="210" t="s">
        <v>5938</v>
      </c>
      <c r="E1332" s="204">
        <v>10.0</v>
      </c>
      <c r="F1332" s="205">
        <v>0.01</v>
      </c>
      <c r="G1332" s="205">
        <v>1.9</v>
      </c>
    </row>
    <row r="1333" ht="15.75" customHeight="1">
      <c r="A1333" s="200" t="s">
        <v>576</v>
      </c>
      <c r="B1333" s="186" t="s">
        <v>2426</v>
      </c>
      <c r="C1333" s="210" t="s">
        <v>2427</v>
      </c>
      <c r="D1333" s="210" t="s">
        <v>5939</v>
      </c>
      <c r="E1333" s="204">
        <v>10.0</v>
      </c>
      <c r="F1333" s="205">
        <v>0.01</v>
      </c>
      <c r="G1333" s="205">
        <v>0.4</v>
      </c>
    </row>
    <row r="1334" ht="15.75" customHeight="1">
      <c r="A1334" s="200" t="s">
        <v>576</v>
      </c>
      <c r="B1334" s="186" t="s">
        <v>5940</v>
      </c>
      <c r="C1334" s="210" t="s">
        <v>5941</v>
      </c>
      <c r="D1334" s="210" t="s">
        <v>5942</v>
      </c>
      <c r="E1334" s="204">
        <v>9.0</v>
      </c>
      <c r="F1334" s="205">
        <v>0.01</v>
      </c>
      <c r="G1334" s="205">
        <v>0.11</v>
      </c>
    </row>
    <row r="1335" ht="15.75" customHeight="1">
      <c r="A1335" s="200" t="s">
        <v>576</v>
      </c>
      <c r="B1335" s="186" t="s">
        <v>5943</v>
      </c>
      <c r="C1335" s="210" t="s">
        <v>5944</v>
      </c>
      <c r="D1335" s="210" t="s">
        <v>5945</v>
      </c>
      <c r="E1335" s="204">
        <v>9.0</v>
      </c>
      <c r="F1335" s="205">
        <v>0.01</v>
      </c>
      <c r="G1335" s="205">
        <v>0.0</v>
      </c>
    </row>
    <row r="1336" ht="15.75" customHeight="1">
      <c r="A1336" s="200" t="s">
        <v>576</v>
      </c>
      <c r="B1336" s="186" t="s">
        <v>5946</v>
      </c>
      <c r="C1336" s="210" t="s">
        <v>5947</v>
      </c>
      <c r="D1336" s="210" t="s">
        <v>5948</v>
      </c>
      <c r="E1336" s="204">
        <v>9.0</v>
      </c>
      <c r="F1336" s="205">
        <v>0.01</v>
      </c>
      <c r="G1336" s="205">
        <v>4.0</v>
      </c>
    </row>
    <row r="1337" ht="15.75" customHeight="1">
      <c r="A1337" s="200" t="s">
        <v>576</v>
      </c>
      <c r="B1337" s="186" t="s">
        <v>5949</v>
      </c>
      <c r="C1337" s="210" t="s">
        <v>5950</v>
      </c>
      <c r="D1337" s="210" t="s">
        <v>5951</v>
      </c>
      <c r="E1337" s="204">
        <v>9.0</v>
      </c>
      <c r="F1337" s="205">
        <v>0.01</v>
      </c>
      <c r="G1337" s="205">
        <v>1.44</v>
      </c>
    </row>
    <row r="1338" ht="15.75" customHeight="1">
      <c r="A1338" s="200" t="s">
        <v>576</v>
      </c>
      <c r="B1338" s="186" t="s">
        <v>1404</v>
      </c>
      <c r="C1338" s="210" t="s">
        <v>1405</v>
      </c>
      <c r="D1338" s="210" t="s">
        <v>1406</v>
      </c>
      <c r="E1338" s="204">
        <v>9.0</v>
      </c>
      <c r="F1338" s="205">
        <v>0.01</v>
      </c>
      <c r="G1338" s="205">
        <v>0.0</v>
      </c>
    </row>
    <row r="1339" ht="15.75" customHeight="1">
      <c r="A1339" s="200" t="s">
        <v>576</v>
      </c>
      <c r="B1339" s="186" t="s">
        <v>5952</v>
      </c>
      <c r="C1339" s="210" t="s">
        <v>5953</v>
      </c>
      <c r="D1339" s="210" t="s">
        <v>5954</v>
      </c>
      <c r="E1339" s="204">
        <v>9.0</v>
      </c>
      <c r="F1339" s="205">
        <v>0.01</v>
      </c>
      <c r="G1339" s="205">
        <v>0.44</v>
      </c>
    </row>
    <row r="1340" ht="15.75" customHeight="1">
      <c r="A1340" s="200" t="s">
        <v>576</v>
      </c>
      <c r="B1340" s="186" t="s">
        <v>5955</v>
      </c>
      <c r="C1340" s="210" t="s">
        <v>5956</v>
      </c>
      <c r="D1340" s="210" t="s">
        <v>5957</v>
      </c>
      <c r="E1340" s="204">
        <v>9.0</v>
      </c>
      <c r="F1340" s="205">
        <v>0.01</v>
      </c>
      <c r="G1340" s="205">
        <v>2.78</v>
      </c>
    </row>
    <row r="1341" ht="15.75" customHeight="1">
      <c r="A1341" s="200" t="s">
        <v>576</v>
      </c>
      <c r="B1341" s="186" t="s">
        <v>5958</v>
      </c>
      <c r="C1341" s="210" t="s">
        <v>5959</v>
      </c>
      <c r="D1341" s="210" t="s">
        <v>5960</v>
      </c>
      <c r="E1341" s="204">
        <v>9.0</v>
      </c>
      <c r="F1341" s="205">
        <v>0.01</v>
      </c>
      <c r="G1341" s="205">
        <v>0.11</v>
      </c>
    </row>
    <row r="1342" ht="15.75" customHeight="1">
      <c r="A1342" s="200" t="s">
        <v>576</v>
      </c>
      <c r="B1342" s="186" t="s">
        <v>5961</v>
      </c>
      <c r="C1342" s="210" t="s">
        <v>5962</v>
      </c>
      <c r="D1342" s="210" t="s">
        <v>5963</v>
      </c>
      <c r="E1342" s="204">
        <v>9.0</v>
      </c>
      <c r="F1342" s="205">
        <v>0.01</v>
      </c>
      <c r="G1342" s="205">
        <v>0.78</v>
      </c>
    </row>
    <row r="1343" ht="15.75" customHeight="1">
      <c r="A1343" s="200" t="s">
        <v>576</v>
      </c>
      <c r="B1343" s="186" t="s">
        <v>5964</v>
      </c>
      <c r="C1343" s="210" t="s">
        <v>5965</v>
      </c>
      <c r="D1343" s="210" t="s">
        <v>5966</v>
      </c>
      <c r="E1343" s="204">
        <v>9.0</v>
      </c>
      <c r="F1343" s="205">
        <v>0.01</v>
      </c>
      <c r="G1343" s="205">
        <v>1.22</v>
      </c>
    </row>
    <row r="1344" ht="15.75" customHeight="1">
      <c r="A1344" s="200" t="s">
        <v>576</v>
      </c>
      <c r="B1344" s="186" t="s">
        <v>5967</v>
      </c>
      <c r="C1344" s="210" t="s">
        <v>5968</v>
      </c>
      <c r="D1344" s="210" t="s">
        <v>5969</v>
      </c>
      <c r="E1344" s="204">
        <v>9.0</v>
      </c>
      <c r="F1344" s="205">
        <v>0.01</v>
      </c>
      <c r="G1344" s="205">
        <v>0.0</v>
      </c>
    </row>
    <row r="1345" ht="15.75" customHeight="1">
      <c r="A1345" s="200" t="s">
        <v>576</v>
      </c>
      <c r="B1345" s="186" t="s">
        <v>5970</v>
      </c>
      <c r="C1345" s="210" t="s">
        <v>5971</v>
      </c>
      <c r="D1345" s="210"/>
      <c r="E1345" s="204">
        <v>9.0</v>
      </c>
      <c r="F1345" s="205">
        <v>0.01</v>
      </c>
      <c r="G1345" s="205">
        <v>1.67</v>
      </c>
    </row>
    <row r="1346" ht="15.75" customHeight="1">
      <c r="A1346" s="200" t="s">
        <v>576</v>
      </c>
      <c r="B1346" s="186" t="s">
        <v>3423</v>
      </c>
      <c r="C1346" s="210" t="s">
        <v>3425</v>
      </c>
      <c r="D1346" s="210" t="s">
        <v>5972</v>
      </c>
      <c r="E1346" s="204">
        <v>9.0</v>
      </c>
      <c r="F1346" s="205">
        <v>0.01</v>
      </c>
      <c r="G1346" s="205">
        <v>0.0</v>
      </c>
    </row>
    <row r="1347" ht="15.75" customHeight="1">
      <c r="A1347" s="200" t="s">
        <v>576</v>
      </c>
      <c r="B1347" s="186" t="s">
        <v>5973</v>
      </c>
      <c r="C1347" s="210" t="s">
        <v>5974</v>
      </c>
      <c r="D1347" s="210" t="s">
        <v>5975</v>
      </c>
      <c r="E1347" s="204">
        <v>9.0</v>
      </c>
      <c r="F1347" s="205">
        <v>0.01</v>
      </c>
      <c r="G1347" s="205">
        <v>0.11</v>
      </c>
    </row>
    <row r="1348" ht="15.75" customHeight="1">
      <c r="A1348" s="200" t="s">
        <v>576</v>
      </c>
      <c r="B1348" s="186" t="s">
        <v>1407</v>
      </c>
      <c r="C1348" s="210" t="s">
        <v>1408</v>
      </c>
      <c r="D1348" s="210" t="s">
        <v>1410</v>
      </c>
      <c r="E1348" s="204">
        <v>9.0</v>
      </c>
      <c r="F1348" s="205">
        <v>0.01</v>
      </c>
      <c r="G1348" s="205">
        <v>1.22</v>
      </c>
    </row>
    <row r="1349" ht="15.75" customHeight="1">
      <c r="A1349" s="200" t="s">
        <v>576</v>
      </c>
      <c r="B1349" s="186" t="s">
        <v>1412</v>
      </c>
      <c r="C1349" s="210" t="s">
        <v>1413</v>
      </c>
      <c r="D1349" s="210" t="s">
        <v>1354</v>
      </c>
      <c r="E1349" s="204">
        <v>9.0</v>
      </c>
      <c r="F1349" s="205">
        <v>0.01</v>
      </c>
      <c r="G1349" s="205">
        <v>0.11</v>
      </c>
    </row>
    <row r="1350" ht="15.75" customHeight="1">
      <c r="A1350" s="200" t="s">
        <v>576</v>
      </c>
      <c r="B1350" s="186" t="s">
        <v>2873</v>
      </c>
      <c r="C1350" s="210" t="s">
        <v>2874</v>
      </c>
      <c r="D1350" s="210" t="s">
        <v>380</v>
      </c>
      <c r="E1350" s="204">
        <v>9.0</v>
      </c>
      <c r="F1350" s="205">
        <v>0.01</v>
      </c>
      <c r="G1350" s="205">
        <v>0.0</v>
      </c>
    </row>
    <row r="1351" ht="15.75" customHeight="1">
      <c r="A1351" s="200" t="s">
        <v>576</v>
      </c>
      <c r="B1351" s="186" t="s">
        <v>1414</v>
      </c>
      <c r="C1351" s="210" t="s">
        <v>1415</v>
      </c>
      <c r="D1351" s="210" t="s">
        <v>1416</v>
      </c>
      <c r="E1351" s="204">
        <v>9.0</v>
      </c>
      <c r="F1351" s="205">
        <v>0.01</v>
      </c>
      <c r="G1351" s="205">
        <v>1.33</v>
      </c>
    </row>
    <row r="1352" ht="15.75" customHeight="1">
      <c r="A1352" s="200" t="s">
        <v>576</v>
      </c>
      <c r="B1352" s="186" t="s">
        <v>5976</v>
      </c>
      <c r="C1352" s="210" t="s">
        <v>5977</v>
      </c>
      <c r="D1352" s="210" t="s">
        <v>5978</v>
      </c>
      <c r="E1352" s="204">
        <v>8.0</v>
      </c>
      <c r="F1352" s="205">
        <v>0.01</v>
      </c>
      <c r="G1352" s="205">
        <v>0.38</v>
      </c>
    </row>
    <row r="1353" ht="15.75" customHeight="1">
      <c r="A1353" s="200" t="s">
        <v>576</v>
      </c>
      <c r="B1353" s="186" t="s">
        <v>1417</v>
      </c>
      <c r="C1353" s="210" t="s">
        <v>1418</v>
      </c>
      <c r="D1353" s="210" t="s">
        <v>1419</v>
      </c>
      <c r="E1353" s="204">
        <v>8.0</v>
      </c>
      <c r="F1353" s="205">
        <v>0.01</v>
      </c>
      <c r="G1353" s="205">
        <v>1.13</v>
      </c>
    </row>
    <row r="1354" ht="15.75" customHeight="1">
      <c r="A1354" s="200" t="s">
        <v>576</v>
      </c>
      <c r="B1354" s="186" t="s">
        <v>2384</v>
      </c>
      <c r="C1354" s="210" t="s">
        <v>2385</v>
      </c>
      <c r="D1354" s="210" t="s">
        <v>380</v>
      </c>
      <c r="E1354" s="204">
        <v>8.0</v>
      </c>
      <c r="F1354" s="205">
        <v>0.01</v>
      </c>
      <c r="G1354" s="205">
        <v>0.0</v>
      </c>
    </row>
    <row r="1355" ht="15.75" customHeight="1">
      <c r="A1355" s="200" t="s">
        <v>576</v>
      </c>
      <c r="B1355" s="186" t="s">
        <v>859</v>
      </c>
      <c r="C1355" s="210" t="s">
        <v>860</v>
      </c>
      <c r="D1355" s="210" t="s">
        <v>5979</v>
      </c>
      <c r="E1355" s="204">
        <v>8.0</v>
      </c>
      <c r="F1355" s="205">
        <v>0.01</v>
      </c>
      <c r="G1355" s="205">
        <v>0.0</v>
      </c>
    </row>
    <row r="1356" ht="15.75" customHeight="1">
      <c r="A1356" s="200" t="s">
        <v>576</v>
      </c>
      <c r="B1356" s="186" t="s">
        <v>5980</v>
      </c>
      <c r="C1356" s="210" t="s">
        <v>5981</v>
      </c>
      <c r="D1356" s="210" t="s">
        <v>5982</v>
      </c>
      <c r="E1356" s="204">
        <v>8.0</v>
      </c>
      <c r="F1356" s="205">
        <v>0.01</v>
      </c>
      <c r="G1356" s="205">
        <v>0.25</v>
      </c>
    </row>
    <row r="1357" ht="15.75" customHeight="1">
      <c r="A1357" s="200" t="s">
        <v>576</v>
      </c>
      <c r="B1357" s="186" t="s">
        <v>2681</v>
      </c>
      <c r="C1357" s="210" t="s">
        <v>2682</v>
      </c>
      <c r="D1357" s="210" t="s">
        <v>1101</v>
      </c>
      <c r="E1357" s="204">
        <v>8.0</v>
      </c>
      <c r="F1357" s="205">
        <v>0.01</v>
      </c>
      <c r="G1357" s="205">
        <v>0.0</v>
      </c>
    </row>
    <row r="1358" ht="15.75" customHeight="1">
      <c r="A1358" s="200" t="s">
        <v>576</v>
      </c>
      <c r="B1358" s="186" t="s">
        <v>5983</v>
      </c>
      <c r="C1358" s="210" t="s">
        <v>5984</v>
      </c>
      <c r="D1358" s="210"/>
      <c r="E1358" s="204">
        <v>8.0</v>
      </c>
      <c r="F1358" s="205">
        <v>0.01</v>
      </c>
      <c r="G1358" s="205">
        <v>0.0</v>
      </c>
    </row>
    <row r="1359" ht="15.75" customHeight="1">
      <c r="A1359" s="200" t="s">
        <v>576</v>
      </c>
      <c r="B1359" s="186" t="s">
        <v>5985</v>
      </c>
      <c r="C1359" s="210" t="s">
        <v>5814</v>
      </c>
      <c r="D1359" s="210" t="s">
        <v>5815</v>
      </c>
      <c r="E1359" s="204">
        <v>8.0</v>
      </c>
      <c r="F1359" s="205">
        <v>0.01</v>
      </c>
      <c r="G1359" s="205">
        <v>0.0</v>
      </c>
    </row>
    <row r="1360" ht="15.75" customHeight="1">
      <c r="A1360" s="200" t="s">
        <v>576</v>
      </c>
      <c r="B1360" s="186" t="s">
        <v>5986</v>
      </c>
      <c r="C1360" s="210" t="s">
        <v>5987</v>
      </c>
      <c r="D1360" s="210" t="s">
        <v>5988</v>
      </c>
      <c r="E1360" s="204">
        <v>8.0</v>
      </c>
      <c r="F1360" s="205">
        <v>0.01</v>
      </c>
      <c r="G1360" s="205">
        <v>0.63</v>
      </c>
    </row>
    <row r="1361" ht="15.75" customHeight="1">
      <c r="A1361" s="200" t="s">
        <v>576</v>
      </c>
      <c r="B1361" s="186" t="s">
        <v>920</v>
      </c>
      <c r="C1361" s="210" t="s">
        <v>921</v>
      </c>
      <c r="D1361" s="210" t="s">
        <v>380</v>
      </c>
      <c r="E1361" s="204">
        <v>8.0</v>
      </c>
      <c r="F1361" s="205">
        <v>0.01</v>
      </c>
      <c r="G1361" s="205">
        <v>0.0</v>
      </c>
    </row>
    <row r="1362" ht="15.75" customHeight="1">
      <c r="A1362" s="200" t="s">
        <v>576</v>
      </c>
      <c r="B1362" s="186" t="s">
        <v>5989</v>
      </c>
      <c r="C1362" s="210" t="s">
        <v>5990</v>
      </c>
      <c r="D1362" s="210" t="s">
        <v>5638</v>
      </c>
      <c r="E1362" s="204">
        <v>8.0</v>
      </c>
      <c r="F1362" s="205">
        <v>0.01</v>
      </c>
      <c r="G1362" s="205">
        <v>1.5</v>
      </c>
    </row>
    <row r="1363" ht="15.75" customHeight="1">
      <c r="A1363" s="200" t="s">
        <v>576</v>
      </c>
      <c r="B1363" s="186" t="s">
        <v>5991</v>
      </c>
      <c r="C1363" s="210" t="s">
        <v>5992</v>
      </c>
      <c r="D1363" s="210" t="s">
        <v>5614</v>
      </c>
      <c r="E1363" s="204">
        <v>8.0</v>
      </c>
      <c r="F1363" s="205">
        <v>0.01</v>
      </c>
      <c r="G1363" s="205">
        <v>0.13</v>
      </c>
    </row>
    <row r="1364" ht="15.75" customHeight="1">
      <c r="A1364" s="200" t="s">
        <v>576</v>
      </c>
      <c r="B1364" s="186" t="s">
        <v>5993</v>
      </c>
      <c r="C1364" s="210" t="s">
        <v>5994</v>
      </c>
      <c r="D1364" s="210" t="s">
        <v>5995</v>
      </c>
      <c r="E1364" s="204">
        <v>8.0</v>
      </c>
      <c r="F1364" s="205">
        <v>0.01</v>
      </c>
      <c r="G1364" s="205">
        <v>1.0</v>
      </c>
    </row>
    <row r="1365" ht="15.75" customHeight="1">
      <c r="A1365" s="200" t="s">
        <v>576</v>
      </c>
      <c r="B1365" s="186" t="s">
        <v>5996</v>
      </c>
      <c r="C1365" s="210" t="s">
        <v>5832</v>
      </c>
      <c r="D1365" s="210"/>
      <c r="E1365" s="204">
        <v>7.0</v>
      </c>
      <c r="F1365" s="205">
        <v>0.01</v>
      </c>
      <c r="G1365" s="205">
        <v>0.0</v>
      </c>
    </row>
    <row r="1366" ht="15.75" customHeight="1">
      <c r="A1366" s="200" t="s">
        <v>576</v>
      </c>
      <c r="B1366" s="186" t="s">
        <v>5997</v>
      </c>
      <c r="C1366" s="210" t="s">
        <v>5998</v>
      </c>
      <c r="D1366" s="210" t="s">
        <v>5942</v>
      </c>
      <c r="E1366" s="204">
        <v>7.0</v>
      </c>
      <c r="F1366" s="205">
        <v>0.01</v>
      </c>
      <c r="G1366" s="205">
        <v>2.43</v>
      </c>
    </row>
    <row r="1367" ht="15.75" customHeight="1">
      <c r="A1367" s="200" t="s">
        <v>576</v>
      </c>
      <c r="B1367" s="186" t="s">
        <v>5999</v>
      </c>
      <c r="C1367" s="210" t="s">
        <v>6000</v>
      </c>
      <c r="D1367" s="210" t="s">
        <v>6001</v>
      </c>
      <c r="E1367" s="204">
        <v>7.0</v>
      </c>
      <c r="F1367" s="205">
        <v>0.01</v>
      </c>
      <c r="G1367" s="205">
        <v>0.0</v>
      </c>
    </row>
    <row r="1368" ht="15.75" customHeight="1">
      <c r="A1368" s="200" t="s">
        <v>576</v>
      </c>
      <c r="B1368" s="186" t="s">
        <v>6002</v>
      </c>
      <c r="C1368" s="210" t="s">
        <v>5874</v>
      </c>
      <c r="D1368" s="210" t="s">
        <v>5875</v>
      </c>
      <c r="E1368" s="204">
        <v>7.0</v>
      </c>
      <c r="F1368" s="205">
        <v>0.01</v>
      </c>
      <c r="G1368" s="205">
        <v>0.0</v>
      </c>
    </row>
    <row r="1369" ht="15.75" customHeight="1">
      <c r="A1369" s="200" t="s">
        <v>576</v>
      </c>
      <c r="B1369" s="186" t="s">
        <v>1420</v>
      </c>
      <c r="C1369" s="210" t="s">
        <v>1421</v>
      </c>
      <c r="D1369" s="210" t="s">
        <v>1422</v>
      </c>
      <c r="E1369" s="204">
        <v>7.0</v>
      </c>
      <c r="F1369" s="205">
        <v>0.01</v>
      </c>
      <c r="G1369" s="205">
        <v>0.29</v>
      </c>
    </row>
    <row r="1370" ht="15.75" customHeight="1">
      <c r="A1370" s="200" t="s">
        <v>576</v>
      </c>
      <c r="B1370" s="186" t="s">
        <v>408</v>
      </c>
      <c r="C1370" s="210" t="s">
        <v>409</v>
      </c>
      <c r="D1370" s="210" t="s">
        <v>6003</v>
      </c>
      <c r="E1370" s="204">
        <v>7.0</v>
      </c>
      <c r="F1370" s="205">
        <v>0.01</v>
      </c>
      <c r="G1370" s="205">
        <v>0.0</v>
      </c>
    </row>
    <row r="1371" ht="15.75" customHeight="1">
      <c r="A1371" s="200" t="s">
        <v>576</v>
      </c>
      <c r="B1371" s="186" t="s">
        <v>6004</v>
      </c>
      <c r="C1371" s="210" t="s">
        <v>6005</v>
      </c>
      <c r="D1371" s="210" t="s">
        <v>6006</v>
      </c>
      <c r="E1371" s="204">
        <v>7.0</v>
      </c>
      <c r="F1371" s="205">
        <v>0.01</v>
      </c>
      <c r="G1371" s="205">
        <v>0.86</v>
      </c>
    </row>
    <row r="1372" ht="15.75" customHeight="1">
      <c r="A1372" s="200" t="s">
        <v>576</v>
      </c>
      <c r="B1372" s="186" t="s">
        <v>6007</v>
      </c>
      <c r="C1372" s="210" t="s">
        <v>6008</v>
      </c>
      <c r="D1372" s="210" t="s">
        <v>6009</v>
      </c>
      <c r="E1372" s="204">
        <v>7.0</v>
      </c>
      <c r="F1372" s="205">
        <v>0.01</v>
      </c>
      <c r="G1372" s="205">
        <v>2.14</v>
      </c>
    </row>
    <row r="1373" ht="15.75" customHeight="1">
      <c r="A1373" s="200" t="s">
        <v>576</v>
      </c>
      <c r="B1373" s="186" t="s">
        <v>6010</v>
      </c>
      <c r="C1373" s="210" t="s">
        <v>6011</v>
      </c>
      <c r="D1373" s="210" t="s">
        <v>5850</v>
      </c>
      <c r="E1373" s="204">
        <v>7.0</v>
      </c>
      <c r="F1373" s="205">
        <v>0.01</v>
      </c>
      <c r="G1373" s="205">
        <v>1.43</v>
      </c>
    </row>
    <row r="1374" ht="15.75" customHeight="1">
      <c r="A1374" s="200" t="s">
        <v>576</v>
      </c>
      <c r="B1374" s="186" t="s">
        <v>6012</v>
      </c>
      <c r="C1374" s="210" t="s">
        <v>6013</v>
      </c>
      <c r="D1374" s="210" t="s">
        <v>1490</v>
      </c>
      <c r="E1374" s="204">
        <v>7.0</v>
      </c>
      <c r="F1374" s="205">
        <v>0.01</v>
      </c>
      <c r="G1374" s="205">
        <v>0.29</v>
      </c>
    </row>
    <row r="1375" ht="15.75" customHeight="1">
      <c r="A1375" s="200" t="s">
        <v>576</v>
      </c>
      <c r="B1375" s="186" t="s">
        <v>2281</v>
      </c>
      <c r="C1375" s="210" t="s">
        <v>2282</v>
      </c>
      <c r="D1375" s="210" t="s">
        <v>6014</v>
      </c>
      <c r="E1375" s="204">
        <v>7.0</v>
      </c>
      <c r="F1375" s="205">
        <v>0.01</v>
      </c>
      <c r="G1375" s="205">
        <v>0.0</v>
      </c>
    </row>
    <row r="1376" ht="15.75" customHeight="1">
      <c r="A1376" s="200" t="s">
        <v>576</v>
      </c>
      <c r="B1376" s="186" t="s">
        <v>6015</v>
      </c>
      <c r="C1376" s="210" t="s">
        <v>6016</v>
      </c>
      <c r="D1376" s="210" t="s">
        <v>6017</v>
      </c>
      <c r="E1376" s="204">
        <v>7.0</v>
      </c>
      <c r="F1376" s="205">
        <v>0.01</v>
      </c>
      <c r="G1376" s="205">
        <v>0.0</v>
      </c>
    </row>
    <row r="1377" ht="15.75" customHeight="1">
      <c r="A1377" s="200" t="s">
        <v>576</v>
      </c>
      <c r="B1377" s="186" t="s">
        <v>6018</v>
      </c>
      <c r="C1377" s="210" t="s">
        <v>6019</v>
      </c>
      <c r="D1377" s="210" t="s">
        <v>6020</v>
      </c>
      <c r="E1377" s="204">
        <v>7.0</v>
      </c>
      <c r="F1377" s="205">
        <v>0.01</v>
      </c>
      <c r="G1377" s="205">
        <v>0.86</v>
      </c>
    </row>
    <row r="1378" ht="15.75" customHeight="1">
      <c r="A1378" s="200" t="s">
        <v>576</v>
      </c>
      <c r="B1378" s="186" t="s">
        <v>1423</v>
      </c>
      <c r="C1378" s="210" t="s">
        <v>1424</v>
      </c>
      <c r="D1378" s="210" t="s">
        <v>1425</v>
      </c>
      <c r="E1378" s="204">
        <v>7.0</v>
      </c>
      <c r="F1378" s="205">
        <v>0.01</v>
      </c>
      <c r="G1378" s="205">
        <v>1.14</v>
      </c>
    </row>
    <row r="1379" ht="15.75" customHeight="1">
      <c r="A1379" s="200" t="s">
        <v>576</v>
      </c>
      <c r="B1379" s="186" t="s">
        <v>6021</v>
      </c>
      <c r="C1379" s="210" t="s">
        <v>6022</v>
      </c>
      <c r="D1379" s="210" t="s">
        <v>1702</v>
      </c>
      <c r="E1379" s="204">
        <v>7.0</v>
      </c>
      <c r="F1379" s="205">
        <v>0.01</v>
      </c>
      <c r="G1379" s="205">
        <v>0.71</v>
      </c>
    </row>
    <row r="1380" ht="15.75" customHeight="1">
      <c r="A1380" s="200" t="s">
        <v>576</v>
      </c>
      <c r="B1380" s="186" t="s">
        <v>6023</v>
      </c>
      <c r="C1380" s="210" t="s">
        <v>6024</v>
      </c>
      <c r="D1380" s="210" t="s">
        <v>6025</v>
      </c>
      <c r="E1380" s="204">
        <v>7.0</v>
      </c>
      <c r="F1380" s="205">
        <v>0.01</v>
      </c>
      <c r="G1380" s="205">
        <v>0.0</v>
      </c>
    </row>
    <row r="1381" ht="15.75" customHeight="1">
      <c r="A1381" s="200" t="s">
        <v>576</v>
      </c>
      <c r="B1381" s="186" t="s">
        <v>6026</v>
      </c>
      <c r="C1381" s="210" t="s">
        <v>6027</v>
      </c>
      <c r="D1381" s="210" t="s">
        <v>6028</v>
      </c>
      <c r="E1381" s="204">
        <v>7.0</v>
      </c>
      <c r="F1381" s="205">
        <v>0.01</v>
      </c>
      <c r="G1381" s="205">
        <v>0.86</v>
      </c>
    </row>
    <row r="1382" ht="15.75" customHeight="1">
      <c r="A1382" s="200" t="s">
        <v>576</v>
      </c>
      <c r="B1382" s="186" t="s">
        <v>2766</v>
      </c>
      <c r="C1382" s="210" t="s">
        <v>2767</v>
      </c>
      <c r="D1382" s="210" t="s">
        <v>1029</v>
      </c>
      <c r="E1382" s="204">
        <v>6.0</v>
      </c>
      <c r="F1382" s="205">
        <v>0.01</v>
      </c>
      <c r="G1382" s="205">
        <v>0.17</v>
      </c>
    </row>
    <row r="1383" ht="15.75" customHeight="1">
      <c r="A1383" s="200" t="s">
        <v>576</v>
      </c>
      <c r="B1383" s="186" t="s">
        <v>6029</v>
      </c>
      <c r="C1383" s="210" t="s">
        <v>6030</v>
      </c>
      <c r="D1383" s="210" t="s">
        <v>6031</v>
      </c>
      <c r="E1383" s="204">
        <v>6.0</v>
      </c>
      <c r="F1383" s="205">
        <v>0.01</v>
      </c>
      <c r="G1383" s="205">
        <v>0.17</v>
      </c>
    </row>
    <row r="1384" ht="15.75" customHeight="1">
      <c r="A1384" s="200" t="s">
        <v>576</v>
      </c>
      <c r="B1384" s="186" t="s">
        <v>6032</v>
      </c>
      <c r="C1384" s="210" t="s">
        <v>6033</v>
      </c>
      <c r="D1384" s="210" t="s">
        <v>6034</v>
      </c>
      <c r="E1384" s="204">
        <v>6.0</v>
      </c>
      <c r="F1384" s="205">
        <v>0.01</v>
      </c>
      <c r="G1384" s="205">
        <v>0.5</v>
      </c>
    </row>
    <row r="1385" ht="15.75" customHeight="1">
      <c r="A1385" s="200" t="s">
        <v>576</v>
      </c>
      <c r="B1385" s="186" t="s">
        <v>6035</v>
      </c>
      <c r="C1385" s="210" t="s">
        <v>6036</v>
      </c>
      <c r="D1385" s="210" t="s">
        <v>6037</v>
      </c>
      <c r="E1385" s="204">
        <v>6.0</v>
      </c>
      <c r="F1385" s="205">
        <v>0.01</v>
      </c>
      <c r="G1385" s="205">
        <v>0.17</v>
      </c>
    </row>
    <row r="1386" ht="15.75" customHeight="1">
      <c r="A1386" s="200" t="s">
        <v>576</v>
      </c>
      <c r="B1386" s="186" t="s">
        <v>6038</v>
      </c>
      <c r="C1386" s="210" t="s">
        <v>6039</v>
      </c>
      <c r="D1386" s="210" t="s">
        <v>6040</v>
      </c>
      <c r="E1386" s="204">
        <v>6.0</v>
      </c>
      <c r="F1386" s="205">
        <v>0.01</v>
      </c>
      <c r="G1386" s="205">
        <v>0.33</v>
      </c>
    </row>
    <row r="1387" ht="15.75" customHeight="1">
      <c r="A1387" s="200" t="s">
        <v>576</v>
      </c>
      <c r="B1387" s="186" t="s">
        <v>6041</v>
      </c>
      <c r="C1387" s="210" t="s">
        <v>6042</v>
      </c>
      <c r="D1387" s="210" t="s">
        <v>3112</v>
      </c>
      <c r="E1387" s="204">
        <v>6.0</v>
      </c>
      <c r="F1387" s="205">
        <v>0.01</v>
      </c>
      <c r="G1387" s="205">
        <v>0.33</v>
      </c>
    </row>
    <row r="1388" ht="15.75" customHeight="1">
      <c r="A1388" s="200" t="s">
        <v>576</v>
      </c>
      <c r="B1388" s="186" t="s">
        <v>6043</v>
      </c>
      <c r="C1388" s="210" t="s">
        <v>6044</v>
      </c>
      <c r="D1388" s="210" t="s">
        <v>6045</v>
      </c>
      <c r="E1388" s="204">
        <v>6.0</v>
      </c>
      <c r="F1388" s="205">
        <v>0.01</v>
      </c>
      <c r="G1388" s="205">
        <v>1.33</v>
      </c>
    </row>
    <row r="1389" ht="15.75" customHeight="1">
      <c r="A1389" s="200" t="s">
        <v>576</v>
      </c>
      <c r="B1389" s="186" t="s">
        <v>2675</v>
      </c>
      <c r="C1389" s="210" t="s">
        <v>2676</v>
      </c>
      <c r="D1389" s="210" t="s">
        <v>6046</v>
      </c>
      <c r="E1389" s="204">
        <v>6.0</v>
      </c>
      <c r="F1389" s="205">
        <v>0.01</v>
      </c>
      <c r="G1389" s="205">
        <v>0.83</v>
      </c>
    </row>
    <row r="1390" ht="15.75" customHeight="1">
      <c r="A1390" s="200" t="s">
        <v>576</v>
      </c>
      <c r="B1390" s="186" t="s">
        <v>6047</v>
      </c>
      <c r="C1390" s="210" t="s">
        <v>6048</v>
      </c>
      <c r="D1390" s="210" t="s">
        <v>6049</v>
      </c>
      <c r="E1390" s="204">
        <v>6.0</v>
      </c>
      <c r="F1390" s="205">
        <v>0.01</v>
      </c>
      <c r="G1390" s="205">
        <v>0.0</v>
      </c>
    </row>
    <row r="1391" ht="15.75" customHeight="1">
      <c r="A1391" s="200" t="s">
        <v>576</v>
      </c>
      <c r="B1391" s="186" t="s">
        <v>6050</v>
      </c>
      <c r="C1391" s="210" t="s">
        <v>6051</v>
      </c>
      <c r="D1391" s="210" t="s">
        <v>6052</v>
      </c>
      <c r="E1391" s="204">
        <v>6.0</v>
      </c>
      <c r="F1391" s="205">
        <v>0.01</v>
      </c>
      <c r="G1391" s="205">
        <v>0.17</v>
      </c>
    </row>
    <row r="1392" ht="15.75" customHeight="1">
      <c r="A1392" s="200" t="s">
        <v>576</v>
      </c>
      <c r="B1392" s="186" t="s">
        <v>6053</v>
      </c>
      <c r="C1392" s="210" t="s">
        <v>6054</v>
      </c>
      <c r="D1392" s="210"/>
      <c r="E1392" s="204">
        <v>6.0</v>
      </c>
      <c r="F1392" s="205">
        <v>0.01</v>
      </c>
      <c r="G1392" s="205">
        <v>1.0</v>
      </c>
    </row>
    <row r="1393" ht="15.75" customHeight="1">
      <c r="A1393" s="200" t="s">
        <v>576</v>
      </c>
      <c r="B1393" s="186" t="s">
        <v>6055</v>
      </c>
      <c r="C1393" s="210" t="s">
        <v>6056</v>
      </c>
      <c r="D1393" s="210" t="s">
        <v>6057</v>
      </c>
      <c r="E1393" s="204">
        <v>6.0</v>
      </c>
      <c r="F1393" s="205">
        <v>0.01</v>
      </c>
      <c r="G1393" s="205">
        <v>0.17</v>
      </c>
    </row>
    <row r="1394" ht="15.75" customHeight="1">
      <c r="A1394" s="200" t="s">
        <v>576</v>
      </c>
      <c r="B1394" s="186" t="s">
        <v>2923</v>
      </c>
      <c r="C1394" s="210" t="s">
        <v>2924</v>
      </c>
      <c r="D1394" s="210" t="s">
        <v>6058</v>
      </c>
      <c r="E1394" s="204">
        <v>6.0</v>
      </c>
      <c r="F1394" s="205">
        <v>0.01</v>
      </c>
      <c r="G1394" s="205">
        <v>0.0</v>
      </c>
    </row>
    <row r="1395" ht="15.75" customHeight="1">
      <c r="A1395" s="200" t="s">
        <v>576</v>
      </c>
      <c r="B1395" s="186" t="s">
        <v>6059</v>
      </c>
      <c r="C1395" s="210" t="s">
        <v>6060</v>
      </c>
      <c r="D1395" s="210"/>
      <c r="E1395" s="204">
        <v>6.0</v>
      </c>
      <c r="F1395" s="205">
        <v>0.01</v>
      </c>
      <c r="G1395" s="205">
        <v>0.5</v>
      </c>
    </row>
    <row r="1396" ht="15.75" customHeight="1">
      <c r="A1396" s="200" t="s">
        <v>576</v>
      </c>
      <c r="B1396" s="186" t="s">
        <v>693</v>
      </c>
      <c r="C1396" s="210" t="s">
        <v>694</v>
      </c>
      <c r="D1396" s="210" t="s">
        <v>1381</v>
      </c>
      <c r="E1396" s="204">
        <v>6.0</v>
      </c>
      <c r="F1396" s="205">
        <v>0.01</v>
      </c>
      <c r="G1396" s="205">
        <v>0.67</v>
      </c>
    </row>
    <row r="1397" ht="15.75" customHeight="1">
      <c r="A1397" s="200" t="s">
        <v>576</v>
      </c>
      <c r="B1397" s="186" t="s">
        <v>6061</v>
      </c>
      <c r="C1397" s="210" t="s">
        <v>6062</v>
      </c>
      <c r="D1397" s="210" t="s">
        <v>6063</v>
      </c>
      <c r="E1397" s="204">
        <v>6.0</v>
      </c>
      <c r="F1397" s="205">
        <v>0.01</v>
      </c>
      <c r="G1397" s="205">
        <v>1.33</v>
      </c>
    </row>
    <row r="1398" ht="15.75" customHeight="1">
      <c r="A1398" s="200" t="s">
        <v>576</v>
      </c>
      <c r="B1398" s="186" t="s">
        <v>6064</v>
      </c>
      <c r="C1398" s="210" t="s">
        <v>6065</v>
      </c>
      <c r="D1398" s="210" t="s">
        <v>380</v>
      </c>
      <c r="E1398" s="204">
        <v>6.0</v>
      </c>
      <c r="F1398" s="205">
        <v>0.01</v>
      </c>
      <c r="G1398" s="205">
        <v>0.0</v>
      </c>
    </row>
    <row r="1399" ht="15.75" customHeight="1">
      <c r="A1399" s="200" t="s">
        <v>576</v>
      </c>
      <c r="B1399" s="186" t="s">
        <v>6066</v>
      </c>
      <c r="C1399" s="210" t="s">
        <v>6067</v>
      </c>
      <c r="D1399" s="210"/>
      <c r="E1399" s="204">
        <v>6.0</v>
      </c>
      <c r="F1399" s="205">
        <v>0.01</v>
      </c>
      <c r="G1399" s="205">
        <v>0.0</v>
      </c>
    </row>
    <row r="1400" ht="15.75" customHeight="1">
      <c r="A1400" s="200" t="s">
        <v>576</v>
      </c>
      <c r="B1400" s="186" t="s">
        <v>6068</v>
      </c>
      <c r="C1400" s="210" t="s">
        <v>6069</v>
      </c>
      <c r="D1400" s="210" t="s">
        <v>1702</v>
      </c>
      <c r="E1400" s="204">
        <v>6.0</v>
      </c>
      <c r="F1400" s="205">
        <v>0.01</v>
      </c>
      <c r="G1400" s="205">
        <v>1.17</v>
      </c>
    </row>
    <row r="1401" ht="15.75" customHeight="1">
      <c r="A1401" s="200" t="s">
        <v>576</v>
      </c>
      <c r="B1401" s="186" t="s">
        <v>6070</v>
      </c>
      <c r="C1401" s="210" t="s">
        <v>6071</v>
      </c>
      <c r="D1401" s="210" t="s">
        <v>6072</v>
      </c>
      <c r="E1401" s="204">
        <v>6.0</v>
      </c>
      <c r="F1401" s="205">
        <v>0.01</v>
      </c>
      <c r="G1401" s="205">
        <v>0.83</v>
      </c>
    </row>
    <row r="1402" ht="15.75" customHeight="1">
      <c r="A1402" s="200" t="s">
        <v>576</v>
      </c>
      <c r="B1402" s="186" t="s">
        <v>6073</v>
      </c>
      <c r="C1402" s="210" t="s">
        <v>6074</v>
      </c>
      <c r="D1402" s="210" t="s">
        <v>5923</v>
      </c>
      <c r="E1402" s="204">
        <v>5.0</v>
      </c>
      <c r="F1402" s="205">
        <v>0.01</v>
      </c>
      <c r="G1402" s="205">
        <v>0.6</v>
      </c>
    </row>
    <row r="1403" ht="15.75" customHeight="1">
      <c r="A1403" s="200" t="s">
        <v>576</v>
      </c>
      <c r="B1403" s="186" t="s">
        <v>6075</v>
      </c>
      <c r="C1403" s="210" t="s">
        <v>6076</v>
      </c>
      <c r="D1403" s="210"/>
      <c r="E1403" s="204">
        <v>5.0</v>
      </c>
      <c r="F1403" s="205">
        <v>0.01</v>
      </c>
      <c r="G1403" s="205">
        <v>1.4</v>
      </c>
    </row>
    <row r="1404" ht="15.75" customHeight="1">
      <c r="A1404" s="200" t="s">
        <v>576</v>
      </c>
      <c r="B1404" s="186" t="s">
        <v>6077</v>
      </c>
      <c r="C1404" s="210" t="s">
        <v>6078</v>
      </c>
      <c r="D1404" s="210" t="s">
        <v>6079</v>
      </c>
      <c r="E1404" s="204">
        <v>5.0</v>
      </c>
      <c r="F1404" s="205">
        <v>0.01</v>
      </c>
      <c r="G1404" s="205">
        <v>0.2</v>
      </c>
    </row>
    <row r="1405" ht="15.75" customHeight="1">
      <c r="A1405" s="200" t="s">
        <v>576</v>
      </c>
      <c r="B1405" s="186" t="s">
        <v>6080</v>
      </c>
      <c r="C1405" s="210" t="s">
        <v>6081</v>
      </c>
      <c r="D1405" s="210" t="s">
        <v>6082</v>
      </c>
      <c r="E1405" s="204">
        <v>5.0</v>
      </c>
      <c r="F1405" s="205">
        <v>0.01</v>
      </c>
      <c r="G1405" s="205">
        <v>0.0</v>
      </c>
    </row>
    <row r="1406" ht="15.75" customHeight="1">
      <c r="A1406" s="200" t="s">
        <v>576</v>
      </c>
      <c r="B1406" s="186" t="s">
        <v>6083</v>
      </c>
      <c r="C1406" s="210" t="s">
        <v>6084</v>
      </c>
      <c r="D1406" s="210" t="s">
        <v>6085</v>
      </c>
      <c r="E1406" s="204">
        <v>5.0</v>
      </c>
      <c r="F1406" s="205">
        <v>0.01</v>
      </c>
      <c r="G1406" s="205">
        <v>0.2</v>
      </c>
    </row>
    <row r="1407" ht="15.75" customHeight="1">
      <c r="A1407" s="200" t="s">
        <v>576</v>
      </c>
      <c r="B1407" s="186" t="s">
        <v>6086</v>
      </c>
      <c r="C1407" s="210" t="s">
        <v>6087</v>
      </c>
      <c r="D1407" s="210" t="s">
        <v>6088</v>
      </c>
      <c r="E1407" s="204">
        <v>5.0</v>
      </c>
      <c r="F1407" s="205">
        <v>0.01</v>
      </c>
      <c r="G1407" s="205">
        <v>0.0</v>
      </c>
    </row>
    <row r="1408" ht="15.75" customHeight="1">
      <c r="A1408" s="200" t="s">
        <v>576</v>
      </c>
      <c r="B1408" s="186" t="s">
        <v>6089</v>
      </c>
      <c r="C1408" s="210" t="s">
        <v>6090</v>
      </c>
      <c r="D1408" s="210" t="s">
        <v>6091</v>
      </c>
      <c r="E1408" s="204">
        <v>5.0</v>
      </c>
      <c r="F1408" s="205">
        <v>0.01</v>
      </c>
      <c r="G1408" s="205">
        <v>0.0</v>
      </c>
    </row>
    <row r="1409" ht="15.75" customHeight="1">
      <c r="A1409" s="200" t="s">
        <v>576</v>
      </c>
      <c r="B1409" s="186" t="s">
        <v>6092</v>
      </c>
      <c r="C1409" s="210" t="s">
        <v>6093</v>
      </c>
      <c r="D1409" s="210" t="s">
        <v>6094</v>
      </c>
      <c r="E1409" s="204">
        <v>5.0</v>
      </c>
      <c r="F1409" s="205">
        <v>0.01</v>
      </c>
      <c r="G1409" s="205">
        <v>1.2</v>
      </c>
    </row>
    <row r="1410" ht="15.75" customHeight="1">
      <c r="A1410" s="200" t="s">
        <v>576</v>
      </c>
      <c r="B1410" s="186" t="s">
        <v>6095</v>
      </c>
      <c r="C1410" s="210" t="s">
        <v>6096</v>
      </c>
      <c r="D1410" s="210" t="s">
        <v>6097</v>
      </c>
      <c r="E1410" s="204">
        <v>5.0</v>
      </c>
      <c r="F1410" s="205">
        <v>0.01</v>
      </c>
      <c r="G1410" s="205">
        <v>2.2</v>
      </c>
    </row>
    <row r="1411" ht="15.75" customHeight="1">
      <c r="A1411" s="200" t="s">
        <v>576</v>
      </c>
      <c r="B1411" s="186" t="s">
        <v>6098</v>
      </c>
      <c r="C1411" s="210" t="s">
        <v>6099</v>
      </c>
      <c r="D1411" s="210" t="s">
        <v>6100</v>
      </c>
      <c r="E1411" s="204">
        <v>5.0</v>
      </c>
      <c r="F1411" s="205">
        <v>0.01</v>
      </c>
      <c r="G1411" s="205">
        <v>1.6</v>
      </c>
    </row>
    <row r="1412" ht="15.75" customHeight="1">
      <c r="A1412" s="200" t="s">
        <v>576</v>
      </c>
      <c r="B1412" s="186" t="s">
        <v>6101</v>
      </c>
      <c r="C1412" s="210" t="s">
        <v>6102</v>
      </c>
      <c r="D1412" s="210" t="s">
        <v>6103</v>
      </c>
      <c r="E1412" s="204">
        <v>5.0</v>
      </c>
      <c r="F1412" s="205">
        <v>0.01</v>
      </c>
      <c r="G1412" s="205">
        <v>0.0</v>
      </c>
    </row>
    <row r="1413" ht="15.75" customHeight="1">
      <c r="A1413" s="200" t="s">
        <v>576</v>
      </c>
      <c r="B1413" s="186" t="s">
        <v>6104</v>
      </c>
      <c r="C1413" s="210" t="s">
        <v>6105</v>
      </c>
      <c r="D1413" s="210" t="s">
        <v>6106</v>
      </c>
      <c r="E1413" s="204">
        <v>5.0</v>
      </c>
      <c r="F1413" s="205">
        <v>0.01</v>
      </c>
      <c r="G1413" s="205">
        <v>0.4</v>
      </c>
    </row>
    <row r="1414" ht="15.75" customHeight="1">
      <c r="A1414" s="200" t="s">
        <v>576</v>
      </c>
      <c r="B1414" s="186" t="s">
        <v>735</v>
      </c>
      <c r="C1414" s="210" t="s">
        <v>736</v>
      </c>
      <c r="D1414" s="210" t="s">
        <v>1430</v>
      </c>
      <c r="E1414" s="204">
        <v>5.0</v>
      </c>
      <c r="F1414" s="205">
        <v>0.01</v>
      </c>
      <c r="G1414" s="205">
        <v>1.2</v>
      </c>
    </row>
    <row r="1415" ht="15.75" customHeight="1">
      <c r="A1415" s="200" t="s">
        <v>576</v>
      </c>
      <c r="B1415" s="186" t="s">
        <v>6107</v>
      </c>
      <c r="C1415" s="210" t="s">
        <v>6108</v>
      </c>
      <c r="D1415" s="210" t="s">
        <v>6109</v>
      </c>
      <c r="E1415" s="204">
        <v>5.0</v>
      </c>
      <c r="F1415" s="205">
        <v>0.01</v>
      </c>
      <c r="G1415" s="205">
        <v>0.6</v>
      </c>
    </row>
    <row r="1416" ht="15.75" customHeight="1">
      <c r="A1416" s="200" t="s">
        <v>576</v>
      </c>
      <c r="B1416" s="186" t="s">
        <v>6110</v>
      </c>
      <c r="C1416" s="210" t="s">
        <v>6111</v>
      </c>
      <c r="D1416" s="210" t="s">
        <v>6112</v>
      </c>
      <c r="E1416" s="204">
        <v>5.0</v>
      </c>
      <c r="F1416" s="205">
        <v>0.01</v>
      </c>
      <c r="G1416" s="205">
        <v>0.0</v>
      </c>
    </row>
    <row r="1417" ht="15.75" customHeight="1">
      <c r="A1417" s="200" t="s">
        <v>576</v>
      </c>
      <c r="B1417" s="186" t="s">
        <v>1998</v>
      </c>
      <c r="C1417" s="210" t="s">
        <v>670</v>
      </c>
      <c r="D1417" s="210" t="s">
        <v>6113</v>
      </c>
      <c r="E1417" s="204">
        <v>5.0</v>
      </c>
      <c r="F1417" s="205">
        <v>0.01</v>
      </c>
      <c r="G1417" s="205">
        <v>0.0</v>
      </c>
    </row>
    <row r="1418" ht="15.75" customHeight="1">
      <c r="A1418" s="200" t="s">
        <v>576</v>
      </c>
      <c r="B1418" s="186" t="s">
        <v>6114</v>
      </c>
      <c r="C1418" s="210" t="s">
        <v>6115</v>
      </c>
      <c r="D1418" s="210" t="s">
        <v>6116</v>
      </c>
      <c r="E1418" s="204">
        <v>5.0</v>
      </c>
      <c r="F1418" s="205">
        <v>0.01</v>
      </c>
      <c r="G1418" s="205">
        <v>1.0</v>
      </c>
    </row>
    <row r="1419" ht="15.75" customHeight="1">
      <c r="A1419" s="200" t="s">
        <v>576</v>
      </c>
      <c r="B1419" s="186" t="s">
        <v>6117</v>
      </c>
      <c r="C1419" s="210" t="s">
        <v>6118</v>
      </c>
      <c r="D1419" s="210" t="s">
        <v>1490</v>
      </c>
      <c r="E1419" s="204">
        <v>5.0</v>
      </c>
      <c r="F1419" s="205">
        <v>0.01</v>
      </c>
      <c r="G1419" s="205">
        <v>1.4</v>
      </c>
    </row>
    <row r="1420" ht="15.75" customHeight="1">
      <c r="A1420" s="200" t="s">
        <v>576</v>
      </c>
      <c r="B1420" s="186" t="s">
        <v>6119</v>
      </c>
      <c r="C1420" s="210" t="s">
        <v>6120</v>
      </c>
      <c r="D1420" s="210"/>
      <c r="E1420" s="204">
        <v>5.0</v>
      </c>
      <c r="F1420" s="205">
        <v>0.01</v>
      </c>
      <c r="G1420" s="205">
        <v>0.0</v>
      </c>
    </row>
    <row r="1421" ht="15.75" customHeight="1">
      <c r="A1421" s="200" t="s">
        <v>576</v>
      </c>
      <c r="B1421" s="186" t="s">
        <v>1431</v>
      </c>
      <c r="C1421" s="210" t="s">
        <v>1432</v>
      </c>
      <c r="D1421" s="210" t="s">
        <v>1434</v>
      </c>
      <c r="E1421" s="204">
        <v>5.0</v>
      </c>
      <c r="F1421" s="205">
        <v>0.01</v>
      </c>
      <c r="G1421" s="205">
        <v>1.2</v>
      </c>
    </row>
    <row r="1422" ht="15.75" customHeight="1">
      <c r="A1422" s="200" t="s">
        <v>576</v>
      </c>
      <c r="B1422" s="186" t="s">
        <v>6121</v>
      </c>
      <c r="C1422" s="210" t="s">
        <v>6122</v>
      </c>
      <c r="D1422" s="210" t="s">
        <v>6123</v>
      </c>
      <c r="E1422" s="204">
        <v>5.0</v>
      </c>
      <c r="F1422" s="205">
        <v>0.01</v>
      </c>
      <c r="G1422" s="205">
        <v>1.2</v>
      </c>
    </row>
    <row r="1423" ht="15.75" customHeight="1">
      <c r="A1423" s="200" t="s">
        <v>576</v>
      </c>
      <c r="B1423" s="186" t="s">
        <v>2960</v>
      </c>
      <c r="C1423" s="210" t="s">
        <v>2961</v>
      </c>
      <c r="D1423" s="210" t="s">
        <v>6124</v>
      </c>
      <c r="E1423" s="204">
        <v>5.0</v>
      </c>
      <c r="F1423" s="205">
        <v>0.01</v>
      </c>
      <c r="G1423" s="205">
        <v>1.0</v>
      </c>
    </row>
    <row r="1424" ht="15.75" customHeight="1">
      <c r="A1424" s="200" t="s">
        <v>576</v>
      </c>
      <c r="B1424" s="186" t="s">
        <v>6125</v>
      </c>
      <c r="C1424" s="210" t="s">
        <v>5825</v>
      </c>
      <c r="D1424" s="210" t="s">
        <v>1503</v>
      </c>
      <c r="E1424" s="204">
        <v>5.0</v>
      </c>
      <c r="F1424" s="205">
        <v>0.01</v>
      </c>
      <c r="G1424" s="205">
        <v>1.4</v>
      </c>
    </row>
    <row r="1425" ht="15.75" customHeight="1">
      <c r="A1425" s="200" t="s">
        <v>576</v>
      </c>
      <c r="B1425" s="186" t="s">
        <v>6126</v>
      </c>
      <c r="C1425" s="210" t="s">
        <v>6127</v>
      </c>
      <c r="D1425" s="210" t="s">
        <v>6128</v>
      </c>
      <c r="E1425" s="204">
        <v>5.0</v>
      </c>
      <c r="F1425" s="205">
        <v>0.01</v>
      </c>
      <c r="G1425" s="205">
        <v>0.2</v>
      </c>
    </row>
    <row r="1426" ht="15.75" customHeight="1">
      <c r="A1426" s="200" t="s">
        <v>576</v>
      </c>
      <c r="B1426" s="186" t="s">
        <v>6129</v>
      </c>
      <c r="C1426" s="210" t="s">
        <v>6130</v>
      </c>
      <c r="D1426" s="210" t="s">
        <v>6131</v>
      </c>
      <c r="E1426" s="204">
        <v>5.0</v>
      </c>
      <c r="F1426" s="205">
        <v>0.01</v>
      </c>
      <c r="G1426" s="205">
        <v>0.6</v>
      </c>
    </row>
    <row r="1427" ht="15.75" customHeight="1">
      <c r="A1427" s="200" t="s">
        <v>576</v>
      </c>
      <c r="B1427" s="186" t="s">
        <v>958</v>
      </c>
      <c r="C1427" s="210" t="s">
        <v>959</v>
      </c>
      <c r="D1427" s="210" t="s">
        <v>6132</v>
      </c>
      <c r="E1427" s="204">
        <v>5.0</v>
      </c>
      <c r="F1427" s="205">
        <v>0.01</v>
      </c>
      <c r="G1427" s="205">
        <v>0.2</v>
      </c>
    </row>
    <row r="1428" ht="15.75" customHeight="1">
      <c r="A1428" s="200" t="s">
        <v>576</v>
      </c>
      <c r="B1428" s="186" t="s">
        <v>6133</v>
      </c>
      <c r="C1428" s="210" t="s">
        <v>6134</v>
      </c>
      <c r="D1428" s="210" t="s">
        <v>6135</v>
      </c>
      <c r="E1428" s="204">
        <v>5.0</v>
      </c>
      <c r="F1428" s="205">
        <v>0.01</v>
      </c>
      <c r="G1428" s="205">
        <v>0.0</v>
      </c>
    </row>
    <row r="1429" ht="15.75" customHeight="1">
      <c r="A1429" s="200" t="s">
        <v>576</v>
      </c>
      <c r="B1429" s="186" t="s">
        <v>6136</v>
      </c>
      <c r="C1429" s="210" t="s">
        <v>6137</v>
      </c>
      <c r="D1429" s="210" t="s">
        <v>6138</v>
      </c>
      <c r="E1429" s="204">
        <v>5.0</v>
      </c>
      <c r="F1429" s="205">
        <v>0.01</v>
      </c>
      <c r="G1429" s="205">
        <v>0.4</v>
      </c>
    </row>
    <row r="1430" ht="15.75" customHeight="1">
      <c r="A1430" s="200" t="s">
        <v>576</v>
      </c>
      <c r="B1430" s="186" t="s">
        <v>6139</v>
      </c>
      <c r="C1430" s="210" t="s">
        <v>6140</v>
      </c>
      <c r="D1430" s="210" t="s">
        <v>6141</v>
      </c>
      <c r="E1430" s="204">
        <v>5.0</v>
      </c>
      <c r="F1430" s="205">
        <v>0.01</v>
      </c>
      <c r="G1430" s="205">
        <v>1.8</v>
      </c>
    </row>
    <row r="1431" ht="15.75" customHeight="1">
      <c r="A1431" s="200" t="s">
        <v>576</v>
      </c>
      <c r="B1431" s="186" t="s">
        <v>6142</v>
      </c>
      <c r="C1431" s="210" t="s">
        <v>6143</v>
      </c>
      <c r="D1431" s="210"/>
      <c r="E1431" s="204">
        <v>5.0</v>
      </c>
      <c r="F1431" s="205">
        <v>0.01</v>
      </c>
      <c r="G1431" s="205">
        <v>0.0</v>
      </c>
    </row>
    <row r="1432" ht="15.75" customHeight="1">
      <c r="A1432" s="200" t="s">
        <v>576</v>
      </c>
      <c r="B1432" s="186" t="s">
        <v>6144</v>
      </c>
      <c r="C1432" s="210" t="s">
        <v>6145</v>
      </c>
      <c r="D1432" s="210" t="s">
        <v>1702</v>
      </c>
      <c r="E1432" s="204">
        <v>5.0</v>
      </c>
      <c r="F1432" s="205">
        <v>0.01</v>
      </c>
      <c r="G1432" s="205">
        <v>0.0</v>
      </c>
    </row>
    <row r="1433" ht="15.75" customHeight="1">
      <c r="A1433" s="200" t="s">
        <v>576</v>
      </c>
      <c r="B1433" s="186" t="s">
        <v>6146</v>
      </c>
      <c r="C1433" s="210" t="s">
        <v>6147</v>
      </c>
      <c r="D1433" s="210" t="s">
        <v>6148</v>
      </c>
      <c r="E1433" s="204">
        <v>4.0</v>
      </c>
      <c r="F1433" s="205">
        <v>0.0</v>
      </c>
      <c r="G1433" s="205">
        <v>0.0</v>
      </c>
    </row>
    <row r="1434" ht="15.75" customHeight="1">
      <c r="A1434" s="200" t="s">
        <v>576</v>
      </c>
      <c r="B1434" s="186" t="s">
        <v>6149</v>
      </c>
      <c r="C1434" s="210" t="s">
        <v>6150</v>
      </c>
      <c r="D1434" s="210" t="s">
        <v>5611</v>
      </c>
      <c r="E1434" s="204">
        <v>4.0</v>
      </c>
      <c r="F1434" s="205">
        <v>0.0</v>
      </c>
      <c r="G1434" s="205">
        <v>0.0</v>
      </c>
    </row>
    <row r="1435" ht="15.75" customHeight="1">
      <c r="A1435" s="200" t="s">
        <v>576</v>
      </c>
      <c r="B1435" s="186" t="s">
        <v>6151</v>
      </c>
      <c r="C1435" s="210" t="s">
        <v>6152</v>
      </c>
      <c r="D1435" s="210" t="s">
        <v>6153</v>
      </c>
      <c r="E1435" s="204">
        <v>4.0</v>
      </c>
      <c r="F1435" s="205">
        <v>0.0</v>
      </c>
      <c r="G1435" s="205">
        <v>1.25</v>
      </c>
    </row>
    <row r="1436" ht="15.75" customHeight="1">
      <c r="A1436" s="200" t="s">
        <v>576</v>
      </c>
      <c r="B1436" s="186" t="s">
        <v>6154</v>
      </c>
      <c r="C1436" s="210" t="s">
        <v>6155</v>
      </c>
      <c r="D1436" s="210" t="s">
        <v>6156</v>
      </c>
      <c r="E1436" s="204">
        <v>4.0</v>
      </c>
      <c r="F1436" s="205">
        <v>0.0</v>
      </c>
      <c r="G1436" s="205">
        <v>0.75</v>
      </c>
    </row>
    <row r="1437" ht="15.75" customHeight="1">
      <c r="A1437" s="200" t="s">
        <v>576</v>
      </c>
      <c r="B1437" s="186" t="s">
        <v>1435</v>
      </c>
      <c r="C1437" s="210" t="s">
        <v>1436</v>
      </c>
      <c r="D1437" s="210" t="s">
        <v>1437</v>
      </c>
      <c r="E1437" s="204">
        <v>4.0</v>
      </c>
      <c r="F1437" s="205">
        <v>0.0</v>
      </c>
      <c r="G1437" s="205">
        <v>4.25</v>
      </c>
    </row>
    <row r="1438" ht="15.75" customHeight="1">
      <c r="A1438" s="200" t="s">
        <v>576</v>
      </c>
      <c r="B1438" s="186" t="s">
        <v>1438</v>
      </c>
      <c r="C1438" s="210" t="s">
        <v>1439</v>
      </c>
      <c r="D1438" s="210" t="s">
        <v>1440</v>
      </c>
      <c r="E1438" s="204">
        <v>4.0</v>
      </c>
      <c r="F1438" s="205">
        <v>0.0</v>
      </c>
      <c r="G1438" s="205">
        <v>0.5</v>
      </c>
    </row>
    <row r="1439" ht="15.75" customHeight="1">
      <c r="A1439" s="200" t="s">
        <v>576</v>
      </c>
      <c r="B1439" s="186" t="s">
        <v>6157</v>
      </c>
      <c r="C1439" s="210" t="s">
        <v>6158</v>
      </c>
      <c r="D1439" s="210"/>
      <c r="E1439" s="204">
        <v>4.0</v>
      </c>
      <c r="F1439" s="205">
        <v>0.0</v>
      </c>
      <c r="G1439" s="205">
        <v>1.25</v>
      </c>
    </row>
    <row r="1440" ht="15.75" customHeight="1">
      <c r="A1440" s="200" t="s">
        <v>576</v>
      </c>
      <c r="B1440" s="186" t="s">
        <v>6159</v>
      </c>
      <c r="C1440" s="210" t="s">
        <v>6160</v>
      </c>
      <c r="D1440" s="210" t="s">
        <v>6161</v>
      </c>
      <c r="E1440" s="204">
        <v>4.0</v>
      </c>
      <c r="F1440" s="205">
        <v>0.0</v>
      </c>
      <c r="G1440" s="205">
        <v>0.0</v>
      </c>
    </row>
    <row r="1441" ht="15.75" customHeight="1">
      <c r="A1441" s="200" t="s">
        <v>576</v>
      </c>
      <c r="B1441" s="186" t="s">
        <v>6162</v>
      </c>
      <c r="C1441" s="210" t="s">
        <v>6163</v>
      </c>
      <c r="D1441" s="210" t="s">
        <v>6164</v>
      </c>
      <c r="E1441" s="204">
        <v>4.0</v>
      </c>
      <c r="F1441" s="205">
        <v>0.0</v>
      </c>
      <c r="G1441" s="205">
        <v>0.0</v>
      </c>
    </row>
    <row r="1442" ht="15.75" customHeight="1">
      <c r="A1442" s="200" t="s">
        <v>576</v>
      </c>
      <c r="B1442" s="186" t="s">
        <v>6165</v>
      </c>
      <c r="C1442" s="210" t="s">
        <v>5625</v>
      </c>
      <c r="D1442" s="210" t="s">
        <v>6166</v>
      </c>
      <c r="E1442" s="204">
        <v>4.0</v>
      </c>
      <c r="F1442" s="205">
        <v>0.0</v>
      </c>
      <c r="G1442" s="205">
        <v>0.0</v>
      </c>
    </row>
    <row r="1443" ht="15.75" customHeight="1">
      <c r="A1443" s="200" t="s">
        <v>576</v>
      </c>
      <c r="B1443" s="186" t="s">
        <v>6167</v>
      </c>
      <c r="C1443" s="210" t="s">
        <v>6168</v>
      </c>
      <c r="D1443" s="210" t="s">
        <v>6169</v>
      </c>
      <c r="E1443" s="204">
        <v>4.0</v>
      </c>
      <c r="F1443" s="205">
        <v>0.0</v>
      </c>
      <c r="G1443" s="205">
        <v>0.5</v>
      </c>
    </row>
    <row r="1444" ht="15.75" customHeight="1">
      <c r="A1444" s="200" t="s">
        <v>576</v>
      </c>
      <c r="B1444" s="186" t="s">
        <v>6170</v>
      </c>
      <c r="C1444" s="210" t="s">
        <v>6171</v>
      </c>
      <c r="D1444" s="210" t="s">
        <v>6172</v>
      </c>
      <c r="E1444" s="204">
        <v>4.0</v>
      </c>
      <c r="F1444" s="205">
        <v>0.0</v>
      </c>
      <c r="G1444" s="205">
        <v>1.0</v>
      </c>
    </row>
    <row r="1445" ht="15.75" customHeight="1">
      <c r="A1445" s="200" t="s">
        <v>576</v>
      </c>
      <c r="B1445" s="186" t="s">
        <v>6173</v>
      </c>
      <c r="C1445" s="210" t="s">
        <v>6174</v>
      </c>
      <c r="D1445" s="210" t="s">
        <v>6175</v>
      </c>
      <c r="E1445" s="204">
        <v>4.0</v>
      </c>
      <c r="F1445" s="205">
        <v>0.0</v>
      </c>
      <c r="G1445" s="205">
        <v>1.5</v>
      </c>
    </row>
    <row r="1446" ht="15.75" customHeight="1">
      <c r="A1446" s="200" t="s">
        <v>576</v>
      </c>
      <c r="B1446" s="186" t="s">
        <v>6176</v>
      </c>
      <c r="C1446" s="210" t="s">
        <v>6177</v>
      </c>
      <c r="D1446" s="210" t="s">
        <v>6178</v>
      </c>
      <c r="E1446" s="204">
        <v>4.0</v>
      </c>
      <c r="F1446" s="205">
        <v>0.0</v>
      </c>
      <c r="G1446" s="205">
        <v>0.0</v>
      </c>
    </row>
    <row r="1447" ht="15.75" customHeight="1">
      <c r="A1447" s="200" t="s">
        <v>576</v>
      </c>
      <c r="B1447" s="186" t="s">
        <v>6179</v>
      </c>
      <c r="C1447" s="210" t="s">
        <v>6180</v>
      </c>
      <c r="D1447" s="210" t="s">
        <v>6181</v>
      </c>
      <c r="E1447" s="204">
        <v>4.0</v>
      </c>
      <c r="F1447" s="205">
        <v>0.0</v>
      </c>
      <c r="G1447" s="205">
        <v>0.75</v>
      </c>
    </row>
    <row r="1448" ht="15.75" customHeight="1">
      <c r="A1448" s="200" t="s">
        <v>576</v>
      </c>
      <c r="B1448" s="186" t="s">
        <v>6182</v>
      </c>
      <c r="C1448" s="210" t="s">
        <v>6183</v>
      </c>
      <c r="D1448" s="210"/>
      <c r="E1448" s="204">
        <v>4.0</v>
      </c>
      <c r="F1448" s="205">
        <v>0.0</v>
      </c>
      <c r="G1448" s="205">
        <v>0.0</v>
      </c>
    </row>
    <row r="1449" ht="15.75" customHeight="1">
      <c r="A1449" s="200" t="s">
        <v>576</v>
      </c>
      <c r="B1449" s="186" t="s">
        <v>6184</v>
      </c>
      <c r="C1449" s="210" t="s">
        <v>6185</v>
      </c>
      <c r="D1449" s="210" t="s">
        <v>6186</v>
      </c>
      <c r="E1449" s="204">
        <v>4.0</v>
      </c>
      <c r="F1449" s="205">
        <v>0.0</v>
      </c>
      <c r="G1449" s="205">
        <v>0.0</v>
      </c>
    </row>
    <row r="1450" ht="15.75" customHeight="1">
      <c r="A1450" s="200" t="s">
        <v>576</v>
      </c>
      <c r="B1450" s="186" t="s">
        <v>6187</v>
      </c>
      <c r="C1450" s="210" t="s">
        <v>6188</v>
      </c>
      <c r="D1450" s="210" t="s">
        <v>6189</v>
      </c>
      <c r="E1450" s="204">
        <v>4.0</v>
      </c>
      <c r="F1450" s="205">
        <v>0.0</v>
      </c>
      <c r="G1450" s="205">
        <v>0.0</v>
      </c>
    </row>
    <row r="1451" ht="15.75" customHeight="1">
      <c r="A1451" s="200" t="s">
        <v>576</v>
      </c>
      <c r="B1451" s="186" t="s">
        <v>1441</v>
      </c>
      <c r="C1451" s="210" t="s">
        <v>1442</v>
      </c>
      <c r="D1451" s="210" t="s">
        <v>1443</v>
      </c>
      <c r="E1451" s="204">
        <v>4.0</v>
      </c>
      <c r="F1451" s="205">
        <v>0.0</v>
      </c>
      <c r="G1451" s="205">
        <v>1.25</v>
      </c>
    </row>
    <row r="1452" ht="15.75" customHeight="1">
      <c r="A1452" s="200" t="s">
        <v>576</v>
      </c>
      <c r="B1452" s="186" t="s">
        <v>3043</v>
      </c>
      <c r="C1452" s="210" t="s">
        <v>3044</v>
      </c>
      <c r="D1452" s="210" t="s">
        <v>6190</v>
      </c>
      <c r="E1452" s="204">
        <v>4.0</v>
      </c>
      <c r="F1452" s="205">
        <v>0.0</v>
      </c>
      <c r="G1452" s="205">
        <v>0.25</v>
      </c>
    </row>
    <row r="1453" ht="15.75" customHeight="1">
      <c r="A1453" s="200" t="s">
        <v>576</v>
      </c>
      <c r="B1453" s="186" t="s">
        <v>6191</v>
      </c>
      <c r="C1453" s="210" t="s">
        <v>6192</v>
      </c>
      <c r="D1453" s="210" t="s">
        <v>6193</v>
      </c>
      <c r="E1453" s="204">
        <v>4.0</v>
      </c>
      <c r="F1453" s="205">
        <v>0.0</v>
      </c>
      <c r="G1453" s="205">
        <v>1.5</v>
      </c>
    </row>
    <row r="1454" ht="15.75" customHeight="1">
      <c r="A1454" s="200" t="s">
        <v>576</v>
      </c>
      <c r="B1454" s="186" t="s">
        <v>682</v>
      </c>
      <c r="C1454" s="210" t="s">
        <v>683</v>
      </c>
      <c r="D1454" s="210" t="s">
        <v>6194</v>
      </c>
      <c r="E1454" s="204">
        <v>4.0</v>
      </c>
      <c r="F1454" s="205">
        <v>0.0</v>
      </c>
      <c r="G1454" s="205">
        <v>0.0</v>
      </c>
    </row>
    <row r="1455" ht="15.75" customHeight="1">
      <c r="A1455" s="200" t="s">
        <v>576</v>
      </c>
      <c r="B1455" s="186" t="s">
        <v>5136</v>
      </c>
      <c r="C1455" s="210" t="s">
        <v>5137</v>
      </c>
      <c r="D1455" s="210"/>
      <c r="E1455" s="204">
        <v>4.0</v>
      </c>
      <c r="F1455" s="205">
        <v>0.0</v>
      </c>
      <c r="G1455" s="205">
        <v>0.5</v>
      </c>
    </row>
    <row r="1456" ht="15.75" customHeight="1">
      <c r="A1456" s="200" t="s">
        <v>576</v>
      </c>
      <c r="B1456" s="186" t="s">
        <v>6195</v>
      </c>
      <c r="C1456" s="210" t="s">
        <v>6196</v>
      </c>
      <c r="D1456" s="210" t="s">
        <v>6197</v>
      </c>
      <c r="E1456" s="204">
        <v>4.0</v>
      </c>
      <c r="F1456" s="205">
        <v>0.0</v>
      </c>
      <c r="G1456" s="205">
        <v>0.0</v>
      </c>
    </row>
    <row r="1457" ht="15.75" customHeight="1">
      <c r="A1457" s="200" t="s">
        <v>576</v>
      </c>
      <c r="B1457" s="186" t="s">
        <v>6198</v>
      </c>
      <c r="C1457" s="210" t="s">
        <v>6199</v>
      </c>
      <c r="D1457" s="210" t="s">
        <v>6200</v>
      </c>
      <c r="E1457" s="204">
        <v>4.0</v>
      </c>
      <c r="F1457" s="205">
        <v>0.0</v>
      </c>
      <c r="G1457" s="205">
        <v>2.0</v>
      </c>
    </row>
    <row r="1458" ht="15.75" customHeight="1">
      <c r="A1458" s="200" t="s">
        <v>576</v>
      </c>
      <c r="B1458" s="186" t="s">
        <v>1445</v>
      </c>
      <c r="C1458" s="210" t="s">
        <v>1446</v>
      </c>
      <c r="D1458" s="210" t="s">
        <v>1354</v>
      </c>
      <c r="E1458" s="204">
        <v>4.0</v>
      </c>
      <c r="F1458" s="205">
        <v>0.0</v>
      </c>
      <c r="G1458" s="205">
        <v>2.0</v>
      </c>
    </row>
    <row r="1459" ht="15.75" customHeight="1">
      <c r="A1459" s="200" t="s">
        <v>576</v>
      </c>
      <c r="B1459" s="186" t="s">
        <v>1447</v>
      </c>
      <c r="C1459" s="210" t="s">
        <v>1448</v>
      </c>
      <c r="D1459" s="210" t="s">
        <v>1449</v>
      </c>
      <c r="E1459" s="204">
        <v>4.0</v>
      </c>
      <c r="F1459" s="205">
        <v>0.0</v>
      </c>
      <c r="G1459" s="205">
        <v>1.0</v>
      </c>
    </row>
    <row r="1460" ht="15.75" customHeight="1">
      <c r="A1460" s="200" t="s">
        <v>576</v>
      </c>
      <c r="B1460" s="186" t="s">
        <v>6201</v>
      </c>
      <c r="C1460" s="210" t="s">
        <v>6202</v>
      </c>
      <c r="D1460" s="210" t="s">
        <v>6203</v>
      </c>
      <c r="E1460" s="204">
        <v>4.0</v>
      </c>
      <c r="F1460" s="205">
        <v>0.0</v>
      </c>
      <c r="G1460" s="205">
        <v>1.25</v>
      </c>
    </row>
    <row r="1461" ht="15.75" customHeight="1">
      <c r="A1461" s="200" t="s">
        <v>576</v>
      </c>
      <c r="B1461" s="186" t="s">
        <v>4072</v>
      </c>
      <c r="C1461" s="210" t="s">
        <v>4073</v>
      </c>
      <c r="D1461" s="210"/>
      <c r="E1461" s="204">
        <v>4.0</v>
      </c>
      <c r="F1461" s="205">
        <v>0.0</v>
      </c>
      <c r="G1461" s="205">
        <v>0.0</v>
      </c>
    </row>
    <row r="1462" ht="15.75" customHeight="1">
      <c r="A1462" s="200" t="s">
        <v>576</v>
      </c>
      <c r="B1462" s="186" t="s">
        <v>2772</v>
      </c>
      <c r="C1462" s="210" t="s">
        <v>2773</v>
      </c>
      <c r="D1462" s="210" t="s">
        <v>1029</v>
      </c>
      <c r="E1462" s="204">
        <v>3.0</v>
      </c>
      <c r="F1462" s="205">
        <v>0.0</v>
      </c>
      <c r="G1462" s="205">
        <v>0.33</v>
      </c>
    </row>
    <row r="1463" ht="15.75" customHeight="1">
      <c r="A1463" s="200" t="s">
        <v>576</v>
      </c>
      <c r="B1463" s="186" t="s">
        <v>6204</v>
      </c>
      <c r="C1463" s="210" t="s">
        <v>6205</v>
      </c>
      <c r="D1463" s="210" t="s">
        <v>6206</v>
      </c>
      <c r="E1463" s="204">
        <v>3.0</v>
      </c>
      <c r="F1463" s="205">
        <v>0.0</v>
      </c>
      <c r="G1463" s="205">
        <v>0.0</v>
      </c>
    </row>
    <row r="1464" ht="15.75" customHeight="1">
      <c r="A1464" s="200" t="s">
        <v>576</v>
      </c>
      <c r="B1464" s="186" t="s">
        <v>6207</v>
      </c>
      <c r="C1464" s="210" t="s">
        <v>6208</v>
      </c>
      <c r="D1464" s="210" t="s">
        <v>5623</v>
      </c>
      <c r="E1464" s="204">
        <v>3.0</v>
      </c>
      <c r="F1464" s="205">
        <v>0.0</v>
      </c>
      <c r="G1464" s="205">
        <v>1.0</v>
      </c>
    </row>
    <row r="1465" ht="15.75" customHeight="1">
      <c r="A1465" s="200" t="s">
        <v>576</v>
      </c>
      <c r="B1465" s="186" t="s">
        <v>6209</v>
      </c>
      <c r="C1465" s="210" t="s">
        <v>6210</v>
      </c>
      <c r="D1465" s="210" t="s">
        <v>6148</v>
      </c>
      <c r="E1465" s="204">
        <v>3.0</v>
      </c>
      <c r="F1465" s="205">
        <v>0.0</v>
      </c>
      <c r="G1465" s="205">
        <v>1.0</v>
      </c>
    </row>
    <row r="1466" ht="15.75" customHeight="1">
      <c r="A1466" s="200" t="s">
        <v>576</v>
      </c>
      <c r="B1466" s="186" t="s">
        <v>6211</v>
      </c>
      <c r="C1466" s="210" t="s">
        <v>6212</v>
      </c>
      <c r="D1466" s="210" t="s">
        <v>6213</v>
      </c>
      <c r="E1466" s="204">
        <v>3.0</v>
      </c>
      <c r="F1466" s="205">
        <v>0.0</v>
      </c>
      <c r="G1466" s="205">
        <v>0.0</v>
      </c>
    </row>
    <row r="1467" ht="15.75" customHeight="1">
      <c r="A1467" s="200" t="s">
        <v>576</v>
      </c>
      <c r="B1467" s="186" t="s">
        <v>6214</v>
      </c>
      <c r="C1467" s="210" t="s">
        <v>6215</v>
      </c>
      <c r="D1467" s="210"/>
      <c r="E1467" s="204">
        <v>3.0</v>
      </c>
      <c r="F1467" s="205">
        <v>0.0</v>
      </c>
      <c r="G1467" s="205">
        <v>0.0</v>
      </c>
    </row>
    <row r="1468" ht="15.75" customHeight="1">
      <c r="A1468" s="200" t="s">
        <v>576</v>
      </c>
      <c r="B1468" s="186" t="s">
        <v>6216</v>
      </c>
      <c r="C1468" s="210" t="s">
        <v>6217</v>
      </c>
      <c r="D1468" s="210" t="s">
        <v>380</v>
      </c>
      <c r="E1468" s="204">
        <v>3.0</v>
      </c>
      <c r="F1468" s="205">
        <v>0.0</v>
      </c>
      <c r="G1468" s="205">
        <v>0.0</v>
      </c>
    </row>
    <row r="1469" ht="15.75" customHeight="1">
      <c r="A1469" s="200" t="s">
        <v>576</v>
      </c>
      <c r="B1469" s="186" t="s">
        <v>1450</v>
      </c>
      <c r="C1469" s="210" t="s">
        <v>1451</v>
      </c>
      <c r="D1469" s="210" t="s">
        <v>1452</v>
      </c>
      <c r="E1469" s="204">
        <v>3.0</v>
      </c>
      <c r="F1469" s="205">
        <v>0.0</v>
      </c>
      <c r="G1469" s="205">
        <v>0.67</v>
      </c>
    </row>
    <row r="1470" ht="15.75" customHeight="1">
      <c r="A1470" s="200" t="s">
        <v>576</v>
      </c>
      <c r="B1470" s="186" t="s">
        <v>6218</v>
      </c>
      <c r="C1470" s="210" t="s">
        <v>6219</v>
      </c>
      <c r="D1470" s="210" t="s">
        <v>6220</v>
      </c>
      <c r="E1470" s="204">
        <v>3.0</v>
      </c>
      <c r="F1470" s="205">
        <v>0.0</v>
      </c>
      <c r="G1470" s="205">
        <v>1.0</v>
      </c>
    </row>
    <row r="1471" ht="15.75" customHeight="1">
      <c r="A1471" s="200" t="s">
        <v>576</v>
      </c>
      <c r="B1471" s="186" t="s">
        <v>6221</v>
      </c>
      <c r="C1471" s="210" t="s">
        <v>6222</v>
      </c>
      <c r="D1471" s="210" t="s">
        <v>6223</v>
      </c>
      <c r="E1471" s="204">
        <v>3.0</v>
      </c>
      <c r="F1471" s="205">
        <v>0.0</v>
      </c>
      <c r="G1471" s="205">
        <v>0.33</v>
      </c>
    </row>
    <row r="1472" ht="15.75" customHeight="1">
      <c r="A1472" s="200" t="s">
        <v>576</v>
      </c>
      <c r="B1472" s="186" t="s">
        <v>6224</v>
      </c>
      <c r="C1472" s="210" t="s">
        <v>6225</v>
      </c>
      <c r="D1472" s="210" t="s">
        <v>6226</v>
      </c>
      <c r="E1472" s="204">
        <v>3.0</v>
      </c>
      <c r="F1472" s="205">
        <v>0.0</v>
      </c>
      <c r="G1472" s="205">
        <v>3.33</v>
      </c>
    </row>
    <row r="1473" ht="15.75" customHeight="1">
      <c r="A1473" s="200" t="s">
        <v>576</v>
      </c>
      <c r="B1473" s="186" t="s">
        <v>6227</v>
      </c>
      <c r="C1473" s="210" t="s">
        <v>6228</v>
      </c>
      <c r="D1473" s="210" t="s">
        <v>6229</v>
      </c>
      <c r="E1473" s="204">
        <v>3.0</v>
      </c>
      <c r="F1473" s="205">
        <v>0.0</v>
      </c>
      <c r="G1473" s="205">
        <v>0.0</v>
      </c>
    </row>
    <row r="1474" ht="15.75" customHeight="1">
      <c r="A1474" s="200" t="s">
        <v>576</v>
      </c>
      <c r="B1474" s="186" t="s">
        <v>6230</v>
      </c>
      <c r="C1474" s="210" t="s">
        <v>6231</v>
      </c>
      <c r="D1474" s="210" t="s">
        <v>6232</v>
      </c>
      <c r="E1474" s="204">
        <v>3.0</v>
      </c>
      <c r="F1474" s="205">
        <v>0.0</v>
      </c>
      <c r="G1474" s="205">
        <v>0.0</v>
      </c>
    </row>
    <row r="1475" ht="15.75" customHeight="1">
      <c r="A1475" s="200" t="s">
        <v>576</v>
      </c>
      <c r="B1475" s="186" t="s">
        <v>6233</v>
      </c>
      <c r="C1475" s="210" t="s">
        <v>6234</v>
      </c>
      <c r="D1475" s="210" t="s">
        <v>6235</v>
      </c>
      <c r="E1475" s="204">
        <v>3.0</v>
      </c>
      <c r="F1475" s="205">
        <v>0.0</v>
      </c>
      <c r="G1475" s="205">
        <v>0.0</v>
      </c>
    </row>
    <row r="1476" ht="15.75" customHeight="1">
      <c r="A1476" s="200" t="s">
        <v>576</v>
      </c>
      <c r="B1476" s="186" t="s">
        <v>6236</v>
      </c>
      <c r="C1476" s="210" t="s">
        <v>6237</v>
      </c>
      <c r="D1476" s="210" t="s">
        <v>6238</v>
      </c>
      <c r="E1476" s="204">
        <v>3.0</v>
      </c>
      <c r="F1476" s="205">
        <v>0.0</v>
      </c>
      <c r="G1476" s="205">
        <v>0.0</v>
      </c>
    </row>
    <row r="1477" ht="15.75" customHeight="1">
      <c r="A1477" s="200" t="s">
        <v>576</v>
      </c>
      <c r="B1477" s="186" t="s">
        <v>6239</v>
      </c>
      <c r="C1477" s="210" t="s">
        <v>6240</v>
      </c>
      <c r="D1477" s="210"/>
      <c r="E1477" s="204">
        <v>3.0</v>
      </c>
      <c r="F1477" s="205">
        <v>0.0</v>
      </c>
      <c r="G1477" s="205">
        <v>0.67</v>
      </c>
    </row>
    <row r="1478" ht="15.75" customHeight="1">
      <c r="A1478" s="200" t="s">
        <v>576</v>
      </c>
      <c r="B1478" s="186" t="s">
        <v>6241</v>
      </c>
      <c r="C1478" s="210" t="s">
        <v>6242</v>
      </c>
      <c r="D1478" s="210" t="s">
        <v>6243</v>
      </c>
      <c r="E1478" s="204">
        <v>3.0</v>
      </c>
      <c r="F1478" s="205">
        <v>0.0</v>
      </c>
      <c r="G1478" s="205">
        <v>1.67</v>
      </c>
    </row>
    <row r="1479" ht="15.75" customHeight="1">
      <c r="A1479" s="200" t="s">
        <v>576</v>
      </c>
      <c r="B1479" s="186" t="s">
        <v>3233</v>
      </c>
      <c r="C1479" s="210" t="s">
        <v>3234</v>
      </c>
      <c r="D1479" s="210"/>
      <c r="E1479" s="204">
        <v>3.0</v>
      </c>
      <c r="F1479" s="205">
        <v>0.0</v>
      </c>
      <c r="G1479" s="205">
        <v>0.0</v>
      </c>
    </row>
    <row r="1480" ht="15.75" customHeight="1">
      <c r="A1480" s="200" t="s">
        <v>576</v>
      </c>
      <c r="B1480" s="186" t="s">
        <v>6244</v>
      </c>
      <c r="C1480" s="210" t="s">
        <v>6245</v>
      </c>
      <c r="D1480" s="210" t="s">
        <v>6246</v>
      </c>
      <c r="E1480" s="204">
        <v>3.0</v>
      </c>
      <c r="F1480" s="205">
        <v>0.0</v>
      </c>
      <c r="G1480" s="205">
        <v>0.0</v>
      </c>
    </row>
    <row r="1481" ht="15.75" customHeight="1">
      <c r="A1481" s="200" t="s">
        <v>576</v>
      </c>
      <c r="B1481" s="186" t="s">
        <v>6247</v>
      </c>
      <c r="C1481" s="210" t="s">
        <v>5877</v>
      </c>
      <c r="D1481" s="210" t="s">
        <v>6248</v>
      </c>
      <c r="E1481" s="204">
        <v>3.0</v>
      </c>
      <c r="F1481" s="205">
        <v>0.0</v>
      </c>
      <c r="G1481" s="205">
        <v>0.0</v>
      </c>
    </row>
    <row r="1482" ht="15.75" customHeight="1">
      <c r="A1482" s="200" t="s">
        <v>576</v>
      </c>
      <c r="B1482" s="186" t="s">
        <v>6249</v>
      </c>
      <c r="C1482" s="210" t="s">
        <v>6105</v>
      </c>
      <c r="D1482" s="210" t="s">
        <v>6106</v>
      </c>
      <c r="E1482" s="204">
        <v>3.0</v>
      </c>
      <c r="F1482" s="205">
        <v>0.0</v>
      </c>
      <c r="G1482" s="205">
        <v>0.0</v>
      </c>
    </row>
    <row r="1483" ht="15.75" customHeight="1">
      <c r="A1483" s="200" t="s">
        <v>576</v>
      </c>
      <c r="B1483" s="186" t="s">
        <v>6250</v>
      </c>
      <c r="C1483" s="210" t="s">
        <v>6251</v>
      </c>
      <c r="D1483" s="210" t="s">
        <v>1490</v>
      </c>
      <c r="E1483" s="204">
        <v>3.0</v>
      </c>
      <c r="F1483" s="205">
        <v>0.0</v>
      </c>
      <c r="G1483" s="205">
        <v>0.0</v>
      </c>
    </row>
    <row r="1484" ht="15.75" customHeight="1">
      <c r="A1484" s="200" t="s">
        <v>576</v>
      </c>
      <c r="B1484" s="186" t="s">
        <v>6252</v>
      </c>
      <c r="C1484" s="210" t="s">
        <v>6253</v>
      </c>
      <c r="D1484" s="210" t="s">
        <v>6254</v>
      </c>
      <c r="E1484" s="204">
        <v>3.0</v>
      </c>
      <c r="F1484" s="205">
        <v>0.0</v>
      </c>
      <c r="G1484" s="205">
        <v>0.0</v>
      </c>
    </row>
    <row r="1485" ht="15.75" customHeight="1">
      <c r="A1485" s="200" t="s">
        <v>576</v>
      </c>
      <c r="B1485" s="186" t="s">
        <v>6255</v>
      </c>
      <c r="C1485" s="210" t="s">
        <v>6256</v>
      </c>
      <c r="D1485" s="210" t="s">
        <v>6257</v>
      </c>
      <c r="E1485" s="204">
        <v>3.0</v>
      </c>
      <c r="F1485" s="205">
        <v>0.0</v>
      </c>
      <c r="G1485" s="205">
        <v>0.0</v>
      </c>
    </row>
    <row r="1486" ht="15.75" customHeight="1">
      <c r="A1486" s="200" t="s">
        <v>576</v>
      </c>
      <c r="B1486" s="186" t="s">
        <v>3974</v>
      </c>
      <c r="C1486" s="210" t="s">
        <v>3975</v>
      </c>
      <c r="D1486" s="210" t="s">
        <v>6258</v>
      </c>
      <c r="E1486" s="204">
        <v>3.0</v>
      </c>
      <c r="F1486" s="205">
        <v>0.0</v>
      </c>
      <c r="G1486" s="205">
        <v>0.0</v>
      </c>
    </row>
    <row r="1487" ht="15.75" customHeight="1">
      <c r="A1487" s="200" t="s">
        <v>576</v>
      </c>
      <c r="B1487" s="186" t="s">
        <v>6259</v>
      </c>
      <c r="C1487" s="210" t="s">
        <v>6260</v>
      </c>
      <c r="D1487" s="210" t="s">
        <v>6261</v>
      </c>
      <c r="E1487" s="204">
        <v>3.0</v>
      </c>
      <c r="F1487" s="205">
        <v>0.0</v>
      </c>
      <c r="G1487" s="205">
        <v>1.67</v>
      </c>
    </row>
    <row r="1488" ht="15.75" customHeight="1">
      <c r="A1488" s="200" t="s">
        <v>576</v>
      </c>
      <c r="B1488" s="186" t="s">
        <v>6262</v>
      </c>
      <c r="C1488" s="210" t="s">
        <v>6263</v>
      </c>
      <c r="D1488" s="210" t="s">
        <v>6264</v>
      </c>
      <c r="E1488" s="204">
        <v>3.0</v>
      </c>
      <c r="F1488" s="205">
        <v>0.0</v>
      </c>
      <c r="G1488" s="205">
        <v>1.0</v>
      </c>
    </row>
    <row r="1489" ht="15.75" customHeight="1">
      <c r="A1489" s="200" t="s">
        <v>576</v>
      </c>
      <c r="B1489" s="186" t="s">
        <v>6265</v>
      </c>
      <c r="C1489" s="210" t="s">
        <v>6266</v>
      </c>
      <c r="D1489" s="210" t="s">
        <v>6267</v>
      </c>
      <c r="E1489" s="204">
        <v>3.0</v>
      </c>
      <c r="F1489" s="205">
        <v>0.0</v>
      </c>
      <c r="G1489" s="205">
        <v>1.0</v>
      </c>
    </row>
    <row r="1490" ht="15.75" customHeight="1">
      <c r="A1490" s="200" t="s">
        <v>576</v>
      </c>
      <c r="B1490" s="186" t="s">
        <v>6268</v>
      </c>
      <c r="C1490" s="210" t="s">
        <v>6269</v>
      </c>
      <c r="D1490" s="210" t="s">
        <v>6270</v>
      </c>
      <c r="E1490" s="204">
        <v>3.0</v>
      </c>
      <c r="F1490" s="205">
        <v>0.0</v>
      </c>
      <c r="G1490" s="205">
        <v>0.0</v>
      </c>
    </row>
    <row r="1491" ht="15.75" customHeight="1">
      <c r="A1491" s="200" t="s">
        <v>576</v>
      </c>
      <c r="B1491" s="186" t="s">
        <v>6271</v>
      </c>
      <c r="C1491" s="210" t="s">
        <v>6272</v>
      </c>
      <c r="D1491" s="210" t="s">
        <v>6273</v>
      </c>
      <c r="E1491" s="204">
        <v>3.0</v>
      </c>
      <c r="F1491" s="205">
        <v>0.0</v>
      </c>
      <c r="G1491" s="205">
        <v>0.33</v>
      </c>
    </row>
    <row r="1492" ht="15.75" customHeight="1">
      <c r="A1492" s="200" t="s">
        <v>576</v>
      </c>
      <c r="B1492" s="186" t="s">
        <v>6274</v>
      </c>
      <c r="C1492" s="210" t="s">
        <v>6275</v>
      </c>
      <c r="D1492" s="210" t="s">
        <v>1687</v>
      </c>
      <c r="E1492" s="204">
        <v>3.0</v>
      </c>
      <c r="F1492" s="205">
        <v>0.0</v>
      </c>
      <c r="G1492" s="205">
        <v>0.0</v>
      </c>
    </row>
    <row r="1493" ht="15.75" customHeight="1">
      <c r="A1493" s="200" t="s">
        <v>576</v>
      </c>
      <c r="B1493" s="186" t="s">
        <v>1453</v>
      </c>
      <c r="C1493" s="210" t="s">
        <v>1454</v>
      </c>
      <c r="D1493" s="210" t="s">
        <v>1455</v>
      </c>
      <c r="E1493" s="204">
        <v>3.0</v>
      </c>
      <c r="F1493" s="205">
        <v>0.0</v>
      </c>
      <c r="G1493" s="205">
        <v>0.67</v>
      </c>
    </row>
    <row r="1494" ht="15.75" customHeight="1">
      <c r="A1494" s="200" t="s">
        <v>576</v>
      </c>
      <c r="B1494" s="186" t="s">
        <v>6276</v>
      </c>
      <c r="C1494" s="210" t="s">
        <v>6277</v>
      </c>
      <c r="D1494" s="210" t="s">
        <v>6278</v>
      </c>
      <c r="E1494" s="204">
        <v>3.0</v>
      </c>
      <c r="F1494" s="205">
        <v>0.0</v>
      </c>
      <c r="G1494" s="205">
        <v>0.0</v>
      </c>
    </row>
    <row r="1495" ht="15.75" customHeight="1">
      <c r="A1495" s="200" t="s">
        <v>576</v>
      </c>
      <c r="B1495" s="186" t="s">
        <v>6279</v>
      </c>
      <c r="C1495" s="210" t="s">
        <v>6280</v>
      </c>
      <c r="D1495" s="210" t="s">
        <v>6281</v>
      </c>
      <c r="E1495" s="204">
        <v>3.0</v>
      </c>
      <c r="F1495" s="205">
        <v>0.0</v>
      </c>
      <c r="G1495" s="205">
        <v>0.0</v>
      </c>
    </row>
    <row r="1496" ht="15.75" customHeight="1">
      <c r="A1496" s="200" t="s">
        <v>576</v>
      </c>
      <c r="B1496" s="186" t="s">
        <v>6282</v>
      </c>
      <c r="C1496" s="210" t="s">
        <v>6283</v>
      </c>
      <c r="D1496" s="210" t="s">
        <v>6284</v>
      </c>
      <c r="E1496" s="204">
        <v>3.0</v>
      </c>
      <c r="F1496" s="205">
        <v>0.0</v>
      </c>
      <c r="G1496" s="205">
        <v>0.0</v>
      </c>
    </row>
    <row r="1497" ht="15.75" customHeight="1">
      <c r="A1497" s="200" t="s">
        <v>576</v>
      </c>
      <c r="B1497" s="186" t="s">
        <v>6285</v>
      </c>
      <c r="C1497" s="210" t="s">
        <v>6286</v>
      </c>
      <c r="D1497" s="210" t="s">
        <v>1702</v>
      </c>
      <c r="E1497" s="204">
        <v>3.0</v>
      </c>
      <c r="F1497" s="205">
        <v>0.0</v>
      </c>
      <c r="G1497" s="205">
        <v>0.0</v>
      </c>
    </row>
    <row r="1498" ht="15.75" customHeight="1">
      <c r="A1498" s="200" t="s">
        <v>576</v>
      </c>
      <c r="B1498" s="186" t="s">
        <v>6287</v>
      </c>
      <c r="C1498" s="210" t="s">
        <v>6288</v>
      </c>
      <c r="D1498" s="210" t="s">
        <v>6289</v>
      </c>
      <c r="E1498" s="204">
        <v>3.0</v>
      </c>
      <c r="F1498" s="205">
        <v>0.0</v>
      </c>
      <c r="G1498" s="205">
        <v>0.0</v>
      </c>
    </row>
    <row r="1499" ht="15.75" customHeight="1">
      <c r="A1499" s="200" t="s">
        <v>576</v>
      </c>
      <c r="B1499" s="186" t="s">
        <v>6290</v>
      </c>
      <c r="C1499" s="210" t="s">
        <v>6288</v>
      </c>
      <c r="D1499" s="210" t="s">
        <v>6291</v>
      </c>
      <c r="E1499" s="204">
        <v>3.0</v>
      </c>
      <c r="F1499" s="205">
        <v>0.0</v>
      </c>
      <c r="G1499" s="205">
        <v>0.0</v>
      </c>
    </row>
    <row r="1500" ht="15.75" customHeight="1">
      <c r="A1500" s="200" t="s">
        <v>576</v>
      </c>
      <c r="B1500" s="186" t="s">
        <v>6292</v>
      </c>
      <c r="C1500" s="210" t="s">
        <v>6293</v>
      </c>
      <c r="D1500" s="210" t="s">
        <v>6294</v>
      </c>
      <c r="E1500" s="204">
        <v>3.0</v>
      </c>
      <c r="F1500" s="205">
        <v>0.0</v>
      </c>
      <c r="G1500" s="205">
        <v>0.0</v>
      </c>
    </row>
    <row r="1501" ht="15.75" customHeight="1">
      <c r="A1501" s="200" t="s">
        <v>576</v>
      </c>
      <c r="B1501" s="186" t="s">
        <v>6295</v>
      </c>
      <c r="C1501" s="210" t="s">
        <v>6296</v>
      </c>
      <c r="D1501" s="210" t="s">
        <v>862</v>
      </c>
      <c r="E1501" s="204">
        <v>3.0</v>
      </c>
      <c r="F1501" s="205">
        <v>0.0</v>
      </c>
      <c r="G1501" s="205">
        <v>1.33</v>
      </c>
    </row>
    <row r="1502" ht="15.75" customHeight="1">
      <c r="A1502" s="200" t="s">
        <v>576</v>
      </c>
      <c r="B1502" s="186" t="s">
        <v>6297</v>
      </c>
      <c r="C1502" s="210" t="s">
        <v>6298</v>
      </c>
      <c r="D1502" s="210" t="s">
        <v>6299</v>
      </c>
      <c r="E1502" s="204">
        <v>3.0</v>
      </c>
      <c r="F1502" s="205">
        <v>0.0</v>
      </c>
      <c r="G1502" s="205">
        <v>0.0</v>
      </c>
    </row>
    <row r="1503" ht="15.75" customHeight="1">
      <c r="A1503" s="200" t="s">
        <v>576</v>
      </c>
      <c r="B1503" s="186" t="s">
        <v>6300</v>
      </c>
      <c r="C1503" s="210" t="s">
        <v>6301</v>
      </c>
      <c r="D1503" s="210" t="s">
        <v>6302</v>
      </c>
      <c r="E1503" s="204">
        <v>3.0</v>
      </c>
      <c r="F1503" s="205">
        <v>0.0</v>
      </c>
      <c r="G1503" s="205">
        <v>0.0</v>
      </c>
    </row>
    <row r="1504" ht="15.75" customHeight="1">
      <c r="A1504" s="200" t="s">
        <v>576</v>
      </c>
      <c r="B1504" s="186" t="s">
        <v>6303</v>
      </c>
      <c r="C1504" s="210" t="s">
        <v>6304</v>
      </c>
      <c r="D1504" s="210"/>
      <c r="E1504" s="204">
        <v>2.0</v>
      </c>
      <c r="F1504" s="205">
        <v>0.0</v>
      </c>
      <c r="G1504" s="205">
        <v>0.5</v>
      </c>
    </row>
    <row r="1505" ht="15.75" customHeight="1">
      <c r="A1505" s="200" t="s">
        <v>576</v>
      </c>
      <c r="B1505" s="186" t="s">
        <v>6305</v>
      </c>
      <c r="C1505" s="210" t="s">
        <v>6306</v>
      </c>
      <c r="D1505" s="210" t="s">
        <v>6307</v>
      </c>
      <c r="E1505" s="204">
        <v>2.0</v>
      </c>
      <c r="F1505" s="205">
        <v>0.0</v>
      </c>
      <c r="G1505" s="205">
        <v>1.0</v>
      </c>
    </row>
    <row r="1506" ht="15.75" customHeight="1">
      <c r="A1506" s="200" t="s">
        <v>576</v>
      </c>
      <c r="B1506" s="186" t="s">
        <v>6308</v>
      </c>
      <c r="C1506" s="210" t="s">
        <v>6309</v>
      </c>
      <c r="D1506" s="210" t="s">
        <v>5891</v>
      </c>
      <c r="E1506" s="204">
        <v>2.0</v>
      </c>
      <c r="F1506" s="205">
        <v>0.0</v>
      </c>
      <c r="G1506" s="205">
        <v>0.0</v>
      </c>
    </row>
    <row r="1507" ht="15.75" customHeight="1">
      <c r="A1507" s="200" t="s">
        <v>576</v>
      </c>
      <c r="B1507" s="186" t="s">
        <v>6310</v>
      </c>
      <c r="C1507" s="210" t="s">
        <v>6311</v>
      </c>
      <c r="D1507" s="210" t="s">
        <v>6312</v>
      </c>
      <c r="E1507" s="204">
        <v>2.0</v>
      </c>
      <c r="F1507" s="205">
        <v>0.0</v>
      </c>
      <c r="G1507" s="205">
        <v>0.0</v>
      </c>
    </row>
    <row r="1508" ht="15.75" customHeight="1">
      <c r="A1508" s="200" t="s">
        <v>576</v>
      </c>
      <c r="B1508" s="186" t="s">
        <v>6313</v>
      </c>
      <c r="C1508" s="210" t="s">
        <v>6314</v>
      </c>
      <c r="D1508" s="210" t="s">
        <v>6315</v>
      </c>
      <c r="E1508" s="204">
        <v>2.0</v>
      </c>
      <c r="F1508" s="205">
        <v>0.0</v>
      </c>
      <c r="G1508" s="205">
        <v>1.0</v>
      </c>
    </row>
    <row r="1509" ht="15.75" customHeight="1">
      <c r="A1509" s="200" t="s">
        <v>576</v>
      </c>
      <c r="B1509" s="186" t="s">
        <v>6316</v>
      </c>
      <c r="C1509" s="210" t="s">
        <v>6317</v>
      </c>
      <c r="D1509" s="210" t="s">
        <v>5644</v>
      </c>
      <c r="E1509" s="204">
        <v>2.0</v>
      </c>
      <c r="F1509" s="205">
        <v>0.0</v>
      </c>
      <c r="G1509" s="205">
        <v>0.0</v>
      </c>
    </row>
    <row r="1510" ht="15.75" customHeight="1">
      <c r="A1510" s="200" t="s">
        <v>576</v>
      </c>
      <c r="B1510" s="186" t="s">
        <v>6318</v>
      </c>
      <c r="C1510" s="210" t="s">
        <v>6319</v>
      </c>
      <c r="D1510" s="210" t="s">
        <v>6320</v>
      </c>
      <c r="E1510" s="204">
        <v>2.0</v>
      </c>
      <c r="F1510" s="205">
        <v>0.0</v>
      </c>
      <c r="G1510" s="205">
        <v>2.0</v>
      </c>
    </row>
    <row r="1511" ht="15.75" customHeight="1">
      <c r="A1511" s="200" t="s">
        <v>576</v>
      </c>
      <c r="B1511" s="186" t="s">
        <v>6321</v>
      </c>
      <c r="C1511" s="210" t="s">
        <v>6322</v>
      </c>
      <c r="D1511" s="210" t="s">
        <v>6323</v>
      </c>
      <c r="E1511" s="204">
        <v>2.0</v>
      </c>
      <c r="F1511" s="205">
        <v>0.0</v>
      </c>
      <c r="G1511" s="205">
        <v>0.0</v>
      </c>
    </row>
    <row r="1512" ht="15.75" customHeight="1">
      <c r="A1512" s="200" t="s">
        <v>576</v>
      </c>
      <c r="B1512" s="186" t="s">
        <v>6324</v>
      </c>
      <c r="C1512" s="210" t="s">
        <v>6325</v>
      </c>
      <c r="D1512" s="210"/>
      <c r="E1512" s="204">
        <v>2.0</v>
      </c>
      <c r="F1512" s="205">
        <v>0.0</v>
      </c>
      <c r="G1512" s="205">
        <v>0.0</v>
      </c>
    </row>
    <row r="1513" ht="15.75" customHeight="1">
      <c r="A1513" s="200" t="s">
        <v>576</v>
      </c>
      <c r="B1513" s="186" t="s">
        <v>6326</v>
      </c>
      <c r="C1513" s="210" t="s">
        <v>6327</v>
      </c>
      <c r="D1513" s="210" t="s">
        <v>6328</v>
      </c>
      <c r="E1513" s="204">
        <v>2.0</v>
      </c>
      <c r="F1513" s="205">
        <v>0.0</v>
      </c>
      <c r="G1513" s="205">
        <v>0.5</v>
      </c>
    </row>
    <row r="1514" ht="15.75" customHeight="1">
      <c r="A1514" s="200" t="s">
        <v>576</v>
      </c>
      <c r="B1514" s="186" t="s">
        <v>6329</v>
      </c>
      <c r="C1514" s="210" t="s">
        <v>6330</v>
      </c>
      <c r="D1514" s="210" t="s">
        <v>6331</v>
      </c>
      <c r="E1514" s="204">
        <v>2.0</v>
      </c>
      <c r="F1514" s="205">
        <v>0.0</v>
      </c>
      <c r="G1514" s="205">
        <v>0.0</v>
      </c>
    </row>
    <row r="1515" ht="15.75" customHeight="1">
      <c r="A1515" s="200" t="s">
        <v>576</v>
      </c>
      <c r="B1515" s="186" t="s">
        <v>6332</v>
      </c>
      <c r="C1515" s="210" t="s">
        <v>6333</v>
      </c>
      <c r="D1515" s="210" t="s">
        <v>6334</v>
      </c>
      <c r="E1515" s="204">
        <v>2.0</v>
      </c>
      <c r="F1515" s="205">
        <v>0.0</v>
      </c>
      <c r="G1515" s="205">
        <v>1.5</v>
      </c>
    </row>
    <row r="1516" ht="15.75" customHeight="1">
      <c r="A1516" s="200" t="s">
        <v>576</v>
      </c>
      <c r="B1516" s="186" t="s">
        <v>3097</v>
      </c>
      <c r="C1516" s="210" t="s">
        <v>3098</v>
      </c>
      <c r="D1516" s="210"/>
      <c r="E1516" s="204">
        <v>2.0</v>
      </c>
      <c r="F1516" s="205">
        <v>0.0</v>
      </c>
      <c r="G1516" s="205">
        <v>0.0</v>
      </c>
    </row>
    <row r="1517" ht="15.75" customHeight="1">
      <c r="A1517" s="200" t="s">
        <v>576</v>
      </c>
      <c r="B1517" s="186" t="s">
        <v>6335</v>
      </c>
      <c r="C1517" s="210" t="s">
        <v>6336</v>
      </c>
      <c r="D1517" s="210"/>
      <c r="E1517" s="204">
        <v>2.0</v>
      </c>
      <c r="F1517" s="205">
        <v>0.0</v>
      </c>
      <c r="G1517" s="205">
        <v>0.0</v>
      </c>
    </row>
    <row r="1518" ht="15.75" customHeight="1">
      <c r="A1518" s="200" t="s">
        <v>576</v>
      </c>
      <c r="B1518" s="186" t="s">
        <v>6337</v>
      </c>
      <c r="C1518" s="210" t="s">
        <v>6338</v>
      </c>
      <c r="D1518" s="210" t="s">
        <v>6339</v>
      </c>
      <c r="E1518" s="204">
        <v>2.0</v>
      </c>
      <c r="F1518" s="205">
        <v>0.0</v>
      </c>
      <c r="G1518" s="205">
        <v>2.5</v>
      </c>
    </row>
    <row r="1519" ht="15.75" customHeight="1">
      <c r="A1519" s="200" t="s">
        <v>576</v>
      </c>
      <c r="B1519" s="186" t="s">
        <v>6340</v>
      </c>
      <c r="C1519" s="210" t="s">
        <v>6341</v>
      </c>
      <c r="D1519" s="210" t="s">
        <v>6342</v>
      </c>
      <c r="E1519" s="204">
        <v>2.0</v>
      </c>
      <c r="F1519" s="205">
        <v>0.0</v>
      </c>
      <c r="G1519" s="205">
        <v>0.0</v>
      </c>
    </row>
    <row r="1520" ht="15.75" customHeight="1">
      <c r="A1520" s="200" t="s">
        <v>576</v>
      </c>
      <c r="B1520" s="186" t="s">
        <v>6343</v>
      </c>
      <c r="C1520" s="210" t="s">
        <v>6344</v>
      </c>
      <c r="D1520" s="210" t="s">
        <v>6345</v>
      </c>
      <c r="E1520" s="204">
        <v>2.0</v>
      </c>
      <c r="F1520" s="205">
        <v>0.0</v>
      </c>
      <c r="G1520" s="205">
        <v>0.0</v>
      </c>
    </row>
    <row r="1521" ht="15.75" customHeight="1">
      <c r="A1521" s="200" t="s">
        <v>576</v>
      </c>
      <c r="B1521" s="186" t="s">
        <v>6346</v>
      </c>
      <c r="C1521" s="210" t="s">
        <v>6347</v>
      </c>
      <c r="D1521" s="210" t="s">
        <v>1490</v>
      </c>
      <c r="E1521" s="204">
        <v>2.0</v>
      </c>
      <c r="F1521" s="205">
        <v>0.0</v>
      </c>
      <c r="G1521" s="205">
        <v>0.0</v>
      </c>
    </row>
    <row r="1522" ht="15.75" customHeight="1">
      <c r="A1522" s="200" t="s">
        <v>576</v>
      </c>
      <c r="B1522" s="186" t="s">
        <v>6348</v>
      </c>
      <c r="C1522" s="210" t="s">
        <v>6349</v>
      </c>
      <c r="D1522" s="210" t="s">
        <v>6350</v>
      </c>
      <c r="E1522" s="204">
        <v>2.0</v>
      </c>
      <c r="F1522" s="205">
        <v>0.0</v>
      </c>
      <c r="G1522" s="205">
        <v>0.0</v>
      </c>
    </row>
    <row r="1523" ht="15.75" customHeight="1">
      <c r="A1523" s="200" t="s">
        <v>576</v>
      </c>
      <c r="B1523" s="186" t="s">
        <v>6351</v>
      </c>
      <c r="C1523" s="210" t="s">
        <v>6352</v>
      </c>
      <c r="D1523" s="210" t="s">
        <v>6353</v>
      </c>
      <c r="E1523" s="204">
        <v>2.0</v>
      </c>
      <c r="F1523" s="205">
        <v>0.0</v>
      </c>
      <c r="G1523" s="205">
        <v>0.0</v>
      </c>
    </row>
    <row r="1524" ht="15.75" customHeight="1">
      <c r="A1524" s="200" t="s">
        <v>576</v>
      </c>
      <c r="B1524" s="186" t="s">
        <v>6354</v>
      </c>
      <c r="C1524" s="210" t="s">
        <v>6355</v>
      </c>
      <c r="D1524" s="210" t="s">
        <v>6356</v>
      </c>
      <c r="E1524" s="204">
        <v>2.0</v>
      </c>
      <c r="F1524" s="205">
        <v>0.0</v>
      </c>
      <c r="G1524" s="205">
        <v>1.0</v>
      </c>
    </row>
    <row r="1525" ht="15.75" customHeight="1">
      <c r="A1525" s="200" t="s">
        <v>576</v>
      </c>
      <c r="B1525" s="186" t="s">
        <v>6357</v>
      </c>
      <c r="C1525" s="210" t="s">
        <v>6358</v>
      </c>
      <c r="D1525" s="210" t="s">
        <v>6359</v>
      </c>
      <c r="E1525" s="204">
        <v>2.0</v>
      </c>
      <c r="F1525" s="205">
        <v>0.0</v>
      </c>
      <c r="G1525" s="205">
        <v>1.0</v>
      </c>
    </row>
    <row r="1526" ht="15.75" customHeight="1">
      <c r="A1526" s="200" t="s">
        <v>576</v>
      </c>
      <c r="B1526" s="186" t="s">
        <v>6360</v>
      </c>
      <c r="C1526" s="210" t="s">
        <v>6361</v>
      </c>
      <c r="D1526" s="210" t="s">
        <v>6362</v>
      </c>
      <c r="E1526" s="204">
        <v>2.0</v>
      </c>
      <c r="F1526" s="205">
        <v>0.0</v>
      </c>
      <c r="G1526" s="205">
        <v>0.0</v>
      </c>
    </row>
    <row r="1527" ht="15.75" customHeight="1">
      <c r="A1527" s="200" t="s">
        <v>576</v>
      </c>
      <c r="B1527" s="186" t="s">
        <v>2332</v>
      </c>
      <c r="C1527" s="210" t="s">
        <v>2333</v>
      </c>
      <c r="D1527" s="210" t="s">
        <v>6363</v>
      </c>
      <c r="E1527" s="204">
        <v>2.0</v>
      </c>
      <c r="F1527" s="205">
        <v>0.0</v>
      </c>
      <c r="G1527" s="205">
        <v>0.0</v>
      </c>
    </row>
    <row r="1528" ht="15.75" customHeight="1">
      <c r="A1528" s="200" t="s">
        <v>576</v>
      </c>
      <c r="B1528" s="186" t="s">
        <v>6364</v>
      </c>
      <c r="C1528" s="210" t="s">
        <v>6365</v>
      </c>
      <c r="D1528" s="210" t="s">
        <v>6366</v>
      </c>
      <c r="E1528" s="204">
        <v>2.0</v>
      </c>
      <c r="F1528" s="205">
        <v>0.0</v>
      </c>
      <c r="G1528" s="205">
        <v>0.0</v>
      </c>
    </row>
    <row r="1529" ht="15.75" customHeight="1">
      <c r="A1529" s="200" t="s">
        <v>576</v>
      </c>
      <c r="B1529" s="186" t="s">
        <v>6367</v>
      </c>
      <c r="C1529" s="210" t="s">
        <v>6368</v>
      </c>
      <c r="D1529" s="210" t="s">
        <v>6369</v>
      </c>
      <c r="E1529" s="204">
        <v>2.0</v>
      </c>
      <c r="F1529" s="205">
        <v>0.0</v>
      </c>
      <c r="G1529" s="205">
        <v>2.0</v>
      </c>
    </row>
    <row r="1530" ht="15.75" customHeight="1">
      <c r="A1530" s="200" t="s">
        <v>576</v>
      </c>
      <c r="B1530" s="186" t="s">
        <v>1456</v>
      </c>
      <c r="C1530" s="210" t="s">
        <v>1457</v>
      </c>
      <c r="D1530" s="210" t="s">
        <v>1458</v>
      </c>
      <c r="E1530" s="204">
        <v>2.0</v>
      </c>
      <c r="F1530" s="205">
        <v>0.0</v>
      </c>
      <c r="G1530" s="205">
        <v>0.5</v>
      </c>
    </row>
    <row r="1531" ht="15.75" customHeight="1">
      <c r="A1531" s="200" t="s">
        <v>576</v>
      </c>
      <c r="B1531" s="186" t="s">
        <v>1459</v>
      </c>
      <c r="C1531" s="210" t="s">
        <v>1460</v>
      </c>
      <c r="D1531" s="210" t="s">
        <v>1461</v>
      </c>
      <c r="E1531" s="204">
        <v>2.0</v>
      </c>
      <c r="F1531" s="205">
        <v>0.0</v>
      </c>
      <c r="G1531" s="205">
        <v>1.0</v>
      </c>
    </row>
    <row r="1532" ht="15.75" customHeight="1">
      <c r="A1532" s="200" t="s">
        <v>576</v>
      </c>
      <c r="B1532" s="186" t="s">
        <v>6370</v>
      </c>
      <c r="C1532" s="210" t="s">
        <v>6371</v>
      </c>
      <c r="D1532" s="210"/>
      <c r="E1532" s="204">
        <v>2.0</v>
      </c>
      <c r="F1532" s="205">
        <v>0.0</v>
      </c>
      <c r="G1532" s="205">
        <v>0.0</v>
      </c>
    </row>
    <row r="1533" ht="15.75" customHeight="1">
      <c r="A1533" s="200" t="s">
        <v>576</v>
      </c>
      <c r="B1533" s="186" t="s">
        <v>6372</v>
      </c>
      <c r="C1533" s="210" t="s">
        <v>6373</v>
      </c>
      <c r="D1533" s="210" t="s">
        <v>6374</v>
      </c>
      <c r="E1533" s="204">
        <v>2.0</v>
      </c>
      <c r="F1533" s="205">
        <v>0.0</v>
      </c>
      <c r="G1533" s="205">
        <v>2.0</v>
      </c>
    </row>
    <row r="1534" ht="15.75" customHeight="1">
      <c r="A1534" s="200" t="s">
        <v>576</v>
      </c>
      <c r="B1534" s="186" t="s">
        <v>6375</v>
      </c>
      <c r="C1534" s="210" t="s">
        <v>6376</v>
      </c>
      <c r="D1534" s="210"/>
      <c r="E1534" s="204">
        <v>2.0</v>
      </c>
      <c r="F1534" s="205">
        <v>0.0</v>
      </c>
      <c r="G1534" s="205">
        <v>0.0</v>
      </c>
    </row>
    <row r="1535" ht="15.75" customHeight="1">
      <c r="A1535" s="200" t="s">
        <v>576</v>
      </c>
      <c r="B1535" s="186" t="s">
        <v>6377</v>
      </c>
      <c r="C1535" s="210" t="s">
        <v>6378</v>
      </c>
      <c r="D1535" s="210"/>
      <c r="E1535" s="204">
        <v>2.0</v>
      </c>
      <c r="F1535" s="205">
        <v>0.0</v>
      </c>
      <c r="G1535" s="205">
        <v>2.0</v>
      </c>
    </row>
    <row r="1536" ht="15.75" customHeight="1">
      <c r="A1536" s="200" t="s">
        <v>576</v>
      </c>
      <c r="B1536" s="186" t="s">
        <v>881</v>
      </c>
      <c r="C1536" s="210" t="s">
        <v>882</v>
      </c>
      <c r="D1536" s="210" t="s">
        <v>1462</v>
      </c>
      <c r="E1536" s="204">
        <v>2.0</v>
      </c>
      <c r="F1536" s="205">
        <v>0.0</v>
      </c>
      <c r="G1536" s="205">
        <v>0.0</v>
      </c>
    </row>
    <row r="1537" ht="15.75" customHeight="1">
      <c r="A1537" s="200" t="s">
        <v>576</v>
      </c>
      <c r="B1537" s="186" t="s">
        <v>6379</v>
      </c>
      <c r="C1537" s="210" t="s">
        <v>6380</v>
      </c>
      <c r="D1537" s="210"/>
      <c r="E1537" s="204">
        <v>2.0</v>
      </c>
      <c r="F1537" s="205">
        <v>0.0</v>
      </c>
      <c r="G1537" s="205">
        <v>2.0</v>
      </c>
    </row>
    <row r="1538" ht="15.75" customHeight="1">
      <c r="A1538" s="200" t="s">
        <v>576</v>
      </c>
      <c r="B1538" s="186" t="s">
        <v>6381</v>
      </c>
      <c r="C1538" s="210" t="s">
        <v>6382</v>
      </c>
      <c r="D1538" s="210" t="s">
        <v>6383</v>
      </c>
      <c r="E1538" s="204">
        <v>2.0</v>
      </c>
      <c r="F1538" s="205">
        <v>0.0</v>
      </c>
      <c r="G1538" s="205">
        <v>0.5</v>
      </c>
    </row>
    <row r="1539" ht="15.75" customHeight="1">
      <c r="A1539" s="200" t="s">
        <v>576</v>
      </c>
      <c r="B1539" s="186" t="s">
        <v>6384</v>
      </c>
      <c r="C1539" s="210" t="s">
        <v>6385</v>
      </c>
      <c r="D1539" s="210" t="s">
        <v>6386</v>
      </c>
      <c r="E1539" s="204">
        <v>2.0</v>
      </c>
      <c r="F1539" s="205">
        <v>0.0</v>
      </c>
      <c r="G1539" s="205">
        <v>0.0</v>
      </c>
    </row>
    <row r="1540" ht="15.75" customHeight="1">
      <c r="A1540" s="200" t="s">
        <v>576</v>
      </c>
      <c r="B1540" s="186" t="s">
        <v>6387</v>
      </c>
      <c r="C1540" s="210" t="s">
        <v>5877</v>
      </c>
      <c r="D1540" s="210" t="s">
        <v>6388</v>
      </c>
      <c r="E1540" s="204">
        <v>2.0</v>
      </c>
      <c r="F1540" s="205">
        <v>0.0</v>
      </c>
      <c r="G1540" s="205">
        <v>0.0</v>
      </c>
    </row>
    <row r="1541" ht="15.75" customHeight="1">
      <c r="A1541" s="200" t="s">
        <v>576</v>
      </c>
      <c r="B1541" s="186" t="s">
        <v>6389</v>
      </c>
      <c r="C1541" s="210" t="s">
        <v>6390</v>
      </c>
      <c r="D1541" s="210" t="s">
        <v>1687</v>
      </c>
      <c r="E1541" s="204">
        <v>2.0</v>
      </c>
      <c r="F1541" s="205">
        <v>0.0</v>
      </c>
      <c r="G1541" s="205">
        <v>0.0</v>
      </c>
    </row>
    <row r="1542" ht="15.75" customHeight="1">
      <c r="A1542" s="200" t="s">
        <v>576</v>
      </c>
      <c r="B1542" s="186" t="s">
        <v>6391</v>
      </c>
      <c r="C1542" s="210" t="s">
        <v>6158</v>
      </c>
      <c r="D1542" s="210" t="s">
        <v>6392</v>
      </c>
      <c r="E1542" s="204">
        <v>2.0</v>
      </c>
      <c r="F1542" s="205">
        <v>0.0</v>
      </c>
      <c r="G1542" s="205">
        <v>0.0</v>
      </c>
    </row>
    <row r="1543" ht="15.75" customHeight="1">
      <c r="A1543" s="200" t="s">
        <v>576</v>
      </c>
      <c r="B1543" s="186" t="s">
        <v>6393</v>
      </c>
      <c r="C1543" s="210" t="s">
        <v>6394</v>
      </c>
      <c r="D1543" s="210" t="s">
        <v>6395</v>
      </c>
      <c r="E1543" s="204">
        <v>2.0</v>
      </c>
      <c r="F1543" s="205">
        <v>0.0</v>
      </c>
      <c r="G1543" s="205">
        <v>0.5</v>
      </c>
    </row>
    <row r="1544" ht="15.75" customHeight="1">
      <c r="A1544" s="200" t="s">
        <v>576</v>
      </c>
      <c r="B1544" s="186" t="s">
        <v>1463</v>
      </c>
      <c r="C1544" s="210" t="s">
        <v>1464</v>
      </c>
      <c r="D1544" s="210" t="s">
        <v>1466</v>
      </c>
      <c r="E1544" s="204">
        <v>2.0</v>
      </c>
      <c r="F1544" s="205">
        <v>0.0</v>
      </c>
      <c r="G1544" s="205">
        <v>1.0</v>
      </c>
    </row>
    <row r="1545" ht="15.75" customHeight="1">
      <c r="A1545" s="200" t="s">
        <v>576</v>
      </c>
      <c r="B1545" s="186" t="s">
        <v>6396</v>
      </c>
      <c r="C1545" s="210" t="s">
        <v>5981</v>
      </c>
      <c r="D1545" s="210" t="s">
        <v>6397</v>
      </c>
      <c r="E1545" s="204">
        <v>2.0</v>
      </c>
      <c r="F1545" s="205">
        <v>0.0</v>
      </c>
      <c r="G1545" s="205">
        <v>1.0</v>
      </c>
    </row>
    <row r="1546" ht="15.75" customHeight="1">
      <c r="A1546" s="200" t="s">
        <v>576</v>
      </c>
      <c r="B1546" s="186" t="s">
        <v>6398</v>
      </c>
      <c r="C1546" s="210" t="s">
        <v>6399</v>
      </c>
      <c r="D1546" s="210" t="s">
        <v>6400</v>
      </c>
      <c r="E1546" s="204">
        <v>2.0</v>
      </c>
      <c r="F1546" s="205">
        <v>0.0</v>
      </c>
      <c r="G1546" s="205">
        <v>2.5</v>
      </c>
    </row>
    <row r="1547" ht="15.75" customHeight="1">
      <c r="A1547" s="200" t="s">
        <v>576</v>
      </c>
      <c r="B1547" s="186" t="s">
        <v>3739</v>
      </c>
      <c r="C1547" s="210" t="s">
        <v>3740</v>
      </c>
      <c r="D1547" s="210" t="s">
        <v>1499</v>
      </c>
      <c r="E1547" s="204">
        <v>2.0</v>
      </c>
      <c r="F1547" s="205">
        <v>0.0</v>
      </c>
      <c r="G1547" s="205">
        <v>0.0</v>
      </c>
    </row>
    <row r="1548" ht="15.75" customHeight="1">
      <c r="A1548" s="200" t="s">
        <v>576</v>
      </c>
      <c r="B1548" s="186" t="s">
        <v>6401</v>
      </c>
      <c r="C1548" s="210" t="s">
        <v>6402</v>
      </c>
      <c r="D1548" s="210"/>
      <c r="E1548" s="204">
        <v>2.0</v>
      </c>
      <c r="F1548" s="205">
        <v>0.0</v>
      </c>
      <c r="G1548" s="205">
        <v>0.0</v>
      </c>
    </row>
    <row r="1549" ht="15.75" customHeight="1">
      <c r="A1549" s="200" t="s">
        <v>576</v>
      </c>
      <c r="B1549" s="186" t="s">
        <v>6403</v>
      </c>
      <c r="C1549" s="210" t="s">
        <v>6404</v>
      </c>
      <c r="D1549" s="210" t="s">
        <v>1029</v>
      </c>
      <c r="E1549" s="204">
        <v>2.0</v>
      </c>
      <c r="F1549" s="205">
        <v>0.0</v>
      </c>
      <c r="G1549" s="205">
        <v>2.0</v>
      </c>
    </row>
    <row r="1550" ht="15.75" customHeight="1">
      <c r="A1550" s="200" t="s">
        <v>576</v>
      </c>
      <c r="B1550" s="186" t="s">
        <v>6405</v>
      </c>
      <c r="C1550" s="210" t="s">
        <v>6406</v>
      </c>
      <c r="D1550" s="210"/>
      <c r="E1550" s="204">
        <v>2.0</v>
      </c>
      <c r="F1550" s="205">
        <v>0.0</v>
      </c>
      <c r="G1550" s="205">
        <v>0.0</v>
      </c>
    </row>
    <row r="1551" ht="15.75" customHeight="1">
      <c r="A1551" s="200" t="s">
        <v>576</v>
      </c>
      <c r="B1551" s="186" t="s">
        <v>6407</v>
      </c>
      <c r="C1551" s="210" t="s">
        <v>6408</v>
      </c>
      <c r="D1551" s="210" t="s">
        <v>6409</v>
      </c>
      <c r="E1551" s="204">
        <v>2.0</v>
      </c>
      <c r="F1551" s="205">
        <v>0.0</v>
      </c>
      <c r="G1551" s="205">
        <v>1.0</v>
      </c>
    </row>
    <row r="1552" ht="15.75" customHeight="1">
      <c r="A1552" s="200" t="s">
        <v>576</v>
      </c>
      <c r="B1552" s="186" t="s">
        <v>6410</v>
      </c>
      <c r="C1552" s="210" t="s">
        <v>6411</v>
      </c>
      <c r="D1552" s="210" t="s">
        <v>6412</v>
      </c>
      <c r="E1552" s="204">
        <v>2.0</v>
      </c>
      <c r="F1552" s="205">
        <v>0.0</v>
      </c>
      <c r="G1552" s="205">
        <v>0.5</v>
      </c>
    </row>
    <row r="1553" ht="15.75" customHeight="1">
      <c r="A1553" s="200" t="s">
        <v>576</v>
      </c>
      <c r="B1553" s="186" t="s">
        <v>301</v>
      </c>
      <c r="C1553" s="210" t="s">
        <v>302</v>
      </c>
      <c r="D1553" s="210" t="s">
        <v>6413</v>
      </c>
      <c r="E1553" s="204">
        <v>2.0</v>
      </c>
      <c r="F1553" s="205">
        <v>0.0</v>
      </c>
      <c r="G1553" s="205">
        <v>0.5</v>
      </c>
    </row>
    <row r="1554" ht="15.75" customHeight="1">
      <c r="A1554" s="200" t="s">
        <v>576</v>
      </c>
      <c r="B1554" s="186" t="s">
        <v>6414</v>
      </c>
      <c r="C1554" s="210" t="s">
        <v>6415</v>
      </c>
      <c r="D1554" s="210" t="s">
        <v>5671</v>
      </c>
      <c r="E1554" s="204">
        <v>2.0</v>
      </c>
      <c r="F1554" s="205">
        <v>0.0</v>
      </c>
      <c r="G1554" s="205">
        <v>1.0</v>
      </c>
    </row>
    <row r="1555" ht="15.75" customHeight="1">
      <c r="A1555" s="200" t="s">
        <v>576</v>
      </c>
      <c r="B1555" s="186" t="s">
        <v>6416</v>
      </c>
      <c r="C1555" s="210" t="s">
        <v>6417</v>
      </c>
      <c r="D1555" s="210" t="s">
        <v>6418</v>
      </c>
      <c r="E1555" s="204">
        <v>2.0</v>
      </c>
      <c r="F1555" s="205">
        <v>0.0</v>
      </c>
      <c r="G1555" s="205">
        <v>0.0</v>
      </c>
    </row>
    <row r="1556" ht="15.75" customHeight="1">
      <c r="A1556" s="200" t="s">
        <v>576</v>
      </c>
      <c r="B1556" s="186" t="s">
        <v>6419</v>
      </c>
      <c r="C1556" s="210" t="s">
        <v>6420</v>
      </c>
      <c r="D1556" s="210" t="s">
        <v>6421</v>
      </c>
      <c r="E1556" s="204">
        <v>2.0</v>
      </c>
      <c r="F1556" s="205">
        <v>0.0</v>
      </c>
      <c r="G1556" s="205">
        <v>1.5</v>
      </c>
    </row>
    <row r="1557" ht="15.75" customHeight="1">
      <c r="A1557" s="200" t="s">
        <v>576</v>
      </c>
      <c r="B1557" s="186" t="s">
        <v>6422</v>
      </c>
      <c r="C1557" s="210" t="s">
        <v>6423</v>
      </c>
      <c r="D1557" s="210" t="s">
        <v>6424</v>
      </c>
      <c r="E1557" s="204">
        <v>2.0</v>
      </c>
      <c r="F1557" s="205">
        <v>0.0</v>
      </c>
      <c r="G1557" s="205">
        <v>0.0</v>
      </c>
    </row>
    <row r="1558" ht="15.75" customHeight="1">
      <c r="A1558" s="200" t="s">
        <v>576</v>
      </c>
      <c r="B1558" s="186" t="s">
        <v>6425</v>
      </c>
      <c r="C1558" s="210" t="s">
        <v>6426</v>
      </c>
      <c r="D1558" s="210" t="s">
        <v>6427</v>
      </c>
      <c r="E1558" s="204">
        <v>2.0</v>
      </c>
      <c r="F1558" s="205">
        <v>0.0</v>
      </c>
      <c r="G1558" s="205">
        <v>0.0</v>
      </c>
    </row>
    <row r="1559" ht="15.75" customHeight="1">
      <c r="A1559" s="200" t="s">
        <v>576</v>
      </c>
      <c r="B1559" s="186" t="s">
        <v>6428</v>
      </c>
      <c r="C1559" s="210" t="s">
        <v>6429</v>
      </c>
      <c r="D1559" s="210" t="s">
        <v>6430</v>
      </c>
      <c r="E1559" s="204">
        <v>2.0</v>
      </c>
      <c r="F1559" s="205">
        <v>0.0</v>
      </c>
      <c r="G1559" s="205">
        <v>0.0</v>
      </c>
    </row>
    <row r="1560" ht="15.75" customHeight="1">
      <c r="A1560" s="200" t="s">
        <v>576</v>
      </c>
      <c r="B1560" s="186" t="s">
        <v>6431</v>
      </c>
      <c r="C1560" s="210" t="s">
        <v>6432</v>
      </c>
      <c r="D1560" s="210" t="s">
        <v>6433</v>
      </c>
      <c r="E1560" s="204">
        <v>2.0</v>
      </c>
      <c r="F1560" s="205">
        <v>0.0</v>
      </c>
      <c r="G1560" s="205">
        <v>0.0</v>
      </c>
    </row>
    <row r="1561" ht="15.75" customHeight="1">
      <c r="A1561" s="200" t="s">
        <v>576</v>
      </c>
      <c r="B1561" s="186" t="s">
        <v>6434</v>
      </c>
      <c r="C1561" s="210" t="s">
        <v>6435</v>
      </c>
      <c r="D1561" s="210" t="s">
        <v>6436</v>
      </c>
      <c r="E1561" s="204">
        <v>2.0</v>
      </c>
      <c r="F1561" s="205">
        <v>0.0</v>
      </c>
      <c r="G1561" s="205">
        <v>0.0</v>
      </c>
    </row>
    <row r="1562" ht="15.75" customHeight="1">
      <c r="A1562" s="200" t="s">
        <v>576</v>
      </c>
      <c r="B1562" s="186" t="s">
        <v>6437</v>
      </c>
      <c r="C1562" s="210" t="s">
        <v>6438</v>
      </c>
      <c r="D1562" s="210" t="s">
        <v>6439</v>
      </c>
      <c r="E1562" s="204">
        <v>2.0</v>
      </c>
      <c r="F1562" s="205">
        <v>0.0</v>
      </c>
      <c r="G1562" s="205">
        <v>1.5</v>
      </c>
    </row>
    <row r="1563" ht="15.75" customHeight="1">
      <c r="A1563" s="200" t="s">
        <v>576</v>
      </c>
      <c r="B1563" s="186" t="s">
        <v>6440</v>
      </c>
      <c r="C1563" s="210" t="s">
        <v>6441</v>
      </c>
      <c r="D1563" s="210" t="s">
        <v>6442</v>
      </c>
      <c r="E1563" s="204">
        <v>2.0</v>
      </c>
      <c r="F1563" s="205">
        <v>0.0</v>
      </c>
      <c r="G1563" s="205">
        <v>0.0</v>
      </c>
    </row>
    <row r="1564" ht="15.75" customHeight="1">
      <c r="A1564" s="200" t="s">
        <v>576</v>
      </c>
      <c r="B1564" s="186" t="s">
        <v>6443</v>
      </c>
      <c r="C1564" s="210" t="s">
        <v>6444</v>
      </c>
      <c r="D1564" s="210" t="s">
        <v>6445</v>
      </c>
      <c r="E1564" s="204">
        <v>2.0</v>
      </c>
      <c r="F1564" s="205">
        <v>0.0</v>
      </c>
      <c r="G1564" s="205">
        <v>0.0</v>
      </c>
    </row>
    <row r="1565" ht="15.75" customHeight="1">
      <c r="A1565" s="200" t="s">
        <v>576</v>
      </c>
      <c r="B1565" s="186" t="s">
        <v>3459</v>
      </c>
      <c r="C1565" s="210" t="s">
        <v>3460</v>
      </c>
      <c r="D1565" s="210"/>
      <c r="E1565" s="204">
        <v>2.0</v>
      </c>
      <c r="F1565" s="205">
        <v>0.0</v>
      </c>
      <c r="G1565" s="205">
        <v>0.0</v>
      </c>
    </row>
    <row r="1566" ht="15.75" customHeight="1">
      <c r="A1566" s="200" t="s">
        <v>576</v>
      </c>
      <c r="B1566" s="186" t="s">
        <v>1471</v>
      </c>
      <c r="C1566" s="210" t="s">
        <v>1472</v>
      </c>
      <c r="D1566" s="210" t="s">
        <v>1473</v>
      </c>
      <c r="E1566" s="204">
        <v>2.0</v>
      </c>
      <c r="F1566" s="205">
        <v>0.0</v>
      </c>
      <c r="G1566" s="205">
        <v>0.5</v>
      </c>
    </row>
    <row r="1567" ht="15.75" customHeight="1">
      <c r="A1567" s="200" t="s">
        <v>576</v>
      </c>
      <c r="B1567" s="186" t="s">
        <v>6446</v>
      </c>
      <c r="C1567" s="210" t="s">
        <v>6447</v>
      </c>
      <c r="D1567" s="210" t="s">
        <v>6448</v>
      </c>
      <c r="E1567" s="204">
        <v>2.0</v>
      </c>
      <c r="F1567" s="205">
        <v>0.0</v>
      </c>
      <c r="G1567" s="205">
        <v>0.0</v>
      </c>
    </row>
    <row r="1568" ht="15.75" customHeight="1">
      <c r="A1568" s="200" t="s">
        <v>576</v>
      </c>
      <c r="B1568" s="186" t="s">
        <v>6449</v>
      </c>
      <c r="C1568" s="210" t="s">
        <v>6450</v>
      </c>
      <c r="D1568" s="210" t="s">
        <v>5823</v>
      </c>
      <c r="E1568" s="204">
        <v>2.0</v>
      </c>
      <c r="F1568" s="205">
        <v>0.0</v>
      </c>
      <c r="G1568" s="205">
        <v>2.0</v>
      </c>
    </row>
    <row r="1569" ht="15.75" customHeight="1">
      <c r="A1569" s="200" t="s">
        <v>576</v>
      </c>
      <c r="B1569" s="186" t="s">
        <v>6451</v>
      </c>
      <c r="C1569" s="210" t="s">
        <v>6452</v>
      </c>
      <c r="D1569" s="210" t="s">
        <v>6453</v>
      </c>
      <c r="E1569" s="204">
        <v>2.0</v>
      </c>
      <c r="F1569" s="205">
        <v>0.0</v>
      </c>
      <c r="G1569" s="205">
        <v>1.5</v>
      </c>
    </row>
    <row r="1570" ht="15.75" customHeight="1">
      <c r="A1570" s="200" t="s">
        <v>576</v>
      </c>
      <c r="B1570" s="186" t="s">
        <v>4389</v>
      </c>
      <c r="C1570" s="210" t="s">
        <v>4390</v>
      </c>
      <c r="D1570" s="210" t="s">
        <v>1778</v>
      </c>
      <c r="E1570" s="204">
        <v>2.0</v>
      </c>
      <c r="F1570" s="205">
        <v>0.0</v>
      </c>
      <c r="G1570" s="205">
        <v>0.0</v>
      </c>
    </row>
    <row r="1571" ht="15.75" customHeight="1">
      <c r="A1571" s="200" t="s">
        <v>576</v>
      </c>
      <c r="B1571" s="186" t="s">
        <v>6454</v>
      </c>
      <c r="C1571" s="210" t="s">
        <v>5832</v>
      </c>
      <c r="D1571" s="210"/>
      <c r="E1571" s="204">
        <v>1.0</v>
      </c>
      <c r="F1571" s="205">
        <v>0.0</v>
      </c>
      <c r="G1571" s="205">
        <v>0.0</v>
      </c>
    </row>
    <row r="1572" ht="15.75" customHeight="1">
      <c r="A1572" s="200" t="s">
        <v>576</v>
      </c>
      <c r="B1572" s="186" t="s">
        <v>6455</v>
      </c>
      <c r="C1572" s="210" t="s">
        <v>6456</v>
      </c>
      <c r="D1572" s="210" t="s">
        <v>6457</v>
      </c>
      <c r="E1572" s="204">
        <v>1.0</v>
      </c>
      <c r="F1572" s="205">
        <v>0.0</v>
      </c>
      <c r="G1572" s="205">
        <v>0.0</v>
      </c>
    </row>
    <row r="1573" ht="15.75" customHeight="1">
      <c r="A1573" s="200" t="s">
        <v>576</v>
      </c>
      <c r="B1573" s="186" t="s">
        <v>6458</v>
      </c>
      <c r="C1573" s="210" t="s">
        <v>6459</v>
      </c>
      <c r="D1573" s="210"/>
      <c r="E1573" s="204">
        <v>1.0</v>
      </c>
      <c r="F1573" s="205">
        <v>0.0</v>
      </c>
      <c r="G1573" s="205">
        <v>1.0</v>
      </c>
    </row>
    <row r="1574" ht="15.75" customHeight="1">
      <c r="A1574" s="200" t="s">
        <v>576</v>
      </c>
      <c r="B1574" s="186" t="s">
        <v>6460</v>
      </c>
      <c r="C1574" s="210" t="s">
        <v>6461</v>
      </c>
      <c r="D1574" s="210" t="s">
        <v>6462</v>
      </c>
      <c r="E1574" s="204">
        <v>1.0</v>
      </c>
      <c r="F1574" s="205">
        <v>0.0</v>
      </c>
      <c r="G1574" s="205">
        <v>1.0</v>
      </c>
    </row>
    <row r="1575" ht="15.75" customHeight="1">
      <c r="A1575" s="200" t="s">
        <v>576</v>
      </c>
      <c r="B1575" s="186" t="s">
        <v>6463</v>
      </c>
      <c r="C1575" s="210" t="s">
        <v>6464</v>
      </c>
      <c r="D1575" s="210" t="s">
        <v>6465</v>
      </c>
      <c r="E1575" s="204">
        <v>1.0</v>
      </c>
      <c r="F1575" s="205">
        <v>0.0</v>
      </c>
      <c r="G1575" s="205">
        <v>1.0</v>
      </c>
    </row>
    <row r="1576" ht="15.75" customHeight="1">
      <c r="A1576" s="200" t="s">
        <v>576</v>
      </c>
      <c r="B1576" s="186" t="s">
        <v>1474</v>
      </c>
      <c r="C1576" s="210" t="s">
        <v>1475</v>
      </c>
      <c r="D1576" s="210" t="s">
        <v>1476</v>
      </c>
      <c r="E1576" s="204">
        <v>1.0</v>
      </c>
      <c r="F1576" s="205">
        <v>0.0</v>
      </c>
      <c r="G1576" s="205">
        <v>1.0</v>
      </c>
    </row>
    <row r="1577" ht="15.75" customHeight="1">
      <c r="A1577" s="200" t="s">
        <v>576</v>
      </c>
      <c r="B1577" s="186" t="s">
        <v>6466</v>
      </c>
      <c r="C1577" s="210" t="s">
        <v>6467</v>
      </c>
      <c r="D1577" s="210" t="s">
        <v>6468</v>
      </c>
      <c r="E1577" s="204">
        <v>1.0</v>
      </c>
      <c r="F1577" s="205">
        <v>0.0</v>
      </c>
      <c r="G1577" s="205">
        <v>1.0</v>
      </c>
    </row>
    <row r="1578" ht="15.75" customHeight="1">
      <c r="A1578" s="200" t="s">
        <v>576</v>
      </c>
      <c r="B1578" s="186" t="s">
        <v>6469</v>
      </c>
      <c r="C1578" s="210" t="s">
        <v>6470</v>
      </c>
      <c r="D1578" s="210" t="s">
        <v>5789</v>
      </c>
      <c r="E1578" s="204">
        <v>1.0</v>
      </c>
      <c r="F1578" s="205">
        <v>0.0</v>
      </c>
      <c r="G1578" s="205">
        <v>0.0</v>
      </c>
    </row>
    <row r="1579" ht="15.75" customHeight="1">
      <c r="A1579" s="200" t="s">
        <v>576</v>
      </c>
      <c r="B1579" s="186" t="s">
        <v>6471</v>
      </c>
      <c r="C1579" s="210" t="s">
        <v>6472</v>
      </c>
      <c r="D1579" s="210" t="s">
        <v>6473</v>
      </c>
      <c r="E1579" s="204">
        <v>1.0</v>
      </c>
      <c r="F1579" s="205">
        <v>0.0</v>
      </c>
      <c r="G1579" s="205">
        <v>0.0</v>
      </c>
    </row>
    <row r="1580" ht="15.75" customHeight="1">
      <c r="A1580" s="200" t="s">
        <v>576</v>
      </c>
      <c r="B1580" s="186" t="s">
        <v>6474</v>
      </c>
      <c r="C1580" s="210" t="s">
        <v>6475</v>
      </c>
      <c r="D1580" s="210" t="s">
        <v>6206</v>
      </c>
      <c r="E1580" s="204">
        <v>1.0</v>
      </c>
      <c r="F1580" s="205">
        <v>0.0</v>
      </c>
      <c r="G1580" s="205">
        <v>0.0</v>
      </c>
    </row>
    <row r="1581" ht="15.75" customHeight="1">
      <c r="A1581" s="200" t="s">
        <v>576</v>
      </c>
      <c r="B1581" s="186" t="s">
        <v>6476</v>
      </c>
      <c r="C1581" s="210" t="s">
        <v>6477</v>
      </c>
      <c r="D1581" s="210" t="s">
        <v>6478</v>
      </c>
      <c r="E1581" s="204">
        <v>1.0</v>
      </c>
      <c r="F1581" s="205">
        <v>0.0</v>
      </c>
      <c r="G1581" s="205">
        <v>0.0</v>
      </c>
    </row>
    <row r="1582" ht="15.75" customHeight="1">
      <c r="A1582" s="200" t="s">
        <v>576</v>
      </c>
      <c r="B1582" s="186" t="s">
        <v>6479</v>
      </c>
      <c r="C1582" s="210" t="s">
        <v>6480</v>
      </c>
      <c r="D1582" s="210" t="s">
        <v>6481</v>
      </c>
      <c r="E1582" s="204">
        <v>1.0</v>
      </c>
      <c r="F1582" s="205">
        <v>0.0</v>
      </c>
      <c r="G1582" s="205">
        <v>0.0</v>
      </c>
    </row>
    <row r="1583" ht="15.75" customHeight="1">
      <c r="A1583" s="200" t="s">
        <v>576</v>
      </c>
      <c r="B1583" s="186" t="s">
        <v>6482</v>
      </c>
      <c r="C1583" s="210" t="s">
        <v>6483</v>
      </c>
      <c r="D1583" s="210" t="s">
        <v>6484</v>
      </c>
      <c r="E1583" s="204">
        <v>1.0</v>
      </c>
      <c r="F1583" s="205">
        <v>0.0</v>
      </c>
      <c r="G1583" s="205">
        <v>0.0</v>
      </c>
    </row>
    <row r="1584" ht="15.75" customHeight="1">
      <c r="A1584" s="200" t="s">
        <v>576</v>
      </c>
      <c r="B1584" s="186" t="s">
        <v>6485</v>
      </c>
      <c r="C1584" s="210" t="s">
        <v>6486</v>
      </c>
      <c r="D1584" s="210" t="s">
        <v>6487</v>
      </c>
      <c r="E1584" s="204">
        <v>1.0</v>
      </c>
      <c r="F1584" s="205">
        <v>0.0</v>
      </c>
      <c r="G1584" s="205">
        <v>0.0</v>
      </c>
    </row>
    <row r="1585" ht="15.75" customHeight="1">
      <c r="A1585" s="200" t="s">
        <v>576</v>
      </c>
      <c r="B1585" s="186" t="s">
        <v>6488</v>
      </c>
      <c r="C1585" s="210" t="s">
        <v>6489</v>
      </c>
      <c r="D1585" s="210" t="s">
        <v>6490</v>
      </c>
      <c r="E1585" s="204">
        <v>1.0</v>
      </c>
      <c r="F1585" s="205">
        <v>0.0</v>
      </c>
      <c r="G1585" s="205">
        <v>1.0</v>
      </c>
    </row>
    <row r="1586" ht="15.75" customHeight="1">
      <c r="A1586" s="200" t="s">
        <v>576</v>
      </c>
      <c r="B1586" s="186" t="s">
        <v>6491</v>
      </c>
      <c r="C1586" s="210" t="s">
        <v>6492</v>
      </c>
      <c r="D1586" s="210" t="s">
        <v>6493</v>
      </c>
      <c r="E1586" s="204">
        <v>1.0</v>
      </c>
      <c r="F1586" s="205">
        <v>0.0</v>
      </c>
      <c r="G1586" s="205">
        <v>0.0</v>
      </c>
    </row>
    <row r="1587" ht="15.75" customHeight="1">
      <c r="A1587" s="200" t="s">
        <v>576</v>
      </c>
      <c r="B1587" s="186" t="s">
        <v>6494</v>
      </c>
      <c r="C1587" s="210" t="s">
        <v>6495</v>
      </c>
      <c r="D1587" s="210" t="s">
        <v>6496</v>
      </c>
      <c r="E1587" s="204">
        <v>1.0</v>
      </c>
      <c r="F1587" s="205">
        <v>0.0</v>
      </c>
      <c r="G1587" s="205">
        <v>0.0</v>
      </c>
    </row>
    <row r="1588" ht="15.75" customHeight="1">
      <c r="A1588" s="200" t="s">
        <v>576</v>
      </c>
      <c r="B1588" s="186" t="s">
        <v>6497</v>
      </c>
      <c r="C1588" s="210" t="s">
        <v>6498</v>
      </c>
      <c r="D1588" s="210" t="s">
        <v>5870</v>
      </c>
      <c r="E1588" s="204">
        <v>1.0</v>
      </c>
      <c r="F1588" s="205">
        <v>0.0</v>
      </c>
      <c r="G1588" s="205">
        <v>1.0</v>
      </c>
    </row>
    <row r="1589" ht="15.75" customHeight="1">
      <c r="A1589" s="200" t="s">
        <v>576</v>
      </c>
      <c r="B1589" s="186" t="s">
        <v>6499</v>
      </c>
      <c r="C1589" s="210" t="s">
        <v>6500</v>
      </c>
      <c r="D1589" s="210" t="s">
        <v>6501</v>
      </c>
      <c r="E1589" s="204">
        <v>1.0</v>
      </c>
      <c r="F1589" s="205">
        <v>0.0</v>
      </c>
      <c r="G1589" s="205">
        <v>0.0</v>
      </c>
    </row>
    <row r="1590" ht="15.75" customHeight="1">
      <c r="A1590" s="200" t="s">
        <v>576</v>
      </c>
      <c r="B1590" s="186" t="s">
        <v>6502</v>
      </c>
      <c r="C1590" s="210" t="s">
        <v>6503</v>
      </c>
      <c r="D1590" s="210" t="s">
        <v>6504</v>
      </c>
      <c r="E1590" s="204">
        <v>1.0</v>
      </c>
      <c r="F1590" s="205">
        <v>0.0</v>
      </c>
      <c r="G1590" s="205">
        <v>0.0</v>
      </c>
    </row>
    <row r="1591" ht="15.75" customHeight="1">
      <c r="A1591" s="200" t="s">
        <v>576</v>
      </c>
      <c r="B1591" s="186" t="s">
        <v>6505</v>
      </c>
      <c r="C1591" s="210" t="s">
        <v>6506</v>
      </c>
      <c r="D1591" s="210" t="s">
        <v>6507</v>
      </c>
      <c r="E1591" s="204">
        <v>1.0</v>
      </c>
      <c r="F1591" s="205">
        <v>0.0</v>
      </c>
      <c r="G1591" s="205">
        <v>0.0</v>
      </c>
    </row>
    <row r="1592" ht="15.75" customHeight="1">
      <c r="A1592" s="200" t="s">
        <v>576</v>
      </c>
      <c r="B1592" s="186" t="s">
        <v>6508</v>
      </c>
      <c r="C1592" s="210" t="s">
        <v>6509</v>
      </c>
      <c r="D1592" s="210" t="s">
        <v>6510</v>
      </c>
      <c r="E1592" s="204">
        <v>1.0</v>
      </c>
      <c r="F1592" s="205">
        <v>0.0</v>
      </c>
      <c r="G1592" s="205">
        <v>0.0</v>
      </c>
    </row>
    <row r="1593" ht="15.75" customHeight="1">
      <c r="A1593" s="200" t="s">
        <v>576</v>
      </c>
      <c r="B1593" s="186" t="s">
        <v>6511</v>
      </c>
      <c r="C1593" s="210" t="s">
        <v>6512</v>
      </c>
      <c r="D1593" s="210" t="s">
        <v>6513</v>
      </c>
      <c r="E1593" s="204">
        <v>1.0</v>
      </c>
      <c r="F1593" s="205">
        <v>0.0</v>
      </c>
      <c r="G1593" s="205">
        <v>0.0</v>
      </c>
    </row>
    <row r="1594" ht="15.75" customHeight="1">
      <c r="A1594" s="200" t="s">
        <v>576</v>
      </c>
      <c r="B1594" s="186" t="s">
        <v>6514</v>
      </c>
      <c r="C1594" s="210" t="s">
        <v>6515</v>
      </c>
      <c r="D1594" s="210" t="s">
        <v>6516</v>
      </c>
      <c r="E1594" s="204">
        <v>1.0</v>
      </c>
      <c r="F1594" s="205">
        <v>0.0</v>
      </c>
      <c r="G1594" s="205">
        <v>0.0</v>
      </c>
    </row>
    <row r="1595" ht="15.75" customHeight="1">
      <c r="A1595" s="200" t="s">
        <v>576</v>
      </c>
      <c r="B1595" s="186" t="s">
        <v>2317</v>
      </c>
      <c r="C1595" s="210" t="s">
        <v>2318</v>
      </c>
      <c r="D1595" s="210" t="s">
        <v>6517</v>
      </c>
      <c r="E1595" s="204">
        <v>1.0</v>
      </c>
      <c r="F1595" s="205">
        <v>0.0</v>
      </c>
      <c r="G1595" s="205">
        <v>1.0</v>
      </c>
    </row>
    <row r="1596" ht="15.75" customHeight="1">
      <c r="A1596" s="200" t="s">
        <v>576</v>
      </c>
      <c r="B1596" s="186" t="s">
        <v>6518</v>
      </c>
      <c r="C1596" s="210" t="s">
        <v>6519</v>
      </c>
      <c r="D1596" s="210" t="s">
        <v>6520</v>
      </c>
      <c r="E1596" s="204">
        <v>1.0</v>
      </c>
      <c r="F1596" s="205">
        <v>0.0</v>
      </c>
      <c r="G1596" s="205">
        <v>0.0</v>
      </c>
    </row>
    <row r="1597" ht="15.75" customHeight="1">
      <c r="A1597" s="200" t="s">
        <v>576</v>
      </c>
      <c r="B1597" s="186" t="s">
        <v>6521</v>
      </c>
      <c r="C1597" s="210" t="s">
        <v>6522</v>
      </c>
      <c r="D1597" s="210"/>
      <c r="E1597" s="204">
        <v>1.0</v>
      </c>
      <c r="F1597" s="205">
        <v>0.0</v>
      </c>
      <c r="G1597" s="205">
        <v>0.0</v>
      </c>
    </row>
    <row r="1598" ht="15.75" customHeight="1">
      <c r="A1598" s="200" t="s">
        <v>576</v>
      </c>
      <c r="B1598" s="186" t="s">
        <v>6523</v>
      </c>
      <c r="C1598" s="210" t="s">
        <v>6524</v>
      </c>
      <c r="D1598" s="210" t="s">
        <v>6525</v>
      </c>
      <c r="E1598" s="204">
        <v>1.0</v>
      </c>
      <c r="F1598" s="205">
        <v>0.0</v>
      </c>
      <c r="G1598" s="205">
        <v>0.0</v>
      </c>
    </row>
    <row r="1599" ht="15.75" customHeight="1">
      <c r="A1599" s="200" t="s">
        <v>576</v>
      </c>
      <c r="B1599" s="186" t="s">
        <v>6526</v>
      </c>
      <c r="C1599" s="210" t="s">
        <v>6527</v>
      </c>
      <c r="D1599" s="210" t="s">
        <v>6528</v>
      </c>
      <c r="E1599" s="204">
        <v>1.0</v>
      </c>
      <c r="F1599" s="205">
        <v>0.0</v>
      </c>
      <c r="G1599" s="205">
        <v>2.0</v>
      </c>
    </row>
    <row r="1600" ht="15.75" customHeight="1">
      <c r="A1600" s="200" t="s">
        <v>576</v>
      </c>
      <c r="B1600" s="186" t="s">
        <v>1479</v>
      </c>
      <c r="C1600" s="210" t="s">
        <v>1480</v>
      </c>
      <c r="D1600" s="210" t="s">
        <v>1481</v>
      </c>
      <c r="E1600" s="204">
        <v>1.0</v>
      </c>
      <c r="F1600" s="205">
        <v>0.0</v>
      </c>
      <c r="G1600" s="205">
        <v>0.0</v>
      </c>
    </row>
    <row r="1601" ht="15.75" customHeight="1">
      <c r="A1601" s="200" t="s">
        <v>576</v>
      </c>
      <c r="B1601" s="186" t="s">
        <v>1482</v>
      </c>
      <c r="C1601" s="210" t="s">
        <v>1483</v>
      </c>
      <c r="D1601" s="210" t="s">
        <v>1484</v>
      </c>
      <c r="E1601" s="204">
        <v>1.0</v>
      </c>
      <c r="F1601" s="205">
        <v>0.0</v>
      </c>
      <c r="G1601" s="205">
        <v>0.0</v>
      </c>
    </row>
    <row r="1602" ht="15.75" customHeight="1">
      <c r="A1602" s="200" t="s">
        <v>576</v>
      </c>
      <c r="B1602" s="186" t="s">
        <v>6529</v>
      </c>
      <c r="C1602" s="210" t="s">
        <v>4543</v>
      </c>
      <c r="D1602" s="210"/>
      <c r="E1602" s="204">
        <v>1.0</v>
      </c>
      <c r="F1602" s="205">
        <v>0.0</v>
      </c>
      <c r="G1602" s="205">
        <v>1.0</v>
      </c>
    </row>
    <row r="1603" ht="15.75" customHeight="1">
      <c r="A1603" s="200" t="s">
        <v>576</v>
      </c>
      <c r="B1603" s="186" t="s">
        <v>6530</v>
      </c>
      <c r="C1603" s="210" t="s">
        <v>6531</v>
      </c>
      <c r="D1603" s="210" t="s">
        <v>6532</v>
      </c>
      <c r="E1603" s="204">
        <v>1.0</v>
      </c>
      <c r="F1603" s="205">
        <v>0.0</v>
      </c>
      <c r="G1603" s="205">
        <v>3.0</v>
      </c>
    </row>
    <row r="1604" ht="15.75" customHeight="1">
      <c r="A1604" s="200" t="s">
        <v>576</v>
      </c>
      <c r="B1604" s="186" t="s">
        <v>6533</v>
      </c>
      <c r="C1604" s="210" t="s">
        <v>6534</v>
      </c>
      <c r="D1604" s="210" t="s">
        <v>1490</v>
      </c>
      <c r="E1604" s="204">
        <v>1.0</v>
      </c>
      <c r="F1604" s="205">
        <v>0.0</v>
      </c>
      <c r="G1604" s="205">
        <v>0.0</v>
      </c>
    </row>
    <row r="1605" ht="15.75" customHeight="1">
      <c r="A1605" s="200" t="s">
        <v>576</v>
      </c>
      <c r="B1605" s="186" t="s">
        <v>6535</v>
      </c>
      <c r="C1605" s="210" t="s">
        <v>6536</v>
      </c>
      <c r="D1605" s="210" t="s">
        <v>6537</v>
      </c>
      <c r="E1605" s="204">
        <v>1.0</v>
      </c>
      <c r="F1605" s="205">
        <v>0.0</v>
      </c>
      <c r="G1605" s="205">
        <v>0.0</v>
      </c>
    </row>
    <row r="1606" ht="15.75" customHeight="1">
      <c r="A1606" s="200" t="s">
        <v>576</v>
      </c>
      <c r="B1606" s="186" t="s">
        <v>6538</v>
      </c>
      <c r="C1606" s="210" t="s">
        <v>6539</v>
      </c>
      <c r="D1606" s="210" t="s">
        <v>578</v>
      </c>
      <c r="E1606" s="204">
        <v>1.0</v>
      </c>
      <c r="F1606" s="205">
        <v>0.0</v>
      </c>
      <c r="G1606" s="205">
        <v>3.0</v>
      </c>
    </row>
    <row r="1607" ht="15.75" customHeight="1">
      <c r="A1607" s="200" t="s">
        <v>576</v>
      </c>
      <c r="B1607" s="186" t="s">
        <v>6540</v>
      </c>
      <c r="C1607" s="210" t="s">
        <v>6541</v>
      </c>
      <c r="D1607" s="210" t="s">
        <v>6542</v>
      </c>
      <c r="E1607" s="204">
        <v>1.0</v>
      </c>
      <c r="F1607" s="205">
        <v>0.0</v>
      </c>
      <c r="G1607" s="205">
        <v>1.0</v>
      </c>
    </row>
    <row r="1608" ht="15.75" customHeight="1">
      <c r="A1608" s="200" t="s">
        <v>576</v>
      </c>
      <c r="B1608" s="186" t="s">
        <v>6543</v>
      </c>
      <c r="C1608" s="210" t="s">
        <v>6544</v>
      </c>
      <c r="D1608" s="210" t="s">
        <v>6545</v>
      </c>
      <c r="E1608" s="204">
        <v>1.0</v>
      </c>
      <c r="F1608" s="205">
        <v>0.0</v>
      </c>
      <c r="G1608" s="205">
        <v>1.0</v>
      </c>
    </row>
    <row r="1609" ht="15.75" customHeight="1">
      <c r="A1609" s="200" t="s">
        <v>576</v>
      </c>
      <c r="B1609" s="186" t="s">
        <v>405</v>
      </c>
      <c r="C1609" s="210" t="s">
        <v>406</v>
      </c>
      <c r="D1609" s="210" t="s">
        <v>6546</v>
      </c>
      <c r="E1609" s="204">
        <v>1.0</v>
      </c>
      <c r="F1609" s="205">
        <v>0.0</v>
      </c>
      <c r="G1609" s="205">
        <v>0.0</v>
      </c>
    </row>
    <row r="1610" ht="15.75" customHeight="1">
      <c r="A1610" s="200" t="s">
        <v>576</v>
      </c>
      <c r="B1610" s="186" t="s">
        <v>6547</v>
      </c>
      <c r="C1610" s="210" t="s">
        <v>6548</v>
      </c>
      <c r="D1610" s="210" t="s">
        <v>6549</v>
      </c>
      <c r="E1610" s="204">
        <v>1.0</v>
      </c>
      <c r="F1610" s="205">
        <v>0.0</v>
      </c>
      <c r="G1610" s="205">
        <v>0.0</v>
      </c>
    </row>
    <row r="1611" ht="15.75" customHeight="1">
      <c r="A1611" s="200" t="s">
        <v>576</v>
      </c>
      <c r="B1611" s="186" t="s">
        <v>6550</v>
      </c>
      <c r="C1611" s="210" t="s">
        <v>6551</v>
      </c>
      <c r="D1611" s="210" t="s">
        <v>6552</v>
      </c>
      <c r="E1611" s="204">
        <v>1.0</v>
      </c>
      <c r="F1611" s="205">
        <v>0.0</v>
      </c>
      <c r="G1611" s="205">
        <v>1.0</v>
      </c>
    </row>
    <row r="1612" ht="15.75" customHeight="1">
      <c r="A1612" s="200" t="s">
        <v>576</v>
      </c>
      <c r="B1612" s="186" t="s">
        <v>6553</v>
      </c>
      <c r="C1612" s="210" t="s">
        <v>6554</v>
      </c>
      <c r="D1612" s="210" t="s">
        <v>5723</v>
      </c>
      <c r="E1612" s="204">
        <v>1.0</v>
      </c>
      <c r="F1612" s="205">
        <v>0.0</v>
      </c>
      <c r="G1612" s="205">
        <v>0.0</v>
      </c>
    </row>
    <row r="1613" ht="15.75" customHeight="1">
      <c r="A1613" s="200" t="s">
        <v>576</v>
      </c>
      <c r="B1613" s="186" t="s">
        <v>6555</v>
      </c>
      <c r="C1613" s="210" t="s">
        <v>6556</v>
      </c>
      <c r="D1613" s="210" t="s">
        <v>6557</v>
      </c>
      <c r="E1613" s="204">
        <v>1.0</v>
      </c>
      <c r="F1613" s="205">
        <v>0.0</v>
      </c>
      <c r="G1613" s="205">
        <v>1.0</v>
      </c>
    </row>
    <row r="1614" ht="15.75" customHeight="1">
      <c r="A1614" s="200" t="s">
        <v>576</v>
      </c>
      <c r="B1614" s="186" t="s">
        <v>6558</v>
      </c>
      <c r="C1614" s="210" t="s">
        <v>6559</v>
      </c>
      <c r="D1614" s="210" t="s">
        <v>6560</v>
      </c>
      <c r="E1614" s="204">
        <v>1.0</v>
      </c>
      <c r="F1614" s="205">
        <v>0.0</v>
      </c>
      <c r="G1614" s="205">
        <v>0.0</v>
      </c>
    </row>
    <row r="1615" ht="15.75" customHeight="1">
      <c r="A1615" s="200" t="s">
        <v>576</v>
      </c>
      <c r="B1615" s="186" t="s">
        <v>6561</v>
      </c>
      <c r="C1615" s="210" t="s">
        <v>6562</v>
      </c>
      <c r="D1615" s="210" t="s">
        <v>6563</v>
      </c>
      <c r="E1615" s="204">
        <v>1.0</v>
      </c>
      <c r="F1615" s="205">
        <v>0.0</v>
      </c>
      <c r="G1615" s="205">
        <v>0.0</v>
      </c>
    </row>
    <row r="1616" ht="15.75" customHeight="1">
      <c r="A1616" s="200" t="s">
        <v>576</v>
      </c>
      <c r="B1616" s="186" t="s">
        <v>6564</v>
      </c>
      <c r="C1616" s="210" t="s">
        <v>6565</v>
      </c>
      <c r="D1616" s="210" t="s">
        <v>6566</v>
      </c>
      <c r="E1616" s="204">
        <v>1.0</v>
      </c>
      <c r="F1616" s="205">
        <v>0.0</v>
      </c>
      <c r="G1616" s="205">
        <v>0.0</v>
      </c>
    </row>
    <row r="1617" ht="15.75" customHeight="1">
      <c r="A1617" s="200" t="s">
        <v>576</v>
      </c>
      <c r="B1617" s="186" t="s">
        <v>6567</v>
      </c>
      <c r="C1617" s="210" t="s">
        <v>6568</v>
      </c>
      <c r="D1617" s="210" t="s">
        <v>6569</v>
      </c>
      <c r="E1617" s="204">
        <v>1.0</v>
      </c>
      <c r="F1617" s="205">
        <v>0.0</v>
      </c>
      <c r="G1617" s="205">
        <v>0.0</v>
      </c>
    </row>
    <row r="1618" ht="15.75" customHeight="1">
      <c r="A1618" s="200" t="s">
        <v>576</v>
      </c>
      <c r="B1618" s="186" t="s">
        <v>6570</v>
      </c>
      <c r="C1618" s="210" t="s">
        <v>6571</v>
      </c>
      <c r="D1618" s="210" t="s">
        <v>6572</v>
      </c>
      <c r="E1618" s="204">
        <v>1.0</v>
      </c>
      <c r="F1618" s="205">
        <v>0.0</v>
      </c>
      <c r="G1618" s="205">
        <v>0.0</v>
      </c>
    </row>
    <row r="1619" ht="15.75" customHeight="1">
      <c r="A1619" s="200" t="s">
        <v>576</v>
      </c>
      <c r="B1619" s="186" t="s">
        <v>6573</v>
      </c>
      <c r="C1619" s="210" t="s">
        <v>6574</v>
      </c>
      <c r="D1619" s="210" t="s">
        <v>6575</v>
      </c>
      <c r="E1619" s="204">
        <v>1.0</v>
      </c>
      <c r="F1619" s="205">
        <v>0.0</v>
      </c>
      <c r="G1619" s="205">
        <v>0.0</v>
      </c>
    </row>
    <row r="1620" ht="15.75" customHeight="1">
      <c r="A1620" s="200" t="s">
        <v>576</v>
      </c>
      <c r="B1620" s="186" t="s">
        <v>6576</v>
      </c>
      <c r="C1620" s="210" t="s">
        <v>6577</v>
      </c>
      <c r="D1620" s="210" t="s">
        <v>6578</v>
      </c>
      <c r="E1620" s="204">
        <v>1.0</v>
      </c>
      <c r="F1620" s="205">
        <v>0.0</v>
      </c>
      <c r="G1620" s="205">
        <v>0.0</v>
      </c>
    </row>
    <row r="1621" ht="15.75" customHeight="1">
      <c r="A1621" s="200" t="s">
        <v>576</v>
      </c>
      <c r="B1621" s="186" t="s">
        <v>6579</v>
      </c>
      <c r="C1621" s="210" t="s">
        <v>6580</v>
      </c>
      <c r="D1621" s="210" t="s">
        <v>6581</v>
      </c>
      <c r="E1621" s="204">
        <v>1.0</v>
      </c>
      <c r="F1621" s="205">
        <v>0.0</v>
      </c>
      <c r="G1621" s="205">
        <v>0.0</v>
      </c>
    </row>
    <row r="1622" ht="15.75" customHeight="1">
      <c r="A1622" s="200" t="s">
        <v>576</v>
      </c>
      <c r="B1622" s="186" t="s">
        <v>6582</v>
      </c>
      <c r="C1622" s="210" t="s">
        <v>6583</v>
      </c>
      <c r="D1622" s="210" t="s">
        <v>6584</v>
      </c>
      <c r="E1622" s="204">
        <v>1.0</v>
      </c>
      <c r="F1622" s="205">
        <v>0.0</v>
      </c>
      <c r="G1622" s="205">
        <v>3.0</v>
      </c>
    </row>
    <row r="1623" ht="15.75" customHeight="1">
      <c r="A1623" s="200" t="s">
        <v>576</v>
      </c>
      <c r="B1623" s="186" t="s">
        <v>6585</v>
      </c>
      <c r="C1623" s="210" t="s">
        <v>6586</v>
      </c>
      <c r="D1623" s="210" t="s">
        <v>6587</v>
      </c>
      <c r="E1623" s="204">
        <v>1.0</v>
      </c>
      <c r="F1623" s="205">
        <v>0.0</v>
      </c>
      <c r="G1623" s="205">
        <v>0.0</v>
      </c>
    </row>
    <row r="1624" ht="15.75" customHeight="1">
      <c r="A1624" s="200" t="s">
        <v>576</v>
      </c>
      <c r="B1624" s="186" t="s">
        <v>6588</v>
      </c>
      <c r="C1624" s="210" t="s">
        <v>6589</v>
      </c>
      <c r="D1624" s="210" t="s">
        <v>6590</v>
      </c>
      <c r="E1624" s="204">
        <v>1.0</v>
      </c>
      <c r="F1624" s="205">
        <v>0.0</v>
      </c>
      <c r="G1624" s="205">
        <v>0.0</v>
      </c>
    </row>
    <row r="1625" ht="15.75" customHeight="1">
      <c r="A1625" s="200" t="s">
        <v>576</v>
      </c>
      <c r="B1625" s="186" t="s">
        <v>6591</v>
      </c>
      <c r="C1625" s="210" t="s">
        <v>6592</v>
      </c>
      <c r="D1625" s="210" t="s">
        <v>380</v>
      </c>
      <c r="E1625" s="204">
        <v>1.0</v>
      </c>
      <c r="F1625" s="205">
        <v>0.0</v>
      </c>
      <c r="G1625" s="205">
        <v>1.0</v>
      </c>
    </row>
    <row r="1626" ht="15.75" customHeight="1">
      <c r="A1626" s="200" t="s">
        <v>576</v>
      </c>
      <c r="B1626" s="186" t="s">
        <v>6593</v>
      </c>
      <c r="C1626" s="210" t="s">
        <v>6594</v>
      </c>
      <c r="D1626" s="210" t="s">
        <v>6595</v>
      </c>
      <c r="E1626" s="204">
        <v>1.0</v>
      </c>
      <c r="F1626" s="205">
        <v>0.0</v>
      </c>
      <c r="G1626" s="205">
        <v>0.0</v>
      </c>
    </row>
    <row r="1627" ht="15.75" customHeight="1">
      <c r="A1627" s="200" t="s">
        <v>576</v>
      </c>
      <c r="B1627" s="186" t="s">
        <v>6596</v>
      </c>
      <c r="C1627" s="210" t="s">
        <v>6597</v>
      </c>
      <c r="D1627" s="210" t="s">
        <v>6598</v>
      </c>
      <c r="E1627" s="204">
        <v>1.0</v>
      </c>
      <c r="F1627" s="205">
        <v>0.0</v>
      </c>
      <c r="G1627" s="205">
        <v>0.0</v>
      </c>
    </row>
    <row r="1628" ht="15.75" customHeight="1">
      <c r="A1628" s="200" t="s">
        <v>576</v>
      </c>
      <c r="B1628" s="186" t="s">
        <v>772</v>
      </c>
      <c r="C1628" s="210" t="s">
        <v>773</v>
      </c>
      <c r="D1628" s="210" t="s">
        <v>6599</v>
      </c>
      <c r="E1628" s="204">
        <v>1.0</v>
      </c>
      <c r="F1628" s="205">
        <v>0.0</v>
      </c>
      <c r="G1628" s="205">
        <v>1.0</v>
      </c>
    </row>
    <row r="1629" ht="15.75" customHeight="1">
      <c r="A1629" s="200" t="s">
        <v>576</v>
      </c>
      <c r="B1629" s="186" t="s">
        <v>6600</v>
      </c>
      <c r="C1629" s="210" t="s">
        <v>6601</v>
      </c>
      <c r="D1629" s="210" t="s">
        <v>6602</v>
      </c>
      <c r="E1629" s="204">
        <v>1.0</v>
      </c>
      <c r="F1629" s="205">
        <v>0.0</v>
      </c>
      <c r="G1629" s="205">
        <v>0.0</v>
      </c>
    </row>
    <row r="1630" ht="15.75" customHeight="1">
      <c r="A1630" s="200" t="s">
        <v>576</v>
      </c>
      <c r="B1630" s="186" t="s">
        <v>6603</v>
      </c>
      <c r="C1630" s="210" t="s">
        <v>6604</v>
      </c>
      <c r="D1630" s="210" t="s">
        <v>6605</v>
      </c>
      <c r="E1630" s="204">
        <v>1.0</v>
      </c>
      <c r="F1630" s="205">
        <v>0.0</v>
      </c>
      <c r="G1630" s="205">
        <v>1.0</v>
      </c>
    </row>
    <row r="1631" ht="15.75" customHeight="1">
      <c r="A1631" s="200" t="s">
        <v>576</v>
      </c>
      <c r="B1631" s="186" t="s">
        <v>6606</v>
      </c>
      <c r="C1631" s="210" t="s">
        <v>6607</v>
      </c>
      <c r="D1631" s="210" t="s">
        <v>6608</v>
      </c>
      <c r="E1631" s="204">
        <v>1.0</v>
      </c>
      <c r="F1631" s="205">
        <v>0.0</v>
      </c>
      <c r="G1631" s="205">
        <v>0.0</v>
      </c>
    </row>
    <row r="1632" ht="15.75" customHeight="1">
      <c r="A1632" s="200" t="s">
        <v>576</v>
      </c>
      <c r="B1632" s="186" t="s">
        <v>6609</v>
      </c>
      <c r="C1632" s="210" t="s">
        <v>6610</v>
      </c>
      <c r="D1632" s="210" t="s">
        <v>6611</v>
      </c>
      <c r="E1632" s="204">
        <v>1.0</v>
      </c>
      <c r="F1632" s="205">
        <v>0.0</v>
      </c>
      <c r="G1632" s="205">
        <v>1.0</v>
      </c>
    </row>
    <row r="1633" ht="15.75" customHeight="1">
      <c r="A1633" s="200" t="s">
        <v>576</v>
      </c>
      <c r="B1633" s="186" t="s">
        <v>6612</v>
      </c>
      <c r="C1633" s="210" t="s">
        <v>6613</v>
      </c>
      <c r="D1633" s="210" t="s">
        <v>6614</v>
      </c>
      <c r="E1633" s="204">
        <v>1.0</v>
      </c>
      <c r="F1633" s="205">
        <v>0.0</v>
      </c>
      <c r="G1633" s="205">
        <v>0.0</v>
      </c>
    </row>
    <row r="1634" ht="15.75" customHeight="1">
      <c r="A1634" s="200" t="s">
        <v>576</v>
      </c>
      <c r="B1634" s="186" t="s">
        <v>6615</v>
      </c>
      <c r="C1634" s="210" t="s">
        <v>6616</v>
      </c>
      <c r="D1634" s="210" t="s">
        <v>862</v>
      </c>
      <c r="E1634" s="204">
        <v>1.0</v>
      </c>
      <c r="F1634" s="205">
        <v>0.0</v>
      </c>
      <c r="G1634" s="205">
        <v>0.0</v>
      </c>
    </row>
    <row r="1635" ht="15.75" customHeight="1">
      <c r="A1635" s="200" t="s">
        <v>576</v>
      </c>
      <c r="B1635" s="186" t="s">
        <v>6617</v>
      </c>
      <c r="C1635" s="210" t="s">
        <v>6618</v>
      </c>
      <c r="D1635" s="210" t="s">
        <v>6619</v>
      </c>
      <c r="E1635" s="204">
        <v>1.0</v>
      </c>
      <c r="F1635" s="205">
        <v>0.0</v>
      </c>
      <c r="G1635" s="205">
        <v>1.0</v>
      </c>
    </row>
    <row r="1636" ht="15.75" customHeight="1">
      <c r="A1636" s="200" t="s">
        <v>576</v>
      </c>
      <c r="B1636" s="186" t="s">
        <v>6620</v>
      </c>
      <c r="C1636" s="210" t="s">
        <v>6621</v>
      </c>
      <c r="D1636" s="210" t="s">
        <v>6622</v>
      </c>
      <c r="E1636" s="204">
        <v>1.0</v>
      </c>
      <c r="F1636" s="205">
        <v>0.0</v>
      </c>
      <c r="G1636" s="205">
        <v>0.0</v>
      </c>
    </row>
    <row r="1637" ht="15.75" customHeight="1">
      <c r="A1637" s="200" t="s">
        <v>576</v>
      </c>
      <c r="B1637" s="186" t="s">
        <v>2905</v>
      </c>
      <c r="C1637" s="210" t="s">
        <v>2907</v>
      </c>
      <c r="D1637" s="210" t="s">
        <v>6623</v>
      </c>
      <c r="E1637" s="204">
        <v>1.0</v>
      </c>
      <c r="F1637" s="205">
        <v>0.0</v>
      </c>
      <c r="G1637" s="205">
        <v>0.0</v>
      </c>
    </row>
    <row r="1638" ht="15.75" customHeight="1">
      <c r="A1638" s="200" t="s">
        <v>576</v>
      </c>
      <c r="B1638" s="186" t="s">
        <v>6624</v>
      </c>
      <c r="C1638" s="210" t="s">
        <v>6625</v>
      </c>
      <c r="D1638" s="210" t="s">
        <v>6623</v>
      </c>
      <c r="E1638" s="204">
        <v>1.0</v>
      </c>
      <c r="F1638" s="205">
        <v>0.0</v>
      </c>
      <c r="G1638" s="205">
        <v>0.0</v>
      </c>
    </row>
    <row r="1639" ht="15.75" customHeight="1">
      <c r="A1639" s="200" t="s">
        <v>576</v>
      </c>
      <c r="B1639" s="186" t="s">
        <v>1485</v>
      </c>
      <c r="C1639" s="210" t="s">
        <v>1486</v>
      </c>
      <c r="D1639" s="210" t="s">
        <v>1487</v>
      </c>
      <c r="E1639" s="204">
        <v>1.0</v>
      </c>
      <c r="F1639" s="205">
        <v>0.0</v>
      </c>
      <c r="G1639" s="205">
        <v>1.0</v>
      </c>
    </row>
    <row r="1640" ht="15.75" customHeight="1">
      <c r="A1640" s="200" t="s">
        <v>576</v>
      </c>
      <c r="B1640" s="186" t="s">
        <v>1488</v>
      </c>
      <c r="C1640" s="210" t="s">
        <v>1489</v>
      </c>
      <c r="D1640" s="210" t="s">
        <v>1491</v>
      </c>
      <c r="E1640" s="204">
        <v>1.0</v>
      </c>
      <c r="F1640" s="205">
        <v>0.0</v>
      </c>
      <c r="G1640" s="205">
        <v>1.0</v>
      </c>
    </row>
    <row r="1641" ht="15.75" customHeight="1">
      <c r="A1641" s="200" t="s">
        <v>576</v>
      </c>
      <c r="B1641" s="186" t="s">
        <v>1492</v>
      </c>
      <c r="C1641" s="210" t="s">
        <v>1493</v>
      </c>
      <c r="D1641" s="210" t="s">
        <v>1494</v>
      </c>
      <c r="E1641" s="204">
        <v>1.0</v>
      </c>
      <c r="F1641" s="205">
        <v>0.0</v>
      </c>
      <c r="G1641" s="205">
        <v>0.0</v>
      </c>
    </row>
    <row r="1642" ht="15.75" customHeight="1">
      <c r="A1642" s="200" t="s">
        <v>576</v>
      </c>
      <c r="B1642" s="186" t="s">
        <v>1495</v>
      </c>
      <c r="C1642" s="210" t="s">
        <v>1496</v>
      </c>
      <c r="D1642" s="210" t="s">
        <v>1498</v>
      </c>
      <c r="E1642" s="204">
        <v>1.0</v>
      </c>
      <c r="F1642" s="205">
        <v>0.0</v>
      </c>
      <c r="G1642" s="205">
        <v>1.0</v>
      </c>
    </row>
    <row r="1643" ht="15.75" customHeight="1">
      <c r="A1643" s="200" t="s">
        <v>576</v>
      </c>
      <c r="B1643" s="186" t="s">
        <v>6626</v>
      </c>
      <c r="C1643" s="210" t="s">
        <v>6627</v>
      </c>
      <c r="D1643" s="210" t="s">
        <v>6181</v>
      </c>
      <c r="E1643" s="204">
        <v>1.0</v>
      </c>
      <c r="F1643" s="205">
        <v>0.0</v>
      </c>
      <c r="G1643" s="205">
        <v>1.0</v>
      </c>
    </row>
    <row r="1644" ht="15.75" customHeight="1">
      <c r="A1644" s="200" t="s">
        <v>576</v>
      </c>
      <c r="B1644" s="186" t="s">
        <v>6628</v>
      </c>
      <c r="C1644" s="210" t="s">
        <v>6629</v>
      </c>
      <c r="D1644" s="210" t="s">
        <v>5908</v>
      </c>
      <c r="E1644" s="204">
        <v>1.0</v>
      </c>
      <c r="F1644" s="205">
        <v>0.0</v>
      </c>
      <c r="G1644" s="205">
        <v>0.0</v>
      </c>
    </row>
    <row r="1645" ht="15.75" customHeight="1">
      <c r="A1645" s="200" t="s">
        <v>576</v>
      </c>
      <c r="B1645" s="186" t="s">
        <v>865</v>
      </c>
      <c r="C1645" s="210" t="s">
        <v>866</v>
      </c>
      <c r="D1645" s="210" t="s">
        <v>1499</v>
      </c>
      <c r="E1645" s="204">
        <v>1.0</v>
      </c>
      <c r="F1645" s="205">
        <v>0.0</v>
      </c>
      <c r="G1645" s="205">
        <v>0.0</v>
      </c>
    </row>
    <row r="1646" ht="15.75" customHeight="1">
      <c r="A1646" s="200" t="s">
        <v>576</v>
      </c>
      <c r="B1646" s="186" t="s">
        <v>6630</v>
      </c>
      <c r="C1646" s="210" t="s">
        <v>6631</v>
      </c>
      <c r="D1646" s="210"/>
      <c r="E1646" s="204">
        <v>1.0</v>
      </c>
      <c r="F1646" s="205">
        <v>0.0</v>
      </c>
      <c r="G1646" s="205">
        <v>0.0</v>
      </c>
    </row>
    <row r="1647" ht="15.75" customHeight="1">
      <c r="A1647" s="200" t="s">
        <v>576</v>
      </c>
      <c r="B1647" s="186" t="s">
        <v>6632</v>
      </c>
      <c r="C1647" s="210" t="s">
        <v>6633</v>
      </c>
      <c r="D1647" s="210" t="s">
        <v>6634</v>
      </c>
      <c r="E1647" s="204">
        <v>1.0</v>
      </c>
      <c r="F1647" s="205">
        <v>0.0</v>
      </c>
      <c r="G1647" s="205">
        <v>1.0</v>
      </c>
    </row>
    <row r="1648" ht="15.75" customHeight="1">
      <c r="A1648" s="200" t="s">
        <v>576</v>
      </c>
      <c r="B1648" s="186" t="s">
        <v>6635</v>
      </c>
      <c r="C1648" s="210" t="s">
        <v>6636</v>
      </c>
      <c r="D1648" s="210" t="s">
        <v>6637</v>
      </c>
      <c r="E1648" s="204">
        <v>1.0</v>
      </c>
      <c r="F1648" s="205">
        <v>0.0</v>
      </c>
      <c r="G1648" s="205">
        <v>0.0</v>
      </c>
    </row>
    <row r="1649" ht="15.75" customHeight="1">
      <c r="A1649" s="200" t="s">
        <v>576</v>
      </c>
      <c r="B1649" s="186" t="s">
        <v>6638</v>
      </c>
      <c r="C1649" s="210" t="s">
        <v>6639</v>
      </c>
      <c r="D1649" s="210" t="s">
        <v>6640</v>
      </c>
      <c r="E1649" s="204">
        <v>1.0</v>
      </c>
      <c r="F1649" s="205">
        <v>0.0</v>
      </c>
      <c r="G1649" s="205">
        <v>0.0</v>
      </c>
    </row>
    <row r="1650" ht="15.75" customHeight="1">
      <c r="A1650" s="200" t="s">
        <v>576</v>
      </c>
      <c r="B1650" s="186" t="s">
        <v>3713</v>
      </c>
      <c r="C1650" s="210" t="s">
        <v>3715</v>
      </c>
      <c r="D1650" s="210" t="s">
        <v>6641</v>
      </c>
      <c r="E1650" s="204">
        <v>1.0</v>
      </c>
      <c r="F1650" s="205">
        <v>0.0</v>
      </c>
      <c r="G1650" s="205">
        <v>0.0</v>
      </c>
    </row>
    <row r="1651" ht="15.75" customHeight="1">
      <c r="A1651" s="200" t="s">
        <v>576</v>
      </c>
      <c r="B1651" s="186" t="s">
        <v>6642</v>
      </c>
      <c r="C1651" s="210" t="s">
        <v>6643</v>
      </c>
      <c r="D1651" s="210" t="s">
        <v>6644</v>
      </c>
      <c r="E1651" s="204">
        <v>1.0</v>
      </c>
      <c r="F1651" s="205">
        <v>0.0</v>
      </c>
      <c r="G1651" s="205">
        <v>0.0</v>
      </c>
    </row>
    <row r="1652" ht="15.75" customHeight="1">
      <c r="A1652" s="200" t="s">
        <v>576</v>
      </c>
      <c r="B1652" s="186" t="s">
        <v>6645</v>
      </c>
      <c r="C1652" s="210" t="s">
        <v>6646</v>
      </c>
      <c r="D1652" s="210" t="s">
        <v>6647</v>
      </c>
      <c r="E1652" s="204">
        <v>1.0</v>
      </c>
      <c r="F1652" s="205">
        <v>0.0</v>
      </c>
      <c r="G1652" s="205">
        <v>0.0</v>
      </c>
    </row>
    <row r="1653" ht="15.75" customHeight="1">
      <c r="A1653" s="200" t="s">
        <v>576</v>
      </c>
      <c r="B1653" s="186" t="s">
        <v>6648</v>
      </c>
      <c r="C1653" s="210" t="s">
        <v>6649</v>
      </c>
      <c r="D1653" s="210" t="s">
        <v>6650</v>
      </c>
      <c r="E1653" s="204">
        <v>1.0</v>
      </c>
      <c r="F1653" s="205">
        <v>0.0</v>
      </c>
      <c r="G1653" s="205">
        <v>0.0</v>
      </c>
    </row>
    <row r="1654" ht="15.75" customHeight="1">
      <c r="A1654" s="200" t="s">
        <v>576</v>
      </c>
      <c r="B1654" s="186" t="s">
        <v>2583</v>
      </c>
      <c r="C1654" s="210" t="s">
        <v>2585</v>
      </c>
      <c r="D1654" s="210" t="s">
        <v>6651</v>
      </c>
      <c r="E1654" s="204">
        <v>1.0</v>
      </c>
      <c r="F1654" s="205">
        <v>0.0</v>
      </c>
      <c r="G1654" s="205">
        <v>0.0</v>
      </c>
    </row>
    <row r="1655" ht="15.75" customHeight="1">
      <c r="A1655" s="200" t="s">
        <v>576</v>
      </c>
      <c r="B1655" s="186" t="s">
        <v>6652</v>
      </c>
      <c r="C1655" s="210" t="s">
        <v>6653</v>
      </c>
      <c r="D1655" s="210"/>
      <c r="E1655" s="204">
        <v>1.0</v>
      </c>
      <c r="F1655" s="205">
        <v>0.0</v>
      </c>
      <c r="G1655" s="205">
        <v>1.0</v>
      </c>
    </row>
    <row r="1656" ht="15.75" customHeight="1">
      <c r="A1656" s="200" t="s">
        <v>576</v>
      </c>
      <c r="B1656" s="186" t="s">
        <v>6654</v>
      </c>
      <c r="C1656" s="210" t="s">
        <v>6655</v>
      </c>
      <c r="D1656" s="210"/>
      <c r="E1656" s="204">
        <v>1.0</v>
      </c>
      <c r="F1656" s="205">
        <v>0.0</v>
      </c>
      <c r="G1656" s="205">
        <v>1.0</v>
      </c>
    </row>
    <row r="1657" ht="15.75" customHeight="1">
      <c r="A1657" s="200" t="s">
        <v>576</v>
      </c>
      <c r="B1657" s="186" t="s">
        <v>6656</v>
      </c>
      <c r="C1657" s="210" t="s">
        <v>6657</v>
      </c>
      <c r="D1657" s="210" t="s">
        <v>6658</v>
      </c>
      <c r="E1657" s="204">
        <v>1.0</v>
      </c>
      <c r="F1657" s="205">
        <v>0.0</v>
      </c>
      <c r="G1657" s="205">
        <v>0.0</v>
      </c>
    </row>
    <row r="1658" ht="15.75" customHeight="1">
      <c r="A1658" s="200" t="s">
        <v>576</v>
      </c>
      <c r="B1658" s="186" t="s">
        <v>6659</v>
      </c>
      <c r="C1658" s="210" t="s">
        <v>6660</v>
      </c>
      <c r="D1658" s="210" t="s">
        <v>6661</v>
      </c>
      <c r="E1658" s="204">
        <v>1.0</v>
      </c>
      <c r="F1658" s="205">
        <v>0.0</v>
      </c>
      <c r="G1658" s="205">
        <v>1.0</v>
      </c>
    </row>
    <row r="1659" ht="15.75" customHeight="1">
      <c r="A1659" s="200" t="s">
        <v>576</v>
      </c>
      <c r="B1659" s="186" t="s">
        <v>6662</v>
      </c>
      <c r="C1659" s="210" t="s">
        <v>6663</v>
      </c>
      <c r="D1659" s="210" t="s">
        <v>6664</v>
      </c>
      <c r="E1659" s="204">
        <v>1.0</v>
      </c>
      <c r="F1659" s="205">
        <v>0.0</v>
      </c>
      <c r="G1659" s="205">
        <v>0.0</v>
      </c>
    </row>
    <row r="1660" ht="15.75" customHeight="1">
      <c r="A1660" s="200" t="s">
        <v>576</v>
      </c>
      <c r="B1660" s="186" t="s">
        <v>6665</v>
      </c>
      <c r="C1660" s="210" t="s">
        <v>6666</v>
      </c>
      <c r="D1660" s="210" t="s">
        <v>380</v>
      </c>
      <c r="E1660" s="204">
        <v>1.0</v>
      </c>
      <c r="F1660" s="205">
        <v>0.0</v>
      </c>
      <c r="G1660" s="205">
        <v>1.0</v>
      </c>
    </row>
    <row r="1661" ht="15.75" customHeight="1">
      <c r="A1661" s="200" t="s">
        <v>576</v>
      </c>
      <c r="B1661" s="186" t="s">
        <v>3249</v>
      </c>
      <c r="C1661" s="210" t="s">
        <v>3252</v>
      </c>
      <c r="D1661" s="210"/>
      <c r="E1661" s="204">
        <v>1.0</v>
      </c>
      <c r="F1661" s="205">
        <v>0.0</v>
      </c>
      <c r="G1661" s="205">
        <v>1.0</v>
      </c>
    </row>
    <row r="1662" ht="15.75" customHeight="1">
      <c r="A1662" s="200" t="s">
        <v>576</v>
      </c>
      <c r="B1662" s="186" t="s">
        <v>6667</v>
      </c>
      <c r="C1662" s="210" t="s">
        <v>6668</v>
      </c>
      <c r="D1662" s="210" t="s">
        <v>6669</v>
      </c>
      <c r="E1662" s="204">
        <v>1.0</v>
      </c>
      <c r="F1662" s="205">
        <v>0.0</v>
      </c>
      <c r="G1662" s="205">
        <v>1.0</v>
      </c>
    </row>
    <row r="1663" ht="15.75" customHeight="1">
      <c r="A1663" s="200" t="s">
        <v>576</v>
      </c>
      <c r="B1663" s="186" t="s">
        <v>6670</v>
      </c>
      <c r="C1663" s="210" t="s">
        <v>6671</v>
      </c>
      <c r="D1663" s="210" t="s">
        <v>6672</v>
      </c>
      <c r="E1663" s="204">
        <v>1.0</v>
      </c>
      <c r="F1663" s="205">
        <v>0.0</v>
      </c>
      <c r="G1663" s="205">
        <v>1.0</v>
      </c>
    </row>
    <row r="1664" ht="15.75" customHeight="1">
      <c r="A1664" s="200" t="s">
        <v>576</v>
      </c>
      <c r="B1664" s="186" t="s">
        <v>6673</v>
      </c>
      <c r="C1664" s="210" t="s">
        <v>6674</v>
      </c>
      <c r="D1664" s="210" t="s">
        <v>6675</v>
      </c>
      <c r="E1664" s="204">
        <v>1.0</v>
      </c>
      <c r="F1664" s="205">
        <v>0.0</v>
      </c>
      <c r="G1664" s="205">
        <v>0.0</v>
      </c>
    </row>
    <row r="1665" ht="15.75" customHeight="1">
      <c r="A1665" s="200" t="s">
        <v>576</v>
      </c>
      <c r="B1665" s="186" t="s">
        <v>6676</v>
      </c>
      <c r="C1665" s="210" t="s">
        <v>6677</v>
      </c>
      <c r="D1665" s="210" t="s">
        <v>2096</v>
      </c>
      <c r="E1665" s="204">
        <v>1.0</v>
      </c>
      <c r="F1665" s="205">
        <v>0.0</v>
      </c>
      <c r="G1665" s="205">
        <v>1.0</v>
      </c>
    </row>
    <row r="1666" ht="15.75" customHeight="1">
      <c r="A1666" s="200" t="s">
        <v>576</v>
      </c>
      <c r="B1666" s="186" t="s">
        <v>6678</v>
      </c>
      <c r="C1666" s="210" t="s">
        <v>6679</v>
      </c>
      <c r="D1666" s="210"/>
      <c r="E1666" s="204">
        <v>1.0</v>
      </c>
      <c r="F1666" s="205">
        <v>0.0</v>
      </c>
      <c r="G1666" s="205">
        <v>1.0</v>
      </c>
    </row>
    <row r="1667" ht="15.75" customHeight="1">
      <c r="A1667" s="200" t="s">
        <v>576</v>
      </c>
      <c r="B1667" s="186" t="s">
        <v>6680</v>
      </c>
      <c r="C1667" s="210" t="s">
        <v>6681</v>
      </c>
      <c r="D1667" s="210" t="s">
        <v>1101</v>
      </c>
      <c r="E1667" s="204">
        <v>1.0</v>
      </c>
      <c r="F1667" s="205">
        <v>0.0</v>
      </c>
      <c r="G1667" s="205">
        <v>0.0</v>
      </c>
    </row>
    <row r="1668" ht="15.75" customHeight="1">
      <c r="A1668" s="200" t="s">
        <v>576</v>
      </c>
      <c r="B1668" s="186" t="s">
        <v>6682</v>
      </c>
      <c r="C1668" s="210" t="s">
        <v>6683</v>
      </c>
      <c r="D1668" s="210" t="s">
        <v>1490</v>
      </c>
      <c r="E1668" s="204">
        <v>1.0</v>
      </c>
      <c r="F1668" s="205">
        <v>0.0</v>
      </c>
      <c r="G1668" s="205">
        <v>0.0</v>
      </c>
    </row>
    <row r="1669" ht="15.75" customHeight="1">
      <c r="A1669" s="200" t="s">
        <v>576</v>
      </c>
      <c r="B1669" s="186" t="s">
        <v>6684</v>
      </c>
      <c r="C1669" s="210" t="s">
        <v>6685</v>
      </c>
      <c r="D1669" s="210"/>
      <c r="E1669" s="204">
        <v>1.0</v>
      </c>
      <c r="F1669" s="205">
        <v>0.0</v>
      </c>
      <c r="G1669" s="205">
        <v>1.0</v>
      </c>
    </row>
    <row r="1670" ht="15.75" customHeight="1">
      <c r="A1670" s="200" t="s">
        <v>576</v>
      </c>
      <c r="B1670" s="186" t="s">
        <v>6686</v>
      </c>
      <c r="C1670" s="210" t="s">
        <v>6687</v>
      </c>
      <c r="D1670" s="210" t="s">
        <v>6688</v>
      </c>
      <c r="E1670" s="204">
        <v>1.0</v>
      </c>
      <c r="F1670" s="205">
        <v>0.0</v>
      </c>
      <c r="G1670" s="205">
        <v>1.0</v>
      </c>
    </row>
    <row r="1671" ht="15.75" customHeight="1">
      <c r="A1671" s="200" t="s">
        <v>576</v>
      </c>
      <c r="B1671" s="186" t="s">
        <v>6689</v>
      </c>
      <c r="C1671" s="210" t="s">
        <v>6690</v>
      </c>
      <c r="D1671" s="210"/>
      <c r="E1671" s="204">
        <v>1.0</v>
      </c>
      <c r="F1671" s="205">
        <v>0.0</v>
      </c>
      <c r="G1671" s="205">
        <v>1.0</v>
      </c>
    </row>
    <row r="1672" ht="15.75" customHeight="1">
      <c r="A1672" s="200" t="s">
        <v>576</v>
      </c>
      <c r="B1672" s="186" t="s">
        <v>6691</v>
      </c>
      <c r="C1672" s="210" t="s">
        <v>6692</v>
      </c>
      <c r="D1672" s="210" t="s">
        <v>1029</v>
      </c>
      <c r="E1672" s="204">
        <v>1.0</v>
      </c>
      <c r="F1672" s="205">
        <v>0.0</v>
      </c>
      <c r="G1672" s="205">
        <v>0.0</v>
      </c>
    </row>
    <row r="1673" ht="15.75" customHeight="1">
      <c r="A1673" s="200" t="s">
        <v>576</v>
      </c>
      <c r="B1673" s="186" t="s">
        <v>6693</v>
      </c>
      <c r="C1673" s="210" t="s">
        <v>6694</v>
      </c>
      <c r="D1673" s="210" t="s">
        <v>6695</v>
      </c>
      <c r="E1673" s="204">
        <v>1.0</v>
      </c>
      <c r="F1673" s="205">
        <v>0.0</v>
      </c>
      <c r="G1673" s="205">
        <v>0.0</v>
      </c>
    </row>
    <row r="1674" ht="15.75" customHeight="1">
      <c r="A1674" s="200" t="s">
        <v>576</v>
      </c>
      <c r="B1674" s="186" t="s">
        <v>6696</v>
      </c>
      <c r="C1674" s="210" t="s">
        <v>6697</v>
      </c>
      <c r="D1674" s="210" t="s">
        <v>3162</v>
      </c>
      <c r="E1674" s="204">
        <v>1.0</v>
      </c>
      <c r="F1674" s="205">
        <v>0.0</v>
      </c>
      <c r="G1674" s="205">
        <v>0.0</v>
      </c>
    </row>
    <row r="1675" ht="15.75" customHeight="1">
      <c r="A1675" s="200" t="s">
        <v>576</v>
      </c>
      <c r="B1675" s="186" t="s">
        <v>6698</v>
      </c>
      <c r="C1675" s="210" t="s">
        <v>6699</v>
      </c>
      <c r="D1675" s="210" t="s">
        <v>1490</v>
      </c>
      <c r="E1675" s="204">
        <v>1.0</v>
      </c>
      <c r="F1675" s="205">
        <v>0.0</v>
      </c>
      <c r="G1675" s="205">
        <v>1.0</v>
      </c>
    </row>
    <row r="1676" ht="15.75" customHeight="1">
      <c r="A1676" s="200" t="s">
        <v>576</v>
      </c>
      <c r="B1676" s="186" t="s">
        <v>6700</v>
      </c>
      <c r="C1676" s="210" t="s">
        <v>6701</v>
      </c>
      <c r="D1676" s="210" t="s">
        <v>6702</v>
      </c>
      <c r="E1676" s="204">
        <v>1.0</v>
      </c>
      <c r="F1676" s="205">
        <v>0.0</v>
      </c>
      <c r="G1676" s="205">
        <v>0.0</v>
      </c>
    </row>
    <row r="1677" ht="15.75" customHeight="1">
      <c r="A1677" s="200" t="s">
        <v>576</v>
      </c>
      <c r="B1677" s="186" t="s">
        <v>6703</v>
      </c>
      <c r="C1677" s="210" t="s">
        <v>6704</v>
      </c>
      <c r="D1677" s="210" t="s">
        <v>6705</v>
      </c>
      <c r="E1677" s="204">
        <v>1.0</v>
      </c>
      <c r="F1677" s="205">
        <v>0.0</v>
      </c>
      <c r="G1677" s="205">
        <v>0.0</v>
      </c>
    </row>
    <row r="1678" ht="15.75" customHeight="1">
      <c r="A1678" s="200" t="s">
        <v>576</v>
      </c>
      <c r="B1678" s="186" t="s">
        <v>1500</v>
      </c>
      <c r="C1678" s="210" t="s">
        <v>1501</v>
      </c>
      <c r="D1678" s="210" t="s">
        <v>1504</v>
      </c>
      <c r="E1678" s="204">
        <v>1.0</v>
      </c>
      <c r="F1678" s="205">
        <v>0.0</v>
      </c>
      <c r="G1678" s="205">
        <v>1.0</v>
      </c>
    </row>
    <row r="1679" ht="15.75" customHeight="1">
      <c r="A1679" s="200" t="s">
        <v>576</v>
      </c>
      <c r="B1679" s="186" t="s">
        <v>6706</v>
      </c>
      <c r="C1679" s="210" t="s">
        <v>6707</v>
      </c>
      <c r="D1679" s="210" t="s">
        <v>6708</v>
      </c>
      <c r="E1679" s="204">
        <v>1.0</v>
      </c>
      <c r="F1679" s="205">
        <v>0.0</v>
      </c>
      <c r="G1679" s="205">
        <v>6.0</v>
      </c>
    </row>
    <row r="1680" ht="15.75" customHeight="1">
      <c r="A1680" s="200" t="s">
        <v>576</v>
      </c>
      <c r="B1680" s="186" t="s">
        <v>6709</v>
      </c>
      <c r="C1680" s="210" t="s">
        <v>6710</v>
      </c>
      <c r="D1680" s="210"/>
      <c r="E1680" s="204">
        <v>1.0</v>
      </c>
      <c r="F1680" s="205">
        <v>0.0</v>
      </c>
      <c r="G1680" s="205">
        <v>1.0</v>
      </c>
    </row>
    <row r="1681" ht="15.75" customHeight="1">
      <c r="A1681" s="200" t="s">
        <v>576</v>
      </c>
      <c r="B1681" s="186" t="s">
        <v>5079</v>
      </c>
      <c r="C1681" s="210" t="s">
        <v>5080</v>
      </c>
      <c r="D1681" s="210" t="s">
        <v>6711</v>
      </c>
      <c r="E1681" s="204">
        <v>1.0</v>
      </c>
      <c r="F1681" s="205">
        <v>0.0</v>
      </c>
      <c r="G1681" s="205">
        <v>1.0</v>
      </c>
    </row>
    <row r="1682" ht="15.75" customHeight="1">
      <c r="A1682" s="200" t="s">
        <v>576</v>
      </c>
      <c r="B1682" s="186" t="s">
        <v>6712</v>
      </c>
      <c r="C1682" s="210" t="s">
        <v>6713</v>
      </c>
      <c r="D1682" s="210" t="s">
        <v>6714</v>
      </c>
      <c r="E1682" s="204">
        <v>1.0</v>
      </c>
      <c r="F1682" s="205">
        <v>0.0</v>
      </c>
      <c r="G1682" s="205">
        <v>1.0</v>
      </c>
    </row>
    <row r="1683" ht="15.75" customHeight="1">
      <c r="A1683" s="200" t="s">
        <v>576</v>
      </c>
      <c r="B1683" s="186" t="s">
        <v>2266</v>
      </c>
      <c r="C1683" s="210" t="s">
        <v>2267</v>
      </c>
      <c r="D1683" s="210" t="s">
        <v>1687</v>
      </c>
      <c r="E1683" s="204">
        <v>1.0</v>
      </c>
      <c r="F1683" s="205">
        <v>0.0</v>
      </c>
      <c r="G1683" s="205">
        <v>0.0</v>
      </c>
    </row>
    <row r="1684" ht="15.75" customHeight="1">
      <c r="A1684" s="200" t="s">
        <v>576</v>
      </c>
      <c r="B1684" s="186" t="s">
        <v>6715</v>
      </c>
      <c r="C1684" s="210" t="s">
        <v>6716</v>
      </c>
      <c r="D1684" s="210" t="s">
        <v>5617</v>
      </c>
      <c r="E1684" s="204">
        <v>1.0</v>
      </c>
      <c r="F1684" s="205">
        <v>0.0</v>
      </c>
      <c r="G1684" s="205">
        <v>1.0</v>
      </c>
    </row>
    <row r="1685" ht="15.75" customHeight="1">
      <c r="A1685" s="200" t="s">
        <v>576</v>
      </c>
      <c r="B1685" s="186" t="s">
        <v>6717</v>
      </c>
      <c r="C1685" s="210" t="s">
        <v>6718</v>
      </c>
      <c r="D1685" s="210" t="s">
        <v>6719</v>
      </c>
      <c r="E1685" s="204">
        <v>1.0</v>
      </c>
      <c r="F1685" s="205">
        <v>0.0</v>
      </c>
      <c r="G1685" s="205">
        <v>0.0</v>
      </c>
    </row>
    <row r="1686" ht="15.75" customHeight="1">
      <c r="A1686" s="200" t="s">
        <v>576</v>
      </c>
      <c r="B1686" s="186" t="s">
        <v>6720</v>
      </c>
      <c r="C1686" s="210" t="s">
        <v>6721</v>
      </c>
      <c r="D1686" s="210" t="s">
        <v>1490</v>
      </c>
      <c r="E1686" s="204">
        <v>1.0</v>
      </c>
      <c r="F1686" s="205">
        <v>0.0</v>
      </c>
      <c r="G1686" s="205">
        <v>0.0</v>
      </c>
    </row>
    <row r="1687" ht="15.75" customHeight="1">
      <c r="A1687" s="200" t="s">
        <v>576</v>
      </c>
      <c r="B1687" s="186" t="s">
        <v>6722</v>
      </c>
      <c r="C1687" s="210" t="s">
        <v>6723</v>
      </c>
      <c r="D1687" s="210" t="s">
        <v>6724</v>
      </c>
      <c r="E1687" s="204">
        <v>1.0</v>
      </c>
      <c r="F1687" s="205">
        <v>0.0</v>
      </c>
      <c r="G1687" s="205">
        <v>0.0</v>
      </c>
    </row>
    <row r="1688" ht="15.75" customHeight="1">
      <c r="A1688" s="200" t="s">
        <v>576</v>
      </c>
      <c r="B1688" s="186" t="s">
        <v>6725</v>
      </c>
      <c r="C1688" s="210" t="s">
        <v>6726</v>
      </c>
      <c r="D1688" s="210" t="s">
        <v>1029</v>
      </c>
      <c r="E1688" s="204">
        <v>1.0</v>
      </c>
      <c r="F1688" s="205">
        <v>0.0</v>
      </c>
      <c r="G1688" s="205">
        <v>0.0</v>
      </c>
    </row>
    <row r="1689" ht="15.75" customHeight="1">
      <c r="A1689" s="200" t="s">
        <v>576</v>
      </c>
      <c r="B1689" s="186" t="s">
        <v>6727</v>
      </c>
      <c r="C1689" s="210" t="s">
        <v>6728</v>
      </c>
      <c r="D1689" s="210" t="s">
        <v>6729</v>
      </c>
      <c r="E1689" s="204">
        <v>1.0</v>
      </c>
      <c r="F1689" s="205">
        <v>0.0</v>
      </c>
      <c r="G1689" s="205">
        <v>2.0</v>
      </c>
    </row>
    <row r="1690" ht="15.75" customHeight="1">
      <c r="A1690" s="200" t="s">
        <v>576</v>
      </c>
      <c r="B1690" s="186" t="s">
        <v>6730</v>
      </c>
      <c r="C1690" s="210" t="s">
        <v>6731</v>
      </c>
      <c r="D1690" s="210" t="s">
        <v>6732</v>
      </c>
      <c r="E1690" s="204">
        <v>1.0</v>
      </c>
      <c r="F1690" s="205">
        <v>0.0</v>
      </c>
      <c r="G1690" s="205">
        <v>1.0</v>
      </c>
    </row>
    <row r="1691" ht="15.75" customHeight="1">
      <c r="A1691" s="200" t="s">
        <v>576</v>
      </c>
      <c r="B1691" s="186" t="s">
        <v>6733</v>
      </c>
      <c r="C1691" s="210" t="s">
        <v>6734</v>
      </c>
      <c r="D1691" s="210" t="s">
        <v>6735</v>
      </c>
      <c r="E1691" s="204">
        <v>1.0</v>
      </c>
      <c r="F1691" s="205">
        <v>0.0</v>
      </c>
      <c r="G1691" s="205">
        <v>1.0</v>
      </c>
    </row>
    <row r="1692" ht="15.75" customHeight="1">
      <c r="A1692" s="200" t="s">
        <v>576</v>
      </c>
      <c r="B1692" s="186" t="s">
        <v>6736</v>
      </c>
      <c r="C1692" s="210" t="s">
        <v>6737</v>
      </c>
      <c r="D1692" s="210" t="s">
        <v>6738</v>
      </c>
      <c r="E1692" s="204">
        <v>1.0</v>
      </c>
      <c r="F1692" s="205">
        <v>0.0</v>
      </c>
      <c r="G1692" s="205">
        <v>1.0</v>
      </c>
    </row>
    <row r="1693" ht="15.75" customHeight="1">
      <c r="A1693" s="200" t="s">
        <v>576</v>
      </c>
      <c r="B1693" s="186" t="s">
        <v>6739</v>
      </c>
      <c r="C1693" s="210" t="s">
        <v>6740</v>
      </c>
      <c r="D1693" s="210" t="s">
        <v>6409</v>
      </c>
      <c r="E1693" s="204">
        <v>1.0</v>
      </c>
      <c r="F1693" s="205">
        <v>0.0</v>
      </c>
      <c r="G1693" s="205">
        <v>0.0</v>
      </c>
    </row>
    <row r="1694" ht="15.75" customHeight="1">
      <c r="A1694" s="200" t="s">
        <v>576</v>
      </c>
      <c r="B1694" s="186" t="s">
        <v>2393</v>
      </c>
      <c r="C1694" s="210" t="s">
        <v>2394</v>
      </c>
      <c r="D1694" s="210"/>
      <c r="E1694" s="204">
        <v>1.0</v>
      </c>
      <c r="F1694" s="205">
        <v>0.0</v>
      </c>
      <c r="G1694" s="205">
        <v>1.0</v>
      </c>
    </row>
    <row r="1695" ht="15.75" customHeight="1">
      <c r="A1695" s="200" t="s">
        <v>576</v>
      </c>
      <c r="B1695" s="186" t="s">
        <v>6741</v>
      </c>
      <c r="C1695" s="210" t="s">
        <v>6742</v>
      </c>
      <c r="D1695" s="210"/>
      <c r="E1695" s="204">
        <v>1.0</v>
      </c>
      <c r="F1695" s="205">
        <v>0.0</v>
      </c>
      <c r="G1695" s="205">
        <v>1.0</v>
      </c>
    </row>
    <row r="1696" ht="15.75" customHeight="1">
      <c r="A1696" s="200" t="s">
        <v>576</v>
      </c>
      <c r="B1696" s="186" t="s">
        <v>2714</v>
      </c>
      <c r="C1696" s="210" t="s">
        <v>2715</v>
      </c>
      <c r="D1696" s="210"/>
      <c r="E1696" s="204">
        <v>1.0</v>
      </c>
      <c r="F1696" s="205">
        <v>0.0</v>
      </c>
      <c r="G1696" s="205">
        <v>0.0</v>
      </c>
    </row>
    <row r="1697" ht="15.75" customHeight="1">
      <c r="A1697" s="200" t="s">
        <v>576</v>
      </c>
      <c r="B1697" s="186" t="s">
        <v>6743</v>
      </c>
      <c r="C1697" s="210" t="s">
        <v>6744</v>
      </c>
      <c r="D1697" s="210"/>
      <c r="E1697" s="204">
        <v>1.0</v>
      </c>
      <c r="F1697" s="205">
        <v>0.0</v>
      </c>
      <c r="G1697" s="205">
        <v>0.0</v>
      </c>
    </row>
    <row r="1698" ht="15.75" customHeight="1">
      <c r="A1698" s="200" t="s">
        <v>576</v>
      </c>
      <c r="B1698" s="186" t="s">
        <v>6745</v>
      </c>
      <c r="C1698" s="210" t="s">
        <v>6746</v>
      </c>
      <c r="D1698" s="210" t="s">
        <v>6747</v>
      </c>
      <c r="E1698" s="204">
        <v>1.0</v>
      </c>
      <c r="F1698" s="205">
        <v>0.0</v>
      </c>
      <c r="G1698" s="205">
        <v>1.0</v>
      </c>
    </row>
    <row r="1699" ht="15.75" customHeight="1">
      <c r="A1699" s="200" t="s">
        <v>576</v>
      </c>
      <c r="B1699" s="186" t="s">
        <v>875</v>
      </c>
      <c r="C1699" s="210" t="s">
        <v>876</v>
      </c>
      <c r="D1699" s="210" t="s">
        <v>6748</v>
      </c>
      <c r="E1699" s="204">
        <v>1.0</v>
      </c>
      <c r="F1699" s="205">
        <v>0.0</v>
      </c>
      <c r="G1699" s="205">
        <v>0.0</v>
      </c>
    </row>
    <row r="1700" ht="15.75" customHeight="1">
      <c r="A1700" s="200" t="s">
        <v>576</v>
      </c>
      <c r="B1700" s="186" t="s">
        <v>6749</v>
      </c>
      <c r="C1700" s="210" t="s">
        <v>6750</v>
      </c>
      <c r="D1700" s="210"/>
      <c r="E1700" s="204">
        <v>1.0</v>
      </c>
      <c r="F1700" s="205">
        <v>0.0</v>
      </c>
      <c r="G1700" s="205">
        <v>0.0</v>
      </c>
    </row>
    <row r="1701" ht="15.75" customHeight="1">
      <c r="A1701" s="200" t="s">
        <v>576</v>
      </c>
      <c r="B1701" s="186" t="s">
        <v>6751</v>
      </c>
      <c r="C1701" s="210" t="s">
        <v>6752</v>
      </c>
      <c r="D1701" s="210" t="s">
        <v>6753</v>
      </c>
      <c r="E1701" s="204">
        <v>1.0</v>
      </c>
      <c r="F1701" s="205">
        <v>0.0</v>
      </c>
      <c r="G1701" s="205">
        <v>1.0</v>
      </c>
    </row>
    <row r="1702" ht="15.75" customHeight="1">
      <c r="A1702" s="200" t="s">
        <v>576</v>
      </c>
      <c r="B1702" s="186" t="s">
        <v>6754</v>
      </c>
      <c r="C1702" s="210" t="s">
        <v>6016</v>
      </c>
      <c r="D1702" s="210" t="s">
        <v>6017</v>
      </c>
      <c r="E1702" s="204">
        <v>1.0</v>
      </c>
      <c r="F1702" s="205">
        <v>0.0</v>
      </c>
      <c r="G1702" s="205">
        <v>0.0</v>
      </c>
    </row>
    <row r="1703" ht="15.75" customHeight="1">
      <c r="A1703" s="200" t="s">
        <v>576</v>
      </c>
      <c r="B1703" s="186" t="s">
        <v>6755</v>
      </c>
      <c r="C1703" s="210" t="s">
        <v>6756</v>
      </c>
      <c r="D1703" s="210"/>
      <c r="E1703" s="204">
        <v>1.0</v>
      </c>
      <c r="F1703" s="205">
        <v>0.0</v>
      </c>
      <c r="G1703" s="205">
        <v>1.0</v>
      </c>
    </row>
    <row r="1704" ht="15.75" customHeight="1">
      <c r="A1704" s="200" t="s">
        <v>576</v>
      </c>
      <c r="B1704" s="186" t="s">
        <v>6757</v>
      </c>
      <c r="C1704" s="210" t="s">
        <v>6758</v>
      </c>
      <c r="D1704" s="210" t="s">
        <v>6759</v>
      </c>
      <c r="E1704" s="204">
        <v>1.0</v>
      </c>
      <c r="F1704" s="205">
        <v>0.0</v>
      </c>
      <c r="G1704" s="205">
        <v>0.0</v>
      </c>
    </row>
    <row r="1705" ht="15.75" customHeight="1">
      <c r="A1705" s="200" t="s">
        <v>576</v>
      </c>
      <c r="B1705" s="186" t="s">
        <v>6760</v>
      </c>
      <c r="C1705" s="210" t="s">
        <v>6761</v>
      </c>
      <c r="D1705" s="210" t="s">
        <v>6762</v>
      </c>
      <c r="E1705" s="204">
        <v>1.0</v>
      </c>
      <c r="F1705" s="205">
        <v>0.0</v>
      </c>
      <c r="G1705" s="205">
        <v>0.0</v>
      </c>
    </row>
    <row r="1706" ht="15.75" customHeight="1">
      <c r="A1706" s="200" t="s">
        <v>576</v>
      </c>
      <c r="B1706" s="186" t="s">
        <v>6763</v>
      </c>
      <c r="C1706" s="210" t="s">
        <v>5690</v>
      </c>
      <c r="D1706" s="210" t="s">
        <v>6764</v>
      </c>
      <c r="E1706" s="204">
        <v>1.0</v>
      </c>
      <c r="F1706" s="205">
        <v>0.0</v>
      </c>
      <c r="G1706" s="205">
        <v>0.0</v>
      </c>
    </row>
    <row r="1707" ht="15.75" customHeight="1">
      <c r="A1707" s="200" t="s">
        <v>576</v>
      </c>
      <c r="B1707" s="186" t="s">
        <v>6765</v>
      </c>
      <c r="C1707" s="210" t="s">
        <v>6766</v>
      </c>
      <c r="D1707" s="210" t="s">
        <v>6767</v>
      </c>
      <c r="E1707" s="204">
        <v>1.0</v>
      </c>
      <c r="F1707" s="205">
        <v>0.0</v>
      </c>
      <c r="G1707" s="205">
        <v>0.0</v>
      </c>
    </row>
    <row r="1708" ht="15.75" customHeight="1">
      <c r="A1708" s="200" t="s">
        <v>576</v>
      </c>
      <c r="B1708" s="186" t="s">
        <v>6768</v>
      </c>
      <c r="C1708" s="210" t="s">
        <v>6769</v>
      </c>
      <c r="D1708" s="210" t="s">
        <v>6770</v>
      </c>
      <c r="E1708" s="204">
        <v>1.0</v>
      </c>
      <c r="F1708" s="205">
        <v>0.0</v>
      </c>
      <c r="G1708" s="205">
        <v>0.0</v>
      </c>
    </row>
    <row r="1709" ht="15.75" customHeight="1">
      <c r="A1709" s="200" t="s">
        <v>576</v>
      </c>
      <c r="B1709" s="186" t="s">
        <v>6771</v>
      </c>
      <c r="C1709" s="210" t="s">
        <v>6772</v>
      </c>
      <c r="D1709" s="210" t="s">
        <v>6773</v>
      </c>
      <c r="E1709" s="204">
        <v>1.0</v>
      </c>
      <c r="F1709" s="205">
        <v>0.0</v>
      </c>
      <c r="G1709" s="205">
        <v>0.0</v>
      </c>
    </row>
    <row r="1710" ht="15.75" customHeight="1">
      <c r="A1710" s="200" t="s">
        <v>576</v>
      </c>
      <c r="B1710" s="186" t="s">
        <v>6774</v>
      </c>
      <c r="C1710" s="210" t="s">
        <v>6775</v>
      </c>
      <c r="D1710" s="210" t="s">
        <v>6776</v>
      </c>
      <c r="E1710" s="204">
        <v>1.0</v>
      </c>
      <c r="F1710" s="205">
        <v>0.0</v>
      </c>
      <c r="G1710" s="205">
        <v>0.0</v>
      </c>
    </row>
    <row r="1711" ht="15.75" customHeight="1">
      <c r="A1711" s="200" t="s">
        <v>576</v>
      </c>
      <c r="B1711" s="186" t="s">
        <v>6777</v>
      </c>
      <c r="C1711" s="210" t="s">
        <v>6778</v>
      </c>
      <c r="D1711" s="210" t="s">
        <v>6779</v>
      </c>
      <c r="E1711" s="204">
        <v>1.0</v>
      </c>
      <c r="F1711" s="205">
        <v>0.0</v>
      </c>
      <c r="G1711" s="205">
        <v>0.0</v>
      </c>
    </row>
    <row r="1712" ht="15.75" customHeight="1">
      <c r="A1712" s="200" t="s">
        <v>576</v>
      </c>
      <c r="B1712" s="186" t="s">
        <v>6780</v>
      </c>
      <c r="C1712" s="210" t="s">
        <v>6781</v>
      </c>
      <c r="D1712" s="210" t="s">
        <v>6782</v>
      </c>
      <c r="E1712" s="204">
        <v>1.0</v>
      </c>
      <c r="F1712" s="205">
        <v>0.0</v>
      </c>
      <c r="G1712" s="205">
        <v>0.0</v>
      </c>
    </row>
    <row r="1713" ht="15.75" customHeight="1">
      <c r="A1713" s="200" t="s">
        <v>576</v>
      </c>
      <c r="B1713" s="186" t="s">
        <v>6783</v>
      </c>
      <c r="C1713" s="210" t="s">
        <v>6784</v>
      </c>
      <c r="D1713" s="210" t="s">
        <v>6785</v>
      </c>
      <c r="E1713" s="204">
        <v>1.0</v>
      </c>
      <c r="F1713" s="205">
        <v>0.0</v>
      </c>
      <c r="G1713" s="205">
        <v>0.0</v>
      </c>
    </row>
    <row r="1714" ht="15.75" customHeight="1">
      <c r="A1714" s="200" t="s">
        <v>576</v>
      </c>
      <c r="B1714" s="186" t="s">
        <v>6786</v>
      </c>
      <c r="C1714" s="210" t="s">
        <v>6787</v>
      </c>
      <c r="D1714" s="210" t="s">
        <v>1101</v>
      </c>
      <c r="E1714" s="204">
        <v>1.0</v>
      </c>
      <c r="F1714" s="205">
        <v>0.0</v>
      </c>
      <c r="G1714" s="205">
        <v>0.0</v>
      </c>
    </row>
    <row r="1715" ht="15.75" customHeight="1">
      <c r="A1715" s="200" t="s">
        <v>576</v>
      </c>
      <c r="B1715" s="186" t="s">
        <v>1505</v>
      </c>
      <c r="C1715" s="210" t="s">
        <v>1506</v>
      </c>
      <c r="D1715" s="210" t="s">
        <v>1507</v>
      </c>
      <c r="E1715" s="204">
        <v>1.0</v>
      </c>
      <c r="F1715" s="205">
        <v>0.0</v>
      </c>
      <c r="G1715" s="205">
        <v>0.0</v>
      </c>
    </row>
    <row r="1716" ht="15.75" customHeight="1">
      <c r="A1716" s="200" t="s">
        <v>576</v>
      </c>
      <c r="B1716" s="186" t="s">
        <v>6788</v>
      </c>
      <c r="C1716" s="210" t="s">
        <v>6789</v>
      </c>
      <c r="D1716" s="210"/>
      <c r="E1716" s="204">
        <v>1.0</v>
      </c>
      <c r="F1716" s="205">
        <v>0.0</v>
      </c>
      <c r="G1716" s="205">
        <v>1.0</v>
      </c>
    </row>
    <row r="1717" ht="15.75" customHeight="1">
      <c r="A1717" s="200" t="s">
        <v>576</v>
      </c>
      <c r="B1717" s="186" t="s">
        <v>6790</v>
      </c>
      <c r="C1717" s="210" t="s">
        <v>796</v>
      </c>
      <c r="D1717" s="210" t="s">
        <v>6791</v>
      </c>
      <c r="E1717" s="204">
        <v>1.0</v>
      </c>
      <c r="F1717" s="205">
        <v>0.0</v>
      </c>
      <c r="G1717" s="205">
        <v>0.0</v>
      </c>
    </row>
    <row r="1718" ht="15.75" customHeight="1">
      <c r="A1718" s="200" t="s">
        <v>576</v>
      </c>
      <c r="B1718" s="186" t="s">
        <v>3779</v>
      </c>
      <c r="C1718" s="210" t="s">
        <v>3780</v>
      </c>
      <c r="D1718" s="210" t="s">
        <v>6792</v>
      </c>
      <c r="E1718" s="204">
        <v>1.0</v>
      </c>
      <c r="F1718" s="205">
        <v>0.0</v>
      </c>
      <c r="G1718" s="205">
        <v>0.0</v>
      </c>
    </row>
    <row r="1719" ht="15.75" customHeight="1">
      <c r="A1719" s="200" t="s">
        <v>576</v>
      </c>
      <c r="B1719" s="186" t="s">
        <v>6793</v>
      </c>
      <c r="C1719" s="210" t="s">
        <v>6794</v>
      </c>
      <c r="D1719" s="210" t="s">
        <v>1490</v>
      </c>
      <c r="E1719" s="204">
        <v>1.0</v>
      </c>
      <c r="F1719" s="205">
        <v>0.0</v>
      </c>
      <c r="G1719" s="205">
        <v>1.0</v>
      </c>
    </row>
    <row r="1720" ht="15.75" customHeight="1">
      <c r="A1720" s="200" t="s">
        <v>576</v>
      </c>
      <c r="B1720" s="186" t="s">
        <v>6795</v>
      </c>
      <c r="C1720" s="210" t="s">
        <v>6796</v>
      </c>
      <c r="D1720" s="210" t="s">
        <v>6797</v>
      </c>
      <c r="E1720" s="204">
        <v>1.0</v>
      </c>
      <c r="F1720" s="205">
        <v>0.0</v>
      </c>
      <c r="G1720" s="205">
        <v>1.0</v>
      </c>
    </row>
    <row r="1721" ht="15.75" customHeight="1">
      <c r="A1721" s="200" t="s">
        <v>576</v>
      </c>
      <c r="B1721" s="186" t="s">
        <v>6798</v>
      </c>
      <c r="C1721" s="210" t="s">
        <v>6799</v>
      </c>
      <c r="D1721" s="210" t="s">
        <v>6800</v>
      </c>
      <c r="E1721" s="204">
        <v>1.0</v>
      </c>
      <c r="F1721" s="205">
        <v>0.0</v>
      </c>
      <c r="G1721" s="205">
        <v>1.0</v>
      </c>
    </row>
    <row r="1722" ht="15.75" customHeight="1">
      <c r="A1722" s="200" t="s">
        <v>576</v>
      </c>
      <c r="B1722" s="186" t="s">
        <v>6801</v>
      </c>
      <c r="C1722" s="210" t="s">
        <v>6802</v>
      </c>
      <c r="D1722" s="210" t="s">
        <v>1702</v>
      </c>
      <c r="E1722" s="204">
        <v>1.0</v>
      </c>
      <c r="F1722" s="205">
        <v>0.0</v>
      </c>
      <c r="G1722" s="205">
        <v>0.0</v>
      </c>
    </row>
    <row r="1723" ht="15.75" customHeight="1">
      <c r="A1723" s="200" t="s">
        <v>576</v>
      </c>
      <c r="B1723" s="186" t="s">
        <v>6803</v>
      </c>
      <c r="C1723" s="210" t="s">
        <v>6804</v>
      </c>
      <c r="D1723" s="210" t="s">
        <v>1702</v>
      </c>
      <c r="E1723" s="204">
        <v>1.0</v>
      </c>
      <c r="F1723" s="205">
        <v>0.0</v>
      </c>
      <c r="G1723" s="205">
        <v>0.0</v>
      </c>
    </row>
    <row r="1724" ht="15.75" customHeight="1">
      <c r="A1724" s="200" t="s">
        <v>576</v>
      </c>
      <c r="B1724" s="186" t="s">
        <v>6805</v>
      </c>
      <c r="C1724" s="210" t="s">
        <v>6806</v>
      </c>
      <c r="D1724" s="210" t="s">
        <v>6807</v>
      </c>
      <c r="E1724" s="204">
        <v>1.0</v>
      </c>
      <c r="F1724" s="205">
        <v>0.0</v>
      </c>
      <c r="G1724" s="205">
        <v>2.0</v>
      </c>
    </row>
    <row r="1725" ht="15.75" customHeight="1">
      <c r="A1725" s="200" t="s">
        <v>576</v>
      </c>
      <c r="B1725" s="186" t="s">
        <v>6808</v>
      </c>
      <c r="C1725" s="210" t="s">
        <v>6809</v>
      </c>
      <c r="D1725" s="210" t="s">
        <v>6810</v>
      </c>
      <c r="E1725" s="204">
        <v>1.0</v>
      </c>
      <c r="F1725" s="205">
        <v>0.0</v>
      </c>
      <c r="G1725" s="205">
        <v>0.0</v>
      </c>
    </row>
    <row r="1726" ht="15.75" customHeight="1">
      <c r="A1726" s="200" t="s">
        <v>576</v>
      </c>
      <c r="B1726" s="186" t="s">
        <v>6811</v>
      </c>
      <c r="C1726" s="210" t="s">
        <v>6812</v>
      </c>
      <c r="D1726" s="210"/>
      <c r="E1726" s="204">
        <v>1.0</v>
      </c>
      <c r="F1726" s="205">
        <v>0.0</v>
      </c>
      <c r="G1726" s="205">
        <v>1.0</v>
      </c>
    </row>
    <row r="1727" ht="15.75" customHeight="1">
      <c r="A1727" s="200" t="s">
        <v>576</v>
      </c>
      <c r="B1727" s="186" t="s">
        <v>6813</v>
      </c>
      <c r="C1727" s="210" t="s">
        <v>6814</v>
      </c>
      <c r="D1727" s="210" t="s">
        <v>5894</v>
      </c>
      <c r="E1727" s="204">
        <v>1.0</v>
      </c>
      <c r="F1727" s="205">
        <v>0.0</v>
      </c>
      <c r="G1727" s="205">
        <v>0.0</v>
      </c>
    </row>
    <row r="1728" ht="15.75" customHeight="1">
      <c r="A1728" s="200" t="s">
        <v>576</v>
      </c>
      <c r="B1728" s="186" t="s">
        <v>6815</v>
      </c>
      <c r="C1728" s="210" t="s">
        <v>6816</v>
      </c>
      <c r="D1728" s="210" t="s">
        <v>6817</v>
      </c>
      <c r="E1728" s="204">
        <v>1.0</v>
      </c>
      <c r="F1728" s="205">
        <v>0.0</v>
      </c>
      <c r="G1728" s="205">
        <v>0.0</v>
      </c>
    </row>
    <row r="1729" ht="15.75" customHeight="1">
      <c r="A1729" s="200" t="s">
        <v>576</v>
      </c>
      <c r="B1729" s="186" t="s">
        <v>6818</v>
      </c>
      <c r="C1729" s="210" t="s">
        <v>6819</v>
      </c>
      <c r="D1729" s="210" t="s">
        <v>6820</v>
      </c>
      <c r="E1729" s="204">
        <v>1.0</v>
      </c>
      <c r="F1729" s="205">
        <v>0.0</v>
      </c>
      <c r="G1729" s="205">
        <v>2.0</v>
      </c>
    </row>
    <row r="1730" ht="15.75" customHeight="1">
      <c r="A1730" s="200" t="s">
        <v>576</v>
      </c>
      <c r="B1730" s="186" t="s">
        <v>6821</v>
      </c>
      <c r="C1730" s="210" t="s">
        <v>6822</v>
      </c>
      <c r="D1730" s="210" t="s">
        <v>1778</v>
      </c>
      <c r="E1730" s="204">
        <v>1.0</v>
      </c>
      <c r="F1730" s="205">
        <v>0.0</v>
      </c>
      <c r="G1730" s="205">
        <v>1.0</v>
      </c>
    </row>
    <row r="1731" ht="15.75" customHeight="1">
      <c r="A1731" s="200" t="s">
        <v>576</v>
      </c>
      <c r="B1731" s="186" t="s">
        <v>6823</v>
      </c>
      <c r="C1731" s="210" t="s">
        <v>6071</v>
      </c>
      <c r="D1731" s="210" t="s">
        <v>6072</v>
      </c>
      <c r="E1731" s="204">
        <v>1.0</v>
      </c>
      <c r="F1731" s="205">
        <v>0.0</v>
      </c>
      <c r="G1731" s="205">
        <v>0.0</v>
      </c>
    </row>
    <row r="1732" ht="15.75" customHeight="1">
      <c r="A1732" s="200" t="s">
        <v>576</v>
      </c>
      <c r="B1732" s="186" t="s">
        <v>3443</v>
      </c>
      <c r="C1732" s="210" t="s">
        <v>3444</v>
      </c>
      <c r="D1732" s="210" t="s">
        <v>1687</v>
      </c>
      <c r="E1732" s="204">
        <v>1.0</v>
      </c>
      <c r="F1732" s="205">
        <v>0.0</v>
      </c>
      <c r="G1732" s="205">
        <v>0.0</v>
      </c>
    </row>
    <row r="1733" ht="15.75" customHeight="1">
      <c r="A1733" s="200" t="s">
        <v>576</v>
      </c>
      <c r="B1733" s="186" t="s">
        <v>1508</v>
      </c>
      <c r="C1733" s="210" t="s">
        <v>1511</v>
      </c>
      <c r="D1733" s="210" t="s">
        <v>1512</v>
      </c>
      <c r="E1733" s="204">
        <v>1.0</v>
      </c>
      <c r="F1733" s="205">
        <v>0.0</v>
      </c>
      <c r="G1733" s="205">
        <v>0.0</v>
      </c>
    </row>
    <row r="1734" ht="15.75" customHeight="1">
      <c r="A1734" s="200" t="s">
        <v>576</v>
      </c>
      <c r="B1734" s="186" t="s">
        <v>6824</v>
      </c>
      <c r="C1734" s="210" t="s">
        <v>6825</v>
      </c>
      <c r="D1734" s="210"/>
      <c r="E1734" s="204">
        <v>1.0</v>
      </c>
      <c r="F1734" s="205">
        <v>0.0</v>
      </c>
      <c r="G1734" s="205">
        <v>1.0</v>
      </c>
    </row>
    <row r="1735" ht="15.75" customHeight="1">
      <c r="A1735" s="200" t="s">
        <v>576</v>
      </c>
      <c r="B1735" s="186" t="s">
        <v>6826</v>
      </c>
      <c r="C1735" s="210" t="s">
        <v>6827</v>
      </c>
      <c r="D1735" s="210"/>
      <c r="E1735" s="204">
        <v>1.0</v>
      </c>
      <c r="F1735" s="205">
        <v>0.0</v>
      </c>
      <c r="G1735" s="205">
        <v>1.0</v>
      </c>
    </row>
    <row r="1736" ht="15.75" customHeight="1">
      <c r="A1736" s="200" t="s">
        <v>576</v>
      </c>
      <c r="B1736" s="186" t="s">
        <v>6828</v>
      </c>
      <c r="C1736" s="210" t="s">
        <v>846</v>
      </c>
      <c r="D1736" s="210" t="s">
        <v>6829</v>
      </c>
      <c r="E1736" s="204">
        <v>1.0</v>
      </c>
      <c r="F1736" s="205">
        <v>0.0</v>
      </c>
      <c r="G1736" s="205">
        <v>0.0</v>
      </c>
    </row>
    <row r="1737" ht="15.75" customHeight="1">
      <c r="A1737" s="200" t="s">
        <v>576</v>
      </c>
      <c r="B1737" s="186" t="s">
        <v>6830</v>
      </c>
      <c r="C1737" s="210" t="s">
        <v>6831</v>
      </c>
      <c r="D1737" s="210" t="s">
        <v>6832</v>
      </c>
      <c r="E1737" s="204">
        <v>1.0</v>
      </c>
      <c r="F1737" s="205">
        <v>0.0</v>
      </c>
      <c r="G1737" s="205">
        <v>1.0</v>
      </c>
    </row>
    <row r="1738" ht="15.75" customHeight="1">
      <c r="A1738" s="200" t="s">
        <v>576</v>
      </c>
      <c r="B1738" s="186" t="s">
        <v>6833</v>
      </c>
      <c r="C1738" s="210" t="s">
        <v>6834</v>
      </c>
      <c r="D1738" s="210"/>
      <c r="E1738" s="204">
        <v>1.0</v>
      </c>
      <c r="F1738" s="205">
        <v>0.0</v>
      </c>
      <c r="G1738" s="205">
        <v>0.0</v>
      </c>
    </row>
    <row r="1739" ht="15.75" customHeight="1">
      <c r="A1739" s="200" t="s">
        <v>576</v>
      </c>
      <c r="B1739" s="186" t="s">
        <v>6835</v>
      </c>
      <c r="C1739" s="210" t="s">
        <v>6836</v>
      </c>
      <c r="D1739" s="210" t="s">
        <v>6837</v>
      </c>
      <c r="E1739" s="204">
        <v>1.0</v>
      </c>
      <c r="F1739" s="205">
        <v>0.0</v>
      </c>
      <c r="G1739" s="205">
        <v>0.0</v>
      </c>
    </row>
    <row r="1740" ht="15.75" customHeight="1">
      <c r="A1740" s="200" t="s">
        <v>576</v>
      </c>
      <c r="B1740" s="186" t="s">
        <v>5541</v>
      </c>
      <c r="C1740" s="210" t="s">
        <v>5542</v>
      </c>
      <c r="D1740" s="210" t="s">
        <v>6837</v>
      </c>
      <c r="E1740" s="204">
        <v>1.0</v>
      </c>
      <c r="F1740" s="205">
        <v>0.0</v>
      </c>
      <c r="G1740" s="205">
        <v>0.0</v>
      </c>
    </row>
    <row r="1741" ht="15.75" customHeight="1">
      <c r="A1741" s="200" t="s">
        <v>576</v>
      </c>
      <c r="B1741" s="186" t="s">
        <v>6838</v>
      </c>
      <c r="C1741" s="210" t="s">
        <v>6839</v>
      </c>
      <c r="D1741" s="210" t="s">
        <v>6840</v>
      </c>
      <c r="E1741" s="204">
        <v>1.0</v>
      </c>
      <c r="F1741" s="205">
        <v>0.0</v>
      </c>
      <c r="G1741" s="205">
        <v>0.0</v>
      </c>
    </row>
    <row r="1742" ht="15.75" customHeight="1">
      <c r="A1742" s="200" t="s">
        <v>576</v>
      </c>
      <c r="B1742" s="186" t="s">
        <v>6841</v>
      </c>
      <c r="C1742" s="210" t="s">
        <v>6842</v>
      </c>
      <c r="D1742" s="210" t="s">
        <v>6843</v>
      </c>
      <c r="E1742" s="204">
        <v>1.0</v>
      </c>
      <c r="F1742" s="205">
        <v>0.0</v>
      </c>
      <c r="G1742" s="205">
        <v>1.0</v>
      </c>
    </row>
    <row r="1743" ht="15.75" customHeight="1">
      <c r="A1743" s="200" t="s">
        <v>576</v>
      </c>
      <c r="B1743" s="186" t="s">
        <v>6844</v>
      </c>
      <c r="C1743" s="210" t="s">
        <v>6845</v>
      </c>
      <c r="D1743" s="210" t="s">
        <v>6049</v>
      </c>
      <c r="E1743" s="204">
        <v>1.0</v>
      </c>
      <c r="F1743" s="205">
        <v>0.0</v>
      </c>
      <c r="G1743" s="205">
        <v>0.0</v>
      </c>
    </row>
    <row r="1744" ht="15.75" customHeight="1">
      <c r="A1744" s="200" t="s">
        <v>576</v>
      </c>
      <c r="B1744" s="186" t="s">
        <v>4054</v>
      </c>
      <c r="C1744" s="210" t="s">
        <v>4055</v>
      </c>
      <c r="D1744" s="210"/>
      <c r="E1744" s="204">
        <v>1.0</v>
      </c>
      <c r="F1744" s="205">
        <v>0.0</v>
      </c>
      <c r="G1744" s="205">
        <v>2.0</v>
      </c>
    </row>
    <row r="1745" ht="15.75" customHeight="1">
      <c r="A1745" s="224"/>
      <c r="B1745" s="186"/>
      <c r="C1745" s="210"/>
      <c r="D1745" s="210"/>
      <c r="E1745" s="204"/>
      <c r="F1745" s="205"/>
      <c r="G1745" s="205"/>
    </row>
    <row r="1746" ht="15.75" customHeight="1">
      <c r="A1746" s="224"/>
      <c r="B1746" s="186"/>
      <c r="C1746" s="210"/>
      <c r="D1746" s="210"/>
      <c r="E1746" s="204"/>
      <c r="F1746" s="205"/>
      <c r="G1746" s="205"/>
    </row>
    <row r="1747" ht="15.75" customHeight="1">
      <c r="A1747" s="225"/>
      <c r="B1747" s="226" t="s">
        <v>5204</v>
      </c>
      <c r="C1747" s="226" t="s">
        <v>298</v>
      </c>
      <c r="D1747" s="226" t="s">
        <v>293</v>
      </c>
      <c r="E1747" s="227" t="s">
        <v>294</v>
      </c>
      <c r="F1747" s="229" t="s">
        <v>295</v>
      </c>
      <c r="G1747" s="229" t="s">
        <v>296</v>
      </c>
    </row>
    <row r="1748" ht="15.75" customHeight="1">
      <c r="A1748" s="200" t="s">
        <v>311</v>
      </c>
      <c r="B1748" s="186" t="s">
        <v>1515</v>
      </c>
      <c r="C1748" s="210" t="s">
        <v>1516</v>
      </c>
      <c r="D1748" s="210" t="s">
        <v>1517</v>
      </c>
      <c r="E1748" s="204">
        <v>168.0</v>
      </c>
      <c r="F1748" s="205">
        <v>0.16</v>
      </c>
      <c r="G1748" s="205">
        <v>1.56</v>
      </c>
    </row>
    <row r="1749" ht="15.75" customHeight="1">
      <c r="A1749" s="200" t="s">
        <v>311</v>
      </c>
      <c r="B1749" s="186" t="s">
        <v>1519</v>
      </c>
      <c r="C1749" s="210" t="s">
        <v>1520</v>
      </c>
      <c r="D1749" s="210" t="s">
        <v>1524</v>
      </c>
      <c r="E1749" s="204">
        <v>91.0</v>
      </c>
      <c r="F1749" s="205">
        <v>0.09</v>
      </c>
      <c r="G1749" s="205">
        <v>1.77</v>
      </c>
    </row>
    <row r="1750" ht="15.75" customHeight="1">
      <c r="A1750" s="200" t="s">
        <v>311</v>
      </c>
      <c r="B1750" s="186" t="s">
        <v>6846</v>
      </c>
      <c r="C1750" s="210" t="s">
        <v>6847</v>
      </c>
      <c r="D1750" s="210" t="s">
        <v>6848</v>
      </c>
      <c r="E1750" s="204">
        <v>80.0</v>
      </c>
      <c r="F1750" s="205">
        <v>0.08</v>
      </c>
      <c r="G1750" s="205">
        <v>0.18</v>
      </c>
    </row>
    <row r="1751" ht="15.75" customHeight="1">
      <c r="A1751" s="200" t="s">
        <v>311</v>
      </c>
      <c r="B1751" s="186" t="s">
        <v>1527</v>
      </c>
      <c r="C1751" s="210" t="s">
        <v>1528</v>
      </c>
      <c r="D1751" s="210" t="s">
        <v>1532</v>
      </c>
      <c r="E1751" s="204">
        <v>77.0</v>
      </c>
      <c r="F1751" s="205">
        <v>0.08</v>
      </c>
      <c r="G1751" s="205">
        <v>1.42</v>
      </c>
    </row>
    <row r="1752" ht="15.75" customHeight="1">
      <c r="A1752" s="200" t="s">
        <v>311</v>
      </c>
      <c r="B1752" s="186" t="s">
        <v>1536</v>
      </c>
      <c r="C1752" s="210" t="s">
        <v>1537</v>
      </c>
      <c r="D1752" s="210" t="s">
        <v>1538</v>
      </c>
      <c r="E1752" s="204">
        <v>73.0</v>
      </c>
      <c r="F1752" s="205">
        <v>0.07</v>
      </c>
      <c r="G1752" s="205">
        <v>0.84</v>
      </c>
    </row>
    <row r="1753" ht="15.75" customHeight="1">
      <c r="A1753" s="200" t="s">
        <v>311</v>
      </c>
      <c r="B1753" s="186" t="s">
        <v>6849</v>
      </c>
      <c r="C1753" s="210" t="s">
        <v>6850</v>
      </c>
      <c r="D1753" s="210" t="s">
        <v>6851</v>
      </c>
      <c r="E1753" s="204">
        <v>69.0</v>
      </c>
      <c r="F1753" s="205">
        <v>0.07</v>
      </c>
      <c r="G1753" s="205">
        <v>0.25</v>
      </c>
    </row>
    <row r="1754" ht="15.75" customHeight="1">
      <c r="A1754" s="200" t="s">
        <v>311</v>
      </c>
      <c r="B1754" s="186" t="s">
        <v>6852</v>
      </c>
      <c r="C1754" s="210" t="s">
        <v>3543</v>
      </c>
      <c r="D1754" s="210" t="s">
        <v>3544</v>
      </c>
      <c r="E1754" s="204">
        <v>67.0</v>
      </c>
      <c r="F1754" s="205">
        <v>0.07</v>
      </c>
      <c r="G1754" s="205">
        <v>0.91</v>
      </c>
    </row>
    <row r="1755" ht="15.75" customHeight="1">
      <c r="A1755" s="200" t="s">
        <v>311</v>
      </c>
      <c r="B1755" s="186" t="s">
        <v>6853</v>
      </c>
      <c r="C1755" s="210" t="s">
        <v>6854</v>
      </c>
      <c r="D1755" s="210" t="s">
        <v>6855</v>
      </c>
      <c r="E1755" s="204">
        <v>63.0</v>
      </c>
      <c r="F1755" s="205">
        <v>0.06</v>
      </c>
      <c r="G1755" s="205">
        <v>0.38</v>
      </c>
    </row>
    <row r="1756" ht="15.75" customHeight="1">
      <c r="A1756" s="200" t="s">
        <v>311</v>
      </c>
      <c r="B1756" s="186" t="s">
        <v>6856</v>
      </c>
      <c r="C1756" s="210" t="s">
        <v>6857</v>
      </c>
      <c r="D1756" s="210" t="s">
        <v>6858</v>
      </c>
      <c r="E1756" s="204">
        <v>62.0</v>
      </c>
      <c r="F1756" s="205">
        <v>0.06</v>
      </c>
      <c r="G1756" s="205">
        <v>1.37</v>
      </c>
    </row>
    <row r="1757" ht="15.75" customHeight="1">
      <c r="A1757" s="200" t="s">
        <v>311</v>
      </c>
      <c r="B1757" s="186" t="s">
        <v>6859</v>
      </c>
      <c r="C1757" s="210" t="s">
        <v>6860</v>
      </c>
      <c r="D1757" s="210" t="s">
        <v>6861</v>
      </c>
      <c r="E1757" s="204">
        <v>57.0</v>
      </c>
      <c r="F1757" s="205">
        <v>0.06</v>
      </c>
      <c r="G1757" s="205">
        <v>1.04</v>
      </c>
    </row>
    <row r="1758" ht="15.75" customHeight="1">
      <c r="A1758" s="200" t="s">
        <v>311</v>
      </c>
      <c r="B1758" s="186" t="s">
        <v>1539</v>
      </c>
      <c r="C1758" s="210" t="s">
        <v>1540</v>
      </c>
      <c r="D1758" s="210" t="s">
        <v>1541</v>
      </c>
      <c r="E1758" s="204">
        <v>55.0</v>
      </c>
      <c r="F1758" s="205">
        <v>0.05</v>
      </c>
      <c r="G1758" s="205">
        <v>1.18</v>
      </c>
    </row>
    <row r="1759" ht="15.75" customHeight="1">
      <c r="A1759" s="200" t="s">
        <v>311</v>
      </c>
      <c r="B1759" s="186" t="s">
        <v>6862</v>
      </c>
      <c r="C1759" s="210" t="s">
        <v>6863</v>
      </c>
      <c r="D1759" s="210" t="s">
        <v>6864</v>
      </c>
      <c r="E1759" s="204">
        <v>54.0</v>
      </c>
      <c r="F1759" s="205">
        <v>0.05</v>
      </c>
      <c r="G1759" s="205">
        <v>0.7</v>
      </c>
    </row>
    <row r="1760" ht="15.75" customHeight="1">
      <c r="A1760" s="200" t="s">
        <v>311</v>
      </c>
      <c r="B1760" s="186" t="s">
        <v>3497</v>
      </c>
      <c r="C1760" s="210" t="s">
        <v>3498</v>
      </c>
      <c r="D1760" s="210" t="s">
        <v>3502</v>
      </c>
      <c r="E1760" s="204">
        <v>53.0</v>
      </c>
      <c r="F1760" s="205">
        <v>0.05</v>
      </c>
      <c r="G1760" s="205">
        <v>1.94</v>
      </c>
    </row>
    <row r="1761" ht="15.75" customHeight="1">
      <c r="A1761" s="200" t="s">
        <v>311</v>
      </c>
      <c r="B1761" s="186" t="s">
        <v>1542</v>
      </c>
      <c r="C1761" s="210" t="s">
        <v>1543</v>
      </c>
      <c r="D1761" s="210" t="s">
        <v>1544</v>
      </c>
      <c r="E1761" s="204">
        <v>48.0</v>
      </c>
      <c r="F1761" s="205">
        <v>0.05</v>
      </c>
      <c r="G1761" s="205">
        <v>0.67</v>
      </c>
    </row>
    <row r="1762" ht="15.75" customHeight="1">
      <c r="A1762" s="200" t="s">
        <v>311</v>
      </c>
      <c r="B1762" s="186" t="s">
        <v>6865</v>
      </c>
      <c r="C1762" s="210" t="s">
        <v>6866</v>
      </c>
      <c r="D1762" s="210" t="s">
        <v>6867</v>
      </c>
      <c r="E1762" s="204">
        <v>47.0</v>
      </c>
      <c r="F1762" s="205">
        <v>0.05</v>
      </c>
      <c r="G1762" s="205">
        <v>1.45</v>
      </c>
    </row>
    <row r="1763" ht="15.75" customHeight="1">
      <c r="A1763" s="200" t="s">
        <v>311</v>
      </c>
      <c r="B1763" s="186" t="s">
        <v>1545</v>
      </c>
      <c r="C1763" s="210" t="s">
        <v>1546</v>
      </c>
      <c r="D1763" s="210" t="s">
        <v>1547</v>
      </c>
      <c r="E1763" s="204">
        <v>45.0</v>
      </c>
      <c r="F1763" s="205">
        <v>0.04</v>
      </c>
      <c r="G1763" s="205">
        <v>1.24</v>
      </c>
    </row>
    <row r="1764" ht="15.75" customHeight="1">
      <c r="A1764" s="200" t="s">
        <v>311</v>
      </c>
      <c r="B1764" s="186" t="s">
        <v>1549</v>
      </c>
      <c r="C1764" s="210" t="s">
        <v>1550</v>
      </c>
      <c r="D1764" s="210" t="s">
        <v>1551</v>
      </c>
      <c r="E1764" s="204">
        <v>43.0</v>
      </c>
      <c r="F1764" s="205">
        <v>0.04</v>
      </c>
      <c r="G1764" s="205">
        <v>1.53</v>
      </c>
    </row>
    <row r="1765" ht="15.75" customHeight="1">
      <c r="A1765" s="200" t="s">
        <v>311</v>
      </c>
      <c r="B1765" s="186" t="s">
        <v>6868</v>
      </c>
      <c r="C1765" s="210" t="s">
        <v>6869</v>
      </c>
      <c r="D1765" s="210"/>
      <c r="E1765" s="204">
        <v>43.0</v>
      </c>
      <c r="F1765" s="205">
        <v>0.04</v>
      </c>
      <c r="G1765" s="205">
        <v>0.51</v>
      </c>
    </row>
    <row r="1766" ht="15.75" customHeight="1">
      <c r="A1766" s="200" t="s">
        <v>311</v>
      </c>
      <c r="B1766" s="186" t="s">
        <v>6870</v>
      </c>
      <c r="C1766" s="210" t="s">
        <v>6871</v>
      </c>
      <c r="D1766" s="210" t="s">
        <v>6872</v>
      </c>
      <c r="E1766" s="204">
        <v>42.0</v>
      </c>
      <c r="F1766" s="205">
        <v>0.04</v>
      </c>
      <c r="G1766" s="205">
        <v>1.43</v>
      </c>
    </row>
    <row r="1767" ht="15.75" customHeight="1">
      <c r="A1767" s="200" t="s">
        <v>311</v>
      </c>
      <c r="B1767" s="186" t="s">
        <v>1553</v>
      </c>
      <c r="C1767" s="210" t="s">
        <v>1554</v>
      </c>
      <c r="D1767" s="210" t="s">
        <v>853</v>
      </c>
      <c r="E1767" s="204">
        <v>41.0</v>
      </c>
      <c r="F1767" s="205">
        <v>0.04</v>
      </c>
      <c r="G1767" s="205">
        <v>1.05</v>
      </c>
    </row>
    <row r="1768" ht="15.75" customHeight="1">
      <c r="A1768" s="200" t="s">
        <v>311</v>
      </c>
      <c r="B1768" s="186" t="s">
        <v>6873</v>
      </c>
      <c r="C1768" s="210" t="s">
        <v>6874</v>
      </c>
      <c r="D1768" s="210" t="s">
        <v>6875</v>
      </c>
      <c r="E1768" s="204">
        <v>40.0</v>
      </c>
      <c r="F1768" s="205">
        <v>0.04</v>
      </c>
      <c r="G1768" s="205">
        <v>0.53</v>
      </c>
    </row>
    <row r="1769" ht="15.75" customHeight="1">
      <c r="A1769" s="200" t="s">
        <v>311</v>
      </c>
      <c r="B1769" s="186" t="s">
        <v>6876</v>
      </c>
      <c r="C1769" s="210" t="s">
        <v>6877</v>
      </c>
      <c r="D1769" s="210" t="s">
        <v>6878</v>
      </c>
      <c r="E1769" s="204">
        <v>40.0</v>
      </c>
      <c r="F1769" s="205">
        <v>0.04</v>
      </c>
      <c r="G1769" s="205">
        <v>0.8</v>
      </c>
    </row>
    <row r="1770" ht="15.75" customHeight="1">
      <c r="A1770" s="200" t="s">
        <v>311</v>
      </c>
      <c r="B1770" s="186" t="s">
        <v>1563</v>
      </c>
      <c r="C1770" s="210" t="s">
        <v>1564</v>
      </c>
      <c r="D1770" s="210" t="s">
        <v>1566</v>
      </c>
      <c r="E1770" s="204">
        <v>39.0</v>
      </c>
      <c r="F1770" s="205">
        <v>0.04</v>
      </c>
      <c r="G1770" s="205">
        <v>1.77</v>
      </c>
    </row>
    <row r="1771" ht="15.75" customHeight="1">
      <c r="A1771" s="200" t="s">
        <v>311</v>
      </c>
      <c r="B1771" s="186" t="s">
        <v>650</v>
      </c>
      <c r="C1771" s="210" t="s">
        <v>651</v>
      </c>
      <c r="D1771" s="210" t="s">
        <v>1570</v>
      </c>
      <c r="E1771" s="204">
        <v>39.0</v>
      </c>
      <c r="F1771" s="205">
        <v>0.04</v>
      </c>
      <c r="G1771" s="205">
        <v>2.36</v>
      </c>
    </row>
    <row r="1772" ht="15.75" customHeight="1">
      <c r="A1772" s="200" t="s">
        <v>311</v>
      </c>
      <c r="B1772" s="186" t="s">
        <v>6879</v>
      </c>
      <c r="C1772" s="210" t="s">
        <v>6880</v>
      </c>
      <c r="D1772" s="210" t="s">
        <v>6881</v>
      </c>
      <c r="E1772" s="204">
        <v>38.0</v>
      </c>
      <c r="F1772" s="205">
        <v>0.04</v>
      </c>
      <c r="G1772" s="205">
        <v>1.61</v>
      </c>
    </row>
    <row r="1773" ht="15.75" customHeight="1">
      <c r="A1773" s="200" t="s">
        <v>311</v>
      </c>
      <c r="B1773" s="186" t="s">
        <v>6882</v>
      </c>
      <c r="C1773" s="210" t="s">
        <v>6883</v>
      </c>
      <c r="D1773" s="210" t="s">
        <v>6884</v>
      </c>
      <c r="E1773" s="204">
        <v>38.0</v>
      </c>
      <c r="F1773" s="205">
        <v>0.04</v>
      </c>
      <c r="G1773" s="205">
        <v>0.66</v>
      </c>
    </row>
    <row r="1774" ht="15.75" customHeight="1">
      <c r="A1774" s="200" t="s">
        <v>311</v>
      </c>
      <c r="B1774" s="186" t="s">
        <v>6885</v>
      </c>
      <c r="C1774" s="210" t="s">
        <v>6886</v>
      </c>
      <c r="D1774" s="210" t="s">
        <v>6887</v>
      </c>
      <c r="E1774" s="204">
        <v>38.0</v>
      </c>
      <c r="F1774" s="205">
        <v>0.04</v>
      </c>
      <c r="G1774" s="205">
        <v>0.61</v>
      </c>
    </row>
    <row r="1775" ht="15.75" customHeight="1">
      <c r="A1775" s="200" t="s">
        <v>311</v>
      </c>
      <c r="B1775" s="186" t="s">
        <v>1572</v>
      </c>
      <c r="C1775" s="210" t="s">
        <v>1573</v>
      </c>
      <c r="D1775" s="210" t="s">
        <v>1576</v>
      </c>
      <c r="E1775" s="204">
        <v>37.0</v>
      </c>
      <c r="F1775" s="205">
        <v>0.04</v>
      </c>
      <c r="G1775" s="205">
        <v>1.57</v>
      </c>
    </row>
    <row r="1776" ht="15.75" customHeight="1">
      <c r="A1776" s="200" t="s">
        <v>311</v>
      </c>
      <c r="B1776" s="186" t="s">
        <v>6888</v>
      </c>
      <c r="C1776" s="210" t="s">
        <v>6889</v>
      </c>
      <c r="D1776" s="210" t="s">
        <v>6890</v>
      </c>
      <c r="E1776" s="204">
        <v>36.0</v>
      </c>
      <c r="F1776" s="205">
        <v>0.04</v>
      </c>
      <c r="G1776" s="205">
        <v>0.42</v>
      </c>
    </row>
    <row r="1777" ht="15.75" customHeight="1">
      <c r="A1777" s="200" t="s">
        <v>311</v>
      </c>
      <c r="B1777" s="186" t="s">
        <v>6891</v>
      </c>
      <c r="C1777" s="210" t="s">
        <v>6892</v>
      </c>
      <c r="D1777" s="210" t="s">
        <v>6893</v>
      </c>
      <c r="E1777" s="204">
        <v>36.0</v>
      </c>
      <c r="F1777" s="205">
        <v>0.04</v>
      </c>
      <c r="G1777" s="205">
        <v>0.69</v>
      </c>
    </row>
    <row r="1778" ht="15.75" customHeight="1">
      <c r="A1778" s="200" t="s">
        <v>311</v>
      </c>
      <c r="B1778" s="186" t="s">
        <v>1579</v>
      </c>
      <c r="C1778" s="210" t="s">
        <v>1581</v>
      </c>
      <c r="D1778" s="210" t="s">
        <v>1584</v>
      </c>
      <c r="E1778" s="204">
        <v>36.0</v>
      </c>
      <c r="F1778" s="205">
        <v>0.04</v>
      </c>
      <c r="G1778" s="205">
        <v>2.39</v>
      </c>
    </row>
    <row r="1779" ht="15.75" customHeight="1">
      <c r="A1779" s="200" t="s">
        <v>311</v>
      </c>
      <c r="B1779" s="186" t="s">
        <v>1588</v>
      </c>
      <c r="C1779" s="210" t="s">
        <v>1590</v>
      </c>
      <c r="D1779" s="210" t="s">
        <v>1593</v>
      </c>
      <c r="E1779" s="204">
        <v>35.0</v>
      </c>
      <c r="F1779" s="205">
        <v>0.03</v>
      </c>
      <c r="G1779" s="205">
        <v>1.83</v>
      </c>
    </row>
    <row r="1780" ht="15.75" customHeight="1">
      <c r="A1780" s="200" t="s">
        <v>311</v>
      </c>
      <c r="B1780" s="186" t="s">
        <v>6894</v>
      </c>
      <c r="C1780" s="210" t="s">
        <v>6895</v>
      </c>
      <c r="D1780" s="210" t="s">
        <v>6896</v>
      </c>
      <c r="E1780" s="204">
        <v>34.0</v>
      </c>
      <c r="F1780" s="205">
        <v>0.03</v>
      </c>
      <c r="G1780" s="205">
        <v>1.03</v>
      </c>
    </row>
    <row r="1781" ht="15.75" customHeight="1">
      <c r="A1781" s="200" t="s">
        <v>311</v>
      </c>
      <c r="B1781" s="186" t="s">
        <v>6897</v>
      </c>
      <c r="C1781" s="210" t="s">
        <v>6898</v>
      </c>
      <c r="D1781" s="210" t="s">
        <v>6899</v>
      </c>
      <c r="E1781" s="204">
        <v>34.0</v>
      </c>
      <c r="F1781" s="205">
        <v>0.03</v>
      </c>
      <c r="G1781" s="205">
        <v>0.82</v>
      </c>
    </row>
    <row r="1782" ht="15.75" customHeight="1">
      <c r="A1782" s="200" t="s">
        <v>311</v>
      </c>
      <c r="B1782" s="186" t="s">
        <v>6900</v>
      </c>
      <c r="C1782" s="210" t="s">
        <v>6901</v>
      </c>
      <c r="D1782" s="210" t="s">
        <v>6902</v>
      </c>
      <c r="E1782" s="204">
        <v>34.0</v>
      </c>
      <c r="F1782" s="205">
        <v>0.03</v>
      </c>
      <c r="G1782" s="205">
        <v>0.38</v>
      </c>
    </row>
    <row r="1783" ht="15.75" customHeight="1">
      <c r="A1783" s="200" t="s">
        <v>311</v>
      </c>
      <c r="B1783" s="186" t="s">
        <v>1594</v>
      </c>
      <c r="C1783" s="210" t="s">
        <v>1596</v>
      </c>
      <c r="D1783" s="210" t="s">
        <v>1600</v>
      </c>
      <c r="E1783" s="204">
        <v>34.0</v>
      </c>
      <c r="F1783" s="205">
        <v>0.03</v>
      </c>
      <c r="G1783" s="205">
        <v>1.09</v>
      </c>
    </row>
    <row r="1784" ht="15.75" customHeight="1">
      <c r="A1784" s="200" t="s">
        <v>311</v>
      </c>
      <c r="B1784" s="186" t="s">
        <v>6903</v>
      </c>
      <c r="C1784" s="210" t="s">
        <v>6904</v>
      </c>
      <c r="D1784" s="210" t="s">
        <v>6905</v>
      </c>
      <c r="E1784" s="204">
        <v>33.0</v>
      </c>
      <c r="F1784" s="205">
        <v>0.03</v>
      </c>
      <c r="G1784" s="205">
        <v>0.39</v>
      </c>
    </row>
    <row r="1785" ht="15.75" customHeight="1">
      <c r="A1785" s="200" t="s">
        <v>311</v>
      </c>
      <c r="B1785" s="186" t="s">
        <v>6906</v>
      </c>
      <c r="C1785" s="210" t="s">
        <v>6907</v>
      </c>
      <c r="D1785" s="210" t="s">
        <v>6908</v>
      </c>
      <c r="E1785" s="204">
        <v>32.0</v>
      </c>
      <c r="F1785" s="205">
        <v>0.03</v>
      </c>
      <c r="G1785" s="205">
        <v>0.31</v>
      </c>
    </row>
    <row r="1786" ht="15.75" customHeight="1">
      <c r="A1786" s="200" t="s">
        <v>311</v>
      </c>
      <c r="B1786" s="186" t="s">
        <v>6909</v>
      </c>
      <c r="C1786" s="210" t="s">
        <v>6910</v>
      </c>
      <c r="D1786" s="210" t="s">
        <v>6911</v>
      </c>
      <c r="E1786" s="204">
        <v>32.0</v>
      </c>
      <c r="F1786" s="205">
        <v>0.03</v>
      </c>
      <c r="G1786" s="205">
        <v>0.94</v>
      </c>
    </row>
    <row r="1787" ht="15.75" customHeight="1">
      <c r="A1787" s="200" t="s">
        <v>311</v>
      </c>
      <c r="B1787" s="186" t="s">
        <v>6912</v>
      </c>
      <c r="C1787" s="210" t="s">
        <v>6913</v>
      </c>
      <c r="D1787" s="210" t="s">
        <v>6914</v>
      </c>
      <c r="E1787" s="204">
        <v>31.0</v>
      </c>
      <c r="F1787" s="205">
        <v>0.03</v>
      </c>
      <c r="G1787" s="205">
        <v>0.03</v>
      </c>
    </row>
    <row r="1788" ht="15.75" customHeight="1">
      <c r="A1788" s="200" t="s">
        <v>311</v>
      </c>
      <c r="B1788" s="186" t="s">
        <v>1614</v>
      </c>
      <c r="C1788" s="210" t="s">
        <v>1615</v>
      </c>
      <c r="D1788" s="210" t="s">
        <v>1619</v>
      </c>
      <c r="E1788" s="204">
        <v>31.0</v>
      </c>
      <c r="F1788" s="205">
        <v>0.03</v>
      </c>
      <c r="G1788" s="205">
        <v>0.97</v>
      </c>
    </row>
    <row r="1789" ht="15.75" customHeight="1">
      <c r="A1789" s="200" t="s">
        <v>311</v>
      </c>
      <c r="B1789" s="186" t="s">
        <v>6915</v>
      </c>
      <c r="C1789" s="210" t="s">
        <v>6916</v>
      </c>
      <c r="D1789" s="210" t="s">
        <v>6917</v>
      </c>
      <c r="E1789" s="204">
        <v>31.0</v>
      </c>
      <c r="F1789" s="205">
        <v>0.03</v>
      </c>
      <c r="G1789" s="205">
        <v>0.1</v>
      </c>
    </row>
    <row r="1790" ht="15.75" customHeight="1">
      <c r="A1790" s="200" t="s">
        <v>311</v>
      </c>
      <c r="B1790" s="186" t="s">
        <v>1629</v>
      </c>
      <c r="C1790" s="210" t="s">
        <v>1631</v>
      </c>
      <c r="D1790" s="210" t="s">
        <v>1638</v>
      </c>
      <c r="E1790" s="204">
        <v>30.0</v>
      </c>
      <c r="F1790" s="205">
        <v>0.03</v>
      </c>
      <c r="G1790" s="205">
        <v>1.8</v>
      </c>
    </row>
    <row r="1791" ht="15.75" customHeight="1">
      <c r="A1791" s="200" t="s">
        <v>311</v>
      </c>
      <c r="B1791" s="186" t="s">
        <v>1641</v>
      </c>
      <c r="C1791" s="210" t="s">
        <v>1643</v>
      </c>
      <c r="D1791" s="210" t="s">
        <v>1646</v>
      </c>
      <c r="E1791" s="204">
        <v>30.0</v>
      </c>
      <c r="F1791" s="205">
        <v>0.03</v>
      </c>
      <c r="G1791" s="205">
        <v>0.87</v>
      </c>
    </row>
    <row r="1792" ht="15.75" customHeight="1">
      <c r="A1792" s="200" t="s">
        <v>311</v>
      </c>
      <c r="B1792" s="186" t="s">
        <v>1650</v>
      </c>
      <c r="C1792" s="210" t="s">
        <v>1651</v>
      </c>
      <c r="D1792" s="210" t="s">
        <v>1653</v>
      </c>
      <c r="E1792" s="204">
        <v>30.0</v>
      </c>
      <c r="F1792" s="205">
        <v>0.03</v>
      </c>
      <c r="G1792" s="205">
        <v>2.5</v>
      </c>
    </row>
    <row r="1793" ht="15.75" customHeight="1">
      <c r="A1793" s="200" t="s">
        <v>311</v>
      </c>
      <c r="B1793" s="186" t="s">
        <v>6918</v>
      </c>
      <c r="C1793" s="210" t="s">
        <v>6919</v>
      </c>
      <c r="D1793" s="210"/>
      <c r="E1793" s="204">
        <v>29.0</v>
      </c>
      <c r="F1793" s="205">
        <v>0.03</v>
      </c>
      <c r="G1793" s="205">
        <v>0.72</v>
      </c>
    </row>
    <row r="1794" ht="15.75" customHeight="1">
      <c r="A1794" s="200" t="s">
        <v>311</v>
      </c>
      <c r="B1794" s="186" t="s">
        <v>1656</v>
      </c>
      <c r="C1794" s="210" t="s">
        <v>1658</v>
      </c>
      <c r="D1794" s="210" t="s">
        <v>1662</v>
      </c>
      <c r="E1794" s="204">
        <v>29.0</v>
      </c>
      <c r="F1794" s="205">
        <v>0.03</v>
      </c>
      <c r="G1794" s="205">
        <v>0.76</v>
      </c>
    </row>
    <row r="1795" ht="15.75" customHeight="1">
      <c r="A1795" s="200" t="s">
        <v>311</v>
      </c>
      <c r="B1795" s="186" t="s">
        <v>6920</v>
      </c>
      <c r="C1795" s="210" t="s">
        <v>6921</v>
      </c>
      <c r="D1795" s="210" t="s">
        <v>6922</v>
      </c>
      <c r="E1795" s="204">
        <v>28.0</v>
      </c>
      <c r="F1795" s="205">
        <v>0.03</v>
      </c>
      <c r="G1795" s="205">
        <v>1.04</v>
      </c>
    </row>
    <row r="1796" ht="15.75" customHeight="1">
      <c r="A1796" s="200" t="s">
        <v>311</v>
      </c>
      <c r="B1796" s="186" t="s">
        <v>6923</v>
      </c>
      <c r="C1796" s="210" t="s">
        <v>6924</v>
      </c>
      <c r="D1796" s="210" t="s">
        <v>6925</v>
      </c>
      <c r="E1796" s="204">
        <v>28.0</v>
      </c>
      <c r="F1796" s="205">
        <v>0.03</v>
      </c>
      <c r="G1796" s="205">
        <v>0.29</v>
      </c>
    </row>
    <row r="1797" ht="15.75" customHeight="1">
      <c r="A1797" s="200" t="s">
        <v>311</v>
      </c>
      <c r="B1797" s="186" t="s">
        <v>1672</v>
      </c>
      <c r="C1797" s="210" t="s">
        <v>1673</v>
      </c>
      <c r="D1797" s="210" t="s">
        <v>1676</v>
      </c>
      <c r="E1797" s="204">
        <v>28.0</v>
      </c>
      <c r="F1797" s="205">
        <v>0.03</v>
      </c>
      <c r="G1797" s="205">
        <v>2.04</v>
      </c>
    </row>
    <row r="1798" ht="15.75" customHeight="1">
      <c r="A1798" s="200" t="s">
        <v>311</v>
      </c>
      <c r="B1798" s="186" t="s">
        <v>323</v>
      </c>
      <c r="C1798" s="210" t="s">
        <v>324</v>
      </c>
      <c r="D1798" s="210" t="s">
        <v>349</v>
      </c>
      <c r="E1798" s="204">
        <v>28.0</v>
      </c>
      <c r="F1798" s="205">
        <v>0.03</v>
      </c>
      <c r="G1798" s="205">
        <v>0.46</v>
      </c>
    </row>
    <row r="1799" ht="15.75" customHeight="1">
      <c r="A1799" s="200" t="s">
        <v>311</v>
      </c>
      <c r="B1799" s="186" t="s">
        <v>710</v>
      </c>
      <c r="C1799" s="210" t="s">
        <v>711</v>
      </c>
      <c r="D1799" s="210" t="s">
        <v>1680</v>
      </c>
      <c r="E1799" s="204">
        <v>27.0</v>
      </c>
      <c r="F1799" s="205">
        <v>0.03</v>
      </c>
      <c r="G1799" s="205">
        <v>1.04</v>
      </c>
    </row>
    <row r="1800" ht="15.75" customHeight="1">
      <c r="A1800" s="200" t="s">
        <v>311</v>
      </c>
      <c r="B1800" s="186" t="s">
        <v>6926</v>
      </c>
      <c r="C1800" s="210" t="s">
        <v>6927</v>
      </c>
      <c r="D1800" s="210" t="s">
        <v>6928</v>
      </c>
      <c r="E1800" s="204">
        <v>27.0</v>
      </c>
      <c r="F1800" s="205">
        <v>0.03</v>
      </c>
      <c r="G1800" s="205">
        <v>0.37</v>
      </c>
    </row>
    <row r="1801" ht="15.75" customHeight="1">
      <c r="A1801" s="200" t="s">
        <v>311</v>
      </c>
      <c r="B1801" s="186" t="s">
        <v>6929</v>
      </c>
      <c r="C1801" s="210" t="s">
        <v>6930</v>
      </c>
      <c r="D1801" s="210" t="s">
        <v>6931</v>
      </c>
      <c r="E1801" s="204">
        <v>27.0</v>
      </c>
      <c r="F1801" s="205">
        <v>0.03</v>
      </c>
      <c r="G1801" s="205">
        <v>0.63</v>
      </c>
    </row>
    <row r="1802" ht="15.75" customHeight="1">
      <c r="A1802" s="200" t="s">
        <v>311</v>
      </c>
      <c r="B1802" s="186" t="s">
        <v>6932</v>
      </c>
      <c r="C1802" s="210" t="s">
        <v>6933</v>
      </c>
      <c r="D1802" s="210" t="s">
        <v>6934</v>
      </c>
      <c r="E1802" s="204">
        <v>27.0</v>
      </c>
      <c r="F1802" s="205">
        <v>0.03</v>
      </c>
      <c r="G1802" s="205">
        <v>0.59</v>
      </c>
    </row>
    <row r="1803" ht="15.75" customHeight="1">
      <c r="A1803" s="200" t="s">
        <v>311</v>
      </c>
      <c r="B1803" s="186" t="s">
        <v>1683</v>
      </c>
      <c r="C1803" s="210" t="s">
        <v>1684</v>
      </c>
      <c r="D1803" s="210" t="s">
        <v>1688</v>
      </c>
      <c r="E1803" s="204">
        <v>27.0</v>
      </c>
      <c r="F1803" s="205">
        <v>0.03</v>
      </c>
      <c r="G1803" s="205">
        <v>2.11</v>
      </c>
    </row>
    <row r="1804" ht="15.75" customHeight="1">
      <c r="A1804" s="200" t="s">
        <v>311</v>
      </c>
      <c r="B1804" s="186" t="s">
        <v>6935</v>
      </c>
      <c r="C1804" s="210" t="s">
        <v>6936</v>
      </c>
      <c r="D1804" s="210" t="s">
        <v>6937</v>
      </c>
      <c r="E1804" s="204">
        <v>27.0</v>
      </c>
      <c r="F1804" s="205">
        <v>0.03</v>
      </c>
      <c r="G1804" s="205">
        <v>0.26</v>
      </c>
    </row>
    <row r="1805" ht="15.75" customHeight="1">
      <c r="A1805" s="200" t="s">
        <v>311</v>
      </c>
      <c r="B1805" s="186" t="s">
        <v>1691</v>
      </c>
      <c r="C1805" s="210" t="s">
        <v>1692</v>
      </c>
      <c r="D1805" s="210" t="s">
        <v>1697</v>
      </c>
      <c r="E1805" s="204">
        <v>26.0</v>
      </c>
      <c r="F1805" s="205">
        <v>0.03</v>
      </c>
      <c r="G1805" s="205">
        <v>0.73</v>
      </c>
    </row>
    <row r="1806" ht="15.75" customHeight="1">
      <c r="A1806" s="200" t="s">
        <v>311</v>
      </c>
      <c r="B1806" s="186" t="s">
        <v>6938</v>
      </c>
      <c r="C1806" s="210" t="s">
        <v>6939</v>
      </c>
      <c r="D1806" s="210" t="s">
        <v>6940</v>
      </c>
      <c r="E1806" s="204">
        <v>26.0</v>
      </c>
      <c r="F1806" s="205">
        <v>0.03</v>
      </c>
      <c r="G1806" s="205">
        <v>0.31</v>
      </c>
    </row>
    <row r="1807" ht="15.75" customHeight="1">
      <c r="A1807" s="200" t="s">
        <v>311</v>
      </c>
      <c r="B1807" s="186" t="s">
        <v>6941</v>
      </c>
      <c r="C1807" s="210" t="s">
        <v>6942</v>
      </c>
      <c r="D1807" s="210" t="s">
        <v>6943</v>
      </c>
      <c r="E1807" s="204">
        <v>26.0</v>
      </c>
      <c r="F1807" s="205">
        <v>0.03</v>
      </c>
      <c r="G1807" s="205">
        <v>0.62</v>
      </c>
    </row>
    <row r="1808" ht="15.75" customHeight="1">
      <c r="A1808" s="200" t="s">
        <v>311</v>
      </c>
      <c r="B1808" s="186" t="s">
        <v>6944</v>
      </c>
      <c r="C1808" s="210" t="s">
        <v>6945</v>
      </c>
      <c r="D1808" s="210" t="s">
        <v>6946</v>
      </c>
      <c r="E1808" s="204">
        <v>26.0</v>
      </c>
      <c r="F1808" s="205">
        <v>0.03</v>
      </c>
      <c r="G1808" s="205">
        <v>1.27</v>
      </c>
    </row>
    <row r="1809" ht="15.75" customHeight="1">
      <c r="A1809" s="200" t="s">
        <v>311</v>
      </c>
      <c r="B1809" s="186" t="s">
        <v>6947</v>
      </c>
      <c r="C1809" s="210" t="s">
        <v>6948</v>
      </c>
      <c r="D1809" s="210" t="s">
        <v>6949</v>
      </c>
      <c r="E1809" s="204">
        <v>26.0</v>
      </c>
      <c r="F1809" s="205">
        <v>0.03</v>
      </c>
      <c r="G1809" s="205">
        <v>0.23</v>
      </c>
    </row>
    <row r="1810" ht="15.75" customHeight="1">
      <c r="A1810" s="200" t="s">
        <v>311</v>
      </c>
      <c r="B1810" s="186" t="s">
        <v>6950</v>
      </c>
      <c r="C1810" s="210" t="s">
        <v>6951</v>
      </c>
      <c r="D1810" s="210" t="s">
        <v>6952</v>
      </c>
      <c r="E1810" s="204">
        <v>26.0</v>
      </c>
      <c r="F1810" s="205">
        <v>0.03</v>
      </c>
      <c r="G1810" s="205">
        <v>0.69</v>
      </c>
    </row>
    <row r="1811" ht="15.75" customHeight="1">
      <c r="A1811" s="200" t="s">
        <v>311</v>
      </c>
      <c r="B1811" s="186" t="s">
        <v>6953</v>
      </c>
      <c r="C1811" s="210" t="s">
        <v>6954</v>
      </c>
      <c r="D1811" s="210" t="s">
        <v>6955</v>
      </c>
      <c r="E1811" s="204">
        <v>25.0</v>
      </c>
      <c r="F1811" s="205">
        <v>0.02</v>
      </c>
      <c r="G1811" s="205">
        <v>0.16</v>
      </c>
    </row>
    <row r="1812" ht="15.75" customHeight="1">
      <c r="A1812" s="200" t="s">
        <v>311</v>
      </c>
      <c r="B1812" s="186" t="s">
        <v>6956</v>
      </c>
      <c r="C1812" s="210" t="s">
        <v>6957</v>
      </c>
      <c r="D1812" s="210" t="s">
        <v>6958</v>
      </c>
      <c r="E1812" s="204">
        <v>25.0</v>
      </c>
      <c r="F1812" s="205">
        <v>0.02</v>
      </c>
      <c r="G1812" s="205">
        <v>0.0</v>
      </c>
    </row>
    <row r="1813" ht="15.75" customHeight="1">
      <c r="A1813" s="200" t="s">
        <v>311</v>
      </c>
      <c r="B1813" s="186" t="s">
        <v>6959</v>
      </c>
      <c r="C1813" s="210" t="s">
        <v>6960</v>
      </c>
      <c r="D1813" s="210" t="s">
        <v>6961</v>
      </c>
      <c r="E1813" s="204">
        <v>25.0</v>
      </c>
      <c r="F1813" s="205">
        <v>0.02</v>
      </c>
      <c r="G1813" s="205">
        <v>0.64</v>
      </c>
    </row>
    <row r="1814" ht="15.75" customHeight="1">
      <c r="A1814" s="200" t="s">
        <v>311</v>
      </c>
      <c r="B1814" s="186" t="s">
        <v>6962</v>
      </c>
      <c r="C1814" s="210" t="s">
        <v>6963</v>
      </c>
      <c r="D1814" s="210" t="s">
        <v>6964</v>
      </c>
      <c r="E1814" s="204">
        <v>25.0</v>
      </c>
      <c r="F1814" s="205">
        <v>0.02</v>
      </c>
      <c r="G1814" s="205">
        <v>0.24</v>
      </c>
    </row>
    <row r="1815" ht="15.75" customHeight="1">
      <c r="A1815" s="200" t="s">
        <v>311</v>
      </c>
      <c r="B1815" s="186" t="s">
        <v>6965</v>
      </c>
      <c r="C1815" s="210" t="s">
        <v>6966</v>
      </c>
      <c r="D1815" s="210" t="s">
        <v>6967</v>
      </c>
      <c r="E1815" s="204">
        <v>25.0</v>
      </c>
      <c r="F1815" s="205">
        <v>0.02</v>
      </c>
      <c r="G1815" s="205">
        <v>0.12</v>
      </c>
    </row>
    <row r="1816" ht="15.75" customHeight="1">
      <c r="A1816" s="200" t="s">
        <v>311</v>
      </c>
      <c r="B1816" s="186" t="s">
        <v>1700</v>
      </c>
      <c r="C1816" s="210" t="s">
        <v>1701</v>
      </c>
      <c r="D1816" s="210" t="s">
        <v>1705</v>
      </c>
      <c r="E1816" s="204">
        <v>25.0</v>
      </c>
      <c r="F1816" s="205">
        <v>0.02</v>
      </c>
      <c r="G1816" s="205">
        <v>1.64</v>
      </c>
    </row>
    <row r="1817" ht="15.75" customHeight="1">
      <c r="A1817" s="200" t="s">
        <v>311</v>
      </c>
      <c r="B1817" s="186" t="s">
        <v>1709</v>
      </c>
      <c r="C1817" s="210" t="s">
        <v>1710</v>
      </c>
      <c r="D1817" s="210" t="s">
        <v>1714</v>
      </c>
      <c r="E1817" s="204">
        <v>25.0</v>
      </c>
      <c r="F1817" s="205">
        <v>0.02</v>
      </c>
      <c r="G1817" s="205">
        <v>1.52</v>
      </c>
    </row>
    <row r="1818" ht="15.75" customHeight="1">
      <c r="A1818" s="200" t="s">
        <v>311</v>
      </c>
      <c r="B1818" s="186" t="s">
        <v>6968</v>
      </c>
      <c r="C1818" s="210" t="s">
        <v>6969</v>
      </c>
      <c r="D1818" s="210" t="s">
        <v>6970</v>
      </c>
      <c r="E1818" s="204">
        <v>24.0</v>
      </c>
      <c r="F1818" s="205">
        <v>0.02</v>
      </c>
      <c r="G1818" s="205">
        <v>0.67</v>
      </c>
    </row>
    <row r="1819" ht="15.75" customHeight="1">
      <c r="A1819" s="200" t="s">
        <v>311</v>
      </c>
      <c r="B1819" s="186" t="s">
        <v>1717</v>
      </c>
      <c r="C1819" s="210" t="s">
        <v>1718</v>
      </c>
      <c r="D1819" s="210" t="s">
        <v>1722</v>
      </c>
      <c r="E1819" s="204">
        <v>24.0</v>
      </c>
      <c r="F1819" s="205">
        <v>0.02</v>
      </c>
      <c r="G1819" s="205">
        <v>0.58</v>
      </c>
    </row>
    <row r="1820" ht="15.75" customHeight="1">
      <c r="A1820" s="200" t="s">
        <v>311</v>
      </c>
      <c r="B1820" s="186" t="s">
        <v>6971</v>
      </c>
      <c r="C1820" s="210" t="s">
        <v>6972</v>
      </c>
      <c r="D1820" s="210" t="s">
        <v>6973</v>
      </c>
      <c r="E1820" s="204">
        <v>24.0</v>
      </c>
      <c r="F1820" s="205">
        <v>0.02</v>
      </c>
      <c r="G1820" s="205">
        <v>0.88</v>
      </c>
    </row>
    <row r="1821" ht="15.75" customHeight="1">
      <c r="A1821" s="200" t="s">
        <v>311</v>
      </c>
      <c r="B1821" s="186" t="s">
        <v>6974</v>
      </c>
      <c r="C1821" s="210" t="s">
        <v>6975</v>
      </c>
      <c r="D1821" s="210" t="s">
        <v>6976</v>
      </c>
      <c r="E1821" s="204">
        <v>24.0</v>
      </c>
      <c r="F1821" s="205">
        <v>0.02</v>
      </c>
      <c r="G1821" s="205">
        <v>0.13</v>
      </c>
    </row>
    <row r="1822" ht="15.75" customHeight="1">
      <c r="A1822" s="200" t="s">
        <v>311</v>
      </c>
      <c r="B1822" s="186" t="s">
        <v>1726</v>
      </c>
      <c r="C1822" s="210" t="s">
        <v>1727</v>
      </c>
      <c r="D1822" s="210" t="s">
        <v>1730</v>
      </c>
      <c r="E1822" s="204">
        <v>24.0</v>
      </c>
      <c r="F1822" s="205">
        <v>0.02</v>
      </c>
      <c r="G1822" s="205">
        <v>0.63</v>
      </c>
    </row>
    <row r="1823" ht="15.75" customHeight="1">
      <c r="A1823" s="200" t="s">
        <v>311</v>
      </c>
      <c r="B1823" s="186" t="s">
        <v>6977</v>
      </c>
      <c r="C1823" s="210" t="s">
        <v>6978</v>
      </c>
      <c r="D1823" s="210" t="s">
        <v>6979</v>
      </c>
      <c r="E1823" s="204">
        <v>24.0</v>
      </c>
      <c r="F1823" s="205">
        <v>0.02</v>
      </c>
      <c r="G1823" s="205">
        <v>0.54</v>
      </c>
    </row>
    <row r="1824" ht="15.75" customHeight="1">
      <c r="A1824" s="200" t="s">
        <v>311</v>
      </c>
      <c r="B1824" s="186" t="s">
        <v>1736</v>
      </c>
      <c r="C1824" s="210" t="s">
        <v>1737</v>
      </c>
      <c r="D1824" s="210" t="s">
        <v>1741</v>
      </c>
      <c r="E1824" s="204">
        <v>24.0</v>
      </c>
      <c r="F1824" s="205">
        <v>0.02</v>
      </c>
      <c r="G1824" s="205">
        <v>0.38</v>
      </c>
    </row>
    <row r="1825" ht="15.75" customHeight="1">
      <c r="A1825" s="200" t="s">
        <v>311</v>
      </c>
      <c r="B1825" s="186" t="s">
        <v>6980</v>
      </c>
      <c r="C1825" s="210" t="s">
        <v>6981</v>
      </c>
      <c r="D1825" s="210" t="s">
        <v>6982</v>
      </c>
      <c r="E1825" s="204">
        <v>23.0</v>
      </c>
      <c r="F1825" s="205">
        <v>0.02</v>
      </c>
      <c r="G1825" s="205">
        <v>0.0</v>
      </c>
    </row>
    <row r="1826" ht="15.75" customHeight="1">
      <c r="A1826" s="200" t="s">
        <v>311</v>
      </c>
      <c r="B1826" s="186" t="s">
        <v>6983</v>
      </c>
      <c r="C1826" s="210" t="s">
        <v>6984</v>
      </c>
      <c r="D1826" s="210" t="s">
        <v>6985</v>
      </c>
      <c r="E1826" s="204">
        <v>23.0</v>
      </c>
      <c r="F1826" s="205">
        <v>0.02</v>
      </c>
      <c r="G1826" s="205">
        <v>0.43</v>
      </c>
    </row>
    <row r="1827" ht="15.75" customHeight="1">
      <c r="A1827" s="200" t="s">
        <v>311</v>
      </c>
      <c r="B1827" s="186" t="s">
        <v>6986</v>
      </c>
      <c r="C1827" s="210" t="s">
        <v>6987</v>
      </c>
      <c r="D1827" s="210" t="s">
        <v>6988</v>
      </c>
      <c r="E1827" s="204">
        <v>23.0</v>
      </c>
      <c r="F1827" s="205">
        <v>0.02</v>
      </c>
      <c r="G1827" s="205">
        <v>0.17</v>
      </c>
    </row>
    <row r="1828" ht="15.75" customHeight="1">
      <c r="A1828" s="200" t="s">
        <v>311</v>
      </c>
      <c r="B1828" s="186" t="s">
        <v>6989</v>
      </c>
      <c r="C1828" s="210" t="s">
        <v>6990</v>
      </c>
      <c r="D1828" s="210" t="s">
        <v>6991</v>
      </c>
      <c r="E1828" s="204">
        <v>23.0</v>
      </c>
      <c r="F1828" s="205">
        <v>0.02</v>
      </c>
      <c r="G1828" s="205">
        <v>0.43</v>
      </c>
    </row>
    <row r="1829" ht="15.75" customHeight="1">
      <c r="A1829" s="200" t="s">
        <v>311</v>
      </c>
      <c r="B1829" s="186" t="s">
        <v>6992</v>
      </c>
      <c r="C1829" s="210" t="s">
        <v>6993</v>
      </c>
      <c r="D1829" s="210" t="s">
        <v>6994</v>
      </c>
      <c r="E1829" s="204">
        <v>23.0</v>
      </c>
      <c r="F1829" s="205">
        <v>0.02</v>
      </c>
      <c r="G1829" s="205">
        <v>1.87</v>
      </c>
    </row>
    <row r="1830" ht="15.75" customHeight="1">
      <c r="A1830" s="200" t="s">
        <v>311</v>
      </c>
      <c r="B1830" s="186" t="s">
        <v>6995</v>
      </c>
      <c r="C1830" s="210" t="s">
        <v>6996</v>
      </c>
      <c r="D1830" s="210" t="s">
        <v>6997</v>
      </c>
      <c r="E1830" s="204">
        <v>23.0</v>
      </c>
      <c r="F1830" s="205">
        <v>0.02</v>
      </c>
      <c r="G1830" s="205">
        <v>0.13</v>
      </c>
    </row>
    <row r="1831" ht="15.75" customHeight="1">
      <c r="A1831" s="200" t="s">
        <v>311</v>
      </c>
      <c r="B1831" s="186" t="s">
        <v>6998</v>
      </c>
      <c r="C1831" s="210" t="s">
        <v>6999</v>
      </c>
      <c r="D1831" s="210" t="s">
        <v>7000</v>
      </c>
      <c r="E1831" s="204">
        <v>22.0</v>
      </c>
      <c r="F1831" s="205">
        <v>0.02</v>
      </c>
      <c r="G1831" s="205">
        <v>1.36</v>
      </c>
    </row>
    <row r="1832" ht="15.75" customHeight="1">
      <c r="A1832" s="200" t="s">
        <v>311</v>
      </c>
      <c r="B1832" s="186" t="s">
        <v>7001</v>
      </c>
      <c r="C1832" s="210" t="s">
        <v>7002</v>
      </c>
      <c r="D1832" s="210" t="s">
        <v>7003</v>
      </c>
      <c r="E1832" s="204">
        <v>22.0</v>
      </c>
      <c r="F1832" s="205">
        <v>0.02</v>
      </c>
      <c r="G1832" s="205">
        <v>0.68</v>
      </c>
    </row>
    <row r="1833" ht="15.75" customHeight="1">
      <c r="A1833" s="200" t="s">
        <v>311</v>
      </c>
      <c r="B1833" s="186" t="s">
        <v>7004</v>
      </c>
      <c r="C1833" s="210" t="s">
        <v>7005</v>
      </c>
      <c r="D1833" s="210" t="s">
        <v>7006</v>
      </c>
      <c r="E1833" s="204">
        <v>22.0</v>
      </c>
      <c r="F1833" s="205">
        <v>0.02</v>
      </c>
      <c r="G1833" s="205">
        <v>0.09</v>
      </c>
    </row>
    <row r="1834" ht="15.75" customHeight="1">
      <c r="A1834" s="200" t="s">
        <v>311</v>
      </c>
      <c r="B1834" s="186" t="s">
        <v>328</v>
      </c>
      <c r="C1834" s="210" t="s">
        <v>329</v>
      </c>
      <c r="D1834" s="210" t="s">
        <v>350</v>
      </c>
      <c r="E1834" s="204">
        <v>21.0</v>
      </c>
      <c r="F1834" s="205">
        <v>0.02</v>
      </c>
      <c r="G1834" s="205">
        <v>0.95</v>
      </c>
    </row>
    <row r="1835" ht="15.75" customHeight="1">
      <c r="A1835" s="200" t="s">
        <v>311</v>
      </c>
      <c r="B1835" s="186" t="s">
        <v>7007</v>
      </c>
      <c r="C1835" s="210" t="s">
        <v>7008</v>
      </c>
      <c r="D1835" s="210" t="s">
        <v>7009</v>
      </c>
      <c r="E1835" s="204">
        <v>21.0</v>
      </c>
      <c r="F1835" s="205">
        <v>0.02</v>
      </c>
      <c r="G1835" s="205">
        <v>1.19</v>
      </c>
    </row>
    <row r="1836" ht="15.75" customHeight="1">
      <c r="A1836" s="200" t="s">
        <v>311</v>
      </c>
      <c r="B1836" s="186" t="s">
        <v>7010</v>
      </c>
      <c r="C1836" s="210" t="s">
        <v>7011</v>
      </c>
      <c r="D1836" s="210" t="s">
        <v>7012</v>
      </c>
      <c r="E1836" s="204">
        <v>21.0</v>
      </c>
      <c r="F1836" s="205">
        <v>0.02</v>
      </c>
      <c r="G1836" s="205">
        <v>1.05</v>
      </c>
    </row>
    <row r="1837" ht="15.75" customHeight="1">
      <c r="A1837" s="200" t="s">
        <v>311</v>
      </c>
      <c r="B1837" s="186" t="s">
        <v>7013</v>
      </c>
      <c r="C1837" s="210" t="s">
        <v>7014</v>
      </c>
      <c r="D1837" s="210" t="s">
        <v>7015</v>
      </c>
      <c r="E1837" s="204">
        <v>20.0</v>
      </c>
      <c r="F1837" s="205">
        <v>0.02</v>
      </c>
      <c r="G1837" s="205">
        <v>0.85</v>
      </c>
    </row>
    <row r="1838" ht="15.75" customHeight="1">
      <c r="A1838" s="200" t="s">
        <v>311</v>
      </c>
      <c r="B1838" s="186" t="s">
        <v>1751</v>
      </c>
      <c r="C1838" s="210" t="s">
        <v>1753</v>
      </c>
      <c r="D1838" s="210" t="s">
        <v>1757</v>
      </c>
      <c r="E1838" s="204">
        <v>20.0</v>
      </c>
      <c r="F1838" s="205">
        <v>0.02</v>
      </c>
      <c r="G1838" s="205">
        <v>0.85</v>
      </c>
    </row>
    <row r="1839" ht="15.75" customHeight="1">
      <c r="A1839" s="200" t="s">
        <v>311</v>
      </c>
      <c r="B1839" s="186" t="s">
        <v>1761</v>
      </c>
      <c r="C1839" s="210" t="s">
        <v>1763</v>
      </c>
      <c r="D1839" s="210" t="s">
        <v>1764</v>
      </c>
      <c r="E1839" s="204">
        <v>20.0</v>
      </c>
      <c r="F1839" s="205">
        <v>0.02</v>
      </c>
      <c r="G1839" s="205">
        <v>0.0</v>
      </c>
    </row>
    <row r="1840" ht="15.75" customHeight="1">
      <c r="A1840" s="200" t="s">
        <v>311</v>
      </c>
      <c r="B1840" s="186" t="s">
        <v>7016</v>
      </c>
      <c r="C1840" s="210" t="s">
        <v>7017</v>
      </c>
      <c r="D1840" s="210" t="s">
        <v>7018</v>
      </c>
      <c r="E1840" s="204">
        <v>20.0</v>
      </c>
      <c r="F1840" s="205">
        <v>0.02</v>
      </c>
      <c r="G1840" s="205">
        <v>3.2</v>
      </c>
    </row>
    <row r="1841" ht="15.75" customHeight="1">
      <c r="A1841" s="200" t="s">
        <v>311</v>
      </c>
      <c r="B1841" s="186" t="s">
        <v>7019</v>
      </c>
      <c r="C1841" s="210" t="s">
        <v>7020</v>
      </c>
      <c r="D1841" s="210" t="s">
        <v>7021</v>
      </c>
      <c r="E1841" s="204">
        <v>20.0</v>
      </c>
      <c r="F1841" s="205">
        <v>0.02</v>
      </c>
      <c r="G1841" s="205">
        <v>0.2</v>
      </c>
    </row>
    <row r="1842" ht="15.75" customHeight="1">
      <c r="A1842" s="200" t="s">
        <v>311</v>
      </c>
      <c r="B1842" s="186" t="s">
        <v>7022</v>
      </c>
      <c r="C1842" s="210" t="s">
        <v>7023</v>
      </c>
      <c r="D1842" s="210" t="s">
        <v>7024</v>
      </c>
      <c r="E1842" s="204">
        <v>19.0</v>
      </c>
      <c r="F1842" s="205">
        <v>0.02</v>
      </c>
      <c r="G1842" s="205">
        <v>0.42</v>
      </c>
    </row>
    <row r="1843" ht="15.75" customHeight="1">
      <c r="A1843" s="200" t="s">
        <v>311</v>
      </c>
      <c r="B1843" s="186" t="s">
        <v>7025</v>
      </c>
      <c r="C1843" s="210" t="s">
        <v>7026</v>
      </c>
      <c r="D1843" s="210" t="s">
        <v>7027</v>
      </c>
      <c r="E1843" s="204">
        <v>19.0</v>
      </c>
      <c r="F1843" s="205">
        <v>0.02</v>
      </c>
      <c r="G1843" s="205">
        <v>0.11</v>
      </c>
    </row>
    <row r="1844" ht="15.75" customHeight="1">
      <c r="A1844" s="200" t="s">
        <v>311</v>
      </c>
      <c r="B1844" s="186" t="s">
        <v>7028</v>
      </c>
      <c r="C1844" s="210" t="s">
        <v>7029</v>
      </c>
      <c r="D1844" s="210" t="s">
        <v>7030</v>
      </c>
      <c r="E1844" s="204">
        <v>19.0</v>
      </c>
      <c r="F1844" s="205">
        <v>0.02</v>
      </c>
      <c r="G1844" s="205">
        <v>0.0</v>
      </c>
    </row>
    <row r="1845" ht="15.75" customHeight="1">
      <c r="A1845" s="200" t="s">
        <v>311</v>
      </c>
      <c r="B1845" s="186" t="s">
        <v>7031</v>
      </c>
      <c r="C1845" s="210" t="s">
        <v>7032</v>
      </c>
      <c r="D1845" s="210" t="s">
        <v>780</v>
      </c>
      <c r="E1845" s="204">
        <v>18.0</v>
      </c>
      <c r="F1845" s="205">
        <v>0.02</v>
      </c>
      <c r="G1845" s="205">
        <v>0.06</v>
      </c>
    </row>
    <row r="1846" ht="15.75" customHeight="1">
      <c r="A1846" s="200" t="s">
        <v>311</v>
      </c>
      <c r="B1846" s="186" t="s">
        <v>7033</v>
      </c>
      <c r="C1846" s="210" t="s">
        <v>7034</v>
      </c>
      <c r="D1846" s="210" t="s">
        <v>7035</v>
      </c>
      <c r="E1846" s="204">
        <v>18.0</v>
      </c>
      <c r="F1846" s="205">
        <v>0.02</v>
      </c>
      <c r="G1846" s="205">
        <v>0.0</v>
      </c>
    </row>
    <row r="1847" ht="15.75" customHeight="1">
      <c r="A1847" s="200" t="s">
        <v>311</v>
      </c>
      <c r="B1847" s="186" t="s">
        <v>7036</v>
      </c>
      <c r="C1847" s="210" t="s">
        <v>7037</v>
      </c>
      <c r="D1847" s="210" t="s">
        <v>7038</v>
      </c>
      <c r="E1847" s="204">
        <v>18.0</v>
      </c>
      <c r="F1847" s="205">
        <v>0.02</v>
      </c>
      <c r="G1847" s="205">
        <v>1.56</v>
      </c>
    </row>
    <row r="1848" ht="15.75" customHeight="1">
      <c r="A1848" s="200" t="s">
        <v>311</v>
      </c>
      <c r="B1848" s="186" t="s">
        <v>7039</v>
      </c>
      <c r="C1848" s="210" t="s">
        <v>7040</v>
      </c>
      <c r="D1848" s="210" t="s">
        <v>7041</v>
      </c>
      <c r="E1848" s="204">
        <v>18.0</v>
      </c>
      <c r="F1848" s="205">
        <v>0.02</v>
      </c>
      <c r="G1848" s="205">
        <v>0.39</v>
      </c>
    </row>
    <row r="1849" ht="15.75" customHeight="1">
      <c r="A1849" s="200" t="s">
        <v>311</v>
      </c>
      <c r="B1849" s="186" t="s">
        <v>7042</v>
      </c>
      <c r="C1849" s="210" t="s">
        <v>7043</v>
      </c>
      <c r="D1849" s="210" t="s">
        <v>780</v>
      </c>
      <c r="E1849" s="204">
        <v>18.0</v>
      </c>
      <c r="F1849" s="205">
        <v>0.02</v>
      </c>
      <c r="G1849" s="205">
        <v>0.06</v>
      </c>
    </row>
    <row r="1850" ht="15.75" customHeight="1">
      <c r="A1850" s="200" t="s">
        <v>311</v>
      </c>
      <c r="B1850" s="186" t="s">
        <v>3267</v>
      </c>
      <c r="C1850" s="210" t="s">
        <v>3268</v>
      </c>
      <c r="D1850" s="210" t="s">
        <v>7044</v>
      </c>
      <c r="E1850" s="204">
        <v>17.0</v>
      </c>
      <c r="F1850" s="205">
        <v>0.02</v>
      </c>
      <c r="G1850" s="205">
        <v>0.35</v>
      </c>
    </row>
    <row r="1851" ht="15.75" customHeight="1">
      <c r="A1851" s="200" t="s">
        <v>311</v>
      </c>
      <c r="B1851" s="186" t="s">
        <v>7045</v>
      </c>
      <c r="C1851" s="210" t="s">
        <v>7046</v>
      </c>
      <c r="D1851" s="210" t="s">
        <v>7047</v>
      </c>
      <c r="E1851" s="204">
        <v>17.0</v>
      </c>
      <c r="F1851" s="205">
        <v>0.02</v>
      </c>
      <c r="G1851" s="205">
        <v>2.76</v>
      </c>
    </row>
    <row r="1852" ht="15.75" customHeight="1">
      <c r="A1852" s="200" t="s">
        <v>311</v>
      </c>
      <c r="B1852" s="186" t="s">
        <v>7048</v>
      </c>
      <c r="C1852" s="210" t="s">
        <v>7049</v>
      </c>
      <c r="D1852" s="210" t="s">
        <v>7050</v>
      </c>
      <c r="E1852" s="204">
        <v>16.0</v>
      </c>
      <c r="F1852" s="205">
        <v>0.02</v>
      </c>
      <c r="G1852" s="205">
        <v>0.38</v>
      </c>
    </row>
    <row r="1853" ht="15.75" customHeight="1">
      <c r="A1853" s="200" t="s">
        <v>311</v>
      </c>
      <c r="B1853" s="186" t="s">
        <v>7051</v>
      </c>
      <c r="C1853" s="210" t="s">
        <v>7052</v>
      </c>
      <c r="D1853" s="210" t="s">
        <v>7053</v>
      </c>
      <c r="E1853" s="204">
        <v>16.0</v>
      </c>
      <c r="F1853" s="205">
        <v>0.02</v>
      </c>
      <c r="G1853" s="205">
        <v>0.13</v>
      </c>
    </row>
    <row r="1854" ht="15.75" customHeight="1">
      <c r="A1854" s="200" t="s">
        <v>311</v>
      </c>
      <c r="B1854" s="186" t="s">
        <v>653</v>
      </c>
      <c r="C1854" s="210" t="s">
        <v>654</v>
      </c>
      <c r="D1854" s="210" t="s">
        <v>1776</v>
      </c>
      <c r="E1854" s="204">
        <v>16.0</v>
      </c>
      <c r="F1854" s="205">
        <v>0.02</v>
      </c>
      <c r="G1854" s="205">
        <v>0.63</v>
      </c>
    </row>
    <row r="1855" ht="15.75" customHeight="1">
      <c r="A1855" s="200" t="s">
        <v>311</v>
      </c>
      <c r="B1855" s="186" t="s">
        <v>754</v>
      </c>
      <c r="C1855" s="210" t="s">
        <v>755</v>
      </c>
      <c r="D1855" s="210" t="s">
        <v>7054</v>
      </c>
      <c r="E1855" s="204">
        <v>16.0</v>
      </c>
      <c r="F1855" s="205">
        <v>0.02</v>
      </c>
      <c r="G1855" s="205">
        <v>0.25</v>
      </c>
    </row>
    <row r="1856" ht="15.75" customHeight="1">
      <c r="A1856" s="200" t="s">
        <v>311</v>
      </c>
      <c r="B1856" s="186" t="s">
        <v>7055</v>
      </c>
      <c r="C1856" s="210" t="s">
        <v>7056</v>
      </c>
      <c r="D1856" s="210" t="s">
        <v>7057</v>
      </c>
      <c r="E1856" s="204">
        <v>16.0</v>
      </c>
      <c r="F1856" s="205">
        <v>0.02</v>
      </c>
      <c r="G1856" s="205">
        <v>1.19</v>
      </c>
    </row>
    <row r="1857" ht="15.75" customHeight="1">
      <c r="A1857" s="200" t="s">
        <v>311</v>
      </c>
      <c r="B1857" s="186" t="s">
        <v>7058</v>
      </c>
      <c r="C1857" s="210" t="s">
        <v>3543</v>
      </c>
      <c r="D1857" s="210" t="s">
        <v>3544</v>
      </c>
      <c r="E1857" s="204">
        <v>16.0</v>
      </c>
      <c r="F1857" s="205">
        <v>0.02</v>
      </c>
      <c r="G1857" s="205">
        <v>0.75</v>
      </c>
    </row>
    <row r="1858" ht="15.75" customHeight="1">
      <c r="A1858" s="200" t="s">
        <v>311</v>
      </c>
      <c r="B1858" s="186" t="s">
        <v>7059</v>
      </c>
      <c r="C1858" s="210" t="s">
        <v>7060</v>
      </c>
      <c r="D1858" s="210" t="s">
        <v>780</v>
      </c>
      <c r="E1858" s="204">
        <v>16.0</v>
      </c>
      <c r="F1858" s="205">
        <v>0.02</v>
      </c>
      <c r="G1858" s="205">
        <v>0.06</v>
      </c>
    </row>
    <row r="1859" ht="15.75" customHeight="1">
      <c r="A1859" s="200" t="s">
        <v>311</v>
      </c>
      <c r="B1859" s="186" t="s">
        <v>7061</v>
      </c>
      <c r="C1859" s="210" t="s">
        <v>7062</v>
      </c>
      <c r="D1859" s="210" t="s">
        <v>7063</v>
      </c>
      <c r="E1859" s="204">
        <v>16.0</v>
      </c>
      <c r="F1859" s="205">
        <v>0.02</v>
      </c>
      <c r="G1859" s="205">
        <v>0.13</v>
      </c>
    </row>
    <row r="1860" ht="15.75" customHeight="1">
      <c r="A1860" s="200" t="s">
        <v>311</v>
      </c>
      <c r="B1860" s="186" t="s">
        <v>7064</v>
      </c>
      <c r="C1860" s="210" t="s">
        <v>7065</v>
      </c>
      <c r="D1860" s="210" t="s">
        <v>7066</v>
      </c>
      <c r="E1860" s="204">
        <v>16.0</v>
      </c>
      <c r="F1860" s="205">
        <v>0.02</v>
      </c>
      <c r="G1860" s="205">
        <v>0.0</v>
      </c>
    </row>
    <row r="1861" ht="15.75" customHeight="1">
      <c r="A1861" s="200" t="s">
        <v>311</v>
      </c>
      <c r="B1861" s="186" t="s">
        <v>7067</v>
      </c>
      <c r="C1861" s="210" t="s">
        <v>7068</v>
      </c>
      <c r="D1861" s="210" t="s">
        <v>799</v>
      </c>
      <c r="E1861" s="204">
        <v>16.0</v>
      </c>
      <c r="F1861" s="205">
        <v>0.02</v>
      </c>
      <c r="G1861" s="205">
        <v>0.19</v>
      </c>
    </row>
    <row r="1862" ht="15.75" customHeight="1">
      <c r="A1862" s="200" t="s">
        <v>311</v>
      </c>
      <c r="B1862" s="186" t="s">
        <v>7069</v>
      </c>
      <c r="C1862" s="210" t="s">
        <v>7070</v>
      </c>
      <c r="D1862" s="210" t="s">
        <v>7071</v>
      </c>
      <c r="E1862" s="204">
        <v>16.0</v>
      </c>
      <c r="F1862" s="205">
        <v>0.02</v>
      </c>
      <c r="G1862" s="205">
        <v>4.94</v>
      </c>
    </row>
    <row r="1863" ht="15.75" customHeight="1">
      <c r="A1863" s="200" t="s">
        <v>311</v>
      </c>
      <c r="B1863" s="186" t="s">
        <v>7072</v>
      </c>
      <c r="C1863" s="210" t="s">
        <v>7073</v>
      </c>
      <c r="D1863" s="210" t="s">
        <v>7074</v>
      </c>
      <c r="E1863" s="204">
        <v>15.0</v>
      </c>
      <c r="F1863" s="205">
        <v>0.01</v>
      </c>
      <c r="G1863" s="205">
        <v>1.47</v>
      </c>
    </row>
    <row r="1864" ht="15.75" customHeight="1">
      <c r="A1864" s="200" t="s">
        <v>311</v>
      </c>
      <c r="B1864" s="186" t="s">
        <v>1780</v>
      </c>
      <c r="C1864" s="210" t="s">
        <v>1782</v>
      </c>
      <c r="D1864" s="210" t="s">
        <v>1785</v>
      </c>
      <c r="E1864" s="204">
        <v>15.0</v>
      </c>
      <c r="F1864" s="205">
        <v>0.01</v>
      </c>
      <c r="G1864" s="205">
        <v>0.6</v>
      </c>
    </row>
    <row r="1865" ht="15.75" customHeight="1">
      <c r="A1865" s="200" t="s">
        <v>311</v>
      </c>
      <c r="B1865" s="186" t="s">
        <v>7075</v>
      </c>
      <c r="C1865" s="210" t="s">
        <v>7076</v>
      </c>
      <c r="D1865" s="210" t="s">
        <v>7077</v>
      </c>
      <c r="E1865" s="204">
        <v>15.0</v>
      </c>
      <c r="F1865" s="205">
        <v>0.01</v>
      </c>
      <c r="G1865" s="205">
        <v>0.0</v>
      </c>
    </row>
    <row r="1866" ht="15.75" customHeight="1">
      <c r="A1866" s="200" t="s">
        <v>311</v>
      </c>
      <c r="B1866" s="186" t="s">
        <v>1786</v>
      </c>
      <c r="C1866" s="210" t="s">
        <v>1787</v>
      </c>
      <c r="D1866" s="210" t="s">
        <v>1791</v>
      </c>
      <c r="E1866" s="204">
        <v>15.0</v>
      </c>
      <c r="F1866" s="205">
        <v>0.01</v>
      </c>
      <c r="G1866" s="205">
        <v>0.6</v>
      </c>
    </row>
    <row r="1867" ht="15.75" customHeight="1">
      <c r="A1867" s="200" t="s">
        <v>311</v>
      </c>
      <c r="B1867" s="186" t="s">
        <v>810</v>
      </c>
      <c r="C1867" s="210" t="s">
        <v>811</v>
      </c>
      <c r="D1867" s="210" t="s">
        <v>813</v>
      </c>
      <c r="E1867" s="204">
        <v>15.0</v>
      </c>
      <c r="F1867" s="205">
        <v>0.01</v>
      </c>
      <c r="G1867" s="205">
        <v>0.47</v>
      </c>
    </row>
    <row r="1868" ht="15.75" customHeight="1">
      <c r="A1868" s="200" t="s">
        <v>311</v>
      </c>
      <c r="B1868" s="186" t="s">
        <v>7078</v>
      </c>
      <c r="C1868" s="210" t="s">
        <v>7079</v>
      </c>
      <c r="D1868" s="210" t="s">
        <v>7080</v>
      </c>
      <c r="E1868" s="204">
        <v>15.0</v>
      </c>
      <c r="F1868" s="205">
        <v>0.01</v>
      </c>
      <c r="G1868" s="205">
        <v>1.07</v>
      </c>
    </row>
    <row r="1869" ht="15.75" customHeight="1">
      <c r="A1869" s="200" t="s">
        <v>311</v>
      </c>
      <c r="B1869" s="186" t="s">
        <v>4252</v>
      </c>
      <c r="C1869" s="210" t="s">
        <v>4253</v>
      </c>
      <c r="D1869" s="210" t="s">
        <v>7081</v>
      </c>
      <c r="E1869" s="204">
        <v>15.0</v>
      </c>
      <c r="F1869" s="205">
        <v>0.01</v>
      </c>
      <c r="G1869" s="205">
        <v>0.2</v>
      </c>
    </row>
    <row r="1870" ht="15.75" customHeight="1">
      <c r="A1870" s="200" t="s">
        <v>311</v>
      </c>
      <c r="B1870" s="186" t="s">
        <v>1803</v>
      </c>
      <c r="C1870" s="210" t="s">
        <v>1805</v>
      </c>
      <c r="D1870" s="210" t="s">
        <v>1809</v>
      </c>
      <c r="E1870" s="204">
        <v>15.0</v>
      </c>
      <c r="F1870" s="205">
        <v>0.01</v>
      </c>
      <c r="G1870" s="205">
        <v>0.67</v>
      </c>
    </row>
    <row r="1871" ht="15.75" customHeight="1">
      <c r="A1871" s="200" t="s">
        <v>311</v>
      </c>
      <c r="B1871" s="186" t="s">
        <v>958</v>
      </c>
      <c r="C1871" s="210" t="s">
        <v>959</v>
      </c>
      <c r="D1871" s="210" t="s">
        <v>1823</v>
      </c>
      <c r="E1871" s="204">
        <v>15.0</v>
      </c>
      <c r="F1871" s="205">
        <v>0.01</v>
      </c>
      <c r="G1871" s="205">
        <v>1.67</v>
      </c>
    </row>
    <row r="1872" ht="15.75" customHeight="1">
      <c r="A1872" s="200" t="s">
        <v>311</v>
      </c>
      <c r="B1872" s="186" t="s">
        <v>7082</v>
      </c>
      <c r="C1872" s="210" t="s">
        <v>7083</v>
      </c>
      <c r="D1872" s="210" t="s">
        <v>7084</v>
      </c>
      <c r="E1872" s="204">
        <v>15.0</v>
      </c>
      <c r="F1872" s="205">
        <v>0.01</v>
      </c>
      <c r="G1872" s="205">
        <v>2.73</v>
      </c>
    </row>
    <row r="1873" ht="15.75" customHeight="1">
      <c r="A1873" s="200" t="s">
        <v>311</v>
      </c>
      <c r="B1873" s="186" t="s">
        <v>7085</v>
      </c>
      <c r="C1873" s="210" t="s">
        <v>7086</v>
      </c>
      <c r="D1873" s="210" t="s">
        <v>7087</v>
      </c>
      <c r="E1873" s="204">
        <v>15.0</v>
      </c>
      <c r="F1873" s="205">
        <v>0.01</v>
      </c>
      <c r="G1873" s="205">
        <v>0.07</v>
      </c>
    </row>
    <row r="1874" ht="15.75" customHeight="1">
      <c r="A1874" s="200" t="s">
        <v>311</v>
      </c>
      <c r="B1874" s="186" t="s">
        <v>7088</v>
      </c>
      <c r="C1874" s="210" t="s">
        <v>7089</v>
      </c>
      <c r="D1874" s="210" t="s">
        <v>7090</v>
      </c>
      <c r="E1874" s="204">
        <v>15.0</v>
      </c>
      <c r="F1874" s="205">
        <v>0.01</v>
      </c>
      <c r="G1874" s="205">
        <v>0.47</v>
      </c>
    </row>
    <row r="1875" ht="15.75" customHeight="1">
      <c r="A1875" s="200" t="s">
        <v>311</v>
      </c>
      <c r="B1875" s="186" t="s">
        <v>7091</v>
      </c>
      <c r="C1875" s="210" t="s">
        <v>7092</v>
      </c>
      <c r="D1875" s="210" t="s">
        <v>7093</v>
      </c>
      <c r="E1875" s="204">
        <v>15.0</v>
      </c>
      <c r="F1875" s="205">
        <v>0.01</v>
      </c>
      <c r="G1875" s="205">
        <v>0.13</v>
      </c>
    </row>
    <row r="1876" ht="15.75" customHeight="1">
      <c r="A1876" s="200" t="s">
        <v>311</v>
      </c>
      <c r="B1876" s="186" t="s">
        <v>7094</v>
      </c>
      <c r="C1876" s="210" t="s">
        <v>7095</v>
      </c>
      <c r="D1876" s="210" t="s">
        <v>7096</v>
      </c>
      <c r="E1876" s="204">
        <v>15.0</v>
      </c>
      <c r="F1876" s="205">
        <v>0.01</v>
      </c>
      <c r="G1876" s="205">
        <v>0.0</v>
      </c>
    </row>
    <row r="1877" ht="15.75" customHeight="1">
      <c r="A1877" s="200" t="s">
        <v>311</v>
      </c>
      <c r="B1877" s="186" t="s">
        <v>2376</v>
      </c>
      <c r="C1877" s="210" t="s">
        <v>2377</v>
      </c>
      <c r="D1877" s="210" t="s">
        <v>7097</v>
      </c>
      <c r="E1877" s="204">
        <v>14.0</v>
      </c>
      <c r="F1877" s="205">
        <v>0.01</v>
      </c>
      <c r="G1877" s="205">
        <v>0.5</v>
      </c>
    </row>
    <row r="1878" ht="15.75" customHeight="1">
      <c r="A1878" s="200" t="s">
        <v>311</v>
      </c>
      <c r="B1878" s="186" t="s">
        <v>2401</v>
      </c>
      <c r="C1878" s="210" t="s">
        <v>2402</v>
      </c>
      <c r="D1878" s="210" t="s">
        <v>813</v>
      </c>
      <c r="E1878" s="204">
        <v>14.0</v>
      </c>
      <c r="F1878" s="205">
        <v>0.01</v>
      </c>
      <c r="G1878" s="205">
        <v>0.14</v>
      </c>
    </row>
    <row r="1879" ht="15.75" customHeight="1">
      <c r="A1879" s="200" t="s">
        <v>311</v>
      </c>
      <c r="B1879" s="186" t="s">
        <v>2317</v>
      </c>
      <c r="C1879" s="210" t="s">
        <v>2318</v>
      </c>
      <c r="D1879" s="210" t="s">
        <v>7098</v>
      </c>
      <c r="E1879" s="204">
        <v>14.0</v>
      </c>
      <c r="F1879" s="205">
        <v>0.01</v>
      </c>
      <c r="G1879" s="205">
        <v>1.14</v>
      </c>
    </row>
    <row r="1880" ht="15.75" customHeight="1">
      <c r="A1880" s="200" t="s">
        <v>311</v>
      </c>
      <c r="B1880" s="186" t="s">
        <v>7099</v>
      </c>
      <c r="C1880" s="210" t="s">
        <v>7100</v>
      </c>
      <c r="D1880" s="210" t="s">
        <v>7101</v>
      </c>
      <c r="E1880" s="204">
        <v>14.0</v>
      </c>
      <c r="F1880" s="205">
        <v>0.01</v>
      </c>
      <c r="G1880" s="205">
        <v>0.86</v>
      </c>
    </row>
    <row r="1881" ht="15.75" customHeight="1">
      <c r="A1881" s="200" t="s">
        <v>311</v>
      </c>
      <c r="B1881" s="186" t="s">
        <v>1824</v>
      </c>
      <c r="C1881" s="210" t="s">
        <v>1826</v>
      </c>
      <c r="D1881" s="210" t="s">
        <v>1830</v>
      </c>
      <c r="E1881" s="204">
        <v>14.0</v>
      </c>
      <c r="F1881" s="205">
        <v>0.01</v>
      </c>
      <c r="G1881" s="205">
        <v>1.5</v>
      </c>
    </row>
    <row r="1882" ht="15.75" customHeight="1">
      <c r="A1882" s="200" t="s">
        <v>311</v>
      </c>
      <c r="B1882" s="186" t="s">
        <v>7102</v>
      </c>
      <c r="C1882" s="210" t="s">
        <v>7103</v>
      </c>
      <c r="D1882" s="210"/>
      <c r="E1882" s="204">
        <v>14.0</v>
      </c>
      <c r="F1882" s="205">
        <v>0.01</v>
      </c>
      <c r="G1882" s="205">
        <v>1.29</v>
      </c>
    </row>
    <row r="1883" ht="15.75" customHeight="1">
      <c r="A1883" s="200" t="s">
        <v>311</v>
      </c>
      <c r="B1883" s="186" t="s">
        <v>7104</v>
      </c>
      <c r="C1883" s="210" t="s">
        <v>7105</v>
      </c>
      <c r="D1883" s="210" t="s">
        <v>1101</v>
      </c>
      <c r="E1883" s="204">
        <v>14.0</v>
      </c>
      <c r="F1883" s="205">
        <v>0.01</v>
      </c>
      <c r="G1883" s="205">
        <v>0.43</v>
      </c>
    </row>
    <row r="1884" ht="15.75" customHeight="1">
      <c r="A1884" s="200" t="s">
        <v>311</v>
      </c>
      <c r="B1884" s="186" t="s">
        <v>1833</v>
      </c>
      <c r="C1884" s="210" t="s">
        <v>714</v>
      </c>
      <c r="D1884" s="210" t="s">
        <v>1836</v>
      </c>
      <c r="E1884" s="204">
        <v>14.0</v>
      </c>
      <c r="F1884" s="205">
        <v>0.01</v>
      </c>
      <c r="G1884" s="205">
        <v>0.64</v>
      </c>
    </row>
    <row r="1885" ht="15.75" customHeight="1">
      <c r="A1885" s="200" t="s">
        <v>311</v>
      </c>
      <c r="B1885" s="186" t="s">
        <v>7106</v>
      </c>
      <c r="C1885" s="210" t="s">
        <v>7107</v>
      </c>
      <c r="D1885" s="210" t="s">
        <v>780</v>
      </c>
      <c r="E1885" s="204">
        <v>14.0</v>
      </c>
      <c r="F1885" s="205">
        <v>0.01</v>
      </c>
      <c r="G1885" s="205">
        <v>2.36</v>
      </c>
    </row>
    <row r="1886" ht="15.75" customHeight="1">
      <c r="A1886" s="200" t="s">
        <v>311</v>
      </c>
      <c r="B1886" s="186" t="s">
        <v>7108</v>
      </c>
      <c r="C1886" s="210" t="s">
        <v>7109</v>
      </c>
      <c r="D1886" s="210" t="s">
        <v>1225</v>
      </c>
      <c r="E1886" s="204">
        <v>14.0</v>
      </c>
      <c r="F1886" s="205">
        <v>0.01</v>
      </c>
      <c r="G1886" s="205">
        <v>0.36</v>
      </c>
    </row>
    <row r="1887" ht="15.75" customHeight="1">
      <c r="A1887" s="200" t="s">
        <v>311</v>
      </c>
      <c r="B1887" s="186" t="s">
        <v>1840</v>
      </c>
      <c r="C1887" s="210" t="s">
        <v>1842</v>
      </c>
      <c r="D1887" s="210" t="s">
        <v>1844</v>
      </c>
      <c r="E1887" s="204">
        <v>14.0</v>
      </c>
      <c r="F1887" s="205">
        <v>0.01</v>
      </c>
      <c r="G1887" s="205">
        <v>0.79</v>
      </c>
    </row>
    <row r="1888" ht="15.75" customHeight="1">
      <c r="A1888" s="200" t="s">
        <v>311</v>
      </c>
      <c r="B1888" s="186" t="s">
        <v>1848</v>
      </c>
      <c r="C1888" s="210" t="s">
        <v>1849</v>
      </c>
      <c r="D1888" s="210" t="s">
        <v>1853</v>
      </c>
      <c r="E1888" s="204">
        <v>14.0</v>
      </c>
      <c r="F1888" s="205">
        <v>0.01</v>
      </c>
      <c r="G1888" s="205">
        <v>0.64</v>
      </c>
    </row>
    <row r="1889" ht="15.75" customHeight="1">
      <c r="A1889" s="200" t="s">
        <v>311</v>
      </c>
      <c r="B1889" s="186" t="s">
        <v>7110</v>
      </c>
      <c r="C1889" s="210" t="s">
        <v>7111</v>
      </c>
      <c r="D1889" s="210" t="s">
        <v>7112</v>
      </c>
      <c r="E1889" s="204">
        <v>14.0</v>
      </c>
      <c r="F1889" s="205">
        <v>0.01</v>
      </c>
      <c r="G1889" s="205">
        <v>1.21</v>
      </c>
    </row>
    <row r="1890" ht="15.75" customHeight="1">
      <c r="A1890" s="200" t="s">
        <v>311</v>
      </c>
      <c r="B1890" s="186" t="s">
        <v>7113</v>
      </c>
      <c r="C1890" s="210" t="s">
        <v>7114</v>
      </c>
      <c r="D1890" s="210" t="s">
        <v>7115</v>
      </c>
      <c r="E1890" s="204">
        <v>14.0</v>
      </c>
      <c r="F1890" s="205">
        <v>0.01</v>
      </c>
      <c r="G1890" s="205">
        <v>0.07</v>
      </c>
    </row>
    <row r="1891" ht="15.75" customHeight="1">
      <c r="A1891" s="200" t="s">
        <v>311</v>
      </c>
      <c r="B1891" s="186" t="s">
        <v>7116</v>
      </c>
      <c r="C1891" s="210" t="s">
        <v>7117</v>
      </c>
      <c r="D1891" s="210" t="s">
        <v>7118</v>
      </c>
      <c r="E1891" s="204">
        <v>14.0</v>
      </c>
      <c r="F1891" s="205">
        <v>0.01</v>
      </c>
      <c r="G1891" s="205">
        <v>1.0</v>
      </c>
    </row>
    <row r="1892" ht="15.75" customHeight="1">
      <c r="A1892" s="200" t="s">
        <v>311</v>
      </c>
      <c r="B1892" s="186" t="s">
        <v>7119</v>
      </c>
      <c r="C1892" s="210" t="s">
        <v>7120</v>
      </c>
      <c r="D1892" s="210" t="s">
        <v>7121</v>
      </c>
      <c r="E1892" s="204">
        <v>13.0</v>
      </c>
      <c r="F1892" s="205">
        <v>0.01</v>
      </c>
      <c r="G1892" s="205">
        <v>0.0</v>
      </c>
    </row>
    <row r="1893" ht="15.75" customHeight="1">
      <c r="A1893" s="200" t="s">
        <v>311</v>
      </c>
      <c r="B1893" s="186" t="s">
        <v>1856</v>
      </c>
      <c r="C1893" s="210" t="s">
        <v>1857</v>
      </c>
      <c r="D1893" s="210" t="s">
        <v>1830</v>
      </c>
      <c r="E1893" s="204">
        <v>13.0</v>
      </c>
      <c r="F1893" s="205">
        <v>0.01</v>
      </c>
      <c r="G1893" s="205">
        <v>0.77</v>
      </c>
    </row>
    <row r="1894" ht="15.75" customHeight="1">
      <c r="A1894" s="200" t="s">
        <v>311</v>
      </c>
      <c r="B1894" s="186" t="s">
        <v>7122</v>
      </c>
      <c r="C1894" s="210" t="s">
        <v>7123</v>
      </c>
      <c r="D1894" s="210" t="s">
        <v>7124</v>
      </c>
      <c r="E1894" s="204">
        <v>13.0</v>
      </c>
      <c r="F1894" s="205">
        <v>0.01</v>
      </c>
      <c r="G1894" s="205">
        <v>0.15</v>
      </c>
    </row>
    <row r="1895" ht="15.75" customHeight="1">
      <c r="A1895" s="200" t="s">
        <v>311</v>
      </c>
      <c r="B1895" s="186" t="s">
        <v>7125</v>
      </c>
      <c r="C1895" s="210" t="s">
        <v>7126</v>
      </c>
      <c r="D1895" s="210" t="s">
        <v>7127</v>
      </c>
      <c r="E1895" s="204">
        <v>13.0</v>
      </c>
      <c r="F1895" s="205">
        <v>0.01</v>
      </c>
      <c r="G1895" s="205">
        <v>0.23</v>
      </c>
    </row>
    <row r="1896" ht="15.75" customHeight="1">
      <c r="A1896" s="200" t="s">
        <v>311</v>
      </c>
      <c r="B1896" s="186" t="s">
        <v>693</v>
      </c>
      <c r="C1896" s="210" t="s">
        <v>694</v>
      </c>
      <c r="D1896" s="210" t="s">
        <v>1570</v>
      </c>
      <c r="E1896" s="204">
        <v>13.0</v>
      </c>
      <c r="F1896" s="205">
        <v>0.01</v>
      </c>
      <c r="G1896" s="205">
        <v>1.69</v>
      </c>
    </row>
    <row r="1897" ht="15.75" customHeight="1">
      <c r="A1897" s="200" t="s">
        <v>311</v>
      </c>
      <c r="B1897" s="186" t="s">
        <v>7128</v>
      </c>
      <c r="C1897" s="210" t="s">
        <v>7129</v>
      </c>
      <c r="D1897" s="210" t="s">
        <v>7130</v>
      </c>
      <c r="E1897" s="204">
        <v>13.0</v>
      </c>
      <c r="F1897" s="205">
        <v>0.01</v>
      </c>
      <c r="G1897" s="205">
        <v>0.0</v>
      </c>
    </row>
    <row r="1898" ht="15.75" customHeight="1">
      <c r="A1898" s="200" t="s">
        <v>311</v>
      </c>
      <c r="B1898" s="186" t="s">
        <v>7131</v>
      </c>
      <c r="C1898" s="210" t="s">
        <v>7132</v>
      </c>
      <c r="D1898" s="210" t="s">
        <v>7133</v>
      </c>
      <c r="E1898" s="204">
        <v>13.0</v>
      </c>
      <c r="F1898" s="205">
        <v>0.01</v>
      </c>
      <c r="G1898" s="205">
        <v>0.0</v>
      </c>
    </row>
    <row r="1899" ht="15.75" customHeight="1">
      <c r="A1899" s="200" t="s">
        <v>311</v>
      </c>
      <c r="B1899" s="186" t="s">
        <v>1872</v>
      </c>
      <c r="C1899" s="210" t="s">
        <v>1873</v>
      </c>
      <c r="D1899" s="210" t="s">
        <v>1875</v>
      </c>
      <c r="E1899" s="204">
        <v>13.0</v>
      </c>
      <c r="F1899" s="205">
        <v>0.01</v>
      </c>
      <c r="G1899" s="205">
        <v>0.15</v>
      </c>
    </row>
    <row r="1900" ht="15.75" customHeight="1">
      <c r="A1900" s="200" t="s">
        <v>311</v>
      </c>
      <c r="B1900" s="186" t="s">
        <v>7134</v>
      </c>
      <c r="C1900" s="210" t="s">
        <v>7135</v>
      </c>
      <c r="D1900" s="210" t="s">
        <v>7136</v>
      </c>
      <c r="E1900" s="204">
        <v>13.0</v>
      </c>
      <c r="F1900" s="205">
        <v>0.01</v>
      </c>
      <c r="G1900" s="205">
        <v>3.85</v>
      </c>
    </row>
    <row r="1901" ht="15.75" customHeight="1">
      <c r="A1901" s="200" t="s">
        <v>311</v>
      </c>
      <c r="B1901" s="186" t="s">
        <v>2766</v>
      </c>
      <c r="C1901" s="210" t="s">
        <v>2767</v>
      </c>
      <c r="D1901" s="210" t="s">
        <v>7137</v>
      </c>
      <c r="E1901" s="204">
        <v>12.0</v>
      </c>
      <c r="F1901" s="205">
        <v>0.01</v>
      </c>
      <c r="G1901" s="205">
        <v>0.0</v>
      </c>
    </row>
    <row r="1902" ht="15.75" customHeight="1">
      <c r="A1902" s="200" t="s">
        <v>311</v>
      </c>
      <c r="B1902" s="186" t="s">
        <v>2772</v>
      </c>
      <c r="C1902" s="210" t="s">
        <v>2773</v>
      </c>
      <c r="D1902" s="210" t="s">
        <v>7138</v>
      </c>
      <c r="E1902" s="204">
        <v>12.0</v>
      </c>
      <c r="F1902" s="205">
        <v>0.01</v>
      </c>
      <c r="G1902" s="205">
        <v>0.08</v>
      </c>
    </row>
    <row r="1903" ht="15.75" customHeight="1">
      <c r="A1903" s="200" t="s">
        <v>311</v>
      </c>
      <c r="B1903" s="186" t="s">
        <v>7139</v>
      </c>
      <c r="C1903" s="210" t="s">
        <v>7140</v>
      </c>
      <c r="D1903" s="210" t="s">
        <v>7141</v>
      </c>
      <c r="E1903" s="204">
        <v>12.0</v>
      </c>
      <c r="F1903" s="205">
        <v>0.01</v>
      </c>
      <c r="G1903" s="205">
        <v>0.0</v>
      </c>
    </row>
    <row r="1904" ht="15.75" customHeight="1">
      <c r="A1904" s="200" t="s">
        <v>311</v>
      </c>
      <c r="B1904" s="186" t="s">
        <v>2384</v>
      </c>
      <c r="C1904" s="210" t="s">
        <v>2385</v>
      </c>
      <c r="D1904" s="210" t="s">
        <v>2386</v>
      </c>
      <c r="E1904" s="204">
        <v>12.0</v>
      </c>
      <c r="F1904" s="205">
        <v>0.01</v>
      </c>
      <c r="G1904" s="205">
        <v>1.67</v>
      </c>
    </row>
    <row r="1905" ht="15.75" customHeight="1">
      <c r="A1905" s="200" t="s">
        <v>311</v>
      </c>
      <c r="B1905" s="186" t="s">
        <v>1876</v>
      </c>
      <c r="C1905" s="210" t="s">
        <v>1877</v>
      </c>
      <c r="D1905" s="210" t="s">
        <v>853</v>
      </c>
      <c r="E1905" s="204">
        <v>12.0</v>
      </c>
      <c r="F1905" s="205">
        <v>0.01</v>
      </c>
      <c r="G1905" s="205">
        <v>0.67</v>
      </c>
    </row>
    <row r="1906" ht="15.75" customHeight="1">
      <c r="A1906" s="200" t="s">
        <v>311</v>
      </c>
      <c r="B1906" s="186" t="s">
        <v>7142</v>
      </c>
      <c r="C1906" s="210" t="s">
        <v>7143</v>
      </c>
      <c r="D1906" s="210" t="s">
        <v>7144</v>
      </c>
      <c r="E1906" s="204">
        <v>12.0</v>
      </c>
      <c r="F1906" s="205">
        <v>0.01</v>
      </c>
      <c r="G1906" s="205">
        <v>0.17</v>
      </c>
    </row>
    <row r="1907" ht="15.75" customHeight="1">
      <c r="A1907" s="200" t="s">
        <v>311</v>
      </c>
      <c r="B1907" s="186" t="s">
        <v>947</v>
      </c>
      <c r="C1907" s="210" t="s">
        <v>948</v>
      </c>
      <c r="D1907" s="210" t="s">
        <v>949</v>
      </c>
      <c r="E1907" s="204">
        <v>12.0</v>
      </c>
      <c r="F1907" s="205">
        <v>0.01</v>
      </c>
      <c r="G1907" s="205">
        <v>0.0</v>
      </c>
    </row>
    <row r="1908" ht="15.75" customHeight="1">
      <c r="A1908" s="200" t="s">
        <v>311</v>
      </c>
      <c r="B1908" s="186" t="s">
        <v>7145</v>
      </c>
      <c r="C1908" s="210" t="s">
        <v>7146</v>
      </c>
      <c r="D1908" s="210" t="s">
        <v>7147</v>
      </c>
      <c r="E1908" s="204">
        <v>12.0</v>
      </c>
      <c r="F1908" s="205">
        <v>0.01</v>
      </c>
      <c r="G1908" s="205">
        <v>0.08</v>
      </c>
    </row>
    <row r="1909" ht="15.75" customHeight="1">
      <c r="A1909" s="200" t="s">
        <v>311</v>
      </c>
      <c r="B1909" s="186" t="s">
        <v>7148</v>
      </c>
      <c r="C1909" s="210" t="s">
        <v>7149</v>
      </c>
      <c r="D1909" s="210" t="s">
        <v>7150</v>
      </c>
      <c r="E1909" s="204">
        <v>12.0</v>
      </c>
      <c r="F1909" s="205">
        <v>0.01</v>
      </c>
      <c r="G1909" s="205">
        <v>0.75</v>
      </c>
    </row>
    <row r="1910" ht="15.75" customHeight="1">
      <c r="A1910" s="200" t="s">
        <v>311</v>
      </c>
      <c r="B1910" s="186" t="s">
        <v>7151</v>
      </c>
      <c r="C1910" s="210" t="s">
        <v>7152</v>
      </c>
      <c r="D1910" s="210" t="s">
        <v>7153</v>
      </c>
      <c r="E1910" s="204">
        <v>12.0</v>
      </c>
      <c r="F1910" s="205">
        <v>0.01</v>
      </c>
      <c r="G1910" s="205">
        <v>1.25</v>
      </c>
    </row>
    <row r="1911" ht="15.75" customHeight="1">
      <c r="A1911" s="200" t="s">
        <v>311</v>
      </c>
      <c r="B1911" s="186" t="s">
        <v>7154</v>
      </c>
      <c r="C1911" s="210" t="s">
        <v>7155</v>
      </c>
      <c r="D1911" s="210"/>
      <c r="E1911" s="204">
        <v>12.0</v>
      </c>
      <c r="F1911" s="205">
        <v>0.01</v>
      </c>
      <c r="G1911" s="205">
        <v>0.08</v>
      </c>
    </row>
    <row r="1912" ht="15.75" customHeight="1">
      <c r="A1912" s="200" t="s">
        <v>311</v>
      </c>
      <c r="B1912" s="186" t="s">
        <v>7156</v>
      </c>
      <c r="C1912" s="210" t="s">
        <v>7157</v>
      </c>
      <c r="D1912" s="210" t="s">
        <v>7158</v>
      </c>
      <c r="E1912" s="204">
        <v>12.0</v>
      </c>
      <c r="F1912" s="205">
        <v>0.01</v>
      </c>
      <c r="G1912" s="205">
        <v>1.0</v>
      </c>
    </row>
    <row r="1913" ht="15.75" customHeight="1">
      <c r="A1913" s="200" t="s">
        <v>311</v>
      </c>
      <c r="B1913" s="186" t="s">
        <v>7159</v>
      </c>
      <c r="C1913" s="210" t="s">
        <v>7160</v>
      </c>
      <c r="D1913" s="210" t="s">
        <v>7161</v>
      </c>
      <c r="E1913" s="204">
        <v>12.0</v>
      </c>
      <c r="F1913" s="205">
        <v>0.01</v>
      </c>
      <c r="G1913" s="205">
        <v>0.5</v>
      </c>
    </row>
    <row r="1914" ht="15.75" customHeight="1">
      <c r="A1914" s="200" t="s">
        <v>311</v>
      </c>
      <c r="B1914" s="186" t="s">
        <v>7162</v>
      </c>
      <c r="C1914" s="210" t="s">
        <v>7163</v>
      </c>
      <c r="D1914" s="210" t="s">
        <v>7164</v>
      </c>
      <c r="E1914" s="204">
        <v>12.0</v>
      </c>
      <c r="F1914" s="205">
        <v>0.01</v>
      </c>
      <c r="G1914" s="205">
        <v>1.25</v>
      </c>
    </row>
    <row r="1915" ht="15.75" customHeight="1">
      <c r="A1915" s="200" t="s">
        <v>311</v>
      </c>
      <c r="B1915" s="186" t="s">
        <v>7165</v>
      </c>
      <c r="C1915" s="210" t="s">
        <v>7166</v>
      </c>
      <c r="D1915" s="210" t="s">
        <v>7167</v>
      </c>
      <c r="E1915" s="204">
        <v>12.0</v>
      </c>
      <c r="F1915" s="205">
        <v>0.01</v>
      </c>
      <c r="G1915" s="205">
        <v>0.83</v>
      </c>
    </row>
    <row r="1916" ht="15.75" customHeight="1">
      <c r="A1916" s="200" t="s">
        <v>311</v>
      </c>
      <c r="B1916" s="186" t="s">
        <v>7168</v>
      </c>
      <c r="C1916" s="210" t="s">
        <v>7169</v>
      </c>
      <c r="D1916" s="210" t="s">
        <v>7170</v>
      </c>
      <c r="E1916" s="204">
        <v>12.0</v>
      </c>
      <c r="F1916" s="205">
        <v>0.01</v>
      </c>
      <c r="G1916" s="205">
        <v>1.17</v>
      </c>
    </row>
    <row r="1917" ht="15.75" customHeight="1">
      <c r="A1917" s="200" t="s">
        <v>311</v>
      </c>
      <c r="B1917" s="186" t="s">
        <v>7171</v>
      </c>
      <c r="C1917" s="210" t="s">
        <v>7172</v>
      </c>
      <c r="D1917" s="210" t="s">
        <v>7173</v>
      </c>
      <c r="E1917" s="204">
        <v>12.0</v>
      </c>
      <c r="F1917" s="205">
        <v>0.01</v>
      </c>
      <c r="G1917" s="205">
        <v>0.25</v>
      </c>
    </row>
    <row r="1918" ht="15.75" customHeight="1">
      <c r="A1918" s="200" t="s">
        <v>311</v>
      </c>
      <c r="B1918" s="186" t="s">
        <v>1885</v>
      </c>
      <c r="C1918" s="210" t="s">
        <v>1887</v>
      </c>
      <c r="D1918" s="210" t="s">
        <v>1889</v>
      </c>
      <c r="E1918" s="204">
        <v>12.0</v>
      </c>
      <c r="F1918" s="205">
        <v>0.01</v>
      </c>
      <c r="G1918" s="205">
        <v>0.83</v>
      </c>
    </row>
    <row r="1919" ht="15.75" customHeight="1">
      <c r="A1919" s="200" t="s">
        <v>311</v>
      </c>
      <c r="B1919" s="186" t="s">
        <v>7174</v>
      </c>
      <c r="C1919" s="210" t="s">
        <v>7175</v>
      </c>
      <c r="D1919" s="210" t="s">
        <v>7176</v>
      </c>
      <c r="E1919" s="204">
        <v>11.0</v>
      </c>
      <c r="F1919" s="205">
        <v>0.01</v>
      </c>
      <c r="G1919" s="205">
        <v>1.0</v>
      </c>
    </row>
    <row r="1920" ht="15.75" customHeight="1">
      <c r="A1920" s="200" t="s">
        <v>311</v>
      </c>
      <c r="B1920" s="186" t="s">
        <v>7177</v>
      </c>
      <c r="C1920" s="210" t="s">
        <v>7178</v>
      </c>
      <c r="D1920" s="210" t="s">
        <v>7179</v>
      </c>
      <c r="E1920" s="204">
        <v>11.0</v>
      </c>
      <c r="F1920" s="205">
        <v>0.01</v>
      </c>
      <c r="G1920" s="205">
        <v>0.09</v>
      </c>
    </row>
    <row r="1921" ht="15.75" customHeight="1">
      <c r="A1921" s="200" t="s">
        <v>311</v>
      </c>
      <c r="B1921" s="186" t="s">
        <v>7180</v>
      </c>
      <c r="C1921" s="210" t="s">
        <v>7181</v>
      </c>
      <c r="D1921" s="210" t="s">
        <v>7182</v>
      </c>
      <c r="E1921" s="204">
        <v>11.0</v>
      </c>
      <c r="F1921" s="205">
        <v>0.01</v>
      </c>
      <c r="G1921" s="205">
        <v>0.18</v>
      </c>
    </row>
    <row r="1922" ht="15.75" customHeight="1">
      <c r="A1922" s="200" t="s">
        <v>311</v>
      </c>
      <c r="B1922" s="186" t="s">
        <v>1890</v>
      </c>
      <c r="C1922" s="210" t="s">
        <v>985</v>
      </c>
      <c r="D1922" s="210" t="s">
        <v>1893</v>
      </c>
      <c r="E1922" s="204">
        <v>11.0</v>
      </c>
      <c r="F1922" s="205">
        <v>0.01</v>
      </c>
      <c r="G1922" s="205">
        <v>0.27</v>
      </c>
    </row>
    <row r="1923" ht="15.75" customHeight="1">
      <c r="A1923" s="200" t="s">
        <v>311</v>
      </c>
      <c r="B1923" s="186" t="s">
        <v>7183</v>
      </c>
      <c r="C1923" s="210" t="s">
        <v>7184</v>
      </c>
      <c r="D1923" s="210" t="s">
        <v>7185</v>
      </c>
      <c r="E1923" s="204">
        <v>11.0</v>
      </c>
      <c r="F1923" s="205">
        <v>0.01</v>
      </c>
      <c r="G1923" s="205">
        <v>0.18</v>
      </c>
    </row>
    <row r="1924" ht="15.75" customHeight="1">
      <c r="A1924" s="200" t="s">
        <v>311</v>
      </c>
      <c r="B1924" s="186" t="s">
        <v>2675</v>
      </c>
      <c r="C1924" s="210" t="s">
        <v>2676</v>
      </c>
      <c r="D1924" s="210" t="s">
        <v>7186</v>
      </c>
      <c r="E1924" s="204">
        <v>11.0</v>
      </c>
      <c r="F1924" s="205">
        <v>0.01</v>
      </c>
      <c r="G1924" s="205">
        <v>1.09</v>
      </c>
    </row>
    <row r="1925" ht="15.75" customHeight="1">
      <c r="A1925" s="200" t="s">
        <v>311</v>
      </c>
      <c r="B1925" s="186" t="s">
        <v>7187</v>
      </c>
      <c r="C1925" s="210" t="s">
        <v>7188</v>
      </c>
      <c r="D1925" s="210" t="s">
        <v>7189</v>
      </c>
      <c r="E1925" s="204">
        <v>11.0</v>
      </c>
      <c r="F1925" s="205">
        <v>0.01</v>
      </c>
      <c r="G1925" s="205">
        <v>0.0</v>
      </c>
    </row>
    <row r="1926" ht="15.75" customHeight="1">
      <c r="A1926" s="200" t="s">
        <v>311</v>
      </c>
      <c r="B1926" s="186" t="s">
        <v>1895</v>
      </c>
      <c r="C1926" s="210" t="s">
        <v>1897</v>
      </c>
      <c r="D1926" s="210" t="s">
        <v>1899</v>
      </c>
      <c r="E1926" s="204">
        <v>11.0</v>
      </c>
      <c r="F1926" s="205">
        <v>0.01</v>
      </c>
      <c r="G1926" s="205">
        <v>0.09</v>
      </c>
    </row>
    <row r="1927" ht="15.75" customHeight="1">
      <c r="A1927" s="200" t="s">
        <v>311</v>
      </c>
      <c r="B1927" s="186" t="s">
        <v>7190</v>
      </c>
      <c r="C1927" s="210" t="s">
        <v>7191</v>
      </c>
      <c r="D1927" s="210" t="s">
        <v>7192</v>
      </c>
      <c r="E1927" s="204">
        <v>11.0</v>
      </c>
      <c r="F1927" s="205">
        <v>0.01</v>
      </c>
      <c r="G1927" s="205">
        <v>0.09</v>
      </c>
    </row>
    <row r="1928" ht="15.75" customHeight="1">
      <c r="A1928" s="200" t="s">
        <v>311</v>
      </c>
      <c r="B1928" s="186" t="s">
        <v>7193</v>
      </c>
      <c r="C1928" s="210" t="s">
        <v>7194</v>
      </c>
      <c r="D1928" s="210" t="s">
        <v>7195</v>
      </c>
      <c r="E1928" s="204">
        <v>11.0</v>
      </c>
      <c r="F1928" s="205">
        <v>0.01</v>
      </c>
      <c r="G1928" s="205">
        <v>0.0</v>
      </c>
    </row>
    <row r="1929" ht="15.75" customHeight="1">
      <c r="A1929" s="200" t="s">
        <v>311</v>
      </c>
      <c r="B1929" s="186" t="s">
        <v>7196</v>
      </c>
      <c r="C1929" s="210" t="s">
        <v>7197</v>
      </c>
      <c r="D1929" s="210" t="s">
        <v>7198</v>
      </c>
      <c r="E1929" s="204">
        <v>11.0</v>
      </c>
      <c r="F1929" s="205">
        <v>0.01</v>
      </c>
      <c r="G1929" s="205">
        <v>0.0</v>
      </c>
    </row>
    <row r="1930" ht="15.75" customHeight="1">
      <c r="A1930" s="200" t="s">
        <v>311</v>
      </c>
      <c r="B1930" s="186" t="s">
        <v>7199</v>
      </c>
      <c r="C1930" s="210" t="s">
        <v>7200</v>
      </c>
      <c r="D1930" s="210" t="s">
        <v>7201</v>
      </c>
      <c r="E1930" s="204">
        <v>11.0</v>
      </c>
      <c r="F1930" s="205">
        <v>0.01</v>
      </c>
      <c r="G1930" s="205">
        <v>2.36</v>
      </c>
    </row>
    <row r="1931" ht="15.75" customHeight="1">
      <c r="A1931" s="200" t="s">
        <v>311</v>
      </c>
      <c r="B1931" s="186" t="s">
        <v>7202</v>
      </c>
      <c r="C1931" s="210" t="s">
        <v>7203</v>
      </c>
      <c r="D1931" s="210" t="s">
        <v>7204</v>
      </c>
      <c r="E1931" s="204">
        <v>11.0</v>
      </c>
      <c r="F1931" s="205">
        <v>0.01</v>
      </c>
      <c r="G1931" s="205">
        <v>1.27</v>
      </c>
    </row>
    <row r="1932" ht="15.75" customHeight="1">
      <c r="A1932" s="200" t="s">
        <v>311</v>
      </c>
      <c r="B1932" s="186" t="s">
        <v>1902</v>
      </c>
      <c r="C1932" s="210" t="s">
        <v>1904</v>
      </c>
      <c r="D1932" s="210" t="s">
        <v>1907</v>
      </c>
      <c r="E1932" s="204">
        <v>11.0</v>
      </c>
      <c r="F1932" s="205">
        <v>0.01</v>
      </c>
      <c r="G1932" s="205">
        <v>0.0</v>
      </c>
    </row>
    <row r="1933" ht="15.75" customHeight="1">
      <c r="A1933" s="200" t="s">
        <v>311</v>
      </c>
      <c r="B1933" s="186" t="s">
        <v>7205</v>
      </c>
      <c r="C1933" s="210" t="s">
        <v>1787</v>
      </c>
      <c r="D1933" s="210" t="s">
        <v>7206</v>
      </c>
      <c r="E1933" s="204">
        <v>11.0</v>
      </c>
      <c r="F1933" s="205">
        <v>0.01</v>
      </c>
      <c r="G1933" s="205">
        <v>0.64</v>
      </c>
    </row>
    <row r="1934" ht="15.75" customHeight="1">
      <c r="A1934" s="200" t="s">
        <v>311</v>
      </c>
      <c r="B1934" s="186" t="s">
        <v>7207</v>
      </c>
      <c r="C1934" s="210" t="s">
        <v>7208</v>
      </c>
      <c r="D1934" s="210" t="s">
        <v>7209</v>
      </c>
      <c r="E1934" s="204">
        <v>11.0</v>
      </c>
      <c r="F1934" s="205">
        <v>0.01</v>
      </c>
      <c r="G1934" s="205">
        <v>0.27</v>
      </c>
    </row>
    <row r="1935" ht="15.75" customHeight="1">
      <c r="A1935" s="200" t="s">
        <v>311</v>
      </c>
      <c r="B1935" s="186" t="s">
        <v>7210</v>
      </c>
      <c r="C1935" s="210" t="s">
        <v>7211</v>
      </c>
      <c r="D1935" s="210" t="s">
        <v>7212</v>
      </c>
      <c r="E1935" s="204">
        <v>10.0</v>
      </c>
      <c r="F1935" s="205">
        <v>0.01</v>
      </c>
      <c r="G1935" s="205">
        <v>0.0</v>
      </c>
    </row>
    <row r="1936" ht="15.75" customHeight="1">
      <c r="A1936" s="200" t="s">
        <v>311</v>
      </c>
      <c r="B1936" s="186" t="s">
        <v>1909</v>
      </c>
      <c r="C1936" s="210" t="s">
        <v>1910</v>
      </c>
      <c r="D1936" s="210" t="s">
        <v>853</v>
      </c>
      <c r="E1936" s="204">
        <v>10.0</v>
      </c>
      <c r="F1936" s="205">
        <v>0.01</v>
      </c>
      <c r="G1936" s="205">
        <v>0.5</v>
      </c>
    </row>
    <row r="1937" ht="15.75" customHeight="1">
      <c r="A1937" s="200" t="s">
        <v>311</v>
      </c>
      <c r="B1937" s="186" t="s">
        <v>7213</v>
      </c>
      <c r="C1937" s="210" t="s">
        <v>7214</v>
      </c>
      <c r="D1937" s="210" t="s">
        <v>7215</v>
      </c>
      <c r="E1937" s="204">
        <v>10.0</v>
      </c>
      <c r="F1937" s="205">
        <v>0.01</v>
      </c>
      <c r="G1937" s="205">
        <v>0.1</v>
      </c>
    </row>
    <row r="1938" ht="15.75" customHeight="1">
      <c r="A1938" s="200" t="s">
        <v>311</v>
      </c>
      <c r="B1938" s="186" t="s">
        <v>7216</v>
      </c>
      <c r="C1938" s="210" t="s">
        <v>7217</v>
      </c>
      <c r="D1938" s="210" t="s">
        <v>7218</v>
      </c>
      <c r="E1938" s="204">
        <v>10.0</v>
      </c>
      <c r="F1938" s="205">
        <v>0.01</v>
      </c>
      <c r="G1938" s="205">
        <v>0.9</v>
      </c>
    </row>
    <row r="1939" ht="15.75" customHeight="1">
      <c r="A1939" s="200" t="s">
        <v>311</v>
      </c>
      <c r="B1939" s="186" t="s">
        <v>7219</v>
      </c>
      <c r="C1939" s="210" t="s">
        <v>7220</v>
      </c>
      <c r="D1939" s="210" t="s">
        <v>7221</v>
      </c>
      <c r="E1939" s="204">
        <v>10.0</v>
      </c>
      <c r="F1939" s="205">
        <v>0.01</v>
      </c>
      <c r="G1939" s="205">
        <v>0.2</v>
      </c>
    </row>
    <row r="1940" ht="15.75" customHeight="1">
      <c r="A1940" s="200" t="s">
        <v>311</v>
      </c>
      <c r="B1940" s="186" t="s">
        <v>7222</v>
      </c>
      <c r="C1940" s="210" t="s">
        <v>7223</v>
      </c>
      <c r="D1940" s="210" t="s">
        <v>7224</v>
      </c>
      <c r="E1940" s="204">
        <v>10.0</v>
      </c>
      <c r="F1940" s="205">
        <v>0.01</v>
      </c>
      <c r="G1940" s="205">
        <v>0.0</v>
      </c>
    </row>
    <row r="1941" ht="15.75" customHeight="1">
      <c r="A1941" s="200" t="s">
        <v>311</v>
      </c>
      <c r="B1941" s="186" t="s">
        <v>7225</v>
      </c>
      <c r="C1941" s="210" t="s">
        <v>7226</v>
      </c>
      <c r="D1941" s="210" t="s">
        <v>7227</v>
      </c>
      <c r="E1941" s="204">
        <v>10.0</v>
      </c>
      <c r="F1941" s="205">
        <v>0.01</v>
      </c>
      <c r="G1941" s="205">
        <v>0.2</v>
      </c>
    </row>
    <row r="1942" ht="15.75" customHeight="1">
      <c r="A1942" s="200" t="s">
        <v>311</v>
      </c>
      <c r="B1942" s="186" t="s">
        <v>7228</v>
      </c>
      <c r="C1942" s="210" t="s">
        <v>7229</v>
      </c>
      <c r="D1942" s="210" t="s">
        <v>7230</v>
      </c>
      <c r="E1942" s="204">
        <v>10.0</v>
      </c>
      <c r="F1942" s="205">
        <v>0.01</v>
      </c>
      <c r="G1942" s="205">
        <v>0.0</v>
      </c>
    </row>
    <row r="1943" ht="15.75" customHeight="1">
      <c r="A1943" s="200" t="s">
        <v>311</v>
      </c>
      <c r="B1943" s="186" t="s">
        <v>7231</v>
      </c>
      <c r="C1943" s="210" t="s">
        <v>7232</v>
      </c>
      <c r="D1943" s="210" t="s">
        <v>7233</v>
      </c>
      <c r="E1943" s="204">
        <v>10.0</v>
      </c>
      <c r="F1943" s="205">
        <v>0.01</v>
      </c>
      <c r="G1943" s="205">
        <v>1.0</v>
      </c>
    </row>
    <row r="1944" ht="15.75" customHeight="1">
      <c r="A1944" s="200" t="s">
        <v>311</v>
      </c>
      <c r="B1944" s="186" t="s">
        <v>7234</v>
      </c>
      <c r="C1944" s="210" t="s">
        <v>7235</v>
      </c>
      <c r="D1944" s="210" t="s">
        <v>7236</v>
      </c>
      <c r="E1944" s="204">
        <v>10.0</v>
      </c>
      <c r="F1944" s="205">
        <v>0.01</v>
      </c>
      <c r="G1944" s="205">
        <v>0.6</v>
      </c>
    </row>
    <row r="1945" ht="15.75" customHeight="1">
      <c r="A1945" s="200" t="s">
        <v>311</v>
      </c>
      <c r="B1945" s="186" t="s">
        <v>1911</v>
      </c>
      <c r="C1945" s="210" t="s">
        <v>1912</v>
      </c>
      <c r="D1945" s="210" t="s">
        <v>1914</v>
      </c>
      <c r="E1945" s="204">
        <v>10.0</v>
      </c>
      <c r="F1945" s="205">
        <v>0.01</v>
      </c>
      <c r="G1945" s="205">
        <v>0.9</v>
      </c>
    </row>
    <row r="1946" ht="15.75" customHeight="1">
      <c r="A1946" s="200" t="s">
        <v>311</v>
      </c>
      <c r="B1946" s="186" t="s">
        <v>2335</v>
      </c>
      <c r="C1946" s="210" t="s">
        <v>2336</v>
      </c>
      <c r="D1946" s="210" t="s">
        <v>7237</v>
      </c>
      <c r="E1946" s="204">
        <v>10.0</v>
      </c>
      <c r="F1946" s="205">
        <v>0.01</v>
      </c>
      <c r="G1946" s="205">
        <v>0.2</v>
      </c>
    </row>
    <row r="1947" ht="15.75" customHeight="1">
      <c r="A1947" s="200" t="s">
        <v>311</v>
      </c>
      <c r="B1947" s="186" t="s">
        <v>766</v>
      </c>
      <c r="C1947" s="210" t="s">
        <v>767</v>
      </c>
      <c r="D1947" s="210" t="s">
        <v>1916</v>
      </c>
      <c r="E1947" s="204">
        <v>10.0</v>
      </c>
      <c r="F1947" s="205">
        <v>0.01</v>
      </c>
      <c r="G1947" s="205">
        <v>1.7</v>
      </c>
    </row>
    <row r="1948" ht="15.75" customHeight="1">
      <c r="A1948" s="200" t="s">
        <v>311</v>
      </c>
      <c r="B1948" s="186" t="s">
        <v>7238</v>
      </c>
      <c r="C1948" s="210" t="s">
        <v>7239</v>
      </c>
      <c r="D1948" s="210" t="s">
        <v>7240</v>
      </c>
      <c r="E1948" s="204">
        <v>10.0</v>
      </c>
      <c r="F1948" s="205">
        <v>0.01</v>
      </c>
      <c r="G1948" s="205">
        <v>0.1</v>
      </c>
    </row>
    <row r="1949" ht="15.75" customHeight="1">
      <c r="A1949" s="200" t="s">
        <v>311</v>
      </c>
      <c r="B1949" s="186" t="s">
        <v>1917</v>
      </c>
      <c r="C1949" s="210" t="s">
        <v>1918</v>
      </c>
      <c r="D1949" s="210" t="s">
        <v>1919</v>
      </c>
      <c r="E1949" s="204">
        <v>10.0</v>
      </c>
      <c r="F1949" s="205">
        <v>0.01</v>
      </c>
      <c r="G1949" s="205">
        <v>0.0</v>
      </c>
    </row>
    <row r="1950" ht="15.75" customHeight="1">
      <c r="A1950" s="200" t="s">
        <v>311</v>
      </c>
      <c r="B1950" s="186" t="s">
        <v>7241</v>
      </c>
      <c r="C1950" s="210" t="s">
        <v>7242</v>
      </c>
      <c r="D1950" s="210" t="s">
        <v>7243</v>
      </c>
      <c r="E1950" s="204">
        <v>10.0</v>
      </c>
      <c r="F1950" s="205">
        <v>0.01</v>
      </c>
      <c r="G1950" s="205">
        <v>0.0</v>
      </c>
    </row>
    <row r="1951" ht="15.75" customHeight="1">
      <c r="A1951" s="200" t="s">
        <v>311</v>
      </c>
      <c r="B1951" s="186" t="s">
        <v>7244</v>
      </c>
      <c r="C1951" s="210" t="s">
        <v>7245</v>
      </c>
      <c r="D1951" s="210"/>
      <c r="E1951" s="204">
        <v>9.0</v>
      </c>
      <c r="F1951" s="205">
        <v>0.01</v>
      </c>
      <c r="G1951" s="205">
        <v>0.0</v>
      </c>
    </row>
    <row r="1952" ht="15.75" customHeight="1">
      <c r="A1952" s="200" t="s">
        <v>311</v>
      </c>
      <c r="B1952" s="186" t="s">
        <v>7246</v>
      </c>
      <c r="C1952" s="210" t="s">
        <v>7247</v>
      </c>
      <c r="D1952" s="210" t="s">
        <v>7248</v>
      </c>
      <c r="E1952" s="204">
        <v>9.0</v>
      </c>
      <c r="F1952" s="205">
        <v>0.01</v>
      </c>
      <c r="G1952" s="205">
        <v>0.0</v>
      </c>
    </row>
    <row r="1953" ht="15.75" customHeight="1">
      <c r="A1953" s="200" t="s">
        <v>311</v>
      </c>
      <c r="B1953" s="186" t="s">
        <v>646</v>
      </c>
      <c r="C1953" s="210" t="s">
        <v>647</v>
      </c>
      <c r="D1953" s="210" t="s">
        <v>1920</v>
      </c>
      <c r="E1953" s="204">
        <v>9.0</v>
      </c>
      <c r="F1953" s="205">
        <v>0.01</v>
      </c>
      <c r="G1953" s="205">
        <v>2.11</v>
      </c>
    </row>
    <row r="1954" ht="15.75" customHeight="1">
      <c r="A1954" s="200" t="s">
        <v>311</v>
      </c>
      <c r="B1954" s="186" t="s">
        <v>1921</v>
      </c>
      <c r="C1954" s="210" t="s">
        <v>1922</v>
      </c>
      <c r="D1954" s="210" t="s">
        <v>1923</v>
      </c>
      <c r="E1954" s="204">
        <v>9.0</v>
      </c>
      <c r="F1954" s="205">
        <v>0.01</v>
      </c>
      <c r="G1954" s="205">
        <v>0.22</v>
      </c>
    </row>
    <row r="1955" ht="15.75" customHeight="1">
      <c r="A1955" s="200" t="s">
        <v>311</v>
      </c>
      <c r="B1955" s="186" t="s">
        <v>1925</v>
      </c>
      <c r="C1955" s="210" t="s">
        <v>1926</v>
      </c>
      <c r="D1955" s="210" t="s">
        <v>853</v>
      </c>
      <c r="E1955" s="204">
        <v>9.0</v>
      </c>
      <c r="F1955" s="205">
        <v>0.01</v>
      </c>
      <c r="G1955" s="205">
        <v>0.89</v>
      </c>
    </row>
    <row r="1956" ht="15.75" customHeight="1">
      <c r="A1956" s="200" t="s">
        <v>311</v>
      </c>
      <c r="B1956" s="186" t="s">
        <v>7249</v>
      </c>
      <c r="C1956" s="210" t="s">
        <v>7250</v>
      </c>
      <c r="D1956" s="210" t="s">
        <v>7251</v>
      </c>
      <c r="E1956" s="204">
        <v>9.0</v>
      </c>
      <c r="F1956" s="205">
        <v>0.01</v>
      </c>
      <c r="G1956" s="205">
        <v>1.44</v>
      </c>
    </row>
    <row r="1957" ht="15.75" customHeight="1">
      <c r="A1957" s="200" t="s">
        <v>311</v>
      </c>
      <c r="B1957" s="186" t="s">
        <v>7252</v>
      </c>
      <c r="C1957" s="210" t="s">
        <v>7253</v>
      </c>
      <c r="D1957" s="210" t="s">
        <v>7254</v>
      </c>
      <c r="E1957" s="204">
        <v>9.0</v>
      </c>
      <c r="F1957" s="205">
        <v>0.01</v>
      </c>
      <c r="G1957" s="205">
        <v>0.67</v>
      </c>
    </row>
    <row r="1958" ht="15.75" customHeight="1">
      <c r="A1958" s="200" t="s">
        <v>311</v>
      </c>
      <c r="B1958" s="186" t="s">
        <v>7255</v>
      </c>
      <c r="C1958" s="210" t="s">
        <v>7256</v>
      </c>
      <c r="D1958" s="210"/>
      <c r="E1958" s="204">
        <v>9.0</v>
      </c>
      <c r="F1958" s="205">
        <v>0.01</v>
      </c>
      <c r="G1958" s="205">
        <v>0.0</v>
      </c>
    </row>
    <row r="1959" ht="15.75" customHeight="1">
      <c r="A1959" s="200" t="s">
        <v>311</v>
      </c>
      <c r="B1959" s="186" t="s">
        <v>7257</v>
      </c>
      <c r="C1959" s="210" t="s">
        <v>7258</v>
      </c>
      <c r="D1959" s="210" t="s">
        <v>7259</v>
      </c>
      <c r="E1959" s="204">
        <v>9.0</v>
      </c>
      <c r="F1959" s="205">
        <v>0.01</v>
      </c>
      <c r="G1959" s="205">
        <v>0.33</v>
      </c>
    </row>
    <row r="1960" ht="15.75" customHeight="1">
      <c r="A1960" s="200" t="s">
        <v>311</v>
      </c>
      <c r="B1960" s="186" t="s">
        <v>7260</v>
      </c>
      <c r="C1960" s="210" t="s">
        <v>7261</v>
      </c>
      <c r="D1960" s="210" t="s">
        <v>7262</v>
      </c>
      <c r="E1960" s="204">
        <v>9.0</v>
      </c>
      <c r="F1960" s="205">
        <v>0.01</v>
      </c>
      <c r="G1960" s="205">
        <v>0.89</v>
      </c>
    </row>
    <row r="1961" ht="15.75" customHeight="1">
      <c r="A1961" s="200" t="s">
        <v>311</v>
      </c>
      <c r="B1961" s="186" t="s">
        <v>786</v>
      </c>
      <c r="C1961" s="210" t="s">
        <v>787</v>
      </c>
      <c r="D1961" s="210" t="s">
        <v>7263</v>
      </c>
      <c r="E1961" s="204">
        <v>9.0</v>
      </c>
      <c r="F1961" s="205">
        <v>0.01</v>
      </c>
      <c r="G1961" s="205">
        <v>0.0</v>
      </c>
    </row>
    <row r="1962" ht="15.75" customHeight="1">
      <c r="A1962" s="200" t="s">
        <v>311</v>
      </c>
      <c r="B1962" s="186" t="s">
        <v>7264</v>
      </c>
      <c r="C1962" s="210" t="s">
        <v>7265</v>
      </c>
      <c r="D1962" s="210" t="s">
        <v>7266</v>
      </c>
      <c r="E1962" s="204">
        <v>9.0</v>
      </c>
      <c r="F1962" s="205">
        <v>0.01</v>
      </c>
      <c r="G1962" s="205">
        <v>1.0</v>
      </c>
    </row>
    <row r="1963" ht="15.75" customHeight="1">
      <c r="A1963" s="200" t="s">
        <v>311</v>
      </c>
      <c r="B1963" s="186" t="s">
        <v>6416</v>
      </c>
      <c r="C1963" s="210" t="s">
        <v>6417</v>
      </c>
      <c r="D1963" s="210" t="s">
        <v>7267</v>
      </c>
      <c r="E1963" s="204">
        <v>9.0</v>
      </c>
      <c r="F1963" s="205">
        <v>0.01</v>
      </c>
      <c r="G1963" s="205">
        <v>1.67</v>
      </c>
    </row>
    <row r="1964" ht="15.75" customHeight="1">
      <c r="A1964" s="200" t="s">
        <v>311</v>
      </c>
      <c r="B1964" s="186" t="s">
        <v>7268</v>
      </c>
      <c r="C1964" s="210" t="s">
        <v>7269</v>
      </c>
      <c r="D1964" s="210" t="s">
        <v>7270</v>
      </c>
      <c r="E1964" s="204">
        <v>9.0</v>
      </c>
      <c r="F1964" s="205">
        <v>0.01</v>
      </c>
      <c r="G1964" s="205">
        <v>0.0</v>
      </c>
    </row>
    <row r="1965" ht="15.75" customHeight="1">
      <c r="A1965" s="200" t="s">
        <v>311</v>
      </c>
      <c r="B1965" s="186" t="s">
        <v>7271</v>
      </c>
      <c r="C1965" s="210" t="s">
        <v>7272</v>
      </c>
      <c r="D1965" s="210" t="s">
        <v>7273</v>
      </c>
      <c r="E1965" s="204">
        <v>9.0</v>
      </c>
      <c r="F1965" s="205">
        <v>0.01</v>
      </c>
      <c r="G1965" s="205">
        <v>0.11</v>
      </c>
    </row>
    <row r="1966" ht="15.75" customHeight="1">
      <c r="A1966" s="200" t="s">
        <v>311</v>
      </c>
      <c r="B1966" s="186" t="s">
        <v>7274</v>
      </c>
      <c r="C1966" s="210" t="s">
        <v>7275</v>
      </c>
      <c r="D1966" s="210" t="s">
        <v>7276</v>
      </c>
      <c r="E1966" s="204">
        <v>9.0</v>
      </c>
      <c r="F1966" s="205">
        <v>0.01</v>
      </c>
      <c r="G1966" s="205">
        <v>0.0</v>
      </c>
    </row>
    <row r="1967" ht="15.75" customHeight="1">
      <c r="A1967" s="200" t="s">
        <v>311</v>
      </c>
      <c r="B1967" s="186" t="s">
        <v>7277</v>
      </c>
      <c r="C1967" s="210" t="s">
        <v>7278</v>
      </c>
      <c r="D1967" s="210" t="s">
        <v>7279</v>
      </c>
      <c r="E1967" s="204">
        <v>9.0</v>
      </c>
      <c r="F1967" s="205">
        <v>0.01</v>
      </c>
      <c r="G1967" s="205">
        <v>0.44</v>
      </c>
    </row>
    <row r="1968" ht="15.75" customHeight="1">
      <c r="A1968" s="200" t="s">
        <v>311</v>
      </c>
      <c r="B1968" s="186" t="s">
        <v>7280</v>
      </c>
      <c r="C1968" s="210" t="s">
        <v>7281</v>
      </c>
      <c r="D1968" s="210" t="s">
        <v>7282</v>
      </c>
      <c r="E1968" s="204">
        <v>9.0</v>
      </c>
      <c r="F1968" s="205">
        <v>0.01</v>
      </c>
      <c r="G1968" s="205">
        <v>0.0</v>
      </c>
    </row>
    <row r="1969" ht="15.75" customHeight="1">
      <c r="A1969" s="200" t="s">
        <v>311</v>
      </c>
      <c r="B1969" s="186" t="s">
        <v>7283</v>
      </c>
      <c r="C1969" s="210" t="s">
        <v>7284</v>
      </c>
      <c r="D1969" s="210" t="s">
        <v>7285</v>
      </c>
      <c r="E1969" s="204">
        <v>8.0</v>
      </c>
      <c r="F1969" s="205">
        <v>0.01</v>
      </c>
      <c r="G1969" s="205">
        <v>0.38</v>
      </c>
    </row>
    <row r="1970" ht="15.75" customHeight="1">
      <c r="A1970" s="200" t="s">
        <v>311</v>
      </c>
      <c r="B1970" s="186" t="s">
        <v>7286</v>
      </c>
      <c r="C1970" s="210" t="s">
        <v>7287</v>
      </c>
      <c r="D1970" s="210" t="s">
        <v>7288</v>
      </c>
      <c r="E1970" s="204">
        <v>8.0</v>
      </c>
      <c r="F1970" s="205">
        <v>0.01</v>
      </c>
      <c r="G1970" s="205">
        <v>0.63</v>
      </c>
    </row>
    <row r="1971" ht="15.75" customHeight="1">
      <c r="A1971" s="200" t="s">
        <v>311</v>
      </c>
      <c r="B1971" s="186" t="s">
        <v>7289</v>
      </c>
      <c r="C1971" s="210" t="s">
        <v>7290</v>
      </c>
      <c r="D1971" s="210" t="s">
        <v>7291</v>
      </c>
      <c r="E1971" s="204">
        <v>8.0</v>
      </c>
      <c r="F1971" s="205">
        <v>0.01</v>
      </c>
      <c r="G1971" s="205">
        <v>0.0</v>
      </c>
    </row>
    <row r="1972" ht="15.75" customHeight="1">
      <c r="A1972" s="200" t="s">
        <v>311</v>
      </c>
      <c r="B1972" s="186" t="s">
        <v>7292</v>
      </c>
      <c r="C1972" s="210" t="s">
        <v>7293</v>
      </c>
      <c r="D1972" s="210"/>
      <c r="E1972" s="204">
        <v>8.0</v>
      </c>
      <c r="F1972" s="205">
        <v>0.01</v>
      </c>
      <c r="G1972" s="205">
        <v>0.5</v>
      </c>
    </row>
    <row r="1973" ht="15.75" customHeight="1">
      <c r="A1973" s="200" t="s">
        <v>311</v>
      </c>
      <c r="B1973" s="186" t="s">
        <v>7294</v>
      </c>
      <c r="C1973" s="210" t="s">
        <v>7278</v>
      </c>
      <c r="D1973" s="210" t="s">
        <v>7295</v>
      </c>
      <c r="E1973" s="204">
        <v>8.0</v>
      </c>
      <c r="F1973" s="205">
        <v>0.01</v>
      </c>
      <c r="G1973" s="205">
        <v>0.25</v>
      </c>
    </row>
    <row r="1974" ht="15.75" customHeight="1">
      <c r="A1974" s="200" t="s">
        <v>311</v>
      </c>
      <c r="B1974" s="186" t="s">
        <v>7296</v>
      </c>
      <c r="C1974" s="210" t="s">
        <v>7297</v>
      </c>
      <c r="D1974" s="210" t="s">
        <v>7298</v>
      </c>
      <c r="E1974" s="204">
        <v>8.0</v>
      </c>
      <c r="F1974" s="205">
        <v>0.01</v>
      </c>
      <c r="G1974" s="205">
        <v>0.38</v>
      </c>
    </row>
    <row r="1975" ht="15.75" customHeight="1">
      <c r="A1975" s="200" t="s">
        <v>311</v>
      </c>
      <c r="B1975" s="186" t="s">
        <v>7299</v>
      </c>
      <c r="C1975" s="210" t="s">
        <v>7300</v>
      </c>
      <c r="D1975" s="210" t="s">
        <v>7301</v>
      </c>
      <c r="E1975" s="204">
        <v>8.0</v>
      </c>
      <c r="F1975" s="205">
        <v>0.01</v>
      </c>
      <c r="G1975" s="205">
        <v>1.0</v>
      </c>
    </row>
    <row r="1976" ht="15.75" customHeight="1">
      <c r="A1976" s="200" t="s">
        <v>311</v>
      </c>
      <c r="B1976" s="186" t="s">
        <v>7302</v>
      </c>
      <c r="C1976" s="210" t="s">
        <v>7303</v>
      </c>
      <c r="D1976" s="210" t="s">
        <v>6872</v>
      </c>
      <c r="E1976" s="204">
        <v>8.0</v>
      </c>
      <c r="F1976" s="205">
        <v>0.01</v>
      </c>
      <c r="G1976" s="205">
        <v>0.0</v>
      </c>
    </row>
    <row r="1977" ht="15.75" customHeight="1">
      <c r="A1977" s="200" t="s">
        <v>311</v>
      </c>
      <c r="B1977" s="186" t="s">
        <v>7304</v>
      </c>
      <c r="C1977" s="210" t="s">
        <v>7305</v>
      </c>
      <c r="D1977" s="210" t="s">
        <v>7306</v>
      </c>
      <c r="E1977" s="204">
        <v>8.0</v>
      </c>
      <c r="F1977" s="205">
        <v>0.01</v>
      </c>
      <c r="G1977" s="205">
        <v>1.25</v>
      </c>
    </row>
    <row r="1978" ht="15.75" customHeight="1">
      <c r="A1978" s="200" t="s">
        <v>311</v>
      </c>
      <c r="B1978" s="186" t="s">
        <v>1927</v>
      </c>
      <c r="C1978" s="210" t="s">
        <v>1928</v>
      </c>
      <c r="D1978" s="210" t="s">
        <v>1929</v>
      </c>
      <c r="E1978" s="204">
        <v>8.0</v>
      </c>
      <c r="F1978" s="205">
        <v>0.01</v>
      </c>
      <c r="G1978" s="205">
        <v>1.38</v>
      </c>
    </row>
    <row r="1979" ht="15.75" customHeight="1">
      <c r="A1979" s="200" t="s">
        <v>311</v>
      </c>
      <c r="B1979" s="186" t="s">
        <v>3761</v>
      </c>
      <c r="C1979" s="210" t="s">
        <v>3762</v>
      </c>
      <c r="D1979" s="210" t="s">
        <v>7307</v>
      </c>
      <c r="E1979" s="204">
        <v>8.0</v>
      </c>
      <c r="F1979" s="205">
        <v>0.01</v>
      </c>
      <c r="G1979" s="205">
        <v>2.0</v>
      </c>
    </row>
    <row r="1980" ht="15.75" customHeight="1">
      <c r="A1980" s="200" t="s">
        <v>311</v>
      </c>
      <c r="B1980" s="186" t="s">
        <v>7308</v>
      </c>
      <c r="C1980" s="210" t="s">
        <v>7309</v>
      </c>
      <c r="D1980" s="210" t="s">
        <v>7310</v>
      </c>
      <c r="E1980" s="204">
        <v>8.0</v>
      </c>
      <c r="F1980" s="205">
        <v>0.01</v>
      </c>
      <c r="G1980" s="205">
        <v>1.88</v>
      </c>
    </row>
    <row r="1981" ht="15.75" customHeight="1">
      <c r="A1981" s="200" t="s">
        <v>311</v>
      </c>
      <c r="B1981" s="186" t="s">
        <v>7311</v>
      </c>
      <c r="C1981" s="210" t="s">
        <v>7312</v>
      </c>
      <c r="D1981" s="210"/>
      <c r="E1981" s="204">
        <v>8.0</v>
      </c>
      <c r="F1981" s="205">
        <v>0.01</v>
      </c>
      <c r="G1981" s="205">
        <v>0.25</v>
      </c>
    </row>
    <row r="1982" ht="15.75" customHeight="1">
      <c r="A1982" s="200" t="s">
        <v>311</v>
      </c>
      <c r="B1982" s="186" t="s">
        <v>7313</v>
      </c>
      <c r="C1982" s="210" t="s">
        <v>7314</v>
      </c>
      <c r="D1982" s="210" t="s">
        <v>7315</v>
      </c>
      <c r="E1982" s="204">
        <v>8.0</v>
      </c>
      <c r="F1982" s="205">
        <v>0.01</v>
      </c>
      <c r="G1982" s="205">
        <v>0.0</v>
      </c>
    </row>
    <row r="1983" ht="15.75" customHeight="1">
      <c r="A1983" s="200" t="s">
        <v>311</v>
      </c>
      <c r="B1983" s="186" t="s">
        <v>7316</v>
      </c>
      <c r="C1983" s="210" t="s">
        <v>7317</v>
      </c>
      <c r="D1983" s="210" t="s">
        <v>7318</v>
      </c>
      <c r="E1983" s="204">
        <v>8.0</v>
      </c>
      <c r="F1983" s="205">
        <v>0.01</v>
      </c>
      <c r="G1983" s="205">
        <v>1.75</v>
      </c>
    </row>
    <row r="1984" ht="15.75" customHeight="1">
      <c r="A1984" s="200" t="s">
        <v>311</v>
      </c>
      <c r="B1984" s="186" t="s">
        <v>7319</v>
      </c>
      <c r="C1984" s="210" t="s">
        <v>7320</v>
      </c>
      <c r="D1984" s="210"/>
      <c r="E1984" s="204">
        <v>8.0</v>
      </c>
      <c r="F1984" s="205">
        <v>0.01</v>
      </c>
      <c r="G1984" s="205">
        <v>0.13</v>
      </c>
    </row>
    <row r="1985" ht="15.75" customHeight="1">
      <c r="A1985" s="200" t="s">
        <v>311</v>
      </c>
      <c r="B1985" s="186" t="s">
        <v>2975</v>
      </c>
      <c r="C1985" s="210" t="s">
        <v>2976</v>
      </c>
      <c r="D1985" s="210" t="s">
        <v>7321</v>
      </c>
      <c r="E1985" s="204">
        <v>8.0</v>
      </c>
      <c r="F1985" s="205">
        <v>0.01</v>
      </c>
      <c r="G1985" s="205">
        <v>0.0</v>
      </c>
    </row>
    <row r="1986" ht="15.75" customHeight="1">
      <c r="A1986" s="200" t="s">
        <v>311</v>
      </c>
      <c r="B1986" s="186" t="s">
        <v>1930</v>
      </c>
      <c r="C1986" s="210" t="s">
        <v>1931</v>
      </c>
      <c r="D1986" s="210" t="s">
        <v>1932</v>
      </c>
      <c r="E1986" s="204">
        <v>8.0</v>
      </c>
      <c r="F1986" s="205">
        <v>0.01</v>
      </c>
      <c r="G1986" s="205">
        <v>2.13</v>
      </c>
    </row>
    <row r="1987" ht="15.75" customHeight="1">
      <c r="A1987" s="200" t="s">
        <v>311</v>
      </c>
      <c r="B1987" s="186" t="s">
        <v>7322</v>
      </c>
      <c r="C1987" s="210" t="s">
        <v>7323</v>
      </c>
      <c r="D1987" s="210" t="s">
        <v>7324</v>
      </c>
      <c r="E1987" s="204">
        <v>8.0</v>
      </c>
      <c r="F1987" s="205">
        <v>0.01</v>
      </c>
      <c r="G1987" s="205">
        <v>0.0</v>
      </c>
    </row>
    <row r="1988" ht="15.75" customHeight="1">
      <c r="A1988" s="200" t="s">
        <v>311</v>
      </c>
      <c r="B1988" s="186" t="s">
        <v>7325</v>
      </c>
      <c r="C1988" s="210" t="s">
        <v>7326</v>
      </c>
      <c r="D1988" s="210"/>
      <c r="E1988" s="204">
        <v>8.0</v>
      </c>
      <c r="F1988" s="205">
        <v>0.01</v>
      </c>
      <c r="G1988" s="205">
        <v>0.38</v>
      </c>
    </row>
    <row r="1989" ht="15.75" customHeight="1">
      <c r="A1989" s="200" t="s">
        <v>311</v>
      </c>
      <c r="B1989" s="186" t="s">
        <v>4389</v>
      </c>
      <c r="C1989" s="210" t="s">
        <v>4390</v>
      </c>
      <c r="D1989" s="210" t="s">
        <v>7327</v>
      </c>
      <c r="E1989" s="204">
        <v>8.0</v>
      </c>
      <c r="F1989" s="205">
        <v>0.01</v>
      </c>
      <c r="G1989" s="205">
        <v>0.0</v>
      </c>
    </row>
    <row r="1990" ht="15.75" customHeight="1">
      <c r="A1990" s="200" t="s">
        <v>311</v>
      </c>
      <c r="B1990" s="186" t="s">
        <v>7328</v>
      </c>
      <c r="C1990" s="210" t="s">
        <v>7329</v>
      </c>
      <c r="D1990" s="210" t="s">
        <v>7330</v>
      </c>
      <c r="E1990" s="204">
        <v>7.0</v>
      </c>
      <c r="F1990" s="205">
        <v>0.01</v>
      </c>
      <c r="G1990" s="205">
        <v>0.0</v>
      </c>
    </row>
    <row r="1991" ht="15.75" customHeight="1">
      <c r="A1991" s="200" t="s">
        <v>311</v>
      </c>
      <c r="B1991" s="186" t="s">
        <v>7331</v>
      </c>
      <c r="C1991" s="210" t="s">
        <v>7332</v>
      </c>
      <c r="D1991" s="210" t="s">
        <v>7333</v>
      </c>
      <c r="E1991" s="204">
        <v>7.0</v>
      </c>
      <c r="F1991" s="205">
        <v>0.01</v>
      </c>
      <c r="G1991" s="205">
        <v>0.57</v>
      </c>
    </row>
    <row r="1992" ht="15.75" customHeight="1">
      <c r="A1992" s="200" t="s">
        <v>311</v>
      </c>
      <c r="B1992" s="186" t="s">
        <v>7334</v>
      </c>
      <c r="C1992" s="210" t="s">
        <v>7335</v>
      </c>
      <c r="D1992" s="210" t="s">
        <v>7336</v>
      </c>
      <c r="E1992" s="204">
        <v>7.0</v>
      </c>
      <c r="F1992" s="205">
        <v>0.01</v>
      </c>
      <c r="G1992" s="205">
        <v>0.29</v>
      </c>
    </row>
    <row r="1993" ht="15.75" customHeight="1">
      <c r="A1993" s="200" t="s">
        <v>311</v>
      </c>
      <c r="B1993" s="186" t="s">
        <v>1933</v>
      </c>
      <c r="C1993" s="210" t="s">
        <v>696</v>
      </c>
      <c r="D1993" s="210" t="s">
        <v>1934</v>
      </c>
      <c r="E1993" s="204">
        <v>7.0</v>
      </c>
      <c r="F1993" s="205">
        <v>0.01</v>
      </c>
      <c r="G1993" s="205">
        <v>0.86</v>
      </c>
    </row>
    <row r="1994" ht="15.75" customHeight="1">
      <c r="A1994" s="200" t="s">
        <v>311</v>
      </c>
      <c r="B1994" s="186" t="s">
        <v>7337</v>
      </c>
      <c r="C1994" s="210" t="s">
        <v>7338</v>
      </c>
      <c r="D1994" s="210"/>
      <c r="E1994" s="204">
        <v>7.0</v>
      </c>
      <c r="F1994" s="205">
        <v>0.01</v>
      </c>
      <c r="G1994" s="205">
        <v>0.29</v>
      </c>
    </row>
    <row r="1995" ht="15.75" customHeight="1">
      <c r="A1995" s="200" t="s">
        <v>311</v>
      </c>
      <c r="B1995" s="186" t="s">
        <v>2426</v>
      </c>
      <c r="C1995" s="210" t="s">
        <v>2427</v>
      </c>
      <c r="D1995" s="210" t="s">
        <v>7339</v>
      </c>
      <c r="E1995" s="204">
        <v>7.0</v>
      </c>
      <c r="F1995" s="205">
        <v>0.01</v>
      </c>
      <c r="G1995" s="205">
        <v>0.0</v>
      </c>
    </row>
    <row r="1996" ht="15.75" customHeight="1">
      <c r="A1996" s="200" t="s">
        <v>311</v>
      </c>
      <c r="B1996" s="186" t="s">
        <v>7340</v>
      </c>
      <c r="C1996" s="210" t="s">
        <v>6910</v>
      </c>
      <c r="D1996" s="210" t="s">
        <v>6911</v>
      </c>
      <c r="E1996" s="204">
        <v>7.0</v>
      </c>
      <c r="F1996" s="205">
        <v>0.01</v>
      </c>
      <c r="G1996" s="205">
        <v>0.0</v>
      </c>
    </row>
    <row r="1997" ht="15.75" customHeight="1">
      <c r="A1997" s="200" t="s">
        <v>311</v>
      </c>
      <c r="B1997" s="186" t="s">
        <v>7341</v>
      </c>
      <c r="C1997" s="210" t="s">
        <v>7342</v>
      </c>
      <c r="D1997" s="210" t="s">
        <v>7343</v>
      </c>
      <c r="E1997" s="204">
        <v>7.0</v>
      </c>
      <c r="F1997" s="205">
        <v>0.01</v>
      </c>
      <c r="G1997" s="205">
        <v>1.29</v>
      </c>
    </row>
    <row r="1998" ht="15.75" customHeight="1">
      <c r="A1998" s="200" t="s">
        <v>311</v>
      </c>
      <c r="B1998" s="186" t="s">
        <v>1938</v>
      </c>
      <c r="C1998" s="210" t="s">
        <v>1939</v>
      </c>
      <c r="D1998" s="210" t="s">
        <v>1940</v>
      </c>
      <c r="E1998" s="204">
        <v>7.0</v>
      </c>
      <c r="F1998" s="205">
        <v>0.01</v>
      </c>
      <c r="G1998" s="205">
        <v>0.43</v>
      </c>
    </row>
    <row r="1999" ht="15.75" customHeight="1">
      <c r="A1999" s="200" t="s">
        <v>311</v>
      </c>
      <c r="B1999" s="186" t="s">
        <v>7344</v>
      </c>
      <c r="C1999" s="210" t="s">
        <v>7345</v>
      </c>
      <c r="D1999" s="210"/>
      <c r="E1999" s="204">
        <v>7.0</v>
      </c>
      <c r="F1999" s="205">
        <v>0.01</v>
      </c>
      <c r="G1999" s="205">
        <v>2.14</v>
      </c>
    </row>
    <row r="2000" ht="15.75" customHeight="1">
      <c r="A2000" s="200" t="s">
        <v>311</v>
      </c>
      <c r="B2000" s="186" t="s">
        <v>5299</v>
      </c>
      <c r="C2000" s="210" t="s">
        <v>5300</v>
      </c>
      <c r="D2000" s="210" t="s">
        <v>7346</v>
      </c>
      <c r="E2000" s="204">
        <v>7.0</v>
      </c>
      <c r="F2000" s="205">
        <v>0.01</v>
      </c>
      <c r="G2000" s="205">
        <v>0.0</v>
      </c>
    </row>
    <row r="2001" ht="15.75" customHeight="1">
      <c r="A2001" s="200" t="s">
        <v>311</v>
      </c>
      <c r="B2001" s="186" t="s">
        <v>7347</v>
      </c>
      <c r="C2001" s="210" t="s">
        <v>7348</v>
      </c>
      <c r="D2001" s="210" t="s">
        <v>7349</v>
      </c>
      <c r="E2001" s="204">
        <v>7.0</v>
      </c>
      <c r="F2001" s="205">
        <v>0.01</v>
      </c>
      <c r="G2001" s="205">
        <v>0.0</v>
      </c>
    </row>
    <row r="2002" ht="15.75" customHeight="1">
      <c r="A2002" s="200" t="s">
        <v>311</v>
      </c>
      <c r="B2002" s="186" t="s">
        <v>7350</v>
      </c>
      <c r="C2002" s="210" t="s">
        <v>7351</v>
      </c>
      <c r="D2002" s="210" t="s">
        <v>7352</v>
      </c>
      <c r="E2002" s="204">
        <v>7.0</v>
      </c>
      <c r="F2002" s="205">
        <v>0.01</v>
      </c>
      <c r="G2002" s="205">
        <v>0.57</v>
      </c>
    </row>
    <row r="2003" ht="15.75" customHeight="1">
      <c r="A2003" s="200" t="s">
        <v>311</v>
      </c>
      <c r="B2003" s="186" t="s">
        <v>7353</v>
      </c>
      <c r="C2003" s="210" t="s">
        <v>7354</v>
      </c>
      <c r="D2003" s="210" t="s">
        <v>7355</v>
      </c>
      <c r="E2003" s="204">
        <v>6.0</v>
      </c>
      <c r="F2003" s="205">
        <v>0.01</v>
      </c>
      <c r="G2003" s="205">
        <v>0.0</v>
      </c>
    </row>
    <row r="2004" ht="15.75" customHeight="1">
      <c r="A2004" s="200" t="s">
        <v>311</v>
      </c>
      <c r="B2004" s="186" t="s">
        <v>7356</v>
      </c>
      <c r="C2004" s="210" t="s">
        <v>7357</v>
      </c>
      <c r="D2004" s="210" t="s">
        <v>7358</v>
      </c>
      <c r="E2004" s="204">
        <v>6.0</v>
      </c>
      <c r="F2004" s="205">
        <v>0.01</v>
      </c>
      <c r="G2004" s="205">
        <v>0.0</v>
      </c>
    </row>
    <row r="2005" ht="15.75" customHeight="1">
      <c r="A2005" s="200" t="s">
        <v>311</v>
      </c>
      <c r="B2005" s="186" t="s">
        <v>1941</v>
      </c>
      <c r="C2005" s="210" t="s">
        <v>1942</v>
      </c>
      <c r="D2005" s="210" t="s">
        <v>1943</v>
      </c>
      <c r="E2005" s="204">
        <v>6.0</v>
      </c>
      <c r="F2005" s="205">
        <v>0.01</v>
      </c>
      <c r="G2005" s="205">
        <v>0.33</v>
      </c>
    </row>
    <row r="2006" ht="15.75" customHeight="1">
      <c r="A2006" s="200" t="s">
        <v>311</v>
      </c>
      <c r="B2006" s="186" t="s">
        <v>405</v>
      </c>
      <c r="C2006" s="210" t="s">
        <v>406</v>
      </c>
      <c r="D2006" s="210" t="s">
        <v>7359</v>
      </c>
      <c r="E2006" s="204">
        <v>6.0</v>
      </c>
      <c r="F2006" s="205">
        <v>0.01</v>
      </c>
      <c r="G2006" s="205">
        <v>0.0</v>
      </c>
    </row>
    <row r="2007" ht="15.75" customHeight="1">
      <c r="A2007" s="200" t="s">
        <v>311</v>
      </c>
      <c r="B2007" s="186" t="s">
        <v>2801</v>
      </c>
      <c r="C2007" s="210" t="s">
        <v>2802</v>
      </c>
      <c r="D2007" s="210" t="s">
        <v>7360</v>
      </c>
      <c r="E2007" s="204">
        <v>6.0</v>
      </c>
      <c r="F2007" s="205">
        <v>0.01</v>
      </c>
      <c r="G2007" s="205">
        <v>0.0</v>
      </c>
    </row>
    <row r="2008" ht="15.75" customHeight="1">
      <c r="A2008" s="200" t="s">
        <v>311</v>
      </c>
      <c r="B2008" s="186" t="s">
        <v>7361</v>
      </c>
      <c r="C2008" s="210" t="s">
        <v>7362</v>
      </c>
      <c r="D2008" s="210" t="s">
        <v>7363</v>
      </c>
      <c r="E2008" s="204">
        <v>6.0</v>
      </c>
      <c r="F2008" s="205">
        <v>0.01</v>
      </c>
      <c r="G2008" s="205">
        <v>1.83</v>
      </c>
    </row>
    <row r="2009" ht="15.75" customHeight="1">
      <c r="A2009" s="200" t="s">
        <v>311</v>
      </c>
      <c r="B2009" s="186" t="s">
        <v>7364</v>
      </c>
      <c r="C2009" s="210" t="s">
        <v>7365</v>
      </c>
      <c r="D2009" s="210" t="s">
        <v>7366</v>
      </c>
      <c r="E2009" s="204">
        <v>6.0</v>
      </c>
      <c r="F2009" s="205">
        <v>0.01</v>
      </c>
      <c r="G2009" s="205">
        <v>1.0</v>
      </c>
    </row>
    <row r="2010" ht="15.75" customHeight="1">
      <c r="A2010" s="200" t="s">
        <v>311</v>
      </c>
      <c r="B2010" s="186" t="s">
        <v>1944</v>
      </c>
      <c r="C2010" s="210" t="s">
        <v>1945</v>
      </c>
      <c r="D2010" s="210" t="s">
        <v>1946</v>
      </c>
      <c r="E2010" s="204">
        <v>6.0</v>
      </c>
      <c r="F2010" s="205">
        <v>0.01</v>
      </c>
      <c r="G2010" s="205">
        <v>0.0</v>
      </c>
    </row>
    <row r="2011" ht="15.75" customHeight="1">
      <c r="A2011" s="200" t="s">
        <v>311</v>
      </c>
      <c r="B2011" s="186" t="s">
        <v>7367</v>
      </c>
      <c r="C2011" s="210" t="s">
        <v>7368</v>
      </c>
      <c r="D2011" s="210" t="s">
        <v>7369</v>
      </c>
      <c r="E2011" s="204">
        <v>6.0</v>
      </c>
      <c r="F2011" s="205">
        <v>0.01</v>
      </c>
      <c r="G2011" s="205">
        <v>0.0</v>
      </c>
    </row>
    <row r="2012" ht="15.75" customHeight="1">
      <c r="A2012" s="200" t="s">
        <v>311</v>
      </c>
      <c r="B2012" s="186" t="s">
        <v>7370</v>
      </c>
      <c r="C2012" s="210" t="s">
        <v>7371</v>
      </c>
      <c r="D2012" s="210" t="s">
        <v>7372</v>
      </c>
      <c r="E2012" s="204">
        <v>6.0</v>
      </c>
      <c r="F2012" s="205">
        <v>0.01</v>
      </c>
      <c r="G2012" s="205">
        <v>1.17</v>
      </c>
    </row>
    <row r="2013" ht="15.75" customHeight="1">
      <c r="A2013" s="200" t="s">
        <v>311</v>
      </c>
      <c r="B2013" s="186" t="s">
        <v>1947</v>
      </c>
      <c r="C2013" s="210" t="s">
        <v>1948</v>
      </c>
      <c r="D2013" s="210" t="s">
        <v>1949</v>
      </c>
      <c r="E2013" s="204">
        <v>6.0</v>
      </c>
      <c r="F2013" s="205">
        <v>0.01</v>
      </c>
      <c r="G2013" s="205">
        <v>2.0</v>
      </c>
    </row>
    <row r="2014" ht="15.75" customHeight="1">
      <c r="A2014" s="200" t="s">
        <v>311</v>
      </c>
      <c r="B2014" s="186" t="s">
        <v>1950</v>
      </c>
      <c r="C2014" s="210" t="s">
        <v>1951</v>
      </c>
      <c r="D2014" s="210" t="s">
        <v>1816</v>
      </c>
      <c r="E2014" s="204">
        <v>6.0</v>
      </c>
      <c r="F2014" s="205">
        <v>0.01</v>
      </c>
      <c r="G2014" s="205">
        <v>0.17</v>
      </c>
    </row>
    <row r="2015" ht="15.75" customHeight="1">
      <c r="A2015" s="200" t="s">
        <v>311</v>
      </c>
      <c r="B2015" s="186" t="s">
        <v>7373</v>
      </c>
      <c r="C2015" s="210" t="s">
        <v>7374</v>
      </c>
      <c r="D2015" s="210" t="s">
        <v>7375</v>
      </c>
      <c r="E2015" s="204">
        <v>6.0</v>
      </c>
      <c r="F2015" s="205">
        <v>0.01</v>
      </c>
      <c r="G2015" s="205">
        <v>1.0</v>
      </c>
    </row>
    <row r="2016" ht="15.75" customHeight="1">
      <c r="A2016" s="200" t="s">
        <v>311</v>
      </c>
      <c r="B2016" s="186" t="s">
        <v>7376</v>
      </c>
      <c r="C2016" s="210" t="s">
        <v>7377</v>
      </c>
      <c r="D2016" s="210" t="s">
        <v>7378</v>
      </c>
      <c r="E2016" s="204">
        <v>6.0</v>
      </c>
      <c r="F2016" s="205">
        <v>0.01</v>
      </c>
      <c r="G2016" s="205">
        <v>1.33</v>
      </c>
    </row>
    <row r="2017" ht="15.75" customHeight="1">
      <c r="A2017" s="200" t="s">
        <v>311</v>
      </c>
      <c r="B2017" s="186" t="s">
        <v>7379</v>
      </c>
      <c r="C2017" s="210" t="s">
        <v>7380</v>
      </c>
      <c r="D2017" s="210" t="s">
        <v>812</v>
      </c>
      <c r="E2017" s="204">
        <v>6.0</v>
      </c>
      <c r="F2017" s="205">
        <v>0.01</v>
      </c>
      <c r="G2017" s="205">
        <v>0.0</v>
      </c>
    </row>
    <row r="2018" ht="15.75" customHeight="1">
      <c r="A2018" s="200" t="s">
        <v>311</v>
      </c>
      <c r="B2018" s="186" t="s">
        <v>7381</v>
      </c>
      <c r="C2018" s="210" t="s">
        <v>7382</v>
      </c>
      <c r="D2018" s="210" t="s">
        <v>7383</v>
      </c>
      <c r="E2018" s="204">
        <v>6.0</v>
      </c>
      <c r="F2018" s="205">
        <v>0.01</v>
      </c>
      <c r="G2018" s="205">
        <v>0.5</v>
      </c>
    </row>
    <row r="2019" ht="15.75" customHeight="1">
      <c r="A2019" s="200" t="s">
        <v>311</v>
      </c>
      <c r="B2019" s="186" t="s">
        <v>4011</v>
      </c>
      <c r="C2019" s="210" t="s">
        <v>4012</v>
      </c>
      <c r="D2019" s="210"/>
      <c r="E2019" s="204">
        <v>6.0</v>
      </c>
      <c r="F2019" s="205">
        <v>0.01</v>
      </c>
      <c r="G2019" s="205">
        <v>0.0</v>
      </c>
    </row>
    <row r="2020" ht="15.75" customHeight="1">
      <c r="A2020" s="200" t="s">
        <v>311</v>
      </c>
      <c r="B2020" s="186" t="s">
        <v>7384</v>
      </c>
      <c r="C2020" s="210" t="s">
        <v>7385</v>
      </c>
      <c r="D2020" s="210" t="s">
        <v>7386</v>
      </c>
      <c r="E2020" s="204">
        <v>6.0</v>
      </c>
      <c r="F2020" s="205">
        <v>0.01</v>
      </c>
      <c r="G2020" s="205">
        <v>0.5</v>
      </c>
    </row>
    <row r="2021" ht="15.75" customHeight="1">
      <c r="A2021" s="200" t="s">
        <v>311</v>
      </c>
      <c r="B2021" s="186" t="s">
        <v>6300</v>
      </c>
      <c r="C2021" s="210" t="s">
        <v>6301</v>
      </c>
      <c r="D2021" s="210" t="s">
        <v>7387</v>
      </c>
      <c r="E2021" s="204">
        <v>6.0</v>
      </c>
      <c r="F2021" s="205">
        <v>0.01</v>
      </c>
      <c r="G2021" s="205">
        <v>0.0</v>
      </c>
    </row>
    <row r="2022" ht="15.75" customHeight="1">
      <c r="A2022" s="200" t="s">
        <v>311</v>
      </c>
      <c r="B2022" s="186" t="s">
        <v>7388</v>
      </c>
      <c r="C2022" s="210" t="s">
        <v>7389</v>
      </c>
      <c r="D2022" s="210" t="s">
        <v>799</v>
      </c>
      <c r="E2022" s="204">
        <v>5.0</v>
      </c>
      <c r="F2022" s="205">
        <v>0.0</v>
      </c>
      <c r="G2022" s="205">
        <v>0.2</v>
      </c>
    </row>
    <row r="2023" ht="15.75" customHeight="1">
      <c r="A2023" s="200" t="s">
        <v>311</v>
      </c>
      <c r="B2023" s="186" t="s">
        <v>7390</v>
      </c>
      <c r="C2023" s="210" t="s">
        <v>7391</v>
      </c>
      <c r="D2023" s="210" t="s">
        <v>780</v>
      </c>
      <c r="E2023" s="204">
        <v>5.0</v>
      </c>
      <c r="F2023" s="205">
        <v>0.0</v>
      </c>
      <c r="G2023" s="205">
        <v>0.0</v>
      </c>
    </row>
    <row r="2024" ht="15.75" customHeight="1">
      <c r="A2024" s="200" t="s">
        <v>311</v>
      </c>
      <c r="B2024" s="186" t="s">
        <v>408</v>
      </c>
      <c r="C2024" s="210" t="s">
        <v>409</v>
      </c>
      <c r="D2024" s="210" t="s">
        <v>7392</v>
      </c>
      <c r="E2024" s="204">
        <v>5.0</v>
      </c>
      <c r="F2024" s="205">
        <v>0.0</v>
      </c>
      <c r="G2024" s="205">
        <v>0.8</v>
      </c>
    </row>
    <row r="2025" ht="15.75" customHeight="1">
      <c r="A2025" s="200" t="s">
        <v>311</v>
      </c>
      <c r="B2025" s="186" t="s">
        <v>7393</v>
      </c>
      <c r="C2025" s="210" t="s">
        <v>7394</v>
      </c>
      <c r="D2025" s="210" t="s">
        <v>7000</v>
      </c>
      <c r="E2025" s="204">
        <v>5.0</v>
      </c>
      <c r="F2025" s="205">
        <v>0.0</v>
      </c>
      <c r="G2025" s="205">
        <v>0.0</v>
      </c>
    </row>
    <row r="2026" ht="15.75" customHeight="1">
      <c r="A2026" s="200" t="s">
        <v>311</v>
      </c>
      <c r="B2026" s="186" t="s">
        <v>821</v>
      </c>
      <c r="C2026" s="210" t="s">
        <v>822</v>
      </c>
      <c r="D2026" s="210" t="s">
        <v>824</v>
      </c>
      <c r="E2026" s="204">
        <v>5.0</v>
      </c>
      <c r="F2026" s="205">
        <v>0.0</v>
      </c>
      <c r="G2026" s="205">
        <v>0.4</v>
      </c>
    </row>
    <row r="2027" ht="15.75" customHeight="1">
      <c r="A2027" s="200" t="s">
        <v>311</v>
      </c>
      <c r="B2027" s="186" t="s">
        <v>7395</v>
      </c>
      <c r="C2027" s="210" t="s">
        <v>7396</v>
      </c>
      <c r="D2027" s="210" t="s">
        <v>7397</v>
      </c>
      <c r="E2027" s="204">
        <v>5.0</v>
      </c>
      <c r="F2027" s="205">
        <v>0.0</v>
      </c>
      <c r="G2027" s="205">
        <v>0.0</v>
      </c>
    </row>
    <row r="2028" ht="15.75" customHeight="1">
      <c r="A2028" s="200" t="s">
        <v>311</v>
      </c>
      <c r="B2028" s="186" t="s">
        <v>6624</v>
      </c>
      <c r="C2028" s="210" t="s">
        <v>6625</v>
      </c>
      <c r="D2028" s="210" t="s">
        <v>7398</v>
      </c>
      <c r="E2028" s="204">
        <v>5.0</v>
      </c>
      <c r="F2028" s="205">
        <v>0.0</v>
      </c>
      <c r="G2028" s="205">
        <v>0.4</v>
      </c>
    </row>
    <row r="2029" ht="15.75" customHeight="1">
      <c r="A2029" s="200" t="s">
        <v>311</v>
      </c>
      <c r="B2029" s="186" t="s">
        <v>1042</v>
      </c>
      <c r="C2029" s="210" t="s">
        <v>662</v>
      </c>
      <c r="D2029" s="210" t="s">
        <v>1952</v>
      </c>
      <c r="E2029" s="204">
        <v>5.0</v>
      </c>
      <c r="F2029" s="205">
        <v>0.0</v>
      </c>
      <c r="G2029" s="205">
        <v>0.4</v>
      </c>
    </row>
    <row r="2030" ht="15.75" customHeight="1">
      <c r="A2030" s="200" t="s">
        <v>311</v>
      </c>
      <c r="B2030" s="186" t="s">
        <v>7399</v>
      </c>
      <c r="C2030" s="210" t="s">
        <v>7400</v>
      </c>
      <c r="D2030" s="210" t="s">
        <v>7401</v>
      </c>
      <c r="E2030" s="204">
        <v>5.0</v>
      </c>
      <c r="F2030" s="205">
        <v>0.0</v>
      </c>
      <c r="G2030" s="205">
        <v>1.0</v>
      </c>
    </row>
    <row r="2031" ht="15.75" customHeight="1">
      <c r="A2031" s="200" t="s">
        <v>311</v>
      </c>
      <c r="B2031" s="186" t="s">
        <v>7402</v>
      </c>
      <c r="C2031" s="210" t="s">
        <v>7403</v>
      </c>
      <c r="D2031" s="210" t="s">
        <v>7404</v>
      </c>
      <c r="E2031" s="204">
        <v>5.0</v>
      </c>
      <c r="F2031" s="205">
        <v>0.0</v>
      </c>
      <c r="G2031" s="205">
        <v>1.0</v>
      </c>
    </row>
    <row r="2032" ht="15.75" customHeight="1">
      <c r="A2032" s="200" t="s">
        <v>311</v>
      </c>
      <c r="B2032" s="186" t="s">
        <v>7405</v>
      </c>
      <c r="C2032" s="210" t="s">
        <v>7406</v>
      </c>
      <c r="D2032" s="210" t="s">
        <v>7407</v>
      </c>
      <c r="E2032" s="204">
        <v>5.0</v>
      </c>
      <c r="F2032" s="205">
        <v>0.0</v>
      </c>
      <c r="G2032" s="205">
        <v>0.0</v>
      </c>
    </row>
    <row r="2033" ht="15.75" customHeight="1">
      <c r="A2033" s="200" t="s">
        <v>311</v>
      </c>
      <c r="B2033" s="186" t="s">
        <v>7408</v>
      </c>
      <c r="C2033" s="210" t="s">
        <v>7409</v>
      </c>
      <c r="D2033" s="210" t="s">
        <v>7410</v>
      </c>
      <c r="E2033" s="204">
        <v>5.0</v>
      </c>
      <c r="F2033" s="205">
        <v>0.0</v>
      </c>
      <c r="G2033" s="205">
        <v>0.0</v>
      </c>
    </row>
    <row r="2034" ht="15.75" customHeight="1">
      <c r="A2034" s="200" t="s">
        <v>311</v>
      </c>
      <c r="B2034" s="186" t="s">
        <v>7411</v>
      </c>
      <c r="C2034" s="210" t="s">
        <v>7412</v>
      </c>
      <c r="D2034" s="210" t="s">
        <v>7413</v>
      </c>
      <c r="E2034" s="204">
        <v>5.0</v>
      </c>
      <c r="F2034" s="205">
        <v>0.0</v>
      </c>
      <c r="G2034" s="205">
        <v>0.4</v>
      </c>
    </row>
    <row r="2035" ht="15.75" customHeight="1">
      <c r="A2035" s="200" t="s">
        <v>311</v>
      </c>
      <c r="B2035" s="186" t="s">
        <v>7414</v>
      </c>
      <c r="C2035" s="210" t="s">
        <v>7415</v>
      </c>
      <c r="D2035" s="210" t="s">
        <v>7416</v>
      </c>
      <c r="E2035" s="204">
        <v>5.0</v>
      </c>
      <c r="F2035" s="205">
        <v>0.0</v>
      </c>
      <c r="G2035" s="205">
        <v>0.4</v>
      </c>
    </row>
    <row r="2036" ht="15.75" customHeight="1">
      <c r="A2036" s="200" t="s">
        <v>311</v>
      </c>
      <c r="B2036" s="186" t="s">
        <v>1953</v>
      </c>
      <c r="C2036" s="210" t="s">
        <v>1954</v>
      </c>
      <c r="D2036" s="210" t="s">
        <v>1955</v>
      </c>
      <c r="E2036" s="204">
        <v>5.0</v>
      </c>
      <c r="F2036" s="205">
        <v>0.0</v>
      </c>
      <c r="G2036" s="205">
        <v>0.0</v>
      </c>
    </row>
    <row r="2037" ht="15.75" customHeight="1">
      <c r="A2037" s="200" t="s">
        <v>311</v>
      </c>
      <c r="B2037" s="186" t="s">
        <v>2266</v>
      </c>
      <c r="C2037" s="210" t="s">
        <v>2267</v>
      </c>
      <c r="D2037" s="210" t="s">
        <v>7417</v>
      </c>
      <c r="E2037" s="204">
        <v>5.0</v>
      </c>
      <c r="F2037" s="205">
        <v>0.0</v>
      </c>
      <c r="G2037" s="205">
        <v>0.6</v>
      </c>
    </row>
    <row r="2038" ht="15.75" customHeight="1">
      <c r="A2038" s="200" t="s">
        <v>311</v>
      </c>
      <c r="B2038" s="186" t="s">
        <v>7418</v>
      </c>
      <c r="C2038" s="210" t="s">
        <v>7419</v>
      </c>
      <c r="D2038" s="210" t="s">
        <v>380</v>
      </c>
      <c r="E2038" s="204">
        <v>5.0</v>
      </c>
      <c r="F2038" s="205">
        <v>0.0</v>
      </c>
      <c r="G2038" s="205">
        <v>0.6</v>
      </c>
    </row>
    <row r="2039" ht="15.75" customHeight="1">
      <c r="A2039" s="200" t="s">
        <v>311</v>
      </c>
      <c r="B2039" s="186" t="s">
        <v>7420</v>
      </c>
      <c r="C2039" s="210" t="s">
        <v>7421</v>
      </c>
      <c r="D2039" s="210" t="s">
        <v>7422</v>
      </c>
      <c r="E2039" s="204">
        <v>5.0</v>
      </c>
      <c r="F2039" s="205">
        <v>0.0</v>
      </c>
      <c r="G2039" s="205">
        <v>1.0</v>
      </c>
    </row>
    <row r="2040" ht="15.75" customHeight="1">
      <c r="A2040" s="200" t="s">
        <v>311</v>
      </c>
      <c r="B2040" s="186" t="s">
        <v>1956</v>
      </c>
      <c r="C2040" s="210" t="s">
        <v>1957</v>
      </c>
      <c r="D2040" s="210" t="s">
        <v>1958</v>
      </c>
      <c r="E2040" s="204">
        <v>5.0</v>
      </c>
      <c r="F2040" s="205">
        <v>0.0</v>
      </c>
      <c r="G2040" s="205">
        <v>0.4</v>
      </c>
    </row>
    <row r="2041" ht="15.75" customHeight="1">
      <c r="A2041" s="200" t="s">
        <v>311</v>
      </c>
      <c r="B2041" s="186" t="s">
        <v>7423</v>
      </c>
      <c r="C2041" s="210" t="s">
        <v>7424</v>
      </c>
      <c r="D2041" s="210" t="s">
        <v>7425</v>
      </c>
      <c r="E2041" s="204">
        <v>5.0</v>
      </c>
      <c r="F2041" s="205">
        <v>0.0</v>
      </c>
      <c r="G2041" s="205">
        <v>1.6</v>
      </c>
    </row>
    <row r="2042" ht="15.75" customHeight="1">
      <c r="A2042" s="200" t="s">
        <v>311</v>
      </c>
      <c r="B2042" s="186" t="s">
        <v>7426</v>
      </c>
      <c r="C2042" s="210" t="s">
        <v>7427</v>
      </c>
      <c r="D2042" s="210" t="s">
        <v>7270</v>
      </c>
      <c r="E2042" s="204">
        <v>5.0</v>
      </c>
      <c r="F2042" s="205">
        <v>0.0</v>
      </c>
      <c r="G2042" s="205">
        <v>0.0</v>
      </c>
    </row>
    <row r="2043" ht="15.75" customHeight="1">
      <c r="A2043" s="200" t="s">
        <v>311</v>
      </c>
      <c r="B2043" s="186" t="s">
        <v>7428</v>
      </c>
      <c r="C2043" s="210" t="s">
        <v>7429</v>
      </c>
      <c r="D2043" s="210" t="s">
        <v>7430</v>
      </c>
      <c r="E2043" s="204">
        <v>5.0</v>
      </c>
      <c r="F2043" s="205">
        <v>0.0</v>
      </c>
      <c r="G2043" s="205">
        <v>0.0</v>
      </c>
    </row>
    <row r="2044" ht="15.75" customHeight="1">
      <c r="A2044" s="200" t="s">
        <v>311</v>
      </c>
      <c r="B2044" s="186" t="s">
        <v>7431</v>
      </c>
      <c r="C2044" s="210" t="s">
        <v>7432</v>
      </c>
      <c r="D2044" s="210" t="s">
        <v>7433</v>
      </c>
      <c r="E2044" s="204">
        <v>5.0</v>
      </c>
      <c r="F2044" s="205">
        <v>0.0</v>
      </c>
      <c r="G2044" s="205">
        <v>0.0</v>
      </c>
    </row>
    <row r="2045" ht="15.75" customHeight="1">
      <c r="A2045" s="200" t="s">
        <v>311</v>
      </c>
      <c r="B2045" s="186" t="s">
        <v>7434</v>
      </c>
      <c r="C2045" s="210" t="s">
        <v>7435</v>
      </c>
      <c r="D2045" s="210" t="s">
        <v>7087</v>
      </c>
      <c r="E2045" s="204">
        <v>5.0</v>
      </c>
      <c r="F2045" s="205">
        <v>0.0</v>
      </c>
      <c r="G2045" s="205">
        <v>0.6</v>
      </c>
    </row>
    <row r="2046" ht="15.75" customHeight="1">
      <c r="A2046" s="200" t="s">
        <v>311</v>
      </c>
      <c r="B2046" s="186" t="s">
        <v>7436</v>
      </c>
      <c r="C2046" s="210" t="s">
        <v>7437</v>
      </c>
      <c r="D2046" s="210" t="s">
        <v>7438</v>
      </c>
      <c r="E2046" s="204">
        <v>5.0</v>
      </c>
      <c r="F2046" s="205">
        <v>0.0</v>
      </c>
      <c r="G2046" s="205">
        <v>0.0</v>
      </c>
    </row>
    <row r="2047" ht="15.75" customHeight="1">
      <c r="A2047" s="200" t="s">
        <v>311</v>
      </c>
      <c r="B2047" s="186" t="s">
        <v>7439</v>
      </c>
      <c r="C2047" s="210" t="s">
        <v>7440</v>
      </c>
      <c r="D2047" s="210" t="s">
        <v>7441</v>
      </c>
      <c r="E2047" s="204">
        <v>5.0</v>
      </c>
      <c r="F2047" s="205">
        <v>0.0</v>
      </c>
      <c r="G2047" s="205">
        <v>1.6</v>
      </c>
    </row>
    <row r="2048" ht="15.75" customHeight="1">
      <c r="A2048" s="200" t="s">
        <v>311</v>
      </c>
      <c r="B2048" s="186" t="s">
        <v>7442</v>
      </c>
      <c r="C2048" s="210" t="s">
        <v>7443</v>
      </c>
      <c r="D2048" s="210" t="s">
        <v>7444</v>
      </c>
      <c r="E2048" s="204">
        <v>5.0</v>
      </c>
      <c r="F2048" s="205">
        <v>0.0</v>
      </c>
      <c r="G2048" s="205">
        <v>0.6</v>
      </c>
    </row>
    <row r="2049" ht="15.75" customHeight="1">
      <c r="A2049" s="200" t="s">
        <v>311</v>
      </c>
      <c r="B2049" s="186" t="s">
        <v>7445</v>
      </c>
      <c r="C2049" s="210" t="s">
        <v>7446</v>
      </c>
      <c r="D2049" s="210" t="s">
        <v>7447</v>
      </c>
      <c r="E2049" s="204">
        <v>5.0</v>
      </c>
      <c r="F2049" s="205">
        <v>0.0</v>
      </c>
      <c r="G2049" s="205">
        <v>0.2</v>
      </c>
    </row>
    <row r="2050" ht="15.75" customHeight="1">
      <c r="A2050" s="200" t="s">
        <v>311</v>
      </c>
      <c r="B2050" s="186" t="s">
        <v>1960</v>
      </c>
      <c r="C2050" s="210" t="s">
        <v>1961</v>
      </c>
      <c r="D2050" s="210" t="s">
        <v>1962</v>
      </c>
      <c r="E2050" s="204">
        <v>5.0</v>
      </c>
      <c r="F2050" s="205">
        <v>0.0</v>
      </c>
      <c r="G2050" s="205">
        <v>0.0</v>
      </c>
    </row>
    <row r="2051" ht="15.75" customHeight="1">
      <c r="A2051" s="200" t="s">
        <v>311</v>
      </c>
      <c r="B2051" s="186" t="s">
        <v>7448</v>
      </c>
      <c r="C2051" s="210" t="s">
        <v>7449</v>
      </c>
      <c r="D2051" s="210" t="s">
        <v>780</v>
      </c>
      <c r="E2051" s="204">
        <v>5.0</v>
      </c>
      <c r="F2051" s="205">
        <v>0.0</v>
      </c>
      <c r="G2051" s="205">
        <v>0.0</v>
      </c>
    </row>
    <row r="2052" ht="15.75" customHeight="1">
      <c r="A2052" s="200" t="s">
        <v>311</v>
      </c>
      <c r="B2052" s="186" t="s">
        <v>7450</v>
      </c>
      <c r="C2052" s="210" t="s">
        <v>7451</v>
      </c>
      <c r="D2052" s="210" t="s">
        <v>7452</v>
      </c>
      <c r="E2052" s="204">
        <v>4.0</v>
      </c>
      <c r="F2052" s="205">
        <v>0.0</v>
      </c>
      <c r="G2052" s="205">
        <v>1.0</v>
      </c>
    </row>
    <row r="2053" ht="15.75" customHeight="1">
      <c r="A2053" s="200" t="s">
        <v>311</v>
      </c>
      <c r="B2053" s="186" t="s">
        <v>7453</v>
      </c>
      <c r="C2053" s="210" t="s">
        <v>7454</v>
      </c>
      <c r="D2053" s="210" t="s">
        <v>7455</v>
      </c>
      <c r="E2053" s="204">
        <v>4.0</v>
      </c>
      <c r="F2053" s="205">
        <v>0.0</v>
      </c>
      <c r="G2053" s="205">
        <v>2.0</v>
      </c>
    </row>
    <row r="2054" ht="15.75" customHeight="1">
      <c r="A2054" s="200" t="s">
        <v>311</v>
      </c>
      <c r="B2054" s="186" t="s">
        <v>7456</v>
      </c>
      <c r="C2054" s="210" t="s">
        <v>7457</v>
      </c>
      <c r="D2054" s="210" t="s">
        <v>7458</v>
      </c>
      <c r="E2054" s="204">
        <v>4.0</v>
      </c>
      <c r="F2054" s="205">
        <v>0.0</v>
      </c>
      <c r="G2054" s="205">
        <v>0.75</v>
      </c>
    </row>
    <row r="2055" ht="15.75" customHeight="1">
      <c r="A2055" s="200" t="s">
        <v>311</v>
      </c>
      <c r="B2055" s="186" t="s">
        <v>7459</v>
      </c>
      <c r="C2055" s="210" t="s">
        <v>7460</v>
      </c>
      <c r="D2055" s="210" t="s">
        <v>7461</v>
      </c>
      <c r="E2055" s="204">
        <v>4.0</v>
      </c>
      <c r="F2055" s="205">
        <v>0.0</v>
      </c>
      <c r="G2055" s="205">
        <v>0.0</v>
      </c>
    </row>
    <row r="2056" ht="15.75" customHeight="1">
      <c r="A2056" s="200" t="s">
        <v>311</v>
      </c>
      <c r="B2056" s="186" t="s">
        <v>7462</v>
      </c>
      <c r="C2056" s="210" t="s">
        <v>7463</v>
      </c>
      <c r="D2056" s="210" t="s">
        <v>7464</v>
      </c>
      <c r="E2056" s="204">
        <v>4.0</v>
      </c>
      <c r="F2056" s="205">
        <v>0.0</v>
      </c>
      <c r="G2056" s="205">
        <v>0.0</v>
      </c>
    </row>
    <row r="2057" ht="15.75" customHeight="1">
      <c r="A2057" s="200" t="s">
        <v>311</v>
      </c>
      <c r="B2057" s="186" t="s">
        <v>7465</v>
      </c>
      <c r="C2057" s="210" t="s">
        <v>7466</v>
      </c>
      <c r="D2057" s="210" t="s">
        <v>7467</v>
      </c>
      <c r="E2057" s="204">
        <v>4.0</v>
      </c>
      <c r="F2057" s="205">
        <v>0.0</v>
      </c>
      <c r="G2057" s="205">
        <v>0.25</v>
      </c>
    </row>
    <row r="2058" ht="15.75" customHeight="1">
      <c r="A2058" s="200" t="s">
        <v>311</v>
      </c>
      <c r="B2058" s="186" t="s">
        <v>7468</v>
      </c>
      <c r="C2058" s="210" t="s">
        <v>7469</v>
      </c>
      <c r="D2058" s="210" t="s">
        <v>7470</v>
      </c>
      <c r="E2058" s="204">
        <v>4.0</v>
      </c>
      <c r="F2058" s="205">
        <v>0.0</v>
      </c>
      <c r="G2058" s="205">
        <v>0.0</v>
      </c>
    </row>
    <row r="2059" ht="15.75" customHeight="1">
      <c r="A2059" s="200" t="s">
        <v>311</v>
      </c>
      <c r="B2059" s="186" t="s">
        <v>7471</v>
      </c>
      <c r="C2059" s="210" t="s">
        <v>7472</v>
      </c>
      <c r="D2059" s="210" t="s">
        <v>1101</v>
      </c>
      <c r="E2059" s="204">
        <v>4.0</v>
      </c>
      <c r="F2059" s="205">
        <v>0.0</v>
      </c>
      <c r="G2059" s="205">
        <v>0.0</v>
      </c>
    </row>
    <row r="2060" ht="15.75" customHeight="1">
      <c r="A2060" s="200" t="s">
        <v>311</v>
      </c>
      <c r="B2060" s="186" t="s">
        <v>682</v>
      </c>
      <c r="C2060" s="210" t="s">
        <v>683</v>
      </c>
      <c r="D2060" s="210" t="s">
        <v>1963</v>
      </c>
      <c r="E2060" s="204">
        <v>4.0</v>
      </c>
      <c r="F2060" s="205">
        <v>0.0</v>
      </c>
      <c r="G2060" s="205">
        <v>0.5</v>
      </c>
    </row>
    <row r="2061" ht="15.75" customHeight="1">
      <c r="A2061" s="200" t="s">
        <v>311</v>
      </c>
      <c r="B2061" s="186" t="s">
        <v>1964</v>
      </c>
      <c r="C2061" s="210" t="s">
        <v>1966</v>
      </c>
      <c r="D2061" s="210" t="s">
        <v>1968</v>
      </c>
      <c r="E2061" s="204">
        <v>4.0</v>
      </c>
      <c r="F2061" s="205">
        <v>0.0</v>
      </c>
      <c r="G2061" s="205">
        <v>1.0</v>
      </c>
    </row>
    <row r="2062" ht="15.75" customHeight="1">
      <c r="A2062" s="200" t="s">
        <v>311</v>
      </c>
      <c r="B2062" s="186" t="s">
        <v>7473</v>
      </c>
      <c r="C2062" s="210" t="s">
        <v>7474</v>
      </c>
      <c r="D2062" s="210" t="s">
        <v>7475</v>
      </c>
      <c r="E2062" s="204">
        <v>4.0</v>
      </c>
      <c r="F2062" s="205">
        <v>0.0</v>
      </c>
      <c r="G2062" s="205">
        <v>0.25</v>
      </c>
    </row>
    <row r="2063" ht="15.75" customHeight="1">
      <c r="A2063" s="200" t="s">
        <v>311</v>
      </c>
      <c r="B2063" s="186" t="s">
        <v>3995</v>
      </c>
      <c r="C2063" s="210" t="s">
        <v>3996</v>
      </c>
      <c r="D2063" s="210" t="s">
        <v>7476</v>
      </c>
      <c r="E2063" s="204">
        <v>4.0</v>
      </c>
      <c r="F2063" s="205">
        <v>0.0</v>
      </c>
      <c r="G2063" s="205">
        <v>0.0</v>
      </c>
    </row>
    <row r="2064" ht="15.75" customHeight="1">
      <c r="A2064" s="200" t="s">
        <v>311</v>
      </c>
      <c r="B2064" s="186" t="s">
        <v>7477</v>
      </c>
      <c r="C2064" s="210" t="s">
        <v>7478</v>
      </c>
      <c r="D2064" s="210" t="s">
        <v>7479</v>
      </c>
      <c r="E2064" s="204">
        <v>4.0</v>
      </c>
      <c r="F2064" s="205">
        <v>0.0</v>
      </c>
      <c r="G2064" s="205">
        <v>1.5</v>
      </c>
    </row>
    <row r="2065" ht="15.75" customHeight="1">
      <c r="A2065" s="200" t="s">
        <v>311</v>
      </c>
      <c r="B2065" s="186" t="s">
        <v>7480</v>
      </c>
      <c r="C2065" s="210" t="s">
        <v>2394</v>
      </c>
      <c r="D2065" s="210" t="s">
        <v>7481</v>
      </c>
      <c r="E2065" s="204">
        <v>4.0</v>
      </c>
      <c r="F2065" s="205">
        <v>0.0</v>
      </c>
      <c r="G2065" s="205">
        <v>2.5</v>
      </c>
    </row>
    <row r="2066" ht="15.75" customHeight="1">
      <c r="A2066" s="200" t="s">
        <v>311</v>
      </c>
      <c r="B2066" s="186" t="s">
        <v>7482</v>
      </c>
      <c r="C2066" s="210" t="s">
        <v>7483</v>
      </c>
      <c r="D2066" s="210" t="s">
        <v>7484</v>
      </c>
      <c r="E2066" s="204">
        <v>4.0</v>
      </c>
      <c r="F2066" s="205">
        <v>0.0</v>
      </c>
      <c r="G2066" s="205">
        <v>0.0</v>
      </c>
    </row>
    <row r="2067" ht="15.75" customHeight="1">
      <c r="A2067" s="200" t="s">
        <v>311</v>
      </c>
      <c r="B2067" s="186" t="s">
        <v>7485</v>
      </c>
      <c r="C2067" s="210" t="s">
        <v>7486</v>
      </c>
      <c r="D2067" s="210" t="s">
        <v>7487</v>
      </c>
      <c r="E2067" s="204">
        <v>4.0</v>
      </c>
      <c r="F2067" s="205">
        <v>0.0</v>
      </c>
      <c r="G2067" s="205">
        <v>0.0</v>
      </c>
    </row>
    <row r="2068" ht="15.75" customHeight="1">
      <c r="A2068" s="200" t="s">
        <v>311</v>
      </c>
      <c r="B2068" s="186" t="s">
        <v>7488</v>
      </c>
      <c r="C2068" s="210" t="s">
        <v>7489</v>
      </c>
      <c r="D2068" s="210"/>
      <c r="E2068" s="204">
        <v>4.0</v>
      </c>
      <c r="F2068" s="205">
        <v>0.0</v>
      </c>
      <c r="G2068" s="205">
        <v>0.0</v>
      </c>
    </row>
    <row r="2069" ht="15.75" customHeight="1">
      <c r="A2069" s="200" t="s">
        <v>311</v>
      </c>
      <c r="B2069" s="186" t="s">
        <v>7490</v>
      </c>
      <c r="C2069" s="210" t="s">
        <v>7491</v>
      </c>
      <c r="D2069" s="210" t="s">
        <v>7087</v>
      </c>
      <c r="E2069" s="204">
        <v>4.0</v>
      </c>
      <c r="F2069" s="205">
        <v>0.0</v>
      </c>
      <c r="G2069" s="205">
        <v>0.75</v>
      </c>
    </row>
    <row r="2070" ht="15.75" customHeight="1">
      <c r="A2070" s="200" t="s">
        <v>311</v>
      </c>
      <c r="B2070" s="186" t="s">
        <v>7492</v>
      </c>
      <c r="C2070" s="210" t="s">
        <v>7493</v>
      </c>
      <c r="D2070" s="210" t="s">
        <v>7494</v>
      </c>
      <c r="E2070" s="204">
        <v>4.0</v>
      </c>
      <c r="F2070" s="205">
        <v>0.0</v>
      </c>
      <c r="G2070" s="205">
        <v>0.0</v>
      </c>
    </row>
    <row r="2071" ht="15.75" customHeight="1">
      <c r="A2071" s="200" t="s">
        <v>311</v>
      </c>
      <c r="B2071" s="186" t="s">
        <v>7495</v>
      </c>
      <c r="C2071" s="210" t="s">
        <v>7496</v>
      </c>
      <c r="D2071" s="210" t="s">
        <v>7497</v>
      </c>
      <c r="E2071" s="204">
        <v>4.0</v>
      </c>
      <c r="F2071" s="205">
        <v>0.0</v>
      </c>
      <c r="G2071" s="205">
        <v>0.5</v>
      </c>
    </row>
    <row r="2072" ht="15.75" customHeight="1">
      <c r="A2072" s="200" t="s">
        <v>311</v>
      </c>
      <c r="B2072" s="186" t="s">
        <v>7498</v>
      </c>
      <c r="C2072" s="210" t="s">
        <v>7499</v>
      </c>
      <c r="D2072" s="210" t="s">
        <v>7500</v>
      </c>
      <c r="E2072" s="204">
        <v>3.0</v>
      </c>
      <c r="F2072" s="205">
        <v>0.0</v>
      </c>
      <c r="G2072" s="205">
        <v>0.0</v>
      </c>
    </row>
    <row r="2073" ht="15.75" customHeight="1">
      <c r="A2073" s="200" t="s">
        <v>311</v>
      </c>
      <c r="B2073" s="186" t="s">
        <v>7501</v>
      </c>
      <c r="C2073" s="210" t="s">
        <v>7502</v>
      </c>
      <c r="D2073" s="210"/>
      <c r="E2073" s="204">
        <v>3.0</v>
      </c>
      <c r="F2073" s="205">
        <v>0.0</v>
      </c>
      <c r="G2073" s="205">
        <v>0.0</v>
      </c>
    </row>
    <row r="2074" ht="15.75" customHeight="1">
      <c r="A2074" s="200" t="s">
        <v>311</v>
      </c>
      <c r="B2074" s="186" t="s">
        <v>7503</v>
      </c>
      <c r="C2074" s="210" t="s">
        <v>7504</v>
      </c>
      <c r="D2074" s="210"/>
      <c r="E2074" s="204">
        <v>3.0</v>
      </c>
      <c r="F2074" s="205">
        <v>0.0</v>
      </c>
      <c r="G2074" s="205">
        <v>0.0</v>
      </c>
    </row>
    <row r="2075" ht="15.75" customHeight="1">
      <c r="A2075" s="200" t="s">
        <v>311</v>
      </c>
      <c r="B2075" s="186" t="s">
        <v>7505</v>
      </c>
      <c r="C2075" s="210" t="s">
        <v>7506</v>
      </c>
      <c r="D2075" s="210" t="s">
        <v>7507</v>
      </c>
      <c r="E2075" s="204">
        <v>3.0</v>
      </c>
      <c r="F2075" s="205">
        <v>0.0</v>
      </c>
      <c r="G2075" s="205">
        <v>0.0</v>
      </c>
    </row>
    <row r="2076" ht="15.75" customHeight="1">
      <c r="A2076" s="200" t="s">
        <v>311</v>
      </c>
      <c r="B2076" s="186" t="s">
        <v>7508</v>
      </c>
      <c r="C2076" s="210" t="s">
        <v>7509</v>
      </c>
      <c r="D2076" s="210" t="s">
        <v>7510</v>
      </c>
      <c r="E2076" s="204">
        <v>3.0</v>
      </c>
      <c r="F2076" s="205">
        <v>0.0</v>
      </c>
      <c r="G2076" s="205">
        <v>0.0</v>
      </c>
    </row>
    <row r="2077" ht="15.75" customHeight="1">
      <c r="A2077" s="200" t="s">
        <v>311</v>
      </c>
      <c r="B2077" s="186" t="s">
        <v>7511</v>
      </c>
      <c r="C2077" s="210" t="s">
        <v>7512</v>
      </c>
      <c r="D2077" s="210" t="s">
        <v>2040</v>
      </c>
      <c r="E2077" s="204">
        <v>3.0</v>
      </c>
      <c r="F2077" s="205">
        <v>0.0</v>
      </c>
      <c r="G2077" s="205">
        <v>1.0</v>
      </c>
    </row>
    <row r="2078" ht="15.75" customHeight="1">
      <c r="A2078" s="200" t="s">
        <v>311</v>
      </c>
      <c r="B2078" s="186" t="s">
        <v>7513</v>
      </c>
      <c r="C2078" s="210" t="s">
        <v>7514</v>
      </c>
      <c r="D2078" s="210" t="s">
        <v>7515</v>
      </c>
      <c r="E2078" s="204">
        <v>3.0</v>
      </c>
      <c r="F2078" s="205">
        <v>0.0</v>
      </c>
      <c r="G2078" s="205">
        <v>0.67</v>
      </c>
    </row>
    <row r="2079" ht="15.75" customHeight="1">
      <c r="A2079" s="200" t="s">
        <v>311</v>
      </c>
      <c r="B2079" s="186" t="s">
        <v>7516</v>
      </c>
      <c r="C2079" s="210" t="s">
        <v>7517</v>
      </c>
      <c r="D2079" s="210" t="s">
        <v>7518</v>
      </c>
      <c r="E2079" s="204">
        <v>3.0</v>
      </c>
      <c r="F2079" s="205">
        <v>0.0</v>
      </c>
      <c r="G2079" s="205">
        <v>1.0</v>
      </c>
    </row>
    <row r="2080" ht="15.75" customHeight="1">
      <c r="A2080" s="200" t="s">
        <v>311</v>
      </c>
      <c r="B2080" s="186" t="s">
        <v>7519</v>
      </c>
      <c r="C2080" s="210" t="s">
        <v>7520</v>
      </c>
      <c r="D2080" s="210" t="s">
        <v>7521</v>
      </c>
      <c r="E2080" s="204">
        <v>3.0</v>
      </c>
      <c r="F2080" s="205">
        <v>0.0</v>
      </c>
      <c r="G2080" s="205">
        <v>0.67</v>
      </c>
    </row>
    <row r="2081" ht="15.75" customHeight="1">
      <c r="A2081" s="200" t="s">
        <v>311</v>
      </c>
      <c r="B2081" s="186" t="s">
        <v>1969</v>
      </c>
      <c r="C2081" s="210" t="s">
        <v>1970</v>
      </c>
      <c r="D2081" s="210" t="s">
        <v>1971</v>
      </c>
      <c r="E2081" s="204">
        <v>3.0</v>
      </c>
      <c r="F2081" s="205">
        <v>0.0</v>
      </c>
      <c r="G2081" s="205">
        <v>0.0</v>
      </c>
    </row>
    <row r="2082" ht="15.75" customHeight="1">
      <c r="A2082" s="200" t="s">
        <v>311</v>
      </c>
      <c r="B2082" s="186" t="s">
        <v>1972</v>
      </c>
      <c r="C2082" s="210" t="s">
        <v>1973</v>
      </c>
      <c r="D2082" s="210" t="s">
        <v>1974</v>
      </c>
      <c r="E2082" s="204">
        <v>3.0</v>
      </c>
      <c r="F2082" s="205">
        <v>0.0</v>
      </c>
      <c r="G2082" s="205">
        <v>2.33</v>
      </c>
    </row>
    <row r="2083" ht="15.75" customHeight="1">
      <c r="A2083" s="200" t="s">
        <v>311</v>
      </c>
      <c r="B2083" s="186" t="s">
        <v>7522</v>
      </c>
      <c r="C2083" s="210" t="s">
        <v>7394</v>
      </c>
      <c r="D2083" s="210" t="s">
        <v>7000</v>
      </c>
      <c r="E2083" s="204">
        <v>3.0</v>
      </c>
      <c r="F2083" s="205">
        <v>0.0</v>
      </c>
      <c r="G2083" s="205">
        <v>0.0</v>
      </c>
    </row>
    <row r="2084" ht="15.75" customHeight="1">
      <c r="A2084" s="200" t="s">
        <v>311</v>
      </c>
      <c r="B2084" s="186" t="s">
        <v>7523</v>
      </c>
      <c r="C2084" s="210" t="s">
        <v>7524</v>
      </c>
      <c r="D2084" s="210" t="s">
        <v>7525</v>
      </c>
      <c r="E2084" s="204">
        <v>3.0</v>
      </c>
      <c r="F2084" s="205">
        <v>0.0</v>
      </c>
      <c r="G2084" s="205">
        <v>0.0</v>
      </c>
    </row>
    <row r="2085" ht="15.75" customHeight="1">
      <c r="A2085" s="200" t="s">
        <v>311</v>
      </c>
      <c r="B2085" s="186" t="s">
        <v>7526</v>
      </c>
      <c r="C2085" s="210" t="s">
        <v>7406</v>
      </c>
      <c r="D2085" s="210" t="s">
        <v>7266</v>
      </c>
      <c r="E2085" s="204">
        <v>3.0</v>
      </c>
      <c r="F2085" s="205">
        <v>0.0</v>
      </c>
      <c r="G2085" s="205">
        <v>0.0</v>
      </c>
    </row>
    <row r="2086" ht="15.75" customHeight="1">
      <c r="A2086" s="200" t="s">
        <v>311</v>
      </c>
      <c r="B2086" s="186" t="s">
        <v>7527</v>
      </c>
      <c r="C2086" s="210" t="s">
        <v>7005</v>
      </c>
      <c r="D2086" s="210" t="s">
        <v>7528</v>
      </c>
      <c r="E2086" s="204">
        <v>3.0</v>
      </c>
      <c r="F2086" s="205">
        <v>0.0</v>
      </c>
      <c r="G2086" s="205">
        <v>0.0</v>
      </c>
    </row>
    <row r="2087" ht="15.75" customHeight="1">
      <c r="A2087" s="200" t="s">
        <v>311</v>
      </c>
      <c r="B2087" s="186" t="s">
        <v>7529</v>
      </c>
      <c r="C2087" s="210" t="s">
        <v>7530</v>
      </c>
      <c r="D2087" s="210" t="s">
        <v>7531</v>
      </c>
      <c r="E2087" s="204">
        <v>3.0</v>
      </c>
      <c r="F2087" s="205">
        <v>0.0</v>
      </c>
      <c r="G2087" s="205">
        <v>1.0</v>
      </c>
    </row>
    <row r="2088" ht="15.75" customHeight="1">
      <c r="A2088" s="200" t="s">
        <v>311</v>
      </c>
      <c r="B2088" s="186" t="s">
        <v>7532</v>
      </c>
      <c r="C2088" s="210" t="s">
        <v>7533</v>
      </c>
      <c r="D2088" s="210" t="s">
        <v>1029</v>
      </c>
      <c r="E2088" s="204">
        <v>3.0</v>
      </c>
      <c r="F2088" s="205">
        <v>0.0</v>
      </c>
      <c r="G2088" s="205">
        <v>0.0</v>
      </c>
    </row>
    <row r="2089" ht="15.75" customHeight="1">
      <c r="A2089" s="200" t="s">
        <v>311</v>
      </c>
      <c r="B2089" s="186" t="s">
        <v>7534</v>
      </c>
      <c r="C2089" s="210" t="s">
        <v>7535</v>
      </c>
      <c r="D2089" s="210" t="s">
        <v>7536</v>
      </c>
      <c r="E2089" s="204">
        <v>3.0</v>
      </c>
      <c r="F2089" s="205">
        <v>0.0</v>
      </c>
      <c r="G2089" s="205">
        <v>0.67</v>
      </c>
    </row>
    <row r="2090" ht="15.75" customHeight="1">
      <c r="A2090" s="200" t="s">
        <v>311</v>
      </c>
      <c r="B2090" s="186" t="s">
        <v>7537</v>
      </c>
      <c r="C2090" s="210" t="s">
        <v>7538</v>
      </c>
      <c r="D2090" s="210" t="s">
        <v>7539</v>
      </c>
      <c r="E2090" s="204">
        <v>3.0</v>
      </c>
      <c r="F2090" s="205">
        <v>0.0</v>
      </c>
      <c r="G2090" s="205">
        <v>1.0</v>
      </c>
    </row>
    <row r="2091" ht="15.75" customHeight="1">
      <c r="A2091" s="200" t="s">
        <v>311</v>
      </c>
      <c r="B2091" s="186" t="s">
        <v>7540</v>
      </c>
      <c r="C2091" s="210" t="s">
        <v>7541</v>
      </c>
      <c r="D2091" s="210" t="s">
        <v>7542</v>
      </c>
      <c r="E2091" s="204">
        <v>3.0</v>
      </c>
      <c r="F2091" s="205">
        <v>0.0</v>
      </c>
      <c r="G2091" s="205">
        <v>1.0</v>
      </c>
    </row>
    <row r="2092" ht="15.75" customHeight="1">
      <c r="A2092" s="200" t="s">
        <v>311</v>
      </c>
      <c r="B2092" s="186" t="s">
        <v>7543</v>
      </c>
      <c r="C2092" s="210" t="s">
        <v>7544</v>
      </c>
      <c r="D2092" s="210" t="s">
        <v>7545</v>
      </c>
      <c r="E2092" s="204">
        <v>3.0</v>
      </c>
      <c r="F2092" s="205">
        <v>0.0</v>
      </c>
      <c r="G2092" s="205">
        <v>3.0</v>
      </c>
    </row>
    <row r="2093" ht="15.75" customHeight="1">
      <c r="A2093" s="200" t="s">
        <v>311</v>
      </c>
      <c r="B2093" s="186" t="s">
        <v>7546</v>
      </c>
      <c r="C2093" s="210" t="s">
        <v>7547</v>
      </c>
      <c r="D2093" s="210" t="s">
        <v>7548</v>
      </c>
      <c r="E2093" s="204">
        <v>3.0</v>
      </c>
      <c r="F2093" s="205">
        <v>0.0</v>
      </c>
      <c r="G2093" s="205">
        <v>0.0</v>
      </c>
    </row>
    <row r="2094" ht="15.75" customHeight="1">
      <c r="A2094" s="200" t="s">
        <v>311</v>
      </c>
      <c r="B2094" s="186" t="s">
        <v>7549</v>
      </c>
      <c r="C2094" s="210" t="s">
        <v>7550</v>
      </c>
      <c r="D2094" s="210" t="s">
        <v>7551</v>
      </c>
      <c r="E2094" s="204">
        <v>3.0</v>
      </c>
      <c r="F2094" s="205">
        <v>0.0</v>
      </c>
      <c r="G2094" s="205">
        <v>1.0</v>
      </c>
    </row>
    <row r="2095" ht="15.75" customHeight="1">
      <c r="A2095" s="200" t="s">
        <v>311</v>
      </c>
      <c r="B2095" s="186" t="s">
        <v>2281</v>
      </c>
      <c r="C2095" s="210" t="s">
        <v>2282</v>
      </c>
      <c r="D2095" s="210" t="s">
        <v>7552</v>
      </c>
      <c r="E2095" s="204">
        <v>3.0</v>
      </c>
      <c r="F2095" s="205">
        <v>0.0</v>
      </c>
      <c r="G2095" s="205">
        <v>0.67</v>
      </c>
    </row>
    <row r="2096" ht="15.75" customHeight="1">
      <c r="A2096" s="200" t="s">
        <v>311</v>
      </c>
      <c r="B2096" s="186" t="s">
        <v>7553</v>
      </c>
      <c r="C2096" s="210" t="s">
        <v>3990</v>
      </c>
      <c r="D2096" s="210" t="s">
        <v>7554</v>
      </c>
      <c r="E2096" s="204">
        <v>3.0</v>
      </c>
      <c r="F2096" s="205">
        <v>0.0</v>
      </c>
      <c r="G2096" s="205">
        <v>1.0</v>
      </c>
    </row>
    <row r="2097" ht="15.75" customHeight="1">
      <c r="A2097" s="200" t="s">
        <v>311</v>
      </c>
      <c r="B2097" s="186" t="s">
        <v>7555</v>
      </c>
      <c r="C2097" s="210" t="s">
        <v>7556</v>
      </c>
      <c r="D2097" s="210" t="s">
        <v>7557</v>
      </c>
      <c r="E2097" s="204">
        <v>3.0</v>
      </c>
      <c r="F2097" s="205">
        <v>0.0</v>
      </c>
      <c r="G2097" s="205">
        <v>0.33</v>
      </c>
    </row>
    <row r="2098" ht="15.75" customHeight="1">
      <c r="A2098" s="200" t="s">
        <v>311</v>
      </c>
      <c r="B2098" s="186" t="s">
        <v>1975</v>
      </c>
      <c r="C2098" s="210" t="s">
        <v>1976</v>
      </c>
      <c r="D2098" s="210" t="s">
        <v>1816</v>
      </c>
      <c r="E2098" s="204">
        <v>3.0</v>
      </c>
      <c r="F2098" s="205">
        <v>0.0</v>
      </c>
      <c r="G2098" s="205">
        <v>1.33</v>
      </c>
    </row>
    <row r="2099" ht="15.75" customHeight="1">
      <c r="A2099" s="200" t="s">
        <v>311</v>
      </c>
      <c r="B2099" s="186" t="s">
        <v>4302</v>
      </c>
      <c r="C2099" s="210" t="s">
        <v>4303</v>
      </c>
      <c r="D2099" s="210" t="s">
        <v>1003</v>
      </c>
      <c r="E2099" s="204">
        <v>3.0</v>
      </c>
      <c r="F2099" s="205">
        <v>0.0</v>
      </c>
      <c r="G2099" s="205">
        <v>0.67</v>
      </c>
    </row>
    <row r="2100" ht="15.75" customHeight="1">
      <c r="A2100" s="200" t="s">
        <v>311</v>
      </c>
      <c r="B2100" s="186" t="s">
        <v>7558</v>
      </c>
      <c r="C2100" s="210" t="s">
        <v>7559</v>
      </c>
      <c r="D2100" s="210" t="s">
        <v>7560</v>
      </c>
      <c r="E2100" s="204">
        <v>3.0</v>
      </c>
      <c r="F2100" s="205">
        <v>0.0</v>
      </c>
      <c r="G2100" s="205">
        <v>0.0</v>
      </c>
    </row>
    <row r="2101" ht="15.75" customHeight="1">
      <c r="A2101" s="200" t="s">
        <v>311</v>
      </c>
      <c r="B2101" s="186" t="s">
        <v>7561</v>
      </c>
      <c r="C2101" s="210" t="s">
        <v>7562</v>
      </c>
      <c r="D2101" s="210" t="s">
        <v>7563</v>
      </c>
      <c r="E2101" s="204">
        <v>3.0</v>
      </c>
      <c r="F2101" s="205">
        <v>0.0</v>
      </c>
      <c r="G2101" s="205">
        <v>0.0</v>
      </c>
    </row>
    <row r="2102" ht="15.75" customHeight="1">
      <c r="A2102" s="200" t="s">
        <v>311</v>
      </c>
      <c r="B2102" s="186" t="s">
        <v>7564</v>
      </c>
      <c r="C2102" s="210" t="s">
        <v>7565</v>
      </c>
      <c r="D2102" s="210" t="s">
        <v>7566</v>
      </c>
      <c r="E2102" s="204">
        <v>3.0</v>
      </c>
      <c r="F2102" s="205">
        <v>0.0</v>
      </c>
      <c r="G2102" s="205">
        <v>0.67</v>
      </c>
    </row>
    <row r="2103" ht="15.75" customHeight="1">
      <c r="A2103" s="200" t="s">
        <v>311</v>
      </c>
      <c r="B2103" s="186" t="s">
        <v>7567</v>
      </c>
      <c r="C2103" s="210" t="s">
        <v>7568</v>
      </c>
      <c r="D2103" s="210" t="s">
        <v>7569</v>
      </c>
      <c r="E2103" s="204">
        <v>3.0</v>
      </c>
      <c r="F2103" s="205">
        <v>0.0</v>
      </c>
      <c r="G2103" s="205">
        <v>1.0</v>
      </c>
    </row>
    <row r="2104" ht="15.75" customHeight="1">
      <c r="A2104" s="200" t="s">
        <v>311</v>
      </c>
      <c r="B2104" s="186" t="s">
        <v>7570</v>
      </c>
      <c r="C2104" s="210" t="s">
        <v>7437</v>
      </c>
      <c r="D2104" s="210" t="s">
        <v>7438</v>
      </c>
      <c r="E2104" s="204">
        <v>3.0</v>
      </c>
      <c r="F2104" s="205">
        <v>0.0</v>
      </c>
      <c r="G2104" s="205">
        <v>0.0</v>
      </c>
    </row>
    <row r="2105" ht="15.75" customHeight="1">
      <c r="A2105" s="200" t="s">
        <v>311</v>
      </c>
      <c r="B2105" s="186" t="s">
        <v>3542</v>
      </c>
      <c r="C2105" s="210" t="s">
        <v>3543</v>
      </c>
      <c r="D2105" s="210" t="s">
        <v>3544</v>
      </c>
      <c r="E2105" s="204">
        <v>3.0</v>
      </c>
      <c r="F2105" s="205">
        <v>0.0</v>
      </c>
      <c r="G2105" s="205">
        <v>0.0</v>
      </c>
    </row>
    <row r="2106" ht="15.75" customHeight="1">
      <c r="A2106" s="200" t="s">
        <v>311</v>
      </c>
      <c r="B2106" s="186" t="s">
        <v>7571</v>
      </c>
      <c r="C2106" s="210" t="s">
        <v>7572</v>
      </c>
      <c r="D2106" s="210" t="s">
        <v>7573</v>
      </c>
      <c r="E2106" s="204">
        <v>3.0</v>
      </c>
      <c r="F2106" s="205">
        <v>0.0</v>
      </c>
      <c r="G2106" s="205">
        <v>0.0</v>
      </c>
    </row>
    <row r="2107" ht="15.75" customHeight="1">
      <c r="A2107" s="200" t="s">
        <v>311</v>
      </c>
      <c r="B2107" s="186" t="s">
        <v>7574</v>
      </c>
      <c r="C2107" s="210" t="s">
        <v>7575</v>
      </c>
      <c r="D2107" s="210" t="s">
        <v>7576</v>
      </c>
      <c r="E2107" s="204">
        <v>3.0</v>
      </c>
      <c r="F2107" s="205">
        <v>0.0</v>
      </c>
      <c r="G2107" s="205">
        <v>0.33</v>
      </c>
    </row>
    <row r="2108" ht="15.75" customHeight="1">
      <c r="A2108" s="200" t="s">
        <v>311</v>
      </c>
      <c r="B2108" s="186" t="s">
        <v>1979</v>
      </c>
      <c r="C2108" s="210" t="s">
        <v>1980</v>
      </c>
      <c r="D2108" s="210" t="s">
        <v>1981</v>
      </c>
      <c r="E2108" s="204">
        <v>3.0</v>
      </c>
      <c r="F2108" s="205">
        <v>0.0</v>
      </c>
      <c r="G2108" s="205">
        <v>0.0</v>
      </c>
    </row>
    <row r="2109" ht="15.75" customHeight="1">
      <c r="A2109" s="200" t="s">
        <v>311</v>
      </c>
      <c r="B2109" s="186" t="s">
        <v>7577</v>
      </c>
      <c r="C2109" s="210" t="s">
        <v>7578</v>
      </c>
      <c r="D2109" s="210" t="s">
        <v>7579</v>
      </c>
      <c r="E2109" s="204">
        <v>3.0</v>
      </c>
      <c r="F2109" s="205">
        <v>0.0</v>
      </c>
      <c r="G2109" s="205">
        <v>0.0</v>
      </c>
    </row>
    <row r="2110" ht="15.75" customHeight="1">
      <c r="A2110" s="200" t="s">
        <v>311</v>
      </c>
      <c r="B2110" s="186" t="s">
        <v>7580</v>
      </c>
      <c r="C2110" s="210" t="s">
        <v>7581</v>
      </c>
      <c r="D2110" s="210" t="s">
        <v>7582</v>
      </c>
      <c r="E2110" s="204">
        <v>3.0</v>
      </c>
      <c r="F2110" s="205">
        <v>0.0</v>
      </c>
      <c r="G2110" s="205">
        <v>2.67</v>
      </c>
    </row>
    <row r="2111" ht="15.75" customHeight="1">
      <c r="A2111" s="200" t="s">
        <v>311</v>
      </c>
      <c r="B2111" s="186" t="s">
        <v>7583</v>
      </c>
      <c r="C2111" s="210" t="s">
        <v>7584</v>
      </c>
      <c r="D2111" s="210" t="s">
        <v>7585</v>
      </c>
      <c r="E2111" s="204">
        <v>3.0</v>
      </c>
      <c r="F2111" s="205">
        <v>0.0</v>
      </c>
      <c r="G2111" s="205">
        <v>0.67</v>
      </c>
    </row>
    <row r="2112" ht="15.75" customHeight="1">
      <c r="A2112" s="200" t="s">
        <v>311</v>
      </c>
      <c r="B2112" s="186" t="s">
        <v>7586</v>
      </c>
      <c r="C2112" s="210" t="s">
        <v>7587</v>
      </c>
      <c r="D2112" s="210" t="s">
        <v>7378</v>
      </c>
      <c r="E2112" s="204">
        <v>3.0</v>
      </c>
      <c r="F2112" s="205">
        <v>0.0</v>
      </c>
      <c r="G2112" s="205">
        <v>1.0</v>
      </c>
    </row>
    <row r="2113" ht="15.75" customHeight="1">
      <c r="A2113" s="200" t="s">
        <v>311</v>
      </c>
      <c r="B2113" s="186" t="s">
        <v>7588</v>
      </c>
      <c r="C2113" s="210" t="s">
        <v>4055</v>
      </c>
      <c r="D2113" s="210" t="s">
        <v>7589</v>
      </c>
      <c r="E2113" s="204">
        <v>3.0</v>
      </c>
      <c r="F2113" s="205">
        <v>0.0</v>
      </c>
      <c r="G2113" s="205">
        <v>1.0</v>
      </c>
    </row>
    <row r="2114" ht="15.75" customHeight="1">
      <c r="A2114" s="200" t="s">
        <v>311</v>
      </c>
      <c r="B2114" s="186" t="s">
        <v>7590</v>
      </c>
      <c r="C2114" s="210" t="s">
        <v>7591</v>
      </c>
      <c r="D2114" s="210" t="s">
        <v>877</v>
      </c>
      <c r="E2114" s="204">
        <v>2.0</v>
      </c>
      <c r="F2114" s="205">
        <v>0.0</v>
      </c>
      <c r="G2114" s="205">
        <v>0.0</v>
      </c>
    </row>
    <row r="2115" ht="15.75" customHeight="1">
      <c r="A2115" s="200" t="s">
        <v>311</v>
      </c>
      <c r="B2115" s="186" t="s">
        <v>7592</v>
      </c>
      <c r="C2115" s="210" t="s">
        <v>7593</v>
      </c>
      <c r="D2115" s="210"/>
      <c r="E2115" s="204">
        <v>2.0</v>
      </c>
      <c r="F2115" s="205">
        <v>0.0</v>
      </c>
      <c r="G2115" s="205">
        <v>1.0</v>
      </c>
    </row>
    <row r="2116" ht="15.75" customHeight="1">
      <c r="A2116" s="200" t="s">
        <v>311</v>
      </c>
      <c r="B2116" s="186" t="s">
        <v>7594</v>
      </c>
      <c r="C2116" s="210" t="s">
        <v>7595</v>
      </c>
      <c r="D2116" s="210" t="s">
        <v>6955</v>
      </c>
      <c r="E2116" s="204">
        <v>2.0</v>
      </c>
      <c r="F2116" s="205">
        <v>0.0</v>
      </c>
      <c r="G2116" s="205">
        <v>0.0</v>
      </c>
    </row>
    <row r="2117" ht="15.75" customHeight="1">
      <c r="A2117" s="200" t="s">
        <v>311</v>
      </c>
      <c r="B2117" s="186" t="s">
        <v>7596</v>
      </c>
      <c r="C2117" s="210" t="s">
        <v>7597</v>
      </c>
      <c r="D2117" s="210" t="s">
        <v>7179</v>
      </c>
      <c r="E2117" s="204">
        <v>2.0</v>
      </c>
      <c r="F2117" s="205">
        <v>0.0</v>
      </c>
      <c r="G2117" s="205">
        <v>0.0</v>
      </c>
    </row>
    <row r="2118" ht="15.75" customHeight="1">
      <c r="A2118" s="200" t="s">
        <v>311</v>
      </c>
      <c r="B2118" s="186" t="s">
        <v>7598</v>
      </c>
      <c r="C2118" s="210" t="s">
        <v>7599</v>
      </c>
      <c r="D2118" s="210" t="s">
        <v>7600</v>
      </c>
      <c r="E2118" s="204">
        <v>2.0</v>
      </c>
      <c r="F2118" s="205">
        <v>0.0</v>
      </c>
      <c r="G2118" s="205">
        <v>0.0</v>
      </c>
    </row>
    <row r="2119" ht="15.75" customHeight="1">
      <c r="A2119" s="200" t="s">
        <v>311</v>
      </c>
      <c r="B2119" s="186" t="s">
        <v>7601</v>
      </c>
      <c r="C2119" s="210" t="s">
        <v>7602</v>
      </c>
      <c r="D2119" s="210" t="s">
        <v>7603</v>
      </c>
      <c r="E2119" s="204">
        <v>2.0</v>
      </c>
      <c r="F2119" s="205">
        <v>0.0</v>
      </c>
      <c r="G2119" s="205">
        <v>0.0</v>
      </c>
    </row>
    <row r="2120" ht="15.75" customHeight="1">
      <c r="A2120" s="200" t="s">
        <v>311</v>
      </c>
      <c r="B2120" s="186" t="s">
        <v>7604</v>
      </c>
      <c r="C2120" s="210" t="s">
        <v>7605</v>
      </c>
      <c r="D2120" s="210"/>
      <c r="E2120" s="204">
        <v>2.0</v>
      </c>
      <c r="F2120" s="205">
        <v>0.0</v>
      </c>
      <c r="G2120" s="205">
        <v>0.0</v>
      </c>
    </row>
    <row r="2121" ht="15.75" customHeight="1">
      <c r="A2121" s="200" t="s">
        <v>311</v>
      </c>
      <c r="B2121" s="186" t="s">
        <v>7606</v>
      </c>
      <c r="C2121" s="210" t="s">
        <v>7607</v>
      </c>
      <c r="D2121" s="210" t="s">
        <v>2040</v>
      </c>
      <c r="E2121" s="204">
        <v>2.0</v>
      </c>
      <c r="F2121" s="205">
        <v>0.0</v>
      </c>
      <c r="G2121" s="205">
        <v>1.0</v>
      </c>
    </row>
    <row r="2122" ht="15.75" customHeight="1">
      <c r="A2122" s="200" t="s">
        <v>311</v>
      </c>
      <c r="B2122" s="186" t="s">
        <v>3102</v>
      </c>
      <c r="C2122" s="210" t="s">
        <v>3103</v>
      </c>
      <c r="D2122" s="210" t="s">
        <v>1087</v>
      </c>
      <c r="E2122" s="204">
        <v>2.0</v>
      </c>
      <c r="F2122" s="205">
        <v>0.0</v>
      </c>
      <c r="G2122" s="205">
        <v>1.5</v>
      </c>
    </row>
    <row r="2123" ht="15.75" customHeight="1">
      <c r="A2123" s="200" t="s">
        <v>311</v>
      </c>
      <c r="B2123" s="186" t="s">
        <v>7608</v>
      </c>
      <c r="C2123" s="210" t="s">
        <v>7609</v>
      </c>
      <c r="D2123" s="210" t="s">
        <v>7610</v>
      </c>
      <c r="E2123" s="204">
        <v>2.0</v>
      </c>
      <c r="F2123" s="205">
        <v>0.0</v>
      </c>
      <c r="G2123" s="205">
        <v>0.0</v>
      </c>
    </row>
    <row r="2124" ht="15.75" customHeight="1">
      <c r="A2124" s="200" t="s">
        <v>311</v>
      </c>
      <c r="B2124" s="186" t="s">
        <v>1982</v>
      </c>
      <c r="C2124" s="210" t="s">
        <v>1983</v>
      </c>
      <c r="D2124" s="210" t="s">
        <v>1985</v>
      </c>
      <c r="E2124" s="204">
        <v>2.0</v>
      </c>
      <c r="F2124" s="205">
        <v>0.0</v>
      </c>
      <c r="G2124" s="205">
        <v>2.0</v>
      </c>
    </row>
    <row r="2125" ht="15.75" customHeight="1">
      <c r="A2125" s="200" t="s">
        <v>311</v>
      </c>
      <c r="B2125" s="186" t="s">
        <v>1988</v>
      </c>
      <c r="C2125" s="210" t="s">
        <v>1989</v>
      </c>
      <c r="D2125" s="210" t="s">
        <v>853</v>
      </c>
      <c r="E2125" s="204">
        <v>2.0</v>
      </c>
      <c r="F2125" s="205">
        <v>0.0</v>
      </c>
      <c r="G2125" s="205">
        <v>0.0</v>
      </c>
    </row>
    <row r="2126" ht="15.75" customHeight="1">
      <c r="A2126" s="200" t="s">
        <v>311</v>
      </c>
      <c r="B2126" s="186" t="s">
        <v>402</v>
      </c>
      <c r="C2126" s="210" t="s">
        <v>403</v>
      </c>
      <c r="D2126" s="210" t="s">
        <v>7613</v>
      </c>
      <c r="E2126" s="204">
        <v>2.0</v>
      </c>
      <c r="F2126" s="205">
        <v>0.0</v>
      </c>
      <c r="G2126" s="205">
        <v>0.0</v>
      </c>
    </row>
    <row r="2127" ht="15.75" customHeight="1">
      <c r="A2127" s="200" t="s">
        <v>311</v>
      </c>
      <c r="B2127" s="186" t="s">
        <v>7614</v>
      </c>
      <c r="C2127" s="210" t="s">
        <v>7615</v>
      </c>
      <c r="D2127" s="210"/>
      <c r="E2127" s="204">
        <v>2.0</v>
      </c>
      <c r="F2127" s="205">
        <v>0.0</v>
      </c>
      <c r="G2127" s="205">
        <v>0.0</v>
      </c>
    </row>
    <row r="2128" ht="15.75" customHeight="1">
      <c r="A2128" s="200" t="s">
        <v>311</v>
      </c>
      <c r="B2128" s="186" t="s">
        <v>7617</v>
      </c>
      <c r="C2128" s="210" t="s">
        <v>7460</v>
      </c>
      <c r="D2128" s="210" t="s">
        <v>7359</v>
      </c>
      <c r="E2128" s="204">
        <v>2.0</v>
      </c>
      <c r="F2128" s="205">
        <v>0.0</v>
      </c>
      <c r="G2128" s="205">
        <v>0.5</v>
      </c>
    </row>
    <row r="2129" ht="15.75" customHeight="1">
      <c r="A2129" s="200" t="s">
        <v>311</v>
      </c>
      <c r="B2129" s="186" t="s">
        <v>7618</v>
      </c>
      <c r="C2129" s="210" t="s">
        <v>7619</v>
      </c>
      <c r="D2129" s="210" t="s">
        <v>7620</v>
      </c>
      <c r="E2129" s="204">
        <v>2.0</v>
      </c>
      <c r="F2129" s="205">
        <v>0.0</v>
      </c>
      <c r="G2129" s="205">
        <v>0.0</v>
      </c>
    </row>
    <row r="2130" ht="15.75" customHeight="1">
      <c r="A2130" s="200" t="s">
        <v>311</v>
      </c>
      <c r="B2130" s="186" t="s">
        <v>7622</v>
      </c>
      <c r="C2130" s="210" t="s">
        <v>7623</v>
      </c>
      <c r="D2130" s="210" t="s">
        <v>7127</v>
      </c>
      <c r="E2130" s="204">
        <v>2.0</v>
      </c>
      <c r="F2130" s="205">
        <v>0.0</v>
      </c>
      <c r="G2130" s="205">
        <v>0.0</v>
      </c>
    </row>
    <row r="2131" ht="15.75" customHeight="1">
      <c r="A2131" s="200" t="s">
        <v>311</v>
      </c>
      <c r="B2131" s="186" t="s">
        <v>2470</v>
      </c>
      <c r="C2131" s="210" t="s">
        <v>2471</v>
      </c>
      <c r="D2131" s="210" t="s">
        <v>7624</v>
      </c>
      <c r="E2131" s="204">
        <v>2.0</v>
      </c>
      <c r="F2131" s="205">
        <v>0.0</v>
      </c>
      <c r="G2131" s="205">
        <v>0.0</v>
      </c>
    </row>
    <row r="2132" ht="15.75" customHeight="1">
      <c r="A2132" s="200" t="s">
        <v>311</v>
      </c>
      <c r="B2132" s="186" t="s">
        <v>2387</v>
      </c>
      <c r="C2132" s="210" t="s">
        <v>2388</v>
      </c>
      <c r="D2132" s="210" t="s">
        <v>7625</v>
      </c>
      <c r="E2132" s="204">
        <v>2.0</v>
      </c>
      <c r="F2132" s="205">
        <v>0.0</v>
      </c>
      <c r="G2132" s="205">
        <v>0.0</v>
      </c>
    </row>
    <row r="2133" ht="15.75" customHeight="1">
      <c r="A2133" s="200" t="s">
        <v>311</v>
      </c>
      <c r="B2133" s="186" t="s">
        <v>2501</v>
      </c>
      <c r="C2133" s="210" t="s">
        <v>2502</v>
      </c>
      <c r="D2133" s="210" t="s">
        <v>7626</v>
      </c>
      <c r="E2133" s="204">
        <v>2.0</v>
      </c>
      <c r="F2133" s="205">
        <v>0.0</v>
      </c>
      <c r="G2133" s="205">
        <v>1.0</v>
      </c>
    </row>
    <row r="2134" ht="15.75" customHeight="1">
      <c r="A2134" s="200" t="s">
        <v>311</v>
      </c>
      <c r="B2134" s="186" t="s">
        <v>7627</v>
      </c>
      <c r="C2134" s="210" t="s">
        <v>7628</v>
      </c>
      <c r="D2134" s="210" t="s">
        <v>7629</v>
      </c>
      <c r="E2134" s="204">
        <v>2.0</v>
      </c>
      <c r="F2134" s="205">
        <v>0.0</v>
      </c>
      <c r="G2134" s="205">
        <v>0.5</v>
      </c>
    </row>
    <row r="2135" ht="15.75" customHeight="1">
      <c r="A2135" s="200" t="s">
        <v>311</v>
      </c>
      <c r="B2135" s="186" t="s">
        <v>7630</v>
      </c>
      <c r="C2135" s="210" t="s">
        <v>7631</v>
      </c>
      <c r="D2135" s="210" t="s">
        <v>7632</v>
      </c>
      <c r="E2135" s="204">
        <v>2.0</v>
      </c>
      <c r="F2135" s="205">
        <v>0.0</v>
      </c>
      <c r="G2135" s="205">
        <v>3.0</v>
      </c>
    </row>
    <row r="2136" ht="15.75" customHeight="1">
      <c r="A2136" s="200" t="s">
        <v>311</v>
      </c>
      <c r="B2136" s="186" t="s">
        <v>7633</v>
      </c>
      <c r="C2136" s="210" t="s">
        <v>7634</v>
      </c>
      <c r="D2136" s="210" t="s">
        <v>7635</v>
      </c>
      <c r="E2136" s="204">
        <v>2.0</v>
      </c>
      <c r="F2136" s="205">
        <v>0.0</v>
      </c>
      <c r="G2136" s="205">
        <v>0.5</v>
      </c>
    </row>
    <row r="2137" ht="15.75" customHeight="1">
      <c r="A2137" s="200" t="s">
        <v>311</v>
      </c>
      <c r="B2137" s="186" t="s">
        <v>2230</v>
      </c>
      <c r="C2137" s="210" t="s">
        <v>2232</v>
      </c>
      <c r="D2137" s="210" t="s">
        <v>7636</v>
      </c>
      <c r="E2137" s="204">
        <v>2.0</v>
      </c>
      <c r="F2137" s="205">
        <v>0.0</v>
      </c>
      <c r="G2137" s="205">
        <v>0.0</v>
      </c>
    </row>
    <row r="2138" ht="15.75" customHeight="1">
      <c r="A2138" s="200" t="s">
        <v>311</v>
      </c>
      <c r="B2138" s="186" t="s">
        <v>7637</v>
      </c>
      <c r="C2138" s="210" t="s">
        <v>7638</v>
      </c>
      <c r="D2138" s="210" t="s">
        <v>7639</v>
      </c>
      <c r="E2138" s="204">
        <v>2.0</v>
      </c>
      <c r="F2138" s="205">
        <v>0.0</v>
      </c>
      <c r="G2138" s="205">
        <v>0.0</v>
      </c>
    </row>
    <row r="2139" ht="15.75" customHeight="1">
      <c r="A2139" s="200" t="s">
        <v>311</v>
      </c>
      <c r="B2139" s="186" t="s">
        <v>695</v>
      </c>
      <c r="C2139" s="210" t="s">
        <v>696</v>
      </c>
      <c r="D2139" s="210" t="s">
        <v>1934</v>
      </c>
      <c r="E2139" s="204">
        <v>2.0</v>
      </c>
      <c r="F2139" s="205">
        <v>0.0</v>
      </c>
      <c r="G2139" s="205">
        <v>1.5</v>
      </c>
    </row>
    <row r="2140" ht="15.75" customHeight="1">
      <c r="A2140" s="200" t="s">
        <v>311</v>
      </c>
      <c r="B2140" s="186" t="s">
        <v>1990</v>
      </c>
      <c r="C2140" s="210" t="s">
        <v>953</v>
      </c>
      <c r="D2140" s="210" t="s">
        <v>1993</v>
      </c>
      <c r="E2140" s="204">
        <v>2.0</v>
      </c>
      <c r="F2140" s="205">
        <v>0.0</v>
      </c>
      <c r="G2140" s="205">
        <v>0.5</v>
      </c>
    </row>
    <row r="2141" ht="15.75" customHeight="1">
      <c r="A2141" s="200" t="s">
        <v>311</v>
      </c>
      <c r="B2141" s="186" t="s">
        <v>7642</v>
      </c>
      <c r="C2141" s="210" t="s">
        <v>7643</v>
      </c>
      <c r="D2141" s="210" t="s">
        <v>7644</v>
      </c>
      <c r="E2141" s="204">
        <v>2.0</v>
      </c>
      <c r="F2141" s="205">
        <v>0.0</v>
      </c>
      <c r="G2141" s="205">
        <v>2.5</v>
      </c>
    </row>
    <row r="2142" ht="15.75" customHeight="1">
      <c r="A2142" s="200" t="s">
        <v>311</v>
      </c>
      <c r="B2142" s="186" t="s">
        <v>7645</v>
      </c>
      <c r="C2142" s="210" t="s">
        <v>4172</v>
      </c>
      <c r="D2142" s="210" t="s">
        <v>7646</v>
      </c>
      <c r="E2142" s="204">
        <v>2.0</v>
      </c>
      <c r="F2142" s="205">
        <v>0.0</v>
      </c>
      <c r="G2142" s="205">
        <v>0.5</v>
      </c>
    </row>
    <row r="2143" ht="15.75" customHeight="1">
      <c r="A2143" s="200" t="s">
        <v>311</v>
      </c>
      <c r="B2143" s="186" t="s">
        <v>7648</v>
      </c>
      <c r="C2143" s="210" t="s">
        <v>7406</v>
      </c>
      <c r="D2143" s="210" t="s">
        <v>7649</v>
      </c>
      <c r="E2143" s="204">
        <v>2.0</v>
      </c>
      <c r="F2143" s="205">
        <v>0.0</v>
      </c>
      <c r="G2143" s="205">
        <v>0.0</v>
      </c>
    </row>
    <row r="2144" ht="15.75" customHeight="1">
      <c r="A2144" s="200" t="s">
        <v>311</v>
      </c>
      <c r="B2144" s="186" t="s">
        <v>7651</v>
      </c>
      <c r="C2144" s="210" t="s">
        <v>7409</v>
      </c>
      <c r="D2144" s="210" t="s">
        <v>7652</v>
      </c>
      <c r="E2144" s="204">
        <v>2.0</v>
      </c>
      <c r="F2144" s="205">
        <v>0.0</v>
      </c>
      <c r="G2144" s="205">
        <v>0.0</v>
      </c>
    </row>
    <row r="2145" ht="15.75" customHeight="1">
      <c r="A2145" s="200" t="s">
        <v>311</v>
      </c>
      <c r="B2145" s="186" t="s">
        <v>7653</v>
      </c>
      <c r="C2145" s="210" t="s">
        <v>7654</v>
      </c>
      <c r="D2145" s="210" t="s">
        <v>7655</v>
      </c>
      <c r="E2145" s="204">
        <v>2.0</v>
      </c>
      <c r="F2145" s="205">
        <v>0.0</v>
      </c>
      <c r="G2145" s="205">
        <v>1.0</v>
      </c>
    </row>
    <row r="2146" ht="15.75" customHeight="1">
      <c r="A2146" s="200" t="s">
        <v>311</v>
      </c>
      <c r="B2146" s="186" t="s">
        <v>638</v>
      </c>
      <c r="C2146" s="210" t="s">
        <v>639</v>
      </c>
      <c r="D2146" s="210" t="s">
        <v>1994</v>
      </c>
      <c r="E2146" s="204">
        <v>2.0</v>
      </c>
      <c r="F2146" s="205">
        <v>0.0</v>
      </c>
      <c r="G2146" s="205">
        <v>1.0</v>
      </c>
    </row>
    <row r="2147" ht="15.75" customHeight="1">
      <c r="A2147" s="200" t="s">
        <v>311</v>
      </c>
      <c r="B2147" s="186" t="s">
        <v>7657</v>
      </c>
      <c r="C2147" s="210" t="s">
        <v>7658</v>
      </c>
      <c r="D2147" s="210" t="s">
        <v>7659</v>
      </c>
      <c r="E2147" s="204">
        <v>2.0</v>
      </c>
      <c r="F2147" s="205">
        <v>0.0</v>
      </c>
      <c r="G2147" s="205">
        <v>0.5</v>
      </c>
    </row>
    <row r="2148" ht="15.75" customHeight="1">
      <c r="A2148" s="200" t="s">
        <v>311</v>
      </c>
      <c r="B2148" s="186" t="s">
        <v>7660</v>
      </c>
      <c r="C2148" s="210" t="s">
        <v>7661</v>
      </c>
      <c r="D2148" s="210" t="s">
        <v>7662</v>
      </c>
      <c r="E2148" s="204">
        <v>2.0</v>
      </c>
      <c r="F2148" s="205">
        <v>0.0</v>
      </c>
      <c r="G2148" s="205">
        <v>0.5</v>
      </c>
    </row>
    <row r="2149" ht="15.75" customHeight="1">
      <c r="A2149" s="200" t="s">
        <v>311</v>
      </c>
      <c r="B2149" s="186" t="s">
        <v>7663</v>
      </c>
      <c r="C2149" s="210" t="s">
        <v>7665</v>
      </c>
      <c r="D2149" s="210" t="s">
        <v>7666</v>
      </c>
      <c r="E2149" s="204">
        <v>2.0</v>
      </c>
      <c r="F2149" s="205">
        <v>0.0</v>
      </c>
      <c r="G2149" s="205">
        <v>0.0</v>
      </c>
    </row>
    <row r="2150" ht="15.75" customHeight="1">
      <c r="A2150" s="200" t="s">
        <v>311</v>
      </c>
      <c r="B2150" s="186" t="s">
        <v>868</v>
      </c>
      <c r="C2150" s="210" t="s">
        <v>869</v>
      </c>
      <c r="D2150" s="210" t="s">
        <v>1995</v>
      </c>
      <c r="E2150" s="204">
        <v>2.0</v>
      </c>
      <c r="F2150" s="205">
        <v>0.0</v>
      </c>
      <c r="G2150" s="205">
        <v>0.5</v>
      </c>
    </row>
    <row r="2151" ht="15.75" customHeight="1">
      <c r="A2151" s="200" t="s">
        <v>311</v>
      </c>
      <c r="B2151" s="186" t="s">
        <v>1998</v>
      </c>
      <c r="C2151" s="210" t="s">
        <v>670</v>
      </c>
      <c r="D2151" s="210" t="s">
        <v>1999</v>
      </c>
      <c r="E2151" s="204">
        <v>2.0</v>
      </c>
      <c r="F2151" s="205">
        <v>0.0</v>
      </c>
      <c r="G2151" s="205">
        <v>1.0</v>
      </c>
    </row>
    <row r="2152" ht="15.75" customHeight="1">
      <c r="A2152" s="200" t="s">
        <v>311</v>
      </c>
      <c r="B2152" s="186" t="s">
        <v>7670</v>
      </c>
      <c r="C2152" s="210" t="s">
        <v>7671</v>
      </c>
      <c r="D2152" s="210" t="s">
        <v>7672</v>
      </c>
      <c r="E2152" s="204">
        <v>2.0</v>
      </c>
      <c r="F2152" s="205">
        <v>0.0</v>
      </c>
      <c r="G2152" s="205">
        <v>2.0</v>
      </c>
    </row>
    <row r="2153" ht="15.75" customHeight="1">
      <c r="A2153" s="200" t="s">
        <v>311</v>
      </c>
      <c r="B2153" s="186" t="s">
        <v>2595</v>
      </c>
      <c r="C2153" s="210" t="s">
        <v>2596</v>
      </c>
      <c r="D2153" s="210" t="s">
        <v>7674</v>
      </c>
      <c r="E2153" s="204">
        <v>2.0</v>
      </c>
      <c r="F2153" s="205">
        <v>0.0</v>
      </c>
      <c r="G2153" s="205">
        <v>0.0</v>
      </c>
    </row>
    <row r="2154" ht="15.75" customHeight="1">
      <c r="A2154" s="200" t="s">
        <v>311</v>
      </c>
      <c r="B2154" s="186" t="s">
        <v>7675</v>
      </c>
      <c r="C2154" s="210" t="s">
        <v>7676</v>
      </c>
      <c r="D2154" s="210" t="s">
        <v>7678</v>
      </c>
      <c r="E2154" s="204">
        <v>2.0</v>
      </c>
      <c r="F2154" s="205">
        <v>0.0</v>
      </c>
      <c r="G2154" s="205">
        <v>0.0</v>
      </c>
    </row>
    <row r="2155" ht="15.75" customHeight="1">
      <c r="A2155" s="200" t="s">
        <v>311</v>
      </c>
      <c r="B2155" s="186" t="s">
        <v>6010</v>
      </c>
      <c r="C2155" s="210" t="s">
        <v>6011</v>
      </c>
      <c r="D2155" s="210" t="s">
        <v>7680</v>
      </c>
      <c r="E2155" s="204">
        <v>2.0</v>
      </c>
      <c r="F2155" s="205">
        <v>0.0</v>
      </c>
      <c r="G2155" s="205">
        <v>1.0</v>
      </c>
    </row>
    <row r="2156" ht="15.75" customHeight="1">
      <c r="A2156" s="200" t="s">
        <v>311</v>
      </c>
      <c r="B2156" s="186" t="s">
        <v>2284</v>
      </c>
      <c r="C2156" s="210" t="s">
        <v>2285</v>
      </c>
      <c r="D2156" s="210" t="s">
        <v>7682</v>
      </c>
      <c r="E2156" s="204">
        <v>2.0</v>
      </c>
      <c r="F2156" s="205">
        <v>0.0</v>
      </c>
      <c r="G2156" s="205">
        <v>0.0</v>
      </c>
    </row>
    <row r="2157" ht="15.75" customHeight="1">
      <c r="A2157" s="200" t="s">
        <v>311</v>
      </c>
      <c r="B2157" s="186" t="s">
        <v>7685</v>
      </c>
      <c r="C2157" s="210" t="s">
        <v>7686</v>
      </c>
      <c r="D2157" s="210" t="s">
        <v>7687</v>
      </c>
      <c r="E2157" s="204">
        <v>2.0</v>
      </c>
      <c r="F2157" s="205">
        <v>0.0</v>
      </c>
      <c r="G2157" s="205">
        <v>1.0</v>
      </c>
    </row>
    <row r="2158" ht="15.75" customHeight="1">
      <c r="A2158" s="200" t="s">
        <v>311</v>
      </c>
      <c r="B2158" s="186" t="s">
        <v>7688</v>
      </c>
      <c r="C2158" s="210" t="s">
        <v>7689</v>
      </c>
      <c r="D2158" s="210" t="s">
        <v>7690</v>
      </c>
      <c r="E2158" s="204">
        <v>2.0</v>
      </c>
      <c r="F2158" s="205">
        <v>0.0</v>
      </c>
      <c r="G2158" s="205">
        <v>0.0</v>
      </c>
    </row>
    <row r="2159" ht="15.75" customHeight="1">
      <c r="A2159" s="200" t="s">
        <v>311</v>
      </c>
      <c r="B2159" s="186" t="s">
        <v>7691</v>
      </c>
      <c r="C2159" s="210" t="s">
        <v>7692</v>
      </c>
      <c r="D2159" s="210" t="s">
        <v>7693</v>
      </c>
      <c r="E2159" s="204">
        <v>2.0</v>
      </c>
      <c r="F2159" s="205">
        <v>0.0</v>
      </c>
      <c r="G2159" s="205">
        <v>0.0</v>
      </c>
    </row>
    <row r="2160" ht="15.75" customHeight="1">
      <c r="A2160" s="200" t="s">
        <v>311</v>
      </c>
      <c r="B2160" s="186" t="s">
        <v>2443</v>
      </c>
      <c r="C2160" s="210" t="s">
        <v>2444</v>
      </c>
      <c r="D2160" s="210" t="s">
        <v>7694</v>
      </c>
      <c r="E2160" s="204">
        <v>2.0</v>
      </c>
      <c r="F2160" s="205">
        <v>0.0</v>
      </c>
      <c r="G2160" s="205">
        <v>0.0</v>
      </c>
    </row>
    <row r="2161" ht="15.75" customHeight="1">
      <c r="A2161" s="200" t="s">
        <v>311</v>
      </c>
      <c r="B2161" s="186" t="s">
        <v>3739</v>
      </c>
      <c r="C2161" s="210" t="s">
        <v>3740</v>
      </c>
      <c r="D2161" s="210" t="s">
        <v>7695</v>
      </c>
      <c r="E2161" s="204">
        <v>2.0</v>
      </c>
      <c r="F2161" s="205">
        <v>0.0</v>
      </c>
      <c r="G2161" s="205">
        <v>0.0</v>
      </c>
    </row>
    <row r="2162" ht="15.75" customHeight="1">
      <c r="A2162" s="200" t="s">
        <v>311</v>
      </c>
      <c r="B2162" s="186" t="s">
        <v>7696</v>
      </c>
      <c r="C2162" s="210" t="s">
        <v>7697</v>
      </c>
      <c r="D2162" s="210" t="s">
        <v>7698</v>
      </c>
      <c r="E2162" s="204">
        <v>2.0</v>
      </c>
      <c r="F2162" s="205">
        <v>0.0</v>
      </c>
      <c r="G2162" s="205">
        <v>0.0</v>
      </c>
    </row>
    <row r="2163" ht="15.75" customHeight="1">
      <c r="A2163" s="200" t="s">
        <v>311</v>
      </c>
      <c r="B2163" s="186" t="s">
        <v>7700</v>
      </c>
      <c r="C2163" s="210" t="s">
        <v>7701</v>
      </c>
      <c r="D2163" s="210"/>
      <c r="E2163" s="204">
        <v>2.0</v>
      </c>
      <c r="F2163" s="205">
        <v>0.0</v>
      </c>
      <c r="G2163" s="205">
        <v>0.5</v>
      </c>
    </row>
    <row r="2164" ht="15.75" customHeight="1">
      <c r="A2164" s="200" t="s">
        <v>311</v>
      </c>
      <c r="B2164" s="186" t="s">
        <v>7703</v>
      </c>
      <c r="C2164" s="210" t="s">
        <v>7704</v>
      </c>
      <c r="D2164" s="210" t="s">
        <v>7706</v>
      </c>
      <c r="E2164" s="204">
        <v>2.0</v>
      </c>
      <c r="F2164" s="205">
        <v>0.0</v>
      </c>
      <c r="G2164" s="205">
        <v>1.0</v>
      </c>
    </row>
    <row r="2165" ht="15.75" customHeight="1">
      <c r="A2165" s="200" t="s">
        <v>311</v>
      </c>
      <c r="B2165" s="186" t="s">
        <v>5079</v>
      </c>
      <c r="C2165" s="210" t="s">
        <v>5080</v>
      </c>
      <c r="D2165" s="210" t="s">
        <v>7707</v>
      </c>
      <c r="E2165" s="204">
        <v>2.0</v>
      </c>
      <c r="F2165" s="205">
        <v>0.0</v>
      </c>
      <c r="G2165" s="205">
        <v>1.0</v>
      </c>
    </row>
    <row r="2166" ht="15.75" customHeight="1">
      <c r="A2166" s="200" t="s">
        <v>311</v>
      </c>
      <c r="B2166" s="186" t="s">
        <v>7708</v>
      </c>
      <c r="C2166" s="210" t="s">
        <v>7709</v>
      </c>
      <c r="D2166" s="210" t="s">
        <v>7710</v>
      </c>
      <c r="E2166" s="204">
        <v>2.0</v>
      </c>
      <c r="F2166" s="205">
        <v>0.0</v>
      </c>
      <c r="G2166" s="205">
        <v>0.0</v>
      </c>
    </row>
    <row r="2167" ht="15.75" customHeight="1">
      <c r="A2167" s="200" t="s">
        <v>311</v>
      </c>
      <c r="B2167" s="186" t="s">
        <v>7711</v>
      </c>
      <c r="C2167" s="210" t="s">
        <v>7712</v>
      </c>
      <c r="D2167" s="210" t="s">
        <v>7713</v>
      </c>
      <c r="E2167" s="204">
        <v>2.0</v>
      </c>
      <c r="F2167" s="205">
        <v>0.0</v>
      </c>
      <c r="G2167" s="205">
        <v>1.0</v>
      </c>
    </row>
    <row r="2168" ht="15.75" customHeight="1">
      <c r="A2168" s="200" t="s">
        <v>311</v>
      </c>
      <c r="B2168" s="186" t="s">
        <v>7714</v>
      </c>
      <c r="C2168" s="210" t="s">
        <v>7715</v>
      </c>
      <c r="D2168" s="210" t="s">
        <v>7716</v>
      </c>
      <c r="E2168" s="204">
        <v>2.0</v>
      </c>
      <c r="F2168" s="205">
        <v>0.0</v>
      </c>
      <c r="G2168" s="205">
        <v>1.0</v>
      </c>
    </row>
    <row r="2169" ht="15.75" customHeight="1">
      <c r="A2169" s="200" t="s">
        <v>311</v>
      </c>
      <c r="B2169" s="186" t="s">
        <v>769</v>
      </c>
      <c r="C2169" s="210" t="s">
        <v>770</v>
      </c>
      <c r="D2169" s="210" t="s">
        <v>2003</v>
      </c>
      <c r="E2169" s="204">
        <v>2.0</v>
      </c>
      <c r="F2169" s="205">
        <v>0.0</v>
      </c>
      <c r="G2169" s="205">
        <v>1.0</v>
      </c>
    </row>
    <row r="2170" ht="15.75" customHeight="1">
      <c r="A2170" s="200" t="s">
        <v>311</v>
      </c>
      <c r="B2170" s="186" t="s">
        <v>7717</v>
      </c>
      <c r="C2170" s="210" t="s">
        <v>7718</v>
      </c>
      <c r="D2170" s="210" t="s">
        <v>7719</v>
      </c>
      <c r="E2170" s="204">
        <v>2.0</v>
      </c>
      <c r="F2170" s="205">
        <v>0.0</v>
      </c>
      <c r="G2170" s="205">
        <v>1.5</v>
      </c>
    </row>
    <row r="2171" ht="15.75" customHeight="1">
      <c r="A2171" s="200" t="s">
        <v>311</v>
      </c>
      <c r="B2171" s="186" t="s">
        <v>7720</v>
      </c>
      <c r="C2171" s="210" t="s">
        <v>7721</v>
      </c>
      <c r="D2171" s="210" t="s">
        <v>7722</v>
      </c>
      <c r="E2171" s="204">
        <v>2.0</v>
      </c>
      <c r="F2171" s="205">
        <v>0.0</v>
      </c>
      <c r="G2171" s="205">
        <v>1.0</v>
      </c>
    </row>
    <row r="2172" ht="15.75" customHeight="1">
      <c r="A2172" s="200" t="s">
        <v>311</v>
      </c>
      <c r="B2172" s="186" t="s">
        <v>2576</v>
      </c>
      <c r="C2172" s="210" t="s">
        <v>2577</v>
      </c>
      <c r="D2172" s="210" t="s">
        <v>7724</v>
      </c>
      <c r="E2172" s="204">
        <v>2.0</v>
      </c>
      <c r="F2172" s="205">
        <v>0.0</v>
      </c>
      <c r="G2172" s="205">
        <v>0.0</v>
      </c>
    </row>
    <row r="2173" ht="15.75" customHeight="1">
      <c r="A2173" s="200" t="s">
        <v>311</v>
      </c>
      <c r="B2173" s="186" t="s">
        <v>2004</v>
      </c>
      <c r="C2173" s="210" t="s">
        <v>2005</v>
      </c>
      <c r="D2173" s="210" t="s">
        <v>2006</v>
      </c>
      <c r="E2173" s="204">
        <v>2.0</v>
      </c>
      <c r="F2173" s="205">
        <v>0.0</v>
      </c>
      <c r="G2173" s="205">
        <v>0.5</v>
      </c>
    </row>
    <row r="2174" ht="15.75" customHeight="1">
      <c r="A2174" s="200" t="s">
        <v>311</v>
      </c>
      <c r="B2174" s="186" t="s">
        <v>5136</v>
      </c>
      <c r="C2174" s="210" t="s">
        <v>5137</v>
      </c>
      <c r="D2174" s="210"/>
      <c r="E2174" s="204">
        <v>2.0</v>
      </c>
      <c r="F2174" s="205">
        <v>0.0</v>
      </c>
      <c r="G2174" s="205">
        <v>0.5</v>
      </c>
    </row>
    <row r="2175" ht="15.75" customHeight="1">
      <c r="A2175" s="200" t="s">
        <v>311</v>
      </c>
      <c r="B2175" s="186" t="s">
        <v>3986</v>
      </c>
      <c r="C2175" s="210" t="s">
        <v>3987</v>
      </c>
      <c r="D2175" s="210" t="s">
        <v>7838</v>
      </c>
      <c r="E2175" s="204">
        <v>2.0</v>
      </c>
      <c r="F2175" s="205">
        <v>0.0</v>
      </c>
      <c r="G2175" s="205">
        <v>0.5</v>
      </c>
    </row>
    <row r="2176" ht="15.75" customHeight="1">
      <c r="A2176" s="200" t="s">
        <v>311</v>
      </c>
      <c r="B2176" s="186" t="s">
        <v>2446</v>
      </c>
      <c r="C2176" s="210" t="s">
        <v>2447</v>
      </c>
      <c r="D2176" s="210"/>
      <c r="E2176" s="204">
        <v>2.0</v>
      </c>
      <c r="F2176" s="205">
        <v>0.0</v>
      </c>
      <c r="G2176" s="205">
        <v>1.0</v>
      </c>
    </row>
    <row r="2177" ht="15.75" customHeight="1">
      <c r="A2177" s="200" t="s">
        <v>311</v>
      </c>
      <c r="B2177" s="186" t="s">
        <v>2007</v>
      </c>
      <c r="C2177" s="210" t="s">
        <v>2008</v>
      </c>
      <c r="D2177" s="210" t="s">
        <v>2010</v>
      </c>
      <c r="E2177" s="204">
        <v>2.0</v>
      </c>
      <c r="F2177" s="205">
        <v>0.0</v>
      </c>
      <c r="G2177" s="205">
        <v>1.0</v>
      </c>
    </row>
    <row r="2178" ht="15.75" customHeight="1">
      <c r="A2178" s="200" t="s">
        <v>311</v>
      </c>
      <c r="B2178" s="186" t="s">
        <v>2012</v>
      </c>
      <c r="C2178" s="210" t="s">
        <v>2013</v>
      </c>
      <c r="D2178" s="210" t="s">
        <v>2014</v>
      </c>
      <c r="E2178" s="204">
        <v>2.0</v>
      </c>
      <c r="F2178" s="205">
        <v>0.0</v>
      </c>
      <c r="G2178" s="205">
        <v>1.0</v>
      </c>
    </row>
    <row r="2179" ht="15.75" customHeight="1">
      <c r="A2179" s="200" t="s">
        <v>311</v>
      </c>
      <c r="B2179" s="186" t="s">
        <v>2015</v>
      </c>
      <c r="C2179" s="210" t="s">
        <v>2016</v>
      </c>
      <c r="D2179" s="210" t="s">
        <v>2019</v>
      </c>
      <c r="E2179" s="204">
        <v>2.0</v>
      </c>
      <c r="F2179" s="205">
        <v>0.0</v>
      </c>
      <c r="G2179" s="205">
        <v>0.0</v>
      </c>
    </row>
    <row r="2180" ht="15.75" customHeight="1">
      <c r="A2180" s="200" t="s">
        <v>311</v>
      </c>
      <c r="B2180" s="186" t="s">
        <v>7840</v>
      </c>
      <c r="C2180" s="210" t="s">
        <v>3296</v>
      </c>
      <c r="D2180" s="210" t="s">
        <v>7841</v>
      </c>
      <c r="E2180" s="204">
        <v>2.0</v>
      </c>
      <c r="F2180" s="205">
        <v>0.0</v>
      </c>
      <c r="G2180" s="205">
        <v>1.0</v>
      </c>
    </row>
    <row r="2181" ht="15.75" customHeight="1">
      <c r="A2181" s="200" t="s">
        <v>311</v>
      </c>
      <c r="B2181" s="186" t="s">
        <v>7842</v>
      </c>
      <c r="C2181" s="210" t="s">
        <v>7843</v>
      </c>
      <c r="D2181" s="210" t="s">
        <v>877</v>
      </c>
      <c r="E2181" s="204">
        <v>2.0</v>
      </c>
      <c r="F2181" s="205">
        <v>0.0</v>
      </c>
      <c r="G2181" s="205">
        <v>0.0</v>
      </c>
    </row>
    <row r="2182" ht="15.75" customHeight="1">
      <c r="A2182" s="200" t="s">
        <v>311</v>
      </c>
      <c r="B2182" s="186" t="s">
        <v>3767</v>
      </c>
      <c r="C2182" s="210" t="s">
        <v>3768</v>
      </c>
      <c r="D2182" s="210" t="s">
        <v>380</v>
      </c>
      <c r="E2182" s="204">
        <v>2.0</v>
      </c>
      <c r="F2182" s="205">
        <v>0.0</v>
      </c>
      <c r="G2182" s="205">
        <v>0.0</v>
      </c>
    </row>
    <row r="2183" ht="15.75" customHeight="1">
      <c r="A2183" s="200" t="s">
        <v>311</v>
      </c>
      <c r="B2183" s="186" t="s">
        <v>4329</v>
      </c>
      <c r="C2183" s="210" t="s">
        <v>4330</v>
      </c>
      <c r="D2183" s="210" t="s">
        <v>780</v>
      </c>
      <c r="E2183" s="204">
        <v>2.0</v>
      </c>
      <c r="F2183" s="205">
        <v>0.0</v>
      </c>
      <c r="G2183" s="205">
        <v>0.0</v>
      </c>
    </row>
    <row r="2184" ht="15.75" customHeight="1">
      <c r="A2184" s="200" t="s">
        <v>311</v>
      </c>
      <c r="B2184" s="186" t="s">
        <v>7845</v>
      </c>
      <c r="C2184" s="210" t="s">
        <v>7846</v>
      </c>
      <c r="D2184" s="210" t="s">
        <v>7847</v>
      </c>
      <c r="E2184" s="204">
        <v>2.0</v>
      </c>
      <c r="F2184" s="205">
        <v>0.0</v>
      </c>
      <c r="G2184" s="205">
        <v>0.5</v>
      </c>
    </row>
    <row r="2185" ht="15.75" customHeight="1">
      <c r="A2185" s="200" t="s">
        <v>311</v>
      </c>
      <c r="B2185" s="186" t="s">
        <v>7848</v>
      </c>
      <c r="C2185" s="210" t="s">
        <v>7849</v>
      </c>
      <c r="D2185" s="210" t="s">
        <v>812</v>
      </c>
      <c r="E2185" s="204">
        <v>2.0</v>
      </c>
      <c r="F2185" s="205">
        <v>0.0</v>
      </c>
      <c r="G2185" s="205">
        <v>0.0</v>
      </c>
    </row>
    <row r="2186" ht="15.75" customHeight="1">
      <c r="A2186" s="200" t="s">
        <v>311</v>
      </c>
      <c r="B2186" s="186" t="s">
        <v>7851</v>
      </c>
      <c r="C2186" s="210" t="s">
        <v>7852</v>
      </c>
      <c r="D2186" s="210" t="s">
        <v>7087</v>
      </c>
      <c r="E2186" s="204">
        <v>2.0</v>
      </c>
      <c r="F2186" s="205">
        <v>0.0</v>
      </c>
      <c r="G2186" s="205">
        <v>0.0</v>
      </c>
    </row>
    <row r="2187" ht="15.75" customHeight="1">
      <c r="A2187" s="200" t="s">
        <v>311</v>
      </c>
      <c r="B2187" s="186" t="s">
        <v>7853</v>
      </c>
      <c r="C2187" s="210" t="s">
        <v>7854</v>
      </c>
      <c r="D2187" s="210" t="s">
        <v>7063</v>
      </c>
      <c r="E2187" s="204">
        <v>2.0</v>
      </c>
      <c r="F2187" s="205">
        <v>0.0</v>
      </c>
      <c r="G2187" s="205">
        <v>0.0</v>
      </c>
    </row>
    <row r="2188" ht="15.75" customHeight="1">
      <c r="A2188" s="200" t="s">
        <v>311</v>
      </c>
      <c r="B2188" s="186" t="s">
        <v>7856</v>
      </c>
      <c r="C2188" s="210" t="s">
        <v>7858</v>
      </c>
      <c r="D2188" s="210" t="s">
        <v>7430</v>
      </c>
      <c r="E2188" s="204">
        <v>2.0</v>
      </c>
      <c r="F2188" s="205">
        <v>0.0</v>
      </c>
      <c r="G2188" s="205">
        <v>0.0</v>
      </c>
    </row>
    <row r="2189" ht="15.75" customHeight="1">
      <c r="A2189" s="200" t="s">
        <v>311</v>
      </c>
      <c r="B2189" s="186" t="s">
        <v>7860</v>
      </c>
      <c r="C2189" s="210" t="s">
        <v>7861</v>
      </c>
      <c r="D2189" s="210" t="s">
        <v>7494</v>
      </c>
      <c r="E2189" s="204">
        <v>2.0</v>
      </c>
      <c r="F2189" s="205">
        <v>0.0</v>
      </c>
      <c r="G2189" s="205">
        <v>0.0</v>
      </c>
    </row>
    <row r="2190" ht="15.75" customHeight="1">
      <c r="A2190" s="200" t="s">
        <v>311</v>
      </c>
      <c r="B2190" s="186" t="s">
        <v>7864</v>
      </c>
      <c r="C2190" s="210" t="s">
        <v>7865</v>
      </c>
      <c r="D2190" s="210" t="s">
        <v>7866</v>
      </c>
      <c r="E2190" s="204">
        <v>2.0</v>
      </c>
      <c r="F2190" s="205">
        <v>0.0</v>
      </c>
      <c r="G2190" s="205">
        <v>0.0</v>
      </c>
    </row>
    <row r="2191" ht="15.75" customHeight="1">
      <c r="A2191" s="200" t="s">
        <v>311</v>
      </c>
      <c r="B2191" s="186" t="s">
        <v>7868</v>
      </c>
      <c r="C2191" s="210" t="s">
        <v>7869</v>
      </c>
      <c r="D2191" s="210" t="s">
        <v>7871</v>
      </c>
      <c r="E2191" s="204">
        <v>2.0</v>
      </c>
      <c r="F2191" s="205">
        <v>0.0</v>
      </c>
      <c r="G2191" s="205">
        <v>0.0</v>
      </c>
    </row>
    <row r="2192" ht="15.75" customHeight="1">
      <c r="A2192" s="200" t="s">
        <v>311</v>
      </c>
      <c r="B2192" s="186" t="s">
        <v>4013</v>
      </c>
      <c r="C2192" s="210" t="s">
        <v>4014</v>
      </c>
      <c r="D2192" s="210" t="s">
        <v>2096</v>
      </c>
      <c r="E2192" s="204">
        <v>2.0</v>
      </c>
      <c r="F2192" s="205">
        <v>0.0</v>
      </c>
      <c r="G2192" s="205">
        <v>0.0</v>
      </c>
    </row>
    <row r="2193" ht="15.75" customHeight="1">
      <c r="A2193" s="200" t="s">
        <v>311</v>
      </c>
      <c r="B2193" s="186" t="s">
        <v>3079</v>
      </c>
      <c r="C2193" s="210" t="s">
        <v>3080</v>
      </c>
      <c r="D2193" s="210" t="s">
        <v>7874</v>
      </c>
      <c r="E2193" s="204">
        <v>2.0</v>
      </c>
      <c r="F2193" s="205">
        <v>0.0</v>
      </c>
      <c r="G2193" s="205">
        <v>0.0</v>
      </c>
    </row>
    <row r="2194" ht="15.75" customHeight="1">
      <c r="A2194" s="200" t="s">
        <v>311</v>
      </c>
      <c r="B2194" s="186" t="s">
        <v>7876</v>
      </c>
      <c r="C2194" s="210" t="s">
        <v>7877</v>
      </c>
      <c r="D2194" s="210" t="s">
        <v>7879</v>
      </c>
      <c r="E2194" s="204">
        <v>2.0</v>
      </c>
      <c r="F2194" s="205">
        <v>0.0</v>
      </c>
      <c r="G2194" s="205">
        <v>0.5</v>
      </c>
    </row>
    <row r="2195" ht="15.75" customHeight="1">
      <c r="A2195" s="200" t="s">
        <v>311</v>
      </c>
      <c r="B2195" s="186" t="s">
        <v>7881</v>
      </c>
      <c r="C2195" s="210" t="s">
        <v>7882</v>
      </c>
      <c r="D2195" s="210" t="s">
        <v>7883</v>
      </c>
      <c r="E2195" s="204">
        <v>2.0</v>
      </c>
      <c r="F2195" s="205">
        <v>0.0</v>
      </c>
      <c r="G2195" s="205">
        <v>0.0</v>
      </c>
    </row>
    <row r="2196" ht="15.75" customHeight="1">
      <c r="A2196" s="200" t="s">
        <v>311</v>
      </c>
      <c r="B2196" s="186" t="s">
        <v>7885</v>
      </c>
      <c r="C2196" s="210" t="s">
        <v>7886</v>
      </c>
      <c r="D2196" s="210" t="s">
        <v>780</v>
      </c>
      <c r="E2196" s="204">
        <v>2.0</v>
      </c>
      <c r="F2196" s="205">
        <v>0.0</v>
      </c>
      <c r="G2196" s="205">
        <v>1.0</v>
      </c>
    </row>
    <row r="2197" ht="15.75" customHeight="1">
      <c r="A2197" s="200" t="s">
        <v>311</v>
      </c>
      <c r="B2197" s="186" t="s">
        <v>7888</v>
      </c>
      <c r="C2197" s="210" t="s">
        <v>7889</v>
      </c>
      <c r="D2197" s="210" t="s">
        <v>7890</v>
      </c>
      <c r="E2197" s="204">
        <v>2.0</v>
      </c>
      <c r="F2197" s="205">
        <v>0.0</v>
      </c>
      <c r="G2197" s="205">
        <v>1.0</v>
      </c>
    </row>
    <row r="2198" ht="15.75" customHeight="1">
      <c r="A2198" s="200" t="s">
        <v>311</v>
      </c>
      <c r="B2198" s="186" t="s">
        <v>7892</v>
      </c>
      <c r="C2198" s="210" t="s">
        <v>7894</v>
      </c>
      <c r="D2198" s="210" t="s">
        <v>7895</v>
      </c>
      <c r="E2198" s="204">
        <v>2.0</v>
      </c>
      <c r="F2198" s="205">
        <v>0.0</v>
      </c>
      <c r="G2198" s="205">
        <v>2.5</v>
      </c>
    </row>
    <row r="2199" ht="15.75" customHeight="1">
      <c r="A2199" s="200" t="s">
        <v>311</v>
      </c>
      <c r="B2199" s="186" t="s">
        <v>7897</v>
      </c>
      <c r="C2199" s="210" t="s">
        <v>7898</v>
      </c>
      <c r="D2199" s="210" t="s">
        <v>7251</v>
      </c>
      <c r="E2199" s="204">
        <v>2.0</v>
      </c>
      <c r="F2199" s="205">
        <v>0.0</v>
      </c>
      <c r="G2199" s="205">
        <v>0.0</v>
      </c>
    </row>
    <row r="2200" ht="15.75" customHeight="1">
      <c r="A2200" s="200" t="s">
        <v>311</v>
      </c>
      <c r="B2200" s="186" t="s">
        <v>7899</v>
      </c>
      <c r="C2200" s="210" t="s">
        <v>7900</v>
      </c>
      <c r="D2200" s="210" t="s">
        <v>7901</v>
      </c>
      <c r="E2200" s="204">
        <v>2.0</v>
      </c>
      <c r="F2200" s="205">
        <v>0.0</v>
      </c>
      <c r="G2200" s="205">
        <v>1.0</v>
      </c>
    </row>
    <row r="2201" ht="15.75" customHeight="1">
      <c r="A2201" s="200" t="s">
        <v>311</v>
      </c>
      <c r="B2201" s="186" t="s">
        <v>7903</v>
      </c>
      <c r="C2201" s="210" t="s">
        <v>7242</v>
      </c>
      <c r="D2201" s="210" t="s">
        <v>780</v>
      </c>
      <c r="E2201" s="204">
        <v>2.0</v>
      </c>
      <c r="F2201" s="205">
        <v>0.0</v>
      </c>
      <c r="G2201" s="205">
        <v>0.0</v>
      </c>
    </row>
    <row r="2202" ht="15.75" customHeight="1">
      <c r="A2202" s="200" t="s">
        <v>311</v>
      </c>
      <c r="B2202" s="186" t="s">
        <v>7905</v>
      </c>
      <c r="C2202" s="210" t="s">
        <v>7906</v>
      </c>
      <c r="D2202" s="210" t="s">
        <v>7907</v>
      </c>
      <c r="E2202" s="204">
        <v>2.0</v>
      </c>
      <c r="F2202" s="205">
        <v>0.0</v>
      </c>
      <c r="G2202" s="205">
        <v>2.0</v>
      </c>
    </row>
    <row r="2203" ht="15.75" customHeight="1">
      <c r="A2203" s="200" t="s">
        <v>311</v>
      </c>
      <c r="B2203" s="186" t="s">
        <v>7910</v>
      </c>
      <c r="C2203" s="210" t="s">
        <v>7911</v>
      </c>
      <c r="D2203" s="210" t="s">
        <v>7912</v>
      </c>
      <c r="E2203" s="204">
        <v>2.0</v>
      </c>
      <c r="F2203" s="205">
        <v>0.0</v>
      </c>
      <c r="G2203" s="205">
        <v>1.0</v>
      </c>
    </row>
    <row r="2204" ht="15.75" customHeight="1">
      <c r="A2204" s="200" t="s">
        <v>311</v>
      </c>
      <c r="B2204" s="186" t="s">
        <v>7914</v>
      </c>
      <c r="C2204" s="210" t="s">
        <v>3480</v>
      </c>
      <c r="D2204" s="210" t="s">
        <v>1252</v>
      </c>
      <c r="E2204" s="204">
        <v>1.0</v>
      </c>
      <c r="F2204" s="205">
        <v>0.0</v>
      </c>
      <c r="G2204" s="205">
        <v>1.0</v>
      </c>
    </row>
    <row r="2205" ht="15.75" customHeight="1">
      <c r="A2205" s="200" t="s">
        <v>311</v>
      </c>
      <c r="B2205" s="186" t="s">
        <v>7917</v>
      </c>
      <c r="C2205" s="210" t="s">
        <v>7918</v>
      </c>
      <c r="D2205" s="210"/>
      <c r="E2205" s="204">
        <v>1.0</v>
      </c>
      <c r="F2205" s="205">
        <v>0.0</v>
      </c>
      <c r="G2205" s="205">
        <v>0.0</v>
      </c>
    </row>
    <row r="2206" ht="15.75" customHeight="1">
      <c r="A2206" s="200" t="s">
        <v>311</v>
      </c>
      <c r="B2206" s="186" t="s">
        <v>7920</v>
      </c>
      <c r="C2206" s="210" t="s">
        <v>7921</v>
      </c>
      <c r="D2206" s="210"/>
      <c r="E2206" s="204">
        <v>1.0</v>
      </c>
      <c r="F2206" s="205">
        <v>0.0</v>
      </c>
      <c r="G2206" s="205">
        <v>0.0</v>
      </c>
    </row>
    <row r="2207" ht="15.75" customHeight="1">
      <c r="A2207" s="200" t="s">
        <v>311</v>
      </c>
      <c r="B2207" s="186" t="s">
        <v>7922</v>
      </c>
      <c r="C2207" s="210" t="s">
        <v>7924</v>
      </c>
      <c r="D2207" s="210" t="s">
        <v>7925</v>
      </c>
      <c r="E2207" s="204">
        <v>1.0</v>
      </c>
      <c r="F2207" s="205">
        <v>0.0</v>
      </c>
      <c r="G2207" s="205">
        <v>1.0</v>
      </c>
    </row>
    <row r="2208" ht="15.75" customHeight="1">
      <c r="A2208" s="200" t="s">
        <v>311</v>
      </c>
      <c r="B2208" s="186" t="s">
        <v>7926</v>
      </c>
      <c r="C2208" s="210" t="s">
        <v>7927</v>
      </c>
      <c r="D2208" s="210" t="s">
        <v>376</v>
      </c>
      <c r="E2208" s="204">
        <v>1.0</v>
      </c>
      <c r="F2208" s="205">
        <v>0.0</v>
      </c>
      <c r="G2208" s="205">
        <v>0.0</v>
      </c>
    </row>
    <row r="2209" ht="15.75" customHeight="1">
      <c r="A2209" s="200" t="s">
        <v>311</v>
      </c>
      <c r="B2209" s="186" t="s">
        <v>4424</v>
      </c>
      <c r="C2209" s="210" t="s">
        <v>4425</v>
      </c>
      <c r="D2209" s="210" t="s">
        <v>7929</v>
      </c>
      <c r="E2209" s="204">
        <v>1.0</v>
      </c>
      <c r="F2209" s="205">
        <v>0.0</v>
      </c>
      <c r="G2209" s="205">
        <v>2.0</v>
      </c>
    </row>
    <row r="2210" ht="15.75" customHeight="1">
      <c r="A2210" s="200" t="s">
        <v>311</v>
      </c>
      <c r="B2210" s="186" t="s">
        <v>7931</v>
      </c>
      <c r="C2210" s="210" t="s">
        <v>7932</v>
      </c>
      <c r="D2210" s="210" t="s">
        <v>7934</v>
      </c>
      <c r="E2210" s="204">
        <v>1.0</v>
      </c>
      <c r="F2210" s="205">
        <v>0.0</v>
      </c>
      <c r="G2210" s="205">
        <v>0.0</v>
      </c>
    </row>
    <row r="2211" ht="15.75" customHeight="1">
      <c r="A2211" s="200" t="s">
        <v>311</v>
      </c>
      <c r="B2211" s="186" t="s">
        <v>7935</v>
      </c>
      <c r="C2211" s="210" t="s">
        <v>7937</v>
      </c>
      <c r="D2211" s="210" t="s">
        <v>7938</v>
      </c>
      <c r="E2211" s="204">
        <v>1.0</v>
      </c>
      <c r="F2211" s="205">
        <v>0.0</v>
      </c>
      <c r="G2211" s="205">
        <v>0.0</v>
      </c>
    </row>
    <row r="2212" ht="15.75" customHeight="1">
      <c r="A2212" s="200" t="s">
        <v>311</v>
      </c>
      <c r="B2212" s="186" t="s">
        <v>7939</v>
      </c>
      <c r="C2212" s="210" t="s">
        <v>7940</v>
      </c>
      <c r="D2212" s="210" t="s">
        <v>6958</v>
      </c>
      <c r="E2212" s="204">
        <v>1.0</v>
      </c>
      <c r="F2212" s="205">
        <v>0.0</v>
      </c>
      <c r="G2212" s="205">
        <v>0.0</v>
      </c>
    </row>
    <row r="2213" ht="15.75" customHeight="1">
      <c r="A2213" s="200" t="s">
        <v>311</v>
      </c>
      <c r="B2213" s="186" t="s">
        <v>2499</v>
      </c>
      <c r="C2213" s="210" t="s">
        <v>2500</v>
      </c>
      <c r="D2213" s="210"/>
      <c r="E2213" s="204">
        <v>1.0</v>
      </c>
      <c r="F2213" s="205">
        <v>0.0</v>
      </c>
      <c r="G2213" s="205">
        <v>0.0</v>
      </c>
    </row>
    <row r="2214" ht="15.75" customHeight="1">
      <c r="A2214" s="200" t="s">
        <v>311</v>
      </c>
      <c r="B2214" s="186" t="s">
        <v>4433</v>
      </c>
      <c r="C2214" s="210" t="s">
        <v>4434</v>
      </c>
      <c r="D2214" s="210" t="s">
        <v>2040</v>
      </c>
      <c r="E2214" s="204">
        <v>1.0</v>
      </c>
      <c r="F2214" s="205">
        <v>0.0</v>
      </c>
      <c r="G2214" s="205">
        <v>0.0</v>
      </c>
    </row>
    <row r="2215" ht="15.75" customHeight="1">
      <c r="A2215" s="200" t="s">
        <v>311</v>
      </c>
      <c r="B2215" s="186" t="s">
        <v>7944</v>
      </c>
      <c r="C2215" s="210" t="s">
        <v>7945</v>
      </c>
      <c r="D2215" s="210" t="s">
        <v>7179</v>
      </c>
      <c r="E2215" s="204">
        <v>1.0</v>
      </c>
      <c r="F2215" s="205">
        <v>0.0</v>
      </c>
      <c r="G2215" s="205">
        <v>0.0</v>
      </c>
    </row>
    <row r="2216" ht="15.75" customHeight="1">
      <c r="A2216" s="200" t="s">
        <v>311</v>
      </c>
      <c r="B2216" s="186" t="s">
        <v>7947</v>
      </c>
      <c r="C2216" s="210" t="s">
        <v>7948</v>
      </c>
      <c r="D2216" s="210" t="s">
        <v>7949</v>
      </c>
      <c r="E2216" s="204">
        <v>1.0</v>
      </c>
      <c r="F2216" s="205">
        <v>0.0</v>
      </c>
      <c r="G2216" s="205">
        <v>0.0</v>
      </c>
    </row>
    <row r="2217" ht="15.75" customHeight="1">
      <c r="A2217" s="200" t="s">
        <v>311</v>
      </c>
      <c r="B2217" s="186" t="s">
        <v>3343</v>
      </c>
      <c r="C2217" s="210" t="s">
        <v>3345</v>
      </c>
      <c r="D2217" s="210" t="s">
        <v>7952</v>
      </c>
      <c r="E2217" s="204">
        <v>1.0</v>
      </c>
      <c r="F2217" s="205">
        <v>0.0</v>
      </c>
      <c r="G2217" s="205">
        <v>1.0</v>
      </c>
    </row>
    <row r="2218" ht="15.75" customHeight="1">
      <c r="A2218" s="200" t="s">
        <v>311</v>
      </c>
      <c r="B2218" s="186" t="s">
        <v>7954</v>
      </c>
      <c r="C2218" s="210" t="s">
        <v>7956</v>
      </c>
      <c r="D2218" s="210" t="s">
        <v>7957</v>
      </c>
      <c r="E2218" s="204">
        <v>1.0</v>
      </c>
      <c r="F2218" s="205">
        <v>0.0</v>
      </c>
      <c r="G2218" s="205">
        <v>2.0</v>
      </c>
    </row>
    <row r="2219" ht="15.75" customHeight="1">
      <c r="A2219" s="200" t="s">
        <v>311</v>
      </c>
      <c r="B2219" s="186" t="s">
        <v>7959</v>
      </c>
      <c r="C2219" s="210" t="s">
        <v>7961</v>
      </c>
      <c r="D2219" s="210"/>
      <c r="E2219" s="204">
        <v>1.0</v>
      </c>
      <c r="F2219" s="205">
        <v>0.0</v>
      </c>
      <c r="G2219" s="205">
        <v>5.0</v>
      </c>
    </row>
    <row r="2220" ht="15.75" customHeight="1">
      <c r="A2220" s="200" t="s">
        <v>311</v>
      </c>
      <c r="B2220" s="186" t="s">
        <v>2460</v>
      </c>
      <c r="C2220" s="210" t="s">
        <v>2462</v>
      </c>
      <c r="D2220" s="210" t="s">
        <v>2463</v>
      </c>
      <c r="E2220" s="204">
        <v>1.0</v>
      </c>
      <c r="F2220" s="205">
        <v>0.0</v>
      </c>
      <c r="G2220" s="205">
        <v>0.0</v>
      </c>
    </row>
    <row r="2221" ht="15.75" customHeight="1">
      <c r="A2221" s="200" t="s">
        <v>311</v>
      </c>
      <c r="B2221" s="186" t="s">
        <v>7964</v>
      </c>
      <c r="C2221" s="210" t="s">
        <v>7965</v>
      </c>
      <c r="D2221" s="210" t="s">
        <v>7966</v>
      </c>
      <c r="E2221" s="204">
        <v>1.0</v>
      </c>
      <c r="F2221" s="205">
        <v>0.0</v>
      </c>
      <c r="G2221" s="205">
        <v>0.0</v>
      </c>
    </row>
    <row r="2222" ht="15.75" customHeight="1">
      <c r="A2222" s="200" t="s">
        <v>311</v>
      </c>
      <c r="B2222" s="186" t="s">
        <v>7968</v>
      </c>
      <c r="C2222" s="210" t="s">
        <v>7970</v>
      </c>
      <c r="D2222" s="210" t="s">
        <v>7971</v>
      </c>
      <c r="E2222" s="204">
        <v>1.0</v>
      </c>
      <c r="F2222" s="205">
        <v>0.0</v>
      </c>
      <c r="G2222" s="205">
        <v>1.0</v>
      </c>
    </row>
    <row r="2223" ht="15.75" customHeight="1">
      <c r="A2223" s="200" t="s">
        <v>311</v>
      </c>
      <c r="B2223" s="186" t="s">
        <v>7972</v>
      </c>
      <c r="C2223" s="210" t="s">
        <v>7973</v>
      </c>
      <c r="D2223" s="210" t="s">
        <v>7974</v>
      </c>
      <c r="E2223" s="204">
        <v>1.0</v>
      </c>
      <c r="F2223" s="205">
        <v>0.0</v>
      </c>
      <c r="G2223" s="205">
        <v>0.0</v>
      </c>
    </row>
    <row r="2224" ht="15.75" customHeight="1">
      <c r="A2224" s="200" t="s">
        <v>311</v>
      </c>
      <c r="B2224" s="186" t="s">
        <v>7975</v>
      </c>
      <c r="C2224" s="210" t="s">
        <v>7976</v>
      </c>
      <c r="D2224" s="210" t="s">
        <v>7977</v>
      </c>
      <c r="E2224" s="204">
        <v>1.0</v>
      </c>
      <c r="F2224" s="205">
        <v>0.0</v>
      </c>
      <c r="G2224" s="205">
        <v>0.0</v>
      </c>
    </row>
    <row r="2225" ht="15.75" customHeight="1">
      <c r="A2225" s="200" t="s">
        <v>311</v>
      </c>
      <c r="B2225" s="186" t="s">
        <v>4103</v>
      </c>
      <c r="C2225" s="210" t="s">
        <v>4104</v>
      </c>
      <c r="D2225" s="210" t="s">
        <v>7978</v>
      </c>
      <c r="E2225" s="204">
        <v>1.0</v>
      </c>
      <c r="F2225" s="205">
        <v>0.0</v>
      </c>
      <c r="G2225" s="205">
        <v>0.0</v>
      </c>
    </row>
    <row r="2226" ht="15.75" customHeight="1">
      <c r="A2226" s="200" t="s">
        <v>311</v>
      </c>
      <c r="B2226" s="186" t="s">
        <v>7981</v>
      </c>
      <c r="C2226" s="210" t="s">
        <v>7982</v>
      </c>
      <c r="D2226" s="210"/>
      <c r="E2226" s="204">
        <v>1.0</v>
      </c>
      <c r="F2226" s="205">
        <v>0.0</v>
      </c>
      <c r="G2226" s="205">
        <v>0.0</v>
      </c>
    </row>
    <row r="2227" ht="15.75" customHeight="1">
      <c r="A2227" s="200" t="s">
        <v>311</v>
      </c>
      <c r="B2227" s="186" t="s">
        <v>7984</v>
      </c>
      <c r="C2227" s="210" t="s">
        <v>7985</v>
      </c>
      <c r="D2227" s="210" t="s">
        <v>7986</v>
      </c>
      <c r="E2227" s="204">
        <v>1.0</v>
      </c>
      <c r="F2227" s="205">
        <v>0.0</v>
      </c>
      <c r="G2227" s="205">
        <v>0.0</v>
      </c>
    </row>
    <row r="2228" ht="15.75" customHeight="1">
      <c r="A2228" s="200" t="s">
        <v>311</v>
      </c>
      <c r="B2228" s="186" t="s">
        <v>7988</v>
      </c>
      <c r="C2228" s="210" t="s">
        <v>7989</v>
      </c>
      <c r="D2228" s="210"/>
      <c r="E2228" s="204">
        <v>1.0</v>
      </c>
      <c r="F2228" s="205">
        <v>0.0</v>
      </c>
      <c r="G2228" s="205">
        <v>1.0</v>
      </c>
    </row>
    <row r="2229" ht="15.75" customHeight="1">
      <c r="A2229" s="200" t="s">
        <v>311</v>
      </c>
      <c r="B2229" s="186" t="s">
        <v>7990</v>
      </c>
      <c r="C2229" s="210" t="s">
        <v>7991</v>
      </c>
      <c r="D2229" s="210" t="s">
        <v>7992</v>
      </c>
      <c r="E2229" s="204">
        <v>1.0</v>
      </c>
      <c r="F2229" s="205">
        <v>0.0</v>
      </c>
      <c r="G2229" s="205">
        <v>0.0</v>
      </c>
    </row>
    <row r="2230" ht="15.75" customHeight="1">
      <c r="A2230" s="200" t="s">
        <v>311</v>
      </c>
      <c r="B2230" s="186" t="s">
        <v>4108</v>
      </c>
      <c r="C2230" s="210" t="s">
        <v>4109</v>
      </c>
      <c r="D2230" s="210" t="s">
        <v>7993</v>
      </c>
      <c r="E2230" s="204">
        <v>1.0</v>
      </c>
      <c r="F2230" s="205">
        <v>0.0</v>
      </c>
      <c r="G2230" s="205">
        <v>0.0</v>
      </c>
    </row>
    <row r="2231" ht="15.75" customHeight="1">
      <c r="A2231" s="200" t="s">
        <v>311</v>
      </c>
      <c r="B2231" s="186" t="s">
        <v>2020</v>
      </c>
      <c r="C2231" s="210" t="s">
        <v>826</v>
      </c>
      <c r="D2231" s="210" t="s">
        <v>2021</v>
      </c>
      <c r="E2231" s="204">
        <v>1.0</v>
      </c>
      <c r="F2231" s="205">
        <v>0.0</v>
      </c>
      <c r="G2231" s="205">
        <v>0.0</v>
      </c>
    </row>
    <row r="2232" ht="15.75" customHeight="1">
      <c r="A2232" s="200" t="s">
        <v>311</v>
      </c>
      <c r="B2232" s="186" t="s">
        <v>1112</v>
      </c>
      <c r="C2232" s="210" t="s">
        <v>1113</v>
      </c>
      <c r="D2232" s="210" t="s">
        <v>2022</v>
      </c>
      <c r="E2232" s="204">
        <v>1.0</v>
      </c>
      <c r="F2232" s="205">
        <v>0.0</v>
      </c>
      <c r="G2232" s="205">
        <v>0.0</v>
      </c>
    </row>
    <row r="2233" ht="15.75" customHeight="1">
      <c r="A2233" s="200" t="s">
        <v>311</v>
      </c>
      <c r="B2233" s="186" t="s">
        <v>7996</v>
      </c>
      <c r="C2233" s="210" t="s">
        <v>7998</v>
      </c>
      <c r="D2233" s="210" t="s">
        <v>1039</v>
      </c>
      <c r="E2233" s="204">
        <v>1.0</v>
      </c>
      <c r="F2233" s="205">
        <v>0.0</v>
      </c>
      <c r="G2233" s="205">
        <v>0.0</v>
      </c>
    </row>
    <row r="2234" ht="15.75" customHeight="1">
      <c r="A2234" s="200" t="s">
        <v>311</v>
      </c>
      <c r="B2234" s="186" t="s">
        <v>7999</v>
      </c>
      <c r="C2234" s="210" t="s">
        <v>8000</v>
      </c>
      <c r="D2234" s="210" t="s">
        <v>8002</v>
      </c>
      <c r="E2234" s="204">
        <v>1.0</v>
      </c>
      <c r="F2234" s="205">
        <v>0.0</v>
      </c>
      <c r="G2234" s="205">
        <v>0.0</v>
      </c>
    </row>
    <row r="2235" ht="15.75" customHeight="1">
      <c r="A2235" s="200" t="s">
        <v>311</v>
      </c>
      <c r="B2235" s="186" t="s">
        <v>8003</v>
      </c>
      <c r="C2235" s="210" t="s">
        <v>8004</v>
      </c>
      <c r="D2235" s="210" t="s">
        <v>8006</v>
      </c>
      <c r="E2235" s="204">
        <v>1.0</v>
      </c>
      <c r="F2235" s="205">
        <v>0.0</v>
      </c>
      <c r="G2235" s="205">
        <v>0.0</v>
      </c>
    </row>
    <row r="2236" ht="15.75" customHeight="1">
      <c r="A2236" s="200" t="s">
        <v>311</v>
      </c>
      <c r="B2236" s="186" t="s">
        <v>2025</v>
      </c>
      <c r="C2236" s="210" t="s">
        <v>2026</v>
      </c>
      <c r="D2236" s="210" t="s">
        <v>2027</v>
      </c>
      <c r="E2236" s="204">
        <v>1.0</v>
      </c>
      <c r="F2236" s="205">
        <v>0.0</v>
      </c>
      <c r="G2236" s="205">
        <v>0.0</v>
      </c>
    </row>
    <row r="2237" ht="15.75" customHeight="1">
      <c r="A2237" s="200" t="s">
        <v>311</v>
      </c>
      <c r="B2237" s="186" t="s">
        <v>2790</v>
      </c>
      <c r="C2237" s="210" t="s">
        <v>2791</v>
      </c>
      <c r="D2237" s="210" t="s">
        <v>8010</v>
      </c>
      <c r="E2237" s="204">
        <v>1.0</v>
      </c>
      <c r="F2237" s="205">
        <v>0.0</v>
      </c>
      <c r="G2237" s="205">
        <v>1.0</v>
      </c>
    </row>
    <row r="2238" ht="15.75" customHeight="1">
      <c r="A2238" s="200" t="s">
        <v>311</v>
      </c>
      <c r="B2238" s="186" t="s">
        <v>4527</v>
      </c>
      <c r="C2238" s="210" t="s">
        <v>4528</v>
      </c>
      <c r="D2238" s="210" t="s">
        <v>8012</v>
      </c>
      <c r="E2238" s="204">
        <v>1.0</v>
      </c>
      <c r="F2238" s="205">
        <v>0.0</v>
      </c>
      <c r="G2238" s="205">
        <v>2.0</v>
      </c>
    </row>
    <row r="2239" ht="15.75" customHeight="1">
      <c r="A2239" s="200" t="s">
        <v>311</v>
      </c>
      <c r="B2239" s="186" t="s">
        <v>8013</v>
      </c>
      <c r="C2239" s="210" t="s">
        <v>8015</v>
      </c>
      <c r="D2239" s="210" t="s">
        <v>8016</v>
      </c>
      <c r="E2239" s="204">
        <v>1.0</v>
      </c>
      <c r="F2239" s="205">
        <v>0.0</v>
      </c>
      <c r="G2239" s="205">
        <v>0.0</v>
      </c>
    </row>
    <row r="2240" ht="15.75" customHeight="1">
      <c r="A2240" s="200" t="s">
        <v>311</v>
      </c>
      <c r="B2240" s="186" t="s">
        <v>8019</v>
      </c>
      <c r="C2240" s="210" t="s">
        <v>8020</v>
      </c>
      <c r="D2240" s="210" t="s">
        <v>7074</v>
      </c>
      <c r="E2240" s="204">
        <v>1.0</v>
      </c>
      <c r="F2240" s="205">
        <v>0.0</v>
      </c>
      <c r="G2240" s="205">
        <v>0.0</v>
      </c>
    </row>
    <row r="2241" ht="15.75" customHeight="1">
      <c r="A2241" s="200" t="s">
        <v>311</v>
      </c>
      <c r="B2241" s="186" t="s">
        <v>3508</v>
      </c>
      <c r="C2241" s="210" t="s">
        <v>3509</v>
      </c>
      <c r="D2241" s="210" t="s">
        <v>8021</v>
      </c>
      <c r="E2241" s="204">
        <v>1.0</v>
      </c>
      <c r="F2241" s="205">
        <v>0.0</v>
      </c>
      <c r="G2241" s="205">
        <v>0.0</v>
      </c>
    </row>
    <row r="2242" ht="15.75" customHeight="1">
      <c r="A2242" s="200" t="s">
        <v>311</v>
      </c>
      <c r="B2242" s="186" t="s">
        <v>8023</v>
      </c>
      <c r="C2242" s="210" t="s">
        <v>8024</v>
      </c>
      <c r="D2242" s="210" t="s">
        <v>7710</v>
      </c>
      <c r="E2242" s="204">
        <v>1.0</v>
      </c>
      <c r="F2242" s="205">
        <v>0.0</v>
      </c>
      <c r="G2242" s="205">
        <v>0.0</v>
      </c>
    </row>
    <row r="2243" ht="15.75" customHeight="1">
      <c r="A2243" s="200" t="s">
        <v>311</v>
      </c>
      <c r="B2243" s="186" t="s">
        <v>4542</v>
      </c>
      <c r="C2243" s="210" t="s">
        <v>4543</v>
      </c>
      <c r="D2243" s="210" t="s">
        <v>799</v>
      </c>
      <c r="E2243" s="204">
        <v>1.0</v>
      </c>
      <c r="F2243" s="205">
        <v>0.0</v>
      </c>
      <c r="G2243" s="205">
        <v>0.0</v>
      </c>
    </row>
    <row r="2244" ht="15.75" customHeight="1">
      <c r="A2244" s="200" t="s">
        <v>311</v>
      </c>
      <c r="B2244" s="186" t="s">
        <v>8027</v>
      </c>
      <c r="C2244" s="210" t="s">
        <v>8029</v>
      </c>
      <c r="D2244" s="210" t="s">
        <v>8030</v>
      </c>
      <c r="E2244" s="204">
        <v>1.0</v>
      </c>
      <c r="F2244" s="205">
        <v>0.0</v>
      </c>
      <c r="G2244" s="205">
        <v>1.0</v>
      </c>
    </row>
    <row r="2245" ht="15.75" customHeight="1">
      <c r="A2245" s="200" t="s">
        <v>311</v>
      </c>
      <c r="B2245" s="186" t="s">
        <v>4559</v>
      </c>
      <c r="C2245" s="210" t="s">
        <v>4560</v>
      </c>
      <c r="D2245" s="210" t="s">
        <v>4561</v>
      </c>
      <c r="E2245" s="204">
        <v>1.0</v>
      </c>
      <c r="F2245" s="205">
        <v>0.0</v>
      </c>
      <c r="G2245" s="205">
        <v>0.0</v>
      </c>
    </row>
    <row r="2246" ht="15.75" customHeight="1">
      <c r="A2246" s="200" t="s">
        <v>311</v>
      </c>
      <c r="B2246" s="186" t="s">
        <v>8034</v>
      </c>
      <c r="C2246" s="210" t="s">
        <v>8035</v>
      </c>
      <c r="D2246" s="210" t="s">
        <v>8036</v>
      </c>
      <c r="E2246" s="204">
        <v>1.0</v>
      </c>
      <c r="F2246" s="205">
        <v>0.0</v>
      </c>
      <c r="G2246" s="205">
        <v>0.0</v>
      </c>
    </row>
    <row r="2247" ht="15.75" customHeight="1">
      <c r="A2247" s="200" t="s">
        <v>311</v>
      </c>
      <c r="B2247" s="186" t="s">
        <v>8037</v>
      </c>
      <c r="C2247" s="210" t="s">
        <v>8038</v>
      </c>
      <c r="D2247" s="210" t="s">
        <v>8039</v>
      </c>
      <c r="E2247" s="204">
        <v>1.0</v>
      </c>
      <c r="F2247" s="205">
        <v>0.0</v>
      </c>
      <c r="G2247" s="205">
        <v>1.0</v>
      </c>
    </row>
    <row r="2248" ht="15.75" customHeight="1">
      <c r="A2248" s="200" t="s">
        <v>311</v>
      </c>
      <c r="B2248" s="186" t="s">
        <v>2028</v>
      </c>
      <c r="C2248" s="210" t="s">
        <v>2029</v>
      </c>
      <c r="D2248" s="210" t="s">
        <v>2030</v>
      </c>
      <c r="E2248" s="204">
        <v>1.0</v>
      </c>
      <c r="F2248" s="205">
        <v>0.0</v>
      </c>
      <c r="G2248" s="205">
        <v>0.0</v>
      </c>
    </row>
    <row r="2249" ht="15.75" customHeight="1">
      <c r="A2249" s="200" t="s">
        <v>311</v>
      </c>
      <c r="B2249" s="186" t="s">
        <v>4586</v>
      </c>
      <c r="C2249" s="210" t="s">
        <v>4587</v>
      </c>
      <c r="D2249" s="210"/>
      <c r="E2249" s="204">
        <v>1.0</v>
      </c>
      <c r="F2249" s="205">
        <v>0.0</v>
      </c>
      <c r="G2249" s="205">
        <v>0.0</v>
      </c>
    </row>
    <row r="2250" ht="15.75" customHeight="1">
      <c r="A2250" s="200" t="s">
        <v>311</v>
      </c>
      <c r="B2250" s="186" t="s">
        <v>8042</v>
      </c>
      <c r="C2250" s="210" t="s">
        <v>8043</v>
      </c>
      <c r="D2250" s="210" t="s">
        <v>582</v>
      </c>
      <c r="E2250" s="204">
        <v>1.0</v>
      </c>
      <c r="F2250" s="205">
        <v>0.0</v>
      </c>
      <c r="G2250" s="205">
        <v>1.0</v>
      </c>
    </row>
    <row r="2251" ht="15.75" customHeight="1">
      <c r="A2251" s="200" t="s">
        <v>311</v>
      </c>
      <c r="B2251" s="186" t="s">
        <v>4588</v>
      </c>
      <c r="C2251" s="210" t="s">
        <v>4589</v>
      </c>
      <c r="D2251" s="210" t="s">
        <v>799</v>
      </c>
      <c r="E2251" s="204">
        <v>1.0</v>
      </c>
      <c r="F2251" s="205">
        <v>0.0</v>
      </c>
      <c r="G2251" s="205">
        <v>0.0</v>
      </c>
    </row>
    <row r="2252" ht="15.75" customHeight="1">
      <c r="A2252" s="200" t="s">
        <v>311</v>
      </c>
      <c r="B2252" s="186" t="s">
        <v>4125</v>
      </c>
      <c r="C2252" s="210" t="s">
        <v>4126</v>
      </c>
      <c r="D2252" s="210" t="s">
        <v>1101</v>
      </c>
      <c r="E2252" s="204">
        <v>1.0</v>
      </c>
      <c r="F2252" s="205">
        <v>0.0</v>
      </c>
      <c r="G2252" s="205">
        <v>0.0</v>
      </c>
    </row>
    <row r="2253" ht="15.75" customHeight="1">
      <c r="A2253" s="200" t="s">
        <v>311</v>
      </c>
      <c r="B2253" s="186" t="s">
        <v>4590</v>
      </c>
      <c r="C2253" s="210" t="s">
        <v>4591</v>
      </c>
      <c r="D2253" s="210"/>
      <c r="E2253" s="204">
        <v>1.0</v>
      </c>
      <c r="F2253" s="205">
        <v>0.0</v>
      </c>
      <c r="G2253" s="205">
        <v>0.0</v>
      </c>
    </row>
    <row r="2254" ht="15.75" customHeight="1">
      <c r="A2254" s="200" t="s">
        <v>311</v>
      </c>
      <c r="B2254" s="186" t="s">
        <v>4592</v>
      </c>
      <c r="C2254" s="210" t="s">
        <v>4593</v>
      </c>
      <c r="D2254" s="210" t="s">
        <v>8049</v>
      </c>
      <c r="E2254" s="204">
        <v>1.0</v>
      </c>
      <c r="F2254" s="205">
        <v>0.0</v>
      </c>
      <c r="G2254" s="205">
        <v>0.0</v>
      </c>
    </row>
    <row r="2255" ht="15.75" customHeight="1">
      <c r="A2255" s="200" t="s">
        <v>311</v>
      </c>
      <c r="B2255" s="186" t="s">
        <v>2033</v>
      </c>
      <c r="C2255" s="210" t="s">
        <v>2034</v>
      </c>
      <c r="D2255" s="210" t="s">
        <v>2035</v>
      </c>
      <c r="E2255" s="204">
        <v>1.0</v>
      </c>
      <c r="F2255" s="205">
        <v>0.0</v>
      </c>
      <c r="G2255" s="205">
        <v>1.0</v>
      </c>
    </row>
    <row r="2256" ht="15.75" customHeight="1">
      <c r="A2256" s="200" t="s">
        <v>311</v>
      </c>
      <c r="B2256" s="186" t="s">
        <v>4600</v>
      </c>
      <c r="C2256" s="210" t="s">
        <v>4601</v>
      </c>
      <c r="D2256" s="210" t="s">
        <v>8051</v>
      </c>
      <c r="E2256" s="204">
        <v>1.0</v>
      </c>
      <c r="F2256" s="205">
        <v>0.0</v>
      </c>
      <c r="G2256" s="205">
        <v>0.0</v>
      </c>
    </row>
    <row r="2257" ht="15.75" customHeight="1">
      <c r="A2257" s="200" t="s">
        <v>311</v>
      </c>
      <c r="B2257" s="186" t="s">
        <v>8052</v>
      </c>
      <c r="C2257" s="210" t="s">
        <v>8053</v>
      </c>
      <c r="D2257" s="210" t="s">
        <v>8054</v>
      </c>
      <c r="E2257" s="204">
        <v>1.0</v>
      </c>
      <c r="F2257" s="205">
        <v>0.0</v>
      </c>
      <c r="G2257" s="205">
        <v>0.0</v>
      </c>
    </row>
    <row r="2258" ht="15.75" customHeight="1">
      <c r="A2258" s="200" t="s">
        <v>311</v>
      </c>
      <c r="B2258" s="186" t="s">
        <v>8055</v>
      </c>
      <c r="C2258" s="210" t="s">
        <v>8056</v>
      </c>
      <c r="D2258" s="210" t="s">
        <v>8057</v>
      </c>
      <c r="E2258" s="204">
        <v>1.0</v>
      </c>
      <c r="F2258" s="205">
        <v>0.0</v>
      </c>
      <c r="G2258" s="205">
        <v>0.0</v>
      </c>
    </row>
    <row r="2259" ht="15.75" customHeight="1">
      <c r="A2259" s="200" t="s">
        <v>311</v>
      </c>
      <c r="B2259" s="186" t="s">
        <v>8058</v>
      </c>
      <c r="C2259" s="210" t="s">
        <v>8059</v>
      </c>
      <c r="D2259" s="210" t="s">
        <v>8060</v>
      </c>
      <c r="E2259" s="204">
        <v>1.0</v>
      </c>
      <c r="F2259" s="205">
        <v>0.0</v>
      </c>
      <c r="G2259" s="205">
        <v>2.0</v>
      </c>
    </row>
    <row r="2260" ht="15.75" customHeight="1">
      <c r="A2260" s="200" t="s">
        <v>311</v>
      </c>
      <c r="B2260" s="186" t="s">
        <v>8061</v>
      </c>
      <c r="C2260" s="210" t="s">
        <v>8062</v>
      </c>
      <c r="D2260" s="210" t="s">
        <v>8063</v>
      </c>
      <c r="E2260" s="204">
        <v>1.0</v>
      </c>
      <c r="F2260" s="205">
        <v>0.0</v>
      </c>
      <c r="G2260" s="205">
        <v>1.0</v>
      </c>
    </row>
    <row r="2261" ht="15.75" customHeight="1">
      <c r="A2261" s="200" t="s">
        <v>311</v>
      </c>
      <c r="B2261" s="186" t="s">
        <v>8064</v>
      </c>
      <c r="C2261" s="210" t="s">
        <v>8065</v>
      </c>
      <c r="D2261" s="210" t="s">
        <v>780</v>
      </c>
      <c r="E2261" s="204">
        <v>1.0</v>
      </c>
      <c r="F2261" s="205">
        <v>0.0</v>
      </c>
      <c r="G2261" s="205">
        <v>0.0</v>
      </c>
    </row>
    <row r="2262" ht="15.75" customHeight="1">
      <c r="A2262" s="200" t="s">
        <v>311</v>
      </c>
      <c r="B2262" s="186" t="s">
        <v>1019</v>
      </c>
      <c r="C2262" s="210" t="s">
        <v>1020</v>
      </c>
      <c r="D2262" s="210" t="s">
        <v>8068</v>
      </c>
      <c r="E2262" s="204">
        <v>1.0</v>
      </c>
      <c r="F2262" s="205">
        <v>0.0</v>
      </c>
      <c r="G2262" s="205">
        <v>0.0</v>
      </c>
    </row>
    <row r="2263" ht="15.75" customHeight="1">
      <c r="A2263" s="200" t="s">
        <v>311</v>
      </c>
      <c r="B2263" s="186" t="s">
        <v>3107</v>
      </c>
      <c r="C2263" s="210" t="s">
        <v>406</v>
      </c>
      <c r="D2263" s="210" t="s">
        <v>8070</v>
      </c>
      <c r="E2263" s="204">
        <v>1.0</v>
      </c>
      <c r="F2263" s="205">
        <v>0.0</v>
      </c>
      <c r="G2263" s="205">
        <v>0.0</v>
      </c>
    </row>
    <row r="2264" ht="15.75" customHeight="1">
      <c r="A2264" s="200" t="s">
        <v>311</v>
      </c>
      <c r="B2264" s="186" t="s">
        <v>8071</v>
      </c>
      <c r="C2264" s="210" t="s">
        <v>8072</v>
      </c>
      <c r="D2264" s="210" t="s">
        <v>8073</v>
      </c>
      <c r="E2264" s="204">
        <v>1.0</v>
      </c>
      <c r="F2264" s="205">
        <v>0.0</v>
      </c>
      <c r="G2264" s="205">
        <v>0.0</v>
      </c>
    </row>
    <row r="2265" ht="15.75" customHeight="1">
      <c r="A2265" s="200" t="s">
        <v>311</v>
      </c>
      <c r="B2265" s="186" t="s">
        <v>8074</v>
      </c>
      <c r="C2265" s="210" t="s">
        <v>8075</v>
      </c>
      <c r="D2265" s="210" t="s">
        <v>8076</v>
      </c>
      <c r="E2265" s="204">
        <v>1.0</v>
      </c>
      <c r="F2265" s="205">
        <v>0.0</v>
      </c>
      <c r="G2265" s="205">
        <v>2.0</v>
      </c>
    </row>
    <row r="2266" ht="15.75" customHeight="1">
      <c r="A2266" s="200" t="s">
        <v>311</v>
      </c>
      <c r="B2266" s="186" t="s">
        <v>8077</v>
      </c>
      <c r="C2266" s="210" t="s">
        <v>8078</v>
      </c>
      <c r="D2266" s="210" t="s">
        <v>8079</v>
      </c>
      <c r="E2266" s="204">
        <v>1.0</v>
      </c>
      <c r="F2266" s="205">
        <v>0.0</v>
      </c>
      <c r="G2266" s="205">
        <v>0.0</v>
      </c>
    </row>
    <row r="2267" ht="15.75" customHeight="1">
      <c r="A2267" s="200" t="s">
        <v>311</v>
      </c>
      <c r="B2267" s="186" t="s">
        <v>8081</v>
      </c>
      <c r="C2267" s="210" t="s">
        <v>8082</v>
      </c>
      <c r="D2267" s="210" t="s">
        <v>7251</v>
      </c>
      <c r="E2267" s="204">
        <v>1.0</v>
      </c>
      <c r="F2267" s="205">
        <v>0.0</v>
      </c>
      <c r="G2267" s="205">
        <v>0.0</v>
      </c>
    </row>
    <row r="2268" ht="15.75" customHeight="1">
      <c r="A2268" s="200" t="s">
        <v>311</v>
      </c>
      <c r="B2268" s="186" t="s">
        <v>8084</v>
      </c>
      <c r="C2268" s="210" t="s">
        <v>8085</v>
      </c>
      <c r="D2268" s="210" t="s">
        <v>8086</v>
      </c>
      <c r="E2268" s="204">
        <v>1.0</v>
      </c>
      <c r="F2268" s="205">
        <v>0.0</v>
      </c>
      <c r="G2268" s="205">
        <v>2.0</v>
      </c>
    </row>
    <row r="2269" ht="15.75" customHeight="1">
      <c r="A2269" s="200" t="s">
        <v>311</v>
      </c>
      <c r="B2269" s="186" t="s">
        <v>8089</v>
      </c>
      <c r="C2269" s="210" t="s">
        <v>8090</v>
      </c>
      <c r="D2269" s="210" t="s">
        <v>8091</v>
      </c>
      <c r="E2269" s="204">
        <v>1.0</v>
      </c>
      <c r="F2269" s="205">
        <v>0.0</v>
      </c>
      <c r="G2269" s="205">
        <v>1.0</v>
      </c>
    </row>
    <row r="2270" ht="15.75" customHeight="1">
      <c r="A2270" s="200" t="s">
        <v>311</v>
      </c>
      <c r="B2270" s="186" t="s">
        <v>8092</v>
      </c>
      <c r="C2270" s="210" t="s">
        <v>8093</v>
      </c>
      <c r="D2270" s="210" t="s">
        <v>1064</v>
      </c>
      <c r="E2270" s="204">
        <v>1.0</v>
      </c>
      <c r="F2270" s="205">
        <v>0.0</v>
      </c>
      <c r="G2270" s="205">
        <v>1.0</v>
      </c>
    </row>
    <row r="2271" ht="15.75" customHeight="1">
      <c r="A2271" s="200" t="s">
        <v>311</v>
      </c>
      <c r="B2271" s="186" t="s">
        <v>8094</v>
      </c>
      <c r="C2271" s="210" t="s">
        <v>8095</v>
      </c>
      <c r="D2271" s="210" t="s">
        <v>8096</v>
      </c>
      <c r="E2271" s="204">
        <v>1.0</v>
      </c>
      <c r="F2271" s="205">
        <v>0.0</v>
      </c>
      <c r="G2271" s="205">
        <v>1.0</v>
      </c>
    </row>
    <row r="2272" ht="15.75" customHeight="1">
      <c r="A2272" s="200" t="s">
        <v>311</v>
      </c>
      <c r="B2272" s="186" t="s">
        <v>1118</v>
      </c>
      <c r="C2272" s="210" t="s">
        <v>1119</v>
      </c>
      <c r="D2272" s="210" t="s">
        <v>813</v>
      </c>
      <c r="E2272" s="204">
        <v>1.0</v>
      </c>
      <c r="F2272" s="205">
        <v>0.0</v>
      </c>
      <c r="G2272" s="205">
        <v>2.0</v>
      </c>
    </row>
    <row r="2273" ht="15.75" customHeight="1">
      <c r="A2273" s="200" t="s">
        <v>311</v>
      </c>
      <c r="B2273" s="186" t="s">
        <v>2043</v>
      </c>
      <c r="C2273" s="210" t="s">
        <v>2044</v>
      </c>
      <c r="D2273" s="210" t="s">
        <v>2047</v>
      </c>
      <c r="E2273" s="204">
        <v>1.0</v>
      </c>
      <c r="F2273" s="205">
        <v>0.0</v>
      </c>
      <c r="G2273" s="205">
        <v>0.0</v>
      </c>
    </row>
    <row r="2274" ht="15.75" customHeight="1">
      <c r="A2274" s="200" t="s">
        <v>311</v>
      </c>
      <c r="B2274" s="186" t="s">
        <v>2048</v>
      </c>
      <c r="C2274" s="210" t="s">
        <v>2049</v>
      </c>
      <c r="D2274" s="210" t="s">
        <v>813</v>
      </c>
      <c r="E2274" s="204">
        <v>1.0</v>
      </c>
      <c r="F2274" s="205">
        <v>0.0</v>
      </c>
      <c r="G2274" s="205">
        <v>1.0</v>
      </c>
    </row>
    <row r="2275" ht="15.75" customHeight="1">
      <c r="A2275" s="200" t="s">
        <v>311</v>
      </c>
      <c r="B2275" s="186" t="s">
        <v>982</v>
      </c>
      <c r="C2275" s="210" t="s">
        <v>983</v>
      </c>
      <c r="D2275" s="210" t="s">
        <v>813</v>
      </c>
      <c r="E2275" s="204">
        <v>1.0</v>
      </c>
      <c r="F2275" s="205">
        <v>0.0</v>
      </c>
      <c r="G2275" s="205">
        <v>0.0</v>
      </c>
    </row>
    <row r="2276" ht="15.75" customHeight="1">
      <c r="A2276" s="200" t="s">
        <v>311</v>
      </c>
      <c r="B2276" s="186" t="s">
        <v>2052</v>
      </c>
      <c r="C2276" s="210" t="s">
        <v>2053</v>
      </c>
      <c r="D2276" s="210" t="s">
        <v>2054</v>
      </c>
      <c r="E2276" s="204">
        <v>1.0</v>
      </c>
      <c r="F2276" s="205">
        <v>0.0</v>
      </c>
      <c r="G2276" s="205">
        <v>1.0</v>
      </c>
    </row>
    <row r="2277" ht="15.75" customHeight="1">
      <c r="A2277" s="200" t="s">
        <v>311</v>
      </c>
      <c r="B2277" s="186" t="s">
        <v>892</v>
      </c>
      <c r="C2277" s="210" t="s">
        <v>893</v>
      </c>
      <c r="D2277" s="210" t="s">
        <v>894</v>
      </c>
      <c r="E2277" s="204">
        <v>1.0</v>
      </c>
      <c r="F2277" s="205">
        <v>0.0</v>
      </c>
      <c r="G2277" s="205">
        <v>1.0</v>
      </c>
    </row>
    <row r="2278" ht="15.75" customHeight="1">
      <c r="A2278" s="200" t="s">
        <v>311</v>
      </c>
      <c r="B2278" s="186" t="s">
        <v>2056</v>
      </c>
      <c r="C2278" s="210" t="s">
        <v>2058</v>
      </c>
      <c r="D2278" s="210" t="s">
        <v>813</v>
      </c>
      <c r="E2278" s="204">
        <v>1.0</v>
      </c>
      <c r="F2278" s="205">
        <v>0.0</v>
      </c>
      <c r="G2278" s="205">
        <v>1.0</v>
      </c>
    </row>
    <row r="2279" ht="15.75" customHeight="1">
      <c r="A2279" s="200" t="s">
        <v>311</v>
      </c>
      <c r="B2279" s="186" t="s">
        <v>2059</v>
      </c>
      <c r="C2279" s="210" t="s">
        <v>2060</v>
      </c>
      <c r="D2279" s="210" t="s">
        <v>2061</v>
      </c>
      <c r="E2279" s="204">
        <v>1.0</v>
      </c>
      <c r="F2279" s="205">
        <v>0.0</v>
      </c>
      <c r="G2279" s="205">
        <v>0.0</v>
      </c>
    </row>
    <row r="2280" ht="15.75" customHeight="1">
      <c r="A2280" s="200" t="s">
        <v>311</v>
      </c>
      <c r="B2280" s="186" t="s">
        <v>8098</v>
      </c>
      <c r="C2280" s="210" t="s">
        <v>8099</v>
      </c>
      <c r="D2280" s="210" t="s">
        <v>8100</v>
      </c>
      <c r="E2280" s="204">
        <v>1.0</v>
      </c>
      <c r="F2280" s="205">
        <v>0.0</v>
      </c>
      <c r="G2280" s="205">
        <v>3.0</v>
      </c>
    </row>
    <row r="2281" ht="15.75" customHeight="1">
      <c r="A2281" s="200" t="s">
        <v>311</v>
      </c>
      <c r="B2281" s="186" t="s">
        <v>8102</v>
      </c>
      <c r="C2281" s="210" t="s">
        <v>8104</v>
      </c>
      <c r="D2281" s="210" t="s">
        <v>8105</v>
      </c>
      <c r="E2281" s="204">
        <v>1.0</v>
      </c>
      <c r="F2281" s="205">
        <v>0.0</v>
      </c>
      <c r="G2281" s="205">
        <v>1.0</v>
      </c>
    </row>
    <row r="2282" ht="15.75" customHeight="1">
      <c r="A2282" s="200" t="s">
        <v>311</v>
      </c>
      <c r="B2282" s="186" t="s">
        <v>8107</v>
      </c>
      <c r="C2282" s="210" t="s">
        <v>8108</v>
      </c>
      <c r="D2282" s="210" t="s">
        <v>8109</v>
      </c>
      <c r="E2282" s="204">
        <v>1.0</v>
      </c>
      <c r="F2282" s="205">
        <v>0.0</v>
      </c>
      <c r="G2282" s="205">
        <v>1.0</v>
      </c>
    </row>
    <row r="2283" ht="15.75" customHeight="1">
      <c r="A2283" s="200" t="s">
        <v>311</v>
      </c>
      <c r="B2283" s="186" t="s">
        <v>2795</v>
      </c>
      <c r="C2283" s="210" t="s">
        <v>2796</v>
      </c>
      <c r="D2283" s="210" t="s">
        <v>2798</v>
      </c>
      <c r="E2283" s="204">
        <v>1.0</v>
      </c>
      <c r="F2283" s="205">
        <v>0.0</v>
      </c>
      <c r="G2283" s="205">
        <v>0.0</v>
      </c>
    </row>
    <row r="2284" ht="15.75" customHeight="1">
      <c r="A2284" s="200" t="s">
        <v>311</v>
      </c>
      <c r="B2284" s="186" t="s">
        <v>8112</v>
      </c>
      <c r="C2284" s="210" t="s">
        <v>8113</v>
      </c>
      <c r="D2284" s="210" t="s">
        <v>8115</v>
      </c>
      <c r="E2284" s="204">
        <v>1.0</v>
      </c>
      <c r="F2284" s="205">
        <v>0.0</v>
      </c>
      <c r="G2284" s="205">
        <v>0.0</v>
      </c>
    </row>
    <row r="2285" ht="15.75" customHeight="1">
      <c r="A2285" s="200" t="s">
        <v>311</v>
      </c>
      <c r="B2285" s="186" t="s">
        <v>8117</v>
      </c>
      <c r="C2285" s="210" t="s">
        <v>8118</v>
      </c>
      <c r="D2285" s="210" t="s">
        <v>8119</v>
      </c>
      <c r="E2285" s="204">
        <v>1.0</v>
      </c>
      <c r="F2285" s="205">
        <v>0.0</v>
      </c>
      <c r="G2285" s="205">
        <v>0.0</v>
      </c>
    </row>
    <row r="2286" ht="15.75" customHeight="1">
      <c r="A2286" s="200" t="s">
        <v>311</v>
      </c>
      <c r="B2286" s="186" t="s">
        <v>8120</v>
      </c>
      <c r="C2286" s="210" t="s">
        <v>8122</v>
      </c>
      <c r="D2286" s="210"/>
      <c r="E2286" s="204">
        <v>1.0</v>
      </c>
      <c r="F2286" s="205">
        <v>0.0</v>
      </c>
      <c r="G2286" s="205">
        <v>0.0</v>
      </c>
    </row>
    <row r="2287" ht="15.75" customHeight="1">
      <c r="A2287" s="200" t="s">
        <v>311</v>
      </c>
      <c r="B2287" s="186" t="s">
        <v>8123</v>
      </c>
      <c r="C2287" s="210" t="s">
        <v>8124</v>
      </c>
      <c r="D2287" s="210" t="s">
        <v>8125</v>
      </c>
      <c r="E2287" s="204">
        <v>1.0</v>
      </c>
      <c r="F2287" s="205">
        <v>0.0</v>
      </c>
      <c r="G2287" s="205">
        <v>0.0</v>
      </c>
    </row>
    <row r="2288" ht="15.75" customHeight="1">
      <c r="A2288" s="200" t="s">
        <v>311</v>
      </c>
      <c r="B2288" s="186" t="s">
        <v>8127</v>
      </c>
      <c r="C2288" s="210" t="s">
        <v>8128</v>
      </c>
      <c r="D2288" s="210"/>
      <c r="E2288" s="204">
        <v>1.0</v>
      </c>
      <c r="F2288" s="205">
        <v>0.0</v>
      </c>
      <c r="G2288" s="205">
        <v>1.0</v>
      </c>
    </row>
    <row r="2289" ht="15.75" customHeight="1">
      <c r="A2289" s="200" t="s">
        <v>311</v>
      </c>
      <c r="B2289" s="186" t="s">
        <v>2066</v>
      </c>
      <c r="C2289" s="210" t="s">
        <v>676</v>
      </c>
      <c r="D2289" s="210" t="s">
        <v>2067</v>
      </c>
      <c r="E2289" s="204">
        <v>1.0</v>
      </c>
      <c r="F2289" s="205">
        <v>0.0</v>
      </c>
      <c r="G2289" s="205">
        <v>1.0</v>
      </c>
    </row>
    <row r="2290" ht="15.75" customHeight="1">
      <c r="A2290" s="200" t="s">
        <v>311</v>
      </c>
      <c r="B2290" s="186" t="s">
        <v>2221</v>
      </c>
      <c r="C2290" s="210" t="s">
        <v>2224</v>
      </c>
      <c r="D2290" s="210" t="s">
        <v>8131</v>
      </c>
      <c r="E2290" s="204">
        <v>1.0</v>
      </c>
      <c r="F2290" s="205">
        <v>0.0</v>
      </c>
      <c r="G2290" s="205">
        <v>0.0</v>
      </c>
    </row>
    <row r="2291" ht="15.75" customHeight="1">
      <c r="A2291" s="200" t="s">
        <v>311</v>
      </c>
      <c r="B2291" s="186" t="s">
        <v>8133</v>
      </c>
      <c r="C2291" s="210" t="s">
        <v>8134</v>
      </c>
      <c r="D2291" s="210" t="s">
        <v>8135</v>
      </c>
      <c r="E2291" s="204">
        <v>1.0</v>
      </c>
      <c r="F2291" s="205">
        <v>0.0</v>
      </c>
      <c r="G2291" s="205">
        <v>0.0</v>
      </c>
    </row>
    <row r="2292" ht="15.75" customHeight="1">
      <c r="A2292" s="200" t="s">
        <v>311</v>
      </c>
      <c r="B2292" s="186" t="s">
        <v>8136</v>
      </c>
      <c r="C2292" s="210" t="s">
        <v>8137</v>
      </c>
      <c r="D2292" s="210" t="s">
        <v>8138</v>
      </c>
      <c r="E2292" s="204">
        <v>1.0</v>
      </c>
      <c r="F2292" s="205">
        <v>0.0</v>
      </c>
      <c r="G2292" s="205">
        <v>1.0</v>
      </c>
    </row>
    <row r="2293" ht="15.75" customHeight="1">
      <c r="A2293" s="200" t="s">
        <v>311</v>
      </c>
      <c r="B2293" s="186" t="s">
        <v>8139</v>
      </c>
      <c r="C2293" s="210" t="s">
        <v>8140</v>
      </c>
      <c r="D2293" s="210" t="s">
        <v>8141</v>
      </c>
      <c r="E2293" s="204">
        <v>1.0</v>
      </c>
      <c r="F2293" s="205">
        <v>0.0</v>
      </c>
      <c r="G2293" s="205">
        <v>1.0</v>
      </c>
    </row>
    <row r="2294" ht="15.75" customHeight="1">
      <c r="A2294" s="200" t="s">
        <v>311</v>
      </c>
      <c r="B2294" s="186" t="s">
        <v>2332</v>
      </c>
      <c r="C2294" s="210" t="s">
        <v>2333</v>
      </c>
      <c r="D2294" s="210" t="s">
        <v>8142</v>
      </c>
      <c r="E2294" s="204">
        <v>1.0</v>
      </c>
      <c r="F2294" s="205">
        <v>0.0</v>
      </c>
      <c r="G2294" s="205">
        <v>0.0</v>
      </c>
    </row>
    <row r="2295" ht="15.75" customHeight="1">
      <c r="A2295" s="200" t="s">
        <v>311</v>
      </c>
      <c r="B2295" s="186" t="s">
        <v>8144</v>
      </c>
      <c r="C2295" s="210" t="s">
        <v>8145</v>
      </c>
      <c r="D2295" s="210" t="s">
        <v>8146</v>
      </c>
      <c r="E2295" s="204">
        <v>1.0</v>
      </c>
      <c r="F2295" s="205">
        <v>0.0</v>
      </c>
      <c r="G2295" s="205">
        <v>0.0</v>
      </c>
    </row>
    <row r="2296" ht="15.75" customHeight="1">
      <c r="A2296" s="200" t="s">
        <v>311</v>
      </c>
      <c r="B2296" s="186" t="s">
        <v>8150</v>
      </c>
      <c r="C2296" s="210" t="s">
        <v>8151</v>
      </c>
      <c r="D2296" s="210" t="s">
        <v>7655</v>
      </c>
      <c r="E2296" s="204">
        <v>1.0</v>
      </c>
      <c r="F2296" s="205">
        <v>0.0</v>
      </c>
      <c r="G2296" s="205">
        <v>1.0</v>
      </c>
    </row>
    <row r="2297" ht="15.75" customHeight="1">
      <c r="A2297" s="200" t="s">
        <v>311</v>
      </c>
      <c r="B2297" s="186" t="s">
        <v>8152</v>
      </c>
      <c r="C2297" s="210" t="s">
        <v>8153</v>
      </c>
      <c r="D2297" s="210" t="s">
        <v>582</v>
      </c>
      <c r="E2297" s="204">
        <v>1.0</v>
      </c>
      <c r="F2297" s="205">
        <v>0.0</v>
      </c>
      <c r="G2297" s="205">
        <v>1.0</v>
      </c>
    </row>
    <row r="2298" ht="15.75" customHeight="1">
      <c r="A2298" s="200" t="s">
        <v>311</v>
      </c>
      <c r="B2298" s="186" t="s">
        <v>8154</v>
      </c>
      <c r="C2298" s="210" t="s">
        <v>8155</v>
      </c>
      <c r="D2298" s="210" t="s">
        <v>8156</v>
      </c>
      <c r="E2298" s="204">
        <v>1.0</v>
      </c>
      <c r="F2298" s="205">
        <v>0.0</v>
      </c>
      <c r="G2298" s="205">
        <v>0.0</v>
      </c>
    </row>
    <row r="2299" ht="15.75" customHeight="1">
      <c r="A2299" s="200" t="s">
        <v>311</v>
      </c>
      <c r="B2299" s="186" t="s">
        <v>4709</v>
      </c>
      <c r="C2299" s="210" t="s">
        <v>4710</v>
      </c>
      <c r="D2299" s="210" t="s">
        <v>8157</v>
      </c>
      <c r="E2299" s="204">
        <v>1.0</v>
      </c>
      <c r="F2299" s="205">
        <v>0.0</v>
      </c>
      <c r="G2299" s="205">
        <v>0.0</v>
      </c>
    </row>
    <row r="2300" ht="15.75" customHeight="1">
      <c r="A2300" s="200" t="s">
        <v>311</v>
      </c>
      <c r="B2300" s="186" t="s">
        <v>8158</v>
      </c>
      <c r="C2300" s="210" t="s">
        <v>8159</v>
      </c>
      <c r="D2300" s="210" t="s">
        <v>8160</v>
      </c>
      <c r="E2300" s="204">
        <v>1.0</v>
      </c>
      <c r="F2300" s="205">
        <v>0.0</v>
      </c>
      <c r="G2300" s="205">
        <v>1.0</v>
      </c>
    </row>
    <row r="2301" ht="15.75" customHeight="1">
      <c r="A2301" s="200" t="s">
        <v>311</v>
      </c>
      <c r="B2301" s="186" t="s">
        <v>8161</v>
      </c>
      <c r="C2301" s="210" t="s">
        <v>8162</v>
      </c>
      <c r="D2301" s="210" t="s">
        <v>8163</v>
      </c>
      <c r="E2301" s="204">
        <v>1.0</v>
      </c>
      <c r="F2301" s="205">
        <v>0.0</v>
      </c>
      <c r="G2301" s="205">
        <v>6.0</v>
      </c>
    </row>
    <row r="2302" ht="15.75" customHeight="1">
      <c r="A2302" s="200" t="s">
        <v>311</v>
      </c>
      <c r="B2302" s="186" t="s">
        <v>8164</v>
      </c>
      <c r="C2302" s="210" t="s">
        <v>8166</v>
      </c>
      <c r="D2302" s="210" t="s">
        <v>799</v>
      </c>
      <c r="E2302" s="204">
        <v>1.0</v>
      </c>
      <c r="F2302" s="205">
        <v>0.0</v>
      </c>
      <c r="G2302" s="205">
        <v>0.0</v>
      </c>
    </row>
    <row r="2303" ht="15.75" customHeight="1">
      <c r="A2303" s="200" t="s">
        <v>311</v>
      </c>
      <c r="B2303" s="186" t="s">
        <v>2068</v>
      </c>
      <c r="C2303" s="210" t="s">
        <v>2069</v>
      </c>
      <c r="D2303" s="210" t="s">
        <v>2072</v>
      </c>
      <c r="E2303" s="204">
        <v>1.0</v>
      </c>
      <c r="F2303" s="205">
        <v>0.0</v>
      </c>
      <c r="G2303" s="205">
        <v>0.0</v>
      </c>
    </row>
    <row r="2304" ht="15.75" customHeight="1">
      <c r="A2304" s="200" t="s">
        <v>311</v>
      </c>
      <c r="B2304" s="186" t="s">
        <v>952</v>
      </c>
      <c r="C2304" s="210" t="s">
        <v>953</v>
      </c>
      <c r="D2304" s="210" t="s">
        <v>1993</v>
      </c>
      <c r="E2304" s="204">
        <v>1.0</v>
      </c>
      <c r="F2304" s="205">
        <v>0.0</v>
      </c>
      <c r="G2304" s="205">
        <v>0.0</v>
      </c>
    </row>
    <row r="2305" ht="15.75" customHeight="1">
      <c r="A2305" s="200" t="s">
        <v>311</v>
      </c>
      <c r="B2305" s="186" t="s">
        <v>661</v>
      </c>
      <c r="C2305" s="210" t="s">
        <v>662</v>
      </c>
      <c r="D2305" s="210" t="s">
        <v>1952</v>
      </c>
      <c r="E2305" s="204">
        <v>1.0</v>
      </c>
      <c r="F2305" s="205">
        <v>0.0</v>
      </c>
      <c r="G2305" s="205">
        <v>0.0</v>
      </c>
    </row>
    <row r="2306" ht="15.75" customHeight="1">
      <c r="A2306" s="200" t="s">
        <v>311</v>
      </c>
      <c r="B2306" s="186" t="s">
        <v>2074</v>
      </c>
      <c r="C2306" s="210" t="s">
        <v>1038</v>
      </c>
      <c r="D2306" s="210" t="s">
        <v>2076</v>
      </c>
      <c r="E2306" s="204">
        <v>1.0</v>
      </c>
      <c r="F2306" s="205">
        <v>0.0</v>
      </c>
      <c r="G2306" s="205">
        <v>2.0</v>
      </c>
    </row>
    <row r="2307" ht="15.75" customHeight="1">
      <c r="A2307" s="200" t="s">
        <v>311</v>
      </c>
      <c r="B2307" s="186" t="s">
        <v>679</v>
      </c>
      <c r="C2307" s="210" t="s">
        <v>680</v>
      </c>
      <c r="D2307" s="210" t="s">
        <v>2077</v>
      </c>
      <c r="E2307" s="204">
        <v>1.0</v>
      </c>
      <c r="F2307" s="205">
        <v>0.0</v>
      </c>
      <c r="G2307" s="205">
        <v>0.0</v>
      </c>
    </row>
    <row r="2308" ht="15.75" customHeight="1">
      <c r="A2308" s="200" t="s">
        <v>311</v>
      </c>
      <c r="B2308" s="186" t="s">
        <v>8177</v>
      </c>
      <c r="C2308" s="210" t="s">
        <v>8179</v>
      </c>
      <c r="D2308" s="210" t="s">
        <v>8180</v>
      </c>
      <c r="E2308" s="204">
        <v>1.0</v>
      </c>
      <c r="F2308" s="205">
        <v>0.0</v>
      </c>
      <c r="G2308" s="205">
        <v>0.0</v>
      </c>
    </row>
    <row r="2309" ht="15.75" customHeight="1">
      <c r="A2309" s="200" t="s">
        <v>311</v>
      </c>
      <c r="B2309" s="186" t="s">
        <v>8182</v>
      </c>
      <c r="C2309" s="210" t="s">
        <v>8184</v>
      </c>
      <c r="D2309" s="210" t="s">
        <v>8185</v>
      </c>
      <c r="E2309" s="204">
        <v>1.0</v>
      </c>
      <c r="F2309" s="205">
        <v>0.0</v>
      </c>
      <c r="G2309" s="205">
        <v>2.0</v>
      </c>
    </row>
    <row r="2310" ht="15.75" customHeight="1">
      <c r="A2310" s="200" t="s">
        <v>311</v>
      </c>
      <c r="B2310" s="186" t="s">
        <v>8188</v>
      </c>
      <c r="C2310" s="210" t="s">
        <v>8189</v>
      </c>
      <c r="D2310" s="210" t="s">
        <v>8190</v>
      </c>
      <c r="E2310" s="204">
        <v>1.0</v>
      </c>
      <c r="F2310" s="205">
        <v>0.0</v>
      </c>
      <c r="G2310" s="205">
        <v>0.0</v>
      </c>
    </row>
    <row r="2311" ht="15.75" customHeight="1">
      <c r="A2311" s="200" t="s">
        <v>311</v>
      </c>
      <c r="B2311" s="186" t="s">
        <v>8215</v>
      </c>
      <c r="C2311" s="210" t="s">
        <v>8218</v>
      </c>
      <c r="D2311" s="210" t="s">
        <v>8219</v>
      </c>
      <c r="E2311" s="204">
        <v>1.0</v>
      </c>
      <c r="F2311" s="205">
        <v>0.0</v>
      </c>
      <c r="G2311" s="205">
        <v>1.0</v>
      </c>
    </row>
    <row r="2312" ht="15.75" customHeight="1">
      <c r="A2312" s="200" t="s">
        <v>311</v>
      </c>
      <c r="B2312" s="186" t="s">
        <v>8222</v>
      </c>
      <c r="C2312" s="210" t="s">
        <v>8223</v>
      </c>
      <c r="D2312" s="210" t="s">
        <v>8224</v>
      </c>
      <c r="E2312" s="204">
        <v>1.0</v>
      </c>
      <c r="F2312" s="205">
        <v>0.0</v>
      </c>
      <c r="G2312" s="205">
        <v>1.0</v>
      </c>
    </row>
    <row r="2313" ht="15.75" customHeight="1">
      <c r="A2313" s="200" t="s">
        <v>311</v>
      </c>
      <c r="B2313" s="186" t="s">
        <v>8226</v>
      </c>
      <c r="C2313" s="210" t="s">
        <v>8227</v>
      </c>
      <c r="D2313" s="210"/>
      <c r="E2313" s="204">
        <v>1.0</v>
      </c>
      <c r="F2313" s="205">
        <v>0.0</v>
      </c>
      <c r="G2313" s="205">
        <v>0.0</v>
      </c>
    </row>
    <row r="2314" ht="15.75" customHeight="1">
      <c r="A2314" s="200" t="s">
        <v>311</v>
      </c>
      <c r="B2314" s="186" t="s">
        <v>8231</v>
      </c>
      <c r="C2314" s="210" t="s">
        <v>8232</v>
      </c>
      <c r="D2314" s="210"/>
      <c r="E2314" s="204">
        <v>1.0</v>
      </c>
      <c r="F2314" s="205">
        <v>0.0</v>
      </c>
      <c r="G2314" s="205">
        <v>1.0</v>
      </c>
    </row>
    <row r="2315" ht="15.75" customHeight="1">
      <c r="A2315" s="200" t="s">
        <v>311</v>
      </c>
      <c r="B2315" s="186" t="s">
        <v>8236</v>
      </c>
      <c r="C2315" s="210" t="s">
        <v>8237</v>
      </c>
      <c r="D2315" s="210"/>
      <c r="E2315" s="204">
        <v>1.0</v>
      </c>
      <c r="F2315" s="205">
        <v>0.0</v>
      </c>
      <c r="G2315" s="205">
        <v>2.0</v>
      </c>
    </row>
    <row r="2316" ht="15.75" customHeight="1">
      <c r="A2316" s="200" t="s">
        <v>311</v>
      </c>
      <c r="B2316" s="186" t="s">
        <v>4162</v>
      </c>
      <c r="C2316" s="210" t="s">
        <v>4163</v>
      </c>
      <c r="D2316" s="210"/>
      <c r="E2316" s="204">
        <v>1.0</v>
      </c>
      <c r="F2316" s="205">
        <v>0.0</v>
      </c>
      <c r="G2316" s="205">
        <v>0.0</v>
      </c>
    </row>
    <row r="2317" ht="15.75" customHeight="1">
      <c r="A2317" s="200" t="s">
        <v>311</v>
      </c>
      <c r="B2317" s="186" t="s">
        <v>2078</v>
      </c>
      <c r="C2317" s="210" t="s">
        <v>2079</v>
      </c>
      <c r="D2317" s="210" t="s">
        <v>2081</v>
      </c>
      <c r="E2317" s="204">
        <v>1.0</v>
      </c>
      <c r="F2317" s="205">
        <v>0.0</v>
      </c>
      <c r="G2317" s="205">
        <v>1.0</v>
      </c>
    </row>
    <row r="2318" ht="15.75" customHeight="1">
      <c r="A2318" s="200" t="s">
        <v>311</v>
      </c>
      <c r="B2318" s="186" t="s">
        <v>4748</v>
      </c>
      <c r="C2318" s="210" t="s">
        <v>4749</v>
      </c>
      <c r="D2318" s="210" t="s">
        <v>799</v>
      </c>
      <c r="E2318" s="204">
        <v>1.0</v>
      </c>
      <c r="F2318" s="205">
        <v>0.0</v>
      </c>
      <c r="G2318" s="205">
        <v>0.0</v>
      </c>
    </row>
    <row r="2319" ht="15.75" customHeight="1">
      <c r="A2319" s="200" t="s">
        <v>311</v>
      </c>
      <c r="B2319" s="186" t="s">
        <v>8248</v>
      </c>
      <c r="C2319" s="210" t="s">
        <v>8249</v>
      </c>
      <c r="D2319" s="210" t="s">
        <v>8250</v>
      </c>
      <c r="E2319" s="204">
        <v>1.0</v>
      </c>
      <c r="F2319" s="205">
        <v>0.0</v>
      </c>
      <c r="G2319" s="205">
        <v>1.0</v>
      </c>
    </row>
    <row r="2320" ht="15.75" customHeight="1">
      <c r="A2320" s="200" t="s">
        <v>311</v>
      </c>
      <c r="B2320" s="186" t="s">
        <v>8252</v>
      </c>
      <c r="C2320" s="210" t="s">
        <v>8253</v>
      </c>
      <c r="D2320" s="210" t="s">
        <v>8255</v>
      </c>
      <c r="E2320" s="204">
        <v>1.0</v>
      </c>
      <c r="F2320" s="205">
        <v>0.0</v>
      </c>
      <c r="G2320" s="205">
        <v>0.0</v>
      </c>
    </row>
    <row r="2321" ht="15.75" customHeight="1">
      <c r="A2321" s="200" t="s">
        <v>311</v>
      </c>
      <c r="B2321" s="186" t="s">
        <v>4759</v>
      </c>
      <c r="C2321" s="210" t="s">
        <v>4760</v>
      </c>
      <c r="D2321" s="210"/>
      <c r="E2321" s="204">
        <v>1.0</v>
      </c>
      <c r="F2321" s="205">
        <v>0.0</v>
      </c>
      <c r="G2321" s="205">
        <v>0.0</v>
      </c>
    </row>
    <row r="2322" ht="15.75" customHeight="1">
      <c r="A2322" s="200" t="s">
        <v>311</v>
      </c>
      <c r="B2322" s="186" t="s">
        <v>4168</v>
      </c>
      <c r="C2322" s="210" t="s">
        <v>4169</v>
      </c>
      <c r="D2322" s="210" t="s">
        <v>8257</v>
      </c>
      <c r="E2322" s="204">
        <v>1.0</v>
      </c>
      <c r="F2322" s="205">
        <v>0.0</v>
      </c>
      <c r="G2322" s="205">
        <v>2.0</v>
      </c>
    </row>
    <row r="2323" ht="15.75" customHeight="1">
      <c r="A2323" s="200" t="s">
        <v>311</v>
      </c>
      <c r="B2323" s="186" t="s">
        <v>2084</v>
      </c>
      <c r="C2323" s="210" t="s">
        <v>2085</v>
      </c>
      <c r="D2323" s="210" t="s">
        <v>2086</v>
      </c>
      <c r="E2323" s="204">
        <v>1.0</v>
      </c>
      <c r="F2323" s="205">
        <v>0.0</v>
      </c>
      <c r="G2323" s="205">
        <v>0.0</v>
      </c>
    </row>
    <row r="2324" ht="15.75" customHeight="1">
      <c r="A2324" s="200" t="s">
        <v>311</v>
      </c>
      <c r="B2324" s="186" t="s">
        <v>4779</v>
      </c>
      <c r="C2324" s="210" t="s">
        <v>4780</v>
      </c>
      <c r="D2324" s="210" t="s">
        <v>8261</v>
      </c>
      <c r="E2324" s="204">
        <v>1.0</v>
      </c>
      <c r="F2324" s="205">
        <v>0.0</v>
      </c>
      <c r="G2324" s="205">
        <v>0.0</v>
      </c>
    </row>
    <row r="2325" ht="15.75" customHeight="1">
      <c r="A2325" s="200" t="s">
        <v>311</v>
      </c>
      <c r="B2325" s="186" t="s">
        <v>8264</v>
      </c>
      <c r="C2325" s="210" t="s">
        <v>8265</v>
      </c>
      <c r="D2325" s="210"/>
      <c r="E2325" s="204">
        <v>1.0</v>
      </c>
      <c r="F2325" s="205">
        <v>0.0</v>
      </c>
      <c r="G2325" s="205">
        <v>0.0</v>
      </c>
    </row>
    <row r="2326" ht="15.75" customHeight="1">
      <c r="A2326" s="200" t="s">
        <v>311</v>
      </c>
      <c r="B2326" s="186" t="s">
        <v>8266</v>
      </c>
      <c r="C2326" s="210" t="s">
        <v>4783</v>
      </c>
      <c r="D2326" s="210" t="s">
        <v>8268</v>
      </c>
      <c r="E2326" s="204">
        <v>1.0</v>
      </c>
      <c r="F2326" s="205">
        <v>0.0</v>
      </c>
      <c r="G2326" s="205">
        <v>1.0</v>
      </c>
    </row>
    <row r="2327" ht="15.75" customHeight="1">
      <c r="A2327" s="200" t="s">
        <v>311</v>
      </c>
      <c r="B2327" s="186" t="s">
        <v>8270</v>
      </c>
      <c r="C2327" s="210" t="s">
        <v>8271</v>
      </c>
      <c r="D2327" s="210"/>
      <c r="E2327" s="204">
        <v>1.0</v>
      </c>
      <c r="F2327" s="205">
        <v>0.0</v>
      </c>
      <c r="G2327" s="205">
        <v>0.0</v>
      </c>
    </row>
    <row r="2328" ht="15.75" customHeight="1">
      <c r="A2328" s="200" t="s">
        <v>311</v>
      </c>
      <c r="B2328" s="186" t="s">
        <v>8273</v>
      </c>
      <c r="C2328" s="210" t="s">
        <v>8275</v>
      </c>
      <c r="D2328" s="210" t="s">
        <v>799</v>
      </c>
      <c r="E2328" s="204">
        <v>1.0</v>
      </c>
      <c r="F2328" s="205">
        <v>0.0</v>
      </c>
      <c r="G2328" s="205">
        <v>0.0</v>
      </c>
    </row>
    <row r="2329" ht="15.75" customHeight="1">
      <c r="A2329" s="200" t="s">
        <v>311</v>
      </c>
      <c r="B2329" s="186" t="s">
        <v>4787</v>
      </c>
      <c r="C2329" s="210" t="s">
        <v>4788</v>
      </c>
      <c r="D2329" s="210" t="s">
        <v>8278</v>
      </c>
      <c r="E2329" s="204">
        <v>1.0</v>
      </c>
      <c r="F2329" s="205">
        <v>0.0</v>
      </c>
      <c r="G2329" s="205">
        <v>0.0</v>
      </c>
    </row>
    <row r="2330" ht="15.75" customHeight="1">
      <c r="A2330" s="200" t="s">
        <v>311</v>
      </c>
      <c r="B2330" s="186" t="s">
        <v>8280</v>
      </c>
      <c r="C2330" s="210" t="s">
        <v>8281</v>
      </c>
      <c r="D2330" s="210" t="s">
        <v>8282</v>
      </c>
      <c r="E2330" s="204">
        <v>1.0</v>
      </c>
      <c r="F2330" s="205">
        <v>0.0</v>
      </c>
      <c r="G2330" s="205">
        <v>0.0</v>
      </c>
    </row>
    <row r="2331" ht="15.75" customHeight="1">
      <c r="A2331" s="200" t="s">
        <v>311</v>
      </c>
      <c r="B2331" s="186" t="s">
        <v>8283</v>
      </c>
      <c r="C2331" s="210" t="s">
        <v>8284</v>
      </c>
      <c r="D2331" s="210" t="s">
        <v>8286</v>
      </c>
      <c r="E2331" s="204">
        <v>1.0</v>
      </c>
      <c r="F2331" s="205">
        <v>0.0</v>
      </c>
      <c r="G2331" s="205">
        <v>1.0</v>
      </c>
    </row>
    <row r="2332" ht="15.75" customHeight="1">
      <c r="A2332" s="200" t="s">
        <v>311</v>
      </c>
      <c r="B2332" s="186" t="s">
        <v>2578</v>
      </c>
      <c r="C2332" s="210" t="s">
        <v>2580</v>
      </c>
      <c r="D2332" s="210" t="s">
        <v>8287</v>
      </c>
      <c r="E2332" s="204">
        <v>1.0</v>
      </c>
      <c r="F2332" s="205">
        <v>0.0</v>
      </c>
      <c r="G2332" s="205">
        <v>0.0</v>
      </c>
    </row>
    <row r="2333" ht="15.75" customHeight="1">
      <c r="A2333" s="200" t="s">
        <v>311</v>
      </c>
      <c r="B2333" s="186" t="s">
        <v>8290</v>
      </c>
      <c r="C2333" s="210" t="s">
        <v>8291</v>
      </c>
      <c r="D2333" s="210" t="s">
        <v>8293</v>
      </c>
      <c r="E2333" s="204">
        <v>1.0</v>
      </c>
      <c r="F2333" s="205">
        <v>0.0</v>
      </c>
      <c r="G2333" s="205">
        <v>0.0</v>
      </c>
    </row>
    <row r="2334" ht="15.75" customHeight="1">
      <c r="A2334" s="200" t="s">
        <v>311</v>
      </c>
      <c r="B2334" s="186" t="s">
        <v>1625</v>
      </c>
      <c r="C2334" s="210" t="s">
        <v>2422</v>
      </c>
      <c r="D2334" s="210" t="s">
        <v>8295</v>
      </c>
      <c r="E2334" s="204">
        <v>1.0</v>
      </c>
      <c r="F2334" s="205">
        <v>0.0</v>
      </c>
      <c r="G2334" s="205">
        <v>1.0</v>
      </c>
    </row>
    <row r="2335" ht="15.75" customHeight="1">
      <c r="A2335" s="200" t="s">
        <v>311</v>
      </c>
      <c r="B2335" s="186" t="s">
        <v>8298</v>
      </c>
      <c r="C2335" s="210" t="s">
        <v>8299</v>
      </c>
      <c r="D2335" s="210" t="s">
        <v>8300</v>
      </c>
      <c r="E2335" s="204">
        <v>1.0</v>
      </c>
      <c r="F2335" s="205">
        <v>0.0</v>
      </c>
      <c r="G2335" s="205">
        <v>5.0</v>
      </c>
    </row>
    <row r="2336" ht="15.75" customHeight="1">
      <c r="A2336" s="200" t="s">
        <v>311</v>
      </c>
      <c r="B2336" s="186" t="s">
        <v>8303</v>
      </c>
      <c r="C2336" s="210" t="s">
        <v>8304</v>
      </c>
      <c r="D2336" s="210" t="s">
        <v>8305</v>
      </c>
      <c r="E2336" s="204">
        <v>1.0</v>
      </c>
      <c r="F2336" s="205">
        <v>0.0</v>
      </c>
      <c r="G2336" s="205">
        <v>0.0</v>
      </c>
    </row>
    <row r="2337" ht="15.75" customHeight="1">
      <c r="A2337" s="200" t="s">
        <v>311</v>
      </c>
      <c r="B2337" s="186" t="s">
        <v>4802</v>
      </c>
      <c r="C2337" s="210" t="s">
        <v>4803</v>
      </c>
      <c r="D2337" s="210" t="s">
        <v>8308</v>
      </c>
      <c r="E2337" s="204">
        <v>1.0</v>
      </c>
      <c r="F2337" s="205">
        <v>0.0</v>
      </c>
      <c r="G2337" s="205">
        <v>0.0</v>
      </c>
    </row>
    <row r="2338" ht="15.75" customHeight="1">
      <c r="A2338" s="200" t="s">
        <v>311</v>
      </c>
      <c r="B2338" s="186" t="s">
        <v>8311</v>
      </c>
      <c r="C2338" s="210" t="s">
        <v>8312</v>
      </c>
      <c r="D2338" s="210" t="s">
        <v>8313</v>
      </c>
      <c r="E2338" s="204">
        <v>1.0</v>
      </c>
      <c r="F2338" s="205">
        <v>0.0</v>
      </c>
      <c r="G2338" s="205">
        <v>0.0</v>
      </c>
    </row>
    <row r="2339" ht="15.75" customHeight="1">
      <c r="A2339" s="200" t="s">
        <v>311</v>
      </c>
      <c r="B2339" s="186" t="s">
        <v>4814</v>
      </c>
      <c r="C2339" s="210" t="s">
        <v>4815</v>
      </c>
      <c r="D2339" s="210"/>
      <c r="E2339" s="204">
        <v>1.0</v>
      </c>
      <c r="F2339" s="205">
        <v>0.0</v>
      </c>
      <c r="G2339" s="205">
        <v>0.0</v>
      </c>
    </row>
    <row r="2340" ht="15.75" customHeight="1">
      <c r="A2340" s="200" t="s">
        <v>311</v>
      </c>
      <c r="B2340" s="186" t="s">
        <v>8318</v>
      </c>
      <c r="C2340" s="210" t="s">
        <v>8320</v>
      </c>
      <c r="D2340" s="210"/>
      <c r="E2340" s="204">
        <v>1.0</v>
      </c>
      <c r="F2340" s="205">
        <v>0.0</v>
      </c>
      <c r="G2340" s="205">
        <v>0.0</v>
      </c>
    </row>
    <row r="2341" ht="15.75" customHeight="1">
      <c r="A2341" s="200" t="s">
        <v>311</v>
      </c>
      <c r="B2341" s="186" t="s">
        <v>8323</v>
      </c>
      <c r="C2341" s="210" t="s">
        <v>8324</v>
      </c>
      <c r="D2341" s="210"/>
      <c r="E2341" s="204">
        <v>1.0</v>
      </c>
      <c r="F2341" s="205">
        <v>0.0</v>
      </c>
      <c r="G2341" s="205">
        <v>1.0</v>
      </c>
    </row>
    <row r="2342" ht="15.75" customHeight="1">
      <c r="A2342" s="200" t="s">
        <v>311</v>
      </c>
      <c r="B2342" s="186" t="s">
        <v>8326</v>
      </c>
      <c r="C2342" s="210" t="s">
        <v>4837</v>
      </c>
      <c r="D2342" s="210" t="s">
        <v>8328</v>
      </c>
      <c r="E2342" s="204">
        <v>1.0</v>
      </c>
      <c r="F2342" s="205">
        <v>0.0</v>
      </c>
      <c r="G2342" s="205">
        <v>0.0</v>
      </c>
    </row>
    <row r="2343" ht="15.75" customHeight="1">
      <c r="A2343" s="200" t="s">
        <v>311</v>
      </c>
      <c r="B2343" s="186" t="s">
        <v>8330</v>
      </c>
      <c r="C2343" s="210" t="s">
        <v>7406</v>
      </c>
      <c r="D2343" s="210" t="s">
        <v>7266</v>
      </c>
      <c r="E2343" s="204">
        <v>1.0</v>
      </c>
      <c r="F2343" s="205">
        <v>0.0</v>
      </c>
      <c r="G2343" s="205">
        <v>0.0</v>
      </c>
    </row>
    <row r="2344" ht="15.75" customHeight="1">
      <c r="A2344" s="200" t="s">
        <v>311</v>
      </c>
      <c r="B2344" s="186" t="s">
        <v>3125</v>
      </c>
      <c r="C2344" s="210" t="s">
        <v>3126</v>
      </c>
      <c r="D2344" s="210" t="s">
        <v>8333</v>
      </c>
      <c r="E2344" s="204">
        <v>1.0</v>
      </c>
      <c r="F2344" s="205">
        <v>0.0</v>
      </c>
      <c r="G2344" s="205">
        <v>0.0</v>
      </c>
    </row>
    <row r="2345" ht="15.75" customHeight="1">
      <c r="A2345" s="200" t="s">
        <v>311</v>
      </c>
      <c r="B2345" s="186" t="s">
        <v>8335</v>
      </c>
      <c r="C2345" s="210" t="s">
        <v>8336</v>
      </c>
      <c r="D2345" s="210" t="s">
        <v>7652</v>
      </c>
      <c r="E2345" s="204">
        <v>1.0</v>
      </c>
      <c r="F2345" s="205">
        <v>0.0</v>
      </c>
      <c r="G2345" s="205">
        <v>0.0</v>
      </c>
    </row>
    <row r="2346" ht="15.75" customHeight="1">
      <c r="A2346" s="200" t="s">
        <v>311</v>
      </c>
      <c r="B2346" s="186" t="s">
        <v>8339</v>
      </c>
      <c r="C2346" s="210" t="s">
        <v>7409</v>
      </c>
      <c r="D2346" s="210" t="s">
        <v>8341</v>
      </c>
      <c r="E2346" s="204">
        <v>1.0</v>
      </c>
      <c r="F2346" s="205">
        <v>0.0</v>
      </c>
      <c r="G2346" s="205">
        <v>0.0</v>
      </c>
    </row>
    <row r="2347" ht="15.75" customHeight="1">
      <c r="A2347" s="200" t="s">
        <v>311</v>
      </c>
      <c r="B2347" s="186" t="s">
        <v>8342</v>
      </c>
      <c r="C2347" s="210" t="s">
        <v>7005</v>
      </c>
      <c r="D2347" s="210" t="s">
        <v>8344</v>
      </c>
      <c r="E2347" s="204">
        <v>1.0</v>
      </c>
      <c r="F2347" s="205">
        <v>0.0</v>
      </c>
      <c r="G2347" s="205">
        <v>0.0</v>
      </c>
    </row>
    <row r="2348" ht="15.75" customHeight="1">
      <c r="A2348" s="200" t="s">
        <v>311</v>
      </c>
      <c r="B2348" s="186" t="s">
        <v>8347</v>
      </c>
      <c r="C2348" s="210" t="s">
        <v>8348</v>
      </c>
      <c r="D2348" s="210" t="s">
        <v>8349</v>
      </c>
      <c r="E2348" s="204">
        <v>1.0</v>
      </c>
      <c r="F2348" s="205">
        <v>0.0</v>
      </c>
      <c r="G2348" s="205">
        <v>0.0</v>
      </c>
    </row>
    <row r="2349" ht="15.75" customHeight="1">
      <c r="A2349" s="200" t="s">
        <v>311</v>
      </c>
      <c r="B2349" s="186" t="s">
        <v>4855</v>
      </c>
      <c r="C2349" s="210" t="s">
        <v>4856</v>
      </c>
      <c r="D2349" s="210" t="s">
        <v>7901</v>
      </c>
      <c r="E2349" s="204">
        <v>1.0</v>
      </c>
      <c r="F2349" s="205">
        <v>0.0</v>
      </c>
      <c r="G2349" s="205">
        <v>0.0</v>
      </c>
    </row>
    <row r="2350" ht="15.75" customHeight="1">
      <c r="A2350" s="200" t="s">
        <v>311</v>
      </c>
      <c r="B2350" s="186" t="s">
        <v>3143</v>
      </c>
      <c r="C2350" s="210" t="s">
        <v>3144</v>
      </c>
      <c r="D2350" s="210" t="s">
        <v>8356</v>
      </c>
      <c r="E2350" s="204">
        <v>1.0</v>
      </c>
      <c r="F2350" s="205">
        <v>0.0</v>
      </c>
      <c r="G2350" s="205">
        <v>1.0</v>
      </c>
    </row>
    <row r="2351" ht="15.75" customHeight="1">
      <c r="A2351" s="200" t="s">
        <v>311</v>
      </c>
      <c r="B2351" s="186" t="s">
        <v>8358</v>
      </c>
      <c r="C2351" s="210" t="s">
        <v>8360</v>
      </c>
      <c r="D2351" s="210" t="s">
        <v>8361</v>
      </c>
      <c r="E2351" s="204">
        <v>1.0</v>
      </c>
      <c r="F2351" s="205">
        <v>0.0</v>
      </c>
      <c r="G2351" s="205">
        <v>1.0</v>
      </c>
    </row>
    <row r="2352" ht="15.75" customHeight="1">
      <c r="A2352" s="200" t="s">
        <v>311</v>
      </c>
      <c r="B2352" s="186" t="s">
        <v>4863</v>
      </c>
      <c r="C2352" s="210" t="s">
        <v>4864</v>
      </c>
      <c r="D2352" s="210" t="s">
        <v>8364</v>
      </c>
      <c r="E2352" s="204">
        <v>1.0</v>
      </c>
      <c r="F2352" s="205">
        <v>0.0</v>
      </c>
      <c r="G2352" s="205">
        <v>1.0</v>
      </c>
    </row>
    <row r="2353" ht="15.75" customHeight="1">
      <c r="A2353" s="200" t="s">
        <v>311</v>
      </c>
      <c r="B2353" s="186" t="s">
        <v>8367</v>
      </c>
      <c r="C2353" s="210" t="s">
        <v>8368</v>
      </c>
      <c r="D2353" s="210" t="s">
        <v>8369</v>
      </c>
      <c r="E2353" s="204">
        <v>1.0</v>
      </c>
      <c r="F2353" s="205">
        <v>0.0</v>
      </c>
      <c r="G2353" s="205">
        <v>1.0</v>
      </c>
    </row>
    <row r="2354" ht="15.75" customHeight="1">
      <c r="A2354" s="200" t="s">
        <v>311</v>
      </c>
      <c r="B2354" s="186" t="s">
        <v>2678</v>
      </c>
      <c r="C2354" s="210" t="s">
        <v>2679</v>
      </c>
      <c r="D2354" s="210" t="s">
        <v>1101</v>
      </c>
      <c r="E2354" s="204">
        <v>1.0</v>
      </c>
      <c r="F2354" s="205">
        <v>0.0</v>
      </c>
      <c r="G2354" s="205">
        <v>0.0</v>
      </c>
    </row>
    <row r="2355" ht="15.75" customHeight="1">
      <c r="A2355" s="200" t="s">
        <v>311</v>
      </c>
      <c r="B2355" s="186" t="s">
        <v>2347</v>
      </c>
      <c r="C2355" s="210" t="s">
        <v>2350</v>
      </c>
      <c r="D2355" s="210" t="s">
        <v>8374</v>
      </c>
      <c r="E2355" s="204">
        <v>1.0</v>
      </c>
      <c r="F2355" s="205">
        <v>0.0</v>
      </c>
      <c r="G2355" s="205">
        <v>1.0</v>
      </c>
    </row>
    <row r="2356" ht="15.75" customHeight="1">
      <c r="A2356" s="200" t="s">
        <v>311</v>
      </c>
      <c r="B2356" s="186" t="s">
        <v>8376</v>
      </c>
      <c r="C2356" s="210" t="s">
        <v>8377</v>
      </c>
      <c r="D2356" s="210" t="s">
        <v>8378</v>
      </c>
      <c r="E2356" s="204">
        <v>1.0</v>
      </c>
      <c r="F2356" s="205">
        <v>0.0</v>
      </c>
      <c r="G2356" s="205">
        <v>1.0</v>
      </c>
    </row>
    <row r="2357" ht="15.75" customHeight="1">
      <c r="A2357" s="200" t="s">
        <v>311</v>
      </c>
      <c r="B2357" s="186" t="s">
        <v>3951</v>
      </c>
      <c r="C2357" s="210" t="s">
        <v>3952</v>
      </c>
      <c r="D2357" s="210" t="s">
        <v>8381</v>
      </c>
      <c r="E2357" s="204">
        <v>1.0</v>
      </c>
      <c r="F2357" s="205">
        <v>0.0</v>
      </c>
      <c r="G2357" s="205">
        <v>1.0</v>
      </c>
    </row>
    <row r="2358" ht="15.75" customHeight="1">
      <c r="A2358" s="200" t="s">
        <v>311</v>
      </c>
      <c r="B2358" s="186" t="s">
        <v>1184</v>
      </c>
      <c r="C2358" s="210" t="s">
        <v>1185</v>
      </c>
      <c r="D2358" s="210" t="s">
        <v>8383</v>
      </c>
      <c r="E2358" s="204">
        <v>1.0</v>
      </c>
      <c r="F2358" s="205">
        <v>0.0</v>
      </c>
      <c r="G2358" s="205">
        <v>0.0</v>
      </c>
    </row>
    <row r="2359" ht="15.75" customHeight="1">
      <c r="A2359" s="200" t="s">
        <v>311</v>
      </c>
      <c r="B2359" s="186" t="s">
        <v>1190</v>
      </c>
      <c r="C2359" s="210" t="s">
        <v>1191</v>
      </c>
      <c r="D2359" s="210" t="s">
        <v>8386</v>
      </c>
      <c r="E2359" s="204">
        <v>1.0</v>
      </c>
      <c r="F2359" s="205">
        <v>0.0</v>
      </c>
      <c r="G2359" s="205">
        <v>0.0</v>
      </c>
    </row>
    <row r="2360" ht="15.75" customHeight="1">
      <c r="A2360" s="200" t="s">
        <v>311</v>
      </c>
      <c r="B2360" s="186" t="s">
        <v>8389</v>
      </c>
      <c r="C2360" s="210" t="s">
        <v>8390</v>
      </c>
      <c r="D2360" s="210" t="s">
        <v>7735</v>
      </c>
      <c r="E2360" s="204">
        <v>1.0</v>
      </c>
      <c r="F2360" s="205">
        <v>0.0</v>
      </c>
      <c r="G2360" s="205">
        <v>0.0</v>
      </c>
    </row>
    <row r="2361" ht="15.75" customHeight="1">
      <c r="A2361" s="200" t="s">
        <v>311</v>
      </c>
      <c r="B2361" s="186" t="s">
        <v>3249</v>
      </c>
      <c r="C2361" s="210" t="s">
        <v>3252</v>
      </c>
      <c r="D2361" s="210" t="s">
        <v>8393</v>
      </c>
      <c r="E2361" s="204">
        <v>1.0</v>
      </c>
      <c r="F2361" s="205">
        <v>0.0</v>
      </c>
      <c r="G2361" s="205">
        <v>2.0</v>
      </c>
    </row>
    <row r="2362" ht="15.75" customHeight="1">
      <c r="A2362" s="200" t="s">
        <v>311</v>
      </c>
      <c r="B2362" s="186" t="s">
        <v>2087</v>
      </c>
      <c r="C2362" s="210" t="s">
        <v>2088</v>
      </c>
      <c r="D2362" s="210" t="s">
        <v>2089</v>
      </c>
      <c r="E2362" s="204">
        <v>1.0</v>
      </c>
      <c r="F2362" s="205">
        <v>0.0</v>
      </c>
      <c r="G2362" s="205">
        <v>1.0</v>
      </c>
    </row>
    <row r="2363" ht="15.75" customHeight="1">
      <c r="A2363" s="200" t="s">
        <v>311</v>
      </c>
      <c r="B2363" s="186" t="s">
        <v>2093</v>
      </c>
      <c r="C2363" s="210" t="s">
        <v>2094</v>
      </c>
      <c r="D2363" s="210" t="s">
        <v>2095</v>
      </c>
      <c r="E2363" s="204">
        <v>1.0</v>
      </c>
      <c r="F2363" s="205">
        <v>0.0</v>
      </c>
      <c r="G2363" s="205">
        <v>0.0</v>
      </c>
    </row>
    <row r="2364" ht="15.75" customHeight="1">
      <c r="A2364" s="200" t="s">
        <v>311</v>
      </c>
      <c r="B2364" s="186" t="s">
        <v>3727</v>
      </c>
      <c r="C2364" s="210" t="s">
        <v>3728</v>
      </c>
      <c r="D2364" s="210" t="s">
        <v>8400</v>
      </c>
      <c r="E2364" s="204">
        <v>1.0</v>
      </c>
      <c r="F2364" s="205">
        <v>0.0</v>
      </c>
      <c r="G2364" s="205">
        <v>0.0</v>
      </c>
    </row>
    <row r="2365" ht="15.75" customHeight="1">
      <c r="A2365" s="200" t="s">
        <v>311</v>
      </c>
      <c r="B2365" s="186" t="s">
        <v>4937</v>
      </c>
      <c r="C2365" s="210" t="s">
        <v>4938</v>
      </c>
      <c r="D2365" s="210" t="s">
        <v>8403</v>
      </c>
      <c r="E2365" s="204">
        <v>1.0</v>
      </c>
      <c r="F2365" s="205">
        <v>0.0</v>
      </c>
      <c r="G2365" s="205">
        <v>3.0</v>
      </c>
    </row>
    <row r="2366" ht="15.75" customHeight="1">
      <c r="A2366" s="200" t="s">
        <v>311</v>
      </c>
      <c r="B2366" s="186" t="s">
        <v>8406</v>
      </c>
      <c r="C2366" s="210" t="s">
        <v>8408</v>
      </c>
      <c r="D2366" s="210" t="s">
        <v>1319</v>
      </c>
      <c r="E2366" s="204">
        <v>1.0</v>
      </c>
      <c r="F2366" s="205">
        <v>0.0</v>
      </c>
      <c r="G2366" s="205">
        <v>1.0</v>
      </c>
    </row>
    <row r="2367" ht="15.75" customHeight="1">
      <c r="A2367" s="200" t="s">
        <v>311</v>
      </c>
      <c r="B2367" s="186" t="s">
        <v>8410</v>
      </c>
      <c r="C2367" s="210" t="s">
        <v>8411</v>
      </c>
      <c r="D2367" s="210"/>
      <c r="E2367" s="204">
        <v>1.0</v>
      </c>
      <c r="F2367" s="205">
        <v>0.0</v>
      </c>
      <c r="G2367" s="205">
        <v>0.0</v>
      </c>
    </row>
    <row r="2368" ht="15.75" customHeight="1">
      <c r="A2368" s="200" t="s">
        <v>311</v>
      </c>
      <c r="B2368" s="186" t="s">
        <v>4946</v>
      </c>
      <c r="C2368" s="210" t="s">
        <v>4947</v>
      </c>
      <c r="D2368" s="210"/>
      <c r="E2368" s="204">
        <v>1.0</v>
      </c>
      <c r="F2368" s="205">
        <v>0.0</v>
      </c>
      <c r="G2368" s="205">
        <v>0.0</v>
      </c>
    </row>
    <row r="2369" ht="15.75" customHeight="1">
      <c r="A2369" s="200" t="s">
        <v>311</v>
      </c>
      <c r="B2369" s="186" t="s">
        <v>8416</v>
      </c>
      <c r="C2369" s="210" t="s">
        <v>8417</v>
      </c>
      <c r="D2369" s="210" t="s">
        <v>7629</v>
      </c>
      <c r="E2369" s="204">
        <v>1.0</v>
      </c>
      <c r="F2369" s="205">
        <v>0.0</v>
      </c>
      <c r="G2369" s="205">
        <v>0.0</v>
      </c>
    </row>
    <row r="2370" ht="15.75" customHeight="1">
      <c r="A2370" s="200" t="s">
        <v>311</v>
      </c>
      <c r="B2370" s="186" t="s">
        <v>8420</v>
      </c>
      <c r="C2370" s="210" t="s">
        <v>8422</v>
      </c>
      <c r="D2370" s="210" t="s">
        <v>8423</v>
      </c>
      <c r="E2370" s="204">
        <v>1.0</v>
      </c>
      <c r="F2370" s="205">
        <v>0.0</v>
      </c>
      <c r="G2370" s="205">
        <v>1.0</v>
      </c>
    </row>
    <row r="2371" ht="15.75" customHeight="1">
      <c r="A2371" s="200" t="s">
        <v>311</v>
      </c>
      <c r="B2371" s="186" t="s">
        <v>8426</v>
      </c>
      <c r="C2371" s="210" t="s">
        <v>8428</v>
      </c>
      <c r="D2371" s="210" t="s">
        <v>8429</v>
      </c>
      <c r="E2371" s="204">
        <v>1.0</v>
      </c>
      <c r="F2371" s="205">
        <v>0.0</v>
      </c>
      <c r="G2371" s="205">
        <v>0.0</v>
      </c>
    </row>
    <row r="2372" ht="15.75" customHeight="1">
      <c r="A2372" s="200" t="s">
        <v>311</v>
      </c>
      <c r="B2372" s="186" t="s">
        <v>8431</v>
      </c>
      <c r="C2372" s="210" t="s">
        <v>8433</v>
      </c>
      <c r="D2372" s="210" t="s">
        <v>8434</v>
      </c>
      <c r="E2372" s="204">
        <v>1.0</v>
      </c>
      <c r="F2372" s="205">
        <v>0.0</v>
      </c>
      <c r="G2372" s="205">
        <v>1.0</v>
      </c>
    </row>
    <row r="2373" ht="15.75" customHeight="1">
      <c r="A2373" s="200" t="s">
        <v>311</v>
      </c>
      <c r="B2373" s="186" t="s">
        <v>8436</v>
      </c>
      <c r="C2373" s="210" t="s">
        <v>8438</v>
      </c>
      <c r="D2373" s="210" t="s">
        <v>7952</v>
      </c>
      <c r="E2373" s="204">
        <v>1.0</v>
      </c>
      <c r="F2373" s="205">
        <v>0.0</v>
      </c>
      <c r="G2373" s="205">
        <v>1.0</v>
      </c>
    </row>
    <row r="2374" ht="15.75" customHeight="1">
      <c r="A2374" s="200" t="s">
        <v>311</v>
      </c>
      <c r="B2374" s="186" t="s">
        <v>8440</v>
      </c>
      <c r="C2374" s="210" t="s">
        <v>8441</v>
      </c>
      <c r="D2374" s="210" t="s">
        <v>8443</v>
      </c>
      <c r="E2374" s="204">
        <v>1.0</v>
      </c>
      <c r="F2374" s="205">
        <v>0.0</v>
      </c>
      <c r="G2374" s="205">
        <v>1.0</v>
      </c>
    </row>
    <row r="2375" ht="15.75" customHeight="1">
      <c r="A2375" s="200" t="s">
        <v>311</v>
      </c>
      <c r="B2375" s="186" t="s">
        <v>8256</v>
      </c>
      <c r="C2375" s="210" t="s">
        <v>8258</v>
      </c>
      <c r="D2375" s="210" t="s">
        <v>2070</v>
      </c>
      <c r="E2375" s="204">
        <v>1.0</v>
      </c>
      <c r="F2375" s="205">
        <v>0.0</v>
      </c>
      <c r="G2375" s="205">
        <v>0.0</v>
      </c>
    </row>
    <row r="2376" ht="15.75" customHeight="1">
      <c r="A2376" s="200" t="s">
        <v>311</v>
      </c>
      <c r="B2376" s="186" t="s">
        <v>2923</v>
      </c>
      <c r="C2376" s="210" t="s">
        <v>2924</v>
      </c>
      <c r="D2376" s="210" t="s">
        <v>8447</v>
      </c>
      <c r="E2376" s="204">
        <v>1.0</v>
      </c>
      <c r="F2376" s="205">
        <v>0.0</v>
      </c>
      <c r="G2376" s="205">
        <v>1.0</v>
      </c>
    </row>
    <row r="2377" ht="15.75" customHeight="1">
      <c r="A2377" s="200" t="s">
        <v>311</v>
      </c>
      <c r="B2377" s="186" t="s">
        <v>5013</v>
      </c>
      <c r="C2377" s="210" t="s">
        <v>5014</v>
      </c>
      <c r="D2377" s="210" t="s">
        <v>380</v>
      </c>
      <c r="E2377" s="204">
        <v>1.0</v>
      </c>
      <c r="F2377" s="205">
        <v>0.0</v>
      </c>
      <c r="G2377" s="205">
        <v>2.0</v>
      </c>
    </row>
    <row r="2378" ht="15.75" customHeight="1">
      <c r="A2378" s="200" t="s">
        <v>311</v>
      </c>
      <c r="B2378" s="186" t="s">
        <v>8451</v>
      </c>
      <c r="C2378" s="210" t="s">
        <v>8452</v>
      </c>
      <c r="D2378" s="210" t="s">
        <v>8454</v>
      </c>
      <c r="E2378" s="204">
        <v>1.0</v>
      </c>
      <c r="F2378" s="205">
        <v>0.0</v>
      </c>
      <c r="G2378" s="205">
        <v>0.0</v>
      </c>
    </row>
    <row r="2379" ht="15.75" customHeight="1">
      <c r="A2379" s="200" t="s">
        <v>311</v>
      </c>
      <c r="B2379" s="186" t="s">
        <v>4226</v>
      </c>
      <c r="C2379" s="210" t="s">
        <v>4227</v>
      </c>
      <c r="D2379" s="210" t="s">
        <v>8456</v>
      </c>
      <c r="E2379" s="204">
        <v>1.0</v>
      </c>
      <c r="F2379" s="205">
        <v>0.0</v>
      </c>
      <c r="G2379" s="205">
        <v>1.0</v>
      </c>
    </row>
    <row r="2380" ht="15.75" customHeight="1">
      <c r="A2380" s="200" t="s">
        <v>311</v>
      </c>
      <c r="B2380" s="186" t="s">
        <v>4232</v>
      </c>
      <c r="C2380" s="210" t="s">
        <v>4233</v>
      </c>
      <c r="D2380" s="210" t="s">
        <v>8459</v>
      </c>
      <c r="E2380" s="204">
        <v>1.0</v>
      </c>
      <c r="F2380" s="205">
        <v>0.0</v>
      </c>
      <c r="G2380" s="205">
        <v>0.0</v>
      </c>
    </row>
    <row r="2381" ht="15.75" customHeight="1">
      <c r="A2381" s="200" t="s">
        <v>311</v>
      </c>
      <c r="B2381" s="186" t="s">
        <v>8460</v>
      </c>
      <c r="C2381" s="210" t="s">
        <v>8462</v>
      </c>
      <c r="D2381" s="210" t="s">
        <v>8463</v>
      </c>
      <c r="E2381" s="204">
        <v>1.0</v>
      </c>
      <c r="F2381" s="205">
        <v>0.0</v>
      </c>
      <c r="G2381" s="205">
        <v>0.0</v>
      </c>
    </row>
    <row r="2382" ht="15.75" customHeight="1">
      <c r="A2382" s="200" t="s">
        <v>311</v>
      </c>
      <c r="B2382" s="186" t="s">
        <v>8466</v>
      </c>
      <c r="C2382" s="210" t="s">
        <v>8467</v>
      </c>
      <c r="D2382" s="210" t="s">
        <v>8468</v>
      </c>
      <c r="E2382" s="204">
        <v>1.0</v>
      </c>
      <c r="F2382" s="205">
        <v>0.0</v>
      </c>
      <c r="G2382" s="205">
        <v>2.0</v>
      </c>
    </row>
    <row r="2383" ht="15.75" customHeight="1">
      <c r="A2383" s="200" t="s">
        <v>311</v>
      </c>
      <c r="B2383" s="186" t="s">
        <v>8470</v>
      </c>
      <c r="C2383" s="210" t="s">
        <v>8471</v>
      </c>
      <c r="D2383" s="210" t="s">
        <v>8472</v>
      </c>
      <c r="E2383" s="204">
        <v>1.0</v>
      </c>
      <c r="F2383" s="205">
        <v>0.0</v>
      </c>
      <c r="G2383" s="205">
        <v>0.0</v>
      </c>
    </row>
    <row r="2384" ht="15.75" customHeight="1">
      <c r="A2384" s="200" t="s">
        <v>311</v>
      </c>
      <c r="B2384" s="186" t="s">
        <v>5042</v>
      </c>
      <c r="C2384" s="210" t="s">
        <v>5043</v>
      </c>
      <c r="D2384" s="210" t="s">
        <v>8475</v>
      </c>
      <c r="E2384" s="204">
        <v>1.0</v>
      </c>
      <c r="F2384" s="205">
        <v>0.0</v>
      </c>
      <c r="G2384" s="205">
        <v>1.0</v>
      </c>
    </row>
    <row r="2385" ht="15.75" customHeight="1">
      <c r="A2385" s="200" t="s">
        <v>311</v>
      </c>
      <c r="B2385" s="186" t="s">
        <v>8477</v>
      </c>
      <c r="C2385" s="210" t="s">
        <v>1061</v>
      </c>
      <c r="D2385" s="210" t="s">
        <v>8479</v>
      </c>
      <c r="E2385" s="204">
        <v>1.0</v>
      </c>
      <c r="F2385" s="205">
        <v>0.0</v>
      </c>
      <c r="G2385" s="205">
        <v>2.0</v>
      </c>
    </row>
    <row r="2386" ht="15.75" customHeight="1">
      <c r="A2386" s="200" t="s">
        <v>311</v>
      </c>
      <c r="B2386" s="186" t="s">
        <v>8480</v>
      </c>
      <c r="C2386" s="210" t="s">
        <v>8481</v>
      </c>
      <c r="D2386" s="210" t="s">
        <v>8482</v>
      </c>
      <c r="E2386" s="204">
        <v>1.0</v>
      </c>
      <c r="F2386" s="205">
        <v>0.0</v>
      </c>
      <c r="G2386" s="205">
        <v>1.0</v>
      </c>
    </row>
    <row r="2387" ht="15.75" customHeight="1">
      <c r="A2387" s="200" t="s">
        <v>311</v>
      </c>
      <c r="B2387" s="186" t="s">
        <v>8485</v>
      </c>
      <c r="C2387" s="210" t="s">
        <v>8487</v>
      </c>
      <c r="D2387" s="210" t="s">
        <v>8488</v>
      </c>
      <c r="E2387" s="204">
        <v>1.0</v>
      </c>
      <c r="F2387" s="205">
        <v>0.0</v>
      </c>
      <c r="G2387" s="205">
        <v>1.0</v>
      </c>
    </row>
    <row r="2388" ht="15.75" customHeight="1">
      <c r="A2388" s="200" t="s">
        <v>311</v>
      </c>
      <c r="B2388" s="186" t="s">
        <v>8490</v>
      </c>
      <c r="C2388" s="210" t="s">
        <v>8491</v>
      </c>
      <c r="D2388" s="210" t="s">
        <v>8492</v>
      </c>
      <c r="E2388" s="204">
        <v>1.0</v>
      </c>
      <c r="F2388" s="205">
        <v>0.0</v>
      </c>
      <c r="G2388" s="205">
        <v>1.0</v>
      </c>
    </row>
    <row r="2389" ht="15.75" customHeight="1">
      <c r="A2389" s="200" t="s">
        <v>311</v>
      </c>
      <c r="B2389" s="186" t="s">
        <v>8495</v>
      </c>
      <c r="C2389" s="210" t="s">
        <v>8497</v>
      </c>
      <c r="D2389" s="210" t="s">
        <v>8498</v>
      </c>
      <c r="E2389" s="204">
        <v>1.0</v>
      </c>
      <c r="F2389" s="205">
        <v>0.0</v>
      </c>
      <c r="G2389" s="205">
        <v>0.0</v>
      </c>
    </row>
    <row r="2390" ht="15.75" customHeight="1">
      <c r="A2390" s="200" t="s">
        <v>311</v>
      </c>
      <c r="B2390" s="186" t="s">
        <v>8500</v>
      </c>
      <c r="C2390" s="210" t="s">
        <v>8501</v>
      </c>
      <c r="D2390" s="210" t="s">
        <v>8502</v>
      </c>
      <c r="E2390" s="204">
        <v>1.0</v>
      </c>
      <c r="F2390" s="205">
        <v>0.0</v>
      </c>
      <c r="G2390" s="205">
        <v>0.0</v>
      </c>
    </row>
    <row r="2391" ht="15.75" customHeight="1">
      <c r="A2391" s="200" t="s">
        <v>311</v>
      </c>
      <c r="B2391" s="186" t="s">
        <v>8505</v>
      </c>
      <c r="C2391" s="210" t="s">
        <v>8506</v>
      </c>
      <c r="D2391" s="210" t="s">
        <v>8508</v>
      </c>
      <c r="E2391" s="204">
        <v>1.0</v>
      </c>
      <c r="F2391" s="205">
        <v>0.0</v>
      </c>
      <c r="G2391" s="205">
        <v>1.0</v>
      </c>
    </row>
    <row r="2392" ht="15.75" customHeight="1">
      <c r="A2392" s="200" t="s">
        <v>311</v>
      </c>
      <c r="B2392" s="186" t="s">
        <v>8509</v>
      </c>
      <c r="C2392" s="210" t="s">
        <v>8510</v>
      </c>
      <c r="D2392" s="210" t="s">
        <v>8511</v>
      </c>
      <c r="E2392" s="204">
        <v>1.0</v>
      </c>
      <c r="F2392" s="205">
        <v>0.0</v>
      </c>
      <c r="G2392" s="205">
        <v>1.0</v>
      </c>
    </row>
    <row r="2393" ht="15.75" customHeight="1">
      <c r="A2393" s="200" t="s">
        <v>311</v>
      </c>
      <c r="B2393" s="186" t="s">
        <v>5082</v>
      </c>
      <c r="C2393" s="210" t="s">
        <v>4253</v>
      </c>
      <c r="D2393" s="210" t="s">
        <v>7081</v>
      </c>
      <c r="E2393" s="204">
        <v>1.0</v>
      </c>
      <c r="F2393" s="205">
        <v>0.0</v>
      </c>
      <c r="G2393" s="205">
        <v>0.0</v>
      </c>
    </row>
    <row r="2394" ht="15.75" customHeight="1">
      <c r="A2394" s="200" t="s">
        <v>311</v>
      </c>
      <c r="B2394" s="186" t="s">
        <v>3262</v>
      </c>
      <c r="C2394" s="210" t="s">
        <v>3264</v>
      </c>
      <c r="D2394" s="210" t="s">
        <v>8512</v>
      </c>
      <c r="E2394" s="204">
        <v>1.0</v>
      </c>
      <c r="F2394" s="205">
        <v>0.0</v>
      </c>
      <c r="G2394" s="205">
        <v>1.0</v>
      </c>
    </row>
    <row r="2395" ht="15.75" customHeight="1">
      <c r="A2395" s="200" t="s">
        <v>311</v>
      </c>
      <c r="B2395" s="186" t="s">
        <v>8513</v>
      </c>
      <c r="C2395" s="210" t="s">
        <v>8514</v>
      </c>
      <c r="D2395" s="210" t="s">
        <v>8515</v>
      </c>
      <c r="E2395" s="204">
        <v>1.0</v>
      </c>
      <c r="F2395" s="205">
        <v>0.0</v>
      </c>
      <c r="G2395" s="205">
        <v>1.0</v>
      </c>
    </row>
    <row r="2396" ht="15.75" customHeight="1">
      <c r="A2396" s="200" t="s">
        <v>311</v>
      </c>
      <c r="B2396" s="186" t="s">
        <v>2689</v>
      </c>
      <c r="C2396" s="210" t="s">
        <v>2690</v>
      </c>
      <c r="D2396" s="210" t="s">
        <v>8516</v>
      </c>
      <c r="E2396" s="204">
        <v>1.0</v>
      </c>
      <c r="F2396" s="205">
        <v>0.0</v>
      </c>
      <c r="G2396" s="205">
        <v>0.0</v>
      </c>
    </row>
    <row r="2397" ht="15.75" customHeight="1">
      <c r="A2397" s="200" t="s">
        <v>311</v>
      </c>
      <c r="B2397" s="186" t="s">
        <v>8517</v>
      </c>
      <c r="C2397" s="210" t="s">
        <v>8518</v>
      </c>
      <c r="D2397" s="210" t="s">
        <v>8519</v>
      </c>
      <c r="E2397" s="204">
        <v>1.0</v>
      </c>
      <c r="F2397" s="205">
        <v>0.0</v>
      </c>
      <c r="G2397" s="205">
        <v>0.0</v>
      </c>
    </row>
    <row r="2398" ht="15.75" customHeight="1">
      <c r="A2398" s="200" t="s">
        <v>311</v>
      </c>
      <c r="B2398" s="186" t="s">
        <v>8520</v>
      </c>
      <c r="C2398" s="210" t="s">
        <v>8521</v>
      </c>
      <c r="D2398" s="210" t="s">
        <v>8522</v>
      </c>
      <c r="E2398" s="204">
        <v>1.0</v>
      </c>
      <c r="F2398" s="205">
        <v>0.0</v>
      </c>
      <c r="G2398" s="205">
        <v>0.0</v>
      </c>
    </row>
    <row r="2399" ht="15.75" customHeight="1">
      <c r="A2399" s="200" t="s">
        <v>311</v>
      </c>
      <c r="B2399" s="186" t="s">
        <v>8523</v>
      </c>
      <c r="C2399" s="210" t="s">
        <v>8524</v>
      </c>
      <c r="D2399" s="210" t="s">
        <v>780</v>
      </c>
      <c r="E2399" s="204">
        <v>1.0</v>
      </c>
      <c r="F2399" s="205">
        <v>0.0</v>
      </c>
      <c r="G2399" s="205">
        <v>1.0</v>
      </c>
    </row>
    <row r="2400" ht="15.75" customHeight="1">
      <c r="A2400" s="200" t="s">
        <v>311</v>
      </c>
      <c r="B2400" s="186" t="s">
        <v>836</v>
      </c>
      <c r="C2400" s="210" t="s">
        <v>837</v>
      </c>
      <c r="D2400" s="210" t="s">
        <v>2096</v>
      </c>
      <c r="E2400" s="204">
        <v>1.0</v>
      </c>
      <c r="F2400" s="205">
        <v>0.0</v>
      </c>
      <c r="G2400" s="205">
        <v>0.0</v>
      </c>
    </row>
    <row r="2401" ht="15.75" customHeight="1">
      <c r="A2401" s="200" t="s">
        <v>311</v>
      </c>
      <c r="B2401" s="186" t="s">
        <v>8525</v>
      </c>
      <c r="C2401" s="210" t="s">
        <v>8526</v>
      </c>
      <c r="D2401" s="210"/>
      <c r="E2401" s="204">
        <v>1.0</v>
      </c>
      <c r="F2401" s="205">
        <v>0.0</v>
      </c>
      <c r="G2401" s="205">
        <v>0.0</v>
      </c>
    </row>
    <row r="2402" ht="15.75" customHeight="1">
      <c r="A2402" s="200" t="s">
        <v>311</v>
      </c>
      <c r="B2402" s="186" t="s">
        <v>8527</v>
      </c>
      <c r="C2402" s="210" t="s">
        <v>8528</v>
      </c>
      <c r="D2402" s="210" t="s">
        <v>8529</v>
      </c>
      <c r="E2402" s="204">
        <v>1.0</v>
      </c>
      <c r="F2402" s="205">
        <v>0.0</v>
      </c>
      <c r="G2402" s="205">
        <v>0.0</v>
      </c>
    </row>
    <row r="2403" ht="15.75" customHeight="1">
      <c r="A2403" s="200" t="s">
        <v>311</v>
      </c>
      <c r="B2403" s="186" t="s">
        <v>5105</v>
      </c>
      <c r="C2403" s="210" t="s">
        <v>5106</v>
      </c>
      <c r="D2403" s="210" t="s">
        <v>8530</v>
      </c>
      <c r="E2403" s="204">
        <v>1.0</v>
      </c>
      <c r="F2403" s="205">
        <v>0.0</v>
      </c>
      <c r="G2403" s="205">
        <v>0.0</v>
      </c>
    </row>
    <row r="2404" ht="15.75" customHeight="1">
      <c r="A2404" s="200" t="s">
        <v>311</v>
      </c>
      <c r="B2404" s="186" t="s">
        <v>8531</v>
      </c>
      <c r="C2404" s="210" t="s">
        <v>8532</v>
      </c>
      <c r="D2404" s="210" t="s">
        <v>8533</v>
      </c>
      <c r="E2404" s="204">
        <v>1.0</v>
      </c>
      <c r="F2404" s="205">
        <v>0.0</v>
      </c>
      <c r="G2404" s="205">
        <v>0.0</v>
      </c>
    </row>
    <row r="2405" ht="15.75" customHeight="1">
      <c r="A2405" s="200" t="s">
        <v>311</v>
      </c>
      <c r="B2405" s="186" t="s">
        <v>8534</v>
      </c>
      <c r="C2405" s="210" t="s">
        <v>3750</v>
      </c>
      <c r="D2405" s="210" t="s">
        <v>8535</v>
      </c>
      <c r="E2405" s="204">
        <v>1.0</v>
      </c>
      <c r="F2405" s="205">
        <v>0.0</v>
      </c>
      <c r="G2405" s="205">
        <v>0.0</v>
      </c>
    </row>
    <row r="2406" ht="15.75" customHeight="1">
      <c r="A2406" s="200" t="s">
        <v>311</v>
      </c>
      <c r="B2406" s="186" t="s">
        <v>8536</v>
      </c>
      <c r="C2406" s="210" t="s">
        <v>8537</v>
      </c>
      <c r="D2406" s="210"/>
      <c r="E2406" s="204">
        <v>1.0</v>
      </c>
      <c r="F2406" s="205">
        <v>0.0</v>
      </c>
      <c r="G2406" s="205">
        <v>0.0</v>
      </c>
    </row>
    <row r="2407" ht="15.75" customHeight="1">
      <c r="A2407" s="200" t="s">
        <v>311</v>
      </c>
      <c r="B2407" s="186" t="s">
        <v>8538</v>
      </c>
      <c r="C2407" s="210" t="s">
        <v>8539</v>
      </c>
      <c r="D2407" s="210" t="s">
        <v>8540</v>
      </c>
      <c r="E2407" s="204">
        <v>1.0</v>
      </c>
      <c r="F2407" s="205">
        <v>0.0</v>
      </c>
      <c r="G2407" s="205">
        <v>2.0</v>
      </c>
    </row>
    <row r="2408" ht="15.75" customHeight="1">
      <c r="A2408" s="200" t="s">
        <v>311</v>
      </c>
      <c r="B2408" s="186" t="s">
        <v>3163</v>
      </c>
      <c r="C2408" s="210" t="s">
        <v>3166</v>
      </c>
      <c r="D2408" s="210" t="s">
        <v>8541</v>
      </c>
      <c r="E2408" s="204">
        <v>1.0</v>
      </c>
      <c r="F2408" s="205">
        <v>0.0</v>
      </c>
      <c r="G2408" s="205">
        <v>1.0</v>
      </c>
    </row>
    <row r="2409" ht="15.75" customHeight="1">
      <c r="A2409" s="200" t="s">
        <v>311</v>
      </c>
      <c r="B2409" s="186" t="s">
        <v>8542</v>
      </c>
      <c r="C2409" s="210" t="s">
        <v>8543</v>
      </c>
      <c r="D2409" s="210" t="s">
        <v>8544</v>
      </c>
      <c r="E2409" s="204">
        <v>1.0</v>
      </c>
      <c r="F2409" s="205">
        <v>0.0</v>
      </c>
      <c r="G2409" s="205">
        <v>1.0</v>
      </c>
    </row>
    <row r="2410" ht="15.75" customHeight="1">
      <c r="A2410" s="200" t="s">
        <v>311</v>
      </c>
      <c r="B2410" s="186" t="s">
        <v>8545</v>
      </c>
      <c r="C2410" s="210" t="s">
        <v>8546</v>
      </c>
      <c r="D2410" s="210" t="s">
        <v>8547</v>
      </c>
      <c r="E2410" s="204">
        <v>1.0</v>
      </c>
      <c r="F2410" s="205">
        <v>0.0</v>
      </c>
      <c r="G2410" s="205">
        <v>1.0</v>
      </c>
    </row>
    <row r="2411" ht="15.75" customHeight="1">
      <c r="A2411" s="200" t="s">
        <v>311</v>
      </c>
      <c r="B2411" s="186" t="s">
        <v>8548</v>
      </c>
      <c r="C2411" s="210" t="s">
        <v>8549</v>
      </c>
      <c r="D2411" s="210" t="s">
        <v>8550</v>
      </c>
      <c r="E2411" s="204">
        <v>1.0</v>
      </c>
      <c r="F2411" s="205">
        <v>0.0</v>
      </c>
      <c r="G2411" s="205">
        <v>0.0</v>
      </c>
    </row>
    <row r="2412" ht="15.75" customHeight="1">
      <c r="A2412" s="200" t="s">
        <v>311</v>
      </c>
      <c r="B2412" s="186" t="s">
        <v>2097</v>
      </c>
      <c r="C2412" s="210" t="s">
        <v>2098</v>
      </c>
      <c r="D2412" s="210" t="s">
        <v>2099</v>
      </c>
      <c r="E2412" s="204">
        <v>1.0</v>
      </c>
      <c r="F2412" s="205">
        <v>0.0</v>
      </c>
      <c r="G2412" s="205">
        <v>1.0</v>
      </c>
    </row>
    <row r="2413" ht="15.75" customHeight="1">
      <c r="A2413" s="200" t="s">
        <v>311</v>
      </c>
      <c r="B2413" s="186" t="s">
        <v>2100</v>
      </c>
      <c r="C2413" s="210" t="s">
        <v>2101</v>
      </c>
      <c r="D2413" s="210" t="s">
        <v>2102</v>
      </c>
      <c r="E2413" s="204">
        <v>1.0</v>
      </c>
      <c r="F2413" s="205">
        <v>0.0</v>
      </c>
      <c r="G2413" s="205">
        <v>1.0</v>
      </c>
    </row>
    <row r="2414" ht="15.75" customHeight="1">
      <c r="A2414" s="200" t="s">
        <v>311</v>
      </c>
      <c r="B2414" s="186" t="s">
        <v>2103</v>
      </c>
      <c r="C2414" s="210" t="s">
        <v>2104</v>
      </c>
      <c r="D2414" s="210" t="s">
        <v>2105</v>
      </c>
      <c r="E2414" s="204">
        <v>1.0</v>
      </c>
      <c r="F2414" s="205">
        <v>0.0</v>
      </c>
      <c r="G2414" s="205">
        <v>1.0</v>
      </c>
    </row>
    <row r="2415" ht="15.75" customHeight="1">
      <c r="A2415" s="200" t="s">
        <v>311</v>
      </c>
      <c r="B2415" s="186" t="s">
        <v>8551</v>
      </c>
      <c r="C2415" s="210" t="s">
        <v>8552</v>
      </c>
      <c r="D2415" s="210" t="s">
        <v>8369</v>
      </c>
      <c r="E2415" s="204">
        <v>1.0</v>
      </c>
      <c r="F2415" s="205">
        <v>0.0</v>
      </c>
      <c r="G2415" s="205">
        <v>0.0</v>
      </c>
    </row>
    <row r="2416" ht="15.75" customHeight="1">
      <c r="A2416" s="200" t="s">
        <v>311</v>
      </c>
      <c r="B2416" s="186" t="s">
        <v>5162</v>
      </c>
      <c r="C2416" s="210" t="s">
        <v>5163</v>
      </c>
      <c r="D2416" s="210" t="s">
        <v>8553</v>
      </c>
      <c r="E2416" s="204">
        <v>1.0</v>
      </c>
      <c r="F2416" s="205">
        <v>0.0</v>
      </c>
      <c r="G2416" s="205">
        <v>0.0</v>
      </c>
    </row>
    <row r="2417" ht="15.75" customHeight="1">
      <c r="A2417" s="200" t="s">
        <v>311</v>
      </c>
      <c r="B2417" s="186" t="s">
        <v>3637</v>
      </c>
      <c r="C2417" s="210" t="s">
        <v>3638</v>
      </c>
      <c r="D2417" s="210" t="s">
        <v>3640</v>
      </c>
      <c r="E2417" s="204">
        <v>1.0</v>
      </c>
      <c r="F2417" s="205">
        <v>0.0</v>
      </c>
      <c r="G2417" s="205">
        <v>2.0</v>
      </c>
    </row>
    <row r="2418" ht="15.75" customHeight="1">
      <c r="A2418" s="200" t="s">
        <v>311</v>
      </c>
      <c r="B2418" s="186" t="s">
        <v>2106</v>
      </c>
      <c r="C2418" s="210" t="s">
        <v>2109</v>
      </c>
      <c r="D2418" s="210" t="s">
        <v>2110</v>
      </c>
      <c r="E2418" s="204">
        <v>1.0</v>
      </c>
      <c r="F2418" s="205">
        <v>0.0</v>
      </c>
      <c r="G2418" s="205">
        <v>0.0</v>
      </c>
    </row>
    <row r="2419" ht="15.75" customHeight="1">
      <c r="A2419" s="200" t="s">
        <v>311</v>
      </c>
      <c r="B2419" s="186" t="s">
        <v>3423</v>
      </c>
      <c r="C2419" s="210" t="s">
        <v>3425</v>
      </c>
      <c r="D2419" s="210" t="s">
        <v>8554</v>
      </c>
      <c r="E2419" s="204">
        <v>1.0</v>
      </c>
      <c r="F2419" s="205">
        <v>0.0</v>
      </c>
      <c r="G2419" s="205">
        <v>0.0</v>
      </c>
    </row>
    <row r="2420" ht="15.75" customHeight="1">
      <c r="A2420" s="200" t="s">
        <v>311</v>
      </c>
      <c r="B2420" s="186" t="s">
        <v>3642</v>
      </c>
      <c r="C2420" s="210" t="s">
        <v>3643</v>
      </c>
      <c r="D2420" s="210" t="s">
        <v>3646</v>
      </c>
      <c r="E2420" s="204">
        <v>1.0</v>
      </c>
      <c r="F2420" s="205">
        <v>0.0</v>
      </c>
      <c r="G2420" s="205">
        <v>1.0</v>
      </c>
    </row>
    <row r="2421" ht="15.75" customHeight="1">
      <c r="A2421" s="200" t="s">
        <v>311</v>
      </c>
      <c r="B2421" s="186" t="s">
        <v>8555</v>
      </c>
      <c r="C2421" s="210" t="s">
        <v>8556</v>
      </c>
      <c r="D2421" s="210" t="s">
        <v>8557</v>
      </c>
      <c r="E2421" s="204">
        <v>1.0</v>
      </c>
      <c r="F2421" s="205">
        <v>0.0</v>
      </c>
      <c r="G2421" s="205">
        <v>0.0</v>
      </c>
    </row>
    <row r="2422" ht="15.75" customHeight="1">
      <c r="A2422" s="200" t="s">
        <v>311</v>
      </c>
      <c r="B2422" s="186" t="s">
        <v>5177</v>
      </c>
      <c r="C2422" s="210" t="s">
        <v>5178</v>
      </c>
      <c r="D2422" s="210" t="s">
        <v>8558</v>
      </c>
      <c r="E2422" s="204">
        <v>1.0</v>
      </c>
      <c r="F2422" s="205">
        <v>0.0</v>
      </c>
      <c r="G2422" s="205">
        <v>1.0</v>
      </c>
    </row>
    <row r="2423" ht="15.75" customHeight="1">
      <c r="A2423" s="200" t="s">
        <v>311</v>
      </c>
      <c r="B2423" s="186" t="s">
        <v>2111</v>
      </c>
      <c r="C2423" s="210" t="s">
        <v>2112</v>
      </c>
      <c r="D2423" s="210" t="s">
        <v>1532</v>
      </c>
      <c r="E2423" s="204">
        <v>1.0</v>
      </c>
      <c r="F2423" s="205">
        <v>0.0</v>
      </c>
      <c r="G2423" s="205">
        <v>0.0</v>
      </c>
    </row>
    <row r="2424" ht="15.75" customHeight="1">
      <c r="A2424" s="200" t="s">
        <v>311</v>
      </c>
      <c r="B2424" s="186" t="s">
        <v>2113</v>
      </c>
      <c r="C2424" s="210" t="s">
        <v>2114</v>
      </c>
      <c r="D2424" s="210" t="s">
        <v>2115</v>
      </c>
      <c r="E2424" s="204">
        <v>1.0</v>
      </c>
      <c r="F2424" s="205">
        <v>0.0</v>
      </c>
      <c r="G2424" s="205">
        <v>1.0</v>
      </c>
    </row>
    <row r="2425" ht="15.75" customHeight="1">
      <c r="A2425" s="200" t="s">
        <v>311</v>
      </c>
      <c r="B2425" s="186" t="s">
        <v>8559</v>
      </c>
      <c r="C2425" s="210" t="s">
        <v>8560</v>
      </c>
      <c r="D2425" s="210" t="s">
        <v>8561</v>
      </c>
      <c r="E2425" s="204">
        <v>1.0</v>
      </c>
      <c r="F2425" s="205">
        <v>0.0</v>
      </c>
      <c r="G2425" s="205">
        <v>0.0</v>
      </c>
    </row>
    <row r="2426" ht="15.75" customHeight="1">
      <c r="A2426" s="200" t="s">
        <v>311</v>
      </c>
      <c r="B2426" s="186" t="s">
        <v>8562</v>
      </c>
      <c r="C2426" s="210" t="s">
        <v>8563</v>
      </c>
      <c r="D2426" s="210" t="s">
        <v>8564</v>
      </c>
      <c r="E2426" s="204">
        <v>1.0</v>
      </c>
      <c r="F2426" s="205">
        <v>0.0</v>
      </c>
      <c r="G2426" s="205">
        <v>1.0</v>
      </c>
    </row>
    <row r="2427" ht="15.75" customHeight="1">
      <c r="A2427" s="200" t="s">
        <v>311</v>
      </c>
      <c r="B2427" s="186" t="s">
        <v>2118</v>
      </c>
      <c r="C2427" s="210" t="s">
        <v>2119</v>
      </c>
      <c r="D2427" s="210" t="s">
        <v>1816</v>
      </c>
      <c r="E2427" s="204">
        <v>1.0</v>
      </c>
      <c r="F2427" s="205">
        <v>0.0</v>
      </c>
      <c r="G2427" s="205">
        <v>3.0</v>
      </c>
    </row>
    <row r="2428" ht="15.75" customHeight="1">
      <c r="A2428" s="200" t="s">
        <v>311</v>
      </c>
      <c r="B2428" s="186" t="s">
        <v>8565</v>
      </c>
      <c r="C2428" s="210" t="s">
        <v>5238</v>
      </c>
      <c r="D2428" s="210" t="s">
        <v>8566</v>
      </c>
      <c r="E2428" s="204">
        <v>1.0</v>
      </c>
      <c r="F2428" s="205">
        <v>0.0</v>
      </c>
      <c r="G2428" s="205">
        <v>2.0</v>
      </c>
    </row>
    <row r="2429" ht="15.75" customHeight="1">
      <c r="A2429" s="200" t="s">
        <v>311</v>
      </c>
      <c r="B2429" s="186" t="s">
        <v>7855</v>
      </c>
      <c r="C2429" s="210" t="s">
        <v>7857</v>
      </c>
      <c r="D2429" s="210" t="s">
        <v>7859</v>
      </c>
      <c r="E2429" s="204">
        <v>1.0</v>
      </c>
      <c r="F2429" s="205">
        <v>0.0</v>
      </c>
      <c r="G2429" s="205">
        <v>2.0</v>
      </c>
    </row>
    <row r="2430" ht="15.75" customHeight="1">
      <c r="A2430" s="200" t="s">
        <v>311</v>
      </c>
      <c r="B2430" s="186" t="s">
        <v>6403</v>
      </c>
      <c r="C2430" s="210" t="s">
        <v>6404</v>
      </c>
      <c r="D2430" s="210" t="s">
        <v>1029</v>
      </c>
      <c r="E2430" s="204">
        <v>1.0</v>
      </c>
      <c r="F2430" s="205">
        <v>0.0</v>
      </c>
      <c r="G2430" s="205">
        <v>2.0</v>
      </c>
    </row>
    <row r="2431" ht="15.75" customHeight="1">
      <c r="A2431" s="200" t="s">
        <v>311</v>
      </c>
      <c r="B2431" s="186" t="s">
        <v>7878</v>
      </c>
      <c r="C2431" s="210" t="s">
        <v>7880</v>
      </c>
      <c r="D2431" s="210"/>
      <c r="E2431" s="204">
        <v>1.0</v>
      </c>
      <c r="F2431" s="205">
        <v>0.0</v>
      </c>
      <c r="G2431" s="205">
        <v>2.0</v>
      </c>
    </row>
    <row r="2432" ht="15.75" customHeight="1">
      <c r="A2432" s="200" t="s">
        <v>311</v>
      </c>
      <c r="B2432" s="186" t="s">
        <v>7884</v>
      </c>
      <c r="C2432" s="210" t="s">
        <v>7887</v>
      </c>
      <c r="D2432" s="210" t="s">
        <v>7875</v>
      </c>
      <c r="E2432" s="204">
        <v>1.0</v>
      </c>
      <c r="F2432" s="205">
        <v>0.0</v>
      </c>
      <c r="G2432" s="205">
        <v>2.0</v>
      </c>
    </row>
    <row r="2433" ht="15.75" customHeight="1">
      <c r="A2433" s="200" t="s">
        <v>311</v>
      </c>
      <c r="B2433" s="186" t="s">
        <v>2960</v>
      </c>
      <c r="C2433" s="210" t="s">
        <v>2961</v>
      </c>
      <c r="D2433" s="210" t="s">
        <v>7891</v>
      </c>
      <c r="E2433" s="204">
        <v>1.0</v>
      </c>
      <c r="F2433" s="205">
        <v>0.0</v>
      </c>
      <c r="G2433" s="205">
        <v>1.0</v>
      </c>
    </row>
    <row r="2434" ht="15.75" customHeight="1">
      <c r="A2434" s="200" t="s">
        <v>311</v>
      </c>
      <c r="B2434" s="186" t="s">
        <v>4287</v>
      </c>
      <c r="C2434" s="210" t="s">
        <v>4288</v>
      </c>
      <c r="D2434" s="210" t="s">
        <v>877</v>
      </c>
      <c r="E2434" s="204">
        <v>1.0</v>
      </c>
      <c r="F2434" s="205">
        <v>0.0</v>
      </c>
      <c r="G2434" s="205">
        <v>2.0</v>
      </c>
    </row>
    <row r="2435" ht="15.75" customHeight="1">
      <c r="A2435" s="200" t="s">
        <v>311</v>
      </c>
      <c r="B2435" s="186" t="s">
        <v>8567</v>
      </c>
      <c r="C2435" s="210" t="s">
        <v>8568</v>
      </c>
      <c r="D2435" s="210" t="s">
        <v>8569</v>
      </c>
      <c r="E2435" s="204">
        <v>1.0</v>
      </c>
      <c r="F2435" s="205">
        <v>0.0</v>
      </c>
      <c r="G2435" s="205">
        <v>1.0</v>
      </c>
    </row>
    <row r="2436" ht="15.75" customHeight="1">
      <c r="A2436" s="200" t="s">
        <v>311</v>
      </c>
      <c r="B2436" s="186" t="s">
        <v>8570</v>
      </c>
      <c r="C2436" s="210" t="s">
        <v>8571</v>
      </c>
      <c r="D2436" s="210" t="s">
        <v>8572</v>
      </c>
      <c r="E2436" s="204">
        <v>1.0</v>
      </c>
      <c r="F2436" s="205">
        <v>0.0</v>
      </c>
      <c r="G2436" s="205">
        <v>1.0</v>
      </c>
    </row>
    <row r="2437" ht="15.75" customHeight="1">
      <c r="A2437" s="200" t="s">
        <v>311</v>
      </c>
      <c r="B2437" s="186" t="s">
        <v>8573</v>
      </c>
      <c r="C2437" s="210" t="s">
        <v>2449</v>
      </c>
      <c r="D2437" s="210" t="s">
        <v>8574</v>
      </c>
      <c r="E2437" s="204">
        <v>1.0</v>
      </c>
      <c r="F2437" s="205">
        <v>0.0</v>
      </c>
      <c r="G2437" s="205">
        <v>0.0</v>
      </c>
    </row>
    <row r="2438" ht="15.75" customHeight="1">
      <c r="A2438" s="200" t="s">
        <v>311</v>
      </c>
      <c r="B2438" s="186" t="s">
        <v>5288</v>
      </c>
      <c r="C2438" s="210" t="s">
        <v>5289</v>
      </c>
      <c r="D2438" s="210" t="s">
        <v>931</v>
      </c>
      <c r="E2438" s="204">
        <v>1.0</v>
      </c>
      <c r="F2438" s="205">
        <v>0.0</v>
      </c>
      <c r="G2438" s="205">
        <v>0.0</v>
      </c>
    </row>
    <row r="2439" ht="15.75" customHeight="1">
      <c r="A2439" s="200" t="s">
        <v>311</v>
      </c>
      <c r="B2439" s="186" t="s">
        <v>2714</v>
      </c>
      <c r="C2439" s="210" t="s">
        <v>2715</v>
      </c>
      <c r="D2439" s="210" t="s">
        <v>582</v>
      </c>
      <c r="E2439" s="204">
        <v>1.0</v>
      </c>
      <c r="F2439" s="205">
        <v>0.0</v>
      </c>
      <c r="G2439" s="205">
        <v>1.0</v>
      </c>
    </row>
    <row r="2440" ht="15.75" customHeight="1">
      <c r="A2440" s="200" t="s">
        <v>311</v>
      </c>
      <c r="B2440" s="186" t="s">
        <v>642</v>
      </c>
      <c r="C2440" s="210" t="s">
        <v>643</v>
      </c>
      <c r="D2440" s="210" t="s">
        <v>8575</v>
      </c>
      <c r="E2440" s="204">
        <v>1.0</v>
      </c>
      <c r="F2440" s="205">
        <v>0.0</v>
      </c>
      <c r="G2440" s="205">
        <v>4.0</v>
      </c>
    </row>
    <row r="2441" ht="15.75" customHeight="1">
      <c r="A2441" s="200" t="s">
        <v>311</v>
      </c>
      <c r="B2441" s="186" t="s">
        <v>8576</v>
      </c>
      <c r="C2441" s="210" t="s">
        <v>8577</v>
      </c>
      <c r="D2441" s="210" t="s">
        <v>8578</v>
      </c>
      <c r="E2441" s="204">
        <v>1.0</v>
      </c>
      <c r="F2441" s="205">
        <v>0.0</v>
      </c>
      <c r="G2441" s="205">
        <v>4.0</v>
      </c>
    </row>
    <row r="2442" ht="15.75" customHeight="1">
      <c r="A2442" s="200" t="s">
        <v>311</v>
      </c>
      <c r="B2442" s="186" t="s">
        <v>872</v>
      </c>
      <c r="C2442" s="210" t="s">
        <v>873</v>
      </c>
      <c r="D2442" s="210" t="s">
        <v>2126</v>
      </c>
      <c r="E2442" s="204">
        <v>1.0</v>
      </c>
      <c r="F2442" s="205">
        <v>0.0</v>
      </c>
      <c r="G2442" s="205">
        <v>0.0</v>
      </c>
    </row>
    <row r="2443" ht="15.75" customHeight="1">
      <c r="A2443" s="200" t="s">
        <v>311</v>
      </c>
      <c r="B2443" s="186" t="s">
        <v>308</v>
      </c>
      <c r="C2443" s="210" t="s">
        <v>309</v>
      </c>
      <c r="D2443" s="210" t="s">
        <v>312</v>
      </c>
      <c r="E2443" s="204">
        <v>1.0</v>
      </c>
      <c r="F2443" s="205">
        <v>0.0</v>
      </c>
      <c r="G2443" s="205">
        <v>0.0</v>
      </c>
    </row>
    <row r="2444" ht="15.75" customHeight="1">
      <c r="A2444" s="200" t="s">
        <v>311</v>
      </c>
      <c r="B2444" s="186" t="s">
        <v>8579</v>
      </c>
      <c r="C2444" s="210" t="s">
        <v>8580</v>
      </c>
      <c r="D2444" s="210" t="s">
        <v>2040</v>
      </c>
      <c r="E2444" s="204">
        <v>1.0</v>
      </c>
      <c r="F2444" s="205">
        <v>0.0</v>
      </c>
      <c r="G2444" s="205">
        <v>0.0</v>
      </c>
    </row>
    <row r="2445" ht="15.75" customHeight="1">
      <c r="A2445" s="200" t="s">
        <v>311</v>
      </c>
      <c r="B2445" s="186" t="s">
        <v>8581</v>
      </c>
      <c r="C2445" s="210" t="s">
        <v>8582</v>
      </c>
      <c r="D2445" s="210" t="s">
        <v>8583</v>
      </c>
      <c r="E2445" s="204">
        <v>1.0</v>
      </c>
      <c r="F2445" s="205">
        <v>0.0</v>
      </c>
      <c r="G2445" s="205">
        <v>1.0</v>
      </c>
    </row>
    <row r="2446" ht="15.75" customHeight="1">
      <c r="A2446" s="200" t="s">
        <v>311</v>
      </c>
      <c r="B2446" s="186" t="s">
        <v>8584</v>
      </c>
      <c r="C2446" s="210" t="s">
        <v>8585</v>
      </c>
      <c r="D2446" s="210" t="s">
        <v>8586</v>
      </c>
      <c r="E2446" s="204">
        <v>1.0</v>
      </c>
      <c r="F2446" s="205">
        <v>0.0</v>
      </c>
      <c r="G2446" s="205">
        <v>1.0</v>
      </c>
    </row>
    <row r="2447" ht="15.75" customHeight="1">
      <c r="A2447" s="200" t="s">
        <v>311</v>
      </c>
      <c r="B2447" s="186" t="s">
        <v>1253</v>
      </c>
      <c r="C2447" s="210" t="s">
        <v>1254</v>
      </c>
      <c r="D2447" s="210" t="s">
        <v>2127</v>
      </c>
      <c r="E2447" s="204">
        <v>1.0</v>
      </c>
      <c r="F2447" s="205">
        <v>0.0</v>
      </c>
      <c r="G2447" s="205">
        <v>0.0</v>
      </c>
    </row>
    <row r="2448" ht="15.75" customHeight="1">
      <c r="A2448" s="200" t="s">
        <v>311</v>
      </c>
      <c r="B2448" s="186" t="s">
        <v>8587</v>
      </c>
      <c r="C2448" s="210" t="s">
        <v>8588</v>
      </c>
      <c r="D2448" s="210" t="s">
        <v>8589</v>
      </c>
      <c r="E2448" s="204">
        <v>1.0</v>
      </c>
      <c r="F2448" s="205">
        <v>0.0</v>
      </c>
      <c r="G2448" s="205">
        <v>1.0</v>
      </c>
    </row>
    <row r="2449" ht="15.75" customHeight="1">
      <c r="A2449" s="200" t="s">
        <v>311</v>
      </c>
      <c r="B2449" s="186" t="s">
        <v>8590</v>
      </c>
      <c r="C2449" s="210" t="s">
        <v>8591</v>
      </c>
      <c r="D2449" s="210" t="s">
        <v>8592</v>
      </c>
      <c r="E2449" s="204">
        <v>1.0</v>
      </c>
      <c r="F2449" s="205">
        <v>0.0</v>
      </c>
      <c r="G2449" s="205">
        <v>1.0</v>
      </c>
    </row>
    <row r="2450" ht="15.75" customHeight="1">
      <c r="A2450" s="200" t="s">
        <v>311</v>
      </c>
      <c r="B2450" s="186" t="s">
        <v>8593</v>
      </c>
      <c r="C2450" s="210" t="s">
        <v>8594</v>
      </c>
      <c r="D2450" s="210" t="s">
        <v>8595</v>
      </c>
      <c r="E2450" s="204">
        <v>1.0</v>
      </c>
      <c r="F2450" s="205">
        <v>0.0</v>
      </c>
      <c r="G2450" s="205">
        <v>0.0</v>
      </c>
    </row>
    <row r="2451" ht="15.75" customHeight="1">
      <c r="A2451" s="200" t="s">
        <v>311</v>
      </c>
      <c r="B2451" s="186" t="s">
        <v>8596</v>
      </c>
      <c r="C2451" s="210" t="s">
        <v>8597</v>
      </c>
      <c r="D2451" s="210"/>
      <c r="E2451" s="204">
        <v>1.0</v>
      </c>
      <c r="F2451" s="205">
        <v>0.0</v>
      </c>
      <c r="G2451" s="205">
        <v>0.0</v>
      </c>
    </row>
    <row r="2452" ht="15.75" customHeight="1">
      <c r="A2452" s="200" t="s">
        <v>311</v>
      </c>
      <c r="B2452" s="186" t="s">
        <v>8598</v>
      </c>
      <c r="C2452" s="210" t="s">
        <v>8599</v>
      </c>
      <c r="D2452" s="210" t="s">
        <v>8600</v>
      </c>
      <c r="E2452" s="204">
        <v>1.0</v>
      </c>
      <c r="F2452" s="205">
        <v>0.0</v>
      </c>
      <c r="G2452" s="205">
        <v>1.0</v>
      </c>
    </row>
    <row r="2453" ht="15.75" customHeight="1">
      <c r="A2453" s="200" t="s">
        <v>311</v>
      </c>
      <c r="B2453" s="186" t="s">
        <v>8601</v>
      </c>
      <c r="C2453" s="210" t="s">
        <v>8602</v>
      </c>
      <c r="D2453" s="210" t="s">
        <v>8603</v>
      </c>
      <c r="E2453" s="204">
        <v>1.0</v>
      </c>
      <c r="F2453" s="205">
        <v>0.0</v>
      </c>
      <c r="G2453" s="205">
        <v>1.0</v>
      </c>
    </row>
    <row r="2454" ht="15.75" customHeight="1">
      <c r="A2454" s="200" t="s">
        <v>311</v>
      </c>
      <c r="B2454" s="186" t="s">
        <v>8604</v>
      </c>
      <c r="C2454" s="210" t="s">
        <v>8605</v>
      </c>
      <c r="D2454" s="210" t="s">
        <v>7087</v>
      </c>
      <c r="E2454" s="204">
        <v>1.0</v>
      </c>
      <c r="F2454" s="205">
        <v>0.0</v>
      </c>
      <c r="G2454" s="205">
        <v>0.0</v>
      </c>
    </row>
    <row r="2455" ht="15.75" customHeight="1">
      <c r="A2455" s="200" t="s">
        <v>311</v>
      </c>
      <c r="B2455" s="186" t="s">
        <v>8606</v>
      </c>
      <c r="C2455" s="210" t="s">
        <v>7062</v>
      </c>
      <c r="D2455" s="210" t="s">
        <v>7063</v>
      </c>
      <c r="E2455" s="204">
        <v>1.0</v>
      </c>
      <c r="F2455" s="205">
        <v>0.0</v>
      </c>
      <c r="G2455" s="205">
        <v>0.0</v>
      </c>
    </row>
    <row r="2456" ht="15.75" customHeight="1">
      <c r="A2456" s="200" t="s">
        <v>311</v>
      </c>
      <c r="B2456" s="186" t="s">
        <v>8607</v>
      </c>
      <c r="C2456" s="210" t="s">
        <v>8608</v>
      </c>
      <c r="D2456" s="210" t="s">
        <v>8609</v>
      </c>
      <c r="E2456" s="204">
        <v>1.0</v>
      </c>
      <c r="F2456" s="205">
        <v>0.0</v>
      </c>
      <c r="G2456" s="205">
        <v>0.0</v>
      </c>
    </row>
    <row r="2457" ht="15.75" customHeight="1">
      <c r="A2457" s="200" t="s">
        <v>311</v>
      </c>
      <c r="B2457" s="186" t="s">
        <v>8610</v>
      </c>
      <c r="C2457" s="210" t="s">
        <v>8611</v>
      </c>
      <c r="D2457" s="210" t="s">
        <v>8612</v>
      </c>
      <c r="E2457" s="204">
        <v>1.0</v>
      </c>
      <c r="F2457" s="205">
        <v>0.0</v>
      </c>
      <c r="G2457" s="205">
        <v>0.0</v>
      </c>
    </row>
    <row r="2458" ht="15.75" customHeight="1">
      <c r="A2458" s="200" t="s">
        <v>311</v>
      </c>
      <c r="B2458" s="186" t="s">
        <v>8613</v>
      </c>
      <c r="C2458" s="210" t="s">
        <v>8614</v>
      </c>
      <c r="D2458" s="210" t="s">
        <v>8615</v>
      </c>
      <c r="E2458" s="204">
        <v>1.0</v>
      </c>
      <c r="F2458" s="205">
        <v>0.0</v>
      </c>
      <c r="G2458" s="205">
        <v>0.0</v>
      </c>
    </row>
    <row r="2459" ht="15.75" customHeight="1">
      <c r="A2459" s="200" t="s">
        <v>311</v>
      </c>
      <c r="B2459" s="186" t="s">
        <v>8616</v>
      </c>
      <c r="C2459" s="210" t="s">
        <v>8617</v>
      </c>
      <c r="D2459" s="210" t="s">
        <v>8618</v>
      </c>
      <c r="E2459" s="204">
        <v>1.0</v>
      </c>
      <c r="F2459" s="205">
        <v>0.0</v>
      </c>
      <c r="G2459" s="205">
        <v>0.0</v>
      </c>
    </row>
    <row r="2460" ht="15.75" customHeight="1">
      <c r="A2460" s="200" t="s">
        <v>311</v>
      </c>
      <c r="B2460" s="186" t="s">
        <v>8619</v>
      </c>
      <c r="C2460" s="210" t="s">
        <v>8620</v>
      </c>
      <c r="D2460" s="210" t="s">
        <v>8615</v>
      </c>
      <c r="E2460" s="204">
        <v>1.0</v>
      </c>
      <c r="F2460" s="205">
        <v>0.0</v>
      </c>
      <c r="G2460" s="205">
        <v>1.0</v>
      </c>
    </row>
    <row r="2461" ht="15.75" customHeight="1">
      <c r="A2461" s="200" t="s">
        <v>311</v>
      </c>
      <c r="B2461" s="186" t="s">
        <v>8621</v>
      </c>
      <c r="C2461" s="210" t="s">
        <v>8622</v>
      </c>
      <c r="D2461" s="210" t="s">
        <v>8623</v>
      </c>
      <c r="E2461" s="204">
        <v>1.0</v>
      </c>
      <c r="F2461" s="205">
        <v>0.0</v>
      </c>
      <c r="G2461" s="205">
        <v>0.0</v>
      </c>
    </row>
    <row r="2462" ht="15.75" customHeight="1">
      <c r="A2462" s="200" t="s">
        <v>311</v>
      </c>
      <c r="B2462" s="186" t="s">
        <v>8624</v>
      </c>
      <c r="C2462" s="210" t="s">
        <v>8625</v>
      </c>
      <c r="D2462" s="210" t="s">
        <v>8626</v>
      </c>
      <c r="E2462" s="204">
        <v>1.0</v>
      </c>
      <c r="F2462" s="205">
        <v>0.0</v>
      </c>
      <c r="G2462" s="205">
        <v>0.0</v>
      </c>
    </row>
    <row r="2463" ht="15.75" customHeight="1">
      <c r="A2463" s="200" t="s">
        <v>311</v>
      </c>
      <c r="B2463" s="186" t="s">
        <v>8627</v>
      </c>
      <c r="C2463" s="210" t="s">
        <v>8628</v>
      </c>
      <c r="D2463" s="210" t="s">
        <v>8623</v>
      </c>
      <c r="E2463" s="204">
        <v>1.0</v>
      </c>
      <c r="F2463" s="205">
        <v>0.0</v>
      </c>
      <c r="G2463" s="205">
        <v>0.0</v>
      </c>
    </row>
    <row r="2464" ht="15.75" customHeight="1">
      <c r="A2464" s="200" t="s">
        <v>311</v>
      </c>
      <c r="B2464" s="186" t="s">
        <v>8629</v>
      </c>
      <c r="C2464" s="210" t="s">
        <v>8630</v>
      </c>
      <c r="D2464" s="210" t="s">
        <v>8631</v>
      </c>
      <c r="E2464" s="204">
        <v>1.0</v>
      </c>
      <c r="F2464" s="205">
        <v>0.0</v>
      </c>
      <c r="G2464" s="205">
        <v>0.0</v>
      </c>
    </row>
    <row r="2465" ht="15.75" customHeight="1">
      <c r="A2465" s="200" t="s">
        <v>311</v>
      </c>
      <c r="B2465" s="186" t="s">
        <v>8632</v>
      </c>
      <c r="C2465" s="210" t="s">
        <v>8633</v>
      </c>
      <c r="D2465" s="210" t="s">
        <v>8634</v>
      </c>
      <c r="E2465" s="204">
        <v>1.0</v>
      </c>
      <c r="F2465" s="205">
        <v>0.0</v>
      </c>
      <c r="G2465" s="205">
        <v>1.0</v>
      </c>
    </row>
    <row r="2466" ht="15.75" customHeight="1">
      <c r="A2466" s="200" t="s">
        <v>311</v>
      </c>
      <c r="B2466" s="186" t="s">
        <v>8635</v>
      </c>
      <c r="C2466" s="210" t="s">
        <v>8636</v>
      </c>
      <c r="D2466" s="210" t="s">
        <v>8637</v>
      </c>
      <c r="E2466" s="204">
        <v>1.0</v>
      </c>
      <c r="F2466" s="205">
        <v>0.0</v>
      </c>
      <c r="G2466" s="205">
        <v>0.0</v>
      </c>
    </row>
    <row r="2467" ht="15.75" customHeight="1">
      <c r="A2467" s="200" t="s">
        <v>311</v>
      </c>
      <c r="B2467" s="186" t="s">
        <v>6755</v>
      </c>
      <c r="C2467" s="210" t="s">
        <v>6756</v>
      </c>
      <c r="D2467" s="210" t="s">
        <v>799</v>
      </c>
      <c r="E2467" s="204">
        <v>1.0</v>
      </c>
      <c r="F2467" s="205">
        <v>0.0</v>
      </c>
      <c r="G2467" s="205">
        <v>1.0</v>
      </c>
    </row>
    <row r="2468" ht="15.75" customHeight="1">
      <c r="A2468" s="200" t="s">
        <v>311</v>
      </c>
      <c r="B2468" s="186" t="s">
        <v>5358</v>
      </c>
      <c r="C2468" s="210" t="s">
        <v>5359</v>
      </c>
      <c r="D2468" s="210" t="s">
        <v>8638</v>
      </c>
      <c r="E2468" s="204">
        <v>1.0</v>
      </c>
      <c r="F2468" s="205">
        <v>0.0</v>
      </c>
      <c r="G2468" s="205">
        <v>0.0</v>
      </c>
    </row>
    <row r="2469" ht="15.75" customHeight="1">
      <c r="A2469" s="200" t="s">
        <v>311</v>
      </c>
      <c r="B2469" s="186" t="s">
        <v>8639</v>
      </c>
      <c r="C2469" s="210" t="s">
        <v>8640</v>
      </c>
      <c r="D2469" s="210"/>
      <c r="E2469" s="204">
        <v>1.0</v>
      </c>
      <c r="F2469" s="205">
        <v>0.0</v>
      </c>
      <c r="G2469" s="205">
        <v>0.0</v>
      </c>
    </row>
    <row r="2470" ht="15.75" customHeight="1">
      <c r="A2470" s="200" t="s">
        <v>311</v>
      </c>
      <c r="B2470" s="186" t="s">
        <v>8641</v>
      </c>
      <c r="C2470" s="210" t="s">
        <v>8642</v>
      </c>
      <c r="D2470" s="210" t="s">
        <v>7862</v>
      </c>
      <c r="E2470" s="204">
        <v>1.0</v>
      </c>
      <c r="F2470" s="205">
        <v>0.0</v>
      </c>
      <c r="G2470" s="205">
        <v>1.0</v>
      </c>
    </row>
    <row r="2471" ht="15.75" customHeight="1">
      <c r="A2471" s="200" t="s">
        <v>311</v>
      </c>
      <c r="B2471" s="186" t="s">
        <v>902</v>
      </c>
      <c r="C2471" s="210" t="s">
        <v>903</v>
      </c>
      <c r="D2471" s="210" t="s">
        <v>2130</v>
      </c>
      <c r="E2471" s="204">
        <v>1.0</v>
      </c>
      <c r="F2471" s="205">
        <v>0.0</v>
      </c>
      <c r="G2471" s="205">
        <v>1.0</v>
      </c>
    </row>
    <row r="2472" ht="15.75" customHeight="1">
      <c r="A2472" s="200" t="s">
        <v>311</v>
      </c>
      <c r="B2472" s="186" t="s">
        <v>706</v>
      </c>
      <c r="C2472" s="210" t="s">
        <v>707</v>
      </c>
      <c r="D2472" s="210" t="s">
        <v>2131</v>
      </c>
      <c r="E2472" s="204">
        <v>1.0</v>
      </c>
      <c r="F2472" s="205">
        <v>0.0</v>
      </c>
      <c r="G2472" s="205">
        <v>1.0</v>
      </c>
    </row>
    <row r="2473" ht="15.75" customHeight="1">
      <c r="A2473" s="200" t="s">
        <v>311</v>
      </c>
      <c r="B2473" s="186" t="s">
        <v>8643</v>
      </c>
      <c r="C2473" s="210" t="s">
        <v>8644</v>
      </c>
      <c r="D2473" s="210" t="s">
        <v>8645</v>
      </c>
      <c r="E2473" s="204">
        <v>1.0</v>
      </c>
      <c r="F2473" s="205">
        <v>0.0</v>
      </c>
      <c r="G2473" s="205">
        <v>2.0</v>
      </c>
    </row>
    <row r="2474" ht="15.75" customHeight="1">
      <c r="A2474" s="200" t="s">
        <v>311</v>
      </c>
      <c r="B2474" s="186" t="s">
        <v>6066</v>
      </c>
      <c r="C2474" s="210" t="s">
        <v>6067</v>
      </c>
      <c r="D2474" s="210" t="s">
        <v>8646</v>
      </c>
      <c r="E2474" s="204">
        <v>1.0</v>
      </c>
      <c r="F2474" s="205">
        <v>0.0</v>
      </c>
      <c r="G2474" s="205">
        <v>0.0</v>
      </c>
    </row>
    <row r="2475" ht="15.75" customHeight="1">
      <c r="A2475" s="200" t="s">
        <v>311</v>
      </c>
      <c r="B2475" s="186" t="s">
        <v>4022</v>
      </c>
      <c r="C2475" s="210" t="s">
        <v>4023</v>
      </c>
      <c r="D2475" s="210" t="s">
        <v>7417</v>
      </c>
      <c r="E2475" s="204">
        <v>1.0</v>
      </c>
      <c r="F2475" s="205">
        <v>0.0</v>
      </c>
      <c r="G2475" s="205">
        <v>0.0</v>
      </c>
    </row>
    <row r="2476" ht="15.75" customHeight="1">
      <c r="A2476" s="200" t="s">
        <v>311</v>
      </c>
      <c r="B2476" s="186" t="s">
        <v>8647</v>
      </c>
      <c r="C2476" s="210" t="s">
        <v>8648</v>
      </c>
      <c r="D2476" s="210" t="s">
        <v>8649</v>
      </c>
      <c r="E2476" s="204">
        <v>1.0</v>
      </c>
      <c r="F2476" s="205">
        <v>0.0</v>
      </c>
      <c r="G2476" s="205">
        <v>1.0</v>
      </c>
    </row>
    <row r="2477" ht="15.75" customHeight="1">
      <c r="A2477" s="200" t="s">
        <v>311</v>
      </c>
      <c r="B2477" s="186" t="s">
        <v>8650</v>
      </c>
      <c r="C2477" s="210" t="s">
        <v>8651</v>
      </c>
      <c r="D2477" s="210" t="s">
        <v>8652</v>
      </c>
      <c r="E2477" s="204">
        <v>1.0</v>
      </c>
      <c r="F2477" s="205">
        <v>0.0</v>
      </c>
      <c r="G2477" s="205">
        <v>1.0</v>
      </c>
    </row>
    <row r="2478" ht="15.75" customHeight="1">
      <c r="A2478" s="200" t="s">
        <v>311</v>
      </c>
      <c r="B2478" s="186" t="s">
        <v>2533</v>
      </c>
      <c r="C2478" s="210" t="s">
        <v>2536</v>
      </c>
      <c r="D2478" s="210" t="s">
        <v>8653</v>
      </c>
      <c r="E2478" s="204">
        <v>1.0</v>
      </c>
      <c r="F2478" s="205">
        <v>0.0</v>
      </c>
      <c r="G2478" s="205">
        <v>0.0</v>
      </c>
    </row>
    <row r="2479" ht="15.75" customHeight="1">
      <c r="A2479" s="200" t="s">
        <v>311</v>
      </c>
      <c r="B2479" s="186" t="s">
        <v>8654</v>
      </c>
      <c r="C2479" s="210" t="s">
        <v>8655</v>
      </c>
      <c r="D2479" s="210" t="s">
        <v>8656</v>
      </c>
      <c r="E2479" s="204">
        <v>1.0</v>
      </c>
      <c r="F2479" s="205">
        <v>0.0</v>
      </c>
      <c r="G2479" s="205">
        <v>0.0</v>
      </c>
    </row>
    <row r="2480" ht="15.75" customHeight="1">
      <c r="A2480" s="200" t="s">
        <v>311</v>
      </c>
      <c r="B2480" s="186" t="s">
        <v>2451</v>
      </c>
      <c r="C2480" s="210" t="s">
        <v>2452</v>
      </c>
      <c r="D2480" s="210" t="s">
        <v>8657</v>
      </c>
      <c r="E2480" s="204">
        <v>1.0</v>
      </c>
      <c r="F2480" s="205">
        <v>0.0</v>
      </c>
      <c r="G2480" s="205">
        <v>0.0</v>
      </c>
    </row>
    <row r="2481" ht="15.75" customHeight="1">
      <c r="A2481" s="200" t="s">
        <v>311</v>
      </c>
      <c r="B2481" s="186" t="s">
        <v>8658</v>
      </c>
      <c r="C2481" s="210" t="s">
        <v>8659</v>
      </c>
      <c r="D2481" s="210" t="s">
        <v>8660</v>
      </c>
      <c r="E2481" s="204">
        <v>1.0</v>
      </c>
      <c r="F2481" s="205">
        <v>0.0</v>
      </c>
      <c r="G2481" s="205">
        <v>0.0</v>
      </c>
    </row>
    <row r="2482" ht="15.75" customHeight="1">
      <c r="A2482" s="200" t="s">
        <v>311</v>
      </c>
      <c r="B2482" s="186" t="s">
        <v>8661</v>
      </c>
      <c r="C2482" s="210" t="s">
        <v>8662</v>
      </c>
      <c r="D2482" s="210" t="s">
        <v>8663</v>
      </c>
      <c r="E2482" s="204">
        <v>1.0</v>
      </c>
      <c r="F2482" s="205">
        <v>0.0</v>
      </c>
      <c r="G2482" s="205">
        <v>0.0</v>
      </c>
    </row>
    <row r="2483" ht="15.75" customHeight="1">
      <c r="A2483" s="200" t="s">
        <v>311</v>
      </c>
      <c r="B2483" s="186" t="s">
        <v>8664</v>
      </c>
      <c r="C2483" s="210" t="s">
        <v>8665</v>
      </c>
      <c r="D2483" s="210" t="s">
        <v>8666</v>
      </c>
      <c r="E2483" s="204">
        <v>1.0</v>
      </c>
      <c r="F2483" s="205">
        <v>0.0</v>
      </c>
      <c r="G2483" s="205">
        <v>0.0</v>
      </c>
    </row>
    <row r="2484" ht="15.75" customHeight="1">
      <c r="A2484" s="200" t="s">
        <v>311</v>
      </c>
      <c r="B2484" s="186" t="s">
        <v>8667</v>
      </c>
      <c r="C2484" s="210" t="s">
        <v>967</v>
      </c>
      <c r="D2484" s="210" t="s">
        <v>8668</v>
      </c>
      <c r="E2484" s="204">
        <v>1.0</v>
      </c>
      <c r="F2484" s="205">
        <v>0.0</v>
      </c>
      <c r="G2484" s="205">
        <v>1.0</v>
      </c>
    </row>
    <row r="2485" ht="15.75" customHeight="1">
      <c r="A2485" s="200" t="s">
        <v>311</v>
      </c>
      <c r="B2485" s="186" t="s">
        <v>8669</v>
      </c>
      <c r="C2485" s="210" t="s">
        <v>8670</v>
      </c>
      <c r="D2485" s="210" t="s">
        <v>799</v>
      </c>
      <c r="E2485" s="204">
        <v>1.0</v>
      </c>
      <c r="F2485" s="205">
        <v>0.0</v>
      </c>
      <c r="G2485" s="205">
        <v>3.0</v>
      </c>
    </row>
    <row r="2486" ht="15.75" customHeight="1">
      <c r="A2486" s="200" t="s">
        <v>311</v>
      </c>
      <c r="B2486" s="186" t="s">
        <v>8671</v>
      </c>
      <c r="C2486" s="210" t="s">
        <v>7898</v>
      </c>
      <c r="D2486" s="210"/>
      <c r="E2486" s="204">
        <v>1.0</v>
      </c>
      <c r="F2486" s="205">
        <v>0.0</v>
      </c>
      <c r="G2486" s="205">
        <v>0.0</v>
      </c>
    </row>
    <row r="2487" ht="15.75" customHeight="1">
      <c r="A2487" s="200" t="s">
        <v>311</v>
      </c>
      <c r="B2487" s="186" t="s">
        <v>758</v>
      </c>
      <c r="C2487" s="210" t="s">
        <v>759</v>
      </c>
      <c r="D2487" s="210" t="s">
        <v>2133</v>
      </c>
      <c r="E2487" s="204">
        <v>1.0</v>
      </c>
      <c r="F2487" s="205">
        <v>0.0</v>
      </c>
      <c r="G2487" s="205">
        <v>2.0</v>
      </c>
    </row>
    <row r="2488" ht="15.75" customHeight="1">
      <c r="A2488" s="200" t="s">
        <v>311</v>
      </c>
      <c r="B2488" s="186" t="s">
        <v>8672</v>
      </c>
      <c r="C2488" s="210" t="s">
        <v>8673</v>
      </c>
      <c r="D2488" s="210" t="s">
        <v>8674</v>
      </c>
      <c r="E2488" s="204">
        <v>1.0</v>
      </c>
      <c r="F2488" s="205">
        <v>0.0</v>
      </c>
      <c r="G2488" s="205">
        <v>1.0</v>
      </c>
    </row>
    <row r="2489" ht="15.75" customHeight="1">
      <c r="A2489" s="200" t="s">
        <v>311</v>
      </c>
      <c r="B2489" s="186" t="s">
        <v>5449</v>
      </c>
      <c r="C2489" s="210" t="s">
        <v>5450</v>
      </c>
      <c r="D2489" s="210" t="s">
        <v>799</v>
      </c>
      <c r="E2489" s="204">
        <v>1.0</v>
      </c>
      <c r="F2489" s="205">
        <v>0.0</v>
      </c>
      <c r="G2489" s="205">
        <v>0.0</v>
      </c>
    </row>
    <row r="2490" ht="15.75" customHeight="1">
      <c r="A2490" s="200" t="s">
        <v>311</v>
      </c>
      <c r="B2490" s="186" t="s">
        <v>8675</v>
      </c>
      <c r="C2490" s="210" t="s">
        <v>8676</v>
      </c>
      <c r="D2490" s="210"/>
      <c r="E2490" s="204">
        <v>1.0</v>
      </c>
      <c r="F2490" s="205">
        <v>0.0</v>
      </c>
      <c r="G2490" s="205">
        <v>1.0</v>
      </c>
    </row>
    <row r="2491" ht="15.75" customHeight="1">
      <c r="A2491" s="200" t="s">
        <v>311</v>
      </c>
      <c r="B2491" s="186" t="s">
        <v>3623</v>
      </c>
      <c r="C2491" s="210" t="s">
        <v>3625</v>
      </c>
      <c r="D2491" s="210" t="s">
        <v>7862</v>
      </c>
      <c r="E2491" s="204">
        <v>1.0</v>
      </c>
      <c r="F2491" s="205">
        <v>0.0</v>
      </c>
      <c r="G2491" s="205">
        <v>0.0</v>
      </c>
    </row>
    <row r="2492" ht="15.75" customHeight="1">
      <c r="A2492" s="200" t="s">
        <v>311</v>
      </c>
      <c r="B2492" s="186" t="s">
        <v>2493</v>
      </c>
      <c r="C2492" s="210" t="s">
        <v>2494</v>
      </c>
      <c r="D2492" s="210" t="s">
        <v>1252</v>
      </c>
      <c r="E2492" s="204">
        <v>1.0</v>
      </c>
      <c r="F2492" s="205">
        <v>0.0</v>
      </c>
      <c r="G2492" s="205">
        <v>0.0</v>
      </c>
    </row>
    <row r="2493" ht="15.75" customHeight="1">
      <c r="A2493" s="200" t="s">
        <v>311</v>
      </c>
      <c r="B2493" s="186" t="s">
        <v>8677</v>
      </c>
      <c r="C2493" s="210" t="s">
        <v>7242</v>
      </c>
      <c r="D2493" s="210" t="s">
        <v>780</v>
      </c>
      <c r="E2493" s="204">
        <v>1.0</v>
      </c>
      <c r="F2493" s="205">
        <v>0.0</v>
      </c>
      <c r="G2493" s="205">
        <v>0.0</v>
      </c>
    </row>
    <row r="2494" ht="15.75" customHeight="1">
      <c r="A2494" s="200" t="s">
        <v>311</v>
      </c>
      <c r="B2494" s="186" t="s">
        <v>8678</v>
      </c>
      <c r="C2494" s="210" t="s">
        <v>8679</v>
      </c>
      <c r="D2494" s="210"/>
      <c r="E2494" s="204">
        <v>1.0</v>
      </c>
      <c r="F2494" s="205">
        <v>0.0</v>
      </c>
      <c r="G2494" s="205">
        <v>2.0</v>
      </c>
    </row>
    <row r="2495" ht="15.75" customHeight="1">
      <c r="A2495" s="200" t="s">
        <v>311</v>
      </c>
      <c r="B2495" s="186" t="s">
        <v>8680</v>
      </c>
      <c r="C2495" s="210" t="s">
        <v>8681</v>
      </c>
      <c r="D2495" s="210" t="s">
        <v>380</v>
      </c>
      <c r="E2495" s="204">
        <v>1.0</v>
      </c>
      <c r="F2495" s="205">
        <v>0.0</v>
      </c>
      <c r="G2495" s="205">
        <v>1.0</v>
      </c>
    </row>
    <row r="2496" ht="15.75" customHeight="1">
      <c r="A2496" s="200" t="s">
        <v>311</v>
      </c>
      <c r="B2496" s="186" t="s">
        <v>8682</v>
      </c>
      <c r="C2496" s="210" t="s">
        <v>8683</v>
      </c>
      <c r="D2496" s="210"/>
      <c r="E2496" s="204">
        <v>1.0</v>
      </c>
      <c r="F2496" s="205">
        <v>0.0</v>
      </c>
      <c r="G2496" s="205">
        <v>0.0</v>
      </c>
    </row>
    <row r="2497" ht="15.75" customHeight="1">
      <c r="A2497" s="200" t="s">
        <v>311</v>
      </c>
      <c r="B2497" s="186" t="s">
        <v>8684</v>
      </c>
      <c r="C2497" s="210" t="s">
        <v>8685</v>
      </c>
      <c r="D2497" s="210" t="s">
        <v>348</v>
      </c>
      <c r="E2497" s="204">
        <v>1.0</v>
      </c>
      <c r="F2497" s="205">
        <v>0.0</v>
      </c>
      <c r="G2497" s="205">
        <v>0.0</v>
      </c>
    </row>
    <row r="2498" ht="15.75" customHeight="1">
      <c r="A2498" s="200" t="s">
        <v>311</v>
      </c>
      <c r="B2498" s="186" t="s">
        <v>5461</v>
      </c>
      <c r="C2498" s="210" t="s">
        <v>5462</v>
      </c>
      <c r="D2498" s="210" t="s">
        <v>8686</v>
      </c>
      <c r="E2498" s="204">
        <v>1.0</v>
      </c>
      <c r="F2498" s="205">
        <v>0.0</v>
      </c>
      <c r="G2498" s="205">
        <v>1.0</v>
      </c>
    </row>
    <row r="2499" ht="15.75" customHeight="1">
      <c r="A2499" s="200" t="s">
        <v>311</v>
      </c>
      <c r="B2499" s="186" t="s">
        <v>8687</v>
      </c>
      <c r="C2499" s="210" t="s">
        <v>8688</v>
      </c>
      <c r="D2499" s="210" t="s">
        <v>8689</v>
      </c>
      <c r="E2499" s="204">
        <v>1.0</v>
      </c>
      <c r="F2499" s="205">
        <v>0.0</v>
      </c>
      <c r="G2499" s="205">
        <v>0.0</v>
      </c>
    </row>
    <row r="2500" ht="15.75" customHeight="1">
      <c r="A2500" s="200" t="s">
        <v>311</v>
      </c>
      <c r="B2500" s="186" t="s">
        <v>8690</v>
      </c>
      <c r="C2500" s="210" t="s">
        <v>8691</v>
      </c>
      <c r="D2500" s="210"/>
      <c r="E2500" s="204">
        <v>1.0</v>
      </c>
      <c r="F2500" s="205">
        <v>0.0</v>
      </c>
      <c r="G2500" s="205">
        <v>0.0</v>
      </c>
    </row>
    <row r="2501" ht="15.75" customHeight="1">
      <c r="A2501" s="200" t="s">
        <v>311</v>
      </c>
      <c r="B2501" s="186" t="s">
        <v>8692</v>
      </c>
      <c r="C2501" s="210" t="s">
        <v>8693</v>
      </c>
      <c r="D2501" s="210" t="s">
        <v>870</v>
      </c>
      <c r="E2501" s="204">
        <v>1.0</v>
      </c>
      <c r="F2501" s="205">
        <v>0.0</v>
      </c>
      <c r="G2501" s="205">
        <v>1.0</v>
      </c>
    </row>
    <row r="2502" ht="15.75" customHeight="1">
      <c r="A2502" s="200" t="s">
        <v>311</v>
      </c>
      <c r="B2502" s="186" t="s">
        <v>5484</v>
      </c>
      <c r="C2502" s="210" t="s">
        <v>5485</v>
      </c>
      <c r="D2502" s="210" t="s">
        <v>8694</v>
      </c>
      <c r="E2502" s="204">
        <v>1.0</v>
      </c>
      <c r="F2502" s="205">
        <v>0.0</v>
      </c>
      <c r="G2502" s="205">
        <v>0.0</v>
      </c>
    </row>
    <row r="2503" ht="15.75" customHeight="1">
      <c r="A2503" s="200" t="s">
        <v>311</v>
      </c>
      <c r="B2503" s="186" t="s">
        <v>8695</v>
      </c>
      <c r="C2503" s="210" t="s">
        <v>8696</v>
      </c>
      <c r="D2503" s="210" t="s">
        <v>8697</v>
      </c>
      <c r="E2503" s="204">
        <v>1.0</v>
      </c>
      <c r="F2503" s="205">
        <v>0.0</v>
      </c>
      <c r="G2503" s="205">
        <v>0.0</v>
      </c>
    </row>
    <row r="2504" ht="15.75" customHeight="1">
      <c r="A2504" s="200" t="s">
        <v>311</v>
      </c>
      <c r="B2504" s="186" t="s">
        <v>8698</v>
      </c>
      <c r="C2504" s="210" t="s">
        <v>8699</v>
      </c>
      <c r="D2504" s="210" t="s">
        <v>8700</v>
      </c>
      <c r="E2504" s="204">
        <v>1.0</v>
      </c>
      <c r="F2504" s="205">
        <v>0.0</v>
      </c>
      <c r="G2504" s="205">
        <v>0.0</v>
      </c>
    </row>
    <row r="2505" ht="15.75" customHeight="1">
      <c r="A2505" s="200" t="s">
        <v>311</v>
      </c>
      <c r="B2505" s="186" t="s">
        <v>8701</v>
      </c>
      <c r="C2505" s="210" t="s">
        <v>8702</v>
      </c>
      <c r="D2505" s="210" t="s">
        <v>8703</v>
      </c>
      <c r="E2505" s="204">
        <v>1.0</v>
      </c>
      <c r="F2505" s="205">
        <v>0.0</v>
      </c>
      <c r="G2505" s="205">
        <v>0.0</v>
      </c>
    </row>
    <row r="2506" ht="15.75" customHeight="1">
      <c r="A2506" s="200" t="s">
        <v>311</v>
      </c>
      <c r="B2506" s="186" t="s">
        <v>4039</v>
      </c>
      <c r="C2506" s="210" t="s">
        <v>4040</v>
      </c>
      <c r="D2506" s="210" t="s">
        <v>8704</v>
      </c>
      <c r="E2506" s="204">
        <v>1.0</v>
      </c>
      <c r="F2506" s="205">
        <v>0.0</v>
      </c>
      <c r="G2506" s="205">
        <v>1.0</v>
      </c>
    </row>
    <row r="2507" ht="15.75" customHeight="1">
      <c r="A2507" s="200" t="s">
        <v>311</v>
      </c>
      <c r="B2507" s="186" t="s">
        <v>2398</v>
      </c>
      <c r="C2507" s="210" t="s">
        <v>2399</v>
      </c>
      <c r="D2507" s="210" t="s">
        <v>8705</v>
      </c>
      <c r="E2507" s="204">
        <v>1.0</v>
      </c>
      <c r="F2507" s="205">
        <v>0.0</v>
      </c>
      <c r="G2507" s="205">
        <v>4.0</v>
      </c>
    </row>
    <row r="2508" ht="15.75" customHeight="1">
      <c r="A2508" s="200" t="s">
        <v>311</v>
      </c>
      <c r="B2508" s="186" t="s">
        <v>8706</v>
      </c>
      <c r="C2508" s="210" t="s">
        <v>8707</v>
      </c>
      <c r="D2508" s="210" t="s">
        <v>8708</v>
      </c>
      <c r="E2508" s="204">
        <v>1.0</v>
      </c>
      <c r="F2508" s="205">
        <v>0.0</v>
      </c>
      <c r="G2508" s="205">
        <v>0.0</v>
      </c>
    </row>
    <row r="2509" ht="15.75" customHeight="1">
      <c r="A2509" s="200" t="s">
        <v>311</v>
      </c>
      <c r="B2509" s="186" t="s">
        <v>8709</v>
      </c>
      <c r="C2509" s="210" t="s">
        <v>6933</v>
      </c>
      <c r="D2509" s="210" t="s">
        <v>6934</v>
      </c>
      <c r="E2509" s="204">
        <v>1.0</v>
      </c>
      <c r="F2509" s="205">
        <v>0.0</v>
      </c>
      <c r="G2509" s="205">
        <v>0.0</v>
      </c>
    </row>
    <row r="2510" ht="15.75" customHeight="1">
      <c r="A2510" s="200" t="s">
        <v>311</v>
      </c>
      <c r="B2510" s="186" t="s">
        <v>8710</v>
      </c>
      <c r="C2510" s="210" t="s">
        <v>8711</v>
      </c>
      <c r="D2510" s="210" t="s">
        <v>8712</v>
      </c>
      <c r="E2510" s="204">
        <v>1.0</v>
      </c>
      <c r="F2510" s="205">
        <v>0.0</v>
      </c>
      <c r="G2510" s="205">
        <v>0.0</v>
      </c>
    </row>
    <row r="2511" ht="15.75" customHeight="1">
      <c r="A2511" s="200" t="s">
        <v>311</v>
      </c>
      <c r="B2511" s="186" t="s">
        <v>1082</v>
      </c>
      <c r="C2511" s="210" t="s">
        <v>1083</v>
      </c>
      <c r="D2511" s="210" t="s">
        <v>2134</v>
      </c>
      <c r="E2511" s="204">
        <v>1.0</v>
      </c>
      <c r="F2511" s="205">
        <v>0.0</v>
      </c>
      <c r="G2511" s="205">
        <v>1.0</v>
      </c>
    </row>
    <row r="2512" ht="15.75" customHeight="1">
      <c r="A2512" s="200" t="s">
        <v>311</v>
      </c>
      <c r="B2512" s="186" t="s">
        <v>1317</v>
      </c>
      <c r="C2512" s="210" t="s">
        <v>1318</v>
      </c>
      <c r="D2512" s="210" t="s">
        <v>8713</v>
      </c>
      <c r="E2512" s="204">
        <v>1.0</v>
      </c>
      <c r="F2512" s="205">
        <v>0.0</v>
      </c>
      <c r="G2512" s="205">
        <v>4.0</v>
      </c>
    </row>
    <row r="2513" ht="15.75" customHeight="1">
      <c r="A2513" s="200" t="s">
        <v>311</v>
      </c>
      <c r="B2513" s="186" t="s">
        <v>8714</v>
      </c>
      <c r="C2513" s="210" t="s">
        <v>8715</v>
      </c>
      <c r="D2513" s="210" t="s">
        <v>8716</v>
      </c>
      <c r="E2513" s="204">
        <v>1.0</v>
      </c>
      <c r="F2513" s="205">
        <v>0.0</v>
      </c>
      <c r="G2513" s="205">
        <v>2.0</v>
      </c>
    </row>
    <row r="2514" ht="15.75" customHeight="1">
      <c r="A2514" s="200" t="s">
        <v>311</v>
      </c>
      <c r="B2514" s="186" t="s">
        <v>5518</v>
      </c>
      <c r="C2514" s="210" t="s">
        <v>5519</v>
      </c>
      <c r="D2514" s="210" t="s">
        <v>8717</v>
      </c>
      <c r="E2514" s="204">
        <v>1.0</v>
      </c>
      <c r="F2514" s="205">
        <v>0.0</v>
      </c>
      <c r="G2514" s="205">
        <v>3.0</v>
      </c>
    </row>
    <row r="2515" ht="15.75" customHeight="1">
      <c r="A2515" s="200" t="s">
        <v>311</v>
      </c>
      <c r="B2515" s="186" t="s">
        <v>5527</v>
      </c>
      <c r="C2515" s="210" t="s">
        <v>5528</v>
      </c>
      <c r="D2515" s="210" t="s">
        <v>8718</v>
      </c>
      <c r="E2515" s="204">
        <v>1.0</v>
      </c>
      <c r="F2515" s="205">
        <v>0.0</v>
      </c>
      <c r="G2515" s="205">
        <v>0.0</v>
      </c>
    </row>
    <row r="2516" ht="15.75" customHeight="1">
      <c r="A2516" s="200" t="s">
        <v>311</v>
      </c>
      <c r="B2516" s="186" t="s">
        <v>5529</v>
      </c>
      <c r="C2516" s="210" t="s">
        <v>5530</v>
      </c>
      <c r="D2516" s="210" t="s">
        <v>8719</v>
      </c>
      <c r="E2516" s="204">
        <v>1.0</v>
      </c>
      <c r="F2516" s="205">
        <v>0.0</v>
      </c>
      <c r="G2516" s="205">
        <v>2.0</v>
      </c>
    </row>
    <row r="2517" ht="15.75" customHeight="1">
      <c r="A2517" s="200" t="s">
        <v>311</v>
      </c>
      <c r="B2517" s="186" t="s">
        <v>6835</v>
      </c>
      <c r="C2517" s="210" t="s">
        <v>6836</v>
      </c>
      <c r="D2517" s="210" t="s">
        <v>8720</v>
      </c>
      <c r="E2517" s="204">
        <v>1.0</v>
      </c>
      <c r="F2517" s="205">
        <v>0.0</v>
      </c>
      <c r="G2517" s="205">
        <v>2.0</v>
      </c>
    </row>
    <row r="2518" ht="15.75" customHeight="1">
      <c r="A2518" s="200" t="s">
        <v>311</v>
      </c>
      <c r="B2518" s="186" t="s">
        <v>5541</v>
      </c>
      <c r="C2518" s="210" t="s">
        <v>5542</v>
      </c>
      <c r="D2518" s="210" t="s">
        <v>8720</v>
      </c>
      <c r="E2518" s="204">
        <v>1.0</v>
      </c>
      <c r="F2518" s="205">
        <v>0.0</v>
      </c>
      <c r="G2518" s="205">
        <v>0.0</v>
      </c>
    </row>
    <row r="2519" ht="15.75" customHeight="1">
      <c r="A2519" s="200" t="s">
        <v>311</v>
      </c>
      <c r="B2519" s="186" t="s">
        <v>8721</v>
      </c>
      <c r="C2519" s="210" t="s">
        <v>8722</v>
      </c>
      <c r="D2519" s="210"/>
      <c r="E2519" s="204">
        <v>1.0</v>
      </c>
      <c r="F2519" s="205">
        <v>0.0</v>
      </c>
      <c r="G2519" s="205">
        <v>1.0</v>
      </c>
    </row>
    <row r="2520" ht="15.75" customHeight="1">
      <c r="A2520" s="200" t="s">
        <v>311</v>
      </c>
      <c r="B2520" s="186" t="s">
        <v>690</v>
      </c>
      <c r="C2520" s="210" t="s">
        <v>691</v>
      </c>
      <c r="D2520" s="210" t="s">
        <v>8723</v>
      </c>
      <c r="E2520" s="204">
        <v>1.0</v>
      </c>
      <c r="F2520" s="205">
        <v>0.0</v>
      </c>
      <c r="G2520" s="205">
        <v>1.0</v>
      </c>
    </row>
    <row r="2521" ht="15.75" customHeight="1">
      <c r="A2521" s="200" t="s">
        <v>311</v>
      </c>
      <c r="B2521" s="186" t="s">
        <v>4380</v>
      </c>
      <c r="C2521" s="210" t="s">
        <v>4381</v>
      </c>
      <c r="D2521" s="210" t="s">
        <v>1201</v>
      </c>
      <c r="E2521" s="204">
        <v>1.0</v>
      </c>
      <c r="F2521" s="205">
        <v>0.0</v>
      </c>
      <c r="G2521" s="205">
        <v>1.0</v>
      </c>
    </row>
    <row r="2522" ht="15.75" customHeight="1">
      <c r="A2522" s="200" t="s">
        <v>311</v>
      </c>
      <c r="B2522" s="186" t="s">
        <v>7733</v>
      </c>
      <c r="C2522" s="210" t="s">
        <v>7734</v>
      </c>
      <c r="D2522" s="210" t="s">
        <v>7735</v>
      </c>
      <c r="E2522" s="204">
        <v>1.0</v>
      </c>
      <c r="F2522" s="205">
        <v>0.0</v>
      </c>
      <c r="G2522" s="205">
        <v>1.0</v>
      </c>
    </row>
    <row r="2523" ht="15.75" customHeight="1">
      <c r="A2523" s="200" t="s">
        <v>311</v>
      </c>
      <c r="B2523" s="186" t="s">
        <v>7742</v>
      </c>
      <c r="C2523" s="210" t="s">
        <v>7743</v>
      </c>
      <c r="D2523" s="210" t="s">
        <v>7744</v>
      </c>
      <c r="E2523" s="204">
        <v>1.0</v>
      </c>
      <c r="F2523" s="205">
        <v>0.0</v>
      </c>
      <c r="G2523" s="205">
        <v>1.0</v>
      </c>
    </row>
    <row r="2524" ht="15.75" customHeight="1">
      <c r="A2524" s="200" t="s">
        <v>311</v>
      </c>
      <c r="B2524" s="186" t="s">
        <v>8724</v>
      </c>
      <c r="C2524" s="210" t="s">
        <v>8725</v>
      </c>
      <c r="D2524" s="210" t="s">
        <v>8726</v>
      </c>
      <c r="E2524" s="204">
        <v>1.0</v>
      </c>
      <c r="F2524" s="205">
        <v>0.0</v>
      </c>
      <c r="G2524" s="205">
        <v>0.0</v>
      </c>
    </row>
    <row r="2525" ht="15.75" customHeight="1">
      <c r="A2525" s="200" t="s">
        <v>311</v>
      </c>
      <c r="B2525" s="186" t="s">
        <v>8727</v>
      </c>
      <c r="C2525" s="210" t="s">
        <v>8728</v>
      </c>
      <c r="D2525" s="210" t="s">
        <v>8729</v>
      </c>
      <c r="E2525" s="204">
        <v>1.0</v>
      </c>
      <c r="F2525" s="205">
        <v>0.0</v>
      </c>
      <c r="G2525" s="205">
        <v>0.0</v>
      </c>
    </row>
    <row r="2526" ht="15.75" customHeight="1">
      <c r="A2526" s="200" t="s">
        <v>311</v>
      </c>
      <c r="B2526" s="186" t="s">
        <v>5588</v>
      </c>
      <c r="C2526" s="210" t="s">
        <v>5589</v>
      </c>
      <c r="D2526" s="210" t="s">
        <v>8730</v>
      </c>
      <c r="E2526" s="204">
        <v>1.0</v>
      </c>
      <c r="F2526" s="205">
        <v>0.0</v>
      </c>
      <c r="G2526" s="205">
        <v>4.0</v>
      </c>
    </row>
    <row r="2527" ht="15.75" customHeight="1">
      <c r="A2527" s="200" t="s">
        <v>311</v>
      </c>
      <c r="B2527" s="186" t="s">
        <v>8731</v>
      </c>
      <c r="C2527" s="210" t="s">
        <v>8732</v>
      </c>
      <c r="D2527" s="210" t="s">
        <v>8733</v>
      </c>
      <c r="E2527" s="204">
        <v>1.0</v>
      </c>
      <c r="F2527" s="205">
        <v>0.0</v>
      </c>
      <c r="G2527" s="205">
        <v>0.0</v>
      </c>
    </row>
    <row r="2528" ht="15.75" customHeight="1">
      <c r="A2528" s="224"/>
      <c r="B2528" s="186"/>
      <c r="C2528" s="210"/>
      <c r="D2528" s="210"/>
      <c r="E2528" s="204"/>
      <c r="F2528" s="205"/>
      <c r="G2528" s="205"/>
    </row>
    <row r="2529" ht="15.75" customHeight="1">
      <c r="A2529" s="225"/>
      <c r="B2529" s="226" t="s">
        <v>5219</v>
      </c>
      <c r="C2529" s="226" t="s">
        <v>298</v>
      </c>
      <c r="D2529" s="226" t="s">
        <v>293</v>
      </c>
      <c r="E2529" s="227" t="s">
        <v>294</v>
      </c>
      <c r="F2529" s="229" t="s">
        <v>295</v>
      </c>
      <c r="G2529" s="229" t="s">
        <v>296</v>
      </c>
    </row>
    <row r="2530" ht="15.75" customHeight="1">
      <c r="A2530" s="200" t="s">
        <v>315</v>
      </c>
      <c r="B2530" s="175" t="s">
        <v>583</v>
      </c>
      <c r="C2530" s="230" t="s">
        <v>584</v>
      </c>
      <c r="D2530" s="230" t="s">
        <v>586</v>
      </c>
      <c r="E2530" s="231">
        <v>97.0</v>
      </c>
      <c r="F2530" s="232">
        <v>0.09</v>
      </c>
      <c r="G2530" s="232">
        <v>0.05</v>
      </c>
    </row>
    <row r="2531" ht="15.75" customHeight="1">
      <c r="A2531" s="200" t="s">
        <v>315</v>
      </c>
      <c r="B2531" s="175" t="s">
        <v>2135</v>
      </c>
      <c r="C2531" s="230" t="s">
        <v>2136</v>
      </c>
      <c r="D2531" s="230" t="s">
        <v>2137</v>
      </c>
      <c r="E2531" s="231">
        <v>84.0</v>
      </c>
      <c r="F2531" s="232">
        <v>0.08</v>
      </c>
      <c r="G2531" s="232">
        <v>1.94</v>
      </c>
    </row>
    <row r="2532" ht="15.75" customHeight="1">
      <c r="A2532" s="200" t="s">
        <v>315</v>
      </c>
      <c r="B2532" s="175" t="s">
        <v>2138</v>
      </c>
      <c r="C2532" s="230" t="s">
        <v>2139</v>
      </c>
      <c r="D2532" s="230" t="s">
        <v>2141</v>
      </c>
      <c r="E2532" s="231">
        <v>84.0</v>
      </c>
      <c r="F2532" s="232">
        <v>0.08</v>
      </c>
      <c r="G2532" s="232">
        <v>1.11</v>
      </c>
    </row>
    <row r="2533" ht="15.75" customHeight="1">
      <c r="A2533" s="200" t="s">
        <v>315</v>
      </c>
      <c r="B2533" s="175" t="s">
        <v>2142</v>
      </c>
      <c r="C2533" s="230" t="s">
        <v>2143</v>
      </c>
      <c r="D2533" s="230" t="s">
        <v>2145</v>
      </c>
      <c r="E2533" s="231">
        <v>80.0</v>
      </c>
      <c r="F2533" s="232">
        <v>0.07</v>
      </c>
      <c r="G2533" s="232">
        <v>1.39</v>
      </c>
    </row>
    <row r="2534" ht="15.75" customHeight="1">
      <c r="A2534" s="200" t="s">
        <v>315</v>
      </c>
      <c r="B2534" s="175" t="s">
        <v>8734</v>
      </c>
      <c r="C2534" s="230" t="s">
        <v>8735</v>
      </c>
      <c r="D2534" s="230" t="s">
        <v>8736</v>
      </c>
      <c r="E2534" s="231">
        <v>66.0</v>
      </c>
      <c r="F2534" s="232">
        <v>0.06</v>
      </c>
      <c r="G2534" s="232">
        <v>0.14</v>
      </c>
    </row>
    <row r="2535" ht="15.75" customHeight="1">
      <c r="A2535" s="200" t="s">
        <v>315</v>
      </c>
      <c r="B2535" s="175" t="s">
        <v>2146</v>
      </c>
      <c r="C2535" s="230" t="s">
        <v>2147</v>
      </c>
      <c r="D2535" s="230" t="s">
        <v>2148</v>
      </c>
      <c r="E2535" s="231">
        <v>66.0</v>
      </c>
      <c r="F2535" s="232">
        <v>0.06</v>
      </c>
      <c r="G2535" s="232">
        <v>1.42</v>
      </c>
    </row>
    <row r="2536" ht="15.75" customHeight="1">
      <c r="A2536" s="200" t="s">
        <v>315</v>
      </c>
      <c r="B2536" s="175" t="s">
        <v>2149</v>
      </c>
      <c r="C2536" s="230" t="s">
        <v>2150</v>
      </c>
      <c r="D2536" s="230" t="s">
        <v>2152</v>
      </c>
      <c r="E2536" s="231">
        <v>66.0</v>
      </c>
      <c r="F2536" s="232">
        <v>0.06</v>
      </c>
      <c r="G2536" s="232">
        <v>3.74</v>
      </c>
    </row>
    <row r="2537" ht="15.75" customHeight="1">
      <c r="A2537" s="200" t="s">
        <v>315</v>
      </c>
      <c r="B2537" s="175" t="s">
        <v>2153</v>
      </c>
      <c r="C2537" s="230" t="s">
        <v>2154</v>
      </c>
      <c r="D2537" s="230" t="s">
        <v>2156</v>
      </c>
      <c r="E2537" s="231">
        <v>64.0</v>
      </c>
      <c r="F2537" s="232">
        <v>0.06</v>
      </c>
      <c r="G2537" s="232">
        <v>1.34</v>
      </c>
    </row>
    <row r="2538" ht="15.75" customHeight="1">
      <c r="A2538" s="200" t="s">
        <v>315</v>
      </c>
      <c r="B2538" s="175" t="s">
        <v>587</v>
      </c>
      <c r="C2538" s="230" t="s">
        <v>588</v>
      </c>
      <c r="D2538" s="230" t="s">
        <v>589</v>
      </c>
      <c r="E2538" s="231">
        <v>60.0</v>
      </c>
      <c r="F2538" s="232">
        <v>0.06</v>
      </c>
      <c r="G2538" s="232">
        <v>0.85</v>
      </c>
    </row>
    <row r="2539" ht="15.75" customHeight="1">
      <c r="A2539" s="200" t="s">
        <v>315</v>
      </c>
      <c r="B2539" s="175" t="s">
        <v>590</v>
      </c>
      <c r="C2539" s="230" t="s">
        <v>591</v>
      </c>
      <c r="D2539" s="230" t="s">
        <v>592</v>
      </c>
      <c r="E2539" s="231">
        <v>53.0</v>
      </c>
      <c r="F2539" s="232">
        <v>0.05</v>
      </c>
      <c r="G2539" s="232">
        <v>1.3</v>
      </c>
    </row>
    <row r="2540" ht="15.75" customHeight="1">
      <c r="A2540" s="200" t="s">
        <v>315</v>
      </c>
      <c r="B2540" s="175" t="s">
        <v>2157</v>
      </c>
      <c r="C2540" s="230" t="s">
        <v>2158</v>
      </c>
      <c r="D2540" s="230" t="s">
        <v>2160</v>
      </c>
      <c r="E2540" s="231">
        <v>52.0</v>
      </c>
      <c r="F2540" s="232">
        <v>0.05</v>
      </c>
      <c r="G2540" s="232">
        <v>1.35</v>
      </c>
    </row>
    <row r="2541" ht="15.75" customHeight="1">
      <c r="A2541" s="200" t="s">
        <v>315</v>
      </c>
      <c r="B2541" s="175" t="s">
        <v>8737</v>
      </c>
      <c r="C2541" s="230" t="s">
        <v>8738</v>
      </c>
      <c r="D2541" s="230" t="s">
        <v>8739</v>
      </c>
      <c r="E2541" s="231">
        <v>47.0</v>
      </c>
      <c r="F2541" s="232">
        <v>0.04</v>
      </c>
      <c r="G2541" s="232">
        <v>0.36</v>
      </c>
    </row>
    <row r="2542" ht="15.75" customHeight="1">
      <c r="A2542" s="200" t="s">
        <v>315</v>
      </c>
      <c r="B2542" s="175" t="s">
        <v>593</v>
      </c>
      <c r="C2542" s="230" t="s">
        <v>594</v>
      </c>
      <c r="D2542" s="230" t="s">
        <v>596</v>
      </c>
      <c r="E2542" s="231">
        <v>47.0</v>
      </c>
      <c r="F2542" s="232">
        <v>0.04</v>
      </c>
      <c r="G2542" s="232">
        <v>1.0</v>
      </c>
    </row>
    <row r="2543" ht="15.75" customHeight="1">
      <c r="A2543" s="200" t="s">
        <v>315</v>
      </c>
      <c r="B2543" s="175" t="s">
        <v>2161</v>
      </c>
      <c r="C2543" s="230" t="s">
        <v>2162</v>
      </c>
      <c r="D2543" s="230" t="s">
        <v>2164</v>
      </c>
      <c r="E2543" s="231">
        <v>45.0</v>
      </c>
      <c r="F2543" s="232">
        <v>0.04</v>
      </c>
      <c r="G2543" s="232">
        <v>1.89</v>
      </c>
    </row>
    <row r="2544" ht="15.75" customHeight="1">
      <c r="A2544" s="200" t="s">
        <v>315</v>
      </c>
      <c r="B2544" s="175" t="s">
        <v>8740</v>
      </c>
      <c r="C2544" s="230" t="s">
        <v>8741</v>
      </c>
      <c r="D2544" s="230" t="s">
        <v>8742</v>
      </c>
      <c r="E2544" s="231">
        <v>43.0</v>
      </c>
      <c r="F2544" s="232">
        <v>0.04</v>
      </c>
      <c r="G2544" s="232">
        <v>0.93</v>
      </c>
    </row>
    <row r="2545" ht="15.75" customHeight="1">
      <c r="A2545" s="200" t="s">
        <v>315</v>
      </c>
      <c r="B2545" s="175" t="s">
        <v>2165</v>
      </c>
      <c r="C2545" s="230" t="s">
        <v>2166</v>
      </c>
      <c r="D2545" s="230" t="s">
        <v>2167</v>
      </c>
      <c r="E2545" s="231">
        <v>40.0</v>
      </c>
      <c r="F2545" s="232">
        <v>0.04</v>
      </c>
      <c r="G2545" s="232">
        <v>0.78</v>
      </c>
    </row>
    <row r="2546" ht="15.75" customHeight="1">
      <c r="A2546" s="200" t="s">
        <v>315</v>
      </c>
      <c r="B2546" s="175" t="s">
        <v>8743</v>
      </c>
      <c r="C2546" s="230" t="s">
        <v>8744</v>
      </c>
      <c r="D2546" s="230" t="s">
        <v>8745</v>
      </c>
      <c r="E2546" s="231">
        <v>40.0</v>
      </c>
      <c r="F2546" s="232">
        <v>0.04</v>
      </c>
      <c r="G2546" s="232">
        <v>0.28</v>
      </c>
    </row>
    <row r="2547" ht="15.75" customHeight="1">
      <c r="A2547" s="200" t="s">
        <v>315</v>
      </c>
      <c r="B2547" s="175" t="s">
        <v>8746</v>
      </c>
      <c r="C2547" s="230" t="s">
        <v>8747</v>
      </c>
      <c r="D2547" s="230" t="s">
        <v>8742</v>
      </c>
      <c r="E2547" s="231">
        <v>40.0</v>
      </c>
      <c r="F2547" s="232">
        <v>0.04</v>
      </c>
      <c r="G2547" s="232">
        <v>0.63</v>
      </c>
    </row>
    <row r="2548" ht="15.75" customHeight="1">
      <c r="A2548" s="200" t="s">
        <v>315</v>
      </c>
      <c r="B2548" s="175" t="s">
        <v>2168</v>
      </c>
      <c r="C2548" s="230" t="s">
        <v>2169</v>
      </c>
      <c r="D2548" s="230" t="s">
        <v>2170</v>
      </c>
      <c r="E2548" s="231">
        <v>37.0</v>
      </c>
      <c r="F2548" s="232">
        <v>0.03</v>
      </c>
      <c r="G2548" s="232">
        <v>0.76</v>
      </c>
    </row>
    <row r="2549" ht="15.75" customHeight="1">
      <c r="A2549" s="200" t="s">
        <v>315</v>
      </c>
      <c r="B2549" s="175" t="s">
        <v>2171</v>
      </c>
      <c r="C2549" s="230" t="s">
        <v>2172</v>
      </c>
      <c r="D2549" s="230" t="s">
        <v>2173</v>
      </c>
      <c r="E2549" s="231">
        <v>37.0</v>
      </c>
      <c r="F2549" s="232">
        <v>0.03</v>
      </c>
      <c r="G2549" s="232">
        <v>0.84</v>
      </c>
    </row>
    <row r="2550" ht="15.75" customHeight="1">
      <c r="A2550" s="200" t="s">
        <v>315</v>
      </c>
      <c r="B2550" s="175" t="s">
        <v>2174</v>
      </c>
      <c r="C2550" s="230" t="s">
        <v>2175</v>
      </c>
      <c r="D2550" s="230" t="s">
        <v>2176</v>
      </c>
      <c r="E2550" s="231">
        <v>37.0</v>
      </c>
      <c r="F2550" s="232">
        <v>0.03</v>
      </c>
      <c r="G2550" s="232">
        <v>1.49</v>
      </c>
    </row>
    <row r="2551" ht="15.75" customHeight="1">
      <c r="A2551" s="200" t="s">
        <v>315</v>
      </c>
      <c r="B2551" s="175" t="s">
        <v>2177</v>
      </c>
      <c r="C2551" s="230" t="s">
        <v>2178</v>
      </c>
      <c r="D2551" s="230" t="s">
        <v>2180</v>
      </c>
      <c r="E2551" s="231">
        <v>37.0</v>
      </c>
      <c r="F2551" s="232">
        <v>0.03</v>
      </c>
      <c r="G2551" s="232">
        <v>0.92</v>
      </c>
    </row>
    <row r="2552" ht="15.75" customHeight="1">
      <c r="A2552" s="200" t="s">
        <v>315</v>
      </c>
      <c r="B2552" s="175" t="s">
        <v>2181</v>
      </c>
      <c r="C2552" s="230" t="s">
        <v>2182</v>
      </c>
      <c r="D2552" s="230" t="s">
        <v>2184</v>
      </c>
      <c r="E2552" s="231">
        <v>37.0</v>
      </c>
      <c r="F2552" s="232">
        <v>0.03</v>
      </c>
      <c r="G2552" s="232">
        <v>1.54</v>
      </c>
    </row>
    <row r="2553" ht="15.75" customHeight="1">
      <c r="A2553" s="200" t="s">
        <v>315</v>
      </c>
      <c r="B2553" s="175" t="s">
        <v>2185</v>
      </c>
      <c r="C2553" s="230" t="s">
        <v>2186</v>
      </c>
      <c r="D2553" s="230" t="s">
        <v>2187</v>
      </c>
      <c r="E2553" s="231">
        <v>36.0</v>
      </c>
      <c r="F2553" s="232">
        <v>0.03</v>
      </c>
      <c r="G2553" s="232">
        <v>1.11</v>
      </c>
    </row>
    <row r="2554" ht="15.75" customHeight="1">
      <c r="A2554" s="200" t="s">
        <v>315</v>
      </c>
      <c r="B2554" s="175" t="s">
        <v>2188</v>
      </c>
      <c r="C2554" s="230" t="s">
        <v>2189</v>
      </c>
      <c r="D2554" s="230" t="s">
        <v>2191</v>
      </c>
      <c r="E2554" s="231">
        <v>36.0</v>
      </c>
      <c r="F2554" s="232">
        <v>0.03</v>
      </c>
      <c r="G2554" s="232">
        <v>1.42</v>
      </c>
    </row>
    <row r="2555" ht="15.75" customHeight="1">
      <c r="A2555" s="200" t="s">
        <v>315</v>
      </c>
      <c r="B2555" s="175" t="s">
        <v>2192</v>
      </c>
      <c r="C2555" s="230" t="s">
        <v>2193</v>
      </c>
      <c r="D2555" s="230" t="s">
        <v>2194</v>
      </c>
      <c r="E2555" s="231">
        <v>35.0</v>
      </c>
      <c r="F2555" s="232">
        <v>0.03</v>
      </c>
      <c r="G2555" s="232">
        <v>1.77</v>
      </c>
    </row>
    <row r="2556" ht="15.75" customHeight="1">
      <c r="A2556" s="200" t="s">
        <v>315</v>
      </c>
      <c r="B2556" s="175" t="s">
        <v>8748</v>
      </c>
      <c r="C2556" s="230" t="s">
        <v>8749</v>
      </c>
      <c r="D2556" s="230" t="s">
        <v>8750</v>
      </c>
      <c r="E2556" s="231">
        <v>35.0</v>
      </c>
      <c r="F2556" s="232">
        <v>0.03</v>
      </c>
      <c r="G2556" s="232">
        <v>0.86</v>
      </c>
    </row>
    <row r="2557" ht="15.75" customHeight="1">
      <c r="A2557" s="200" t="s">
        <v>315</v>
      </c>
      <c r="B2557" s="175" t="s">
        <v>8751</v>
      </c>
      <c r="C2557" s="230" t="s">
        <v>8752</v>
      </c>
      <c r="D2557" s="230" t="s">
        <v>8753</v>
      </c>
      <c r="E2557" s="231">
        <v>34.0</v>
      </c>
      <c r="F2557" s="232">
        <v>0.03</v>
      </c>
      <c r="G2557" s="232">
        <v>0.94</v>
      </c>
    </row>
    <row r="2558" ht="15.75" customHeight="1">
      <c r="A2558" s="200" t="s">
        <v>315</v>
      </c>
      <c r="B2558" s="175" t="s">
        <v>2195</v>
      </c>
      <c r="C2558" s="230" t="s">
        <v>2196</v>
      </c>
      <c r="D2558" s="230" t="s">
        <v>2197</v>
      </c>
      <c r="E2558" s="231">
        <v>33.0</v>
      </c>
      <c r="F2558" s="232">
        <v>0.03</v>
      </c>
      <c r="G2558" s="232">
        <v>0.94</v>
      </c>
    </row>
    <row r="2559" ht="15.75" customHeight="1">
      <c r="A2559" s="200" t="s">
        <v>315</v>
      </c>
      <c r="B2559" s="175" t="s">
        <v>2198</v>
      </c>
      <c r="C2559" s="230" t="s">
        <v>2199</v>
      </c>
      <c r="D2559" s="230" t="s">
        <v>2202</v>
      </c>
      <c r="E2559" s="231">
        <v>33.0</v>
      </c>
      <c r="F2559" s="232">
        <v>0.03</v>
      </c>
      <c r="G2559" s="232">
        <v>1.61</v>
      </c>
    </row>
    <row r="2560" ht="15.75" customHeight="1">
      <c r="A2560" s="200" t="s">
        <v>315</v>
      </c>
      <c r="B2560" s="175" t="s">
        <v>2203</v>
      </c>
      <c r="C2560" s="230" t="s">
        <v>2204</v>
      </c>
      <c r="D2560" s="230" t="s">
        <v>2205</v>
      </c>
      <c r="E2560" s="231">
        <v>33.0</v>
      </c>
      <c r="F2560" s="232">
        <v>0.03</v>
      </c>
      <c r="G2560" s="232">
        <v>1.33</v>
      </c>
    </row>
    <row r="2561" ht="15.75" customHeight="1">
      <c r="A2561" s="200" t="s">
        <v>315</v>
      </c>
      <c r="B2561" s="175" t="s">
        <v>2206</v>
      </c>
      <c r="C2561" s="230" t="s">
        <v>2208</v>
      </c>
      <c r="D2561" s="230" t="s">
        <v>2209</v>
      </c>
      <c r="E2561" s="231">
        <v>32.0</v>
      </c>
      <c r="F2561" s="232">
        <v>0.03</v>
      </c>
      <c r="G2561" s="232">
        <v>2.53</v>
      </c>
    </row>
    <row r="2562" ht="15.75" customHeight="1">
      <c r="A2562" s="200" t="s">
        <v>315</v>
      </c>
      <c r="B2562" s="175" t="s">
        <v>2210</v>
      </c>
      <c r="C2562" s="230" t="s">
        <v>2211</v>
      </c>
      <c r="D2562" s="230" t="s">
        <v>2216</v>
      </c>
      <c r="E2562" s="231">
        <v>32.0</v>
      </c>
      <c r="F2562" s="232">
        <v>0.03</v>
      </c>
      <c r="G2562" s="232">
        <v>3.16</v>
      </c>
    </row>
    <row r="2563" ht="15.75" customHeight="1">
      <c r="A2563" s="200" t="s">
        <v>315</v>
      </c>
      <c r="B2563" s="175" t="s">
        <v>2217</v>
      </c>
      <c r="C2563" s="230" t="s">
        <v>2218</v>
      </c>
      <c r="D2563" s="230" t="s">
        <v>2222</v>
      </c>
      <c r="E2563" s="231">
        <v>31.0</v>
      </c>
      <c r="F2563" s="232">
        <v>0.03</v>
      </c>
      <c r="G2563" s="232">
        <v>2.29</v>
      </c>
    </row>
    <row r="2564" ht="15.75" customHeight="1">
      <c r="A2564" s="200" t="s">
        <v>315</v>
      </c>
      <c r="B2564" s="175" t="s">
        <v>2223</v>
      </c>
      <c r="C2564" s="230" t="s">
        <v>2226</v>
      </c>
      <c r="D2564" s="230" t="s">
        <v>2228</v>
      </c>
      <c r="E2564" s="231">
        <v>31.0</v>
      </c>
      <c r="F2564" s="232">
        <v>0.03</v>
      </c>
      <c r="G2564" s="232">
        <v>0.55</v>
      </c>
    </row>
    <row r="2565" ht="15.75" customHeight="1">
      <c r="A2565" s="200" t="s">
        <v>315</v>
      </c>
      <c r="B2565" s="175" t="s">
        <v>2229</v>
      </c>
      <c r="C2565" s="230" t="s">
        <v>2235</v>
      </c>
      <c r="D2565" s="230" t="s">
        <v>2238</v>
      </c>
      <c r="E2565" s="231">
        <v>31.0</v>
      </c>
      <c r="F2565" s="232">
        <v>0.03</v>
      </c>
      <c r="G2565" s="232">
        <v>2.68</v>
      </c>
    </row>
    <row r="2566" ht="15.75" customHeight="1">
      <c r="A2566" s="200" t="s">
        <v>315</v>
      </c>
      <c r="B2566" s="175" t="s">
        <v>5222</v>
      </c>
      <c r="C2566" s="230" t="s">
        <v>5226</v>
      </c>
      <c r="D2566" s="230" t="s">
        <v>5229</v>
      </c>
      <c r="E2566" s="231">
        <v>30.0</v>
      </c>
      <c r="F2566" s="232">
        <v>0.03</v>
      </c>
      <c r="G2566" s="232">
        <v>1.03</v>
      </c>
    </row>
    <row r="2567" ht="15.75" customHeight="1">
      <c r="A2567" s="200" t="s">
        <v>315</v>
      </c>
      <c r="B2567" s="175" t="s">
        <v>2239</v>
      </c>
      <c r="C2567" s="230" t="s">
        <v>2240</v>
      </c>
      <c r="D2567" s="230" t="s">
        <v>2241</v>
      </c>
      <c r="E2567" s="231">
        <v>29.0</v>
      </c>
      <c r="F2567" s="232">
        <v>0.03</v>
      </c>
      <c r="G2567" s="232">
        <v>1.1</v>
      </c>
    </row>
    <row r="2568" ht="15.75" customHeight="1">
      <c r="A2568" s="200"/>
      <c r="B2568" s="186"/>
      <c r="C2568" s="210"/>
      <c r="D2568" s="210"/>
      <c r="E2568" s="204"/>
      <c r="F2568" s="205"/>
      <c r="G2568" s="205"/>
    </row>
    <row r="2569" ht="15.75" customHeight="1">
      <c r="A2569" s="200"/>
      <c r="B2569" s="186"/>
      <c r="C2569" s="210"/>
      <c r="D2569" s="210"/>
      <c r="E2569" s="204"/>
      <c r="F2569" s="205"/>
      <c r="G2569" s="205"/>
    </row>
    <row r="2570" ht="15.75" customHeight="1">
      <c r="A2570" s="200"/>
      <c r="B2570" s="226" t="s">
        <v>5254</v>
      </c>
      <c r="C2570" s="226" t="s">
        <v>298</v>
      </c>
      <c r="D2570" s="226" t="s">
        <v>293</v>
      </c>
      <c r="E2570" s="227" t="s">
        <v>294</v>
      </c>
      <c r="F2570" s="229" t="s">
        <v>295</v>
      </c>
      <c r="G2570" s="229" t="s">
        <v>296</v>
      </c>
    </row>
    <row r="2571" ht="15.75" customHeight="1">
      <c r="A2571" s="200" t="s">
        <v>321</v>
      </c>
      <c r="B2571" s="186" t="s">
        <v>8754</v>
      </c>
      <c r="C2571" s="210" t="s">
        <v>8755</v>
      </c>
      <c r="D2571" s="210" t="s">
        <v>8756</v>
      </c>
      <c r="E2571" s="204">
        <v>111.0</v>
      </c>
      <c r="F2571" s="205">
        <v>0.12</v>
      </c>
      <c r="G2571" s="205">
        <v>0.92</v>
      </c>
    </row>
    <row r="2572" ht="15.75" customHeight="1">
      <c r="A2572" s="200" t="s">
        <v>321</v>
      </c>
      <c r="B2572" s="186" t="s">
        <v>8757</v>
      </c>
      <c r="C2572" s="210" t="s">
        <v>8758</v>
      </c>
      <c r="D2572" s="210" t="s">
        <v>8759</v>
      </c>
      <c r="E2572" s="204">
        <v>97.0</v>
      </c>
      <c r="F2572" s="205">
        <v>0.1</v>
      </c>
      <c r="G2572" s="205">
        <v>2.69</v>
      </c>
    </row>
    <row r="2573" ht="15.75" customHeight="1">
      <c r="A2573" s="200" t="s">
        <v>321</v>
      </c>
      <c r="B2573" s="186" t="s">
        <v>8760</v>
      </c>
      <c r="C2573" s="210" t="s">
        <v>8761</v>
      </c>
      <c r="D2573" s="210" t="s">
        <v>8762</v>
      </c>
      <c r="E2573" s="204">
        <v>95.0</v>
      </c>
      <c r="F2573" s="205">
        <v>0.1</v>
      </c>
      <c r="G2573" s="205">
        <v>1.22</v>
      </c>
    </row>
    <row r="2574" ht="15.75" customHeight="1">
      <c r="A2574" s="200" t="s">
        <v>321</v>
      </c>
      <c r="B2574" s="186" t="s">
        <v>8763</v>
      </c>
      <c r="C2574" s="210" t="s">
        <v>8764</v>
      </c>
      <c r="D2574" s="210" t="s">
        <v>8765</v>
      </c>
      <c r="E2574" s="204">
        <v>92.0</v>
      </c>
      <c r="F2574" s="205">
        <v>0.1</v>
      </c>
      <c r="G2574" s="205">
        <v>0.55</v>
      </c>
    </row>
    <row r="2575" ht="15.75" customHeight="1">
      <c r="A2575" s="200" t="s">
        <v>321</v>
      </c>
      <c r="B2575" s="186" t="s">
        <v>8766</v>
      </c>
      <c r="C2575" s="210" t="s">
        <v>8767</v>
      </c>
      <c r="D2575" s="210" t="s">
        <v>8768</v>
      </c>
      <c r="E2575" s="204">
        <v>87.0</v>
      </c>
      <c r="F2575" s="205">
        <v>0.09</v>
      </c>
      <c r="G2575" s="205">
        <v>1.1</v>
      </c>
    </row>
    <row r="2576" ht="15.75" customHeight="1">
      <c r="A2576" s="200" t="s">
        <v>321</v>
      </c>
      <c r="B2576" s="186" t="s">
        <v>8769</v>
      </c>
      <c r="C2576" s="210" t="s">
        <v>8770</v>
      </c>
      <c r="D2576" s="210" t="s">
        <v>8771</v>
      </c>
      <c r="E2576" s="204">
        <v>81.0</v>
      </c>
      <c r="F2576" s="205">
        <v>0.08</v>
      </c>
      <c r="G2576" s="205">
        <v>1.41</v>
      </c>
    </row>
    <row r="2577" ht="15.75" customHeight="1">
      <c r="A2577" s="200" t="s">
        <v>321</v>
      </c>
      <c r="B2577" s="186" t="s">
        <v>8772</v>
      </c>
      <c r="C2577" s="210" t="s">
        <v>8773</v>
      </c>
      <c r="D2577" s="210" t="s">
        <v>8774</v>
      </c>
      <c r="E2577" s="204">
        <v>75.0</v>
      </c>
      <c r="F2577" s="205">
        <v>0.08</v>
      </c>
      <c r="G2577" s="205">
        <v>0.96</v>
      </c>
    </row>
    <row r="2578" ht="15.75" customHeight="1">
      <c r="A2578" s="200" t="s">
        <v>321</v>
      </c>
      <c r="B2578" s="186" t="s">
        <v>8775</v>
      </c>
      <c r="C2578" s="210" t="s">
        <v>8776</v>
      </c>
      <c r="D2578" s="210" t="s">
        <v>8777</v>
      </c>
      <c r="E2578" s="204">
        <v>66.0</v>
      </c>
      <c r="F2578" s="205">
        <v>0.07</v>
      </c>
      <c r="G2578" s="205">
        <v>0.68</v>
      </c>
    </row>
    <row r="2579" ht="15.75" customHeight="1">
      <c r="A2579" s="200" t="s">
        <v>321</v>
      </c>
      <c r="B2579" s="186" t="s">
        <v>8778</v>
      </c>
      <c r="C2579" s="210" t="s">
        <v>8779</v>
      </c>
      <c r="D2579" s="210" t="s">
        <v>8780</v>
      </c>
      <c r="E2579" s="204">
        <v>62.0</v>
      </c>
      <c r="F2579" s="205">
        <v>0.06</v>
      </c>
      <c r="G2579" s="205">
        <v>1.1</v>
      </c>
    </row>
    <row r="2580" ht="15.75" customHeight="1">
      <c r="A2580" s="200" t="s">
        <v>321</v>
      </c>
      <c r="B2580" s="186" t="s">
        <v>8781</v>
      </c>
      <c r="C2580" s="210" t="s">
        <v>8782</v>
      </c>
      <c r="D2580" s="210" t="s">
        <v>8783</v>
      </c>
      <c r="E2580" s="204">
        <v>62.0</v>
      </c>
      <c r="F2580" s="205">
        <v>0.06</v>
      </c>
      <c r="G2580" s="205">
        <v>1.35</v>
      </c>
    </row>
    <row r="2581" ht="15.75" customHeight="1">
      <c r="A2581" s="200" t="s">
        <v>321</v>
      </c>
      <c r="B2581" s="186" t="s">
        <v>8784</v>
      </c>
      <c r="C2581" s="210" t="s">
        <v>8785</v>
      </c>
      <c r="D2581" s="210" t="s">
        <v>8786</v>
      </c>
      <c r="E2581" s="204">
        <v>61.0</v>
      </c>
      <c r="F2581" s="205">
        <v>0.06</v>
      </c>
      <c r="G2581" s="205">
        <v>1.93</v>
      </c>
    </row>
    <row r="2582" ht="15.75" customHeight="1">
      <c r="A2582" s="200" t="s">
        <v>321</v>
      </c>
      <c r="B2582" s="186" t="s">
        <v>2524</v>
      </c>
      <c r="C2582" s="210" t="s">
        <v>2525</v>
      </c>
      <c r="D2582" s="210" t="s">
        <v>2526</v>
      </c>
      <c r="E2582" s="204">
        <v>53.0</v>
      </c>
      <c r="F2582" s="205">
        <v>0.06</v>
      </c>
      <c r="G2582" s="205">
        <v>3.11</v>
      </c>
    </row>
    <row r="2583" ht="15.75" customHeight="1">
      <c r="A2583" s="200" t="s">
        <v>321</v>
      </c>
      <c r="B2583" s="186" t="s">
        <v>2527</v>
      </c>
      <c r="C2583" s="210" t="s">
        <v>2528</v>
      </c>
      <c r="D2583" s="210" t="s">
        <v>2529</v>
      </c>
      <c r="E2583" s="204">
        <v>51.0</v>
      </c>
      <c r="F2583" s="205">
        <v>0.05</v>
      </c>
      <c r="G2583" s="205">
        <v>0.96</v>
      </c>
    </row>
    <row r="2584" ht="15.75" customHeight="1">
      <c r="A2584" s="200" t="s">
        <v>321</v>
      </c>
      <c r="B2584" s="186" t="s">
        <v>8787</v>
      </c>
      <c r="C2584" s="210" t="s">
        <v>8788</v>
      </c>
      <c r="D2584" s="210" t="s">
        <v>1101</v>
      </c>
      <c r="E2584" s="204">
        <v>50.0</v>
      </c>
      <c r="F2584" s="205">
        <v>0.05</v>
      </c>
      <c r="G2584" s="205">
        <v>0.62</v>
      </c>
    </row>
    <row r="2585" ht="15.75" customHeight="1">
      <c r="A2585" s="200" t="s">
        <v>321</v>
      </c>
      <c r="B2585" s="186" t="s">
        <v>8789</v>
      </c>
      <c r="C2585" s="210" t="s">
        <v>8790</v>
      </c>
      <c r="D2585" s="210" t="s">
        <v>8791</v>
      </c>
      <c r="E2585" s="204">
        <v>48.0</v>
      </c>
      <c r="F2585" s="205">
        <v>0.05</v>
      </c>
      <c r="G2585" s="205">
        <v>0.98</v>
      </c>
    </row>
    <row r="2586" ht="15.75" customHeight="1">
      <c r="A2586" s="200" t="s">
        <v>321</v>
      </c>
      <c r="B2586" s="186" t="s">
        <v>8792</v>
      </c>
      <c r="C2586" s="210" t="s">
        <v>8793</v>
      </c>
      <c r="D2586" s="210" t="s">
        <v>8794</v>
      </c>
      <c r="E2586" s="204">
        <v>47.0</v>
      </c>
      <c r="F2586" s="205">
        <v>0.05</v>
      </c>
      <c r="G2586" s="205">
        <v>1.49</v>
      </c>
    </row>
    <row r="2587" ht="15.75" customHeight="1">
      <c r="A2587" s="200" t="s">
        <v>321</v>
      </c>
      <c r="B2587" s="186" t="s">
        <v>8795</v>
      </c>
      <c r="C2587" s="210" t="s">
        <v>8796</v>
      </c>
      <c r="D2587" s="210" t="s">
        <v>8797</v>
      </c>
      <c r="E2587" s="204">
        <v>45.0</v>
      </c>
      <c r="F2587" s="205">
        <v>0.05</v>
      </c>
      <c r="G2587" s="205">
        <v>1.0</v>
      </c>
    </row>
    <row r="2588" ht="15.75" customHeight="1">
      <c r="A2588" s="200" t="s">
        <v>321</v>
      </c>
      <c r="B2588" s="186" t="s">
        <v>8798</v>
      </c>
      <c r="C2588" s="210" t="s">
        <v>8799</v>
      </c>
      <c r="D2588" s="210" t="s">
        <v>8800</v>
      </c>
      <c r="E2588" s="204">
        <v>43.0</v>
      </c>
      <c r="F2588" s="205">
        <v>0.04</v>
      </c>
      <c r="G2588" s="205">
        <v>0.09</v>
      </c>
    </row>
    <row r="2589" ht="15.75" customHeight="1">
      <c r="A2589" s="200" t="s">
        <v>321</v>
      </c>
      <c r="B2589" s="186" t="s">
        <v>8801</v>
      </c>
      <c r="C2589" s="210" t="s">
        <v>8802</v>
      </c>
      <c r="D2589" s="210" t="s">
        <v>8803</v>
      </c>
      <c r="E2589" s="204">
        <v>39.0</v>
      </c>
      <c r="F2589" s="205">
        <v>0.04</v>
      </c>
      <c r="G2589" s="205">
        <v>1.33</v>
      </c>
    </row>
    <row r="2590" ht="15.75" customHeight="1">
      <c r="A2590" s="200" t="s">
        <v>321</v>
      </c>
      <c r="B2590" s="186" t="s">
        <v>8804</v>
      </c>
      <c r="C2590" s="210" t="s">
        <v>8805</v>
      </c>
      <c r="D2590" s="210" t="s">
        <v>8806</v>
      </c>
      <c r="E2590" s="204">
        <v>37.0</v>
      </c>
      <c r="F2590" s="205">
        <v>0.04</v>
      </c>
      <c r="G2590" s="205">
        <v>1.73</v>
      </c>
    </row>
    <row r="2591" ht="15.75" customHeight="1">
      <c r="A2591" s="200" t="s">
        <v>321</v>
      </c>
      <c r="B2591" s="186" t="s">
        <v>8807</v>
      </c>
      <c r="C2591" s="210" t="s">
        <v>8808</v>
      </c>
      <c r="D2591" s="210" t="s">
        <v>8809</v>
      </c>
      <c r="E2591" s="204">
        <v>37.0</v>
      </c>
      <c r="F2591" s="205">
        <v>0.04</v>
      </c>
      <c r="G2591" s="205">
        <v>0.57</v>
      </c>
    </row>
    <row r="2592" ht="15.75" customHeight="1">
      <c r="A2592" s="200" t="s">
        <v>321</v>
      </c>
      <c r="B2592" s="186" t="s">
        <v>8810</v>
      </c>
      <c r="C2592" s="210" t="s">
        <v>8811</v>
      </c>
      <c r="D2592" s="210" t="s">
        <v>8812</v>
      </c>
      <c r="E2592" s="204">
        <v>36.0</v>
      </c>
      <c r="F2592" s="205">
        <v>0.04</v>
      </c>
      <c r="G2592" s="205">
        <v>1.14</v>
      </c>
    </row>
    <row r="2593" ht="15.75" customHeight="1">
      <c r="A2593" s="200" t="s">
        <v>321</v>
      </c>
      <c r="B2593" s="186" t="s">
        <v>8813</v>
      </c>
      <c r="C2593" s="210" t="s">
        <v>8814</v>
      </c>
      <c r="D2593" s="210" t="s">
        <v>8815</v>
      </c>
      <c r="E2593" s="204">
        <v>35.0</v>
      </c>
      <c r="F2593" s="205">
        <v>0.04</v>
      </c>
      <c r="G2593" s="205">
        <v>1.06</v>
      </c>
    </row>
    <row r="2594" ht="15.75" customHeight="1">
      <c r="A2594" s="200" t="s">
        <v>321</v>
      </c>
      <c r="B2594" s="186" t="s">
        <v>8816</v>
      </c>
      <c r="C2594" s="210" t="s">
        <v>8817</v>
      </c>
      <c r="D2594" s="210" t="s">
        <v>8818</v>
      </c>
      <c r="E2594" s="204">
        <v>34.0</v>
      </c>
      <c r="F2594" s="205">
        <v>0.04</v>
      </c>
      <c r="G2594" s="205">
        <v>0.79</v>
      </c>
    </row>
    <row r="2595" ht="15.75" customHeight="1">
      <c r="A2595" s="200" t="s">
        <v>321</v>
      </c>
      <c r="B2595" s="186" t="s">
        <v>650</v>
      </c>
      <c r="C2595" s="210" t="s">
        <v>651</v>
      </c>
      <c r="D2595" s="210" t="s">
        <v>1570</v>
      </c>
      <c r="E2595" s="204">
        <v>34.0</v>
      </c>
      <c r="F2595" s="205">
        <v>0.04</v>
      </c>
      <c r="G2595" s="205">
        <v>1.62</v>
      </c>
    </row>
    <row r="2596" ht="15.75" customHeight="1">
      <c r="A2596" s="200" t="s">
        <v>321</v>
      </c>
      <c r="B2596" s="186" t="s">
        <v>8819</v>
      </c>
      <c r="C2596" s="210" t="s">
        <v>8820</v>
      </c>
      <c r="D2596" s="210" t="s">
        <v>8821</v>
      </c>
      <c r="E2596" s="204">
        <v>34.0</v>
      </c>
      <c r="F2596" s="205">
        <v>0.04</v>
      </c>
      <c r="G2596" s="205">
        <v>2.85</v>
      </c>
    </row>
    <row r="2597" ht="15.75" customHeight="1">
      <c r="A2597" s="200" t="s">
        <v>321</v>
      </c>
      <c r="B2597" s="186" t="s">
        <v>7958</v>
      </c>
      <c r="C2597" s="210" t="s">
        <v>7960</v>
      </c>
      <c r="D2597" s="210" t="s">
        <v>7962</v>
      </c>
      <c r="E2597" s="204">
        <v>34.0</v>
      </c>
      <c r="F2597" s="205">
        <v>0.04</v>
      </c>
      <c r="G2597" s="205">
        <v>1.97</v>
      </c>
    </row>
    <row r="2598" ht="15.75" customHeight="1">
      <c r="A2598" s="200" t="s">
        <v>321</v>
      </c>
      <c r="B2598" s="186" t="s">
        <v>8822</v>
      </c>
      <c r="C2598" s="210" t="s">
        <v>8823</v>
      </c>
      <c r="D2598" s="210" t="s">
        <v>8824</v>
      </c>
      <c r="E2598" s="204">
        <v>34.0</v>
      </c>
      <c r="F2598" s="205">
        <v>0.04</v>
      </c>
      <c r="G2598" s="205">
        <v>1.09</v>
      </c>
    </row>
    <row r="2599" ht="15.75" customHeight="1">
      <c r="A2599" s="200" t="s">
        <v>321</v>
      </c>
      <c r="B2599" s="186" t="s">
        <v>8825</v>
      </c>
      <c r="C2599" s="210" t="s">
        <v>8826</v>
      </c>
      <c r="D2599" s="210" t="s">
        <v>8827</v>
      </c>
      <c r="E2599" s="204">
        <v>34.0</v>
      </c>
      <c r="F2599" s="205">
        <v>0.04</v>
      </c>
      <c r="G2599" s="205">
        <v>2.32</v>
      </c>
    </row>
    <row r="2600" ht="15.75" customHeight="1">
      <c r="A2600" s="200" t="s">
        <v>321</v>
      </c>
      <c r="B2600" s="186" t="s">
        <v>2534</v>
      </c>
      <c r="C2600" s="210" t="s">
        <v>2535</v>
      </c>
      <c r="D2600" s="210" t="s">
        <v>2539</v>
      </c>
      <c r="E2600" s="204">
        <v>34.0</v>
      </c>
      <c r="F2600" s="205">
        <v>0.04</v>
      </c>
      <c r="G2600" s="205">
        <v>1.32</v>
      </c>
    </row>
    <row r="2601" ht="15.75" customHeight="1">
      <c r="A2601" s="200" t="s">
        <v>321</v>
      </c>
      <c r="B2601" s="186" t="s">
        <v>8828</v>
      </c>
      <c r="C2601" s="210" t="s">
        <v>8829</v>
      </c>
      <c r="D2601" s="210" t="s">
        <v>8830</v>
      </c>
      <c r="E2601" s="204">
        <v>33.0</v>
      </c>
      <c r="F2601" s="205">
        <v>0.03</v>
      </c>
      <c r="G2601" s="205">
        <v>0.36</v>
      </c>
    </row>
    <row r="2602" ht="15.75" customHeight="1">
      <c r="A2602" s="200" t="s">
        <v>321</v>
      </c>
      <c r="B2602" s="186" t="s">
        <v>2540</v>
      </c>
      <c r="C2602" s="210" t="s">
        <v>2541</v>
      </c>
      <c r="D2602" s="210" t="s">
        <v>2542</v>
      </c>
      <c r="E2602" s="204">
        <v>33.0</v>
      </c>
      <c r="F2602" s="205">
        <v>0.03</v>
      </c>
      <c r="G2602" s="205">
        <v>1.79</v>
      </c>
    </row>
    <row r="2603" ht="15.75" customHeight="1">
      <c r="A2603" s="200" t="s">
        <v>321</v>
      </c>
      <c r="B2603" s="186" t="s">
        <v>8831</v>
      </c>
      <c r="C2603" s="210" t="s">
        <v>8832</v>
      </c>
      <c r="D2603" s="210" t="s">
        <v>8833</v>
      </c>
      <c r="E2603" s="204">
        <v>32.0</v>
      </c>
      <c r="F2603" s="205">
        <v>0.03</v>
      </c>
      <c r="G2603" s="205">
        <v>0.56</v>
      </c>
    </row>
    <row r="2604" ht="15.75" customHeight="1">
      <c r="A2604" s="200" t="s">
        <v>321</v>
      </c>
      <c r="B2604" s="186" t="s">
        <v>8834</v>
      </c>
      <c r="C2604" s="210" t="s">
        <v>8835</v>
      </c>
      <c r="D2604" s="210"/>
      <c r="E2604" s="204">
        <v>32.0</v>
      </c>
      <c r="F2604" s="205">
        <v>0.03</v>
      </c>
      <c r="G2604" s="205">
        <v>0.84</v>
      </c>
    </row>
    <row r="2605" ht="15.75" customHeight="1">
      <c r="A2605" s="200" t="s">
        <v>321</v>
      </c>
      <c r="B2605" s="186" t="s">
        <v>8836</v>
      </c>
      <c r="C2605" s="210" t="s">
        <v>8837</v>
      </c>
      <c r="D2605" s="210"/>
      <c r="E2605" s="204">
        <v>31.0</v>
      </c>
      <c r="F2605" s="205">
        <v>0.03</v>
      </c>
      <c r="G2605" s="205">
        <v>0.19</v>
      </c>
    </row>
    <row r="2606" ht="15.75" customHeight="1">
      <c r="A2606" s="200" t="s">
        <v>321</v>
      </c>
      <c r="B2606" s="186" t="s">
        <v>2544</v>
      </c>
      <c r="C2606" s="210" t="s">
        <v>2545</v>
      </c>
      <c r="D2606" s="210" t="s">
        <v>2547</v>
      </c>
      <c r="E2606" s="204">
        <v>30.0</v>
      </c>
      <c r="F2606" s="205">
        <v>0.03</v>
      </c>
      <c r="G2606" s="205">
        <v>1.17</v>
      </c>
    </row>
    <row r="2607" ht="15.75" customHeight="1">
      <c r="A2607" s="200" t="s">
        <v>321</v>
      </c>
      <c r="B2607" s="186" t="s">
        <v>8838</v>
      </c>
      <c r="C2607" s="210" t="s">
        <v>8839</v>
      </c>
      <c r="D2607" s="210" t="s">
        <v>8840</v>
      </c>
      <c r="E2607" s="204">
        <v>30.0</v>
      </c>
      <c r="F2607" s="205">
        <v>0.03</v>
      </c>
      <c r="G2607" s="205">
        <v>1.03</v>
      </c>
    </row>
    <row r="2608" ht="15.75" customHeight="1">
      <c r="A2608" s="200" t="s">
        <v>321</v>
      </c>
      <c r="B2608" s="186" t="s">
        <v>8841</v>
      </c>
      <c r="C2608" s="210" t="s">
        <v>8842</v>
      </c>
      <c r="D2608" s="210" t="s">
        <v>8843</v>
      </c>
      <c r="E2608" s="204">
        <v>29.0</v>
      </c>
      <c r="F2608" s="205">
        <v>0.03</v>
      </c>
      <c r="G2608" s="205">
        <v>1.07</v>
      </c>
    </row>
    <row r="2609" ht="15.75" customHeight="1">
      <c r="A2609" s="200" t="s">
        <v>321</v>
      </c>
      <c r="B2609" s="186" t="s">
        <v>8844</v>
      </c>
      <c r="C2609" s="210" t="s">
        <v>8845</v>
      </c>
      <c r="D2609" s="210" t="s">
        <v>8846</v>
      </c>
      <c r="E2609" s="204">
        <v>28.0</v>
      </c>
      <c r="F2609" s="205">
        <v>0.03</v>
      </c>
      <c r="G2609" s="205">
        <v>0.57</v>
      </c>
    </row>
    <row r="2610" ht="15.75" customHeight="1">
      <c r="A2610" s="200" t="s">
        <v>321</v>
      </c>
      <c r="B2610" s="186" t="s">
        <v>8847</v>
      </c>
      <c r="C2610" s="210" t="s">
        <v>8848</v>
      </c>
      <c r="D2610" s="210" t="s">
        <v>4336</v>
      </c>
      <c r="E2610" s="204">
        <v>28.0</v>
      </c>
      <c r="F2610" s="205">
        <v>0.03</v>
      </c>
      <c r="G2610" s="205">
        <v>0.89</v>
      </c>
    </row>
    <row r="2611" ht="15.75" customHeight="1">
      <c r="A2611" s="200" t="s">
        <v>321</v>
      </c>
      <c r="B2611" s="186" t="s">
        <v>8849</v>
      </c>
      <c r="C2611" s="210" t="s">
        <v>8850</v>
      </c>
      <c r="D2611" s="210" t="s">
        <v>8851</v>
      </c>
      <c r="E2611" s="204">
        <v>27.0</v>
      </c>
      <c r="F2611" s="205">
        <v>0.03</v>
      </c>
      <c r="G2611" s="205">
        <v>0.67</v>
      </c>
    </row>
    <row r="2612" ht="15.75" customHeight="1">
      <c r="A2612" s="200" t="s">
        <v>321</v>
      </c>
      <c r="B2612" s="186" t="s">
        <v>8852</v>
      </c>
      <c r="C2612" s="210" t="s">
        <v>8853</v>
      </c>
      <c r="D2612" s="210" t="s">
        <v>8854</v>
      </c>
      <c r="E2612" s="204">
        <v>27.0</v>
      </c>
      <c r="F2612" s="205">
        <v>0.03</v>
      </c>
      <c r="G2612" s="205">
        <v>1.15</v>
      </c>
    </row>
    <row r="2613" ht="15.75" customHeight="1">
      <c r="A2613" s="200" t="s">
        <v>321</v>
      </c>
      <c r="B2613" s="186" t="s">
        <v>2329</v>
      </c>
      <c r="C2613" s="210" t="s">
        <v>2330</v>
      </c>
      <c r="D2613" s="210" t="s">
        <v>8855</v>
      </c>
      <c r="E2613" s="204">
        <v>26.0</v>
      </c>
      <c r="F2613" s="205">
        <v>0.03</v>
      </c>
      <c r="G2613" s="205">
        <v>0.54</v>
      </c>
    </row>
    <row r="2614" ht="15.75" customHeight="1">
      <c r="A2614" s="200" t="s">
        <v>321</v>
      </c>
      <c r="B2614" s="186" t="s">
        <v>8856</v>
      </c>
      <c r="C2614" s="210" t="s">
        <v>8857</v>
      </c>
      <c r="D2614" s="210" t="s">
        <v>8858</v>
      </c>
      <c r="E2614" s="204">
        <v>26.0</v>
      </c>
      <c r="F2614" s="205">
        <v>0.03</v>
      </c>
      <c r="G2614" s="205">
        <v>2.23</v>
      </c>
    </row>
    <row r="2615" ht="15.75" customHeight="1">
      <c r="A2615" s="200" t="s">
        <v>321</v>
      </c>
      <c r="B2615" s="186" t="s">
        <v>8859</v>
      </c>
      <c r="C2615" s="210" t="s">
        <v>8860</v>
      </c>
      <c r="D2615" s="210" t="s">
        <v>8861</v>
      </c>
      <c r="E2615" s="204">
        <v>26.0</v>
      </c>
      <c r="F2615" s="205">
        <v>0.03</v>
      </c>
      <c r="G2615" s="205">
        <v>0.58</v>
      </c>
    </row>
    <row r="2616" ht="15.75" customHeight="1">
      <c r="A2616" s="200" t="s">
        <v>321</v>
      </c>
      <c r="B2616" s="186" t="s">
        <v>8862</v>
      </c>
      <c r="C2616" s="210" t="s">
        <v>8863</v>
      </c>
      <c r="D2616" s="210" t="s">
        <v>8864</v>
      </c>
      <c r="E2616" s="204">
        <v>26.0</v>
      </c>
      <c r="F2616" s="205">
        <v>0.03</v>
      </c>
      <c r="G2616" s="205">
        <v>0.15</v>
      </c>
    </row>
    <row r="2617" ht="15.75" customHeight="1">
      <c r="A2617" s="200" t="s">
        <v>321</v>
      </c>
      <c r="B2617" s="186" t="s">
        <v>8865</v>
      </c>
      <c r="C2617" s="210" t="s">
        <v>8866</v>
      </c>
      <c r="D2617" s="210" t="s">
        <v>8867</v>
      </c>
      <c r="E2617" s="204">
        <v>24.0</v>
      </c>
      <c r="F2617" s="205">
        <v>0.02</v>
      </c>
      <c r="G2617" s="205">
        <v>0.33</v>
      </c>
    </row>
    <row r="2618" ht="15.75" customHeight="1">
      <c r="A2618" s="200" t="s">
        <v>321</v>
      </c>
      <c r="B2618" s="186" t="s">
        <v>8868</v>
      </c>
      <c r="C2618" s="210" t="s">
        <v>8869</v>
      </c>
      <c r="D2618" s="210" t="s">
        <v>8870</v>
      </c>
      <c r="E2618" s="204">
        <v>24.0</v>
      </c>
      <c r="F2618" s="205">
        <v>0.02</v>
      </c>
      <c r="G2618" s="205">
        <v>0.54</v>
      </c>
    </row>
    <row r="2619" ht="15.75" customHeight="1">
      <c r="A2619" s="200" t="s">
        <v>321</v>
      </c>
      <c r="B2619" s="186" t="s">
        <v>2550</v>
      </c>
      <c r="C2619" s="210" t="s">
        <v>2551</v>
      </c>
      <c r="D2619" s="210" t="s">
        <v>2547</v>
      </c>
      <c r="E2619" s="204">
        <v>24.0</v>
      </c>
      <c r="F2619" s="205">
        <v>0.02</v>
      </c>
      <c r="G2619" s="205">
        <v>1.08</v>
      </c>
    </row>
    <row r="2620" ht="15.75" customHeight="1">
      <c r="A2620" s="200" t="s">
        <v>321</v>
      </c>
      <c r="B2620" s="186" t="s">
        <v>8871</v>
      </c>
      <c r="C2620" s="210" t="s">
        <v>8872</v>
      </c>
      <c r="D2620" s="210" t="s">
        <v>8873</v>
      </c>
      <c r="E2620" s="204">
        <v>24.0</v>
      </c>
      <c r="F2620" s="205">
        <v>0.02</v>
      </c>
      <c r="G2620" s="205">
        <v>0.29</v>
      </c>
    </row>
    <row r="2621" ht="15.75" customHeight="1">
      <c r="A2621" s="200" t="s">
        <v>321</v>
      </c>
      <c r="B2621" s="186" t="s">
        <v>2554</v>
      </c>
      <c r="C2621" s="210" t="s">
        <v>2555</v>
      </c>
      <c r="D2621" s="210" t="s">
        <v>2539</v>
      </c>
      <c r="E2621" s="204">
        <v>24.0</v>
      </c>
      <c r="F2621" s="205">
        <v>0.02</v>
      </c>
      <c r="G2621" s="205">
        <v>0.83</v>
      </c>
    </row>
    <row r="2622" ht="15.75" customHeight="1">
      <c r="A2622" s="200" t="s">
        <v>321</v>
      </c>
      <c r="B2622" s="186" t="s">
        <v>8874</v>
      </c>
      <c r="C2622" s="210" t="s">
        <v>8875</v>
      </c>
      <c r="D2622" s="210" t="s">
        <v>8876</v>
      </c>
      <c r="E2622" s="204">
        <v>24.0</v>
      </c>
      <c r="F2622" s="205">
        <v>0.02</v>
      </c>
      <c r="G2622" s="205">
        <v>1.17</v>
      </c>
    </row>
    <row r="2623" ht="15.75" customHeight="1">
      <c r="A2623" s="200" t="s">
        <v>321</v>
      </c>
      <c r="B2623" s="186" t="s">
        <v>2556</v>
      </c>
      <c r="C2623" s="210" t="s">
        <v>2557</v>
      </c>
      <c r="D2623" s="210" t="s">
        <v>2338</v>
      </c>
      <c r="E2623" s="204">
        <v>23.0</v>
      </c>
      <c r="F2623" s="205">
        <v>0.02</v>
      </c>
      <c r="G2623" s="205">
        <v>0.22</v>
      </c>
    </row>
    <row r="2624" ht="15.75" customHeight="1">
      <c r="A2624" s="200" t="s">
        <v>321</v>
      </c>
      <c r="B2624" s="186" t="s">
        <v>8877</v>
      </c>
      <c r="C2624" s="210" t="s">
        <v>8878</v>
      </c>
      <c r="D2624" s="210" t="s">
        <v>8879</v>
      </c>
      <c r="E2624" s="204">
        <v>23.0</v>
      </c>
      <c r="F2624" s="205">
        <v>0.02</v>
      </c>
      <c r="G2624" s="205">
        <v>0.48</v>
      </c>
    </row>
    <row r="2625" ht="15.75" customHeight="1">
      <c r="A2625" s="200" t="s">
        <v>321</v>
      </c>
      <c r="B2625" s="186" t="s">
        <v>8880</v>
      </c>
      <c r="C2625" s="210" t="s">
        <v>8881</v>
      </c>
      <c r="D2625" s="210" t="s">
        <v>8882</v>
      </c>
      <c r="E2625" s="204">
        <v>22.0</v>
      </c>
      <c r="F2625" s="205">
        <v>0.02</v>
      </c>
      <c r="G2625" s="205">
        <v>0.41</v>
      </c>
    </row>
    <row r="2626" ht="15.75" customHeight="1">
      <c r="A2626" s="200" t="s">
        <v>321</v>
      </c>
      <c r="B2626" s="186" t="s">
        <v>710</v>
      </c>
      <c r="C2626" s="210" t="s">
        <v>711</v>
      </c>
      <c r="D2626" s="210" t="s">
        <v>712</v>
      </c>
      <c r="E2626" s="204">
        <v>22.0</v>
      </c>
      <c r="F2626" s="205">
        <v>0.02</v>
      </c>
      <c r="G2626" s="205">
        <v>0.5</v>
      </c>
    </row>
    <row r="2627" ht="15.75" customHeight="1">
      <c r="A2627" s="200" t="s">
        <v>321</v>
      </c>
      <c r="B2627" s="186" t="s">
        <v>2558</v>
      </c>
      <c r="C2627" s="210" t="s">
        <v>2559</v>
      </c>
      <c r="D2627" s="210" t="s">
        <v>2547</v>
      </c>
      <c r="E2627" s="204">
        <v>22.0</v>
      </c>
      <c r="F2627" s="205">
        <v>0.02</v>
      </c>
      <c r="G2627" s="205">
        <v>0.68</v>
      </c>
    </row>
    <row r="2628" ht="15.75" customHeight="1">
      <c r="A2628" s="200" t="s">
        <v>321</v>
      </c>
      <c r="B2628" s="186" t="s">
        <v>8883</v>
      </c>
      <c r="C2628" s="210" t="s">
        <v>8884</v>
      </c>
      <c r="D2628" s="210" t="s">
        <v>8885</v>
      </c>
      <c r="E2628" s="204">
        <v>22.0</v>
      </c>
      <c r="F2628" s="205">
        <v>0.02</v>
      </c>
      <c r="G2628" s="205">
        <v>1.77</v>
      </c>
    </row>
    <row r="2629" ht="15.75" customHeight="1">
      <c r="A2629" s="200" t="s">
        <v>321</v>
      </c>
      <c r="B2629" s="186" t="s">
        <v>8886</v>
      </c>
      <c r="C2629" s="210" t="s">
        <v>8887</v>
      </c>
      <c r="D2629" s="210" t="s">
        <v>8888</v>
      </c>
      <c r="E2629" s="204">
        <v>22.0</v>
      </c>
      <c r="F2629" s="205">
        <v>0.02</v>
      </c>
      <c r="G2629" s="205">
        <v>0.73</v>
      </c>
    </row>
    <row r="2630" ht="15.75" customHeight="1">
      <c r="A2630" s="200" t="s">
        <v>321</v>
      </c>
      <c r="B2630" s="186" t="s">
        <v>8889</v>
      </c>
      <c r="C2630" s="210" t="s">
        <v>8890</v>
      </c>
      <c r="D2630" s="210" t="s">
        <v>8891</v>
      </c>
      <c r="E2630" s="204">
        <v>21.0</v>
      </c>
      <c r="F2630" s="205">
        <v>0.02</v>
      </c>
      <c r="G2630" s="205">
        <v>0.76</v>
      </c>
    </row>
    <row r="2631" ht="15.75" customHeight="1">
      <c r="A2631" s="200" t="s">
        <v>321</v>
      </c>
      <c r="B2631" s="186" t="s">
        <v>8892</v>
      </c>
      <c r="C2631" s="210" t="s">
        <v>8893</v>
      </c>
      <c r="D2631" s="210" t="s">
        <v>8894</v>
      </c>
      <c r="E2631" s="204">
        <v>21.0</v>
      </c>
      <c r="F2631" s="205">
        <v>0.02</v>
      </c>
      <c r="G2631" s="205">
        <v>0.38</v>
      </c>
    </row>
    <row r="2632" ht="15.75" customHeight="1">
      <c r="A2632" s="200" t="s">
        <v>321</v>
      </c>
      <c r="B2632" s="186" t="s">
        <v>8895</v>
      </c>
      <c r="C2632" s="210" t="s">
        <v>8896</v>
      </c>
      <c r="D2632" s="210"/>
      <c r="E2632" s="204">
        <v>21.0</v>
      </c>
      <c r="F2632" s="205">
        <v>0.02</v>
      </c>
      <c r="G2632" s="205">
        <v>0.9</v>
      </c>
    </row>
    <row r="2633" ht="15.75" customHeight="1">
      <c r="A2633" s="200" t="s">
        <v>321</v>
      </c>
      <c r="B2633" s="186" t="s">
        <v>8897</v>
      </c>
      <c r="C2633" s="210" t="s">
        <v>8898</v>
      </c>
      <c r="D2633" s="210" t="s">
        <v>8899</v>
      </c>
      <c r="E2633" s="204">
        <v>21.0</v>
      </c>
      <c r="F2633" s="205">
        <v>0.02</v>
      </c>
      <c r="G2633" s="205">
        <v>0.43</v>
      </c>
    </row>
    <row r="2634" ht="15.75" customHeight="1">
      <c r="A2634" s="200" t="s">
        <v>321</v>
      </c>
      <c r="B2634" s="186" t="s">
        <v>2560</v>
      </c>
      <c r="C2634" s="210" t="s">
        <v>2561</v>
      </c>
      <c r="D2634" s="210" t="s">
        <v>2563</v>
      </c>
      <c r="E2634" s="204">
        <v>21.0</v>
      </c>
      <c r="F2634" s="205">
        <v>0.02</v>
      </c>
      <c r="G2634" s="205">
        <v>1.52</v>
      </c>
    </row>
    <row r="2635" ht="15.75" customHeight="1">
      <c r="A2635" s="200" t="s">
        <v>321</v>
      </c>
      <c r="B2635" s="186" t="s">
        <v>8900</v>
      </c>
      <c r="C2635" s="210" t="s">
        <v>8901</v>
      </c>
      <c r="D2635" s="210" t="s">
        <v>8902</v>
      </c>
      <c r="E2635" s="204">
        <v>20.0</v>
      </c>
      <c r="F2635" s="205">
        <v>0.02</v>
      </c>
      <c r="G2635" s="205">
        <v>0.05</v>
      </c>
    </row>
    <row r="2636" ht="15.75" customHeight="1">
      <c r="A2636" s="200" t="s">
        <v>321</v>
      </c>
      <c r="B2636" s="186" t="s">
        <v>8903</v>
      </c>
      <c r="C2636" s="210" t="s">
        <v>8904</v>
      </c>
      <c r="D2636" s="210" t="s">
        <v>8905</v>
      </c>
      <c r="E2636" s="204">
        <v>20.0</v>
      </c>
      <c r="F2636" s="205">
        <v>0.02</v>
      </c>
      <c r="G2636" s="205">
        <v>1.35</v>
      </c>
    </row>
    <row r="2637" ht="15.75" customHeight="1">
      <c r="A2637" s="200" t="s">
        <v>321</v>
      </c>
      <c r="B2637" s="186" t="s">
        <v>8906</v>
      </c>
      <c r="C2637" s="210" t="s">
        <v>8907</v>
      </c>
      <c r="D2637" s="210" t="s">
        <v>8908</v>
      </c>
      <c r="E2637" s="204">
        <v>20.0</v>
      </c>
      <c r="F2637" s="205">
        <v>0.02</v>
      </c>
      <c r="G2637" s="205">
        <v>0.65</v>
      </c>
    </row>
    <row r="2638" ht="15.75" customHeight="1">
      <c r="A2638" s="200" t="s">
        <v>321</v>
      </c>
      <c r="B2638" s="186" t="s">
        <v>8909</v>
      </c>
      <c r="C2638" s="210" t="s">
        <v>8910</v>
      </c>
      <c r="D2638" s="210" t="s">
        <v>8911</v>
      </c>
      <c r="E2638" s="204">
        <v>20.0</v>
      </c>
      <c r="F2638" s="205">
        <v>0.02</v>
      </c>
      <c r="G2638" s="205">
        <v>1.0</v>
      </c>
    </row>
    <row r="2639" ht="15.75" customHeight="1">
      <c r="A2639" s="200" t="s">
        <v>321</v>
      </c>
      <c r="B2639" s="186" t="s">
        <v>8912</v>
      </c>
      <c r="C2639" s="210" t="s">
        <v>8913</v>
      </c>
      <c r="D2639" s="210" t="s">
        <v>8914</v>
      </c>
      <c r="E2639" s="204">
        <v>19.0</v>
      </c>
      <c r="F2639" s="205">
        <v>0.02</v>
      </c>
      <c r="G2639" s="205">
        <v>1.11</v>
      </c>
    </row>
    <row r="2640" ht="15.75" customHeight="1">
      <c r="A2640" s="200" t="s">
        <v>321</v>
      </c>
      <c r="B2640" s="186" t="s">
        <v>8915</v>
      </c>
      <c r="C2640" s="210" t="s">
        <v>8916</v>
      </c>
      <c r="D2640" s="210" t="s">
        <v>8917</v>
      </c>
      <c r="E2640" s="204">
        <v>19.0</v>
      </c>
      <c r="F2640" s="205">
        <v>0.02</v>
      </c>
      <c r="G2640" s="205">
        <v>0.32</v>
      </c>
    </row>
    <row r="2641" ht="15.75" customHeight="1">
      <c r="A2641" s="200" t="s">
        <v>321</v>
      </c>
      <c r="B2641" s="186" t="s">
        <v>328</v>
      </c>
      <c r="C2641" s="210" t="s">
        <v>329</v>
      </c>
      <c r="D2641" s="210" t="s">
        <v>365</v>
      </c>
      <c r="E2641" s="204">
        <v>19.0</v>
      </c>
      <c r="F2641" s="205">
        <v>0.02</v>
      </c>
      <c r="G2641" s="205">
        <v>1.05</v>
      </c>
    </row>
    <row r="2642" ht="15.75" customHeight="1">
      <c r="A2642" s="200" t="s">
        <v>321</v>
      </c>
      <c r="B2642" s="186" t="s">
        <v>8918</v>
      </c>
      <c r="C2642" s="210" t="s">
        <v>8919</v>
      </c>
      <c r="D2642" s="210" t="s">
        <v>1029</v>
      </c>
      <c r="E2642" s="204">
        <v>19.0</v>
      </c>
      <c r="F2642" s="205">
        <v>0.02</v>
      </c>
      <c r="G2642" s="205">
        <v>0.05</v>
      </c>
    </row>
    <row r="2643" ht="15.75" customHeight="1">
      <c r="A2643" s="200" t="s">
        <v>321</v>
      </c>
      <c r="B2643" s="186" t="s">
        <v>8920</v>
      </c>
      <c r="C2643" s="210" t="s">
        <v>8921</v>
      </c>
      <c r="D2643" s="210"/>
      <c r="E2643" s="204">
        <v>18.0</v>
      </c>
      <c r="F2643" s="205">
        <v>0.02</v>
      </c>
      <c r="G2643" s="205">
        <v>0.33</v>
      </c>
    </row>
    <row r="2644" ht="15.75" customHeight="1">
      <c r="A2644" s="200" t="s">
        <v>321</v>
      </c>
      <c r="B2644" s="186" t="s">
        <v>8922</v>
      </c>
      <c r="C2644" s="210" t="s">
        <v>8923</v>
      </c>
      <c r="D2644" s="210" t="s">
        <v>2259</v>
      </c>
      <c r="E2644" s="204">
        <v>18.0</v>
      </c>
      <c r="F2644" s="205">
        <v>0.02</v>
      </c>
      <c r="G2644" s="205">
        <v>0.22</v>
      </c>
    </row>
    <row r="2645" ht="15.75" customHeight="1">
      <c r="A2645" s="200" t="s">
        <v>321</v>
      </c>
      <c r="B2645" s="186" t="s">
        <v>8924</v>
      </c>
      <c r="C2645" s="210" t="s">
        <v>8925</v>
      </c>
      <c r="D2645" s="210" t="s">
        <v>8926</v>
      </c>
      <c r="E2645" s="204">
        <v>18.0</v>
      </c>
      <c r="F2645" s="205">
        <v>0.02</v>
      </c>
      <c r="G2645" s="205">
        <v>0.67</v>
      </c>
    </row>
    <row r="2646" ht="15.75" customHeight="1">
      <c r="A2646" s="200" t="s">
        <v>321</v>
      </c>
      <c r="B2646" s="186" t="s">
        <v>2564</v>
      </c>
      <c r="C2646" s="210" t="s">
        <v>2565</v>
      </c>
      <c r="D2646" s="210" t="s">
        <v>2569</v>
      </c>
      <c r="E2646" s="204">
        <v>18.0</v>
      </c>
      <c r="F2646" s="205">
        <v>0.02</v>
      </c>
      <c r="G2646" s="205">
        <v>0.78</v>
      </c>
    </row>
    <row r="2647" ht="15.75" customHeight="1">
      <c r="A2647" s="200" t="s">
        <v>321</v>
      </c>
      <c r="B2647" s="186" t="s">
        <v>2570</v>
      </c>
      <c r="C2647" s="210" t="s">
        <v>2571</v>
      </c>
      <c r="D2647" s="210" t="s">
        <v>2575</v>
      </c>
      <c r="E2647" s="204">
        <v>18.0</v>
      </c>
      <c r="F2647" s="205">
        <v>0.02</v>
      </c>
      <c r="G2647" s="205">
        <v>1.22</v>
      </c>
    </row>
    <row r="2648" ht="15.75" customHeight="1">
      <c r="A2648" s="200" t="s">
        <v>321</v>
      </c>
      <c r="B2648" s="186" t="s">
        <v>8927</v>
      </c>
      <c r="C2648" s="210" t="s">
        <v>8928</v>
      </c>
      <c r="D2648" s="210" t="s">
        <v>8929</v>
      </c>
      <c r="E2648" s="204">
        <v>18.0</v>
      </c>
      <c r="F2648" s="205">
        <v>0.02</v>
      </c>
      <c r="G2648" s="205">
        <v>0.06</v>
      </c>
    </row>
    <row r="2649" ht="15.75" customHeight="1">
      <c r="A2649" s="200" t="s">
        <v>321</v>
      </c>
      <c r="B2649" s="186" t="s">
        <v>8930</v>
      </c>
      <c r="C2649" s="210" t="s">
        <v>8931</v>
      </c>
      <c r="D2649" s="210" t="s">
        <v>8932</v>
      </c>
      <c r="E2649" s="204">
        <v>17.0</v>
      </c>
      <c r="F2649" s="205">
        <v>0.02</v>
      </c>
      <c r="G2649" s="205">
        <v>0.0</v>
      </c>
    </row>
    <row r="2650" ht="15.75" customHeight="1">
      <c r="A2650" s="200" t="s">
        <v>321</v>
      </c>
      <c r="B2650" s="186" t="s">
        <v>8933</v>
      </c>
      <c r="C2650" s="210" t="s">
        <v>8934</v>
      </c>
      <c r="D2650" s="210" t="s">
        <v>8929</v>
      </c>
      <c r="E2650" s="204">
        <v>17.0</v>
      </c>
      <c r="F2650" s="205">
        <v>0.02</v>
      </c>
      <c r="G2650" s="205">
        <v>0.06</v>
      </c>
    </row>
    <row r="2651" ht="15.75" customHeight="1">
      <c r="A2651" s="200" t="s">
        <v>321</v>
      </c>
      <c r="B2651" s="186" t="s">
        <v>8935</v>
      </c>
      <c r="C2651" s="210" t="s">
        <v>8936</v>
      </c>
      <c r="D2651" s="210" t="s">
        <v>8937</v>
      </c>
      <c r="E2651" s="204">
        <v>17.0</v>
      </c>
      <c r="F2651" s="205">
        <v>0.02</v>
      </c>
      <c r="G2651" s="205">
        <v>0.59</v>
      </c>
    </row>
    <row r="2652" ht="15.75" customHeight="1">
      <c r="A2652" s="200" t="s">
        <v>321</v>
      </c>
      <c r="B2652" s="186" t="s">
        <v>8938</v>
      </c>
      <c r="C2652" s="210" t="s">
        <v>8939</v>
      </c>
      <c r="D2652" s="210" t="s">
        <v>8940</v>
      </c>
      <c r="E2652" s="204">
        <v>17.0</v>
      </c>
      <c r="F2652" s="205">
        <v>0.02</v>
      </c>
      <c r="G2652" s="205">
        <v>1.71</v>
      </c>
    </row>
    <row r="2653" ht="15.75" customHeight="1">
      <c r="A2653" s="200" t="s">
        <v>321</v>
      </c>
      <c r="B2653" s="186" t="s">
        <v>8941</v>
      </c>
      <c r="C2653" s="210" t="s">
        <v>8942</v>
      </c>
      <c r="D2653" s="210" t="s">
        <v>8943</v>
      </c>
      <c r="E2653" s="204">
        <v>17.0</v>
      </c>
      <c r="F2653" s="205">
        <v>0.02</v>
      </c>
      <c r="G2653" s="205">
        <v>1.0</v>
      </c>
    </row>
    <row r="2654" ht="15.75" customHeight="1">
      <c r="A2654" s="200" t="s">
        <v>321</v>
      </c>
      <c r="B2654" s="186" t="s">
        <v>8944</v>
      </c>
      <c r="C2654" s="210" t="s">
        <v>8945</v>
      </c>
      <c r="D2654" s="210" t="s">
        <v>8946</v>
      </c>
      <c r="E2654" s="204">
        <v>17.0</v>
      </c>
      <c r="F2654" s="205">
        <v>0.02</v>
      </c>
      <c r="G2654" s="205">
        <v>0.24</v>
      </c>
    </row>
    <row r="2655" ht="15.75" customHeight="1">
      <c r="A2655" s="200" t="s">
        <v>321</v>
      </c>
      <c r="B2655" s="186" t="s">
        <v>8947</v>
      </c>
      <c r="C2655" s="210" t="s">
        <v>8948</v>
      </c>
      <c r="D2655" s="210" t="s">
        <v>8949</v>
      </c>
      <c r="E2655" s="204">
        <v>17.0</v>
      </c>
      <c r="F2655" s="205">
        <v>0.02</v>
      </c>
      <c r="G2655" s="205">
        <v>0.41</v>
      </c>
    </row>
    <row r="2656" ht="15.75" customHeight="1">
      <c r="A2656" s="200" t="s">
        <v>321</v>
      </c>
      <c r="B2656" s="186" t="s">
        <v>323</v>
      </c>
      <c r="C2656" s="210" t="s">
        <v>324</v>
      </c>
      <c r="D2656" s="210" t="s">
        <v>327</v>
      </c>
      <c r="E2656" s="204">
        <v>17.0</v>
      </c>
      <c r="F2656" s="205">
        <v>0.02</v>
      </c>
      <c r="G2656" s="205">
        <v>0.18</v>
      </c>
    </row>
    <row r="2657" ht="15.75" customHeight="1">
      <c r="A2657" s="200" t="s">
        <v>321</v>
      </c>
      <c r="B2657" s="186" t="s">
        <v>8950</v>
      </c>
      <c r="C2657" s="210" t="s">
        <v>8951</v>
      </c>
      <c r="D2657" s="210" t="s">
        <v>8952</v>
      </c>
      <c r="E2657" s="204">
        <v>16.0</v>
      </c>
      <c r="F2657" s="205">
        <v>0.02</v>
      </c>
      <c r="G2657" s="205">
        <v>0.25</v>
      </c>
    </row>
    <row r="2658" ht="15.75" customHeight="1">
      <c r="A2658" s="200" t="s">
        <v>321</v>
      </c>
      <c r="B2658" s="186" t="s">
        <v>8953</v>
      </c>
      <c r="C2658" s="210" t="s">
        <v>8954</v>
      </c>
      <c r="D2658" s="210"/>
      <c r="E2658" s="204">
        <v>16.0</v>
      </c>
      <c r="F2658" s="205">
        <v>0.02</v>
      </c>
      <c r="G2658" s="205">
        <v>1.25</v>
      </c>
    </row>
    <row r="2659" ht="15.75" customHeight="1">
      <c r="A2659" s="200" t="s">
        <v>321</v>
      </c>
      <c r="B2659" s="186" t="s">
        <v>8955</v>
      </c>
      <c r="C2659" s="210" t="s">
        <v>8956</v>
      </c>
      <c r="D2659" s="210" t="s">
        <v>8870</v>
      </c>
      <c r="E2659" s="204">
        <v>16.0</v>
      </c>
      <c r="F2659" s="205">
        <v>0.02</v>
      </c>
      <c r="G2659" s="205">
        <v>0.88</v>
      </c>
    </row>
    <row r="2660" ht="15.75" customHeight="1">
      <c r="A2660" s="200" t="s">
        <v>321</v>
      </c>
      <c r="B2660" s="186" t="s">
        <v>2576</v>
      </c>
      <c r="C2660" s="210" t="s">
        <v>2577</v>
      </c>
      <c r="D2660" s="210" t="s">
        <v>2582</v>
      </c>
      <c r="E2660" s="204">
        <v>16.0</v>
      </c>
      <c r="F2660" s="205">
        <v>0.02</v>
      </c>
      <c r="G2660" s="205">
        <v>1.13</v>
      </c>
    </row>
    <row r="2661" ht="15.75" customHeight="1">
      <c r="A2661" s="200" t="s">
        <v>321</v>
      </c>
      <c r="B2661" s="186" t="s">
        <v>8957</v>
      </c>
      <c r="C2661" s="210" t="s">
        <v>8958</v>
      </c>
      <c r="D2661" s="210" t="s">
        <v>4336</v>
      </c>
      <c r="E2661" s="204">
        <v>16.0</v>
      </c>
      <c r="F2661" s="205">
        <v>0.02</v>
      </c>
      <c r="G2661" s="205">
        <v>1.0</v>
      </c>
    </row>
    <row r="2662" ht="15.75" customHeight="1">
      <c r="A2662" s="200" t="s">
        <v>321</v>
      </c>
      <c r="B2662" s="186" t="s">
        <v>8959</v>
      </c>
      <c r="C2662" s="210" t="s">
        <v>8960</v>
      </c>
      <c r="D2662" s="210" t="s">
        <v>8961</v>
      </c>
      <c r="E2662" s="204">
        <v>15.0</v>
      </c>
      <c r="F2662" s="205">
        <v>0.02</v>
      </c>
      <c r="G2662" s="205">
        <v>1.73</v>
      </c>
    </row>
    <row r="2663" ht="15.75" customHeight="1">
      <c r="A2663" s="200" t="s">
        <v>321</v>
      </c>
      <c r="B2663" s="186" t="s">
        <v>8962</v>
      </c>
      <c r="C2663" s="210" t="s">
        <v>8963</v>
      </c>
      <c r="D2663" s="210" t="s">
        <v>8964</v>
      </c>
      <c r="E2663" s="204">
        <v>15.0</v>
      </c>
      <c r="F2663" s="205">
        <v>0.02</v>
      </c>
      <c r="G2663" s="205">
        <v>0.93</v>
      </c>
    </row>
    <row r="2664" ht="15.75" customHeight="1">
      <c r="A2664" s="200" t="s">
        <v>321</v>
      </c>
      <c r="B2664" s="186" t="s">
        <v>8965</v>
      </c>
      <c r="C2664" s="210" t="s">
        <v>8966</v>
      </c>
      <c r="D2664" s="210" t="s">
        <v>8967</v>
      </c>
      <c r="E2664" s="204">
        <v>15.0</v>
      </c>
      <c r="F2664" s="205">
        <v>0.02</v>
      </c>
      <c r="G2664" s="205">
        <v>0.33</v>
      </c>
    </row>
    <row r="2665" ht="15.75" customHeight="1">
      <c r="A2665" s="200" t="s">
        <v>321</v>
      </c>
      <c r="B2665" s="186" t="s">
        <v>2675</v>
      </c>
      <c r="C2665" s="210" t="s">
        <v>2676</v>
      </c>
      <c r="D2665" s="210" t="s">
        <v>2677</v>
      </c>
      <c r="E2665" s="204">
        <v>15.0</v>
      </c>
      <c r="F2665" s="205">
        <v>0.02</v>
      </c>
      <c r="G2665" s="205">
        <v>0.47</v>
      </c>
    </row>
    <row r="2666" ht="15.75" customHeight="1">
      <c r="A2666" s="200" t="s">
        <v>321</v>
      </c>
      <c r="B2666" s="186" t="s">
        <v>8968</v>
      </c>
      <c r="C2666" s="210" t="s">
        <v>8969</v>
      </c>
      <c r="D2666" s="210" t="s">
        <v>2438</v>
      </c>
      <c r="E2666" s="204">
        <v>15.0</v>
      </c>
      <c r="F2666" s="205">
        <v>0.02</v>
      </c>
      <c r="G2666" s="205">
        <v>1.33</v>
      </c>
    </row>
    <row r="2667" ht="15.75" customHeight="1">
      <c r="A2667" s="200" t="s">
        <v>321</v>
      </c>
      <c r="B2667" s="186" t="s">
        <v>8970</v>
      </c>
      <c r="C2667" s="210" t="s">
        <v>8971</v>
      </c>
      <c r="D2667" s="210" t="s">
        <v>8972</v>
      </c>
      <c r="E2667" s="204">
        <v>15.0</v>
      </c>
      <c r="F2667" s="205">
        <v>0.02</v>
      </c>
      <c r="G2667" s="205">
        <v>0.87</v>
      </c>
    </row>
    <row r="2668" ht="15.75" customHeight="1">
      <c r="A2668" s="200" t="s">
        <v>321</v>
      </c>
      <c r="B2668" s="186" t="s">
        <v>2426</v>
      </c>
      <c r="C2668" s="210" t="s">
        <v>2427</v>
      </c>
      <c r="D2668" s="210" t="s">
        <v>8973</v>
      </c>
      <c r="E2668" s="204">
        <v>15.0</v>
      </c>
      <c r="F2668" s="205">
        <v>0.02</v>
      </c>
      <c r="G2668" s="205">
        <v>0.47</v>
      </c>
    </row>
    <row r="2669" ht="15.75" customHeight="1">
      <c r="A2669" s="200" t="s">
        <v>321</v>
      </c>
      <c r="B2669" s="186" t="s">
        <v>2376</v>
      </c>
      <c r="C2669" s="210" t="s">
        <v>2377</v>
      </c>
      <c r="D2669" s="210" t="s">
        <v>8974</v>
      </c>
      <c r="E2669" s="204">
        <v>14.0</v>
      </c>
      <c r="F2669" s="205">
        <v>0.01</v>
      </c>
      <c r="G2669" s="205">
        <v>0.0</v>
      </c>
    </row>
    <row r="2670" ht="15.75" customHeight="1">
      <c r="A2670" s="200" t="s">
        <v>321</v>
      </c>
      <c r="B2670" s="186" t="s">
        <v>2401</v>
      </c>
      <c r="C2670" s="210" t="s">
        <v>2402</v>
      </c>
      <c r="D2670" s="210" t="s">
        <v>813</v>
      </c>
      <c r="E2670" s="204">
        <v>14.0</v>
      </c>
      <c r="F2670" s="205">
        <v>0.01</v>
      </c>
      <c r="G2670" s="205">
        <v>0.07</v>
      </c>
    </row>
    <row r="2671" ht="15.75" customHeight="1">
      <c r="A2671" s="200" t="s">
        <v>321</v>
      </c>
      <c r="B2671" s="186" t="s">
        <v>8975</v>
      </c>
      <c r="C2671" s="210" t="s">
        <v>8976</v>
      </c>
      <c r="D2671" s="210" t="s">
        <v>8843</v>
      </c>
      <c r="E2671" s="204">
        <v>14.0</v>
      </c>
      <c r="F2671" s="205">
        <v>0.01</v>
      </c>
      <c r="G2671" s="205">
        <v>0.14</v>
      </c>
    </row>
    <row r="2672" ht="15.75" customHeight="1">
      <c r="A2672" s="200" t="s">
        <v>321</v>
      </c>
      <c r="B2672" s="186" t="s">
        <v>8977</v>
      </c>
      <c r="C2672" s="210" t="s">
        <v>8978</v>
      </c>
      <c r="D2672" s="210" t="s">
        <v>3841</v>
      </c>
      <c r="E2672" s="204">
        <v>14.0</v>
      </c>
      <c r="F2672" s="205">
        <v>0.01</v>
      </c>
      <c r="G2672" s="205">
        <v>0.14</v>
      </c>
    </row>
    <row r="2673" ht="15.75" customHeight="1">
      <c r="A2673" s="200" t="s">
        <v>321</v>
      </c>
      <c r="B2673" s="186" t="s">
        <v>8979</v>
      </c>
      <c r="C2673" s="210" t="s">
        <v>8980</v>
      </c>
      <c r="D2673" s="210" t="s">
        <v>8981</v>
      </c>
      <c r="E2673" s="204">
        <v>14.0</v>
      </c>
      <c r="F2673" s="205">
        <v>0.01</v>
      </c>
      <c r="G2673" s="205">
        <v>1.21</v>
      </c>
    </row>
    <row r="2674" ht="15.75" customHeight="1">
      <c r="A2674" s="200" t="s">
        <v>321</v>
      </c>
      <c r="B2674" s="186" t="s">
        <v>766</v>
      </c>
      <c r="C2674" s="210" t="s">
        <v>767</v>
      </c>
      <c r="D2674" s="210" t="s">
        <v>2584</v>
      </c>
      <c r="E2674" s="204">
        <v>14.0</v>
      </c>
      <c r="F2674" s="205">
        <v>0.01</v>
      </c>
      <c r="G2674" s="205">
        <v>1.71</v>
      </c>
    </row>
    <row r="2675" ht="15.75" customHeight="1">
      <c r="A2675" s="200" t="s">
        <v>321</v>
      </c>
      <c r="B2675" s="186" t="s">
        <v>8982</v>
      </c>
      <c r="C2675" s="210" t="s">
        <v>8983</v>
      </c>
      <c r="D2675" s="210" t="s">
        <v>8984</v>
      </c>
      <c r="E2675" s="204">
        <v>14.0</v>
      </c>
      <c r="F2675" s="205">
        <v>0.01</v>
      </c>
      <c r="G2675" s="205">
        <v>1.07</v>
      </c>
    </row>
    <row r="2676" ht="15.75" customHeight="1">
      <c r="A2676" s="200" t="s">
        <v>321</v>
      </c>
      <c r="B2676" s="186" t="s">
        <v>8985</v>
      </c>
      <c r="C2676" s="210" t="s">
        <v>8986</v>
      </c>
      <c r="D2676" s="210" t="s">
        <v>8987</v>
      </c>
      <c r="E2676" s="204">
        <v>14.0</v>
      </c>
      <c r="F2676" s="205">
        <v>0.01</v>
      </c>
      <c r="G2676" s="205">
        <v>0.0</v>
      </c>
    </row>
    <row r="2677" ht="15.75" customHeight="1">
      <c r="A2677" s="200" t="s">
        <v>321</v>
      </c>
      <c r="B2677" s="186" t="s">
        <v>8988</v>
      </c>
      <c r="C2677" s="210" t="s">
        <v>8989</v>
      </c>
      <c r="D2677" s="210" t="s">
        <v>8990</v>
      </c>
      <c r="E2677" s="204">
        <v>14.0</v>
      </c>
      <c r="F2677" s="205">
        <v>0.01</v>
      </c>
      <c r="G2677" s="205">
        <v>0.0</v>
      </c>
    </row>
    <row r="2678" ht="15.75" customHeight="1">
      <c r="A2678" s="200" t="s">
        <v>321</v>
      </c>
      <c r="B2678" s="186" t="s">
        <v>8991</v>
      </c>
      <c r="C2678" s="210" t="s">
        <v>8992</v>
      </c>
      <c r="D2678" s="210" t="s">
        <v>8993</v>
      </c>
      <c r="E2678" s="204">
        <v>14.0</v>
      </c>
      <c r="F2678" s="205">
        <v>0.01</v>
      </c>
      <c r="G2678" s="205">
        <v>0.0</v>
      </c>
    </row>
    <row r="2679" ht="15.75" customHeight="1">
      <c r="A2679" s="200" t="s">
        <v>321</v>
      </c>
      <c r="B2679" s="186" t="s">
        <v>8994</v>
      </c>
      <c r="C2679" s="210" t="s">
        <v>8995</v>
      </c>
      <c r="D2679" s="210" t="s">
        <v>8996</v>
      </c>
      <c r="E2679" s="204">
        <v>13.0</v>
      </c>
      <c r="F2679" s="205">
        <v>0.01</v>
      </c>
      <c r="G2679" s="205">
        <v>0.08</v>
      </c>
    </row>
    <row r="2680" ht="15.75" customHeight="1">
      <c r="A2680" s="200" t="s">
        <v>321</v>
      </c>
      <c r="B2680" s="186" t="s">
        <v>8997</v>
      </c>
      <c r="C2680" s="210" t="s">
        <v>8998</v>
      </c>
      <c r="D2680" s="210" t="s">
        <v>8999</v>
      </c>
      <c r="E2680" s="204">
        <v>13.0</v>
      </c>
      <c r="F2680" s="205">
        <v>0.01</v>
      </c>
      <c r="G2680" s="205">
        <v>0.0</v>
      </c>
    </row>
    <row r="2681" ht="15.75" customHeight="1">
      <c r="A2681" s="200" t="s">
        <v>321</v>
      </c>
      <c r="B2681" s="186" t="s">
        <v>9000</v>
      </c>
      <c r="C2681" s="210" t="s">
        <v>9001</v>
      </c>
      <c r="D2681" s="210" t="s">
        <v>9002</v>
      </c>
      <c r="E2681" s="204">
        <v>13.0</v>
      </c>
      <c r="F2681" s="205">
        <v>0.01</v>
      </c>
      <c r="G2681" s="205">
        <v>0.54</v>
      </c>
    </row>
    <row r="2682" ht="15.75" customHeight="1">
      <c r="A2682" s="200" t="s">
        <v>321</v>
      </c>
      <c r="B2682" s="186" t="s">
        <v>9003</v>
      </c>
      <c r="C2682" s="210" t="s">
        <v>9004</v>
      </c>
      <c r="D2682" s="210" t="s">
        <v>9005</v>
      </c>
      <c r="E2682" s="204">
        <v>13.0</v>
      </c>
      <c r="F2682" s="205">
        <v>0.01</v>
      </c>
      <c r="G2682" s="205">
        <v>0.08</v>
      </c>
    </row>
    <row r="2683" ht="15.75" customHeight="1">
      <c r="A2683" s="200" t="s">
        <v>321</v>
      </c>
      <c r="B2683" s="186" t="s">
        <v>9006</v>
      </c>
      <c r="C2683" s="210" t="s">
        <v>9007</v>
      </c>
      <c r="D2683" s="210"/>
      <c r="E2683" s="204">
        <v>13.0</v>
      </c>
      <c r="F2683" s="205">
        <v>0.01</v>
      </c>
      <c r="G2683" s="205">
        <v>0.46</v>
      </c>
    </row>
    <row r="2684" ht="15.75" customHeight="1">
      <c r="A2684" s="200" t="s">
        <v>321</v>
      </c>
      <c r="B2684" s="186" t="s">
        <v>2587</v>
      </c>
      <c r="C2684" s="210" t="s">
        <v>2588</v>
      </c>
      <c r="D2684" s="210" t="s">
        <v>2547</v>
      </c>
      <c r="E2684" s="204">
        <v>13.0</v>
      </c>
      <c r="F2684" s="205">
        <v>0.01</v>
      </c>
      <c r="G2684" s="205">
        <v>0.54</v>
      </c>
    </row>
    <row r="2685" ht="15.75" customHeight="1">
      <c r="A2685" s="200" t="s">
        <v>321</v>
      </c>
      <c r="B2685" s="186" t="s">
        <v>9008</v>
      </c>
      <c r="C2685" s="210" t="s">
        <v>9009</v>
      </c>
      <c r="D2685" s="210" t="s">
        <v>1342</v>
      </c>
      <c r="E2685" s="204">
        <v>13.0</v>
      </c>
      <c r="F2685" s="205">
        <v>0.01</v>
      </c>
      <c r="G2685" s="205">
        <v>2.08</v>
      </c>
    </row>
    <row r="2686" ht="15.75" customHeight="1">
      <c r="A2686" s="200" t="s">
        <v>321</v>
      </c>
      <c r="B2686" s="186" t="s">
        <v>9010</v>
      </c>
      <c r="C2686" s="210" t="s">
        <v>9011</v>
      </c>
      <c r="D2686" s="210" t="s">
        <v>2338</v>
      </c>
      <c r="E2686" s="204">
        <v>13.0</v>
      </c>
      <c r="F2686" s="205">
        <v>0.01</v>
      </c>
      <c r="G2686" s="205">
        <v>0.69</v>
      </c>
    </row>
    <row r="2687" ht="15.75" customHeight="1">
      <c r="A2687" s="200" t="s">
        <v>321</v>
      </c>
      <c r="B2687" s="186" t="s">
        <v>9012</v>
      </c>
      <c r="C2687" s="210" t="s">
        <v>9013</v>
      </c>
      <c r="D2687" s="210" t="s">
        <v>9014</v>
      </c>
      <c r="E2687" s="204">
        <v>13.0</v>
      </c>
      <c r="F2687" s="205">
        <v>0.01</v>
      </c>
      <c r="G2687" s="205">
        <v>0.85</v>
      </c>
    </row>
    <row r="2688" ht="15.75" customHeight="1">
      <c r="A2688" s="200" t="s">
        <v>321</v>
      </c>
      <c r="B2688" s="186" t="s">
        <v>9015</v>
      </c>
      <c r="C2688" s="210" t="s">
        <v>9016</v>
      </c>
      <c r="D2688" s="210" t="s">
        <v>9014</v>
      </c>
      <c r="E2688" s="204">
        <v>13.0</v>
      </c>
      <c r="F2688" s="205">
        <v>0.01</v>
      </c>
      <c r="G2688" s="205">
        <v>1.77</v>
      </c>
    </row>
    <row r="2689" ht="15.75" customHeight="1">
      <c r="A2689" s="200" t="s">
        <v>321</v>
      </c>
      <c r="B2689" s="186" t="s">
        <v>9017</v>
      </c>
      <c r="C2689" s="210" t="s">
        <v>9018</v>
      </c>
      <c r="D2689" s="210" t="s">
        <v>9019</v>
      </c>
      <c r="E2689" s="204">
        <v>13.0</v>
      </c>
      <c r="F2689" s="205">
        <v>0.01</v>
      </c>
      <c r="G2689" s="205">
        <v>0.15</v>
      </c>
    </row>
    <row r="2690" ht="15.75" customHeight="1">
      <c r="A2690" s="200" t="s">
        <v>321</v>
      </c>
      <c r="B2690" s="186" t="s">
        <v>9020</v>
      </c>
      <c r="C2690" s="210" t="s">
        <v>9021</v>
      </c>
      <c r="D2690" s="210" t="s">
        <v>9022</v>
      </c>
      <c r="E2690" s="204">
        <v>13.0</v>
      </c>
      <c r="F2690" s="205">
        <v>0.01</v>
      </c>
      <c r="G2690" s="205">
        <v>0.0</v>
      </c>
    </row>
    <row r="2691" ht="15.75" customHeight="1">
      <c r="A2691" s="200" t="s">
        <v>321</v>
      </c>
      <c r="B2691" s="186" t="s">
        <v>9023</v>
      </c>
      <c r="C2691" s="210" t="s">
        <v>9024</v>
      </c>
      <c r="D2691" s="210" t="s">
        <v>9025</v>
      </c>
      <c r="E2691" s="204">
        <v>12.0</v>
      </c>
      <c r="F2691" s="205">
        <v>0.01</v>
      </c>
      <c r="G2691" s="205">
        <v>0.25</v>
      </c>
    </row>
    <row r="2692" ht="15.75" customHeight="1">
      <c r="A2692" s="200" t="s">
        <v>321</v>
      </c>
      <c r="B2692" s="186" t="s">
        <v>9026</v>
      </c>
      <c r="C2692" s="210" t="s">
        <v>9027</v>
      </c>
      <c r="D2692" s="210"/>
      <c r="E2692" s="204">
        <v>12.0</v>
      </c>
      <c r="F2692" s="205">
        <v>0.01</v>
      </c>
      <c r="G2692" s="205">
        <v>0.0</v>
      </c>
    </row>
    <row r="2693" ht="15.75" customHeight="1">
      <c r="A2693" s="200" t="s">
        <v>321</v>
      </c>
      <c r="B2693" s="186" t="s">
        <v>9028</v>
      </c>
      <c r="C2693" s="210" t="s">
        <v>9029</v>
      </c>
      <c r="D2693" s="210" t="s">
        <v>9030</v>
      </c>
      <c r="E2693" s="204">
        <v>12.0</v>
      </c>
      <c r="F2693" s="205">
        <v>0.01</v>
      </c>
      <c r="G2693" s="205">
        <v>1.83</v>
      </c>
    </row>
    <row r="2694" ht="15.75" customHeight="1">
      <c r="A2694" s="200" t="s">
        <v>321</v>
      </c>
      <c r="B2694" s="186" t="s">
        <v>9031</v>
      </c>
      <c r="C2694" s="210" t="s">
        <v>9032</v>
      </c>
      <c r="D2694" s="210"/>
      <c r="E2694" s="204">
        <v>12.0</v>
      </c>
      <c r="F2694" s="205">
        <v>0.01</v>
      </c>
      <c r="G2694" s="205">
        <v>0.17</v>
      </c>
    </row>
    <row r="2695" ht="15.75" customHeight="1">
      <c r="A2695" s="200" t="s">
        <v>321</v>
      </c>
      <c r="B2695" s="186" t="s">
        <v>9033</v>
      </c>
      <c r="C2695" s="210" t="s">
        <v>9034</v>
      </c>
      <c r="D2695" s="210" t="s">
        <v>9035</v>
      </c>
      <c r="E2695" s="204">
        <v>12.0</v>
      </c>
      <c r="F2695" s="205">
        <v>0.01</v>
      </c>
      <c r="G2695" s="205">
        <v>0.0</v>
      </c>
    </row>
    <row r="2696" ht="15.75" customHeight="1">
      <c r="A2696" s="200" t="s">
        <v>321</v>
      </c>
      <c r="B2696" s="186" t="s">
        <v>9036</v>
      </c>
      <c r="C2696" s="210" t="s">
        <v>9037</v>
      </c>
      <c r="D2696" s="210"/>
      <c r="E2696" s="204">
        <v>12.0</v>
      </c>
      <c r="F2696" s="205">
        <v>0.01</v>
      </c>
      <c r="G2696" s="205">
        <v>0.0</v>
      </c>
    </row>
    <row r="2697" ht="15.75" customHeight="1">
      <c r="A2697" s="200" t="s">
        <v>321</v>
      </c>
      <c r="B2697" s="186" t="s">
        <v>9038</v>
      </c>
      <c r="C2697" s="210" t="s">
        <v>9039</v>
      </c>
      <c r="D2697" s="210" t="s">
        <v>8964</v>
      </c>
      <c r="E2697" s="204">
        <v>12.0</v>
      </c>
      <c r="F2697" s="205">
        <v>0.01</v>
      </c>
      <c r="G2697" s="205">
        <v>0.33</v>
      </c>
    </row>
    <row r="2698" ht="15.75" customHeight="1">
      <c r="A2698" s="200" t="s">
        <v>321</v>
      </c>
      <c r="B2698" s="186" t="s">
        <v>9040</v>
      </c>
      <c r="C2698" s="210" t="s">
        <v>9041</v>
      </c>
      <c r="D2698" s="210" t="s">
        <v>9042</v>
      </c>
      <c r="E2698" s="204">
        <v>12.0</v>
      </c>
      <c r="F2698" s="205">
        <v>0.01</v>
      </c>
      <c r="G2698" s="205">
        <v>0.83</v>
      </c>
    </row>
    <row r="2699" ht="15.75" customHeight="1">
      <c r="A2699" s="200" t="s">
        <v>321</v>
      </c>
      <c r="B2699" s="186" t="s">
        <v>9043</v>
      </c>
      <c r="C2699" s="210" t="s">
        <v>9044</v>
      </c>
      <c r="D2699" s="210" t="s">
        <v>9045</v>
      </c>
      <c r="E2699" s="204">
        <v>12.0</v>
      </c>
      <c r="F2699" s="205">
        <v>0.01</v>
      </c>
      <c r="G2699" s="205">
        <v>2.0</v>
      </c>
    </row>
    <row r="2700" ht="15.75" customHeight="1">
      <c r="A2700" s="200" t="s">
        <v>321</v>
      </c>
      <c r="B2700" s="186" t="s">
        <v>9046</v>
      </c>
      <c r="C2700" s="210" t="s">
        <v>9047</v>
      </c>
      <c r="D2700" s="210" t="s">
        <v>9048</v>
      </c>
      <c r="E2700" s="204">
        <v>12.0</v>
      </c>
      <c r="F2700" s="205">
        <v>0.01</v>
      </c>
      <c r="G2700" s="205">
        <v>0.42</v>
      </c>
    </row>
    <row r="2701" ht="15.75" customHeight="1">
      <c r="A2701" s="200" t="s">
        <v>321</v>
      </c>
      <c r="B2701" s="186" t="s">
        <v>9049</v>
      </c>
      <c r="C2701" s="210" t="s">
        <v>9050</v>
      </c>
      <c r="D2701" s="210" t="s">
        <v>9051</v>
      </c>
      <c r="E2701" s="204">
        <v>12.0</v>
      </c>
      <c r="F2701" s="205">
        <v>0.01</v>
      </c>
      <c r="G2701" s="205">
        <v>0.08</v>
      </c>
    </row>
    <row r="2702" ht="15.75" customHeight="1">
      <c r="A2702" s="200" t="s">
        <v>321</v>
      </c>
      <c r="B2702" s="186" t="s">
        <v>9052</v>
      </c>
      <c r="C2702" s="210" t="s">
        <v>9053</v>
      </c>
      <c r="D2702" s="210" t="s">
        <v>9054</v>
      </c>
      <c r="E2702" s="204">
        <v>11.0</v>
      </c>
      <c r="F2702" s="205">
        <v>0.01</v>
      </c>
      <c r="G2702" s="205">
        <v>0.0</v>
      </c>
    </row>
    <row r="2703" ht="15.75" customHeight="1">
      <c r="A2703" s="200" t="s">
        <v>321</v>
      </c>
      <c r="B2703" s="186" t="s">
        <v>9055</v>
      </c>
      <c r="C2703" s="210" t="s">
        <v>9056</v>
      </c>
      <c r="D2703" s="210" t="s">
        <v>9057</v>
      </c>
      <c r="E2703" s="204">
        <v>11.0</v>
      </c>
      <c r="F2703" s="205">
        <v>0.01</v>
      </c>
      <c r="G2703" s="205">
        <v>1.09</v>
      </c>
    </row>
    <row r="2704" ht="15.75" customHeight="1">
      <c r="A2704" s="200" t="s">
        <v>321</v>
      </c>
      <c r="B2704" s="186" t="s">
        <v>786</v>
      </c>
      <c r="C2704" s="210" t="s">
        <v>787</v>
      </c>
      <c r="D2704" s="210" t="s">
        <v>9058</v>
      </c>
      <c r="E2704" s="204">
        <v>11.0</v>
      </c>
      <c r="F2704" s="205">
        <v>0.01</v>
      </c>
      <c r="G2704" s="205">
        <v>0.0</v>
      </c>
    </row>
    <row r="2705" ht="15.75" customHeight="1">
      <c r="A2705" s="200" t="s">
        <v>321</v>
      </c>
      <c r="B2705" s="186" t="s">
        <v>9059</v>
      </c>
      <c r="C2705" s="210" t="s">
        <v>9060</v>
      </c>
      <c r="D2705" s="210" t="s">
        <v>9061</v>
      </c>
      <c r="E2705" s="204">
        <v>11.0</v>
      </c>
      <c r="F2705" s="205">
        <v>0.01</v>
      </c>
      <c r="G2705" s="205">
        <v>0.55</v>
      </c>
    </row>
    <row r="2706" ht="15.75" customHeight="1">
      <c r="A2706" s="200" t="s">
        <v>321</v>
      </c>
      <c r="B2706" s="186" t="s">
        <v>9062</v>
      </c>
      <c r="C2706" s="210" t="s">
        <v>9063</v>
      </c>
      <c r="D2706" s="210" t="s">
        <v>2231</v>
      </c>
      <c r="E2706" s="204">
        <v>11.0</v>
      </c>
      <c r="F2706" s="205">
        <v>0.01</v>
      </c>
      <c r="G2706" s="205">
        <v>0.0</v>
      </c>
    </row>
    <row r="2707" ht="15.75" customHeight="1">
      <c r="A2707" s="200" t="s">
        <v>321</v>
      </c>
      <c r="B2707" s="186" t="s">
        <v>7759</v>
      </c>
      <c r="C2707" s="210" t="s">
        <v>7760</v>
      </c>
      <c r="D2707" s="210" t="s">
        <v>2547</v>
      </c>
      <c r="E2707" s="204">
        <v>11.0</v>
      </c>
      <c r="F2707" s="205">
        <v>0.01</v>
      </c>
      <c r="G2707" s="205">
        <v>1.09</v>
      </c>
    </row>
    <row r="2708" ht="15.75" customHeight="1">
      <c r="A2708" s="200" t="s">
        <v>321</v>
      </c>
      <c r="B2708" s="186" t="s">
        <v>2647</v>
      </c>
      <c r="C2708" s="210" t="s">
        <v>2648</v>
      </c>
      <c r="D2708" s="210"/>
      <c r="E2708" s="204">
        <v>10.0</v>
      </c>
      <c r="F2708" s="205">
        <v>0.01</v>
      </c>
      <c r="G2708" s="205">
        <v>0.1</v>
      </c>
    </row>
    <row r="2709" ht="15.75" customHeight="1">
      <c r="A2709" s="200" t="s">
        <v>321</v>
      </c>
      <c r="B2709" s="186" t="s">
        <v>9064</v>
      </c>
      <c r="C2709" s="210" t="s">
        <v>9065</v>
      </c>
      <c r="D2709" s="210" t="s">
        <v>8791</v>
      </c>
      <c r="E2709" s="204">
        <v>10.0</v>
      </c>
      <c r="F2709" s="205">
        <v>0.01</v>
      </c>
      <c r="G2709" s="205">
        <v>0.5</v>
      </c>
    </row>
    <row r="2710" ht="15.75" customHeight="1">
      <c r="A2710" s="200" t="s">
        <v>321</v>
      </c>
      <c r="B2710" s="186" t="s">
        <v>9066</v>
      </c>
      <c r="C2710" s="210" t="s">
        <v>9067</v>
      </c>
      <c r="D2710" s="210"/>
      <c r="E2710" s="204">
        <v>10.0</v>
      </c>
      <c r="F2710" s="205">
        <v>0.01</v>
      </c>
      <c r="G2710" s="205">
        <v>0.0</v>
      </c>
    </row>
    <row r="2711" ht="15.75" customHeight="1">
      <c r="A2711" s="200" t="s">
        <v>321</v>
      </c>
      <c r="B2711" s="186" t="s">
        <v>2592</v>
      </c>
      <c r="C2711" s="210" t="s">
        <v>2593</v>
      </c>
      <c r="D2711" s="210" t="s">
        <v>2594</v>
      </c>
      <c r="E2711" s="204">
        <v>10.0</v>
      </c>
      <c r="F2711" s="205">
        <v>0.01</v>
      </c>
      <c r="G2711" s="205">
        <v>0.4</v>
      </c>
    </row>
    <row r="2712" ht="15.75" customHeight="1">
      <c r="A2712" s="200" t="s">
        <v>321</v>
      </c>
      <c r="B2712" s="186" t="s">
        <v>9068</v>
      </c>
      <c r="C2712" s="210" t="s">
        <v>9069</v>
      </c>
      <c r="D2712" s="210" t="s">
        <v>9070</v>
      </c>
      <c r="E2712" s="204">
        <v>10.0</v>
      </c>
      <c r="F2712" s="205">
        <v>0.01</v>
      </c>
      <c r="G2712" s="205">
        <v>0.2</v>
      </c>
    </row>
    <row r="2713" ht="15.75" customHeight="1">
      <c r="A2713" s="200" t="s">
        <v>321</v>
      </c>
      <c r="B2713" s="186" t="s">
        <v>3233</v>
      </c>
      <c r="C2713" s="210" t="s">
        <v>3234</v>
      </c>
      <c r="D2713" s="210" t="s">
        <v>1225</v>
      </c>
      <c r="E2713" s="204">
        <v>10.0</v>
      </c>
      <c r="F2713" s="205">
        <v>0.01</v>
      </c>
      <c r="G2713" s="205">
        <v>0.0</v>
      </c>
    </row>
    <row r="2714" ht="15.75" customHeight="1">
      <c r="A2714" s="200" t="s">
        <v>321</v>
      </c>
      <c r="B2714" s="186" t="s">
        <v>9071</v>
      </c>
      <c r="C2714" s="210" t="s">
        <v>9072</v>
      </c>
      <c r="D2714" s="210" t="s">
        <v>8786</v>
      </c>
      <c r="E2714" s="204">
        <v>10.0</v>
      </c>
      <c r="F2714" s="205">
        <v>0.01</v>
      </c>
      <c r="G2714" s="205">
        <v>0.0</v>
      </c>
    </row>
    <row r="2715" ht="15.75" customHeight="1">
      <c r="A2715" s="200" t="s">
        <v>321</v>
      </c>
      <c r="B2715" s="186" t="s">
        <v>9073</v>
      </c>
      <c r="C2715" s="210" t="s">
        <v>9074</v>
      </c>
      <c r="D2715" s="210" t="s">
        <v>8786</v>
      </c>
      <c r="E2715" s="204">
        <v>10.0</v>
      </c>
      <c r="F2715" s="205">
        <v>0.01</v>
      </c>
      <c r="G2715" s="205">
        <v>0.1</v>
      </c>
    </row>
    <row r="2716" ht="15.75" customHeight="1">
      <c r="A2716" s="200" t="s">
        <v>321</v>
      </c>
      <c r="B2716" s="186" t="s">
        <v>9075</v>
      </c>
      <c r="C2716" s="210" t="s">
        <v>9076</v>
      </c>
      <c r="D2716" s="210" t="s">
        <v>9045</v>
      </c>
      <c r="E2716" s="204">
        <v>10.0</v>
      </c>
      <c r="F2716" s="205">
        <v>0.01</v>
      </c>
      <c r="G2716" s="205">
        <v>0.0</v>
      </c>
    </row>
    <row r="2717" ht="15.75" customHeight="1">
      <c r="A2717" s="200" t="s">
        <v>321</v>
      </c>
      <c r="B2717" s="186" t="s">
        <v>9077</v>
      </c>
      <c r="C2717" s="210" t="s">
        <v>9078</v>
      </c>
      <c r="D2717" s="210" t="s">
        <v>9079</v>
      </c>
      <c r="E2717" s="204">
        <v>10.0</v>
      </c>
      <c r="F2717" s="205">
        <v>0.01</v>
      </c>
      <c r="G2717" s="205">
        <v>0.9</v>
      </c>
    </row>
    <row r="2718" ht="15.75" customHeight="1">
      <c r="A2718" s="200" t="s">
        <v>321</v>
      </c>
      <c r="B2718" s="186" t="s">
        <v>9080</v>
      </c>
      <c r="C2718" s="210" t="s">
        <v>9081</v>
      </c>
      <c r="D2718" s="210" t="s">
        <v>9082</v>
      </c>
      <c r="E2718" s="204">
        <v>10.0</v>
      </c>
      <c r="F2718" s="205">
        <v>0.01</v>
      </c>
      <c r="G2718" s="205">
        <v>0.0</v>
      </c>
    </row>
    <row r="2719" ht="15.75" customHeight="1">
      <c r="A2719" s="200" t="s">
        <v>321</v>
      </c>
      <c r="B2719" s="186" t="s">
        <v>5136</v>
      </c>
      <c r="C2719" s="210" t="s">
        <v>5137</v>
      </c>
      <c r="D2719" s="210" t="s">
        <v>9083</v>
      </c>
      <c r="E2719" s="204">
        <v>10.0</v>
      </c>
      <c r="F2719" s="205">
        <v>0.01</v>
      </c>
      <c r="G2719" s="205">
        <v>0.1</v>
      </c>
    </row>
    <row r="2720" ht="15.75" customHeight="1">
      <c r="A2720" s="200" t="s">
        <v>321</v>
      </c>
      <c r="B2720" s="186" t="s">
        <v>2335</v>
      </c>
      <c r="C2720" s="210" t="s">
        <v>2336</v>
      </c>
      <c r="D2720" s="210" t="s">
        <v>9084</v>
      </c>
      <c r="E2720" s="204">
        <v>10.0</v>
      </c>
      <c r="F2720" s="205">
        <v>0.01</v>
      </c>
      <c r="G2720" s="205">
        <v>0.0</v>
      </c>
    </row>
    <row r="2721" ht="15.75" customHeight="1">
      <c r="A2721" s="200" t="s">
        <v>321</v>
      </c>
      <c r="B2721" s="186" t="s">
        <v>4013</v>
      </c>
      <c r="C2721" s="210" t="s">
        <v>4014</v>
      </c>
      <c r="D2721" s="210" t="s">
        <v>9085</v>
      </c>
      <c r="E2721" s="204">
        <v>10.0</v>
      </c>
      <c r="F2721" s="205">
        <v>0.01</v>
      </c>
      <c r="G2721" s="205">
        <v>0.0</v>
      </c>
    </row>
    <row r="2722" ht="15.75" customHeight="1">
      <c r="A2722" s="200" t="s">
        <v>321</v>
      </c>
      <c r="B2722" s="186" t="s">
        <v>9086</v>
      </c>
      <c r="C2722" s="210" t="s">
        <v>5356</v>
      </c>
      <c r="D2722" s="210" t="s">
        <v>9087</v>
      </c>
      <c r="E2722" s="204">
        <v>10.0</v>
      </c>
      <c r="F2722" s="205">
        <v>0.01</v>
      </c>
      <c r="G2722" s="205">
        <v>0.0</v>
      </c>
    </row>
    <row r="2723" ht="15.75" customHeight="1">
      <c r="A2723" s="200" t="s">
        <v>321</v>
      </c>
      <c r="B2723" s="186" t="s">
        <v>9088</v>
      </c>
      <c r="C2723" s="210" t="s">
        <v>9089</v>
      </c>
      <c r="D2723" s="210" t="s">
        <v>9090</v>
      </c>
      <c r="E2723" s="204">
        <v>10.0</v>
      </c>
      <c r="F2723" s="205">
        <v>0.01</v>
      </c>
      <c r="G2723" s="205">
        <v>0.1</v>
      </c>
    </row>
    <row r="2724" ht="15.75" customHeight="1">
      <c r="A2724" s="200" t="s">
        <v>321</v>
      </c>
      <c r="B2724" s="186" t="s">
        <v>2493</v>
      </c>
      <c r="C2724" s="210" t="s">
        <v>2494</v>
      </c>
      <c r="D2724" s="210" t="s">
        <v>9091</v>
      </c>
      <c r="E2724" s="204">
        <v>10.0</v>
      </c>
      <c r="F2724" s="205">
        <v>0.01</v>
      </c>
      <c r="G2724" s="205">
        <v>0.0</v>
      </c>
    </row>
    <row r="2725" ht="15.75" customHeight="1">
      <c r="A2725" s="200" t="s">
        <v>321</v>
      </c>
      <c r="B2725" s="186" t="s">
        <v>9092</v>
      </c>
      <c r="C2725" s="210" t="s">
        <v>9093</v>
      </c>
      <c r="D2725" s="210"/>
      <c r="E2725" s="204">
        <v>9.0</v>
      </c>
      <c r="F2725" s="205">
        <v>0.01</v>
      </c>
      <c r="G2725" s="205">
        <v>0.44</v>
      </c>
    </row>
    <row r="2726" ht="15.75" customHeight="1">
      <c r="A2726" s="200" t="s">
        <v>321</v>
      </c>
      <c r="B2726" s="186" t="s">
        <v>9094</v>
      </c>
      <c r="C2726" s="210" t="s">
        <v>9095</v>
      </c>
      <c r="D2726" s="210" t="s">
        <v>9096</v>
      </c>
      <c r="E2726" s="204">
        <v>9.0</v>
      </c>
      <c r="F2726" s="205">
        <v>0.01</v>
      </c>
      <c r="G2726" s="205">
        <v>0.33</v>
      </c>
    </row>
    <row r="2727" ht="15.75" customHeight="1">
      <c r="A2727" s="200" t="s">
        <v>321</v>
      </c>
      <c r="B2727" s="186" t="s">
        <v>9097</v>
      </c>
      <c r="C2727" s="210" t="s">
        <v>9098</v>
      </c>
      <c r="D2727" s="210"/>
      <c r="E2727" s="204">
        <v>9.0</v>
      </c>
      <c r="F2727" s="205">
        <v>0.01</v>
      </c>
      <c r="G2727" s="205">
        <v>0.56</v>
      </c>
    </row>
    <row r="2728" ht="15.75" customHeight="1">
      <c r="A2728" s="200" t="s">
        <v>321</v>
      </c>
      <c r="B2728" s="186" t="s">
        <v>9099</v>
      </c>
      <c r="C2728" s="210" t="s">
        <v>9100</v>
      </c>
      <c r="D2728" s="210"/>
      <c r="E2728" s="204">
        <v>9.0</v>
      </c>
      <c r="F2728" s="205">
        <v>0.01</v>
      </c>
      <c r="G2728" s="205">
        <v>0.11</v>
      </c>
    </row>
    <row r="2729" ht="15.75" customHeight="1">
      <c r="A2729" s="200" t="s">
        <v>321</v>
      </c>
      <c r="B2729" s="186" t="s">
        <v>9101</v>
      </c>
      <c r="C2729" s="210" t="s">
        <v>9102</v>
      </c>
      <c r="D2729" s="210" t="s">
        <v>2348</v>
      </c>
      <c r="E2729" s="204">
        <v>9.0</v>
      </c>
      <c r="F2729" s="205">
        <v>0.01</v>
      </c>
      <c r="G2729" s="205">
        <v>0.11</v>
      </c>
    </row>
    <row r="2730" ht="15.75" customHeight="1">
      <c r="A2730" s="200" t="s">
        <v>321</v>
      </c>
      <c r="B2730" s="186" t="s">
        <v>9103</v>
      </c>
      <c r="C2730" s="210" t="s">
        <v>9104</v>
      </c>
      <c r="D2730" s="210" t="s">
        <v>8786</v>
      </c>
      <c r="E2730" s="204">
        <v>9.0</v>
      </c>
      <c r="F2730" s="205">
        <v>0.01</v>
      </c>
      <c r="G2730" s="205">
        <v>0.0</v>
      </c>
    </row>
    <row r="2731" ht="15.75" customHeight="1">
      <c r="A2731" s="200" t="s">
        <v>321</v>
      </c>
      <c r="B2731" s="186" t="s">
        <v>9105</v>
      </c>
      <c r="C2731" s="210" t="s">
        <v>9106</v>
      </c>
      <c r="D2731" s="210" t="s">
        <v>9045</v>
      </c>
      <c r="E2731" s="204">
        <v>9.0</v>
      </c>
      <c r="F2731" s="205">
        <v>0.01</v>
      </c>
      <c r="G2731" s="205">
        <v>0.44</v>
      </c>
    </row>
    <row r="2732" ht="15.75" customHeight="1">
      <c r="A2732" s="200" t="s">
        <v>321</v>
      </c>
      <c r="B2732" s="186" t="s">
        <v>9107</v>
      </c>
      <c r="C2732" s="210" t="s">
        <v>9108</v>
      </c>
      <c r="D2732" s="210" t="s">
        <v>9109</v>
      </c>
      <c r="E2732" s="204">
        <v>9.0</v>
      </c>
      <c r="F2732" s="205">
        <v>0.01</v>
      </c>
      <c r="G2732" s="205">
        <v>0.0</v>
      </c>
    </row>
    <row r="2733" ht="15.75" customHeight="1">
      <c r="A2733" s="200" t="s">
        <v>321</v>
      </c>
      <c r="B2733" s="186" t="s">
        <v>9110</v>
      </c>
      <c r="C2733" s="210" t="s">
        <v>9111</v>
      </c>
      <c r="D2733" s="210"/>
      <c r="E2733" s="204">
        <v>9.0</v>
      </c>
      <c r="F2733" s="205">
        <v>0.01</v>
      </c>
      <c r="G2733" s="205">
        <v>1.11</v>
      </c>
    </row>
    <row r="2734" ht="15.75" customHeight="1">
      <c r="A2734" s="200" t="s">
        <v>321</v>
      </c>
      <c r="B2734" s="186" t="s">
        <v>9112</v>
      </c>
      <c r="C2734" s="210" t="s">
        <v>9113</v>
      </c>
      <c r="D2734" s="210" t="s">
        <v>9114</v>
      </c>
      <c r="E2734" s="204">
        <v>9.0</v>
      </c>
      <c r="F2734" s="205">
        <v>0.01</v>
      </c>
      <c r="G2734" s="205">
        <v>0.44</v>
      </c>
    </row>
    <row r="2735" ht="15.75" customHeight="1">
      <c r="A2735" s="200" t="s">
        <v>321</v>
      </c>
      <c r="B2735" s="186" t="s">
        <v>2598</v>
      </c>
      <c r="C2735" s="210" t="s">
        <v>2599</v>
      </c>
      <c r="D2735" s="210" t="s">
        <v>2600</v>
      </c>
      <c r="E2735" s="204">
        <v>9.0</v>
      </c>
      <c r="F2735" s="205">
        <v>0.01</v>
      </c>
      <c r="G2735" s="205">
        <v>1.67</v>
      </c>
    </row>
    <row r="2736" ht="15.75" customHeight="1">
      <c r="A2736" s="200" t="s">
        <v>321</v>
      </c>
      <c r="B2736" s="186" t="s">
        <v>9115</v>
      </c>
      <c r="C2736" s="210" t="s">
        <v>9116</v>
      </c>
      <c r="D2736" s="210" t="s">
        <v>9117</v>
      </c>
      <c r="E2736" s="204">
        <v>9.0</v>
      </c>
      <c r="F2736" s="205">
        <v>0.01</v>
      </c>
      <c r="G2736" s="205">
        <v>0.0</v>
      </c>
    </row>
    <row r="2737" ht="15.75" customHeight="1">
      <c r="A2737" s="200" t="s">
        <v>321</v>
      </c>
      <c r="B2737" s="186" t="s">
        <v>9118</v>
      </c>
      <c r="C2737" s="210" t="s">
        <v>8983</v>
      </c>
      <c r="D2737" s="210" t="s">
        <v>8984</v>
      </c>
      <c r="E2737" s="204">
        <v>9.0</v>
      </c>
      <c r="F2737" s="205">
        <v>0.01</v>
      </c>
      <c r="G2737" s="205">
        <v>0.0</v>
      </c>
    </row>
    <row r="2738" ht="15.75" customHeight="1">
      <c r="A2738" s="200" t="s">
        <v>321</v>
      </c>
      <c r="B2738" s="186" t="s">
        <v>4011</v>
      </c>
      <c r="C2738" s="210" t="s">
        <v>4012</v>
      </c>
      <c r="D2738" s="210" t="s">
        <v>2231</v>
      </c>
      <c r="E2738" s="204">
        <v>9.0</v>
      </c>
      <c r="F2738" s="205">
        <v>0.01</v>
      </c>
      <c r="G2738" s="205">
        <v>0.0</v>
      </c>
    </row>
    <row r="2739" ht="15.75" customHeight="1">
      <c r="A2739" s="200" t="s">
        <v>321</v>
      </c>
      <c r="B2739" s="186" t="s">
        <v>9119</v>
      </c>
      <c r="C2739" s="210" t="s">
        <v>9120</v>
      </c>
      <c r="D2739" s="210" t="s">
        <v>9121</v>
      </c>
      <c r="E2739" s="204">
        <v>9.0</v>
      </c>
      <c r="F2739" s="205">
        <v>0.01</v>
      </c>
      <c r="G2739" s="205">
        <v>0.44</v>
      </c>
    </row>
    <row r="2740" ht="15.75" customHeight="1">
      <c r="A2740" s="200" t="s">
        <v>321</v>
      </c>
      <c r="B2740" s="186" t="s">
        <v>9122</v>
      </c>
      <c r="C2740" s="210" t="s">
        <v>9123</v>
      </c>
      <c r="D2740" s="210" t="s">
        <v>9124</v>
      </c>
      <c r="E2740" s="204">
        <v>9.0</v>
      </c>
      <c r="F2740" s="205">
        <v>0.01</v>
      </c>
      <c r="G2740" s="205">
        <v>0.0</v>
      </c>
    </row>
    <row r="2741" ht="15.75" customHeight="1">
      <c r="A2741" s="200" t="s">
        <v>321</v>
      </c>
      <c r="B2741" s="186" t="s">
        <v>9125</v>
      </c>
      <c r="C2741" s="210" t="s">
        <v>9126</v>
      </c>
      <c r="D2741" s="210" t="s">
        <v>9127</v>
      </c>
      <c r="E2741" s="204">
        <v>9.0</v>
      </c>
      <c r="F2741" s="205">
        <v>0.01</v>
      </c>
      <c r="G2741" s="205">
        <v>1.78</v>
      </c>
    </row>
    <row r="2742" ht="15.75" customHeight="1">
      <c r="A2742" s="200" t="s">
        <v>321</v>
      </c>
      <c r="B2742" s="186" t="s">
        <v>2451</v>
      </c>
      <c r="C2742" s="210" t="s">
        <v>2452</v>
      </c>
      <c r="D2742" s="210" t="s">
        <v>9128</v>
      </c>
      <c r="E2742" s="204">
        <v>9.0</v>
      </c>
      <c r="F2742" s="205">
        <v>0.01</v>
      </c>
      <c r="G2742" s="205">
        <v>0.67</v>
      </c>
    </row>
    <row r="2743" ht="15.75" customHeight="1">
      <c r="A2743" s="200" t="s">
        <v>321</v>
      </c>
      <c r="B2743" s="186" t="s">
        <v>9129</v>
      </c>
      <c r="C2743" s="210" t="s">
        <v>9130</v>
      </c>
      <c r="D2743" s="210" t="s">
        <v>9131</v>
      </c>
      <c r="E2743" s="204">
        <v>9.0</v>
      </c>
      <c r="F2743" s="205">
        <v>0.01</v>
      </c>
      <c r="G2743" s="205">
        <v>1.0</v>
      </c>
    </row>
    <row r="2744" ht="15.75" customHeight="1">
      <c r="A2744" s="200" t="s">
        <v>321</v>
      </c>
      <c r="B2744" s="186" t="s">
        <v>9132</v>
      </c>
      <c r="C2744" s="210" t="s">
        <v>9133</v>
      </c>
      <c r="D2744" s="210" t="s">
        <v>9134</v>
      </c>
      <c r="E2744" s="204">
        <v>8.0</v>
      </c>
      <c r="F2744" s="205">
        <v>0.01</v>
      </c>
      <c r="G2744" s="205">
        <v>0.0</v>
      </c>
    </row>
    <row r="2745" ht="15.75" customHeight="1">
      <c r="A2745" s="200" t="s">
        <v>321</v>
      </c>
      <c r="B2745" s="186" t="s">
        <v>9135</v>
      </c>
      <c r="C2745" s="210" t="s">
        <v>9136</v>
      </c>
      <c r="D2745" s="210" t="s">
        <v>9137</v>
      </c>
      <c r="E2745" s="204">
        <v>8.0</v>
      </c>
      <c r="F2745" s="205">
        <v>0.01</v>
      </c>
      <c r="G2745" s="205">
        <v>0.0</v>
      </c>
    </row>
    <row r="2746" ht="15.75" customHeight="1">
      <c r="A2746" s="200" t="s">
        <v>321</v>
      </c>
      <c r="B2746" s="186" t="s">
        <v>9138</v>
      </c>
      <c r="C2746" s="210" t="s">
        <v>9139</v>
      </c>
      <c r="D2746" s="210" t="s">
        <v>9140</v>
      </c>
      <c r="E2746" s="204">
        <v>8.0</v>
      </c>
      <c r="F2746" s="205">
        <v>0.01</v>
      </c>
      <c r="G2746" s="205">
        <v>0.25</v>
      </c>
    </row>
    <row r="2747" ht="15.75" customHeight="1">
      <c r="A2747" s="200" t="s">
        <v>321</v>
      </c>
      <c r="B2747" s="186" t="s">
        <v>9141</v>
      </c>
      <c r="C2747" s="210" t="s">
        <v>9142</v>
      </c>
      <c r="D2747" s="210" t="s">
        <v>9143</v>
      </c>
      <c r="E2747" s="204">
        <v>8.0</v>
      </c>
      <c r="F2747" s="205">
        <v>0.01</v>
      </c>
      <c r="G2747" s="205">
        <v>0.0</v>
      </c>
    </row>
    <row r="2748" ht="15.75" customHeight="1">
      <c r="A2748" s="200" t="s">
        <v>321</v>
      </c>
      <c r="B2748" s="186" t="s">
        <v>754</v>
      </c>
      <c r="C2748" s="210" t="s">
        <v>755</v>
      </c>
      <c r="D2748" s="210" t="s">
        <v>2604</v>
      </c>
      <c r="E2748" s="204">
        <v>8.0</v>
      </c>
      <c r="F2748" s="205">
        <v>0.01</v>
      </c>
      <c r="G2748" s="205">
        <v>0.63</v>
      </c>
    </row>
    <row r="2749" ht="15.75" customHeight="1">
      <c r="A2749" s="200" t="s">
        <v>321</v>
      </c>
      <c r="B2749" s="186" t="s">
        <v>3761</v>
      </c>
      <c r="C2749" s="210" t="s">
        <v>3762</v>
      </c>
      <c r="D2749" s="210" t="s">
        <v>7923</v>
      </c>
      <c r="E2749" s="204">
        <v>8.0</v>
      </c>
      <c r="F2749" s="205">
        <v>0.01</v>
      </c>
      <c r="G2749" s="205">
        <v>1.88</v>
      </c>
    </row>
    <row r="2750" ht="15.75" customHeight="1">
      <c r="A2750" s="200" t="s">
        <v>321</v>
      </c>
      <c r="B2750" s="186" t="s">
        <v>9144</v>
      </c>
      <c r="C2750" s="210" t="s">
        <v>9145</v>
      </c>
      <c r="D2750" s="210" t="s">
        <v>9146</v>
      </c>
      <c r="E2750" s="204">
        <v>8.0</v>
      </c>
      <c r="F2750" s="205">
        <v>0.01</v>
      </c>
      <c r="G2750" s="205">
        <v>0.25</v>
      </c>
    </row>
    <row r="2751" ht="15.75" customHeight="1">
      <c r="A2751" s="200" t="s">
        <v>321</v>
      </c>
      <c r="B2751" s="186" t="s">
        <v>9147</v>
      </c>
      <c r="C2751" s="210" t="s">
        <v>9148</v>
      </c>
      <c r="D2751" s="210" t="s">
        <v>9121</v>
      </c>
      <c r="E2751" s="204">
        <v>8.0</v>
      </c>
      <c r="F2751" s="205">
        <v>0.01</v>
      </c>
      <c r="G2751" s="205">
        <v>0.38</v>
      </c>
    </row>
    <row r="2752" ht="15.75" customHeight="1">
      <c r="A2752" s="200" t="s">
        <v>321</v>
      </c>
      <c r="B2752" s="186" t="s">
        <v>9149</v>
      </c>
      <c r="C2752" s="210" t="s">
        <v>8811</v>
      </c>
      <c r="D2752" s="210" t="s">
        <v>9150</v>
      </c>
      <c r="E2752" s="204">
        <v>8.0</v>
      </c>
      <c r="F2752" s="205">
        <v>0.01</v>
      </c>
      <c r="G2752" s="205">
        <v>0.5</v>
      </c>
    </row>
    <row r="2753" ht="15.75" customHeight="1">
      <c r="A2753" s="200" t="s">
        <v>321</v>
      </c>
      <c r="B2753" s="186" t="s">
        <v>9151</v>
      </c>
      <c r="C2753" s="210" t="s">
        <v>9152</v>
      </c>
      <c r="D2753" s="210" t="s">
        <v>9153</v>
      </c>
      <c r="E2753" s="204">
        <v>8.0</v>
      </c>
      <c r="F2753" s="205">
        <v>0.01</v>
      </c>
      <c r="G2753" s="205">
        <v>0.0</v>
      </c>
    </row>
    <row r="2754" ht="15.75" customHeight="1">
      <c r="A2754" s="200" t="s">
        <v>321</v>
      </c>
      <c r="B2754" s="186" t="s">
        <v>8661</v>
      </c>
      <c r="C2754" s="210" t="s">
        <v>8662</v>
      </c>
      <c r="D2754" s="210" t="s">
        <v>9154</v>
      </c>
      <c r="E2754" s="204">
        <v>8.0</v>
      </c>
      <c r="F2754" s="205">
        <v>0.01</v>
      </c>
      <c r="G2754" s="205">
        <v>0.0</v>
      </c>
    </row>
    <row r="2755" ht="15.75" customHeight="1">
      <c r="A2755" s="200" t="s">
        <v>321</v>
      </c>
      <c r="B2755" s="186" t="s">
        <v>2873</v>
      </c>
      <c r="C2755" s="210" t="s">
        <v>2874</v>
      </c>
      <c r="D2755" s="210" t="s">
        <v>9155</v>
      </c>
      <c r="E2755" s="204">
        <v>8.0</v>
      </c>
      <c r="F2755" s="205">
        <v>0.01</v>
      </c>
      <c r="G2755" s="205">
        <v>0.0</v>
      </c>
    </row>
    <row r="2756" ht="15.75" customHeight="1">
      <c r="A2756" s="200" t="s">
        <v>321</v>
      </c>
      <c r="B2756" s="186" t="s">
        <v>9156</v>
      </c>
      <c r="C2756" s="210" t="s">
        <v>9157</v>
      </c>
      <c r="D2756" s="210" t="s">
        <v>608</v>
      </c>
      <c r="E2756" s="204">
        <v>8.0</v>
      </c>
      <c r="F2756" s="205">
        <v>0.01</v>
      </c>
      <c r="G2756" s="205">
        <v>0.75</v>
      </c>
    </row>
    <row r="2757" ht="15.75" customHeight="1">
      <c r="A2757" s="200" t="s">
        <v>321</v>
      </c>
      <c r="B2757" s="186" t="s">
        <v>7761</v>
      </c>
      <c r="C2757" s="210" t="s">
        <v>7762</v>
      </c>
      <c r="D2757" s="210" t="s">
        <v>7763</v>
      </c>
      <c r="E2757" s="204">
        <v>8.0</v>
      </c>
      <c r="F2757" s="205">
        <v>0.01</v>
      </c>
      <c r="G2757" s="205">
        <v>1.13</v>
      </c>
    </row>
    <row r="2758" ht="15.75" customHeight="1">
      <c r="A2758" s="200" t="s">
        <v>321</v>
      </c>
      <c r="B2758" s="186" t="s">
        <v>9158</v>
      </c>
      <c r="C2758" s="210" t="s">
        <v>9159</v>
      </c>
      <c r="D2758" s="210"/>
      <c r="E2758" s="204">
        <v>7.0</v>
      </c>
      <c r="F2758" s="205">
        <v>0.01</v>
      </c>
      <c r="G2758" s="205">
        <v>0.57</v>
      </c>
    </row>
    <row r="2759" ht="15.75" customHeight="1">
      <c r="A2759" s="200" t="s">
        <v>321</v>
      </c>
      <c r="B2759" s="186" t="s">
        <v>9160</v>
      </c>
      <c r="C2759" s="210" t="s">
        <v>9161</v>
      </c>
      <c r="D2759" s="210"/>
      <c r="E2759" s="204">
        <v>7.0</v>
      </c>
      <c r="F2759" s="205">
        <v>0.01</v>
      </c>
      <c r="G2759" s="205">
        <v>0.0</v>
      </c>
    </row>
    <row r="2760" ht="15.75" customHeight="1">
      <c r="A2760" s="200" t="s">
        <v>321</v>
      </c>
      <c r="B2760" s="186" t="s">
        <v>9162</v>
      </c>
      <c r="C2760" s="210" t="s">
        <v>9163</v>
      </c>
      <c r="D2760" s="210" t="s">
        <v>8843</v>
      </c>
      <c r="E2760" s="204">
        <v>7.0</v>
      </c>
      <c r="F2760" s="205">
        <v>0.01</v>
      </c>
      <c r="G2760" s="205">
        <v>1.71</v>
      </c>
    </row>
    <row r="2761" ht="15.75" customHeight="1">
      <c r="A2761" s="200" t="s">
        <v>321</v>
      </c>
      <c r="B2761" s="186" t="s">
        <v>9164</v>
      </c>
      <c r="C2761" s="210" t="s">
        <v>9165</v>
      </c>
      <c r="D2761" s="210" t="s">
        <v>8765</v>
      </c>
      <c r="E2761" s="204">
        <v>7.0</v>
      </c>
      <c r="F2761" s="205">
        <v>0.01</v>
      </c>
      <c r="G2761" s="205">
        <v>0.14</v>
      </c>
    </row>
    <row r="2762" ht="15.75" customHeight="1">
      <c r="A2762" s="200" t="s">
        <v>321</v>
      </c>
      <c r="B2762" s="186" t="s">
        <v>2317</v>
      </c>
      <c r="C2762" s="210" t="s">
        <v>2318</v>
      </c>
      <c r="D2762" s="210" t="s">
        <v>9166</v>
      </c>
      <c r="E2762" s="204">
        <v>7.0</v>
      </c>
      <c r="F2762" s="205">
        <v>0.01</v>
      </c>
      <c r="G2762" s="205">
        <v>1.29</v>
      </c>
    </row>
    <row r="2763" ht="15.75" customHeight="1">
      <c r="A2763" s="200" t="s">
        <v>321</v>
      </c>
      <c r="B2763" s="186" t="s">
        <v>9167</v>
      </c>
      <c r="C2763" s="210" t="s">
        <v>8923</v>
      </c>
      <c r="D2763" s="210" t="s">
        <v>2259</v>
      </c>
      <c r="E2763" s="204">
        <v>7.0</v>
      </c>
      <c r="F2763" s="205">
        <v>0.01</v>
      </c>
      <c r="G2763" s="205">
        <v>0.14</v>
      </c>
    </row>
    <row r="2764" ht="15.75" customHeight="1">
      <c r="A2764" s="200" t="s">
        <v>321</v>
      </c>
      <c r="B2764" s="186" t="s">
        <v>9168</v>
      </c>
      <c r="C2764" s="210" t="s">
        <v>9169</v>
      </c>
      <c r="D2764" s="210"/>
      <c r="E2764" s="204">
        <v>7.0</v>
      </c>
      <c r="F2764" s="205">
        <v>0.01</v>
      </c>
      <c r="G2764" s="205">
        <v>0.0</v>
      </c>
    </row>
    <row r="2765" ht="15.75" customHeight="1">
      <c r="A2765" s="200" t="s">
        <v>321</v>
      </c>
      <c r="B2765" s="186" t="s">
        <v>9170</v>
      </c>
      <c r="C2765" s="210" t="s">
        <v>9171</v>
      </c>
      <c r="D2765" s="210"/>
      <c r="E2765" s="204">
        <v>7.0</v>
      </c>
      <c r="F2765" s="205">
        <v>0.01</v>
      </c>
      <c r="G2765" s="205">
        <v>2.43</v>
      </c>
    </row>
    <row r="2766" ht="15.75" customHeight="1">
      <c r="A2766" s="200" t="s">
        <v>321</v>
      </c>
      <c r="B2766" s="186" t="s">
        <v>9172</v>
      </c>
      <c r="C2766" s="210" t="s">
        <v>9173</v>
      </c>
      <c r="D2766" s="210" t="s">
        <v>8967</v>
      </c>
      <c r="E2766" s="204">
        <v>7.0</v>
      </c>
      <c r="F2766" s="205">
        <v>0.01</v>
      </c>
      <c r="G2766" s="205">
        <v>0.43</v>
      </c>
    </row>
    <row r="2767" ht="15.75" customHeight="1">
      <c r="A2767" s="200" t="s">
        <v>321</v>
      </c>
      <c r="B2767" s="186" t="s">
        <v>9174</v>
      </c>
      <c r="C2767" s="210" t="s">
        <v>9175</v>
      </c>
      <c r="D2767" s="210" t="s">
        <v>9176</v>
      </c>
      <c r="E2767" s="204">
        <v>7.0</v>
      </c>
      <c r="F2767" s="205">
        <v>0.01</v>
      </c>
      <c r="G2767" s="205">
        <v>1.29</v>
      </c>
    </row>
    <row r="2768" ht="15.75" customHeight="1">
      <c r="A2768" s="200" t="s">
        <v>321</v>
      </c>
      <c r="B2768" s="186" t="s">
        <v>9177</v>
      </c>
      <c r="C2768" s="210" t="s">
        <v>9178</v>
      </c>
      <c r="D2768" s="210" t="s">
        <v>9179</v>
      </c>
      <c r="E2768" s="204">
        <v>7.0</v>
      </c>
      <c r="F2768" s="205">
        <v>0.01</v>
      </c>
      <c r="G2768" s="205">
        <v>0.0</v>
      </c>
    </row>
    <row r="2769" ht="15.75" customHeight="1">
      <c r="A2769" s="200" t="s">
        <v>321</v>
      </c>
      <c r="B2769" s="186" t="s">
        <v>2681</v>
      </c>
      <c r="C2769" s="210" t="s">
        <v>2682</v>
      </c>
      <c r="D2769" s="210" t="s">
        <v>9180</v>
      </c>
      <c r="E2769" s="204">
        <v>7.0</v>
      </c>
      <c r="F2769" s="205">
        <v>0.01</v>
      </c>
      <c r="G2769" s="205">
        <v>0.29</v>
      </c>
    </row>
    <row r="2770" ht="15.75" customHeight="1">
      <c r="A2770" s="200" t="s">
        <v>321</v>
      </c>
      <c r="B2770" s="186" t="s">
        <v>2923</v>
      </c>
      <c r="C2770" s="210" t="s">
        <v>2924</v>
      </c>
      <c r="D2770" s="210" t="s">
        <v>9181</v>
      </c>
      <c r="E2770" s="204">
        <v>7.0</v>
      </c>
      <c r="F2770" s="205">
        <v>0.01</v>
      </c>
      <c r="G2770" s="205">
        <v>0.0</v>
      </c>
    </row>
    <row r="2771" ht="15.75" customHeight="1">
      <c r="A2771" s="200" t="s">
        <v>321</v>
      </c>
      <c r="B2771" s="186" t="s">
        <v>7963</v>
      </c>
      <c r="C2771" s="210" t="s">
        <v>7967</v>
      </c>
      <c r="D2771" s="210" t="s">
        <v>7969</v>
      </c>
      <c r="E2771" s="204">
        <v>7.0</v>
      </c>
      <c r="F2771" s="205">
        <v>0.01</v>
      </c>
      <c r="G2771" s="205">
        <v>3.0</v>
      </c>
    </row>
    <row r="2772" ht="15.75" customHeight="1">
      <c r="A2772" s="200" t="s">
        <v>321</v>
      </c>
      <c r="B2772" s="186" t="s">
        <v>9182</v>
      </c>
      <c r="C2772" s="210" t="s">
        <v>9183</v>
      </c>
      <c r="D2772" s="210" t="s">
        <v>1029</v>
      </c>
      <c r="E2772" s="204">
        <v>7.0</v>
      </c>
      <c r="F2772" s="205">
        <v>0.01</v>
      </c>
      <c r="G2772" s="205">
        <v>0.0</v>
      </c>
    </row>
    <row r="2773" ht="15.75" customHeight="1">
      <c r="A2773" s="200" t="s">
        <v>321</v>
      </c>
      <c r="B2773" s="186" t="s">
        <v>9184</v>
      </c>
      <c r="C2773" s="210" t="s">
        <v>9185</v>
      </c>
      <c r="D2773" s="210" t="s">
        <v>2547</v>
      </c>
      <c r="E2773" s="204">
        <v>7.0</v>
      </c>
      <c r="F2773" s="205">
        <v>0.01</v>
      </c>
      <c r="G2773" s="205">
        <v>0.0</v>
      </c>
    </row>
    <row r="2774" ht="15.75" customHeight="1">
      <c r="A2774" s="200" t="s">
        <v>321</v>
      </c>
      <c r="B2774" s="186" t="s">
        <v>9186</v>
      </c>
      <c r="C2774" s="210" t="s">
        <v>9187</v>
      </c>
      <c r="D2774" s="210" t="s">
        <v>8791</v>
      </c>
      <c r="E2774" s="204">
        <v>6.0</v>
      </c>
      <c r="F2774" s="205">
        <v>0.01</v>
      </c>
      <c r="G2774" s="205">
        <v>0.17</v>
      </c>
    </row>
    <row r="2775" ht="15.75" customHeight="1">
      <c r="A2775" s="200" t="s">
        <v>321</v>
      </c>
      <c r="B2775" s="186" t="s">
        <v>9188</v>
      </c>
      <c r="C2775" s="210" t="s">
        <v>9189</v>
      </c>
      <c r="D2775" s="210" t="s">
        <v>9190</v>
      </c>
      <c r="E2775" s="204">
        <v>6.0</v>
      </c>
      <c r="F2775" s="205">
        <v>0.01</v>
      </c>
      <c r="G2775" s="205">
        <v>0.0</v>
      </c>
    </row>
    <row r="2776" ht="15.75" customHeight="1">
      <c r="A2776" s="200" t="s">
        <v>321</v>
      </c>
      <c r="B2776" s="186" t="s">
        <v>2299</v>
      </c>
      <c r="C2776" s="210" t="s">
        <v>2300</v>
      </c>
      <c r="D2776" s="210" t="s">
        <v>9191</v>
      </c>
      <c r="E2776" s="204">
        <v>6.0</v>
      </c>
      <c r="F2776" s="205">
        <v>0.01</v>
      </c>
      <c r="G2776" s="205">
        <v>0.17</v>
      </c>
    </row>
    <row r="2777" ht="15.75" customHeight="1">
      <c r="A2777" s="200" t="s">
        <v>321</v>
      </c>
      <c r="B2777" s="186" t="s">
        <v>9192</v>
      </c>
      <c r="C2777" s="210" t="s">
        <v>9193</v>
      </c>
      <c r="D2777" s="210" t="s">
        <v>9194</v>
      </c>
      <c r="E2777" s="204">
        <v>6.0</v>
      </c>
      <c r="F2777" s="205">
        <v>0.01</v>
      </c>
      <c r="G2777" s="205">
        <v>0.0</v>
      </c>
    </row>
    <row r="2778" ht="15.75" customHeight="1">
      <c r="A2778" s="200" t="s">
        <v>321</v>
      </c>
      <c r="B2778" s="186" t="s">
        <v>9195</v>
      </c>
      <c r="C2778" s="210" t="s">
        <v>9196</v>
      </c>
      <c r="D2778" s="210" t="s">
        <v>9197</v>
      </c>
      <c r="E2778" s="204">
        <v>6.0</v>
      </c>
      <c r="F2778" s="205">
        <v>0.01</v>
      </c>
      <c r="G2778" s="205">
        <v>2.5</v>
      </c>
    </row>
    <row r="2779" ht="15.75" customHeight="1">
      <c r="A2779" s="200" t="s">
        <v>321</v>
      </c>
      <c r="B2779" s="186" t="s">
        <v>9198</v>
      </c>
      <c r="C2779" s="210" t="s">
        <v>9199</v>
      </c>
      <c r="D2779" s="210" t="s">
        <v>9200</v>
      </c>
      <c r="E2779" s="204">
        <v>6.0</v>
      </c>
      <c r="F2779" s="205">
        <v>0.01</v>
      </c>
      <c r="G2779" s="205">
        <v>0.0</v>
      </c>
    </row>
    <row r="2780" ht="15.75" customHeight="1">
      <c r="A2780" s="200" t="s">
        <v>321</v>
      </c>
      <c r="B2780" s="186" t="s">
        <v>9201</v>
      </c>
      <c r="C2780" s="210" t="s">
        <v>9202</v>
      </c>
      <c r="D2780" s="210"/>
      <c r="E2780" s="204">
        <v>6.0</v>
      </c>
      <c r="F2780" s="205">
        <v>0.01</v>
      </c>
      <c r="G2780" s="205">
        <v>0.83</v>
      </c>
    </row>
    <row r="2781" ht="15.75" customHeight="1">
      <c r="A2781" s="200" t="s">
        <v>321</v>
      </c>
      <c r="B2781" s="186" t="s">
        <v>2608</v>
      </c>
      <c r="C2781" s="210" t="s">
        <v>2609</v>
      </c>
      <c r="D2781" s="210" t="s">
        <v>2547</v>
      </c>
      <c r="E2781" s="204">
        <v>6.0</v>
      </c>
      <c r="F2781" s="205">
        <v>0.01</v>
      </c>
      <c r="G2781" s="205">
        <v>2.33</v>
      </c>
    </row>
    <row r="2782" ht="15.75" customHeight="1">
      <c r="A2782" s="200" t="s">
        <v>321</v>
      </c>
      <c r="B2782" s="186" t="s">
        <v>693</v>
      </c>
      <c r="C2782" s="210" t="s">
        <v>694</v>
      </c>
      <c r="D2782" s="210" t="s">
        <v>1570</v>
      </c>
      <c r="E2782" s="204">
        <v>6.0</v>
      </c>
      <c r="F2782" s="205">
        <v>0.01</v>
      </c>
      <c r="G2782" s="205">
        <v>2.0</v>
      </c>
    </row>
    <row r="2783" ht="15.75" customHeight="1">
      <c r="A2783" s="200" t="s">
        <v>321</v>
      </c>
      <c r="B2783" s="186" t="s">
        <v>3256</v>
      </c>
      <c r="C2783" s="210" t="s">
        <v>3258</v>
      </c>
      <c r="D2783" s="210" t="s">
        <v>9203</v>
      </c>
      <c r="E2783" s="204">
        <v>6.0</v>
      </c>
      <c r="F2783" s="205">
        <v>0.01</v>
      </c>
      <c r="G2783" s="205">
        <v>1.5</v>
      </c>
    </row>
    <row r="2784" ht="15.75" customHeight="1">
      <c r="A2784" s="200" t="s">
        <v>321</v>
      </c>
      <c r="B2784" s="186" t="s">
        <v>9204</v>
      </c>
      <c r="C2784" s="210" t="s">
        <v>9205</v>
      </c>
      <c r="D2784" s="210" t="s">
        <v>9206</v>
      </c>
      <c r="E2784" s="204">
        <v>6.0</v>
      </c>
      <c r="F2784" s="205">
        <v>0.01</v>
      </c>
      <c r="G2784" s="205">
        <v>1.0</v>
      </c>
    </row>
    <row r="2785" ht="15.75" customHeight="1">
      <c r="A2785" s="200" t="s">
        <v>321</v>
      </c>
      <c r="B2785" s="186" t="s">
        <v>9207</v>
      </c>
      <c r="C2785" s="210" t="s">
        <v>9208</v>
      </c>
      <c r="D2785" s="210"/>
      <c r="E2785" s="204">
        <v>5.0</v>
      </c>
      <c r="F2785" s="205">
        <v>0.01</v>
      </c>
      <c r="G2785" s="205">
        <v>1.0</v>
      </c>
    </row>
    <row r="2786" ht="15.75" customHeight="1">
      <c r="A2786" s="200" t="s">
        <v>321</v>
      </c>
      <c r="B2786" s="186" t="s">
        <v>9209</v>
      </c>
      <c r="C2786" s="210" t="s">
        <v>9210</v>
      </c>
      <c r="D2786" s="210" t="s">
        <v>9211</v>
      </c>
      <c r="E2786" s="204">
        <v>5.0</v>
      </c>
      <c r="F2786" s="205">
        <v>0.01</v>
      </c>
      <c r="G2786" s="205">
        <v>0.8</v>
      </c>
    </row>
    <row r="2787" ht="15.75" customHeight="1">
      <c r="A2787" s="200" t="s">
        <v>321</v>
      </c>
      <c r="B2787" s="186" t="s">
        <v>9212</v>
      </c>
      <c r="C2787" s="210" t="s">
        <v>9213</v>
      </c>
      <c r="D2787" s="210" t="s">
        <v>9214</v>
      </c>
      <c r="E2787" s="204">
        <v>5.0</v>
      </c>
      <c r="F2787" s="205">
        <v>0.01</v>
      </c>
      <c r="G2787" s="205">
        <v>1.8</v>
      </c>
    </row>
    <row r="2788" ht="15.75" customHeight="1">
      <c r="A2788" s="200" t="s">
        <v>321</v>
      </c>
      <c r="B2788" s="186" t="s">
        <v>405</v>
      </c>
      <c r="C2788" s="210" t="s">
        <v>406</v>
      </c>
      <c r="D2788" s="210"/>
      <c r="E2788" s="204">
        <v>5.0</v>
      </c>
      <c r="F2788" s="205">
        <v>0.01</v>
      </c>
      <c r="G2788" s="205">
        <v>0.0</v>
      </c>
    </row>
    <row r="2789" ht="15.75" customHeight="1">
      <c r="A2789" s="200" t="s">
        <v>321</v>
      </c>
      <c r="B2789" s="186" t="s">
        <v>9215</v>
      </c>
      <c r="C2789" s="210" t="s">
        <v>9216</v>
      </c>
      <c r="D2789" s="210" t="s">
        <v>9217</v>
      </c>
      <c r="E2789" s="204">
        <v>5.0</v>
      </c>
      <c r="F2789" s="205">
        <v>0.01</v>
      </c>
      <c r="G2789" s="205">
        <v>1.4</v>
      </c>
    </row>
    <row r="2790" ht="15.75" customHeight="1">
      <c r="A2790" s="200" t="s">
        <v>321</v>
      </c>
      <c r="B2790" s="186" t="s">
        <v>9218</v>
      </c>
      <c r="C2790" s="210" t="s">
        <v>9219</v>
      </c>
      <c r="D2790" s="210"/>
      <c r="E2790" s="204">
        <v>5.0</v>
      </c>
      <c r="F2790" s="205">
        <v>0.01</v>
      </c>
      <c r="G2790" s="205">
        <v>0.4</v>
      </c>
    </row>
    <row r="2791" ht="15.75" customHeight="1">
      <c r="A2791" s="200" t="s">
        <v>321</v>
      </c>
      <c r="B2791" s="186" t="s">
        <v>9220</v>
      </c>
      <c r="C2791" s="210" t="s">
        <v>9221</v>
      </c>
      <c r="D2791" s="210"/>
      <c r="E2791" s="204">
        <v>5.0</v>
      </c>
      <c r="F2791" s="205">
        <v>0.01</v>
      </c>
      <c r="G2791" s="205">
        <v>0.2</v>
      </c>
    </row>
    <row r="2792" ht="15.75" customHeight="1">
      <c r="A2792" s="200" t="s">
        <v>321</v>
      </c>
      <c r="B2792" s="186" t="s">
        <v>9222</v>
      </c>
      <c r="C2792" s="210" t="s">
        <v>9223</v>
      </c>
      <c r="D2792" s="210" t="s">
        <v>9224</v>
      </c>
      <c r="E2792" s="204">
        <v>5.0</v>
      </c>
      <c r="F2792" s="205">
        <v>0.01</v>
      </c>
      <c r="G2792" s="205">
        <v>0.0</v>
      </c>
    </row>
    <row r="2793" ht="15.75" customHeight="1">
      <c r="A2793" s="200" t="s">
        <v>321</v>
      </c>
      <c r="B2793" s="186" t="s">
        <v>9225</v>
      </c>
      <c r="C2793" s="210" t="s">
        <v>9226</v>
      </c>
      <c r="D2793" s="210"/>
      <c r="E2793" s="204">
        <v>5.0</v>
      </c>
      <c r="F2793" s="205">
        <v>0.01</v>
      </c>
      <c r="G2793" s="205">
        <v>0.0</v>
      </c>
    </row>
    <row r="2794" ht="15.75" customHeight="1">
      <c r="A2794" s="200" t="s">
        <v>321</v>
      </c>
      <c r="B2794" s="186" t="s">
        <v>865</v>
      </c>
      <c r="C2794" s="210" t="s">
        <v>866</v>
      </c>
      <c r="D2794" s="210" t="s">
        <v>9227</v>
      </c>
      <c r="E2794" s="204">
        <v>5.0</v>
      </c>
      <c r="F2794" s="205">
        <v>0.01</v>
      </c>
      <c r="G2794" s="205">
        <v>0.0</v>
      </c>
    </row>
    <row r="2795" ht="15.75" customHeight="1">
      <c r="A2795" s="200" t="s">
        <v>321</v>
      </c>
      <c r="B2795" s="186" t="s">
        <v>9228</v>
      </c>
      <c r="C2795" s="210" t="s">
        <v>9229</v>
      </c>
      <c r="D2795" s="210" t="s">
        <v>9230</v>
      </c>
      <c r="E2795" s="204">
        <v>5.0</v>
      </c>
      <c r="F2795" s="205">
        <v>0.01</v>
      </c>
      <c r="G2795" s="205">
        <v>1.0</v>
      </c>
    </row>
    <row r="2796" ht="15.75" customHeight="1">
      <c r="A2796" s="200" t="s">
        <v>321</v>
      </c>
      <c r="B2796" s="186" t="s">
        <v>9231</v>
      </c>
      <c r="C2796" s="210" t="s">
        <v>9232</v>
      </c>
      <c r="D2796" s="210" t="s">
        <v>9233</v>
      </c>
      <c r="E2796" s="204">
        <v>5.0</v>
      </c>
      <c r="F2796" s="205">
        <v>0.01</v>
      </c>
      <c r="G2796" s="205">
        <v>0.8</v>
      </c>
    </row>
    <row r="2797" ht="15.75" customHeight="1">
      <c r="A2797" s="200" t="s">
        <v>321</v>
      </c>
      <c r="B2797" s="186" t="s">
        <v>872</v>
      </c>
      <c r="C2797" s="210" t="s">
        <v>873</v>
      </c>
      <c r="D2797" s="210" t="s">
        <v>874</v>
      </c>
      <c r="E2797" s="204">
        <v>5.0</v>
      </c>
      <c r="F2797" s="205">
        <v>0.01</v>
      </c>
      <c r="G2797" s="205">
        <v>0.2</v>
      </c>
    </row>
    <row r="2798" ht="15.75" customHeight="1">
      <c r="A2798" s="200" t="s">
        <v>321</v>
      </c>
      <c r="B2798" s="186" t="s">
        <v>9234</v>
      </c>
      <c r="C2798" s="210" t="s">
        <v>9235</v>
      </c>
      <c r="D2798" s="210" t="s">
        <v>9236</v>
      </c>
      <c r="E2798" s="204">
        <v>5.0</v>
      </c>
      <c r="F2798" s="205">
        <v>0.01</v>
      </c>
      <c r="G2798" s="205">
        <v>1.4</v>
      </c>
    </row>
    <row r="2799" ht="15.75" customHeight="1">
      <c r="A2799" s="200" t="s">
        <v>321</v>
      </c>
      <c r="B2799" s="186" t="s">
        <v>9237</v>
      </c>
      <c r="C2799" s="210" t="s">
        <v>9238</v>
      </c>
      <c r="D2799" s="210"/>
      <c r="E2799" s="204">
        <v>5.0</v>
      </c>
      <c r="F2799" s="205">
        <v>0.01</v>
      </c>
      <c r="G2799" s="205">
        <v>0.0</v>
      </c>
    </row>
    <row r="2800" ht="15.75" customHeight="1">
      <c r="A2800" s="200" t="s">
        <v>321</v>
      </c>
      <c r="B2800" s="186" t="s">
        <v>9239</v>
      </c>
      <c r="C2800" s="210" t="s">
        <v>9240</v>
      </c>
      <c r="D2800" s="210" t="s">
        <v>9241</v>
      </c>
      <c r="E2800" s="204">
        <v>5.0</v>
      </c>
      <c r="F2800" s="205">
        <v>0.01</v>
      </c>
      <c r="G2800" s="205">
        <v>0.0</v>
      </c>
    </row>
    <row r="2801" ht="15.75" customHeight="1">
      <c r="A2801" s="200" t="s">
        <v>321</v>
      </c>
      <c r="B2801" s="186" t="s">
        <v>9242</v>
      </c>
      <c r="C2801" s="210" t="s">
        <v>9243</v>
      </c>
      <c r="D2801" s="210" t="s">
        <v>9244</v>
      </c>
      <c r="E2801" s="204">
        <v>5.0</v>
      </c>
      <c r="F2801" s="205">
        <v>0.01</v>
      </c>
      <c r="G2801" s="205">
        <v>0.6</v>
      </c>
    </row>
    <row r="2802" ht="15.75" customHeight="1">
      <c r="A2802" s="200" t="s">
        <v>321</v>
      </c>
      <c r="B2802" s="186" t="s">
        <v>9245</v>
      </c>
      <c r="C2802" s="210" t="s">
        <v>9246</v>
      </c>
      <c r="D2802" s="210" t="s">
        <v>9025</v>
      </c>
      <c r="E2802" s="204">
        <v>4.0</v>
      </c>
      <c r="F2802" s="205">
        <v>0.0</v>
      </c>
      <c r="G2802" s="205">
        <v>0.0</v>
      </c>
    </row>
    <row r="2803" ht="15.75" customHeight="1">
      <c r="A2803" s="200" t="s">
        <v>321</v>
      </c>
      <c r="B2803" s="186" t="s">
        <v>9247</v>
      </c>
      <c r="C2803" s="210" t="s">
        <v>9248</v>
      </c>
      <c r="D2803" s="210" t="s">
        <v>9249</v>
      </c>
      <c r="E2803" s="204">
        <v>4.0</v>
      </c>
      <c r="F2803" s="205">
        <v>0.0</v>
      </c>
      <c r="G2803" s="205">
        <v>0.0</v>
      </c>
    </row>
    <row r="2804" ht="15.75" customHeight="1">
      <c r="A2804" s="200" t="s">
        <v>321</v>
      </c>
      <c r="B2804" s="186" t="s">
        <v>9250</v>
      </c>
      <c r="C2804" s="210" t="s">
        <v>9251</v>
      </c>
      <c r="D2804" s="210" t="s">
        <v>9252</v>
      </c>
      <c r="E2804" s="204">
        <v>4.0</v>
      </c>
      <c r="F2804" s="205">
        <v>0.0</v>
      </c>
      <c r="G2804" s="205">
        <v>0.75</v>
      </c>
    </row>
    <row r="2805" ht="15.75" customHeight="1">
      <c r="A2805" s="200" t="s">
        <v>321</v>
      </c>
      <c r="B2805" s="186" t="s">
        <v>4475</v>
      </c>
      <c r="C2805" s="210" t="s">
        <v>4476</v>
      </c>
      <c r="D2805" s="210" t="s">
        <v>9253</v>
      </c>
      <c r="E2805" s="204">
        <v>4.0</v>
      </c>
      <c r="F2805" s="205">
        <v>0.0</v>
      </c>
      <c r="G2805" s="205">
        <v>1.25</v>
      </c>
    </row>
    <row r="2806" ht="15.75" customHeight="1">
      <c r="A2806" s="200" t="s">
        <v>321</v>
      </c>
      <c r="B2806" s="186" t="s">
        <v>9254</v>
      </c>
      <c r="C2806" s="210" t="s">
        <v>9255</v>
      </c>
      <c r="D2806" s="210" t="s">
        <v>9256</v>
      </c>
      <c r="E2806" s="204">
        <v>4.0</v>
      </c>
      <c r="F2806" s="205">
        <v>0.0</v>
      </c>
      <c r="G2806" s="205">
        <v>0.0</v>
      </c>
    </row>
    <row r="2807" ht="15.75" customHeight="1">
      <c r="A2807" s="200" t="s">
        <v>321</v>
      </c>
      <c r="B2807" s="186" t="s">
        <v>9257</v>
      </c>
      <c r="C2807" s="210" t="s">
        <v>9258</v>
      </c>
      <c r="D2807" s="210" t="s">
        <v>9259</v>
      </c>
      <c r="E2807" s="204">
        <v>4.0</v>
      </c>
      <c r="F2807" s="205">
        <v>0.0</v>
      </c>
      <c r="G2807" s="205">
        <v>0.75</v>
      </c>
    </row>
    <row r="2808" ht="15.75" customHeight="1">
      <c r="A2808" s="200" t="s">
        <v>321</v>
      </c>
      <c r="B2808" s="186" t="s">
        <v>9260</v>
      </c>
      <c r="C2808" s="210" t="s">
        <v>9261</v>
      </c>
      <c r="D2808" s="210" t="s">
        <v>9262</v>
      </c>
      <c r="E2808" s="204">
        <v>4.0</v>
      </c>
      <c r="F2808" s="205">
        <v>0.0</v>
      </c>
      <c r="G2808" s="205">
        <v>1.25</v>
      </c>
    </row>
    <row r="2809" ht="15.75" customHeight="1">
      <c r="A2809" s="200" t="s">
        <v>321</v>
      </c>
      <c r="B2809" s="186" t="s">
        <v>9263</v>
      </c>
      <c r="C2809" s="210" t="s">
        <v>9264</v>
      </c>
      <c r="D2809" s="210" t="s">
        <v>9265</v>
      </c>
      <c r="E2809" s="204">
        <v>4.0</v>
      </c>
      <c r="F2809" s="205">
        <v>0.0</v>
      </c>
      <c r="G2809" s="205">
        <v>1.25</v>
      </c>
    </row>
    <row r="2810" ht="15.75" customHeight="1">
      <c r="A2810" s="200" t="s">
        <v>321</v>
      </c>
      <c r="B2810" s="186" t="s">
        <v>9266</v>
      </c>
      <c r="C2810" s="210" t="s">
        <v>9267</v>
      </c>
      <c r="D2810" s="210" t="s">
        <v>9268</v>
      </c>
      <c r="E2810" s="204">
        <v>4.0</v>
      </c>
      <c r="F2810" s="205">
        <v>0.0</v>
      </c>
      <c r="G2810" s="205">
        <v>0.0</v>
      </c>
    </row>
    <row r="2811" ht="15.75" customHeight="1">
      <c r="A2811" s="200" t="s">
        <v>321</v>
      </c>
      <c r="B2811" s="186" t="s">
        <v>2470</v>
      </c>
      <c r="C2811" s="210" t="s">
        <v>2471</v>
      </c>
      <c r="D2811" s="210" t="s">
        <v>9269</v>
      </c>
      <c r="E2811" s="204">
        <v>4.0</v>
      </c>
      <c r="F2811" s="205">
        <v>0.0</v>
      </c>
      <c r="G2811" s="205">
        <v>0.0</v>
      </c>
    </row>
    <row r="2812" ht="15.75" customHeight="1">
      <c r="A2812" s="200" t="s">
        <v>321</v>
      </c>
      <c r="B2812" s="186" t="s">
        <v>9270</v>
      </c>
      <c r="C2812" s="210" t="s">
        <v>9271</v>
      </c>
      <c r="D2812" s="210" t="s">
        <v>8967</v>
      </c>
      <c r="E2812" s="204">
        <v>4.0</v>
      </c>
      <c r="F2812" s="205">
        <v>0.0</v>
      </c>
      <c r="G2812" s="205">
        <v>1.0</v>
      </c>
    </row>
    <row r="2813" ht="15.75" customHeight="1">
      <c r="A2813" s="200" t="s">
        <v>321</v>
      </c>
      <c r="B2813" s="186" t="s">
        <v>9272</v>
      </c>
      <c r="C2813" s="210" t="s">
        <v>9273</v>
      </c>
      <c r="D2813" s="210" t="s">
        <v>9274</v>
      </c>
      <c r="E2813" s="204">
        <v>4.0</v>
      </c>
      <c r="F2813" s="205">
        <v>0.0</v>
      </c>
      <c r="G2813" s="205">
        <v>0.25</v>
      </c>
    </row>
    <row r="2814" ht="15.75" customHeight="1">
      <c r="A2814" s="200" t="s">
        <v>321</v>
      </c>
      <c r="B2814" s="186" t="s">
        <v>9275</v>
      </c>
      <c r="C2814" s="210" t="s">
        <v>9276</v>
      </c>
      <c r="D2814" s="210" t="s">
        <v>9277</v>
      </c>
      <c r="E2814" s="204">
        <v>4.0</v>
      </c>
      <c r="F2814" s="205">
        <v>0.0</v>
      </c>
      <c r="G2814" s="205">
        <v>3.75</v>
      </c>
    </row>
    <row r="2815" ht="15.75" customHeight="1">
      <c r="A2815" s="200" t="s">
        <v>321</v>
      </c>
      <c r="B2815" s="186" t="s">
        <v>9278</v>
      </c>
      <c r="C2815" s="210" t="s">
        <v>9279</v>
      </c>
      <c r="D2815" s="210" t="s">
        <v>8840</v>
      </c>
      <c r="E2815" s="204">
        <v>4.0</v>
      </c>
      <c r="F2815" s="205">
        <v>0.0</v>
      </c>
      <c r="G2815" s="205">
        <v>0.0</v>
      </c>
    </row>
    <row r="2816" ht="15.75" customHeight="1">
      <c r="A2816" s="200" t="s">
        <v>321</v>
      </c>
      <c r="B2816" s="186" t="s">
        <v>9280</v>
      </c>
      <c r="C2816" s="210" t="s">
        <v>9281</v>
      </c>
      <c r="D2816" s="210" t="s">
        <v>9282</v>
      </c>
      <c r="E2816" s="204">
        <v>4.0</v>
      </c>
      <c r="F2816" s="205">
        <v>0.0</v>
      </c>
      <c r="G2816" s="205">
        <v>0.75</v>
      </c>
    </row>
    <row r="2817" ht="15.75" customHeight="1">
      <c r="A2817" s="200" t="s">
        <v>321</v>
      </c>
      <c r="B2817" s="186" t="s">
        <v>9283</v>
      </c>
      <c r="C2817" s="210" t="s">
        <v>9284</v>
      </c>
      <c r="D2817" s="210" t="s">
        <v>9285</v>
      </c>
      <c r="E2817" s="204">
        <v>4.0</v>
      </c>
      <c r="F2817" s="205">
        <v>0.0</v>
      </c>
      <c r="G2817" s="205">
        <v>2.0</v>
      </c>
    </row>
    <row r="2818" ht="15.75" customHeight="1">
      <c r="A2818" s="200" t="s">
        <v>321</v>
      </c>
      <c r="B2818" s="186" t="s">
        <v>9286</v>
      </c>
      <c r="C2818" s="210" t="s">
        <v>9287</v>
      </c>
      <c r="D2818" s="210" t="s">
        <v>9288</v>
      </c>
      <c r="E2818" s="204">
        <v>4.0</v>
      </c>
      <c r="F2818" s="205">
        <v>0.0</v>
      </c>
      <c r="G2818" s="205">
        <v>0.0</v>
      </c>
    </row>
    <row r="2819" ht="15.75" customHeight="1">
      <c r="A2819" s="200" t="s">
        <v>321</v>
      </c>
      <c r="B2819" s="186" t="s">
        <v>9289</v>
      </c>
      <c r="C2819" s="210" t="s">
        <v>9290</v>
      </c>
      <c r="D2819" s="210" t="s">
        <v>9291</v>
      </c>
      <c r="E2819" s="204">
        <v>4.0</v>
      </c>
      <c r="F2819" s="205">
        <v>0.0</v>
      </c>
      <c r="G2819" s="205">
        <v>0.5</v>
      </c>
    </row>
    <row r="2820" ht="15.75" customHeight="1">
      <c r="A2820" s="200" t="s">
        <v>321</v>
      </c>
      <c r="B2820" s="186" t="s">
        <v>9292</v>
      </c>
      <c r="C2820" s="210" t="s">
        <v>9293</v>
      </c>
      <c r="D2820" s="210" t="s">
        <v>9121</v>
      </c>
      <c r="E2820" s="204">
        <v>4.0</v>
      </c>
      <c r="F2820" s="205">
        <v>0.0</v>
      </c>
      <c r="G2820" s="205">
        <v>1.75</v>
      </c>
    </row>
    <row r="2821" ht="15.75" customHeight="1">
      <c r="A2821" s="200" t="s">
        <v>321</v>
      </c>
      <c r="B2821" s="186" t="s">
        <v>9294</v>
      </c>
      <c r="C2821" s="210" t="s">
        <v>9295</v>
      </c>
      <c r="D2821" s="210" t="s">
        <v>9296</v>
      </c>
      <c r="E2821" s="204">
        <v>4.0</v>
      </c>
      <c r="F2821" s="205">
        <v>0.0</v>
      </c>
      <c r="G2821" s="205">
        <v>0.75</v>
      </c>
    </row>
    <row r="2822" ht="15.75" customHeight="1">
      <c r="A2822" s="200" t="s">
        <v>321</v>
      </c>
      <c r="B2822" s="186" t="s">
        <v>9297</v>
      </c>
      <c r="C2822" s="210" t="s">
        <v>9298</v>
      </c>
      <c r="D2822" s="210" t="s">
        <v>9299</v>
      </c>
      <c r="E2822" s="204">
        <v>4.0</v>
      </c>
      <c r="F2822" s="205">
        <v>0.0</v>
      </c>
      <c r="G2822" s="205">
        <v>0.25</v>
      </c>
    </row>
    <row r="2823" ht="15.75" customHeight="1">
      <c r="A2823" s="200" t="s">
        <v>321</v>
      </c>
      <c r="B2823" s="186" t="s">
        <v>9300</v>
      </c>
      <c r="C2823" s="210" t="s">
        <v>9301</v>
      </c>
      <c r="D2823" s="210"/>
      <c r="E2823" s="204">
        <v>4.0</v>
      </c>
      <c r="F2823" s="205">
        <v>0.0</v>
      </c>
      <c r="G2823" s="205">
        <v>1.0</v>
      </c>
    </row>
    <row r="2824" ht="15.75" customHeight="1">
      <c r="A2824" s="200" t="s">
        <v>321</v>
      </c>
      <c r="B2824" s="186" t="s">
        <v>9302</v>
      </c>
      <c r="C2824" s="210" t="s">
        <v>9303</v>
      </c>
      <c r="D2824" s="210" t="s">
        <v>9304</v>
      </c>
      <c r="E2824" s="204">
        <v>4.0</v>
      </c>
      <c r="F2824" s="205">
        <v>0.0</v>
      </c>
      <c r="G2824" s="205">
        <v>1.0</v>
      </c>
    </row>
    <row r="2825" ht="15.75" customHeight="1">
      <c r="A2825" s="200" t="s">
        <v>321</v>
      </c>
      <c r="B2825" s="186" t="s">
        <v>9305</v>
      </c>
      <c r="C2825" s="210" t="s">
        <v>9306</v>
      </c>
      <c r="D2825" s="210" t="s">
        <v>9307</v>
      </c>
      <c r="E2825" s="204">
        <v>4.0</v>
      </c>
      <c r="F2825" s="205">
        <v>0.0</v>
      </c>
      <c r="G2825" s="205">
        <v>0.0</v>
      </c>
    </row>
    <row r="2826" ht="15.75" customHeight="1">
      <c r="A2826" s="200" t="s">
        <v>321</v>
      </c>
      <c r="B2826" s="186" t="s">
        <v>9308</v>
      </c>
      <c r="C2826" s="210" t="s">
        <v>9309</v>
      </c>
      <c r="D2826" s="210" t="s">
        <v>9310</v>
      </c>
      <c r="E2826" s="204">
        <v>4.0</v>
      </c>
      <c r="F2826" s="205">
        <v>0.0</v>
      </c>
      <c r="G2826" s="205">
        <v>0.25</v>
      </c>
    </row>
    <row r="2827" ht="15.75" customHeight="1">
      <c r="A2827" s="200" t="s">
        <v>321</v>
      </c>
      <c r="B2827" s="186" t="s">
        <v>9311</v>
      </c>
      <c r="C2827" s="210" t="s">
        <v>9312</v>
      </c>
      <c r="D2827" s="210" t="s">
        <v>9307</v>
      </c>
      <c r="E2827" s="204">
        <v>4.0</v>
      </c>
      <c r="F2827" s="205">
        <v>0.0</v>
      </c>
      <c r="G2827" s="205">
        <v>0.0</v>
      </c>
    </row>
    <row r="2828" ht="15.75" customHeight="1">
      <c r="A2828" s="200" t="s">
        <v>321</v>
      </c>
      <c r="B2828" s="186" t="s">
        <v>7766</v>
      </c>
      <c r="C2828" s="210" t="s">
        <v>7767</v>
      </c>
      <c r="D2828" s="210"/>
      <c r="E2828" s="204">
        <v>4.0</v>
      </c>
      <c r="F2828" s="205">
        <v>0.0</v>
      </c>
      <c r="G2828" s="205">
        <v>7.5</v>
      </c>
    </row>
    <row r="2829" ht="15.75" customHeight="1">
      <c r="A2829" s="200" t="s">
        <v>321</v>
      </c>
      <c r="B2829" s="186" t="s">
        <v>7768</v>
      </c>
      <c r="C2829" s="210" t="s">
        <v>7769</v>
      </c>
      <c r="D2829" s="210"/>
      <c r="E2829" s="204">
        <v>4.0</v>
      </c>
      <c r="F2829" s="205">
        <v>0.0</v>
      </c>
      <c r="G2829" s="205">
        <v>0.0</v>
      </c>
    </row>
    <row r="2830" ht="15.75" customHeight="1">
      <c r="A2830" s="200" t="s">
        <v>321</v>
      </c>
      <c r="B2830" s="186" t="s">
        <v>9313</v>
      </c>
      <c r="C2830" s="210" t="s">
        <v>9314</v>
      </c>
      <c r="D2830" s="210" t="s">
        <v>9083</v>
      </c>
      <c r="E2830" s="204">
        <v>4.0</v>
      </c>
      <c r="F2830" s="205">
        <v>0.0</v>
      </c>
      <c r="G2830" s="205">
        <v>0.0</v>
      </c>
    </row>
    <row r="2831" ht="15.75" customHeight="1">
      <c r="A2831" s="200" t="s">
        <v>321</v>
      </c>
      <c r="B2831" s="186" t="s">
        <v>9315</v>
      </c>
      <c r="C2831" s="210" t="s">
        <v>9316</v>
      </c>
      <c r="D2831" s="210"/>
      <c r="E2831" s="204">
        <v>3.0</v>
      </c>
      <c r="F2831" s="205">
        <v>0.0</v>
      </c>
      <c r="G2831" s="205">
        <v>0.0</v>
      </c>
    </row>
    <row r="2832" ht="15.75" customHeight="1">
      <c r="A2832" s="200" t="s">
        <v>321</v>
      </c>
      <c r="B2832" s="186" t="s">
        <v>9317</v>
      </c>
      <c r="C2832" s="210" t="s">
        <v>9318</v>
      </c>
      <c r="D2832" s="210" t="s">
        <v>8791</v>
      </c>
      <c r="E2832" s="204">
        <v>3.0</v>
      </c>
      <c r="F2832" s="205">
        <v>0.0</v>
      </c>
      <c r="G2832" s="205">
        <v>1.0</v>
      </c>
    </row>
    <row r="2833" ht="15.75" customHeight="1">
      <c r="A2833" s="200" t="s">
        <v>321</v>
      </c>
      <c r="B2833" s="186" t="s">
        <v>9319</v>
      </c>
      <c r="C2833" s="210" t="s">
        <v>9320</v>
      </c>
      <c r="D2833" s="210" t="s">
        <v>9321</v>
      </c>
      <c r="E2833" s="204">
        <v>3.0</v>
      </c>
      <c r="F2833" s="205">
        <v>0.0</v>
      </c>
      <c r="G2833" s="205">
        <v>0.33</v>
      </c>
    </row>
    <row r="2834" ht="15.75" customHeight="1">
      <c r="A2834" s="200" t="s">
        <v>321</v>
      </c>
      <c r="B2834" s="186" t="s">
        <v>9322</v>
      </c>
      <c r="C2834" s="210" t="s">
        <v>9323</v>
      </c>
      <c r="D2834" s="210" t="s">
        <v>2259</v>
      </c>
      <c r="E2834" s="204">
        <v>3.0</v>
      </c>
      <c r="F2834" s="205">
        <v>0.0</v>
      </c>
      <c r="G2834" s="205">
        <v>0.0</v>
      </c>
    </row>
    <row r="2835" ht="15.75" customHeight="1">
      <c r="A2835" s="200" t="s">
        <v>321</v>
      </c>
      <c r="B2835" s="186" t="s">
        <v>9324</v>
      </c>
      <c r="C2835" s="210" t="s">
        <v>9325</v>
      </c>
      <c r="D2835" s="210" t="s">
        <v>9117</v>
      </c>
      <c r="E2835" s="204">
        <v>3.0</v>
      </c>
      <c r="F2835" s="205">
        <v>0.0</v>
      </c>
      <c r="G2835" s="205">
        <v>1.0</v>
      </c>
    </row>
    <row r="2836" ht="15.75" customHeight="1">
      <c r="A2836" s="200" t="s">
        <v>321</v>
      </c>
      <c r="B2836" s="186" t="s">
        <v>9326</v>
      </c>
      <c r="C2836" s="210" t="s">
        <v>9327</v>
      </c>
      <c r="D2836" s="210" t="s">
        <v>8843</v>
      </c>
      <c r="E2836" s="204">
        <v>3.0</v>
      </c>
      <c r="F2836" s="205">
        <v>0.0</v>
      </c>
      <c r="G2836" s="205">
        <v>0.0</v>
      </c>
    </row>
    <row r="2837" ht="15.75" customHeight="1">
      <c r="A2837" s="200" t="s">
        <v>321</v>
      </c>
      <c r="B2837" s="186" t="s">
        <v>9328</v>
      </c>
      <c r="C2837" s="210" t="s">
        <v>9329</v>
      </c>
      <c r="D2837" s="210" t="s">
        <v>8791</v>
      </c>
      <c r="E2837" s="204">
        <v>3.0</v>
      </c>
      <c r="F2837" s="205">
        <v>0.0</v>
      </c>
      <c r="G2837" s="205">
        <v>1.0</v>
      </c>
    </row>
    <row r="2838" ht="15.75" customHeight="1">
      <c r="A2838" s="200" t="s">
        <v>321</v>
      </c>
      <c r="B2838" s="186" t="s">
        <v>9330</v>
      </c>
      <c r="C2838" s="210" t="s">
        <v>9331</v>
      </c>
      <c r="D2838" s="210" t="s">
        <v>2355</v>
      </c>
      <c r="E2838" s="204">
        <v>3.0</v>
      </c>
      <c r="F2838" s="205">
        <v>0.0</v>
      </c>
      <c r="G2838" s="205">
        <v>0.33</v>
      </c>
    </row>
    <row r="2839" ht="15.75" customHeight="1">
      <c r="A2839" s="200" t="s">
        <v>321</v>
      </c>
      <c r="B2839" s="186" t="s">
        <v>9332</v>
      </c>
      <c r="C2839" s="210" t="s">
        <v>8923</v>
      </c>
      <c r="D2839" s="210" t="s">
        <v>2259</v>
      </c>
      <c r="E2839" s="204">
        <v>3.0</v>
      </c>
      <c r="F2839" s="205">
        <v>0.0</v>
      </c>
      <c r="G2839" s="205">
        <v>0.33</v>
      </c>
    </row>
    <row r="2840" ht="15.75" customHeight="1">
      <c r="A2840" s="200" t="s">
        <v>321</v>
      </c>
      <c r="B2840" s="186" t="s">
        <v>646</v>
      </c>
      <c r="C2840" s="210" t="s">
        <v>647</v>
      </c>
      <c r="D2840" s="210" t="s">
        <v>1920</v>
      </c>
      <c r="E2840" s="204">
        <v>3.0</v>
      </c>
      <c r="F2840" s="205">
        <v>0.0</v>
      </c>
      <c r="G2840" s="205">
        <v>0.67</v>
      </c>
    </row>
    <row r="2841" ht="15.75" customHeight="1">
      <c r="A2841" s="200" t="s">
        <v>321</v>
      </c>
      <c r="B2841" s="186" t="s">
        <v>9333</v>
      </c>
      <c r="C2841" s="210" t="s">
        <v>9334</v>
      </c>
      <c r="D2841" s="210"/>
      <c r="E2841" s="204">
        <v>3.0</v>
      </c>
      <c r="F2841" s="205">
        <v>0.0</v>
      </c>
      <c r="G2841" s="205">
        <v>2.33</v>
      </c>
    </row>
    <row r="2842" ht="15.75" customHeight="1">
      <c r="A2842" s="200" t="s">
        <v>321</v>
      </c>
      <c r="B2842" s="186" t="s">
        <v>9335</v>
      </c>
      <c r="C2842" s="210" t="s">
        <v>9336</v>
      </c>
      <c r="D2842" s="210"/>
      <c r="E2842" s="204">
        <v>3.0</v>
      </c>
      <c r="F2842" s="205">
        <v>0.0</v>
      </c>
      <c r="G2842" s="205">
        <v>0.0</v>
      </c>
    </row>
    <row r="2843" ht="15.75" customHeight="1">
      <c r="A2843" s="200" t="s">
        <v>321</v>
      </c>
      <c r="B2843" s="186" t="s">
        <v>9337</v>
      </c>
      <c r="C2843" s="210" t="s">
        <v>9338</v>
      </c>
      <c r="D2843" s="210" t="s">
        <v>9339</v>
      </c>
      <c r="E2843" s="204">
        <v>3.0</v>
      </c>
      <c r="F2843" s="205">
        <v>0.0</v>
      </c>
      <c r="G2843" s="205">
        <v>0.0</v>
      </c>
    </row>
    <row r="2844" ht="15.75" customHeight="1">
      <c r="A2844" s="200" t="s">
        <v>321</v>
      </c>
      <c r="B2844" s="186" t="s">
        <v>4133</v>
      </c>
      <c r="C2844" s="210" t="s">
        <v>4134</v>
      </c>
      <c r="D2844" s="210" t="s">
        <v>9340</v>
      </c>
      <c r="E2844" s="204">
        <v>3.0</v>
      </c>
      <c r="F2844" s="205">
        <v>0.0</v>
      </c>
      <c r="G2844" s="205">
        <v>0.0</v>
      </c>
    </row>
    <row r="2845" ht="15.75" customHeight="1">
      <c r="A2845" s="200" t="s">
        <v>321</v>
      </c>
      <c r="B2845" s="186" t="s">
        <v>9341</v>
      </c>
      <c r="C2845" s="210" t="s">
        <v>9342</v>
      </c>
      <c r="D2845" s="210" t="s">
        <v>9343</v>
      </c>
      <c r="E2845" s="204">
        <v>3.0</v>
      </c>
      <c r="F2845" s="205">
        <v>0.0</v>
      </c>
      <c r="G2845" s="205">
        <v>1.67</v>
      </c>
    </row>
    <row r="2846" ht="15.75" customHeight="1">
      <c r="A2846" s="200" t="s">
        <v>321</v>
      </c>
      <c r="B2846" s="186" t="s">
        <v>9344</v>
      </c>
      <c r="C2846" s="210" t="s">
        <v>9345</v>
      </c>
      <c r="D2846" s="210" t="s">
        <v>9346</v>
      </c>
      <c r="E2846" s="204">
        <v>3.0</v>
      </c>
      <c r="F2846" s="205">
        <v>0.0</v>
      </c>
      <c r="G2846" s="205">
        <v>0.0</v>
      </c>
    </row>
    <row r="2847" ht="15.75" customHeight="1">
      <c r="A2847" s="200" t="s">
        <v>321</v>
      </c>
      <c r="B2847" s="186" t="s">
        <v>9347</v>
      </c>
      <c r="C2847" s="210" t="s">
        <v>9348</v>
      </c>
      <c r="D2847" s="210" t="s">
        <v>9349</v>
      </c>
      <c r="E2847" s="204">
        <v>3.0</v>
      </c>
      <c r="F2847" s="205">
        <v>0.0</v>
      </c>
      <c r="G2847" s="205">
        <v>0.0</v>
      </c>
    </row>
    <row r="2848" ht="15.75" customHeight="1">
      <c r="A2848" s="200" t="s">
        <v>321</v>
      </c>
      <c r="B2848" s="186" t="s">
        <v>2284</v>
      </c>
      <c r="C2848" s="210" t="s">
        <v>2285</v>
      </c>
      <c r="D2848" s="210" t="s">
        <v>380</v>
      </c>
      <c r="E2848" s="204">
        <v>3.0</v>
      </c>
      <c r="F2848" s="205">
        <v>0.0</v>
      </c>
      <c r="G2848" s="205">
        <v>0.67</v>
      </c>
    </row>
    <row r="2849" ht="15.75" customHeight="1">
      <c r="A2849" s="200" t="s">
        <v>321</v>
      </c>
      <c r="B2849" s="186" t="s">
        <v>9350</v>
      </c>
      <c r="C2849" s="210" t="s">
        <v>9351</v>
      </c>
      <c r="D2849" s="210" t="s">
        <v>9352</v>
      </c>
      <c r="E2849" s="204">
        <v>3.0</v>
      </c>
      <c r="F2849" s="205">
        <v>0.0</v>
      </c>
      <c r="G2849" s="205">
        <v>1.0</v>
      </c>
    </row>
    <row r="2850" ht="15.75" customHeight="1">
      <c r="A2850" s="200" t="s">
        <v>321</v>
      </c>
      <c r="B2850" s="186" t="s">
        <v>9353</v>
      </c>
      <c r="C2850" s="210" t="s">
        <v>9354</v>
      </c>
      <c r="D2850" s="210" t="s">
        <v>9355</v>
      </c>
      <c r="E2850" s="204">
        <v>3.0</v>
      </c>
      <c r="F2850" s="205">
        <v>0.0</v>
      </c>
      <c r="G2850" s="205">
        <v>0.0</v>
      </c>
    </row>
    <row r="2851" ht="15.75" customHeight="1">
      <c r="A2851" s="200" t="s">
        <v>321</v>
      </c>
      <c r="B2851" s="186" t="s">
        <v>9356</v>
      </c>
      <c r="C2851" s="210" t="s">
        <v>9357</v>
      </c>
      <c r="D2851" s="210" t="s">
        <v>9358</v>
      </c>
      <c r="E2851" s="204">
        <v>3.0</v>
      </c>
      <c r="F2851" s="205">
        <v>0.0</v>
      </c>
      <c r="G2851" s="205">
        <v>1.33</v>
      </c>
    </row>
    <row r="2852" ht="15.75" customHeight="1">
      <c r="A2852" s="200" t="s">
        <v>321</v>
      </c>
      <c r="B2852" s="186" t="s">
        <v>9359</v>
      </c>
      <c r="C2852" s="210" t="s">
        <v>9360</v>
      </c>
      <c r="D2852" s="210" t="s">
        <v>9361</v>
      </c>
      <c r="E2852" s="204">
        <v>3.0</v>
      </c>
      <c r="F2852" s="205">
        <v>0.0</v>
      </c>
      <c r="G2852" s="205">
        <v>0.0</v>
      </c>
    </row>
    <row r="2853" ht="15.75" customHeight="1">
      <c r="A2853" s="200" t="s">
        <v>321</v>
      </c>
      <c r="B2853" s="186" t="s">
        <v>2625</v>
      </c>
      <c r="C2853" s="210" t="s">
        <v>2626</v>
      </c>
      <c r="D2853" s="210" t="s">
        <v>2630</v>
      </c>
      <c r="E2853" s="204">
        <v>3.0</v>
      </c>
      <c r="F2853" s="205">
        <v>0.0</v>
      </c>
      <c r="G2853" s="205">
        <v>1.67</v>
      </c>
    </row>
    <row r="2854" ht="15.75" customHeight="1">
      <c r="A2854" s="200" t="s">
        <v>321</v>
      </c>
      <c r="B2854" s="186" t="s">
        <v>9362</v>
      </c>
      <c r="C2854" s="210" t="s">
        <v>9363</v>
      </c>
      <c r="D2854" s="210" t="s">
        <v>9364</v>
      </c>
      <c r="E2854" s="204">
        <v>3.0</v>
      </c>
      <c r="F2854" s="205">
        <v>0.0</v>
      </c>
      <c r="G2854" s="205">
        <v>0.0</v>
      </c>
    </row>
    <row r="2855" ht="15.75" customHeight="1">
      <c r="A2855" s="200" t="s">
        <v>321</v>
      </c>
      <c r="B2855" s="186" t="s">
        <v>5252</v>
      </c>
      <c r="C2855" s="210" t="s">
        <v>5253</v>
      </c>
      <c r="D2855" s="210" t="s">
        <v>2250</v>
      </c>
      <c r="E2855" s="204">
        <v>3.0</v>
      </c>
      <c r="F2855" s="205">
        <v>0.0</v>
      </c>
      <c r="G2855" s="205">
        <v>2.0</v>
      </c>
    </row>
    <row r="2856" ht="15.75" customHeight="1">
      <c r="A2856" s="200" t="s">
        <v>321</v>
      </c>
      <c r="B2856" s="186" t="s">
        <v>9365</v>
      </c>
      <c r="C2856" s="210" t="s">
        <v>9366</v>
      </c>
      <c r="D2856" s="210" t="s">
        <v>8843</v>
      </c>
      <c r="E2856" s="204">
        <v>3.0</v>
      </c>
      <c r="F2856" s="205">
        <v>0.0</v>
      </c>
      <c r="G2856" s="205">
        <v>0.0</v>
      </c>
    </row>
    <row r="2857" ht="15.75" customHeight="1">
      <c r="A2857" s="200" t="s">
        <v>321</v>
      </c>
      <c r="B2857" s="186" t="s">
        <v>6416</v>
      </c>
      <c r="C2857" s="210" t="s">
        <v>6417</v>
      </c>
      <c r="D2857" s="210" t="s">
        <v>9367</v>
      </c>
      <c r="E2857" s="204">
        <v>3.0</v>
      </c>
      <c r="F2857" s="205">
        <v>0.0</v>
      </c>
      <c r="G2857" s="205">
        <v>0.0</v>
      </c>
    </row>
    <row r="2858" ht="15.75" customHeight="1">
      <c r="A2858" s="200" t="s">
        <v>321</v>
      </c>
      <c r="B2858" s="186" t="s">
        <v>9368</v>
      </c>
      <c r="C2858" s="210" t="s">
        <v>9369</v>
      </c>
      <c r="D2858" s="210" t="s">
        <v>9370</v>
      </c>
      <c r="E2858" s="204">
        <v>3.0</v>
      </c>
      <c r="F2858" s="205">
        <v>0.0</v>
      </c>
      <c r="G2858" s="205">
        <v>0.0</v>
      </c>
    </row>
    <row r="2859" ht="15.75" customHeight="1">
      <c r="A2859" s="200" t="s">
        <v>321</v>
      </c>
      <c r="B2859" s="186" t="s">
        <v>9371</v>
      </c>
      <c r="C2859" s="210" t="s">
        <v>9372</v>
      </c>
      <c r="D2859" s="210" t="s">
        <v>8812</v>
      </c>
      <c r="E2859" s="204">
        <v>3.0</v>
      </c>
      <c r="F2859" s="205">
        <v>0.0</v>
      </c>
      <c r="G2859" s="205">
        <v>0.0</v>
      </c>
    </row>
    <row r="2860" ht="15.75" customHeight="1">
      <c r="A2860" s="200" t="s">
        <v>321</v>
      </c>
      <c r="B2860" s="186" t="s">
        <v>9373</v>
      </c>
      <c r="C2860" s="210" t="s">
        <v>9374</v>
      </c>
      <c r="D2860" s="210" t="s">
        <v>9375</v>
      </c>
      <c r="E2860" s="204">
        <v>3.0</v>
      </c>
      <c r="F2860" s="205">
        <v>0.0</v>
      </c>
      <c r="G2860" s="205">
        <v>0.67</v>
      </c>
    </row>
    <row r="2861" ht="15.75" customHeight="1">
      <c r="A2861" s="200" t="s">
        <v>321</v>
      </c>
      <c r="B2861" s="186" t="s">
        <v>9376</v>
      </c>
      <c r="C2861" s="210" t="s">
        <v>9377</v>
      </c>
      <c r="D2861" s="210" t="s">
        <v>9378</v>
      </c>
      <c r="E2861" s="204">
        <v>3.0</v>
      </c>
      <c r="F2861" s="205">
        <v>0.0</v>
      </c>
      <c r="G2861" s="205">
        <v>0.0</v>
      </c>
    </row>
    <row r="2862" ht="15.75" customHeight="1">
      <c r="A2862" s="200" t="s">
        <v>321</v>
      </c>
      <c r="B2862" s="186" t="s">
        <v>9379</v>
      </c>
      <c r="C2862" s="210" t="s">
        <v>9380</v>
      </c>
      <c r="D2862" s="210"/>
      <c r="E2862" s="204">
        <v>3.0</v>
      </c>
      <c r="F2862" s="205">
        <v>0.0</v>
      </c>
      <c r="G2862" s="205">
        <v>0.0</v>
      </c>
    </row>
    <row r="2863" ht="15.75" customHeight="1">
      <c r="A2863" s="200" t="s">
        <v>321</v>
      </c>
      <c r="B2863" s="186" t="s">
        <v>9381</v>
      </c>
      <c r="C2863" s="210" t="s">
        <v>9382</v>
      </c>
      <c r="D2863" s="210" t="s">
        <v>2259</v>
      </c>
      <c r="E2863" s="204">
        <v>3.0</v>
      </c>
      <c r="F2863" s="205">
        <v>0.0</v>
      </c>
      <c r="G2863" s="205">
        <v>4.67</v>
      </c>
    </row>
    <row r="2864" ht="15.75" customHeight="1">
      <c r="A2864" s="200" t="s">
        <v>321</v>
      </c>
      <c r="B2864" s="186" t="s">
        <v>9383</v>
      </c>
      <c r="C2864" s="210" t="s">
        <v>9384</v>
      </c>
      <c r="D2864" s="210" t="s">
        <v>9385</v>
      </c>
      <c r="E2864" s="204">
        <v>3.0</v>
      </c>
      <c r="F2864" s="205">
        <v>0.0</v>
      </c>
      <c r="G2864" s="205">
        <v>0.0</v>
      </c>
    </row>
    <row r="2865" ht="15.75" customHeight="1">
      <c r="A2865" s="200" t="s">
        <v>321</v>
      </c>
      <c r="B2865" s="186" t="s">
        <v>9386</v>
      </c>
      <c r="C2865" s="210" t="s">
        <v>9387</v>
      </c>
      <c r="D2865" s="210" t="s">
        <v>9217</v>
      </c>
      <c r="E2865" s="204">
        <v>3.0</v>
      </c>
      <c r="F2865" s="205">
        <v>0.0</v>
      </c>
      <c r="G2865" s="205">
        <v>0.0</v>
      </c>
    </row>
    <row r="2866" ht="15.75" customHeight="1">
      <c r="A2866" s="200" t="s">
        <v>321</v>
      </c>
      <c r="B2866" s="186" t="s">
        <v>9388</v>
      </c>
      <c r="C2866" s="210" t="s">
        <v>9389</v>
      </c>
      <c r="D2866" s="210"/>
      <c r="E2866" s="204">
        <v>3.0</v>
      </c>
      <c r="F2866" s="205">
        <v>0.0</v>
      </c>
      <c r="G2866" s="205">
        <v>1.0</v>
      </c>
    </row>
    <row r="2867" ht="15.75" customHeight="1">
      <c r="A2867" s="200" t="s">
        <v>321</v>
      </c>
      <c r="B2867" s="186" t="s">
        <v>9390</v>
      </c>
      <c r="C2867" s="210" t="s">
        <v>9391</v>
      </c>
      <c r="D2867" s="210"/>
      <c r="E2867" s="204">
        <v>3.0</v>
      </c>
      <c r="F2867" s="205">
        <v>0.0</v>
      </c>
      <c r="G2867" s="205">
        <v>0.0</v>
      </c>
    </row>
    <row r="2868" ht="15.75" customHeight="1">
      <c r="A2868" s="200" t="s">
        <v>321</v>
      </c>
      <c r="B2868" s="186" t="s">
        <v>9392</v>
      </c>
      <c r="C2868" s="210" t="s">
        <v>9393</v>
      </c>
      <c r="D2868" s="210" t="s">
        <v>9197</v>
      </c>
      <c r="E2868" s="204">
        <v>3.0</v>
      </c>
      <c r="F2868" s="205">
        <v>0.0</v>
      </c>
      <c r="G2868" s="205">
        <v>1.0</v>
      </c>
    </row>
    <row r="2869" ht="15.75" customHeight="1">
      <c r="A2869" s="200" t="s">
        <v>321</v>
      </c>
      <c r="B2869" s="186" t="s">
        <v>7770</v>
      </c>
      <c r="C2869" s="210" t="s">
        <v>7771</v>
      </c>
      <c r="D2869" s="210"/>
      <c r="E2869" s="204">
        <v>3.0</v>
      </c>
      <c r="F2869" s="205">
        <v>0.0</v>
      </c>
      <c r="G2869" s="205">
        <v>1.0</v>
      </c>
    </row>
    <row r="2870" ht="15.75" customHeight="1">
      <c r="A2870" s="200" t="s">
        <v>321</v>
      </c>
      <c r="B2870" s="186" t="s">
        <v>4389</v>
      </c>
      <c r="C2870" s="210" t="s">
        <v>4390</v>
      </c>
      <c r="D2870" s="210" t="s">
        <v>7327</v>
      </c>
      <c r="E2870" s="204">
        <v>3.0</v>
      </c>
      <c r="F2870" s="205">
        <v>0.0</v>
      </c>
      <c r="G2870" s="205">
        <v>0.0</v>
      </c>
    </row>
    <row r="2871" ht="15.75" customHeight="1">
      <c r="A2871" s="200" t="s">
        <v>321</v>
      </c>
      <c r="B2871" s="186" t="s">
        <v>9394</v>
      </c>
      <c r="C2871" s="210" t="s">
        <v>9395</v>
      </c>
      <c r="D2871" s="210"/>
      <c r="E2871" s="204">
        <v>2.0</v>
      </c>
      <c r="F2871" s="205">
        <v>0.0</v>
      </c>
      <c r="G2871" s="205">
        <v>0.0</v>
      </c>
    </row>
    <row r="2872" ht="15.75" customHeight="1">
      <c r="A2872" s="200" t="s">
        <v>321</v>
      </c>
      <c r="B2872" s="186" t="s">
        <v>4421</v>
      </c>
      <c r="C2872" s="210" t="s">
        <v>4422</v>
      </c>
      <c r="D2872" s="210" t="s">
        <v>9396</v>
      </c>
      <c r="E2872" s="204">
        <v>2.0</v>
      </c>
      <c r="F2872" s="205">
        <v>0.0</v>
      </c>
      <c r="G2872" s="205">
        <v>0.5</v>
      </c>
    </row>
    <row r="2873" ht="15.75" customHeight="1">
      <c r="A2873" s="200" t="s">
        <v>321</v>
      </c>
      <c r="B2873" s="186" t="s">
        <v>9397</v>
      </c>
      <c r="C2873" s="210" t="s">
        <v>9398</v>
      </c>
      <c r="D2873" s="210" t="s">
        <v>8932</v>
      </c>
      <c r="E2873" s="204">
        <v>2.0</v>
      </c>
      <c r="F2873" s="205">
        <v>0.0</v>
      </c>
      <c r="G2873" s="205">
        <v>0.0</v>
      </c>
    </row>
    <row r="2874" ht="15.75" customHeight="1">
      <c r="A2874" s="200" t="s">
        <v>321</v>
      </c>
      <c r="B2874" s="186" t="s">
        <v>9399</v>
      </c>
      <c r="C2874" s="210" t="s">
        <v>9400</v>
      </c>
      <c r="D2874" s="210" t="s">
        <v>8932</v>
      </c>
      <c r="E2874" s="204">
        <v>2.0</v>
      </c>
      <c r="F2874" s="205">
        <v>0.0</v>
      </c>
      <c r="G2874" s="205">
        <v>0.0</v>
      </c>
    </row>
    <row r="2875" ht="15.75" customHeight="1">
      <c r="A2875" s="200" t="s">
        <v>321</v>
      </c>
      <c r="B2875" s="186" t="s">
        <v>9401</v>
      </c>
      <c r="C2875" s="210" t="s">
        <v>9402</v>
      </c>
      <c r="D2875" s="210" t="s">
        <v>9211</v>
      </c>
      <c r="E2875" s="204">
        <v>2.0</v>
      </c>
      <c r="F2875" s="205">
        <v>0.0</v>
      </c>
      <c r="G2875" s="205">
        <v>1.5</v>
      </c>
    </row>
    <row r="2876" ht="15.75" customHeight="1">
      <c r="A2876" s="200" t="s">
        <v>321</v>
      </c>
      <c r="B2876" s="186" t="s">
        <v>9403</v>
      </c>
      <c r="C2876" s="210" t="s">
        <v>9404</v>
      </c>
      <c r="D2876" s="210" t="s">
        <v>8843</v>
      </c>
      <c r="E2876" s="204">
        <v>2.0</v>
      </c>
      <c r="F2876" s="205">
        <v>0.0</v>
      </c>
      <c r="G2876" s="205">
        <v>1.0</v>
      </c>
    </row>
    <row r="2877" ht="15.75" customHeight="1">
      <c r="A2877" s="200" t="s">
        <v>321</v>
      </c>
      <c r="B2877" s="186" t="s">
        <v>9405</v>
      </c>
      <c r="C2877" s="210" t="s">
        <v>9406</v>
      </c>
      <c r="D2877" s="210" t="s">
        <v>9407</v>
      </c>
      <c r="E2877" s="204">
        <v>2.0</v>
      </c>
      <c r="F2877" s="205">
        <v>0.0</v>
      </c>
      <c r="G2877" s="205">
        <v>1.0</v>
      </c>
    </row>
    <row r="2878" ht="15.75" customHeight="1">
      <c r="A2878" s="200" t="s">
        <v>321</v>
      </c>
      <c r="B2878" s="186" t="s">
        <v>9408</v>
      </c>
      <c r="C2878" s="210" t="s">
        <v>9409</v>
      </c>
      <c r="D2878" s="210" t="s">
        <v>9410</v>
      </c>
      <c r="E2878" s="204">
        <v>2.0</v>
      </c>
      <c r="F2878" s="205">
        <v>0.0</v>
      </c>
      <c r="G2878" s="205">
        <v>2.0</v>
      </c>
    </row>
    <row r="2879" ht="15.75" customHeight="1">
      <c r="A2879" s="200" t="s">
        <v>321</v>
      </c>
      <c r="B2879" s="186" t="s">
        <v>3653</v>
      </c>
      <c r="C2879" s="210" t="s">
        <v>3655</v>
      </c>
      <c r="D2879" s="210" t="s">
        <v>9411</v>
      </c>
      <c r="E2879" s="204">
        <v>2.0</v>
      </c>
      <c r="F2879" s="205">
        <v>0.0</v>
      </c>
      <c r="G2879" s="205">
        <v>0.0</v>
      </c>
    </row>
    <row r="2880" ht="15.75" customHeight="1">
      <c r="A2880" s="200" t="s">
        <v>321</v>
      </c>
      <c r="B2880" s="186" t="s">
        <v>9412</v>
      </c>
      <c r="C2880" s="210" t="s">
        <v>9413</v>
      </c>
      <c r="D2880" s="210" t="s">
        <v>9414</v>
      </c>
      <c r="E2880" s="204">
        <v>2.0</v>
      </c>
      <c r="F2880" s="205">
        <v>0.0</v>
      </c>
      <c r="G2880" s="205">
        <v>0.5</v>
      </c>
    </row>
    <row r="2881" ht="15.75" customHeight="1">
      <c r="A2881" s="200" t="s">
        <v>321</v>
      </c>
      <c r="B2881" s="186" t="s">
        <v>9415</v>
      </c>
      <c r="C2881" s="210" t="s">
        <v>9416</v>
      </c>
      <c r="D2881" s="210"/>
      <c r="E2881" s="204">
        <v>2.0</v>
      </c>
      <c r="F2881" s="205">
        <v>0.0</v>
      </c>
      <c r="G2881" s="205">
        <v>1.0</v>
      </c>
    </row>
    <row r="2882" ht="15.75" customHeight="1">
      <c r="A2882" s="200" t="s">
        <v>321</v>
      </c>
      <c r="B2882" s="186" t="s">
        <v>9417</v>
      </c>
      <c r="C2882" s="210" t="s">
        <v>9418</v>
      </c>
      <c r="D2882" s="210" t="s">
        <v>9419</v>
      </c>
      <c r="E2882" s="204">
        <v>2.0</v>
      </c>
      <c r="F2882" s="205">
        <v>0.0</v>
      </c>
      <c r="G2882" s="205">
        <v>0.0</v>
      </c>
    </row>
    <row r="2883" ht="15.75" customHeight="1">
      <c r="A2883" s="200" t="s">
        <v>321</v>
      </c>
      <c r="B2883" s="186" t="s">
        <v>4550</v>
      </c>
      <c r="C2883" s="210" t="s">
        <v>4551</v>
      </c>
      <c r="D2883" s="210" t="s">
        <v>9420</v>
      </c>
      <c r="E2883" s="204">
        <v>2.0</v>
      </c>
      <c r="F2883" s="205">
        <v>0.0</v>
      </c>
      <c r="G2883" s="205">
        <v>1.0</v>
      </c>
    </row>
    <row r="2884" ht="15.75" customHeight="1">
      <c r="A2884" s="200" t="s">
        <v>321</v>
      </c>
      <c r="B2884" s="186" t="s">
        <v>9421</v>
      </c>
      <c r="C2884" s="210" t="s">
        <v>9422</v>
      </c>
      <c r="D2884" s="210" t="s">
        <v>9083</v>
      </c>
      <c r="E2884" s="204">
        <v>2.0</v>
      </c>
      <c r="F2884" s="205">
        <v>0.0</v>
      </c>
      <c r="G2884" s="205">
        <v>0.0</v>
      </c>
    </row>
    <row r="2885" ht="15.75" customHeight="1">
      <c r="A2885" s="200" t="s">
        <v>321</v>
      </c>
      <c r="B2885" s="186" t="s">
        <v>4588</v>
      </c>
      <c r="C2885" s="210" t="s">
        <v>4589</v>
      </c>
      <c r="D2885" s="210"/>
      <c r="E2885" s="204">
        <v>2.0</v>
      </c>
      <c r="F2885" s="205">
        <v>0.0</v>
      </c>
      <c r="G2885" s="205">
        <v>0.5</v>
      </c>
    </row>
    <row r="2886" ht="15.75" customHeight="1">
      <c r="A2886" s="200" t="s">
        <v>321</v>
      </c>
      <c r="B2886" s="186" t="s">
        <v>4125</v>
      </c>
      <c r="C2886" s="210" t="s">
        <v>4126</v>
      </c>
      <c r="D2886" s="210" t="s">
        <v>1101</v>
      </c>
      <c r="E2886" s="204">
        <v>2.0</v>
      </c>
      <c r="F2886" s="205">
        <v>0.0</v>
      </c>
      <c r="G2886" s="205">
        <v>0.5</v>
      </c>
    </row>
    <row r="2887" ht="15.75" customHeight="1">
      <c r="A2887" s="200" t="s">
        <v>321</v>
      </c>
      <c r="B2887" s="186" t="s">
        <v>9423</v>
      </c>
      <c r="C2887" s="210" t="s">
        <v>9424</v>
      </c>
      <c r="D2887" s="210" t="s">
        <v>9425</v>
      </c>
      <c r="E2887" s="204">
        <v>2.0</v>
      </c>
      <c r="F2887" s="205">
        <v>0.0</v>
      </c>
      <c r="G2887" s="205">
        <v>1.0</v>
      </c>
    </row>
    <row r="2888" ht="15.75" customHeight="1">
      <c r="A2888" s="200" t="s">
        <v>321</v>
      </c>
      <c r="B2888" s="186" t="s">
        <v>9426</v>
      </c>
      <c r="C2888" s="210" t="s">
        <v>9427</v>
      </c>
      <c r="D2888" s="210" t="s">
        <v>9428</v>
      </c>
      <c r="E2888" s="204">
        <v>2.0</v>
      </c>
      <c r="F2888" s="205">
        <v>0.0</v>
      </c>
      <c r="G2888" s="205">
        <v>1.0</v>
      </c>
    </row>
    <row r="2889" ht="15.75" customHeight="1">
      <c r="A2889" s="200" t="s">
        <v>321</v>
      </c>
      <c r="B2889" s="186" t="s">
        <v>9429</v>
      </c>
      <c r="C2889" s="210" t="s">
        <v>9430</v>
      </c>
      <c r="D2889" s="210" t="s">
        <v>9431</v>
      </c>
      <c r="E2889" s="204">
        <v>2.0</v>
      </c>
      <c r="F2889" s="205">
        <v>0.0</v>
      </c>
      <c r="G2889" s="205">
        <v>0.0</v>
      </c>
    </row>
    <row r="2890" ht="15.75" customHeight="1">
      <c r="A2890" s="200" t="s">
        <v>321</v>
      </c>
      <c r="B2890" s="186" t="s">
        <v>9432</v>
      </c>
      <c r="C2890" s="210" t="s">
        <v>9433</v>
      </c>
      <c r="D2890" s="210"/>
      <c r="E2890" s="204">
        <v>2.0</v>
      </c>
      <c r="F2890" s="205">
        <v>0.0</v>
      </c>
      <c r="G2890" s="205">
        <v>1.0</v>
      </c>
    </row>
    <row r="2891" ht="15.75" customHeight="1">
      <c r="A2891" s="200" t="s">
        <v>321</v>
      </c>
      <c r="B2891" s="186" t="s">
        <v>810</v>
      </c>
      <c r="C2891" s="210" t="s">
        <v>811</v>
      </c>
      <c r="D2891" s="210" t="s">
        <v>813</v>
      </c>
      <c r="E2891" s="204">
        <v>2.0</v>
      </c>
      <c r="F2891" s="205">
        <v>0.0</v>
      </c>
      <c r="G2891" s="205">
        <v>0.0</v>
      </c>
    </row>
    <row r="2892" ht="15.75" customHeight="1">
      <c r="A2892" s="200" t="s">
        <v>321</v>
      </c>
      <c r="B2892" s="186" t="s">
        <v>9434</v>
      </c>
      <c r="C2892" s="210" t="s">
        <v>9435</v>
      </c>
      <c r="D2892" s="210" t="s">
        <v>8999</v>
      </c>
      <c r="E2892" s="204">
        <v>2.0</v>
      </c>
      <c r="F2892" s="205">
        <v>0.0</v>
      </c>
      <c r="G2892" s="205">
        <v>0.5</v>
      </c>
    </row>
    <row r="2893" ht="15.75" customHeight="1">
      <c r="A2893" s="200" t="s">
        <v>321</v>
      </c>
      <c r="B2893" s="186" t="s">
        <v>9436</v>
      </c>
      <c r="C2893" s="210" t="s">
        <v>9437</v>
      </c>
      <c r="D2893" s="210"/>
      <c r="E2893" s="204">
        <v>2.0</v>
      </c>
      <c r="F2893" s="205">
        <v>0.0</v>
      </c>
      <c r="G2893" s="205">
        <v>0.5</v>
      </c>
    </row>
    <row r="2894" ht="15.75" customHeight="1">
      <c r="A2894" s="200" t="s">
        <v>321</v>
      </c>
      <c r="B2894" s="186" t="s">
        <v>2230</v>
      </c>
      <c r="C2894" s="210" t="s">
        <v>2232</v>
      </c>
      <c r="D2894" s="210" t="s">
        <v>9438</v>
      </c>
      <c r="E2894" s="204">
        <v>2.0</v>
      </c>
      <c r="F2894" s="205">
        <v>0.0</v>
      </c>
      <c r="G2894" s="205">
        <v>0.0</v>
      </c>
    </row>
    <row r="2895" ht="15.75" customHeight="1">
      <c r="A2895" s="200" t="s">
        <v>321</v>
      </c>
      <c r="B2895" s="186" t="s">
        <v>952</v>
      </c>
      <c r="C2895" s="210" t="s">
        <v>953</v>
      </c>
      <c r="D2895" s="210" t="s">
        <v>2634</v>
      </c>
      <c r="E2895" s="204">
        <v>2.0</v>
      </c>
      <c r="F2895" s="205">
        <v>0.0</v>
      </c>
      <c r="G2895" s="205">
        <v>1.0</v>
      </c>
    </row>
    <row r="2896" ht="15.75" customHeight="1">
      <c r="A2896" s="200" t="s">
        <v>321</v>
      </c>
      <c r="B2896" s="186" t="s">
        <v>695</v>
      </c>
      <c r="C2896" s="210" t="s">
        <v>696</v>
      </c>
      <c r="D2896" s="210" t="s">
        <v>2638</v>
      </c>
      <c r="E2896" s="204">
        <v>2.0</v>
      </c>
      <c r="F2896" s="205">
        <v>0.0</v>
      </c>
      <c r="G2896" s="205">
        <v>2.0</v>
      </c>
    </row>
    <row r="2897" ht="15.75" customHeight="1">
      <c r="A2897" s="200" t="s">
        <v>321</v>
      </c>
      <c r="B2897" s="186" t="s">
        <v>9439</v>
      </c>
      <c r="C2897" s="210" t="s">
        <v>9440</v>
      </c>
      <c r="D2897" s="210"/>
      <c r="E2897" s="204">
        <v>2.0</v>
      </c>
      <c r="F2897" s="205">
        <v>0.0</v>
      </c>
      <c r="G2897" s="205">
        <v>0.0</v>
      </c>
    </row>
    <row r="2898" ht="15.75" customHeight="1">
      <c r="A2898" s="200" t="s">
        <v>321</v>
      </c>
      <c r="B2898" s="186" t="s">
        <v>9441</v>
      </c>
      <c r="C2898" s="210" t="s">
        <v>9442</v>
      </c>
      <c r="D2898" s="210" t="s">
        <v>9443</v>
      </c>
      <c r="E2898" s="204">
        <v>2.0</v>
      </c>
      <c r="F2898" s="205">
        <v>0.0</v>
      </c>
      <c r="G2898" s="205">
        <v>0.0</v>
      </c>
    </row>
    <row r="2899" ht="15.75" customHeight="1">
      <c r="A2899" s="200" t="s">
        <v>321</v>
      </c>
      <c r="B2899" s="186" t="s">
        <v>9444</v>
      </c>
      <c r="C2899" s="210" t="s">
        <v>9445</v>
      </c>
      <c r="D2899" s="210"/>
      <c r="E2899" s="204">
        <v>2.0</v>
      </c>
      <c r="F2899" s="205">
        <v>0.0</v>
      </c>
      <c r="G2899" s="205">
        <v>0.0</v>
      </c>
    </row>
    <row r="2900" ht="15.75" customHeight="1">
      <c r="A2900" s="200" t="s">
        <v>321</v>
      </c>
      <c r="B2900" s="186" t="s">
        <v>9446</v>
      </c>
      <c r="C2900" s="210" t="s">
        <v>9447</v>
      </c>
      <c r="D2900" s="210" t="s">
        <v>9448</v>
      </c>
      <c r="E2900" s="204">
        <v>2.0</v>
      </c>
      <c r="F2900" s="205">
        <v>0.0</v>
      </c>
      <c r="G2900" s="205">
        <v>2.5</v>
      </c>
    </row>
    <row r="2901" ht="15.75" customHeight="1">
      <c r="A2901" s="200" t="s">
        <v>321</v>
      </c>
      <c r="B2901" s="186" t="s">
        <v>9449</v>
      </c>
      <c r="C2901" s="210" t="s">
        <v>9450</v>
      </c>
      <c r="D2901" s="210" t="s">
        <v>9451</v>
      </c>
      <c r="E2901" s="204">
        <v>2.0</v>
      </c>
      <c r="F2901" s="205">
        <v>0.0</v>
      </c>
      <c r="G2901" s="205">
        <v>0.0</v>
      </c>
    </row>
    <row r="2902" ht="15.75" customHeight="1">
      <c r="A2902" s="200" t="s">
        <v>321</v>
      </c>
      <c r="B2902" s="186" t="s">
        <v>9452</v>
      </c>
      <c r="C2902" s="210" t="s">
        <v>9453</v>
      </c>
      <c r="D2902" s="210"/>
      <c r="E2902" s="204">
        <v>2.0</v>
      </c>
      <c r="F2902" s="205">
        <v>0.0</v>
      </c>
      <c r="G2902" s="205">
        <v>1.0</v>
      </c>
    </row>
    <row r="2903" ht="15.75" customHeight="1">
      <c r="A2903" s="200" t="s">
        <v>321</v>
      </c>
      <c r="B2903" s="186" t="s">
        <v>2678</v>
      </c>
      <c r="C2903" s="210" t="s">
        <v>2679</v>
      </c>
      <c r="D2903" s="210" t="s">
        <v>1101</v>
      </c>
      <c r="E2903" s="204">
        <v>2.0</v>
      </c>
      <c r="F2903" s="205">
        <v>0.0</v>
      </c>
      <c r="G2903" s="205">
        <v>1.5</v>
      </c>
    </row>
    <row r="2904" ht="15.75" customHeight="1">
      <c r="A2904" s="200" t="s">
        <v>321</v>
      </c>
      <c r="B2904" s="186" t="s">
        <v>9454</v>
      </c>
      <c r="C2904" s="210" t="s">
        <v>9455</v>
      </c>
      <c r="D2904" s="210" t="s">
        <v>9456</v>
      </c>
      <c r="E2904" s="204">
        <v>2.0</v>
      </c>
      <c r="F2904" s="205">
        <v>0.0</v>
      </c>
      <c r="G2904" s="205">
        <v>1.0</v>
      </c>
    </row>
    <row r="2905" ht="15.75" customHeight="1">
      <c r="A2905" s="200" t="s">
        <v>321</v>
      </c>
      <c r="B2905" s="186" t="s">
        <v>2641</v>
      </c>
      <c r="C2905" s="210" t="s">
        <v>654</v>
      </c>
      <c r="D2905" s="210" t="s">
        <v>2643</v>
      </c>
      <c r="E2905" s="204">
        <v>2.0</v>
      </c>
      <c r="F2905" s="205">
        <v>0.0</v>
      </c>
      <c r="G2905" s="205">
        <v>1.5</v>
      </c>
    </row>
    <row r="2906" ht="15.75" customHeight="1">
      <c r="A2906" s="200" t="s">
        <v>321</v>
      </c>
      <c r="B2906" s="186" t="s">
        <v>9457</v>
      </c>
      <c r="C2906" s="210" t="s">
        <v>9458</v>
      </c>
      <c r="D2906" s="210" t="s">
        <v>9459</v>
      </c>
      <c r="E2906" s="204">
        <v>2.0</v>
      </c>
      <c r="F2906" s="205">
        <v>0.0</v>
      </c>
      <c r="G2906" s="205">
        <v>0.5</v>
      </c>
    </row>
    <row r="2907" ht="15.75" customHeight="1">
      <c r="A2907" s="200" t="s">
        <v>321</v>
      </c>
      <c r="B2907" s="186" t="s">
        <v>2595</v>
      </c>
      <c r="C2907" s="210" t="s">
        <v>2596</v>
      </c>
      <c r="D2907" s="210" t="s">
        <v>9460</v>
      </c>
      <c r="E2907" s="204">
        <v>2.0</v>
      </c>
      <c r="F2907" s="205">
        <v>0.0</v>
      </c>
      <c r="G2907" s="205">
        <v>0.0</v>
      </c>
    </row>
    <row r="2908" ht="15.75" customHeight="1">
      <c r="A2908" s="200" t="s">
        <v>321</v>
      </c>
      <c r="B2908" s="186" t="s">
        <v>8407</v>
      </c>
      <c r="C2908" s="210" t="s">
        <v>8409</v>
      </c>
      <c r="D2908" s="210"/>
      <c r="E2908" s="204">
        <v>2.0</v>
      </c>
      <c r="F2908" s="205">
        <v>0.0</v>
      </c>
      <c r="G2908" s="205">
        <v>1.0</v>
      </c>
    </row>
    <row r="2909" ht="15.75" customHeight="1">
      <c r="A2909" s="200" t="s">
        <v>321</v>
      </c>
      <c r="B2909" s="186" t="s">
        <v>9461</v>
      </c>
      <c r="C2909" s="210" t="s">
        <v>9462</v>
      </c>
      <c r="D2909" s="210" t="s">
        <v>9463</v>
      </c>
      <c r="E2909" s="204">
        <v>2.0</v>
      </c>
      <c r="F2909" s="205">
        <v>0.0</v>
      </c>
      <c r="G2909" s="205">
        <v>3.0</v>
      </c>
    </row>
    <row r="2910" ht="15.75" customHeight="1">
      <c r="A2910" s="200" t="s">
        <v>321</v>
      </c>
      <c r="B2910" s="186" t="s">
        <v>9464</v>
      </c>
      <c r="C2910" s="210" t="s">
        <v>9465</v>
      </c>
      <c r="D2910" s="210" t="s">
        <v>9466</v>
      </c>
      <c r="E2910" s="204">
        <v>2.0</v>
      </c>
      <c r="F2910" s="205">
        <v>0.0</v>
      </c>
      <c r="G2910" s="205">
        <v>1.0</v>
      </c>
    </row>
    <row r="2911" ht="15.75" customHeight="1">
      <c r="A2911" s="200" t="s">
        <v>321</v>
      </c>
      <c r="B2911" s="186" t="s">
        <v>9467</v>
      </c>
      <c r="C2911" s="210" t="s">
        <v>9468</v>
      </c>
      <c r="D2911" s="210" t="s">
        <v>9469</v>
      </c>
      <c r="E2911" s="204">
        <v>2.0</v>
      </c>
      <c r="F2911" s="205">
        <v>0.0</v>
      </c>
      <c r="G2911" s="205">
        <v>0.0</v>
      </c>
    </row>
    <row r="2912" ht="15.75" customHeight="1">
      <c r="A2912" s="200" t="s">
        <v>321</v>
      </c>
      <c r="B2912" s="186" t="s">
        <v>9470</v>
      </c>
      <c r="C2912" s="210" t="s">
        <v>9471</v>
      </c>
      <c r="D2912" s="210"/>
      <c r="E2912" s="204">
        <v>2.0</v>
      </c>
      <c r="F2912" s="205">
        <v>0.0</v>
      </c>
      <c r="G2912" s="205">
        <v>0.5</v>
      </c>
    </row>
    <row r="2913" ht="15.75" customHeight="1">
      <c r="A2913" s="200" t="s">
        <v>321</v>
      </c>
      <c r="B2913" s="186" t="s">
        <v>9472</v>
      </c>
      <c r="C2913" s="210" t="s">
        <v>9473</v>
      </c>
      <c r="D2913" s="210" t="s">
        <v>9474</v>
      </c>
      <c r="E2913" s="204">
        <v>2.0</v>
      </c>
      <c r="F2913" s="205">
        <v>0.0</v>
      </c>
      <c r="G2913" s="205">
        <v>1.5</v>
      </c>
    </row>
    <row r="2914" ht="15.75" customHeight="1">
      <c r="A2914" s="200" t="s">
        <v>321</v>
      </c>
      <c r="B2914" s="186" t="s">
        <v>769</v>
      </c>
      <c r="C2914" s="210" t="s">
        <v>770</v>
      </c>
      <c r="D2914" s="210" t="s">
        <v>2003</v>
      </c>
      <c r="E2914" s="204">
        <v>2.0</v>
      </c>
      <c r="F2914" s="205">
        <v>0.0</v>
      </c>
      <c r="G2914" s="205">
        <v>1.0</v>
      </c>
    </row>
    <row r="2915" ht="15.75" customHeight="1">
      <c r="A2915" s="200" t="s">
        <v>321</v>
      </c>
      <c r="B2915" s="186" t="s">
        <v>1215</v>
      </c>
      <c r="C2915" s="210" t="s">
        <v>1216</v>
      </c>
      <c r="D2915" s="210" t="s">
        <v>9475</v>
      </c>
      <c r="E2915" s="204">
        <v>2.0</v>
      </c>
      <c r="F2915" s="205">
        <v>0.0</v>
      </c>
      <c r="G2915" s="205">
        <v>1.0</v>
      </c>
    </row>
    <row r="2916" ht="15.75" customHeight="1">
      <c r="A2916" s="200" t="s">
        <v>321</v>
      </c>
      <c r="B2916" s="186" t="s">
        <v>9476</v>
      </c>
      <c r="C2916" s="210" t="s">
        <v>9477</v>
      </c>
      <c r="D2916" s="210" t="s">
        <v>9478</v>
      </c>
      <c r="E2916" s="204">
        <v>2.0</v>
      </c>
      <c r="F2916" s="205">
        <v>0.0</v>
      </c>
      <c r="G2916" s="205">
        <v>0.0</v>
      </c>
    </row>
    <row r="2917" ht="15.75" customHeight="1">
      <c r="A2917" s="200" t="s">
        <v>321</v>
      </c>
      <c r="B2917" s="186" t="s">
        <v>2281</v>
      </c>
      <c r="C2917" s="210" t="s">
        <v>2282</v>
      </c>
      <c r="D2917" s="210" t="s">
        <v>9479</v>
      </c>
      <c r="E2917" s="204">
        <v>2.0</v>
      </c>
      <c r="F2917" s="205">
        <v>0.0</v>
      </c>
      <c r="G2917" s="205">
        <v>1.5</v>
      </c>
    </row>
    <row r="2918" ht="15.75" customHeight="1">
      <c r="A2918" s="200" t="s">
        <v>321</v>
      </c>
      <c r="B2918" s="186" t="s">
        <v>9480</v>
      </c>
      <c r="C2918" s="210" t="s">
        <v>9481</v>
      </c>
      <c r="D2918" s="210" t="s">
        <v>9482</v>
      </c>
      <c r="E2918" s="204">
        <v>2.0</v>
      </c>
      <c r="F2918" s="205">
        <v>0.0</v>
      </c>
      <c r="G2918" s="205">
        <v>1.0</v>
      </c>
    </row>
    <row r="2919" ht="15.75" customHeight="1">
      <c r="A2919" s="200" t="s">
        <v>321</v>
      </c>
      <c r="B2919" s="186" t="s">
        <v>7477</v>
      </c>
      <c r="C2919" s="210" t="s">
        <v>7478</v>
      </c>
      <c r="D2919" s="210" t="s">
        <v>7479</v>
      </c>
      <c r="E2919" s="204">
        <v>2.0</v>
      </c>
      <c r="F2919" s="205">
        <v>0.0</v>
      </c>
      <c r="G2919" s="205">
        <v>1.5</v>
      </c>
    </row>
    <row r="2920" ht="15.75" customHeight="1">
      <c r="A2920" s="200" t="s">
        <v>321</v>
      </c>
      <c r="B2920" s="186" t="s">
        <v>6403</v>
      </c>
      <c r="C2920" s="210" t="s">
        <v>6404</v>
      </c>
      <c r="D2920" s="210" t="s">
        <v>1029</v>
      </c>
      <c r="E2920" s="204">
        <v>2.0</v>
      </c>
      <c r="F2920" s="205">
        <v>0.0</v>
      </c>
      <c r="G2920" s="205">
        <v>2.0</v>
      </c>
    </row>
    <row r="2921" ht="15.75" customHeight="1">
      <c r="A2921" s="200" t="s">
        <v>321</v>
      </c>
      <c r="B2921" s="186" t="s">
        <v>4302</v>
      </c>
      <c r="C2921" s="210" t="s">
        <v>4303</v>
      </c>
      <c r="D2921" s="210" t="s">
        <v>9483</v>
      </c>
      <c r="E2921" s="204">
        <v>2.0</v>
      </c>
      <c r="F2921" s="205">
        <v>0.0</v>
      </c>
      <c r="G2921" s="205">
        <v>1.0</v>
      </c>
    </row>
    <row r="2922" ht="15.75" customHeight="1">
      <c r="A2922" s="200" t="s">
        <v>321</v>
      </c>
      <c r="B2922" s="186" t="s">
        <v>2393</v>
      </c>
      <c r="C2922" s="210" t="s">
        <v>2394</v>
      </c>
      <c r="D2922" s="210" t="s">
        <v>9484</v>
      </c>
      <c r="E2922" s="204">
        <v>2.0</v>
      </c>
      <c r="F2922" s="205">
        <v>0.0</v>
      </c>
      <c r="G2922" s="205">
        <v>2.0</v>
      </c>
    </row>
    <row r="2923" ht="15.75" customHeight="1">
      <c r="A2923" s="200" t="s">
        <v>321</v>
      </c>
      <c r="B2923" s="186" t="s">
        <v>9485</v>
      </c>
      <c r="C2923" s="210" t="s">
        <v>2449</v>
      </c>
      <c r="D2923" s="210" t="s">
        <v>9486</v>
      </c>
      <c r="E2923" s="204">
        <v>2.0</v>
      </c>
      <c r="F2923" s="205">
        <v>0.0</v>
      </c>
      <c r="G2923" s="205">
        <v>1.5</v>
      </c>
    </row>
    <row r="2924" ht="15.75" customHeight="1">
      <c r="A2924" s="200" t="s">
        <v>321</v>
      </c>
      <c r="B2924" s="186" t="s">
        <v>2714</v>
      </c>
      <c r="C2924" s="210" t="s">
        <v>2715</v>
      </c>
      <c r="D2924" s="210"/>
      <c r="E2924" s="204">
        <v>2.0</v>
      </c>
      <c r="F2924" s="205">
        <v>0.0</v>
      </c>
      <c r="G2924" s="205">
        <v>0.5</v>
      </c>
    </row>
    <row r="2925" ht="15.75" customHeight="1">
      <c r="A2925" s="200" t="s">
        <v>321</v>
      </c>
      <c r="B2925" s="186" t="s">
        <v>958</v>
      </c>
      <c r="C2925" s="210" t="s">
        <v>959</v>
      </c>
      <c r="D2925" s="210" t="s">
        <v>2649</v>
      </c>
      <c r="E2925" s="204">
        <v>2.0</v>
      </c>
      <c r="F2925" s="205">
        <v>0.0</v>
      </c>
      <c r="G2925" s="205">
        <v>0.0</v>
      </c>
    </row>
    <row r="2926" ht="15.75" customHeight="1">
      <c r="A2926" s="200" t="s">
        <v>321</v>
      </c>
      <c r="B2926" s="186" t="s">
        <v>301</v>
      </c>
      <c r="C2926" s="210" t="s">
        <v>302</v>
      </c>
      <c r="D2926" s="210" t="s">
        <v>317</v>
      </c>
      <c r="E2926" s="204">
        <v>2.0</v>
      </c>
      <c r="F2926" s="205">
        <v>0.0</v>
      </c>
      <c r="G2926" s="205">
        <v>0.0</v>
      </c>
    </row>
    <row r="2927" ht="15.75" customHeight="1">
      <c r="A2927" s="200" t="s">
        <v>321</v>
      </c>
      <c r="B2927" s="186" t="s">
        <v>308</v>
      </c>
      <c r="C2927" s="210" t="s">
        <v>309</v>
      </c>
      <c r="D2927" s="210" t="s">
        <v>310</v>
      </c>
      <c r="E2927" s="204">
        <v>2.0</v>
      </c>
      <c r="F2927" s="205">
        <v>0.0</v>
      </c>
      <c r="G2927" s="205">
        <v>0.0</v>
      </c>
    </row>
    <row r="2928" ht="15.75" customHeight="1">
      <c r="A2928" s="200" t="s">
        <v>321</v>
      </c>
      <c r="B2928" s="186" t="s">
        <v>3773</v>
      </c>
      <c r="C2928" s="210" t="s">
        <v>3774</v>
      </c>
      <c r="D2928" s="210" t="s">
        <v>9487</v>
      </c>
      <c r="E2928" s="204">
        <v>2.0</v>
      </c>
      <c r="F2928" s="205">
        <v>0.0</v>
      </c>
      <c r="G2928" s="205">
        <v>0.0</v>
      </c>
    </row>
    <row r="2929" ht="15.75" customHeight="1">
      <c r="A2929" s="200" t="s">
        <v>321</v>
      </c>
      <c r="B2929" s="186" t="s">
        <v>4329</v>
      </c>
      <c r="C2929" s="210" t="s">
        <v>4330</v>
      </c>
      <c r="D2929" s="210" t="s">
        <v>2348</v>
      </c>
      <c r="E2929" s="204">
        <v>2.0</v>
      </c>
      <c r="F2929" s="205">
        <v>0.0</v>
      </c>
      <c r="G2929" s="205">
        <v>0.5</v>
      </c>
    </row>
    <row r="2930" ht="15.75" customHeight="1">
      <c r="A2930" s="200" t="s">
        <v>321</v>
      </c>
      <c r="B2930" s="186" t="s">
        <v>9488</v>
      </c>
      <c r="C2930" s="210" t="s">
        <v>9489</v>
      </c>
      <c r="D2930" s="210" t="s">
        <v>9490</v>
      </c>
      <c r="E2930" s="204">
        <v>2.0</v>
      </c>
      <c r="F2930" s="205">
        <v>0.0</v>
      </c>
      <c r="G2930" s="205">
        <v>0.0</v>
      </c>
    </row>
    <row r="2931" ht="15.75" customHeight="1">
      <c r="A2931" s="200" t="s">
        <v>321</v>
      </c>
      <c r="B2931" s="186" t="s">
        <v>9491</v>
      </c>
      <c r="C2931" s="210" t="s">
        <v>9492</v>
      </c>
      <c r="D2931" s="210" t="s">
        <v>9493</v>
      </c>
      <c r="E2931" s="204">
        <v>2.0</v>
      </c>
      <c r="F2931" s="205">
        <v>0.0</v>
      </c>
      <c r="G2931" s="205">
        <v>1.0</v>
      </c>
    </row>
    <row r="2932" ht="15.75" customHeight="1">
      <c r="A2932" s="200" t="s">
        <v>321</v>
      </c>
      <c r="B2932" s="186" t="s">
        <v>5358</v>
      </c>
      <c r="C2932" s="210" t="s">
        <v>5359</v>
      </c>
      <c r="D2932" s="210" t="s">
        <v>9494</v>
      </c>
      <c r="E2932" s="204">
        <v>2.0</v>
      </c>
      <c r="F2932" s="205">
        <v>0.0</v>
      </c>
      <c r="G2932" s="205">
        <v>1.0</v>
      </c>
    </row>
    <row r="2933" ht="15.75" customHeight="1">
      <c r="A2933" s="200" t="s">
        <v>321</v>
      </c>
      <c r="B2933" s="186" t="s">
        <v>9495</v>
      </c>
      <c r="C2933" s="210" t="s">
        <v>9496</v>
      </c>
      <c r="D2933" s="210" t="s">
        <v>2242</v>
      </c>
      <c r="E2933" s="204">
        <v>2.0</v>
      </c>
      <c r="F2933" s="205">
        <v>0.0</v>
      </c>
      <c r="G2933" s="205">
        <v>0.0</v>
      </c>
    </row>
    <row r="2934" ht="15.75" customHeight="1">
      <c r="A2934" s="200" t="s">
        <v>321</v>
      </c>
      <c r="B2934" s="186" t="s">
        <v>9497</v>
      </c>
      <c r="C2934" s="210" t="s">
        <v>9498</v>
      </c>
      <c r="D2934" s="210" t="s">
        <v>1101</v>
      </c>
      <c r="E2934" s="204">
        <v>2.0</v>
      </c>
      <c r="F2934" s="205">
        <v>0.0</v>
      </c>
      <c r="G2934" s="205">
        <v>0.0</v>
      </c>
    </row>
    <row r="2935" ht="15.75" customHeight="1">
      <c r="A2935" s="200" t="s">
        <v>321</v>
      </c>
      <c r="B2935" s="186" t="s">
        <v>9499</v>
      </c>
      <c r="C2935" s="210" t="s">
        <v>9500</v>
      </c>
      <c r="D2935" s="210" t="s">
        <v>9501</v>
      </c>
      <c r="E2935" s="204">
        <v>2.0</v>
      </c>
      <c r="F2935" s="205">
        <v>0.0</v>
      </c>
      <c r="G2935" s="205">
        <v>0.0</v>
      </c>
    </row>
    <row r="2936" ht="15.75" customHeight="1">
      <c r="A2936" s="200" t="s">
        <v>321</v>
      </c>
      <c r="B2936" s="186" t="s">
        <v>9502</v>
      </c>
      <c r="C2936" s="210" t="s">
        <v>9503</v>
      </c>
      <c r="D2936" s="210" t="s">
        <v>9504</v>
      </c>
      <c r="E2936" s="204">
        <v>2.0</v>
      </c>
      <c r="F2936" s="205">
        <v>0.0</v>
      </c>
      <c r="G2936" s="205">
        <v>1.0</v>
      </c>
    </row>
    <row r="2937" ht="15.75" customHeight="1">
      <c r="A2937" s="200" t="s">
        <v>321</v>
      </c>
      <c r="B2937" s="186" t="s">
        <v>9505</v>
      </c>
      <c r="C2937" s="210" t="s">
        <v>9506</v>
      </c>
      <c r="D2937" s="210" t="s">
        <v>9507</v>
      </c>
      <c r="E2937" s="204">
        <v>2.0</v>
      </c>
      <c r="F2937" s="205">
        <v>0.0</v>
      </c>
      <c r="G2937" s="205">
        <v>0.0</v>
      </c>
    </row>
    <row r="2938" ht="15.75" customHeight="1">
      <c r="A2938" s="200" t="s">
        <v>321</v>
      </c>
      <c r="B2938" s="186" t="s">
        <v>9508</v>
      </c>
      <c r="C2938" s="210" t="s">
        <v>9509</v>
      </c>
      <c r="D2938" s="210" t="s">
        <v>348</v>
      </c>
      <c r="E2938" s="204">
        <v>2.0</v>
      </c>
      <c r="F2938" s="205">
        <v>0.0</v>
      </c>
      <c r="G2938" s="205">
        <v>0.0</v>
      </c>
    </row>
    <row r="2939" ht="15.75" customHeight="1">
      <c r="A2939" s="200" t="s">
        <v>321</v>
      </c>
      <c r="B2939" s="186" t="s">
        <v>9510</v>
      </c>
      <c r="C2939" s="210" t="s">
        <v>9511</v>
      </c>
      <c r="D2939" s="210" t="s">
        <v>9512</v>
      </c>
      <c r="E2939" s="204">
        <v>2.0</v>
      </c>
      <c r="F2939" s="205">
        <v>0.0</v>
      </c>
      <c r="G2939" s="205">
        <v>0.0</v>
      </c>
    </row>
    <row r="2940" ht="15.75" customHeight="1">
      <c r="A2940" s="200" t="s">
        <v>321</v>
      </c>
      <c r="B2940" s="186" t="s">
        <v>706</v>
      </c>
      <c r="C2940" s="210" t="s">
        <v>707</v>
      </c>
      <c r="D2940" s="210" t="s">
        <v>2653</v>
      </c>
      <c r="E2940" s="204">
        <v>2.0</v>
      </c>
      <c r="F2940" s="205">
        <v>0.0</v>
      </c>
      <c r="G2940" s="205">
        <v>0.5</v>
      </c>
    </row>
    <row r="2941" ht="15.75" customHeight="1">
      <c r="A2941" s="200" t="s">
        <v>321</v>
      </c>
      <c r="B2941" s="186" t="s">
        <v>9513</v>
      </c>
      <c r="C2941" s="210" t="s">
        <v>9514</v>
      </c>
      <c r="D2941" s="210" t="s">
        <v>9515</v>
      </c>
      <c r="E2941" s="204">
        <v>2.0</v>
      </c>
      <c r="F2941" s="205">
        <v>0.0</v>
      </c>
      <c r="G2941" s="205">
        <v>0.5</v>
      </c>
    </row>
    <row r="2942" ht="15.75" customHeight="1">
      <c r="A2942" s="200" t="s">
        <v>321</v>
      </c>
      <c r="B2942" s="186" t="s">
        <v>9516</v>
      </c>
      <c r="C2942" s="210" t="s">
        <v>9517</v>
      </c>
      <c r="D2942" s="210" t="s">
        <v>9518</v>
      </c>
      <c r="E2942" s="204">
        <v>2.0</v>
      </c>
      <c r="F2942" s="205">
        <v>0.0</v>
      </c>
      <c r="G2942" s="205">
        <v>1.0</v>
      </c>
    </row>
    <row r="2943" ht="15.75" customHeight="1">
      <c r="A2943" s="200" t="s">
        <v>321</v>
      </c>
      <c r="B2943" s="186" t="s">
        <v>3623</v>
      </c>
      <c r="C2943" s="210" t="s">
        <v>3625</v>
      </c>
      <c r="D2943" s="210" t="s">
        <v>2348</v>
      </c>
      <c r="E2943" s="204">
        <v>2.0</v>
      </c>
      <c r="F2943" s="205">
        <v>0.0</v>
      </c>
      <c r="G2943" s="205">
        <v>0.5</v>
      </c>
    </row>
    <row r="2944" ht="15.75" customHeight="1">
      <c r="A2944" s="200" t="s">
        <v>321</v>
      </c>
      <c r="B2944" s="186" t="s">
        <v>3459</v>
      </c>
      <c r="C2944" s="210" t="s">
        <v>3460</v>
      </c>
      <c r="D2944" s="210" t="s">
        <v>9519</v>
      </c>
      <c r="E2944" s="204">
        <v>2.0</v>
      </c>
      <c r="F2944" s="205">
        <v>0.0</v>
      </c>
      <c r="G2944" s="205">
        <v>0.5</v>
      </c>
    </row>
    <row r="2945" ht="15.75" customHeight="1">
      <c r="A2945" s="200" t="s">
        <v>321</v>
      </c>
      <c r="B2945" s="186" t="s">
        <v>9520</v>
      </c>
      <c r="C2945" s="210" t="s">
        <v>4040</v>
      </c>
      <c r="D2945" s="210" t="s">
        <v>4041</v>
      </c>
      <c r="E2945" s="204">
        <v>2.0</v>
      </c>
      <c r="F2945" s="205">
        <v>0.0</v>
      </c>
      <c r="G2945" s="205">
        <v>1.5</v>
      </c>
    </row>
    <row r="2946" ht="15.75" customHeight="1">
      <c r="A2946" s="200" t="s">
        <v>321</v>
      </c>
      <c r="B2946" s="186" t="s">
        <v>1317</v>
      </c>
      <c r="C2946" s="210" t="s">
        <v>1318</v>
      </c>
      <c r="D2946" s="210" t="s">
        <v>9521</v>
      </c>
      <c r="E2946" s="204">
        <v>2.0</v>
      </c>
      <c r="F2946" s="205">
        <v>0.0</v>
      </c>
      <c r="G2946" s="205">
        <v>1.0</v>
      </c>
    </row>
    <row r="2947" ht="15.75" customHeight="1">
      <c r="A2947" s="200" t="s">
        <v>321</v>
      </c>
      <c r="B2947" s="186" t="s">
        <v>9522</v>
      </c>
      <c r="C2947" s="210" t="s">
        <v>9523</v>
      </c>
      <c r="D2947" s="210" t="s">
        <v>9524</v>
      </c>
      <c r="E2947" s="204">
        <v>2.0</v>
      </c>
      <c r="F2947" s="205">
        <v>0.0</v>
      </c>
      <c r="G2947" s="205">
        <v>2.0</v>
      </c>
    </row>
    <row r="2948" ht="15.75" customHeight="1">
      <c r="A2948" s="200" t="s">
        <v>321</v>
      </c>
      <c r="B2948" s="186" t="s">
        <v>9525</v>
      </c>
      <c r="C2948" s="210" t="s">
        <v>9526</v>
      </c>
      <c r="D2948" s="210" t="s">
        <v>1101</v>
      </c>
      <c r="E2948" s="204">
        <v>2.0</v>
      </c>
      <c r="F2948" s="205">
        <v>0.0</v>
      </c>
      <c r="G2948" s="205">
        <v>1.5</v>
      </c>
    </row>
    <row r="2949" ht="15.75" customHeight="1">
      <c r="A2949" s="200" t="s">
        <v>321</v>
      </c>
      <c r="B2949" s="186" t="s">
        <v>6300</v>
      </c>
      <c r="C2949" s="210" t="s">
        <v>6301</v>
      </c>
      <c r="D2949" s="210" t="s">
        <v>9527</v>
      </c>
      <c r="E2949" s="204">
        <v>2.0</v>
      </c>
      <c r="F2949" s="205">
        <v>0.0</v>
      </c>
      <c r="G2949" s="205">
        <v>0.0</v>
      </c>
    </row>
    <row r="2950" ht="15.75" customHeight="1">
      <c r="A2950" s="200" t="s">
        <v>321</v>
      </c>
      <c r="B2950" s="186" t="s">
        <v>9528</v>
      </c>
      <c r="C2950" s="210" t="s">
        <v>9529</v>
      </c>
      <c r="D2950" s="210" t="s">
        <v>9530</v>
      </c>
      <c r="E2950" s="204">
        <v>2.0</v>
      </c>
      <c r="F2950" s="205">
        <v>0.0</v>
      </c>
      <c r="G2950" s="205">
        <v>1.0</v>
      </c>
    </row>
    <row r="2951" ht="15.75" customHeight="1">
      <c r="A2951" s="200" t="s">
        <v>321</v>
      </c>
      <c r="B2951" s="186" t="s">
        <v>7917</v>
      </c>
      <c r="C2951" s="210" t="s">
        <v>7918</v>
      </c>
      <c r="D2951" s="210"/>
      <c r="E2951" s="204">
        <v>1.0</v>
      </c>
      <c r="F2951" s="205">
        <v>0.0</v>
      </c>
      <c r="G2951" s="205">
        <v>0.0</v>
      </c>
    </row>
    <row r="2952" ht="15.75" customHeight="1">
      <c r="A2952" s="200" t="s">
        <v>321</v>
      </c>
      <c r="B2952" s="186" t="s">
        <v>9531</v>
      </c>
      <c r="C2952" s="210" t="s">
        <v>9532</v>
      </c>
      <c r="D2952" s="210" t="s">
        <v>9533</v>
      </c>
      <c r="E2952" s="204">
        <v>1.0</v>
      </c>
      <c r="F2952" s="205">
        <v>0.0</v>
      </c>
      <c r="G2952" s="205">
        <v>0.0</v>
      </c>
    </row>
    <row r="2953" ht="15.75" customHeight="1">
      <c r="A2953" s="200" t="s">
        <v>321</v>
      </c>
      <c r="B2953" s="186" t="s">
        <v>7926</v>
      </c>
      <c r="C2953" s="210" t="s">
        <v>7927</v>
      </c>
      <c r="D2953" s="210" t="s">
        <v>376</v>
      </c>
      <c r="E2953" s="204">
        <v>1.0</v>
      </c>
      <c r="F2953" s="205">
        <v>0.0</v>
      </c>
      <c r="G2953" s="205">
        <v>0.0</v>
      </c>
    </row>
    <row r="2954" ht="15.75" customHeight="1">
      <c r="A2954" s="200" t="s">
        <v>321</v>
      </c>
      <c r="B2954" s="186" t="s">
        <v>3333</v>
      </c>
      <c r="C2954" s="210" t="s">
        <v>3334</v>
      </c>
      <c r="D2954" s="210" t="s">
        <v>1319</v>
      </c>
      <c r="E2954" s="204">
        <v>1.0</v>
      </c>
      <c r="F2954" s="205">
        <v>0.0</v>
      </c>
      <c r="G2954" s="205">
        <v>0.0</v>
      </c>
    </row>
    <row r="2955" ht="15.75" customHeight="1">
      <c r="A2955" s="200" t="s">
        <v>321</v>
      </c>
      <c r="B2955" s="186" t="s">
        <v>9534</v>
      </c>
      <c r="C2955" s="210" t="s">
        <v>9535</v>
      </c>
      <c r="D2955" s="210"/>
      <c r="E2955" s="204">
        <v>1.0</v>
      </c>
      <c r="F2955" s="205">
        <v>0.0</v>
      </c>
      <c r="G2955" s="205">
        <v>1.0</v>
      </c>
    </row>
    <row r="2956" ht="15.75" customHeight="1">
      <c r="A2956" s="200" t="s">
        <v>321</v>
      </c>
      <c r="B2956" s="186" t="s">
        <v>9536</v>
      </c>
      <c r="C2956" s="210" t="s">
        <v>9537</v>
      </c>
      <c r="D2956" s="210" t="s">
        <v>8791</v>
      </c>
      <c r="E2956" s="204">
        <v>1.0</v>
      </c>
      <c r="F2956" s="205">
        <v>0.0</v>
      </c>
      <c r="G2956" s="205">
        <v>1.0</v>
      </c>
    </row>
    <row r="2957" ht="15.75" customHeight="1">
      <c r="A2957" s="200" t="s">
        <v>321</v>
      </c>
      <c r="B2957" s="186" t="s">
        <v>9538</v>
      </c>
      <c r="C2957" s="210" t="s">
        <v>9539</v>
      </c>
      <c r="D2957" s="210" t="s">
        <v>9025</v>
      </c>
      <c r="E2957" s="204">
        <v>1.0</v>
      </c>
      <c r="F2957" s="205">
        <v>0.0</v>
      </c>
      <c r="G2957" s="205">
        <v>0.0</v>
      </c>
    </row>
    <row r="2958" ht="15.75" customHeight="1">
      <c r="A2958" s="200" t="s">
        <v>321</v>
      </c>
      <c r="B2958" s="186" t="s">
        <v>9540</v>
      </c>
      <c r="C2958" s="210" t="s">
        <v>9541</v>
      </c>
      <c r="D2958" s="210" t="s">
        <v>9025</v>
      </c>
      <c r="E2958" s="204">
        <v>1.0</v>
      </c>
      <c r="F2958" s="205">
        <v>0.0</v>
      </c>
      <c r="G2958" s="205">
        <v>1.0</v>
      </c>
    </row>
    <row r="2959" ht="15.75" customHeight="1">
      <c r="A2959" s="200" t="s">
        <v>321</v>
      </c>
      <c r="B2959" s="186" t="s">
        <v>9542</v>
      </c>
      <c r="C2959" s="210" t="s">
        <v>9543</v>
      </c>
      <c r="D2959" s="210" t="s">
        <v>9544</v>
      </c>
      <c r="E2959" s="204">
        <v>1.0</v>
      </c>
      <c r="F2959" s="205">
        <v>0.0</v>
      </c>
      <c r="G2959" s="205">
        <v>0.0</v>
      </c>
    </row>
    <row r="2960" ht="15.75" customHeight="1">
      <c r="A2960" s="200" t="s">
        <v>321</v>
      </c>
      <c r="B2960" s="186" t="s">
        <v>9545</v>
      </c>
      <c r="C2960" s="210" t="s">
        <v>9546</v>
      </c>
      <c r="D2960" s="210" t="s">
        <v>8843</v>
      </c>
      <c r="E2960" s="204">
        <v>1.0</v>
      </c>
      <c r="F2960" s="205">
        <v>0.0</v>
      </c>
      <c r="G2960" s="205">
        <v>0.0</v>
      </c>
    </row>
    <row r="2961" ht="15.75" customHeight="1">
      <c r="A2961" s="200" t="s">
        <v>321</v>
      </c>
      <c r="B2961" s="186" t="s">
        <v>9547</v>
      </c>
      <c r="C2961" s="210" t="s">
        <v>9548</v>
      </c>
      <c r="D2961" s="210" t="s">
        <v>8996</v>
      </c>
      <c r="E2961" s="204">
        <v>1.0</v>
      </c>
      <c r="F2961" s="205">
        <v>0.0</v>
      </c>
      <c r="G2961" s="205">
        <v>0.0</v>
      </c>
    </row>
    <row r="2962" ht="15.75" customHeight="1">
      <c r="A2962" s="200" t="s">
        <v>321</v>
      </c>
      <c r="B2962" s="186" t="s">
        <v>9549</v>
      </c>
      <c r="C2962" s="210" t="s">
        <v>9550</v>
      </c>
      <c r="D2962" s="210" t="s">
        <v>8791</v>
      </c>
      <c r="E2962" s="204">
        <v>1.0</v>
      </c>
      <c r="F2962" s="205">
        <v>0.0</v>
      </c>
      <c r="G2962" s="205">
        <v>1.0</v>
      </c>
    </row>
    <row r="2963" ht="15.75" customHeight="1">
      <c r="A2963" s="200" t="s">
        <v>321</v>
      </c>
      <c r="B2963" s="186" t="s">
        <v>4433</v>
      </c>
      <c r="C2963" s="210" t="s">
        <v>4434</v>
      </c>
      <c r="D2963" s="210"/>
      <c r="E2963" s="204">
        <v>1.0</v>
      </c>
      <c r="F2963" s="205">
        <v>0.0</v>
      </c>
      <c r="G2963" s="205">
        <v>0.0</v>
      </c>
    </row>
    <row r="2964" ht="15.75" customHeight="1">
      <c r="A2964" s="200" t="s">
        <v>321</v>
      </c>
      <c r="B2964" s="186" t="s">
        <v>9551</v>
      </c>
      <c r="C2964" s="210" t="s">
        <v>9552</v>
      </c>
      <c r="D2964" s="210" t="s">
        <v>9025</v>
      </c>
      <c r="E2964" s="204">
        <v>1.0</v>
      </c>
      <c r="F2964" s="205">
        <v>0.0</v>
      </c>
      <c r="G2964" s="205">
        <v>0.0</v>
      </c>
    </row>
    <row r="2965" ht="15.75" customHeight="1">
      <c r="A2965" s="200" t="s">
        <v>321</v>
      </c>
      <c r="B2965" s="186" t="s">
        <v>9553</v>
      </c>
      <c r="C2965" s="210" t="s">
        <v>9554</v>
      </c>
      <c r="D2965" s="210" t="s">
        <v>9025</v>
      </c>
      <c r="E2965" s="204">
        <v>1.0</v>
      </c>
      <c r="F2965" s="205">
        <v>0.0</v>
      </c>
      <c r="G2965" s="205">
        <v>0.0</v>
      </c>
    </row>
    <row r="2966" ht="15.75" customHeight="1">
      <c r="A2966" s="200" t="s">
        <v>321</v>
      </c>
      <c r="B2966" s="186" t="s">
        <v>9555</v>
      </c>
      <c r="C2966" s="210" t="s">
        <v>9556</v>
      </c>
      <c r="D2966" s="210" t="s">
        <v>9321</v>
      </c>
      <c r="E2966" s="204">
        <v>1.0</v>
      </c>
      <c r="F2966" s="205">
        <v>0.0</v>
      </c>
      <c r="G2966" s="205">
        <v>0.0</v>
      </c>
    </row>
    <row r="2967" ht="15.75" customHeight="1">
      <c r="A2967" s="200" t="s">
        <v>321</v>
      </c>
      <c r="B2967" s="186" t="s">
        <v>9557</v>
      </c>
      <c r="C2967" s="210" t="s">
        <v>9558</v>
      </c>
      <c r="D2967" s="210" t="s">
        <v>9559</v>
      </c>
      <c r="E2967" s="204">
        <v>1.0</v>
      </c>
      <c r="F2967" s="205">
        <v>0.0</v>
      </c>
      <c r="G2967" s="205">
        <v>1.0</v>
      </c>
    </row>
    <row r="2968" ht="15.75" customHeight="1">
      <c r="A2968" s="200" t="s">
        <v>321</v>
      </c>
      <c r="B2968" s="186" t="s">
        <v>9560</v>
      </c>
      <c r="C2968" s="210" t="s">
        <v>9561</v>
      </c>
      <c r="D2968" s="210" t="s">
        <v>9211</v>
      </c>
      <c r="E2968" s="204">
        <v>1.0</v>
      </c>
      <c r="F2968" s="205">
        <v>0.0</v>
      </c>
      <c r="G2968" s="205">
        <v>1.0</v>
      </c>
    </row>
    <row r="2969" ht="15.75" customHeight="1">
      <c r="A2969" s="200" t="s">
        <v>321</v>
      </c>
      <c r="B2969" s="186" t="s">
        <v>9562</v>
      </c>
      <c r="C2969" s="210" t="s">
        <v>9563</v>
      </c>
      <c r="D2969" s="210" t="s">
        <v>9564</v>
      </c>
      <c r="E2969" s="204">
        <v>1.0</v>
      </c>
      <c r="F2969" s="205">
        <v>0.0</v>
      </c>
      <c r="G2969" s="205">
        <v>0.0</v>
      </c>
    </row>
    <row r="2970" ht="15.75" customHeight="1">
      <c r="A2970" s="200" t="s">
        <v>321</v>
      </c>
      <c r="B2970" s="186" t="s">
        <v>9565</v>
      </c>
      <c r="C2970" s="210" t="s">
        <v>9566</v>
      </c>
      <c r="D2970" s="210" t="s">
        <v>9567</v>
      </c>
      <c r="E2970" s="204">
        <v>1.0</v>
      </c>
      <c r="F2970" s="205">
        <v>0.0</v>
      </c>
      <c r="G2970" s="205">
        <v>0.0</v>
      </c>
    </row>
    <row r="2971" ht="15.75" customHeight="1">
      <c r="A2971" s="200" t="s">
        <v>321</v>
      </c>
      <c r="B2971" s="186" t="s">
        <v>9568</v>
      </c>
      <c r="C2971" s="210" t="s">
        <v>9569</v>
      </c>
      <c r="D2971" s="210" t="s">
        <v>9570</v>
      </c>
      <c r="E2971" s="204">
        <v>1.0</v>
      </c>
      <c r="F2971" s="205">
        <v>0.0</v>
      </c>
      <c r="G2971" s="205">
        <v>1.0</v>
      </c>
    </row>
    <row r="2972" ht="15.75" customHeight="1">
      <c r="A2972" s="200" t="s">
        <v>321</v>
      </c>
      <c r="B2972" s="186" t="s">
        <v>9571</v>
      </c>
      <c r="C2972" s="210" t="s">
        <v>9572</v>
      </c>
      <c r="D2972" s="210" t="s">
        <v>3844</v>
      </c>
      <c r="E2972" s="204">
        <v>1.0</v>
      </c>
      <c r="F2972" s="205">
        <v>0.0</v>
      </c>
      <c r="G2972" s="205">
        <v>1.0</v>
      </c>
    </row>
    <row r="2973" ht="15.75" customHeight="1">
      <c r="A2973" s="200" t="s">
        <v>321</v>
      </c>
      <c r="B2973" s="186" t="s">
        <v>9573</v>
      </c>
      <c r="C2973" s="210" t="s">
        <v>9574</v>
      </c>
      <c r="D2973" s="210" t="s">
        <v>8553</v>
      </c>
      <c r="E2973" s="204">
        <v>1.0</v>
      </c>
      <c r="F2973" s="205">
        <v>0.0</v>
      </c>
      <c r="G2973" s="205">
        <v>1.0</v>
      </c>
    </row>
    <row r="2974" ht="15.75" customHeight="1">
      <c r="A2974" s="200" t="s">
        <v>321</v>
      </c>
      <c r="B2974" s="186" t="s">
        <v>9575</v>
      </c>
      <c r="C2974" s="210" t="s">
        <v>9576</v>
      </c>
      <c r="D2974" s="210"/>
      <c r="E2974" s="204">
        <v>1.0</v>
      </c>
      <c r="F2974" s="205">
        <v>0.0</v>
      </c>
      <c r="G2974" s="205">
        <v>2.0</v>
      </c>
    </row>
    <row r="2975" ht="15.75" customHeight="1">
      <c r="A2975" s="200" t="s">
        <v>321</v>
      </c>
      <c r="B2975" s="186" t="s">
        <v>4467</v>
      </c>
      <c r="C2975" s="210" t="s">
        <v>4468</v>
      </c>
      <c r="D2975" s="210"/>
      <c r="E2975" s="204">
        <v>1.0</v>
      </c>
      <c r="F2975" s="205">
        <v>0.0</v>
      </c>
      <c r="G2975" s="205">
        <v>0.0</v>
      </c>
    </row>
    <row r="2976" ht="15.75" customHeight="1">
      <c r="A2976" s="200" t="s">
        <v>321</v>
      </c>
      <c r="B2976" s="186" t="s">
        <v>3659</v>
      </c>
      <c r="C2976" s="210" t="s">
        <v>3660</v>
      </c>
      <c r="D2976" s="210" t="s">
        <v>1225</v>
      </c>
      <c r="E2976" s="204">
        <v>1.0</v>
      </c>
      <c r="F2976" s="205">
        <v>0.0</v>
      </c>
      <c r="G2976" s="205">
        <v>1.0</v>
      </c>
    </row>
    <row r="2977" ht="15.75" customHeight="1">
      <c r="A2977" s="200" t="s">
        <v>321</v>
      </c>
      <c r="B2977" s="186" t="s">
        <v>9577</v>
      </c>
      <c r="C2977" s="210" t="s">
        <v>9578</v>
      </c>
      <c r="D2977" s="210" t="s">
        <v>2259</v>
      </c>
      <c r="E2977" s="204">
        <v>1.0</v>
      </c>
      <c r="F2977" s="205">
        <v>0.0</v>
      </c>
      <c r="G2977" s="205">
        <v>1.0</v>
      </c>
    </row>
    <row r="2978" ht="15.75" customHeight="1">
      <c r="A2978" s="200" t="s">
        <v>321</v>
      </c>
      <c r="B2978" s="186" t="s">
        <v>9579</v>
      </c>
      <c r="C2978" s="210" t="s">
        <v>8923</v>
      </c>
      <c r="D2978" s="210" t="s">
        <v>2259</v>
      </c>
      <c r="E2978" s="204">
        <v>1.0</v>
      </c>
      <c r="F2978" s="205">
        <v>0.0</v>
      </c>
      <c r="G2978" s="205">
        <v>4.0</v>
      </c>
    </row>
    <row r="2979" ht="15.75" customHeight="1">
      <c r="A2979" s="200" t="s">
        <v>321</v>
      </c>
      <c r="B2979" s="186" t="s">
        <v>7988</v>
      </c>
      <c r="C2979" s="210" t="s">
        <v>7989</v>
      </c>
      <c r="D2979" s="210"/>
      <c r="E2979" s="204">
        <v>1.0</v>
      </c>
      <c r="F2979" s="205">
        <v>0.0</v>
      </c>
      <c r="G2979" s="205">
        <v>1.0</v>
      </c>
    </row>
    <row r="2980" ht="15.75" customHeight="1">
      <c r="A2980" s="200" t="s">
        <v>321</v>
      </c>
      <c r="B2980" s="186" t="s">
        <v>2020</v>
      </c>
      <c r="C2980" s="210" t="s">
        <v>826</v>
      </c>
      <c r="D2980" s="210" t="s">
        <v>9580</v>
      </c>
      <c r="E2980" s="204">
        <v>1.0</v>
      </c>
      <c r="F2980" s="205">
        <v>0.0</v>
      </c>
      <c r="G2980" s="205">
        <v>0.0</v>
      </c>
    </row>
    <row r="2981" ht="15.75" customHeight="1">
      <c r="A2981" s="200" t="s">
        <v>321</v>
      </c>
      <c r="B2981" s="186" t="s">
        <v>1112</v>
      </c>
      <c r="C2981" s="210" t="s">
        <v>1113</v>
      </c>
      <c r="D2981" s="210" t="s">
        <v>2022</v>
      </c>
      <c r="E2981" s="204">
        <v>1.0</v>
      </c>
      <c r="F2981" s="205">
        <v>0.0</v>
      </c>
      <c r="G2981" s="205">
        <v>0.0</v>
      </c>
    </row>
    <row r="2982" ht="15.75" customHeight="1">
      <c r="A2982" s="200" t="s">
        <v>321</v>
      </c>
      <c r="B2982" s="186" t="s">
        <v>9581</v>
      </c>
      <c r="C2982" s="210" t="s">
        <v>9582</v>
      </c>
      <c r="D2982" s="210"/>
      <c r="E2982" s="204">
        <v>1.0</v>
      </c>
      <c r="F2982" s="205">
        <v>0.0</v>
      </c>
      <c r="G2982" s="205">
        <v>0.0</v>
      </c>
    </row>
    <row r="2983" ht="15.75" customHeight="1">
      <c r="A2983" s="200" t="s">
        <v>321</v>
      </c>
      <c r="B2983" s="186" t="s">
        <v>9583</v>
      </c>
      <c r="C2983" s="210" t="s">
        <v>9584</v>
      </c>
      <c r="D2983" s="210"/>
      <c r="E2983" s="204">
        <v>1.0</v>
      </c>
      <c r="F2983" s="205">
        <v>0.0</v>
      </c>
      <c r="G2983" s="205">
        <v>1.0</v>
      </c>
    </row>
    <row r="2984" ht="15.75" customHeight="1">
      <c r="A2984" s="200" t="s">
        <v>321</v>
      </c>
      <c r="B2984" s="186" t="s">
        <v>9585</v>
      </c>
      <c r="C2984" s="210" t="s">
        <v>9586</v>
      </c>
      <c r="D2984" s="210" t="s">
        <v>9587</v>
      </c>
      <c r="E2984" s="204">
        <v>1.0</v>
      </c>
      <c r="F2984" s="205">
        <v>0.0</v>
      </c>
      <c r="G2984" s="205">
        <v>0.0</v>
      </c>
    </row>
    <row r="2985" ht="15.75" customHeight="1">
      <c r="A2985" s="200" t="s">
        <v>321</v>
      </c>
      <c r="B2985" s="186" t="s">
        <v>2467</v>
      </c>
      <c r="C2985" s="210" t="s">
        <v>2468</v>
      </c>
      <c r="D2985" s="210" t="s">
        <v>1029</v>
      </c>
      <c r="E2985" s="204">
        <v>1.0</v>
      </c>
      <c r="F2985" s="205">
        <v>0.0</v>
      </c>
      <c r="G2985" s="205">
        <v>0.0</v>
      </c>
    </row>
    <row r="2986" ht="15.75" customHeight="1">
      <c r="A2986" s="200" t="s">
        <v>321</v>
      </c>
      <c r="B2986" s="186" t="s">
        <v>9588</v>
      </c>
      <c r="C2986" s="210" t="s">
        <v>9589</v>
      </c>
      <c r="D2986" s="210" t="s">
        <v>380</v>
      </c>
      <c r="E2986" s="204">
        <v>1.0</v>
      </c>
      <c r="F2986" s="205">
        <v>0.0</v>
      </c>
      <c r="G2986" s="205">
        <v>1.0</v>
      </c>
    </row>
    <row r="2987" ht="15.75" customHeight="1">
      <c r="A2987" s="200" t="s">
        <v>321</v>
      </c>
      <c r="B2987" s="186" t="s">
        <v>9590</v>
      </c>
      <c r="C2987" s="210" t="s">
        <v>9591</v>
      </c>
      <c r="D2987" s="210"/>
      <c r="E2987" s="204">
        <v>1.0</v>
      </c>
      <c r="F2987" s="205">
        <v>0.0</v>
      </c>
      <c r="G2987" s="205">
        <v>1.0</v>
      </c>
    </row>
    <row r="2988" ht="15.75" customHeight="1">
      <c r="A2988" s="200" t="s">
        <v>321</v>
      </c>
      <c r="B2988" s="186" t="s">
        <v>4586</v>
      </c>
      <c r="C2988" s="210" t="s">
        <v>4587</v>
      </c>
      <c r="D2988" s="210"/>
      <c r="E2988" s="204">
        <v>1.0</v>
      </c>
      <c r="F2988" s="205">
        <v>0.0</v>
      </c>
      <c r="G2988" s="205">
        <v>0.0</v>
      </c>
    </row>
    <row r="2989" ht="15.75" customHeight="1">
      <c r="A2989" s="200" t="s">
        <v>321</v>
      </c>
      <c r="B2989" s="186" t="s">
        <v>3514</v>
      </c>
      <c r="C2989" s="210" t="s">
        <v>3515</v>
      </c>
      <c r="D2989" s="210"/>
      <c r="E2989" s="204">
        <v>1.0</v>
      </c>
      <c r="F2989" s="205">
        <v>0.0</v>
      </c>
      <c r="G2989" s="205">
        <v>1.0</v>
      </c>
    </row>
    <row r="2990" ht="15.75" customHeight="1">
      <c r="A2990" s="200" t="s">
        <v>321</v>
      </c>
      <c r="B2990" s="186" t="s">
        <v>4590</v>
      </c>
      <c r="C2990" s="210" t="s">
        <v>4591</v>
      </c>
      <c r="D2990" s="210"/>
      <c r="E2990" s="204">
        <v>1.0</v>
      </c>
      <c r="F2990" s="205">
        <v>0.0</v>
      </c>
      <c r="G2990" s="205">
        <v>0.0</v>
      </c>
    </row>
    <row r="2991" ht="15.75" customHeight="1">
      <c r="A2991" s="200" t="s">
        <v>321</v>
      </c>
      <c r="B2991" s="186" t="s">
        <v>4592</v>
      </c>
      <c r="C2991" s="210" t="s">
        <v>4593</v>
      </c>
      <c r="D2991" s="210" t="s">
        <v>380</v>
      </c>
      <c r="E2991" s="204">
        <v>1.0</v>
      </c>
      <c r="F2991" s="205">
        <v>0.0</v>
      </c>
      <c r="G2991" s="205">
        <v>0.0</v>
      </c>
    </row>
    <row r="2992" ht="15.75" customHeight="1">
      <c r="A2992" s="200" t="s">
        <v>321</v>
      </c>
      <c r="B2992" s="186" t="s">
        <v>2384</v>
      </c>
      <c r="C2992" s="210" t="s">
        <v>2385</v>
      </c>
      <c r="D2992" s="210" t="s">
        <v>2386</v>
      </c>
      <c r="E2992" s="204">
        <v>1.0</v>
      </c>
      <c r="F2992" s="205">
        <v>0.0</v>
      </c>
      <c r="G2992" s="205">
        <v>0.0</v>
      </c>
    </row>
    <row r="2993" ht="15.75" customHeight="1">
      <c r="A2993" s="200" t="s">
        <v>321</v>
      </c>
      <c r="B2993" s="186" t="s">
        <v>402</v>
      </c>
      <c r="C2993" s="210" t="s">
        <v>403</v>
      </c>
      <c r="D2993" s="210" t="s">
        <v>9592</v>
      </c>
      <c r="E2993" s="204">
        <v>1.0</v>
      </c>
      <c r="F2993" s="205">
        <v>0.0</v>
      </c>
      <c r="G2993" s="205">
        <v>0.0</v>
      </c>
    </row>
    <row r="2994" ht="15.75" customHeight="1">
      <c r="A2994" s="200" t="s">
        <v>321</v>
      </c>
      <c r="B2994" s="186" t="s">
        <v>9593</v>
      </c>
      <c r="C2994" s="210" t="s">
        <v>9594</v>
      </c>
      <c r="D2994" s="210"/>
      <c r="E2994" s="204">
        <v>1.0</v>
      </c>
      <c r="F2994" s="205">
        <v>0.0</v>
      </c>
      <c r="G2994" s="205">
        <v>1.0</v>
      </c>
    </row>
    <row r="2995" ht="15.75" customHeight="1">
      <c r="A2995" s="200" t="s">
        <v>321</v>
      </c>
      <c r="B2995" s="186" t="s">
        <v>508</v>
      </c>
      <c r="C2995" s="210" t="s">
        <v>509</v>
      </c>
      <c r="D2995" s="210" t="s">
        <v>9595</v>
      </c>
      <c r="E2995" s="204">
        <v>1.0</v>
      </c>
      <c r="F2995" s="205">
        <v>0.0</v>
      </c>
      <c r="G2995" s="205">
        <v>0.0</v>
      </c>
    </row>
    <row r="2996" ht="15.75" customHeight="1">
      <c r="A2996" s="200" t="s">
        <v>321</v>
      </c>
      <c r="B2996" s="186" t="s">
        <v>408</v>
      </c>
      <c r="C2996" s="210" t="s">
        <v>409</v>
      </c>
      <c r="D2996" s="210" t="s">
        <v>9596</v>
      </c>
      <c r="E2996" s="204">
        <v>1.0</v>
      </c>
      <c r="F2996" s="205">
        <v>0.0</v>
      </c>
      <c r="G2996" s="205">
        <v>3.0</v>
      </c>
    </row>
    <row r="2997" ht="15.75" customHeight="1">
      <c r="A2997" s="200" t="s">
        <v>321</v>
      </c>
      <c r="B2997" s="186" t="s">
        <v>1019</v>
      </c>
      <c r="C2997" s="210" t="s">
        <v>1020</v>
      </c>
      <c r="D2997" s="210" t="s">
        <v>9596</v>
      </c>
      <c r="E2997" s="204">
        <v>1.0</v>
      </c>
      <c r="F2997" s="205">
        <v>0.0</v>
      </c>
      <c r="G2997" s="205">
        <v>0.0</v>
      </c>
    </row>
    <row r="2998" ht="15.75" customHeight="1">
      <c r="A2998" s="200" t="s">
        <v>321</v>
      </c>
      <c r="B2998" s="186" t="s">
        <v>511</v>
      </c>
      <c r="C2998" s="210" t="s">
        <v>512</v>
      </c>
      <c r="D2998" s="210" t="s">
        <v>9597</v>
      </c>
      <c r="E2998" s="204">
        <v>1.0</v>
      </c>
      <c r="F2998" s="205">
        <v>0.0</v>
      </c>
      <c r="G2998" s="205">
        <v>0.0</v>
      </c>
    </row>
    <row r="2999" ht="15.75" customHeight="1">
      <c r="A2999" s="200" t="s">
        <v>321</v>
      </c>
      <c r="B2999" s="186" t="s">
        <v>9598</v>
      </c>
      <c r="C2999" s="210" t="s">
        <v>9599</v>
      </c>
      <c r="D2999" s="210" t="s">
        <v>9600</v>
      </c>
      <c r="E2999" s="204">
        <v>1.0</v>
      </c>
      <c r="F2999" s="205">
        <v>0.0</v>
      </c>
      <c r="G2999" s="205">
        <v>1.0</v>
      </c>
    </row>
    <row r="3000" ht="15.75" customHeight="1">
      <c r="A3000" s="200" t="s">
        <v>321</v>
      </c>
      <c r="B3000" s="186" t="s">
        <v>9601</v>
      </c>
      <c r="C3000" s="210" t="s">
        <v>9602</v>
      </c>
      <c r="D3000" s="210" t="s">
        <v>9603</v>
      </c>
      <c r="E3000" s="204">
        <v>1.0</v>
      </c>
      <c r="F3000" s="205">
        <v>0.0</v>
      </c>
      <c r="G3000" s="205">
        <v>0.0</v>
      </c>
    </row>
    <row r="3001" ht="15.75" customHeight="1">
      <c r="A3001" s="200" t="s">
        <v>321</v>
      </c>
      <c r="B3001" s="186" t="s">
        <v>9604</v>
      </c>
      <c r="C3001" s="210" t="s">
        <v>9605</v>
      </c>
      <c r="D3001" s="210" t="s">
        <v>9606</v>
      </c>
      <c r="E3001" s="204">
        <v>1.0</v>
      </c>
      <c r="F3001" s="205">
        <v>0.0</v>
      </c>
      <c r="G3001" s="205">
        <v>1.0</v>
      </c>
    </row>
    <row r="3002" ht="15.75" customHeight="1">
      <c r="A3002" s="200" t="s">
        <v>321</v>
      </c>
      <c r="B3002" s="186" t="s">
        <v>9607</v>
      </c>
      <c r="C3002" s="210" t="s">
        <v>9608</v>
      </c>
      <c r="D3002" s="210" t="s">
        <v>9609</v>
      </c>
      <c r="E3002" s="204">
        <v>1.0</v>
      </c>
      <c r="F3002" s="205">
        <v>0.0</v>
      </c>
      <c r="G3002" s="205">
        <v>1.0</v>
      </c>
    </row>
    <row r="3003" ht="15.75" customHeight="1">
      <c r="A3003" s="200" t="s">
        <v>321</v>
      </c>
      <c r="B3003" s="186" t="s">
        <v>9610</v>
      </c>
      <c r="C3003" s="210" t="s">
        <v>9611</v>
      </c>
      <c r="D3003" s="210" t="s">
        <v>9612</v>
      </c>
      <c r="E3003" s="204">
        <v>1.0</v>
      </c>
      <c r="F3003" s="205">
        <v>0.0</v>
      </c>
      <c r="G3003" s="205">
        <v>0.0</v>
      </c>
    </row>
    <row r="3004" ht="15.75" customHeight="1">
      <c r="A3004" s="200" t="s">
        <v>321</v>
      </c>
      <c r="B3004" s="186" t="s">
        <v>9613</v>
      </c>
      <c r="C3004" s="210" t="s">
        <v>9614</v>
      </c>
      <c r="D3004" s="210" t="s">
        <v>9615</v>
      </c>
      <c r="E3004" s="204">
        <v>1.0</v>
      </c>
      <c r="F3004" s="205">
        <v>0.0</v>
      </c>
      <c r="G3004" s="205">
        <v>1.0</v>
      </c>
    </row>
    <row r="3005" ht="15.75" customHeight="1">
      <c r="A3005" s="200" t="s">
        <v>321</v>
      </c>
      <c r="B3005" s="186" t="s">
        <v>9616</v>
      </c>
      <c r="C3005" s="210" t="s">
        <v>9617</v>
      </c>
      <c r="D3005" s="210" t="s">
        <v>9618</v>
      </c>
      <c r="E3005" s="204">
        <v>1.0</v>
      </c>
      <c r="F3005" s="205">
        <v>0.0</v>
      </c>
      <c r="G3005" s="205">
        <v>0.0</v>
      </c>
    </row>
    <row r="3006" ht="15.75" customHeight="1">
      <c r="A3006" s="200" t="s">
        <v>321</v>
      </c>
      <c r="B3006" s="186" t="s">
        <v>9619</v>
      </c>
      <c r="C3006" s="210" t="s">
        <v>9620</v>
      </c>
      <c r="D3006" s="210" t="s">
        <v>9621</v>
      </c>
      <c r="E3006" s="204">
        <v>1.0</v>
      </c>
      <c r="F3006" s="205">
        <v>0.0</v>
      </c>
      <c r="G3006" s="205">
        <v>0.0</v>
      </c>
    </row>
    <row r="3007" ht="15.75" customHeight="1">
      <c r="A3007" s="200" t="s">
        <v>321</v>
      </c>
      <c r="B3007" s="186" t="s">
        <v>9622</v>
      </c>
      <c r="C3007" s="210" t="s">
        <v>9623</v>
      </c>
      <c r="D3007" s="210"/>
      <c r="E3007" s="204">
        <v>1.0</v>
      </c>
      <c r="F3007" s="205">
        <v>0.0</v>
      </c>
      <c r="G3007" s="205">
        <v>0.0</v>
      </c>
    </row>
    <row r="3008" ht="15.75" customHeight="1">
      <c r="A3008" s="200" t="s">
        <v>321</v>
      </c>
      <c r="B3008" s="186" t="s">
        <v>9624</v>
      </c>
      <c r="C3008" s="210" t="s">
        <v>9625</v>
      </c>
      <c r="D3008" s="210" t="s">
        <v>1029</v>
      </c>
      <c r="E3008" s="204">
        <v>1.0</v>
      </c>
      <c r="F3008" s="205">
        <v>0.0</v>
      </c>
      <c r="G3008" s="205">
        <v>1.0</v>
      </c>
    </row>
    <row r="3009" ht="15.75" customHeight="1">
      <c r="A3009" s="200" t="s">
        <v>321</v>
      </c>
      <c r="B3009" s="186" t="s">
        <v>4614</v>
      </c>
      <c r="C3009" s="210" t="s">
        <v>4615</v>
      </c>
      <c r="D3009" s="210" t="s">
        <v>4616</v>
      </c>
      <c r="E3009" s="204">
        <v>1.0</v>
      </c>
      <c r="F3009" s="205">
        <v>0.0</v>
      </c>
      <c r="G3009" s="205">
        <v>0.0</v>
      </c>
    </row>
    <row r="3010" ht="15.75" customHeight="1">
      <c r="A3010" s="200" t="s">
        <v>321</v>
      </c>
      <c r="B3010" s="186" t="s">
        <v>1118</v>
      </c>
      <c r="C3010" s="210" t="s">
        <v>1119</v>
      </c>
      <c r="D3010" s="210" t="s">
        <v>2663</v>
      </c>
      <c r="E3010" s="204">
        <v>1.0</v>
      </c>
      <c r="F3010" s="205">
        <v>0.0</v>
      </c>
      <c r="G3010" s="205">
        <v>1.0</v>
      </c>
    </row>
    <row r="3011" ht="15.75" customHeight="1">
      <c r="A3011" s="200" t="s">
        <v>321</v>
      </c>
      <c r="B3011" s="186" t="s">
        <v>2043</v>
      </c>
      <c r="C3011" s="210" t="s">
        <v>2044</v>
      </c>
      <c r="D3011" s="210" t="s">
        <v>376</v>
      </c>
      <c r="E3011" s="204">
        <v>1.0</v>
      </c>
      <c r="F3011" s="205">
        <v>0.0</v>
      </c>
      <c r="G3011" s="205">
        <v>0.0</v>
      </c>
    </row>
    <row r="3012" ht="15.75" customHeight="1">
      <c r="A3012" s="200" t="s">
        <v>321</v>
      </c>
      <c r="B3012" s="186" t="s">
        <v>2667</v>
      </c>
      <c r="C3012" s="210" t="s">
        <v>2668</v>
      </c>
      <c r="D3012" s="210" t="s">
        <v>2669</v>
      </c>
      <c r="E3012" s="204">
        <v>1.0</v>
      </c>
      <c r="F3012" s="205">
        <v>0.0</v>
      </c>
      <c r="G3012" s="205">
        <v>1.0</v>
      </c>
    </row>
    <row r="3013" ht="15.75" customHeight="1">
      <c r="A3013" s="200" t="s">
        <v>321</v>
      </c>
      <c r="B3013" s="186" t="s">
        <v>1027</v>
      </c>
      <c r="C3013" s="210" t="s">
        <v>1028</v>
      </c>
      <c r="D3013" s="210" t="s">
        <v>2663</v>
      </c>
      <c r="E3013" s="204">
        <v>1.0</v>
      </c>
      <c r="F3013" s="205">
        <v>0.0</v>
      </c>
      <c r="G3013" s="205">
        <v>0.0</v>
      </c>
    </row>
    <row r="3014" ht="15.75" customHeight="1">
      <c r="A3014" s="200" t="s">
        <v>321</v>
      </c>
      <c r="B3014" s="186" t="s">
        <v>1890</v>
      </c>
      <c r="C3014" s="210" t="s">
        <v>985</v>
      </c>
      <c r="D3014" s="210" t="s">
        <v>1893</v>
      </c>
      <c r="E3014" s="204">
        <v>1.0</v>
      </c>
      <c r="F3014" s="205">
        <v>0.0</v>
      </c>
      <c r="G3014" s="205">
        <v>1.0</v>
      </c>
    </row>
    <row r="3015" ht="15.75" customHeight="1">
      <c r="A3015" s="200" t="s">
        <v>321</v>
      </c>
      <c r="B3015" s="186" t="s">
        <v>2059</v>
      </c>
      <c r="C3015" s="210" t="s">
        <v>2060</v>
      </c>
      <c r="D3015" s="210" t="s">
        <v>2061</v>
      </c>
      <c r="E3015" s="204">
        <v>1.0</v>
      </c>
      <c r="F3015" s="205">
        <v>0.0</v>
      </c>
      <c r="G3015" s="205">
        <v>0.0</v>
      </c>
    </row>
    <row r="3016" ht="15.75" customHeight="1">
      <c r="A3016" s="200" t="s">
        <v>321</v>
      </c>
      <c r="B3016" s="186" t="s">
        <v>8102</v>
      </c>
      <c r="C3016" s="210" t="s">
        <v>8104</v>
      </c>
      <c r="D3016" s="210" t="s">
        <v>9626</v>
      </c>
      <c r="E3016" s="204">
        <v>1.0</v>
      </c>
      <c r="F3016" s="205">
        <v>0.0</v>
      </c>
      <c r="G3016" s="205">
        <v>1.0</v>
      </c>
    </row>
    <row r="3017" ht="15.75" customHeight="1">
      <c r="A3017" s="200" t="s">
        <v>321</v>
      </c>
      <c r="B3017" s="186" t="s">
        <v>2795</v>
      </c>
      <c r="C3017" s="210" t="s">
        <v>2796</v>
      </c>
      <c r="D3017" s="210" t="s">
        <v>2798</v>
      </c>
      <c r="E3017" s="204">
        <v>1.0</v>
      </c>
      <c r="F3017" s="205">
        <v>0.0</v>
      </c>
      <c r="G3017" s="205">
        <v>0.0</v>
      </c>
    </row>
    <row r="3018" ht="15.75" customHeight="1">
      <c r="A3018" s="200" t="s">
        <v>321</v>
      </c>
      <c r="B3018" s="186" t="s">
        <v>9627</v>
      </c>
      <c r="C3018" s="210" t="s">
        <v>9628</v>
      </c>
      <c r="D3018" s="210" t="s">
        <v>9629</v>
      </c>
      <c r="E3018" s="204">
        <v>1.0</v>
      </c>
      <c r="F3018" s="205">
        <v>0.0</v>
      </c>
      <c r="G3018" s="205">
        <v>3.0</v>
      </c>
    </row>
    <row r="3019" ht="15.75" customHeight="1">
      <c r="A3019" s="200" t="s">
        <v>321</v>
      </c>
      <c r="B3019" s="186" t="s">
        <v>2066</v>
      </c>
      <c r="C3019" s="210" t="s">
        <v>676</v>
      </c>
      <c r="D3019" s="210" t="s">
        <v>2680</v>
      </c>
      <c r="E3019" s="204">
        <v>1.0</v>
      </c>
      <c r="F3019" s="205">
        <v>0.0</v>
      </c>
      <c r="G3019" s="205">
        <v>1.0</v>
      </c>
    </row>
    <row r="3020" ht="15.75" customHeight="1">
      <c r="A3020" s="200" t="s">
        <v>321</v>
      </c>
      <c r="B3020" s="186" t="s">
        <v>2221</v>
      </c>
      <c r="C3020" s="210" t="s">
        <v>2224</v>
      </c>
      <c r="D3020" s="210" t="s">
        <v>9630</v>
      </c>
      <c r="E3020" s="204">
        <v>1.0</v>
      </c>
      <c r="F3020" s="205">
        <v>0.0</v>
      </c>
      <c r="G3020" s="205">
        <v>0.0</v>
      </c>
    </row>
    <row r="3021" ht="15.75" customHeight="1">
      <c r="A3021" s="200" t="s">
        <v>321</v>
      </c>
      <c r="B3021" s="186" t="s">
        <v>9631</v>
      </c>
      <c r="C3021" s="210" t="s">
        <v>6174</v>
      </c>
      <c r="D3021" s="210" t="s">
        <v>9632</v>
      </c>
      <c r="E3021" s="204">
        <v>1.0</v>
      </c>
      <c r="F3021" s="205">
        <v>0.0</v>
      </c>
      <c r="G3021" s="205">
        <v>1.0</v>
      </c>
    </row>
    <row r="3022" ht="15.75" customHeight="1">
      <c r="A3022" s="200" t="s">
        <v>321</v>
      </c>
      <c r="B3022" s="186" t="s">
        <v>2332</v>
      </c>
      <c r="C3022" s="210" t="s">
        <v>2333</v>
      </c>
      <c r="D3022" s="210" t="s">
        <v>9633</v>
      </c>
      <c r="E3022" s="204">
        <v>1.0</v>
      </c>
      <c r="F3022" s="205">
        <v>0.0</v>
      </c>
      <c r="G3022" s="205">
        <v>0.0</v>
      </c>
    </row>
    <row r="3023" ht="15.75" customHeight="1">
      <c r="A3023" s="200" t="s">
        <v>321</v>
      </c>
      <c r="B3023" s="186" t="s">
        <v>2387</v>
      </c>
      <c r="C3023" s="210" t="s">
        <v>2388</v>
      </c>
      <c r="D3023" s="210" t="s">
        <v>9634</v>
      </c>
      <c r="E3023" s="204">
        <v>1.0</v>
      </c>
      <c r="F3023" s="205">
        <v>0.0</v>
      </c>
      <c r="G3023" s="205">
        <v>0.0</v>
      </c>
    </row>
    <row r="3024" ht="15.75" customHeight="1">
      <c r="A3024" s="200" t="s">
        <v>321</v>
      </c>
      <c r="B3024" s="186" t="s">
        <v>9635</v>
      </c>
      <c r="C3024" s="210" t="s">
        <v>9636</v>
      </c>
      <c r="D3024" s="210" t="s">
        <v>9637</v>
      </c>
      <c r="E3024" s="204">
        <v>1.0</v>
      </c>
      <c r="F3024" s="205">
        <v>0.0</v>
      </c>
      <c r="G3024" s="205">
        <v>1.0</v>
      </c>
    </row>
    <row r="3025" ht="15.75" customHeight="1">
      <c r="A3025" s="200" t="s">
        <v>321</v>
      </c>
      <c r="B3025" s="186" t="s">
        <v>9638</v>
      </c>
      <c r="C3025" s="210" t="s">
        <v>9639</v>
      </c>
      <c r="D3025" s="210" t="s">
        <v>9640</v>
      </c>
      <c r="E3025" s="204">
        <v>1.0</v>
      </c>
      <c r="F3025" s="205">
        <v>0.0</v>
      </c>
      <c r="G3025" s="205">
        <v>1.0</v>
      </c>
    </row>
    <row r="3026" ht="15.75" customHeight="1">
      <c r="A3026" s="200" t="s">
        <v>321</v>
      </c>
      <c r="B3026" s="186" t="s">
        <v>9641</v>
      </c>
      <c r="C3026" s="210" t="s">
        <v>9642</v>
      </c>
      <c r="D3026" s="210" t="s">
        <v>9643</v>
      </c>
      <c r="E3026" s="204">
        <v>1.0</v>
      </c>
      <c r="F3026" s="205">
        <v>0.0</v>
      </c>
      <c r="G3026" s="205">
        <v>0.0</v>
      </c>
    </row>
    <row r="3027" ht="15.75" customHeight="1">
      <c r="A3027" s="200" t="s">
        <v>321</v>
      </c>
      <c r="B3027" s="186" t="s">
        <v>2905</v>
      </c>
      <c r="C3027" s="210" t="s">
        <v>2907</v>
      </c>
      <c r="D3027" s="210" t="s">
        <v>9644</v>
      </c>
      <c r="E3027" s="204">
        <v>1.0</v>
      </c>
      <c r="F3027" s="205">
        <v>0.0</v>
      </c>
      <c r="G3027" s="205">
        <v>0.0</v>
      </c>
    </row>
    <row r="3028" ht="15.75" customHeight="1">
      <c r="A3028" s="200" t="s">
        <v>321</v>
      </c>
      <c r="B3028" s="186" t="s">
        <v>661</v>
      </c>
      <c r="C3028" s="210" t="s">
        <v>662</v>
      </c>
      <c r="D3028" s="210" t="s">
        <v>2684</v>
      </c>
      <c r="E3028" s="204">
        <v>1.0</v>
      </c>
      <c r="F3028" s="205">
        <v>0.0</v>
      </c>
      <c r="G3028" s="205">
        <v>0.0</v>
      </c>
    </row>
    <row r="3029" ht="15.75" customHeight="1">
      <c r="A3029" s="200" t="s">
        <v>321</v>
      </c>
      <c r="B3029" s="186" t="s">
        <v>713</v>
      </c>
      <c r="C3029" s="210" t="s">
        <v>714</v>
      </c>
      <c r="D3029" s="210" t="s">
        <v>2688</v>
      </c>
      <c r="E3029" s="204">
        <v>1.0</v>
      </c>
      <c r="F3029" s="205">
        <v>0.0</v>
      </c>
      <c r="G3029" s="205">
        <v>1.0</v>
      </c>
    </row>
    <row r="3030" ht="15.75" customHeight="1">
      <c r="A3030" s="200" t="s">
        <v>321</v>
      </c>
      <c r="B3030" s="186" t="s">
        <v>9645</v>
      </c>
      <c r="C3030" s="210" t="s">
        <v>9646</v>
      </c>
      <c r="D3030" s="210" t="s">
        <v>9647</v>
      </c>
      <c r="E3030" s="204">
        <v>1.0</v>
      </c>
      <c r="F3030" s="205">
        <v>0.0</v>
      </c>
      <c r="G3030" s="205">
        <v>1.0</v>
      </c>
    </row>
    <row r="3031" ht="15.75" customHeight="1">
      <c r="A3031" s="200" t="s">
        <v>321</v>
      </c>
      <c r="B3031" s="186" t="s">
        <v>1990</v>
      </c>
      <c r="C3031" s="210" t="s">
        <v>953</v>
      </c>
      <c r="D3031" s="210" t="s">
        <v>2634</v>
      </c>
      <c r="E3031" s="204">
        <v>1.0</v>
      </c>
      <c r="F3031" s="205">
        <v>0.0</v>
      </c>
      <c r="G3031" s="205">
        <v>3.0</v>
      </c>
    </row>
    <row r="3032" ht="15.75" customHeight="1">
      <c r="A3032" s="200" t="s">
        <v>321</v>
      </c>
      <c r="B3032" s="186" t="s">
        <v>9648</v>
      </c>
      <c r="C3032" s="210" t="s">
        <v>9649</v>
      </c>
      <c r="D3032" s="210"/>
      <c r="E3032" s="204">
        <v>1.0</v>
      </c>
      <c r="F3032" s="205">
        <v>0.0</v>
      </c>
      <c r="G3032" s="205">
        <v>1.0</v>
      </c>
    </row>
    <row r="3033" ht="15.75" customHeight="1">
      <c r="A3033" s="200" t="s">
        <v>321</v>
      </c>
      <c r="B3033" s="186" t="s">
        <v>9650</v>
      </c>
      <c r="C3033" s="210" t="s">
        <v>9651</v>
      </c>
      <c r="D3033" s="210" t="s">
        <v>9652</v>
      </c>
      <c r="E3033" s="204">
        <v>1.0</v>
      </c>
      <c r="F3033" s="205">
        <v>0.0</v>
      </c>
      <c r="G3033" s="205">
        <v>3.0</v>
      </c>
    </row>
    <row r="3034" ht="15.75" customHeight="1">
      <c r="A3034" s="200" t="s">
        <v>321</v>
      </c>
      <c r="B3034" s="186" t="s">
        <v>9653</v>
      </c>
      <c r="C3034" s="210" t="s">
        <v>9654</v>
      </c>
      <c r="D3034" s="210" t="s">
        <v>1029</v>
      </c>
      <c r="E3034" s="204">
        <v>1.0</v>
      </c>
      <c r="F3034" s="205">
        <v>0.0</v>
      </c>
      <c r="G3034" s="205">
        <v>1.0</v>
      </c>
    </row>
    <row r="3035" ht="15.75" customHeight="1">
      <c r="A3035" s="200" t="s">
        <v>321</v>
      </c>
      <c r="B3035" s="186" t="s">
        <v>9655</v>
      </c>
      <c r="C3035" s="210" t="s">
        <v>9656</v>
      </c>
      <c r="D3035" s="210" t="s">
        <v>1029</v>
      </c>
      <c r="E3035" s="204">
        <v>1.0</v>
      </c>
      <c r="F3035" s="205">
        <v>0.0</v>
      </c>
      <c r="G3035" s="205">
        <v>1.0</v>
      </c>
    </row>
    <row r="3036" ht="15.75" customHeight="1">
      <c r="A3036" s="200" t="s">
        <v>321</v>
      </c>
      <c r="B3036" s="186" t="s">
        <v>9657</v>
      </c>
      <c r="C3036" s="210" t="s">
        <v>4729</v>
      </c>
      <c r="D3036" s="210" t="s">
        <v>9658</v>
      </c>
      <c r="E3036" s="204">
        <v>1.0</v>
      </c>
      <c r="F3036" s="205">
        <v>0.0</v>
      </c>
      <c r="G3036" s="205">
        <v>3.0</v>
      </c>
    </row>
    <row r="3037" ht="15.75" customHeight="1">
      <c r="A3037" s="200" t="s">
        <v>321</v>
      </c>
      <c r="B3037" s="186" t="s">
        <v>9659</v>
      </c>
      <c r="C3037" s="210" t="s">
        <v>9660</v>
      </c>
      <c r="D3037" s="210"/>
      <c r="E3037" s="204">
        <v>1.0</v>
      </c>
      <c r="F3037" s="205">
        <v>0.0</v>
      </c>
      <c r="G3037" s="205">
        <v>0.0</v>
      </c>
    </row>
    <row r="3038" ht="15.75" customHeight="1">
      <c r="A3038" s="200" t="s">
        <v>321</v>
      </c>
      <c r="B3038" s="186" t="s">
        <v>9661</v>
      </c>
      <c r="C3038" s="210" t="s">
        <v>9662</v>
      </c>
      <c r="D3038" s="210" t="s">
        <v>9197</v>
      </c>
      <c r="E3038" s="204">
        <v>1.0</v>
      </c>
      <c r="F3038" s="205">
        <v>0.0</v>
      </c>
      <c r="G3038" s="205">
        <v>1.0</v>
      </c>
    </row>
    <row r="3039" ht="15.75" customHeight="1">
      <c r="A3039" s="200" t="s">
        <v>321</v>
      </c>
      <c r="B3039" s="186" t="s">
        <v>9663</v>
      </c>
      <c r="C3039" s="210" t="s">
        <v>9664</v>
      </c>
      <c r="D3039" s="210" t="s">
        <v>9197</v>
      </c>
      <c r="E3039" s="204">
        <v>1.0</v>
      </c>
      <c r="F3039" s="205">
        <v>0.0</v>
      </c>
      <c r="G3039" s="205">
        <v>1.0</v>
      </c>
    </row>
    <row r="3040" ht="15.75" customHeight="1">
      <c r="A3040" s="200" t="s">
        <v>321</v>
      </c>
      <c r="B3040" s="186" t="s">
        <v>9665</v>
      </c>
      <c r="C3040" s="210" t="s">
        <v>9666</v>
      </c>
      <c r="D3040" s="210" t="s">
        <v>9667</v>
      </c>
      <c r="E3040" s="204">
        <v>1.0</v>
      </c>
      <c r="F3040" s="205">
        <v>0.0</v>
      </c>
      <c r="G3040" s="205">
        <v>2.0</v>
      </c>
    </row>
    <row r="3041" ht="15.75" customHeight="1">
      <c r="A3041" s="200" t="s">
        <v>321</v>
      </c>
      <c r="B3041" s="186" t="s">
        <v>9668</v>
      </c>
      <c r="C3041" s="210" t="s">
        <v>9669</v>
      </c>
      <c r="D3041" s="210" t="s">
        <v>9670</v>
      </c>
      <c r="E3041" s="204">
        <v>1.0</v>
      </c>
      <c r="F3041" s="205">
        <v>0.0</v>
      </c>
      <c r="G3041" s="205">
        <v>0.0</v>
      </c>
    </row>
    <row r="3042" ht="15.75" customHeight="1">
      <c r="A3042" s="200" t="s">
        <v>321</v>
      </c>
      <c r="B3042" s="186" t="s">
        <v>9671</v>
      </c>
      <c r="C3042" s="210" t="s">
        <v>9672</v>
      </c>
      <c r="D3042" s="210" t="s">
        <v>9673</v>
      </c>
      <c r="E3042" s="204">
        <v>1.0</v>
      </c>
      <c r="F3042" s="205">
        <v>0.0</v>
      </c>
      <c r="G3042" s="205">
        <v>0.0</v>
      </c>
    </row>
    <row r="3043" ht="15.75" customHeight="1">
      <c r="A3043" s="200" t="s">
        <v>321</v>
      </c>
      <c r="B3043" s="186" t="s">
        <v>4748</v>
      </c>
      <c r="C3043" s="210" t="s">
        <v>4749</v>
      </c>
      <c r="D3043" s="210"/>
      <c r="E3043" s="204">
        <v>1.0</v>
      </c>
      <c r="F3043" s="205">
        <v>0.0</v>
      </c>
      <c r="G3043" s="205">
        <v>0.0</v>
      </c>
    </row>
    <row r="3044" ht="15.75" customHeight="1">
      <c r="A3044" s="200" t="s">
        <v>321</v>
      </c>
      <c r="B3044" s="186" t="s">
        <v>4757</v>
      </c>
      <c r="C3044" s="210" t="s">
        <v>4758</v>
      </c>
      <c r="D3044" s="210"/>
      <c r="E3044" s="204">
        <v>1.0</v>
      </c>
      <c r="F3044" s="205">
        <v>0.0</v>
      </c>
      <c r="G3044" s="205">
        <v>0.0</v>
      </c>
    </row>
    <row r="3045" ht="15.75" customHeight="1">
      <c r="A3045" s="200" t="s">
        <v>321</v>
      </c>
      <c r="B3045" s="186" t="s">
        <v>9674</v>
      </c>
      <c r="C3045" s="210" t="s">
        <v>9675</v>
      </c>
      <c r="D3045" s="210"/>
      <c r="E3045" s="204">
        <v>1.0</v>
      </c>
      <c r="F3045" s="205">
        <v>0.0</v>
      </c>
      <c r="G3045" s="205">
        <v>1.0</v>
      </c>
    </row>
    <row r="3046" ht="15.75" customHeight="1">
      <c r="A3046" s="200" t="s">
        <v>321</v>
      </c>
      <c r="B3046" s="186" t="s">
        <v>9676</v>
      </c>
      <c r="C3046" s="210" t="s">
        <v>9677</v>
      </c>
      <c r="D3046" s="210" t="s">
        <v>9678</v>
      </c>
      <c r="E3046" s="204">
        <v>1.0</v>
      </c>
      <c r="F3046" s="205">
        <v>0.0</v>
      </c>
      <c r="G3046" s="205">
        <v>1.0</v>
      </c>
    </row>
    <row r="3047" ht="15.75" customHeight="1">
      <c r="A3047" s="200" t="s">
        <v>321</v>
      </c>
      <c r="B3047" s="186" t="s">
        <v>9679</v>
      </c>
      <c r="C3047" s="210" t="s">
        <v>9680</v>
      </c>
      <c r="D3047" s="210" t="s">
        <v>9681</v>
      </c>
      <c r="E3047" s="204">
        <v>1.0</v>
      </c>
      <c r="F3047" s="205">
        <v>0.0</v>
      </c>
      <c r="G3047" s="205">
        <v>1.0</v>
      </c>
    </row>
    <row r="3048" ht="15.75" customHeight="1">
      <c r="A3048" s="200" t="s">
        <v>321</v>
      </c>
      <c r="B3048" s="186" t="s">
        <v>9682</v>
      </c>
      <c r="C3048" s="210" t="s">
        <v>9683</v>
      </c>
      <c r="D3048" s="210" t="s">
        <v>9176</v>
      </c>
      <c r="E3048" s="204">
        <v>1.0</v>
      </c>
      <c r="F3048" s="205">
        <v>0.0</v>
      </c>
      <c r="G3048" s="205">
        <v>3.0</v>
      </c>
    </row>
    <row r="3049" ht="15.75" customHeight="1">
      <c r="A3049" s="200" t="s">
        <v>321</v>
      </c>
      <c r="B3049" s="186" t="s">
        <v>9684</v>
      </c>
      <c r="C3049" s="210" t="s">
        <v>9685</v>
      </c>
      <c r="D3049" s="210" t="s">
        <v>8870</v>
      </c>
      <c r="E3049" s="204">
        <v>1.0</v>
      </c>
      <c r="F3049" s="205">
        <v>0.0</v>
      </c>
      <c r="G3049" s="205">
        <v>1.0</v>
      </c>
    </row>
    <row r="3050" ht="15.75" customHeight="1">
      <c r="A3050" s="200" t="s">
        <v>321</v>
      </c>
      <c r="B3050" s="186" t="s">
        <v>9686</v>
      </c>
      <c r="C3050" s="210" t="s">
        <v>9687</v>
      </c>
      <c r="D3050" s="210" t="s">
        <v>9688</v>
      </c>
      <c r="E3050" s="204">
        <v>1.0</v>
      </c>
      <c r="F3050" s="205">
        <v>0.0</v>
      </c>
      <c r="G3050" s="205">
        <v>0.0</v>
      </c>
    </row>
    <row r="3051" ht="15.75" customHeight="1">
      <c r="A3051" s="200" t="s">
        <v>321</v>
      </c>
      <c r="B3051" s="186" t="s">
        <v>8252</v>
      </c>
      <c r="C3051" s="210" t="s">
        <v>8253</v>
      </c>
      <c r="D3051" s="210" t="s">
        <v>9689</v>
      </c>
      <c r="E3051" s="204">
        <v>1.0</v>
      </c>
      <c r="F3051" s="205">
        <v>0.0</v>
      </c>
      <c r="G3051" s="205">
        <v>0.0</v>
      </c>
    </row>
    <row r="3052" ht="15.75" customHeight="1">
      <c r="A3052" s="200" t="s">
        <v>321</v>
      </c>
      <c r="B3052" s="186" t="s">
        <v>4168</v>
      </c>
      <c r="C3052" s="210" t="s">
        <v>4169</v>
      </c>
      <c r="D3052" s="210" t="s">
        <v>9690</v>
      </c>
      <c r="E3052" s="204">
        <v>1.0</v>
      </c>
      <c r="F3052" s="205">
        <v>0.0</v>
      </c>
      <c r="G3052" s="205">
        <v>1.0</v>
      </c>
    </row>
    <row r="3053" ht="15.75" customHeight="1">
      <c r="A3053" s="200" t="s">
        <v>321</v>
      </c>
      <c r="B3053" s="186" t="s">
        <v>4779</v>
      </c>
      <c r="C3053" s="210" t="s">
        <v>4780</v>
      </c>
      <c r="D3053" s="210" t="s">
        <v>9691</v>
      </c>
      <c r="E3053" s="204">
        <v>1.0</v>
      </c>
      <c r="F3053" s="205">
        <v>0.0</v>
      </c>
      <c r="G3053" s="205">
        <v>0.0</v>
      </c>
    </row>
    <row r="3054" ht="15.75" customHeight="1">
      <c r="A3054" s="200" t="s">
        <v>321</v>
      </c>
      <c r="B3054" s="186" t="s">
        <v>9692</v>
      </c>
      <c r="C3054" s="210" t="s">
        <v>9693</v>
      </c>
      <c r="D3054" s="210" t="s">
        <v>1101</v>
      </c>
      <c r="E3054" s="204">
        <v>1.0</v>
      </c>
      <c r="F3054" s="205">
        <v>0.0</v>
      </c>
      <c r="G3054" s="205">
        <v>0.0</v>
      </c>
    </row>
    <row r="3055" ht="15.75" customHeight="1">
      <c r="A3055" s="200" t="s">
        <v>321</v>
      </c>
      <c r="B3055" s="186" t="s">
        <v>3028</v>
      </c>
      <c r="C3055" s="210" t="s">
        <v>3029</v>
      </c>
      <c r="D3055" s="210" t="s">
        <v>9694</v>
      </c>
      <c r="E3055" s="204">
        <v>1.0</v>
      </c>
      <c r="F3055" s="205">
        <v>0.0</v>
      </c>
      <c r="G3055" s="205">
        <v>0.0</v>
      </c>
    </row>
    <row r="3056" ht="15.75" customHeight="1">
      <c r="A3056" s="200" t="s">
        <v>321</v>
      </c>
      <c r="B3056" s="186" t="s">
        <v>4799</v>
      </c>
      <c r="C3056" s="210" t="s">
        <v>4800</v>
      </c>
      <c r="D3056" s="210" t="s">
        <v>9695</v>
      </c>
      <c r="E3056" s="204">
        <v>1.0</v>
      </c>
      <c r="F3056" s="205">
        <v>0.0</v>
      </c>
      <c r="G3056" s="205">
        <v>1.0</v>
      </c>
    </row>
    <row r="3057" ht="15.75" customHeight="1">
      <c r="A3057" s="200" t="s">
        <v>321</v>
      </c>
      <c r="B3057" s="186" t="s">
        <v>4802</v>
      </c>
      <c r="C3057" s="210" t="s">
        <v>4803</v>
      </c>
      <c r="D3057" s="210" t="s">
        <v>9696</v>
      </c>
      <c r="E3057" s="204">
        <v>1.0</v>
      </c>
      <c r="F3057" s="205">
        <v>0.0</v>
      </c>
      <c r="G3057" s="205">
        <v>0.0</v>
      </c>
    </row>
    <row r="3058" ht="15.75" customHeight="1">
      <c r="A3058" s="200" t="s">
        <v>321</v>
      </c>
      <c r="B3058" s="186" t="s">
        <v>4814</v>
      </c>
      <c r="C3058" s="210" t="s">
        <v>4815</v>
      </c>
      <c r="D3058" s="210"/>
      <c r="E3058" s="204">
        <v>1.0</v>
      </c>
      <c r="F3058" s="205">
        <v>0.0</v>
      </c>
      <c r="G3058" s="205">
        <v>0.0</v>
      </c>
    </row>
    <row r="3059" ht="15.75" customHeight="1">
      <c r="A3059" s="200" t="s">
        <v>321</v>
      </c>
      <c r="B3059" s="186" t="s">
        <v>9697</v>
      </c>
      <c r="C3059" s="210" t="s">
        <v>9698</v>
      </c>
      <c r="D3059" s="210" t="s">
        <v>9699</v>
      </c>
      <c r="E3059" s="204">
        <v>1.0</v>
      </c>
      <c r="F3059" s="205">
        <v>0.0</v>
      </c>
      <c r="G3059" s="205">
        <v>1.0</v>
      </c>
    </row>
    <row r="3060" ht="15.75" customHeight="1">
      <c r="A3060" s="200" t="s">
        <v>321</v>
      </c>
      <c r="B3060" s="186" t="s">
        <v>9700</v>
      </c>
      <c r="C3060" s="210" t="s">
        <v>9701</v>
      </c>
      <c r="D3060" s="210" t="s">
        <v>9702</v>
      </c>
      <c r="E3060" s="204">
        <v>1.0</v>
      </c>
      <c r="F3060" s="205">
        <v>0.0</v>
      </c>
      <c r="G3060" s="205">
        <v>0.0</v>
      </c>
    </row>
    <row r="3061" ht="15.75" customHeight="1">
      <c r="A3061" s="200" t="s">
        <v>321</v>
      </c>
      <c r="B3061" s="186" t="s">
        <v>9703</v>
      </c>
      <c r="C3061" s="210" t="s">
        <v>9704</v>
      </c>
      <c r="D3061" s="210" t="s">
        <v>9705</v>
      </c>
      <c r="E3061" s="204">
        <v>1.0</v>
      </c>
      <c r="F3061" s="205">
        <v>0.0</v>
      </c>
      <c r="G3061" s="205">
        <v>2.0</v>
      </c>
    </row>
    <row r="3062" ht="15.75" customHeight="1">
      <c r="A3062" s="200" t="s">
        <v>321</v>
      </c>
      <c r="B3062" s="186" t="s">
        <v>9706</v>
      </c>
      <c r="C3062" s="210" t="s">
        <v>9707</v>
      </c>
      <c r="D3062" s="210" t="s">
        <v>1101</v>
      </c>
      <c r="E3062" s="204">
        <v>1.0</v>
      </c>
      <c r="F3062" s="205">
        <v>0.0</v>
      </c>
      <c r="G3062" s="205">
        <v>1.0</v>
      </c>
    </row>
    <row r="3063" ht="15.75" customHeight="1">
      <c r="A3063" s="200" t="s">
        <v>321</v>
      </c>
      <c r="B3063" s="186" t="s">
        <v>9708</v>
      </c>
      <c r="C3063" s="210" t="s">
        <v>9709</v>
      </c>
      <c r="D3063" s="210" t="s">
        <v>1101</v>
      </c>
      <c r="E3063" s="204">
        <v>1.0</v>
      </c>
      <c r="F3063" s="205">
        <v>0.0</v>
      </c>
      <c r="G3063" s="205">
        <v>0.0</v>
      </c>
    </row>
    <row r="3064" ht="15.75" customHeight="1">
      <c r="A3064" s="200" t="s">
        <v>321</v>
      </c>
      <c r="B3064" s="186" t="s">
        <v>9710</v>
      </c>
      <c r="C3064" s="210" t="s">
        <v>9711</v>
      </c>
      <c r="D3064" s="210" t="s">
        <v>9712</v>
      </c>
      <c r="E3064" s="204">
        <v>1.0</v>
      </c>
      <c r="F3064" s="205">
        <v>0.0</v>
      </c>
      <c r="G3064" s="205">
        <v>0.0</v>
      </c>
    </row>
    <row r="3065" ht="15.75" customHeight="1">
      <c r="A3065" s="200" t="s">
        <v>321</v>
      </c>
      <c r="B3065" s="186" t="s">
        <v>2347</v>
      </c>
      <c r="C3065" s="210" t="s">
        <v>2350</v>
      </c>
      <c r="D3065" s="210" t="s">
        <v>9713</v>
      </c>
      <c r="E3065" s="204">
        <v>1.0</v>
      </c>
      <c r="F3065" s="205">
        <v>0.0</v>
      </c>
      <c r="G3065" s="205">
        <v>1.0</v>
      </c>
    </row>
    <row r="3066" ht="15.75" customHeight="1">
      <c r="A3066" s="200" t="s">
        <v>321</v>
      </c>
      <c r="B3066" s="186" t="s">
        <v>9714</v>
      </c>
      <c r="C3066" s="210" t="s">
        <v>736</v>
      </c>
      <c r="D3066" s="210" t="s">
        <v>9715</v>
      </c>
      <c r="E3066" s="204">
        <v>1.0</v>
      </c>
      <c r="F3066" s="205">
        <v>0.0</v>
      </c>
      <c r="G3066" s="205">
        <v>0.0</v>
      </c>
    </row>
    <row r="3067" ht="15.75" customHeight="1">
      <c r="A3067" s="200" t="s">
        <v>321</v>
      </c>
      <c r="B3067" s="186" t="s">
        <v>638</v>
      </c>
      <c r="C3067" s="210" t="s">
        <v>639</v>
      </c>
      <c r="D3067" s="210" t="s">
        <v>2692</v>
      </c>
      <c r="E3067" s="204">
        <v>1.0</v>
      </c>
      <c r="F3067" s="205">
        <v>0.0</v>
      </c>
      <c r="G3067" s="205">
        <v>1.0</v>
      </c>
    </row>
    <row r="3068" ht="15.75" customHeight="1">
      <c r="A3068" s="200" t="s">
        <v>321</v>
      </c>
      <c r="B3068" s="186" t="s">
        <v>1184</v>
      </c>
      <c r="C3068" s="210" t="s">
        <v>1185</v>
      </c>
      <c r="D3068" s="210" t="s">
        <v>9716</v>
      </c>
      <c r="E3068" s="204">
        <v>1.0</v>
      </c>
      <c r="F3068" s="205">
        <v>0.0</v>
      </c>
      <c r="G3068" s="205">
        <v>0.0</v>
      </c>
    </row>
    <row r="3069" ht="15.75" customHeight="1">
      <c r="A3069" s="200" t="s">
        <v>321</v>
      </c>
      <c r="B3069" s="186" t="s">
        <v>9717</v>
      </c>
      <c r="C3069" s="210" t="s">
        <v>9718</v>
      </c>
      <c r="D3069" s="210" t="s">
        <v>9719</v>
      </c>
      <c r="E3069" s="204">
        <v>1.0</v>
      </c>
      <c r="F3069" s="205">
        <v>0.0</v>
      </c>
      <c r="G3069" s="205">
        <v>0.0</v>
      </c>
    </row>
    <row r="3070" ht="15.75" customHeight="1">
      <c r="A3070" s="200" t="s">
        <v>321</v>
      </c>
      <c r="B3070" s="186" t="s">
        <v>9720</v>
      </c>
      <c r="C3070" s="210" t="s">
        <v>9721</v>
      </c>
      <c r="D3070" s="210"/>
      <c r="E3070" s="204">
        <v>1.0</v>
      </c>
      <c r="F3070" s="205">
        <v>0.0</v>
      </c>
      <c r="G3070" s="205">
        <v>1.0</v>
      </c>
    </row>
    <row r="3071" ht="15.75" customHeight="1">
      <c r="A3071" s="200" t="s">
        <v>321</v>
      </c>
      <c r="B3071" s="186" t="s">
        <v>9722</v>
      </c>
      <c r="C3071" s="210" t="s">
        <v>9723</v>
      </c>
      <c r="D3071" s="210" t="s">
        <v>9724</v>
      </c>
      <c r="E3071" s="204">
        <v>1.0</v>
      </c>
      <c r="F3071" s="205">
        <v>0.0</v>
      </c>
      <c r="G3071" s="205">
        <v>1.0</v>
      </c>
    </row>
    <row r="3072" ht="15.75" customHeight="1">
      <c r="A3072" s="200" t="s">
        <v>321</v>
      </c>
      <c r="B3072" s="186" t="s">
        <v>1190</v>
      </c>
      <c r="C3072" s="210" t="s">
        <v>1191</v>
      </c>
      <c r="D3072" s="210" t="s">
        <v>9725</v>
      </c>
      <c r="E3072" s="204">
        <v>1.0</v>
      </c>
      <c r="F3072" s="205">
        <v>0.0</v>
      </c>
      <c r="G3072" s="205">
        <v>0.0</v>
      </c>
    </row>
    <row r="3073" ht="15.75" customHeight="1">
      <c r="A3073" s="200" t="s">
        <v>321</v>
      </c>
      <c r="B3073" s="186" t="s">
        <v>9726</v>
      </c>
      <c r="C3073" s="210" t="s">
        <v>9727</v>
      </c>
      <c r="D3073" s="210" t="s">
        <v>9728</v>
      </c>
      <c r="E3073" s="204">
        <v>1.0</v>
      </c>
      <c r="F3073" s="205">
        <v>0.0</v>
      </c>
      <c r="G3073" s="205">
        <v>1.0</v>
      </c>
    </row>
    <row r="3074" ht="15.75" customHeight="1">
      <c r="A3074" s="200" t="s">
        <v>321</v>
      </c>
      <c r="B3074" s="186" t="s">
        <v>2693</v>
      </c>
      <c r="C3074" s="210" t="s">
        <v>2694</v>
      </c>
      <c r="D3074" s="210" t="s">
        <v>2547</v>
      </c>
      <c r="E3074" s="204">
        <v>1.0</v>
      </c>
      <c r="F3074" s="205">
        <v>0.0</v>
      </c>
      <c r="G3074" s="205">
        <v>1.0</v>
      </c>
    </row>
    <row r="3075" ht="15.75" customHeight="1">
      <c r="A3075" s="200" t="s">
        <v>321</v>
      </c>
      <c r="B3075" s="186" t="s">
        <v>9729</v>
      </c>
      <c r="C3075" s="210" t="s">
        <v>9730</v>
      </c>
      <c r="D3075" s="210" t="s">
        <v>2348</v>
      </c>
      <c r="E3075" s="204">
        <v>1.0</v>
      </c>
      <c r="F3075" s="205">
        <v>0.0</v>
      </c>
      <c r="G3075" s="205">
        <v>0.0</v>
      </c>
    </row>
    <row r="3076" ht="15.75" customHeight="1">
      <c r="A3076" s="200" t="s">
        <v>321</v>
      </c>
      <c r="B3076" s="186" t="s">
        <v>9731</v>
      </c>
      <c r="C3076" s="210" t="s">
        <v>9732</v>
      </c>
      <c r="D3076" s="210" t="s">
        <v>9733</v>
      </c>
      <c r="E3076" s="204">
        <v>1.0</v>
      </c>
      <c r="F3076" s="205">
        <v>0.0</v>
      </c>
      <c r="G3076" s="205">
        <v>0.0</v>
      </c>
    </row>
    <row r="3077" ht="15.75" customHeight="1">
      <c r="A3077" s="200" t="s">
        <v>321</v>
      </c>
      <c r="B3077" s="186" t="s">
        <v>4906</v>
      </c>
      <c r="C3077" s="210" t="s">
        <v>4907</v>
      </c>
      <c r="D3077" s="210" t="s">
        <v>9734</v>
      </c>
      <c r="E3077" s="204">
        <v>1.0</v>
      </c>
      <c r="F3077" s="205">
        <v>0.0</v>
      </c>
      <c r="G3077" s="205">
        <v>1.0</v>
      </c>
    </row>
    <row r="3078" ht="15.75" customHeight="1">
      <c r="A3078" s="200" t="s">
        <v>321</v>
      </c>
      <c r="B3078" s="186" t="s">
        <v>9735</v>
      </c>
      <c r="C3078" s="210" t="s">
        <v>9736</v>
      </c>
      <c r="D3078" s="210"/>
      <c r="E3078" s="204">
        <v>1.0</v>
      </c>
      <c r="F3078" s="205">
        <v>0.0</v>
      </c>
      <c r="G3078" s="205">
        <v>0.0</v>
      </c>
    </row>
    <row r="3079" ht="15.75" customHeight="1">
      <c r="A3079" s="200" t="s">
        <v>321</v>
      </c>
      <c r="B3079" s="186" t="s">
        <v>9737</v>
      </c>
      <c r="C3079" s="210" t="s">
        <v>9738</v>
      </c>
      <c r="D3079" s="210" t="s">
        <v>9739</v>
      </c>
      <c r="E3079" s="204">
        <v>1.0</v>
      </c>
      <c r="F3079" s="205">
        <v>0.0</v>
      </c>
      <c r="G3079" s="205">
        <v>0.0</v>
      </c>
    </row>
    <row r="3080" ht="15.75" customHeight="1">
      <c r="A3080" s="200" t="s">
        <v>321</v>
      </c>
      <c r="B3080" s="186" t="s">
        <v>3727</v>
      </c>
      <c r="C3080" s="210" t="s">
        <v>3728</v>
      </c>
      <c r="D3080" s="210" t="s">
        <v>9740</v>
      </c>
      <c r="E3080" s="204">
        <v>1.0</v>
      </c>
      <c r="F3080" s="205">
        <v>0.0</v>
      </c>
      <c r="G3080" s="205">
        <v>0.0</v>
      </c>
    </row>
    <row r="3081" ht="15.75" customHeight="1">
      <c r="A3081" s="200" t="s">
        <v>321</v>
      </c>
      <c r="B3081" s="186" t="s">
        <v>9741</v>
      </c>
      <c r="C3081" s="210" t="s">
        <v>9742</v>
      </c>
      <c r="D3081" s="210" t="s">
        <v>2840</v>
      </c>
      <c r="E3081" s="204">
        <v>1.0</v>
      </c>
      <c r="F3081" s="205">
        <v>0.0</v>
      </c>
      <c r="G3081" s="205">
        <v>1.0</v>
      </c>
    </row>
    <row r="3082" ht="15.75" customHeight="1">
      <c r="A3082" s="200" t="s">
        <v>321</v>
      </c>
      <c r="B3082" s="186" t="s">
        <v>9743</v>
      </c>
      <c r="C3082" s="210" t="s">
        <v>9744</v>
      </c>
      <c r="D3082" s="210" t="s">
        <v>9745</v>
      </c>
      <c r="E3082" s="204">
        <v>1.0</v>
      </c>
      <c r="F3082" s="205">
        <v>0.0</v>
      </c>
      <c r="G3082" s="205">
        <v>2.0</v>
      </c>
    </row>
    <row r="3083" ht="15.75" customHeight="1">
      <c r="A3083" s="200" t="s">
        <v>321</v>
      </c>
      <c r="B3083" s="186" t="s">
        <v>9746</v>
      </c>
      <c r="C3083" s="210" t="s">
        <v>9747</v>
      </c>
      <c r="D3083" s="210" t="s">
        <v>8797</v>
      </c>
      <c r="E3083" s="204">
        <v>1.0</v>
      </c>
      <c r="F3083" s="205">
        <v>0.0</v>
      </c>
      <c r="G3083" s="205">
        <v>1.0</v>
      </c>
    </row>
    <row r="3084" ht="15.75" customHeight="1">
      <c r="A3084" s="200" t="s">
        <v>321</v>
      </c>
      <c r="B3084" s="186" t="s">
        <v>9748</v>
      </c>
      <c r="C3084" s="210" t="s">
        <v>9749</v>
      </c>
      <c r="D3084" s="210" t="s">
        <v>9750</v>
      </c>
      <c r="E3084" s="204">
        <v>1.0</v>
      </c>
      <c r="F3084" s="205">
        <v>0.0</v>
      </c>
      <c r="G3084" s="205">
        <v>1.0</v>
      </c>
    </row>
    <row r="3085" ht="15.75" customHeight="1">
      <c r="A3085" s="200" t="s">
        <v>321</v>
      </c>
      <c r="B3085" s="186" t="s">
        <v>4946</v>
      </c>
      <c r="C3085" s="210" t="s">
        <v>4947</v>
      </c>
      <c r="D3085" s="210" t="s">
        <v>2348</v>
      </c>
      <c r="E3085" s="204">
        <v>1.0</v>
      </c>
      <c r="F3085" s="205">
        <v>0.0</v>
      </c>
      <c r="G3085" s="205">
        <v>0.0</v>
      </c>
    </row>
    <row r="3086" ht="15.75" customHeight="1">
      <c r="A3086" s="200" t="s">
        <v>321</v>
      </c>
      <c r="B3086" s="186" t="s">
        <v>9751</v>
      </c>
      <c r="C3086" s="210" t="s">
        <v>9752</v>
      </c>
      <c r="D3086" s="210" t="s">
        <v>380</v>
      </c>
      <c r="E3086" s="204">
        <v>1.0</v>
      </c>
      <c r="F3086" s="205">
        <v>0.0</v>
      </c>
      <c r="G3086" s="205">
        <v>1.0</v>
      </c>
    </row>
    <row r="3087" ht="15.75" customHeight="1">
      <c r="A3087" s="200" t="s">
        <v>321</v>
      </c>
      <c r="B3087" s="186" t="s">
        <v>9753</v>
      </c>
      <c r="C3087" s="210" t="s">
        <v>9754</v>
      </c>
      <c r="D3087" s="210" t="s">
        <v>9755</v>
      </c>
      <c r="E3087" s="204">
        <v>1.0</v>
      </c>
      <c r="F3087" s="205">
        <v>0.0</v>
      </c>
      <c r="G3087" s="205">
        <v>1.0</v>
      </c>
    </row>
    <row r="3088" ht="15.75" customHeight="1">
      <c r="A3088" s="200" t="s">
        <v>321</v>
      </c>
      <c r="B3088" s="186" t="s">
        <v>9756</v>
      </c>
      <c r="C3088" s="210" t="s">
        <v>9757</v>
      </c>
      <c r="D3088" s="210"/>
      <c r="E3088" s="204">
        <v>1.0</v>
      </c>
      <c r="F3088" s="205">
        <v>0.0</v>
      </c>
      <c r="G3088" s="205">
        <v>3.0</v>
      </c>
    </row>
    <row r="3089" ht="15.75" customHeight="1">
      <c r="A3089" s="200" t="s">
        <v>321</v>
      </c>
      <c r="B3089" s="186" t="s">
        <v>9758</v>
      </c>
      <c r="C3089" s="210" t="s">
        <v>9759</v>
      </c>
      <c r="D3089" s="210"/>
      <c r="E3089" s="204">
        <v>1.0</v>
      </c>
      <c r="F3089" s="205">
        <v>0.0</v>
      </c>
      <c r="G3089" s="205">
        <v>3.0</v>
      </c>
    </row>
    <row r="3090" ht="15.75" customHeight="1">
      <c r="A3090" s="200" t="s">
        <v>321</v>
      </c>
      <c r="B3090" s="186" t="s">
        <v>9760</v>
      </c>
      <c r="C3090" s="210" t="s">
        <v>9761</v>
      </c>
      <c r="D3090" s="210" t="s">
        <v>9762</v>
      </c>
      <c r="E3090" s="204">
        <v>1.0</v>
      </c>
      <c r="F3090" s="205">
        <v>0.0</v>
      </c>
      <c r="G3090" s="205">
        <v>1.0</v>
      </c>
    </row>
    <row r="3091" ht="15.75" customHeight="1">
      <c r="A3091" s="200" t="s">
        <v>321</v>
      </c>
      <c r="B3091" s="186" t="s">
        <v>9763</v>
      </c>
      <c r="C3091" s="210" t="s">
        <v>9764</v>
      </c>
      <c r="D3091" s="210"/>
      <c r="E3091" s="204">
        <v>1.0</v>
      </c>
      <c r="F3091" s="205">
        <v>0.0</v>
      </c>
      <c r="G3091" s="205">
        <v>1.0</v>
      </c>
    </row>
    <row r="3092" ht="15.75" customHeight="1">
      <c r="A3092" s="200" t="s">
        <v>321</v>
      </c>
      <c r="B3092" s="186" t="s">
        <v>2702</v>
      </c>
      <c r="C3092" s="210" t="s">
        <v>2703</v>
      </c>
      <c r="D3092" s="210" t="s">
        <v>2705</v>
      </c>
      <c r="E3092" s="204">
        <v>1.0</v>
      </c>
      <c r="F3092" s="205">
        <v>0.0</v>
      </c>
      <c r="G3092" s="205">
        <v>1.0</v>
      </c>
    </row>
    <row r="3093" ht="15.75" customHeight="1">
      <c r="A3093" s="200" t="s">
        <v>321</v>
      </c>
      <c r="B3093" s="186" t="s">
        <v>8483</v>
      </c>
      <c r="C3093" s="210" t="s">
        <v>8484</v>
      </c>
      <c r="D3093" s="210" t="s">
        <v>8486</v>
      </c>
      <c r="E3093" s="204">
        <v>1.0</v>
      </c>
      <c r="F3093" s="205">
        <v>0.0</v>
      </c>
      <c r="G3093" s="205">
        <v>1.0</v>
      </c>
    </row>
    <row r="3094" ht="15.75" customHeight="1">
      <c r="A3094" s="200" t="s">
        <v>321</v>
      </c>
      <c r="B3094" s="186" t="s">
        <v>8489</v>
      </c>
      <c r="C3094" s="210" t="s">
        <v>8493</v>
      </c>
      <c r="D3094" s="210" t="s">
        <v>8494</v>
      </c>
      <c r="E3094" s="204">
        <v>1.0</v>
      </c>
      <c r="F3094" s="205">
        <v>0.0</v>
      </c>
      <c r="G3094" s="205">
        <v>0.0</v>
      </c>
    </row>
    <row r="3095" ht="15.75" customHeight="1">
      <c r="A3095" s="200" t="s">
        <v>321</v>
      </c>
      <c r="B3095" s="186" t="s">
        <v>5013</v>
      </c>
      <c r="C3095" s="210" t="s">
        <v>5014</v>
      </c>
      <c r="D3095" s="210" t="s">
        <v>380</v>
      </c>
      <c r="E3095" s="204">
        <v>1.0</v>
      </c>
      <c r="F3095" s="205">
        <v>0.0</v>
      </c>
      <c r="G3095" s="205">
        <v>2.0</v>
      </c>
    </row>
    <row r="3096" ht="15.75" customHeight="1">
      <c r="A3096" s="200" t="s">
        <v>321</v>
      </c>
      <c r="B3096" s="186" t="s">
        <v>2429</v>
      </c>
      <c r="C3096" s="210" t="s">
        <v>2430</v>
      </c>
      <c r="D3096" s="210" t="s">
        <v>9765</v>
      </c>
      <c r="E3096" s="204">
        <v>1.0</v>
      </c>
      <c r="F3096" s="205">
        <v>0.0</v>
      </c>
      <c r="G3096" s="205">
        <v>0.0</v>
      </c>
    </row>
    <row r="3097" ht="15.75" customHeight="1">
      <c r="A3097" s="200" t="s">
        <v>321</v>
      </c>
      <c r="B3097" s="186" t="s">
        <v>9766</v>
      </c>
      <c r="C3097" s="210" t="s">
        <v>9767</v>
      </c>
      <c r="D3097" s="210" t="s">
        <v>9768</v>
      </c>
      <c r="E3097" s="204">
        <v>1.0</v>
      </c>
      <c r="F3097" s="205">
        <v>0.0</v>
      </c>
      <c r="G3097" s="205">
        <v>1.0</v>
      </c>
    </row>
    <row r="3098" ht="15.75" customHeight="1">
      <c r="A3098" s="200" t="s">
        <v>321</v>
      </c>
      <c r="B3098" s="186" t="s">
        <v>9769</v>
      </c>
      <c r="C3098" s="210" t="s">
        <v>9770</v>
      </c>
      <c r="D3098" s="210" t="s">
        <v>348</v>
      </c>
      <c r="E3098" s="204">
        <v>1.0</v>
      </c>
      <c r="F3098" s="205">
        <v>0.0</v>
      </c>
      <c r="G3098" s="205">
        <v>1.0</v>
      </c>
    </row>
    <row r="3099" ht="15.75" customHeight="1">
      <c r="A3099" s="200" t="s">
        <v>321</v>
      </c>
      <c r="B3099" s="186" t="s">
        <v>9771</v>
      </c>
      <c r="C3099" s="210" t="s">
        <v>3967</v>
      </c>
      <c r="D3099" s="210" t="s">
        <v>9772</v>
      </c>
      <c r="E3099" s="204">
        <v>1.0</v>
      </c>
      <c r="F3099" s="205">
        <v>0.0</v>
      </c>
      <c r="G3099" s="205">
        <v>1.0</v>
      </c>
    </row>
    <row r="3100" ht="15.75" customHeight="1">
      <c r="A3100" s="200" t="s">
        <v>321</v>
      </c>
      <c r="B3100" s="186" t="s">
        <v>9773</v>
      </c>
      <c r="C3100" s="210" t="s">
        <v>9774</v>
      </c>
      <c r="D3100" s="210"/>
      <c r="E3100" s="204">
        <v>1.0</v>
      </c>
      <c r="F3100" s="205">
        <v>0.0</v>
      </c>
      <c r="G3100" s="205">
        <v>1.0</v>
      </c>
    </row>
    <row r="3101" ht="15.75" customHeight="1">
      <c r="A3101" s="200" t="s">
        <v>321</v>
      </c>
      <c r="B3101" s="186" t="s">
        <v>6691</v>
      </c>
      <c r="C3101" s="210" t="s">
        <v>6692</v>
      </c>
      <c r="D3101" s="210" t="s">
        <v>9775</v>
      </c>
      <c r="E3101" s="204">
        <v>1.0</v>
      </c>
      <c r="F3101" s="205">
        <v>0.0</v>
      </c>
      <c r="G3101" s="205">
        <v>0.0</v>
      </c>
    </row>
    <row r="3102" ht="15.75" customHeight="1">
      <c r="A3102" s="200" t="s">
        <v>321</v>
      </c>
      <c r="B3102" s="186" t="s">
        <v>9776</v>
      </c>
      <c r="C3102" s="210" t="s">
        <v>9777</v>
      </c>
      <c r="D3102" s="210" t="s">
        <v>9778</v>
      </c>
      <c r="E3102" s="204">
        <v>1.0</v>
      </c>
      <c r="F3102" s="205">
        <v>0.0</v>
      </c>
      <c r="G3102" s="205">
        <v>0.0</v>
      </c>
    </row>
    <row r="3103" ht="15.75" customHeight="1">
      <c r="A3103" s="200" t="s">
        <v>321</v>
      </c>
      <c r="B3103" s="186" t="s">
        <v>1060</v>
      </c>
      <c r="C3103" s="210" t="s">
        <v>1061</v>
      </c>
      <c r="D3103" s="210" t="s">
        <v>2710</v>
      </c>
      <c r="E3103" s="204">
        <v>1.0</v>
      </c>
      <c r="F3103" s="205">
        <v>0.0</v>
      </c>
      <c r="G3103" s="205">
        <v>1.0</v>
      </c>
    </row>
    <row r="3104" ht="15.75" customHeight="1">
      <c r="A3104" s="200" t="s">
        <v>321</v>
      </c>
      <c r="B3104" s="186" t="s">
        <v>9779</v>
      </c>
      <c r="C3104" s="210" t="s">
        <v>9780</v>
      </c>
      <c r="D3104" s="210" t="s">
        <v>9781</v>
      </c>
      <c r="E3104" s="204">
        <v>1.0</v>
      </c>
      <c r="F3104" s="205">
        <v>0.0</v>
      </c>
      <c r="G3104" s="205">
        <v>1.0</v>
      </c>
    </row>
    <row r="3105" ht="15.75" customHeight="1">
      <c r="A3105" s="200" t="s">
        <v>321</v>
      </c>
      <c r="B3105" s="186" t="s">
        <v>9782</v>
      </c>
      <c r="C3105" s="210" t="s">
        <v>9783</v>
      </c>
      <c r="D3105" s="210"/>
      <c r="E3105" s="204">
        <v>1.0</v>
      </c>
      <c r="F3105" s="205">
        <v>0.0</v>
      </c>
      <c r="G3105" s="205">
        <v>3.0</v>
      </c>
    </row>
    <row r="3106" ht="15.75" customHeight="1">
      <c r="A3106" s="200" t="s">
        <v>321</v>
      </c>
      <c r="B3106" s="186" t="s">
        <v>9784</v>
      </c>
      <c r="C3106" s="210" t="s">
        <v>9785</v>
      </c>
      <c r="D3106" s="210" t="s">
        <v>9190</v>
      </c>
      <c r="E3106" s="204">
        <v>1.0</v>
      </c>
      <c r="F3106" s="205">
        <v>0.0</v>
      </c>
      <c r="G3106" s="205">
        <v>3.0</v>
      </c>
    </row>
    <row r="3107" ht="15.75" customHeight="1">
      <c r="A3107" s="200" t="s">
        <v>321</v>
      </c>
      <c r="B3107" s="186" t="s">
        <v>2443</v>
      </c>
      <c r="C3107" s="210" t="s">
        <v>2444</v>
      </c>
      <c r="D3107" s="210" t="s">
        <v>9786</v>
      </c>
      <c r="E3107" s="204">
        <v>1.0</v>
      </c>
      <c r="F3107" s="205">
        <v>0.0</v>
      </c>
      <c r="G3107" s="205">
        <v>1.0</v>
      </c>
    </row>
    <row r="3108" ht="15.75" customHeight="1">
      <c r="A3108" s="200" t="s">
        <v>321</v>
      </c>
      <c r="B3108" s="186" t="s">
        <v>9787</v>
      </c>
      <c r="C3108" s="210" t="s">
        <v>9788</v>
      </c>
      <c r="D3108" s="210"/>
      <c r="E3108" s="204">
        <v>1.0</v>
      </c>
      <c r="F3108" s="205">
        <v>0.0</v>
      </c>
      <c r="G3108" s="205">
        <v>0.0</v>
      </c>
    </row>
    <row r="3109" ht="15.75" customHeight="1">
      <c r="A3109" s="200" t="s">
        <v>321</v>
      </c>
      <c r="B3109" s="186" t="s">
        <v>9789</v>
      </c>
      <c r="C3109" s="210" t="s">
        <v>5068</v>
      </c>
      <c r="D3109" s="210" t="s">
        <v>9790</v>
      </c>
      <c r="E3109" s="204">
        <v>1.0</v>
      </c>
      <c r="F3109" s="205">
        <v>0.0</v>
      </c>
      <c r="G3109" s="205">
        <v>1.0</v>
      </c>
    </row>
    <row r="3110" ht="15.75" customHeight="1">
      <c r="A3110" s="200" t="s">
        <v>321</v>
      </c>
      <c r="B3110" s="186" t="s">
        <v>9791</v>
      </c>
      <c r="C3110" s="210" t="s">
        <v>9792</v>
      </c>
      <c r="D3110" s="210" t="s">
        <v>2348</v>
      </c>
      <c r="E3110" s="204">
        <v>1.0</v>
      </c>
      <c r="F3110" s="205">
        <v>0.0</v>
      </c>
      <c r="G3110" s="205">
        <v>1.0</v>
      </c>
    </row>
    <row r="3111" ht="15.75" customHeight="1">
      <c r="A3111" s="200" t="s">
        <v>321</v>
      </c>
      <c r="B3111" s="186" t="s">
        <v>5082</v>
      </c>
      <c r="C3111" s="210" t="s">
        <v>4253</v>
      </c>
      <c r="D3111" s="210" t="s">
        <v>4254</v>
      </c>
      <c r="E3111" s="204">
        <v>1.0</v>
      </c>
      <c r="F3111" s="205">
        <v>0.0</v>
      </c>
      <c r="G3111" s="205">
        <v>0.0</v>
      </c>
    </row>
    <row r="3112" ht="15.75" customHeight="1">
      <c r="A3112" s="200" t="s">
        <v>321</v>
      </c>
      <c r="B3112" s="186" t="s">
        <v>4249</v>
      </c>
      <c r="C3112" s="210" t="s">
        <v>4250</v>
      </c>
      <c r="D3112" s="210" t="s">
        <v>9793</v>
      </c>
      <c r="E3112" s="204">
        <v>1.0</v>
      </c>
      <c r="F3112" s="205">
        <v>0.0</v>
      </c>
      <c r="G3112" s="205">
        <v>1.0</v>
      </c>
    </row>
    <row r="3113" ht="15.75" customHeight="1">
      <c r="A3113" s="200" t="s">
        <v>321</v>
      </c>
      <c r="B3113" s="186" t="s">
        <v>9794</v>
      </c>
      <c r="C3113" s="210" t="s">
        <v>9795</v>
      </c>
      <c r="D3113" s="210"/>
      <c r="E3113" s="204">
        <v>1.0</v>
      </c>
      <c r="F3113" s="205">
        <v>0.0</v>
      </c>
      <c r="G3113" s="205">
        <v>1.0</v>
      </c>
    </row>
    <row r="3114" ht="15.75" customHeight="1">
      <c r="A3114" s="200" t="s">
        <v>321</v>
      </c>
      <c r="B3114" s="186" t="s">
        <v>2689</v>
      </c>
      <c r="C3114" s="210" t="s">
        <v>2690</v>
      </c>
      <c r="D3114" s="210" t="s">
        <v>9796</v>
      </c>
      <c r="E3114" s="204">
        <v>1.0</v>
      </c>
      <c r="F3114" s="205">
        <v>0.0</v>
      </c>
      <c r="G3114" s="205">
        <v>0.0</v>
      </c>
    </row>
    <row r="3115" ht="15.75" customHeight="1">
      <c r="A3115" s="200" t="s">
        <v>321</v>
      </c>
      <c r="B3115" s="186" t="s">
        <v>9797</v>
      </c>
      <c r="C3115" s="210" t="s">
        <v>9798</v>
      </c>
      <c r="D3115" s="210" t="s">
        <v>9799</v>
      </c>
      <c r="E3115" s="204">
        <v>1.0</v>
      </c>
      <c r="F3115" s="205">
        <v>0.0</v>
      </c>
      <c r="G3115" s="205">
        <v>1.0</v>
      </c>
    </row>
    <row r="3116" ht="15.75" customHeight="1">
      <c r="A3116" s="200" t="s">
        <v>321</v>
      </c>
      <c r="B3116" s="186" t="s">
        <v>8523</v>
      </c>
      <c r="C3116" s="210" t="s">
        <v>8524</v>
      </c>
      <c r="D3116" s="210"/>
      <c r="E3116" s="204">
        <v>1.0</v>
      </c>
      <c r="F3116" s="205">
        <v>0.0</v>
      </c>
      <c r="G3116" s="205">
        <v>1.0</v>
      </c>
    </row>
    <row r="3117" ht="15.75" customHeight="1">
      <c r="A3117" s="200" t="s">
        <v>321</v>
      </c>
      <c r="B3117" s="186" t="s">
        <v>836</v>
      </c>
      <c r="C3117" s="210" t="s">
        <v>837</v>
      </c>
      <c r="D3117" s="210" t="s">
        <v>2348</v>
      </c>
      <c r="E3117" s="204">
        <v>1.0</v>
      </c>
      <c r="F3117" s="205">
        <v>0.0</v>
      </c>
      <c r="G3117" s="205">
        <v>0.0</v>
      </c>
    </row>
    <row r="3118" ht="15.75" customHeight="1">
      <c r="A3118" s="200" t="s">
        <v>321</v>
      </c>
      <c r="B3118" s="186" t="s">
        <v>682</v>
      </c>
      <c r="C3118" s="210" t="s">
        <v>683</v>
      </c>
      <c r="D3118" s="210" t="s">
        <v>9800</v>
      </c>
      <c r="E3118" s="204">
        <v>1.0</v>
      </c>
      <c r="F3118" s="205">
        <v>0.0</v>
      </c>
      <c r="G3118" s="205">
        <v>0.0</v>
      </c>
    </row>
    <row r="3119" ht="15.75" customHeight="1">
      <c r="A3119" s="200" t="s">
        <v>321</v>
      </c>
      <c r="B3119" s="186" t="s">
        <v>9801</v>
      </c>
      <c r="C3119" s="210" t="s">
        <v>9802</v>
      </c>
      <c r="D3119" s="210"/>
      <c r="E3119" s="204">
        <v>1.0</v>
      </c>
      <c r="F3119" s="205">
        <v>0.0</v>
      </c>
      <c r="G3119" s="205">
        <v>2.0</v>
      </c>
    </row>
    <row r="3120" ht="15.75" customHeight="1">
      <c r="A3120" s="200" t="s">
        <v>321</v>
      </c>
      <c r="B3120" s="186" t="s">
        <v>2266</v>
      </c>
      <c r="C3120" s="210" t="s">
        <v>2267</v>
      </c>
      <c r="D3120" s="210" t="s">
        <v>9803</v>
      </c>
      <c r="E3120" s="204">
        <v>1.0</v>
      </c>
      <c r="F3120" s="205">
        <v>0.0</v>
      </c>
      <c r="G3120" s="205">
        <v>0.0</v>
      </c>
    </row>
    <row r="3121" ht="15.75" customHeight="1">
      <c r="A3121" s="200" t="s">
        <v>321</v>
      </c>
      <c r="B3121" s="186" t="s">
        <v>5105</v>
      </c>
      <c r="C3121" s="210" t="s">
        <v>5106</v>
      </c>
      <c r="D3121" s="210" t="s">
        <v>9804</v>
      </c>
      <c r="E3121" s="204">
        <v>1.0</v>
      </c>
      <c r="F3121" s="205">
        <v>0.0</v>
      </c>
      <c r="G3121" s="205">
        <v>0.0</v>
      </c>
    </row>
    <row r="3122" ht="15.75" customHeight="1">
      <c r="A3122" s="200" t="s">
        <v>321</v>
      </c>
      <c r="B3122" s="186" t="s">
        <v>9805</v>
      </c>
      <c r="C3122" s="210" t="s">
        <v>9806</v>
      </c>
      <c r="D3122" s="210" t="s">
        <v>9807</v>
      </c>
      <c r="E3122" s="204">
        <v>1.0</v>
      </c>
      <c r="F3122" s="205">
        <v>0.0</v>
      </c>
      <c r="G3122" s="205">
        <v>0.0</v>
      </c>
    </row>
    <row r="3123" ht="15.75" customHeight="1">
      <c r="A3123" s="200" t="s">
        <v>321</v>
      </c>
      <c r="B3123" s="186" t="s">
        <v>9808</v>
      </c>
      <c r="C3123" s="210" t="s">
        <v>8936</v>
      </c>
      <c r="D3123" s="210" t="s">
        <v>9809</v>
      </c>
      <c r="E3123" s="204">
        <v>1.0</v>
      </c>
      <c r="F3123" s="205">
        <v>0.0</v>
      </c>
      <c r="G3123" s="205">
        <v>0.0</v>
      </c>
    </row>
    <row r="3124" ht="15.75" customHeight="1">
      <c r="A3124" s="200" t="s">
        <v>321</v>
      </c>
      <c r="B3124" s="186" t="s">
        <v>9810</v>
      </c>
      <c r="C3124" s="210" t="s">
        <v>9811</v>
      </c>
      <c r="D3124" s="210" t="s">
        <v>9812</v>
      </c>
      <c r="E3124" s="204">
        <v>1.0</v>
      </c>
      <c r="F3124" s="205">
        <v>0.0</v>
      </c>
      <c r="G3124" s="205">
        <v>1.0</v>
      </c>
    </row>
    <row r="3125" ht="15.75" customHeight="1">
      <c r="A3125" s="200" t="s">
        <v>321</v>
      </c>
      <c r="B3125" s="186" t="s">
        <v>8534</v>
      </c>
      <c r="C3125" s="210" t="s">
        <v>3750</v>
      </c>
      <c r="D3125" s="210" t="s">
        <v>9813</v>
      </c>
      <c r="E3125" s="204">
        <v>1.0</v>
      </c>
      <c r="F3125" s="205">
        <v>0.0</v>
      </c>
      <c r="G3125" s="205">
        <v>0.0</v>
      </c>
    </row>
    <row r="3126" ht="15.75" customHeight="1">
      <c r="A3126" s="200" t="s">
        <v>321</v>
      </c>
      <c r="B3126" s="186" t="s">
        <v>9814</v>
      </c>
      <c r="C3126" s="210" t="s">
        <v>9815</v>
      </c>
      <c r="D3126" s="210" t="s">
        <v>862</v>
      </c>
      <c r="E3126" s="204">
        <v>1.0</v>
      </c>
      <c r="F3126" s="205">
        <v>0.0</v>
      </c>
      <c r="G3126" s="205">
        <v>1.0</v>
      </c>
    </row>
    <row r="3127" ht="15.75" customHeight="1">
      <c r="A3127" s="200" t="s">
        <v>321</v>
      </c>
      <c r="B3127" s="186" t="s">
        <v>9816</v>
      </c>
      <c r="C3127" s="210" t="s">
        <v>9817</v>
      </c>
      <c r="D3127" s="210" t="s">
        <v>2669</v>
      </c>
      <c r="E3127" s="204">
        <v>1.0</v>
      </c>
      <c r="F3127" s="205">
        <v>0.0</v>
      </c>
      <c r="G3127" s="205">
        <v>1.0</v>
      </c>
    </row>
    <row r="3128" ht="15.75" customHeight="1">
      <c r="A3128" s="200" t="s">
        <v>321</v>
      </c>
      <c r="B3128" s="186" t="s">
        <v>9818</v>
      </c>
      <c r="C3128" s="210" t="s">
        <v>9819</v>
      </c>
      <c r="D3128" s="210"/>
      <c r="E3128" s="204">
        <v>1.0</v>
      </c>
      <c r="F3128" s="205">
        <v>0.0</v>
      </c>
      <c r="G3128" s="205">
        <v>1.0</v>
      </c>
    </row>
    <row r="3129" ht="15.75" customHeight="1">
      <c r="A3129" s="200" t="s">
        <v>321</v>
      </c>
      <c r="B3129" s="186" t="s">
        <v>3163</v>
      </c>
      <c r="C3129" s="210" t="s">
        <v>3166</v>
      </c>
      <c r="D3129" s="210" t="s">
        <v>9820</v>
      </c>
      <c r="E3129" s="204">
        <v>1.0</v>
      </c>
      <c r="F3129" s="205">
        <v>0.0</v>
      </c>
      <c r="G3129" s="205">
        <v>1.0</v>
      </c>
    </row>
    <row r="3130" ht="15.75" customHeight="1">
      <c r="A3130" s="200" t="s">
        <v>321</v>
      </c>
      <c r="B3130" s="186" t="s">
        <v>3986</v>
      </c>
      <c r="C3130" s="210" t="s">
        <v>3987</v>
      </c>
      <c r="D3130" s="210" t="s">
        <v>9821</v>
      </c>
      <c r="E3130" s="204">
        <v>1.0</v>
      </c>
      <c r="F3130" s="205">
        <v>0.0</v>
      </c>
      <c r="G3130" s="205">
        <v>0.0</v>
      </c>
    </row>
    <row r="3131" ht="15.75" customHeight="1">
      <c r="A3131" s="200" t="s">
        <v>321</v>
      </c>
      <c r="B3131" s="186" t="s">
        <v>9822</v>
      </c>
      <c r="C3131" s="210" t="s">
        <v>9823</v>
      </c>
      <c r="D3131" s="210" t="s">
        <v>9824</v>
      </c>
      <c r="E3131" s="204">
        <v>1.0</v>
      </c>
      <c r="F3131" s="205">
        <v>0.0</v>
      </c>
      <c r="G3131" s="205">
        <v>0.0</v>
      </c>
    </row>
    <row r="3132" ht="15.75" customHeight="1">
      <c r="A3132" s="200" t="s">
        <v>321</v>
      </c>
      <c r="B3132" s="186" t="s">
        <v>3168</v>
      </c>
      <c r="C3132" s="210" t="s">
        <v>3171</v>
      </c>
      <c r="D3132" s="210" t="s">
        <v>9825</v>
      </c>
      <c r="E3132" s="204">
        <v>1.0</v>
      </c>
      <c r="F3132" s="205">
        <v>0.0</v>
      </c>
      <c r="G3132" s="205">
        <v>0.0</v>
      </c>
    </row>
    <row r="3133" ht="15.75" customHeight="1">
      <c r="A3133" s="200" t="s">
        <v>321</v>
      </c>
      <c r="B3133" s="186" t="s">
        <v>8551</v>
      </c>
      <c r="C3133" s="210" t="s">
        <v>8552</v>
      </c>
      <c r="D3133" s="210"/>
      <c r="E3133" s="204">
        <v>1.0</v>
      </c>
      <c r="F3133" s="205">
        <v>0.0</v>
      </c>
      <c r="G3133" s="205">
        <v>0.0</v>
      </c>
    </row>
    <row r="3134" ht="15.75" customHeight="1">
      <c r="A3134" s="200" t="s">
        <v>321</v>
      </c>
      <c r="B3134" s="186" t="s">
        <v>9826</v>
      </c>
      <c r="C3134" s="210" t="s">
        <v>3999</v>
      </c>
      <c r="D3134" s="210" t="s">
        <v>9827</v>
      </c>
      <c r="E3134" s="204">
        <v>1.0</v>
      </c>
      <c r="F3134" s="205">
        <v>0.0</v>
      </c>
      <c r="G3134" s="205">
        <v>2.0</v>
      </c>
    </row>
    <row r="3135" ht="15.75" customHeight="1">
      <c r="A3135" s="200" t="s">
        <v>321</v>
      </c>
      <c r="B3135" s="186" t="s">
        <v>9828</v>
      </c>
      <c r="C3135" s="210" t="s">
        <v>9829</v>
      </c>
      <c r="D3135" s="210" t="s">
        <v>8873</v>
      </c>
      <c r="E3135" s="204">
        <v>1.0</v>
      </c>
      <c r="F3135" s="205">
        <v>0.0</v>
      </c>
      <c r="G3135" s="205">
        <v>1.0</v>
      </c>
    </row>
    <row r="3136" ht="15.75" customHeight="1">
      <c r="A3136" s="200" t="s">
        <v>321</v>
      </c>
      <c r="B3136" s="186" t="s">
        <v>5177</v>
      </c>
      <c r="C3136" s="210" t="s">
        <v>5178</v>
      </c>
      <c r="D3136" s="210" t="s">
        <v>9830</v>
      </c>
      <c r="E3136" s="204">
        <v>1.0</v>
      </c>
      <c r="F3136" s="205">
        <v>0.0</v>
      </c>
      <c r="G3136" s="205">
        <v>0.0</v>
      </c>
    </row>
    <row r="3137" ht="15.75" customHeight="1">
      <c r="A3137" s="200" t="s">
        <v>321</v>
      </c>
      <c r="B3137" s="186" t="s">
        <v>9831</v>
      </c>
      <c r="C3137" s="210" t="s">
        <v>9832</v>
      </c>
      <c r="D3137" s="210" t="s">
        <v>1252</v>
      </c>
      <c r="E3137" s="204">
        <v>1.0</v>
      </c>
      <c r="F3137" s="205">
        <v>0.0</v>
      </c>
      <c r="G3137" s="205">
        <v>1.0</v>
      </c>
    </row>
    <row r="3138" ht="15.75" customHeight="1">
      <c r="A3138" s="200" t="s">
        <v>321</v>
      </c>
      <c r="B3138" s="186" t="s">
        <v>9833</v>
      </c>
      <c r="C3138" s="210" t="s">
        <v>9834</v>
      </c>
      <c r="D3138" s="210" t="s">
        <v>9835</v>
      </c>
      <c r="E3138" s="204">
        <v>1.0</v>
      </c>
      <c r="F3138" s="205">
        <v>0.0</v>
      </c>
      <c r="G3138" s="205">
        <v>0.0</v>
      </c>
    </row>
    <row r="3139" ht="15.75" customHeight="1">
      <c r="A3139" s="200" t="s">
        <v>321</v>
      </c>
      <c r="B3139" s="186" t="s">
        <v>2712</v>
      </c>
      <c r="C3139" s="210" t="s">
        <v>2713</v>
      </c>
      <c r="D3139" s="210" t="s">
        <v>2716</v>
      </c>
      <c r="E3139" s="204">
        <v>1.0</v>
      </c>
      <c r="F3139" s="205">
        <v>0.0</v>
      </c>
      <c r="G3139" s="205">
        <v>1.0</v>
      </c>
    </row>
    <row r="3140" ht="15.75" customHeight="1">
      <c r="A3140" s="200" t="s">
        <v>321</v>
      </c>
      <c r="B3140" s="186" t="s">
        <v>7994</v>
      </c>
      <c r="C3140" s="210" t="s">
        <v>7995</v>
      </c>
      <c r="D3140" s="210" t="s">
        <v>7997</v>
      </c>
      <c r="E3140" s="204">
        <v>1.0</v>
      </c>
      <c r="F3140" s="205">
        <v>0.0</v>
      </c>
      <c r="G3140" s="205">
        <v>2.0</v>
      </c>
    </row>
    <row r="3141" ht="15.75" customHeight="1">
      <c r="A3141" s="200" t="s">
        <v>321</v>
      </c>
      <c r="B3141" s="186" t="s">
        <v>8001</v>
      </c>
      <c r="C3141" s="210" t="s">
        <v>8005</v>
      </c>
      <c r="D3141" s="210" t="s">
        <v>8007</v>
      </c>
      <c r="E3141" s="204">
        <v>1.0</v>
      </c>
      <c r="F3141" s="205">
        <v>0.0</v>
      </c>
      <c r="G3141" s="205">
        <v>2.0</v>
      </c>
    </row>
    <row r="3142" ht="15.75" customHeight="1">
      <c r="A3142" s="200" t="s">
        <v>321</v>
      </c>
      <c r="B3142" s="186" t="s">
        <v>8008</v>
      </c>
      <c r="C3142" s="210" t="s">
        <v>8009</v>
      </c>
      <c r="D3142" s="210" t="s">
        <v>2242</v>
      </c>
      <c r="E3142" s="204">
        <v>1.0</v>
      </c>
      <c r="F3142" s="205">
        <v>0.0</v>
      </c>
      <c r="G3142" s="205">
        <v>1.0</v>
      </c>
    </row>
    <row r="3143" ht="15.75" customHeight="1">
      <c r="A3143" s="200" t="s">
        <v>321</v>
      </c>
      <c r="B3143" s="186" t="s">
        <v>8018</v>
      </c>
      <c r="C3143" s="210" t="s">
        <v>8022</v>
      </c>
      <c r="D3143" s="210" t="s">
        <v>1029</v>
      </c>
      <c r="E3143" s="204">
        <v>1.0</v>
      </c>
      <c r="F3143" s="205">
        <v>0.0</v>
      </c>
      <c r="G3143" s="205">
        <v>2.0</v>
      </c>
    </row>
    <row r="3144" ht="15.75" customHeight="1">
      <c r="A3144" s="200" t="s">
        <v>321</v>
      </c>
      <c r="B3144" s="186" t="s">
        <v>7941</v>
      </c>
      <c r="C3144" s="210" t="s">
        <v>3296</v>
      </c>
      <c r="D3144" s="210" t="s">
        <v>8025</v>
      </c>
      <c r="E3144" s="204">
        <v>1.0</v>
      </c>
      <c r="F3144" s="205">
        <v>0.0</v>
      </c>
      <c r="G3144" s="205">
        <v>1.0</v>
      </c>
    </row>
    <row r="3145" ht="15.75" customHeight="1">
      <c r="A3145" s="200" t="s">
        <v>321</v>
      </c>
      <c r="B3145" s="186" t="s">
        <v>8028</v>
      </c>
      <c r="C3145" s="210" t="s">
        <v>8031</v>
      </c>
      <c r="D3145" s="210" t="s">
        <v>8032</v>
      </c>
      <c r="E3145" s="204">
        <v>1.0</v>
      </c>
      <c r="F3145" s="205">
        <v>0.0</v>
      </c>
      <c r="G3145" s="205">
        <v>1.0</v>
      </c>
    </row>
    <row r="3146" ht="15.75" customHeight="1">
      <c r="A3146" s="200" t="s">
        <v>321</v>
      </c>
      <c r="B3146" s="186" t="s">
        <v>9836</v>
      </c>
      <c r="C3146" s="210" t="s">
        <v>9837</v>
      </c>
      <c r="D3146" s="210" t="s">
        <v>9838</v>
      </c>
      <c r="E3146" s="204">
        <v>1.0</v>
      </c>
      <c r="F3146" s="205">
        <v>0.0</v>
      </c>
      <c r="G3146" s="205">
        <v>0.0</v>
      </c>
    </row>
    <row r="3147" ht="15.75" customHeight="1">
      <c r="A3147" s="200" t="s">
        <v>321</v>
      </c>
      <c r="B3147" s="186" t="s">
        <v>9839</v>
      </c>
      <c r="C3147" s="210" t="s">
        <v>9840</v>
      </c>
      <c r="D3147" s="210" t="s">
        <v>9841</v>
      </c>
      <c r="E3147" s="204">
        <v>1.0</v>
      </c>
      <c r="F3147" s="205">
        <v>0.0</v>
      </c>
      <c r="G3147" s="205">
        <v>1.0</v>
      </c>
    </row>
    <row r="3148" ht="15.75" customHeight="1">
      <c r="A3148" s="200" t="s">
        <v>321</v>
      </c>
      <c r="B3148" s="186" t="s">
        <v>2510</v>
      </c>
      <c r="C3148" s="210" t="s">
        <v>2511</v>
      </c>
      <c r="D3148" s="210" t="s">
        <v>2348</v>
      </c>
      <c r="E3148" s="204">
        <v>1.0</v>
      </c>
      <c r="F3148" s="205">
        <v>0.0</v>
      </c>
      <c r="G3148" s="205">
        <v>0.0</v>
      </c>
    </row>
    <row r="3149" ht="15.75" customHeight="1">
      <c r="A3149" s="200" t="s">
        <v>321</v>
      </c>
      <c r="B3149" s="186" t="s">
        <v>9842</v>
      </c>
      <c r="C3149" s="210" t="s">
        <v>9843</v>
      </c>
      <c r="D3149" s="210" t="s">
        <v>9844</v>
      </c>
      <c r="E3149" s="204">
        <v>1.0</v>
      </c>
      <c r="F3149" s="205">
        <v>0.0</v>
      </c>
      <c r="G3149" s="205">
        <v>1.0</v>
      </c>
    </row>
    <row r="3150" ht="15.75" customHeight="1">
      <c r="A3150" s="200" t="s">
        <v>321</v>
      </c>
      <c r="B3150" s="186" t="s">
        <v>9845</v>
      </c>
      <c r="C3150" s="210" t="s">
        <v>9846</v>
      </c>
      <c r="D3150" s="210"/>
      <c r="E3150" s="204">
        <v>1.0</v>
      </c>
      <c r="F3150" s="205">
        <v>0.0</v>
      </c>
      <c r="G3150" s="205">
        <v>0.0</v>
      </c>
    </row>
    <row r="3151" ht="15.75" customHeight="1">
      <c r="A3151" s="200" t="s">
        <v>321</v>
      </c>
      <c r="B3151" s="186" t="s">
        <v>9847</v>
      </c>
      <c r="C3151" s="210" t="s">
        <v>9848</v>
      </c>
      <c r="D3151" s="210" t="s">
        <v>9849</v>
      </c>
      <c r="E3151" s="204">
        <v>1.0</v>
      </c>
      <c r="F3151" s="205">
        <v>0.0</v>
      </c>
      <c r="G3151" s="205">
        <v>1.0</v>
      </c>
    </row>
    <row r="3152" ht="15.75" customHeight="1">
      <c r="A3152" s="200" t="s">
        <v>321</v>
      </c>
      <c r="B3152" s="186" t="s">
        <v>9850</v>
      </c>
      <c r="C3152" s="210" t="s">
        <v>9851</v>
      </c>
      <c r="D3152" s="210"/>
      <c r="E3152" s="204">
        <v>1.0</v>
      </c>
      <c r="F3152" s="205">
        <v>0.0</v>
      </c>
      <c r="G3152" s="205">
        <v>2.0</v>
      </c>
    </row>
    <row r="3153" ht="15.75" customHeight="1">
      <c r="A3153" s="200" t="s">
        <v>321</v>
      </c>
      <c r="B3153" s="186" t="s">
        <v>3767</v>
      </c>
      <c r="C3153" s="210" t="s">
        <v>3768</v>
      </c>
      <c r="D3153" s="210" t="s">
        <v>380</v>
      </c>
      <c r="E3153" s="204">
        <v>1.0</v>
      </c>
      <c r="F3153" s="205">
        <v>0.0</v>
      </c>
      <c r="G3153" s="205">
        <v>0.0</v>
      </c>
    </row>
    <row r="3154" ht="15.75" customHeight="1">
      <c r="A3154" s="200" t="s">
        <v>321</v>
      </c>
      <c r="B3154" s="186" t="s">
        <v>642</v>
      </c>
      <c r="C3154" s="210" t="s">
        <v>643</v>
      </c>
      <c r="D3154" s="210" t="s">
        <v>9852</v>
      </c>
      <c r="E3154" s="204">
        <v>1.0</v>
      </c>
      <c r="F3154" s="205">
        <v>0.0</v>
      </c>
      <c r="G3154" s="205">
        <v>4.0</v>
      </c>
    </row>
    <row r="3155" ht="15.75" customHeight="1">
      <c r="A3155" s="200" t="s">
        <v>321</v>
      </c>
      <c r="B3155" s="186" t="s">
        <v>9853</v>
      </c>
      <c r="C3155" s="210" t="s">
        <v>9854</v>
      </c>
      <c r="D3155" s="210"/>
      <c r="E3155" s="204">
        <v>1.0</v>
      </c>
      <c r="F3155" s="205">
        <v>0.0</v>
      </c>
      <c r="G3155" s="205">
        <v>1.0</v>
      </c>
    </row>
    <row r="3156" ht="15.75" customHeight="1">
      <c r="A3156" s="200" t="s">
        <v>321</v>
      </c>
      <c r="B3156" s="186" t="s">
        <v>2717</v>
      </c>
      <c r="C3156" s="210" t="s">
        <v>2718</v>
      </c>
      <c r="D3156" s="210" t="s">
        <v>2719</v>
      </c>
      <c r="E3156" s="204">
        <v>1.0</v>
      </c>
      <c r="F3156" s="205">
        <v>0.0</v>
      </c>
      <c r="G3156" s="205">
        <v>1.0</v>
      </c>
    </row>
    <row r="3157" ht="15.75" customHeight="1">
      <c r="A3157" s="200" t="s">
        <v>321</v>
      </c>
      <c r="B3157" s="186" t="s">
        <v>318</v>
      </c>
      <c r="C3157" s="210" t="s">
        <v>319</v>
      </c>
      <c r="D3157" s="210" t="s">
        <v>320</v>
      </c>
      <c r="E3157" s="204">
        <v>1.0</v>
      </c>
      <c r="F3157" s="205">
        <v>0.0</v>
      </c>
      <c r="G3157" s="205">
        <v>1.0</v>
      </c>
    </row>
    <row r="3158" ht="15.75" customHeight="1">
      <c r="A3158" s="200" t="s">
        <v>321</v>
      </c>
      <c r="B3158" s="186" t="s">
        <v>2723</v>
      </c>
      <c r="C3158" s="210" t="s">
        <v>2724</v>
      </c>
      <c r="D3158" s="210" t="s">
        <v>2725</v>
      </c>
      <c r="E3158" s="204">
        <v>1.0</v>
      </c>
      <c r="F3158" s="205">
        <v>0.0</v>
      </c>
      <c r="G3158" s="205">
        <v>2.0</v>
      </c>
    </row>
    <row r="3159" ht="15.75" customHeight="1">
      <c r="A3159" s="200" t="s">
        <v>321</v>
      </c>
      <c r="B3159" s="186" t="s">
        <v>9855</v>
      </c>
      <c r="C3159" s="210" t="s">
        <v>9856</v>
      </c>
      <c r="D3159" s="210" t="s">
        <v>9857</v>
      </c>
      <c r="E3159" s="204">
        <v>1.0</v>
      </c>
      <c r="F3159" s="205">
        <v>0.0</v>
      </c>
      <c r="G3159" s="205">
        <v>0.0</v>
      </c>
    </row>
    <row r="3160" ht="15.75" customHeight="1">
      <c r="A3160" s="200" t="s">
        <v>321</v>
      </c>
      <c r="B3160" s="186" t="s">
        <v>7561</v>
      </c>
      <c r="C3160" s="210" t="s">
        <v>7562</v>
      </c>
      <c r="D3160" s="210" t="s">
        <v>9858</v>
      </c>
      <c r="E3160" s="204">
        <v>1.0</v>
      </c>
      <c r="F3160" s="205">
        <v>0.0</v>
      </c>
      <c r="G3160" s="205">
        <v>0.0</v>
      </c>
    </row>
    <row r="3161" ht="15.75" customHeight="1">
      <c r="A3161" s="200" t="s">
        <v>321</v>
      </c>
      <c r="B3161" s="186" t="s">
        <v>2726</v>
      </c>
      <c r="C3161" s="210" t="s">
        <v>2727</v>
      </c>
      <c r="D3161" s="210" t="s">
        <v>2728</v>
      </c>
      <c r="E3161" s="204">
        <v>1.0</v>
      </c>
      <c r="F3161" s="205">
        <v>0.0</v>
      </c>
      <c r="G3161" s="205">
        <v>0.0</v>
      </c>
    </row>
    <row r="3162" ht="15.75" customHeight="1">
      <c r="A3162" s="200" t="s">
        <v>321</v>
      </c>
      <c r="B3162" s="186" t="s">
        <v>875</v>
      </c>
      <c r="C3162" s="210" t="s">
        <v>876</v>
      </c>
      <c r="D3162" s="210" t="s">
        <v>2729</v>
      </c>
      <c r="E3162" s="204">
        <v>1.0</v>
      </c>
      <c r="F3162" s="205">
        <v>0.0</v>
      </c>
      <c r="G3162" s="205">
        <v>0.0</v>
      </c>
    </row>
    <row r="3163" ht="15.75" customHeight="1">
      <c r="A3163" s="200" t="s">
        <v>321</v>
      </c>
      <c r="B3163" s="186" t="s">
        <v>9859</v>
      </c>
      <c r="C3163" s="210" t="s">
        <v>9860</v>
      </c>
      <c r="D3163" s="210" t="s">
        <v>2348</v>
      </c>
      <c r="E3163" s="204">
        <v>1.0</v>
      </c>
      <c r="F3163" s="205">
        <v>0.0</v>
      </c>
      <c r="G3163" s="205">
        <v>0.0</v>
      </c>
    </row>
    <row r="3164" ht="15.75" customHeight="1">
      <c r="A3164" s="200" t="s">
        <v>321</v>
      </c>
      <c r="B3164" s="186" t="s">
        <v>9861</v>
      </c>
      <c r="C3164" s="210" t="s">
        <v>9862</v>
      </c>
      <c r="D3164" s="210" t="s">
        <v>9863</v>
      </c>
      <c r="E3164" s="204">
        <v>1.0</v>
      </c>
      <c r="F3164" s="205">
        <v>0.0</v>
      </c>
      <c r="G3164" s="205">
        <v>0.0</v>
      </c>
    </row>
    <row r="3165" ht="15.75" customHeight="1">
      <c r="A3165" s="200" t="s">
        <v>321</v>
      </c>
      <c r="B3165" s="186" t="s">
        <v>9864</v>
      </c>
      <c r="C3165" s="210" t="s">
        <v>9865</v>
      </c>
      <c r="D3165" s="210" t="s">
        <v>2370</v>
      </c>
      <c r="E3165" s="204">
        <v>1.0</v>
      </c>
      <c r="F3165" s="205">
        <v>0.0</v>
      </c>
      <c r="G3165" s="205">
        <v>0.0</v>
      </c>
    </row>
    <row r="3166" ht="15.75" customHeight="1">
      <c r="A3166" s="200" t="s">
        <v>321</v>
      </c>
      <c r="B3166" s="186" t="s">
        <v>9866</v>
      </c>
      <c r="C3166" s="210" t="s">
        <v>9867</v>
      </c>
      <c r="D3166" s="210" t="s">
        <v>9868</v>
      </c>
      <c r="E3166" s="204">
        <v>1.0</v>
      </c>
      <c r="F3166" s="205">
        <v>0.0</v>
      </c>
      <c r="G3166" s="205">
        <v>0.0</v>
      </c>
    </row>
    <row r="3167" ht="15.75" customHeight="1">
      <c r="A3167" s="200" t="s">
        <v>321</v>
      </c>
      <c r="B3167" s="186" t="s">
        <v>9869</v>
      </c>
      <c r="C3167" s="210" t="s">
        <v>9870</v>
      </c>
      <c r="D3167" s="210" t="s">
        <v>9871</v>
      </c>
      <c r="E3167" s="204">
        <v>1.0</v>
      </c>
      <c r="F3167" s="205">
        <v>0.0</v>
      </c>
      <c r="G3167" s="205">
        <v>0.0</v>
      </c>
    </row>
    <row r="3168" ht="15.75" customHeight="1">
      <c r="A3168" s="200" t="s">
        <v>321</v>
      </c>
      <c r="B3168" s="186" t="s">
        <v>9872</v>
      </c>
      <c r="C3168" s="210" t="s">
        <v>9873</v>
      </c>
      <c r="D3168" s="210"/>
      <c r="E3168" s="204">
        <v>1.0</v>
      </c>
      <c r="F3168" s="205">
        <v>0.0</v>
      </c>
      <c r="G3168" s="205">
        <v>1.0</v>
      </c>
    </row>
    <row r="3169" ht="15.75" customHeight="1">
      <c r="A3169" s="200" t="s">
        <v>321</v>
      </c>
      <c r="B3169" s="186" t="s">
        <v>9874</v>
      </c>
      <c r="C3169" s="210" t="s">
        <v>9875</v>
      </c>
      <c r="D3169" s="210" t="s">
        <v>9876</v>
      </c>
      <c r="E3169" s="204">
        <v>1.0</v>
      </c>
      <c r="F3169" s="205">
        <v>0.0</v>
      </c>
      <c r="G3169" s="205">
        <v>0.0</v>
      </c>
    </row>
    <row r="3170" ht="15.75" customHeight="1">
      <c r="A3170" s="200" t="s">
        <v>321</v>
      </c>
      <c r="B3170" s="186" t="s">
        <v>9877</v>
      </c>
      <c r="C3170" s="210" t="s">
        <v>9878</v>
      </c>
      <c r="D3170" s="210" t="s">
        <v>9879</v>
      </c>
      <c r="E3170" s="204">
        <v>1.0</v>
      </c>
      <c r="F3170" s="205">
        <v>0.0</v>
      </c>
      <c r="G3170" s="205">
        <v>1.0</v>
      </c>
    </row>
    <row r="3171" ht="15.75" customHeight="1">
      <c r="A3171" s="200" t="s">
        <v>321</v>
      </c>
      <c r="B3171" s="186" t="s">
        <v>9880</v>
      </c>
      <c r="C3171" s="210" t="s">
        <v>9881</v>
      </c>
      <c r="D3171" s="210" t="s">
        <v>9882</v>
      </c>
      <c r="E3171" s="204">
        <v>1.0</v>
      </c>
      <c r="F3171" s="205">
        <v>0.0</v>
      </c>
      <c r="G3171" s="205">
        <v>0.0</v>
      </c>
    </row>
    <row r="3172" ht="15.75" customHeight="1">
      <c r="A3172" s="200" t="s">
        <v>321</v>
      </c>
      <c r="B3172" s="186" t="s">
        <v>9883</v>
      </c>
      <c r="C3172" s="210" t="s">
        <v>9884</v>
      </c>
      <c r="D3172" s="210" t="s">
        <v>4119</v>
      </c>
      <c r="E3172" s="204">
        <v>1.0</v>
      </c>
      <c r="F3172" s="205">
        <v>0.0</v>
      </c>
      <c r="G3172" s="205">
        <v>1.0</v>
      </c>
    </row>
    <row r="3173" ht="15.75" customHeight="1">
      <c r="A3173" s="200" t="s">
        <v>321</v>
      </c>
      <c r="B3173" s="186" t="s">
        <v>9885</v>
      </c>
      <c r="C3173" s="210" t="s">
        <v>9886</v>
      </c>
      <c r="D3173" s="210" t="s">
        <v>4119</v>
      </c>
      <c r="E3173" s="204">
        <v>1.0</v>
      </c>
      <c r="F3173" s="205">
        <v>0.0</v>
      </c>
      <c r="G3173" s="205">
        <v>0.0</v>
      </c>
    </row>
    <row r="3174" ht="15.75" customHeight="1">
      <c r="A3174" s="200" t="s">
        <v>321</v>
      </c>
      <c r="B3174" s="186" t="s">
        <v>9887</v>
      </c>
      <c r="C3174" s="210" t="s">
        <v>9888</v>
      </c>
      <c r="D3174" s="210" t="s">
        <v>9889</v>
      </c>
      <c r="E3174" s="204">
        <v>1.0</v>
      </c>
      <c r="F3174" s="205">
        <v>0.0</v>
      </c>
      <c r="G3174" s="205">
        <v>5.0</v>
      </c>
    </row>
    <row r="3175" ht="15.75" customHeight="1">
      <c r="A3175" s="200" t="s">
        <v>321</v>
      </c>
      <c r="B3175" s="186" t="s">
        <v>9890</v>
      </c>
      <c r="C3175" s="210" t="s">
        <v>9891</v>
      </c>
      <c r="D3175" s="210" t="s">
        <v>9892</v>
      </c>
      <c r="E3175" s="204">
        <v>1.0</v>
      </c>
      <c r="F3175" s="205">
        <v>0.0</v>
      </c>
      <c r="G3175" s="205">
        <v>1.0</v>
      </c>
    </row>
    <row r="3176" ht="15.75" customHeight="1">
      <c r="A3176" s="200" t="s">
        <v>321</v>
      </c>
      <c r="B3176" s="186" t="s">
        <v>9893</v>
      </c>
      <c r="C3176" s="210" t="s">
        <v>9894</v>
      </c>
      <c r="D3176" s="210" t="s">
        <v>9895</v>
      </c>
      <c r="E3176" s="204">
        <v>1.0</v>
      </c>
      <c r="F3176" s="205">
        <v>0.0</v>
      </c>
      <c r="G3176" s="205">
        <v>0.0</v>
      </c>
    </row>
    <row r="3177" ht="15.75" customHeight="1">
      <c r="A3177" s="200" t="s">
        <v>321</v>
      </c>
      <c r="B3177" s="186" t="s">
        <v>9896</v>
      </c>
      <c r="C3177" s="210" t="s">
        <v>9897</v>
      </c>
      <c r="D3177" s="210" t="s">
        <v>9898</v>
      </c>
      <c r="E3177" s="204">
        <v>1.0</v>
      </c>
      <c r="F3177" s="205">
        <v>0.0</v>
      </c>
      <c r="G3177" s="205">
        <v>1.0</v>
      </c>
    </row>
    <row r="3178" ht="15.75" customHeight="1">
      <c r="A3178" s="200" t="s">
        <v>321</v>
      </c>
      <c r="B3178" s="186" t="s">
        <v>9899</v>
      </c>
      <c r="C3178" s="210" t="s">
        <v>9900</v>
      </c>
      <c r="D3178" s="210" t="s">
        <v>9901</v>
      </c>
      <c r="E3178" s="204">
        <v>1.0</v>
      </c>
      <c r="F3178" s="205">
        <v>0.0</v>
      </c>
      <c r="G3178" s="205">
        <v>0.0</v>
      </c>
    </row>
    <row r="3179" ht="15.75" customHeight="1">
      <c r="A3179" s="200" t="s">
        <v>321</v>
      </c>
      <c r="B3179" s="186" t="s">
        <v>9902</v>
      </c>
      <c r="C3179" s="210" t="s">
        <v>9903</v>
      </c>
      <c r="D3179" s="210" t="s">
        <v>9904</v>
      </c>
      <c r="E3179" s="204">
        <v>1.0</v>
      </c>
      <c r="F3179" s="205">
        <v>0.0</v>
      </c>
      <c r="G3179" s="205">
        <v>1.0</v>
      </c>
    </row>
    <row r="3180" ht="15.75" customHeight="1">
      <c r="A3180" s="200" t="s">
        <v>321</v>
      </c>
      <c r="B3180" s="186" t="s">
        <v>9905</v>
      </c>
      <c r="C3180" s="210" t="s">
        <v>9906</v>
      </c>
      <c r="D3180" s="210" t="s">
        <v>9907</v>
      </c>
      <c r="E3180" s="204">
        <v>1.0</v>
      </c>
      <c r="F3180" s="205">
        <v>0.0</v>
      </c>
      <c r="G3180" s="205">
        <v>1.0</v>
      </c>
    </row>
    <row r="3181" ht="15.75" customHeight="1">
      <c r="A3181" s="200" t="s">
        <v>321</v>
      </c>
      <c r="B3181" s="186" t="s">
        <v>9908</v>
      </c>
      <c r="C3181" s="210" t="s">
        <v>9909</v>
      </c>
      <c r="D3181" s="210" t="s">
        <v>9910</v>
      </c>
      <c r="E3181" s="204">
        <v>1.0</v>
      </c>
      <c r="F3181" s="205">
        <v>0.0</v>
      </c>
      <c r="G3181" s="205">
        <v>0.0</v>
      </c>
    </row>
    <row r="3182" ht="15.75" customHeight="1">
      <c r="A3182" s="200" t="s">
        <v>321</v>
      </c>
      <c r="B3182" s="186" t="s">
        <v>8639</v>
      </c>
      <c r="C3182" s="210" t="s">
        <v>8640</v>
      </c>
      <c r="D3182" s="210"/>
      <c r="E3182" s="204">
        <v>1.0</v>
      </c>
      <c r="F3182" s="205">
        <v>0.0</v>
      </c>
      <c r="G3182" s="205">
        <v>0.0</v>
      </c>
    </row>
    <row r="3183" ht="15.75" customHeight="1">
      <c r="A3183" s="200" t="s">
        <v>321</v>
      </c>
      <c r="B3183" s="186" t="s">
        <v>9911</v>
      </c>
      <c r="C3183" s="210" t="s">
        <v>9912</v>
      </c>
      <c r="D3183" s="210" t="s">
        <v>4336</v>
      </c>
      <c r="E3183" s="204">
        <v>1.0</v>
      </c>
      <c r="F3183" s="205">
        <v>0.0</v>
      </c>
      <c r="G3183" s="205">
        <v>0.0</v>
      </c>
    </row>
    <row r="3184" ht="15.75" customHeight="1">
      <c r="A3184" s="200" t="s">
        <v>321</v>
      </c>
      <c r="B3184" s="186" t="s">
        <v>9913</v>
      </c>
      <c r="C3184" s="210" t="s">
        <v>9914</v>
      </c>
      <c r="D3184" s="210" t="s">
        <v>1087</v>
      </c>
      <c r="E3184" s="204">
        <v>1.0</v>
      </c>
      <c r="F3184" s="205">
        <v>0.0</v>
      </c>
      <c r="G3184" s="205">
        <v>2.0</v>
      </c>
    </row>
    <row r="3185" ht="15.75" customHeight="1">
      <c r="A3185" s="200" t="s">
        <v>321</v>
      </c>
      <c r="B3185" s="186" t="s">
        <v>2730</v>
      </c>
      <c r="C3185" s="210" t="s">
        <v>2731</v>
      </c>
      <c r="D3185" s="210" t="s">
        <v>2732</v>
      </c>
      <c r="E3185" s="204">
        <v>1.0</v>
      </c>
      <c r="F3185" s="205">
        <v>0.0</v>
      </c>
      <c r="G3185" s="205">
        <v>2.0</v>
      </c>
    </row>
    <row r="3186" ht="15.75" customHeight="1">
      <c r="A3186" s="200" t="s">
        <v>321</v>
      </c>
      <c r="B3186" s="186" t="s">
        <v>9915</v>
      </c>
      <c r="C3186" s="210" t="s">
        <v>9916</v>
      </c>
      <c r="D3186" s="210" t="s">
        <v>9917</v>
      </c>
      <c r="E3186" s="204">
        <v>1.0</v>
      </c>
      <c r="F3186" s="205">
        <v>0.0</v>
      </c>
      <c r="G3186" s="205">
        <v>1.0</v>
      </c>
    </row>
    <row r="3187" ht="15.75" customHeight="1">
      <c r="A3187" s="200" t="s">
        <v>321</v>
      </c>
      <c r="B3187" s="186" t="s">
        <v>9918</v>
      </c>
      <c r="C3187" s="210" t="s">
        <v>9919</v>
      </c>
      <c r="D3187" s="210" t="s">
        <v>9920</v>
      </c>
      <c r="E3187" s="204">
        <v>1.0</v>
      </c>
      <c r="F3187" s="205">
        <v>0.0</v>
      </c>
      <c r="G3187" s="205">
        <v>0.0</v>
      </c>
    </row>
    <row r="3188" ht="15.75" customHeight="1">
      <c r="A3188" s="200" t="s">
        <v>321</v>
      </c>
      <c r="B3188" s="186" t="s">
        <v>902</v>
      </c>
      <c r="C3188" s="210" t="s">
        <v>903</v>
      </c>
      <c r="D3188" s="210" t="s">
        <v>2733</v>
      </c>
      <c r="E3188" s="204">
        <v>1.0</v>
      </c>
      <c r="F3188" s="205">
        <v>0.0</v>
      </c>
      <c r="G3188" s="205">
        <v>1.0</v>
      </c>
    </row>
    <row r="3189" ht="15.75" customHeight="1">
      <c r="A3189" s="200" t="s">
        <v>321</v>
      </c>
      <c r="B3189" s="186" t="s">
        <v>2735</v>
      </c>
      <c r="C3189" s="210" t="s">
        <v>2736</v>
      </c>
      <c r="D3189" s="210" t="s">
        <v>2737</v>
      </c>
      <c r="E3189" s="204">
        <v>1.0</v>
      </c>
      <c r="F3189" s="205">
        <v>0.0</v>
      </c>
      <c r="G3189" s="205">
        <v>1.0</v>
      </c>
    </row>
    <row r="3190" ht="15.75" customHeight="1">
      <c r="A3190" s="200" t="s">
        <v>321</v>
      </c>
      <c r="B3190" s="186" t="s">
        <v>9921</v>
      </c>
      <c r="C3190" s="210" t="s">
        <v>9922</v>
      </c>
      <c r="D3190" s="210" t="s">
        <v>2242</v>
      </c>
      <c r="E3190" s="204">
        <v>1.0</v>
      </c>
      <c r="F3190" s="205">
        <v>0.0</v>
      </c>
      <c r="G3190" s="205">
        <v>0.0</v>
      </c>
    </row>
    <row r="3191" ht="15.75" customHeight="1">
      <c r="A3191" s="200" t="s">
        <v>321</v>
      </c>
      <c r="B3191" s="186" t="s">
        <v>4022</v>
      </c>
      <c r="C3191" s="210" t="s">
        <v>4023</v>
      </c>
      <c r="D3191" s="210" t="s">
        <v>9803</v>
      </c>
      <c r="E3191" s="204">
        <v>1.0</v>
      </c>
      <c r="F3191" s="205">
        <v>0.0</v>
      </c>
      <c r="G3191" s="205">
        <v>0.0</v>
      </c>
    </row>
    <row r="3192" ht="15.75" customHeight="1">
      <c r="A3192" s="200" t="s">
        <v>321</v>
      </c>
      <c r="B3192" s="186" t="s">
        <v>9923</v>
      </c>
      <c r="C3192" s="210" t="s">
        <v>9924</v>
      </c>
      <c r="D3192" s="210"/>
      <c r="E3192" s="204">
        <v>1.0</v>
      </c>
      <c r="F3192" s="205">
        <v>0.0</v>
      </c>
      <c r="G3192" s="205">
        <v>0.0</v>
      </c>
    </row>
    <row r="3193" ht="15.75" customHeight="1">
      <c r="A3193" s="200" t="s">
        <v>321</v>
      </c>
      <c r="B3193" s="186" t="s">
        <v>9925</v>
      </c>
      <c r="C3193" s="210" t="s">
        <v>9926</v>
      </c>
      <c r="D3193" s="210" t="s">
        <v>9927</v>
      </c>
      <c r="E3193" s="204">
        <v>1.0</v>
      </c>
      <c r="F3193" s="205">
        <v>0.0</v>
      </c>
      <c r="G3193" s="205">
        <v>0.0</v>
      </c>
    </row>
    <row r="3194" ht="15.75" customHeight="1">
      <c r="A3194" s="200" t="s">
        <v>321</v>
      </c>
      <c r="B3194" s="186" t="s">
        <v>9928</v>
      </c>
      <c r="C3194" s="210" t="s">
        <v>9929</v>
      </c>
      <c r="D3194" s="210"/>
      <c r="E3194" s="204">
        <v>1.0</v>
      </c>
      <c r="F3194" s="205">
        <v>0.0</v>
      </c>
      <c r="G3194" s="205">
        <v>1.0</v>
      </c>
    </row>
    <row r="3195" ht="15.75" customHeight="1">
      <c r="A3195" s="200" t="s">
        <v>321</v>
      </c>
      <c r="B3195" s="186" t="s">
        <v>9930</v>
      </c>
      <c r="C3195" s="210" t="s">
        <v>9931</v>
      </c>
      <c r="D3195" s="210" t="s">
        <v>8478</v>
      </c>
      <c r="E3195" s="204">
        <v>1.0</v>
      </c>
      <c r="F3195" s="205">
        <v>0.0</v>
      </c>
      <c r="G3195" s="205">
        <v>1.0</v>
      </c>
    </row>
    <row r="3196" ht="15.75" customHeight="1">
      <c r="A3196" s="200" t="s">
        <v>321</v>
      </c>
      <c r="B3196" s="186" t="s">
        <v>9932</v>
      </c>
      <c r="C3196" s="210" t="s">
        <v>9933</v>
      </c>
      <c r="D3196" s="210" t="s">
        <v>1029</v>
      </c>
      <c r="E3196" s="204">
        <v>1.0</v>
      </c>
      <c r="F3196" s="205">
        <v>0.0</v>
      </c>
      <c r="G3196" s="205">
        <v>1.0</v>
      </c>
    </row>
    <row r="3197" ht="15.75" customHeight="1">
      <c r="A3197" s="200" t="s">
        <v>321</v>
      </c>
      <c r="B3197" s="186" t="s">
        <v>3310</v>
      </c>
      <c r="C3197" s="210" t="s">
        <v>3312</v>
      </c>
      <c r="D3197" s="210" t="s">
        <v>8553</v>
      </c>
      <c r="E3197" s="204">
        <v>1.0</v>
      </c>
      <c r="F3197" s="205">
        <v>0.0</v>
      </c>
      <c r="G3197" s="205">
        <v>0.0</v>
      </c>
    </row>
    <row r="3198" ht="15.75" customHeight="1">
      <c r="A3198" s="200" t="s">
        <v>321</v>
      </c>
      <c r="B3198" s="186" t="s">
        <v>9934</v>
      </c>
      <c r="C3198" s="210" t="s">
        <v>9935</v>
      </c>
      <c r="D3198" s="210"/>
      <c r="E3198" s="204">
        <v>1.0</v>
      </c>
      <c r="F3198" s="205">
        <v>0.0</v>
      </c>
      <c r="G3198" s="205">
        <v>1.0</v>
      </c>
    </row>
    <row r="3199" ht="15.75" customHeight="1">
      <c r="A3199" s="200" t="s">
        <v>321</v>
      </c>
      <c r="B3199" s="186" t="s">
        <v>9936</v>
      </c>
      <c r="C3199" s="210" t="s">
        <v>9937</v>
      </c>
      <c r="D3199" s="210" t="s">
        <v>6190</v>
      </c>
      <c r="E3199" s="204">
        <v>1.0</v>
      </c>
      <c r="F3199" s="205">
        <v>0.0</v>
      </c>
      <c r="G3199" s="205">
        <v>1.0</v>
      </c>
    </row>
    <row r="3200" ht="15.75" customHeight="1">
      <c r="A3200" s="200" t="s">
        <v>321</v>
      </c>
      <c r="B3200" s="186" t="s">
        <v>9938</v>
      </c>
      <c r="C3200" s="210" t="s">
        <v>9939</v>
      </c>
      <c r="D3200" s="210" t="s">
        <v>9940</v>
      </c>
      <c r="E3200" s="204">
        <v>1.0</v>
      </c>
      <c r="F3200" s="205">
        <v>0.0</v>
      </c>
      <c r="G3200" s="205">
        <v>0.0</v>
      </c>
    </row>
    <row r="3201" ht="15.75" customHeight="1">
      <c r="A3201" s="200" t="s">
        <v>321</v>
      </c>
      <c r="B3201" s="186" t="s">
        <v>9941</v>
      </c>
      <c r="C3201" s="210" t="s">
        <v>9942</v>
      </c>
      <c r="D3201" s="210" t="s">
        <v>9943</v>
      </c>
      <c r="E3201" s="204">
        <v>1.0</v>
      </c>
      <c r="F3201" s="205">
        <v>0.0</v>
      </c>
      <c r="G3201" s="205">
        <v>1.0</v>
      </c>
    </row>
    <row r="3202" ht="15.75" customHeight="1">
      <c r="A3202" s="200" t="s">
        <v>321</v>
      </c>
      <c r="B3202" s="186" t="s">
        <v>9944</v>
      </c>
      <c r="C3202" s="210" t="s">
        <v>9945</v>
      </c>
      <c r="D3202" s="210" t="s">
        <v>9946</v>
      </c>
      <c r="E3202" s="204">
        <v>1.0</v>
      </c>
      <c r="F3202" s="205">
        <v>0.0</v>
      </c>
      <c r="G3202" s="205">
        <v>0.0</v>
      </c>
    </row>
    <row r="3203" ht="15.75" customHeight="1">
      <c r="A3203" s="200" t="s">
        <v>321</v>
      </c>
      <c r="B3203" s="186" t="s">
        <v>9947</v>
      </c>
      <c r="C3203" s="210" t="s">
        <v>9948</v>
      </c>
      <c r="D3203" s="210" t="s">
        <v>1282</v>
      </c>
      <c r="E3203" s="204">
        <v>1.0</v>
      </c>
      <c r="F3203" s="205">
        <v>0.0</v>
      </c>
      <c r="G3203" s="205">
        <v>1.0</v>
      </c>
    </row>
    <row r="3204" ht="15.75" customHeight="1">
      <c r="A3204" s="200" t="s">
        <v>321</v>
      </c>
      <c r="B3204" s="186" t="s">
        <v>8667</v>
      </c>
      <c r="C3204" s="210" t="s">
        <v>967</v>
      </c>
      <c r="D3204" s="210" t="s">
        <v>9949</v>
      </c>
      <c r="E3204" s="204">
        <v>1.0</v>
      </c>
      <c r="F3204" s="205">
        <v>0.0</v>
      </c>
      <c r="G3204" s="205">
        <v>0.0</v>
      </c>
    </row>
    <row r="3205" ht="15.75" customHeight="1">
      <c r="A3205" s="200" t="s">
        <v>321</v>
      </c>
      <c r="B3205" s="186" t="s">
        <v>9950</v>
      </c>
      <c r="C3205" s="210" t="s">
        <v>9951</v>
      </c>
      <c r="D3205" s="210" t="s">
        <v>9952</v>
      </c>
      <c r="E3205" s="204">
        <v>1.0</v>
      </c>
      <c r="F3205" s="205">
        <v>0.0</v>
      </c>
      <c r="G3205" s="205">
        <v>0.0</v>
      </c>
    </row>
    <row r="3206" ht="15.75" customHeight="1">
      <c r="A3206" s="200" t="s">
        <v>321</v>
      </c>
      <c r="B3206" s="186" t="s">
        <v>9953</v>
      </c>
      <c r="C3206" s="210" t="s">
        <v>9954</v>
      </c>
      <c r="D3206" s="210" t="s">
        <v>9955</v>
      </c>
      <c r="E3206" s="204">
        <v>1.0</v>
      </c>
      <c r="F3206" s="205">
        <v>0.0</v>
      </c>
      <c r="G3206" s="205">
        <v>0.0</v>
      </c>
    </row>
    <row r="3207" ht="15.75" customHeight="1">
      <c r="A3207" s="200" t="s">
        <v>321</v>
      </c>
      <c r="B3207" s="186" t="s">
        <v>9956</v>
      </c>
      <c r="C3207" s="210" t="s">
        <v>9957</v>
      </c>
      <c r="D3207" s="210" t="s">
        <v>9431</v>
      </c>
      <c r="E3207" s="204">
        <v>1.0</v>
      </c>
      <c r="F3207" s="205">
        <v>0.0</v>
      </c>
      <c r="G3207" s="205">
        <v>0.0</v>
      </c>
    </row>
    <row r="3208" ht="15.75" customHeight="1">
      <c r="A3208" s="200" t="s">
        <v>321</v>
      </c>
      <c r="B3208" s="186" t="s">
        <v>9958</v>
      </c>
      <c r="C3208" s="210" t="s">
        <v>9959</v>
      </c>
      <c r="D3208" s="210" t="s">
        <v>9475</v>
      </c>
      <c r="E3208" s="204">
        <v>1.0</v>
      </c>
      <c r="F3208" s="205">
        <v>0.0</v>
      </c>
      <c r="G3208" s="205">
        <v>0.0</v>
      </c>
    </row>
    <row r="3209" ht="15.75" customHeight="1">
      <c r="A3209" s="200" t="s">
        <v>321</v>
      </c>
      <c r="B3209" s="186" t="s">
        <v>758</v>
      </c>
      <c r="C3209" s="210" t="s">
        <v>759</v>
      </c>
      <c r="D3209" s="210" t="s">
        <v>9960</v>
      </c>
      <c r="E3209" s="204">
        <v>1.0</v>
      </c>
      <c r="F3209" s="205">
        <v>0.0</v>
      </c>
      <c r="G3209" s="205">
        <v>2.0</v>
      </c>
    </row>
    <row r="3210" ht="15.75" customHeight="1">
      <c r="A3210" s="200" t="s">
        <v>321</v>
      </c>
      <c r="B3210" s="186" t="s">
        <v>9961</v>
      </c>
      <c r="C3210" s="210" t="s">
        <v>7900</v>
      </c>
      <c r="D3210" s="210"/>
      <c r="E3210" s="204">
        <v>1.0</v>
      </c>
      <c r="F3210" s="205">
        <v>0.0</v>
      </c>
      <c r="G3210" s="205">
        <v>1.0</v>
      </c>
    </row>
    <row r="3211" ht="15.75" customHeight="1">
      <c r="A3211" s="200" t="s">
        <v>321</v>
      </c>
      <c r="B3211" s="186" t="s">
        <v>5449</v>
      </c>
      <c r="C3211" s="210" t="s">
        <v>5450</v>
      </c>
      <c r="D3211" s="210"/>
      <c r="E3211" s="204">
        <v>1.0</v>
      </c>
      <c r="F3211" s="205">
        <v>0.0</v>
      </c>
      <c r="G3211" s="205">
        <v>0.0</v>
      </c>
    </row>
    <row r="3212" ht="15.75" customHeight="1">
      <c r="A3212" s="200" t="s">
        <v>321</v>
      </c>
      <c r="B3212" s="186" t="s">
        <v>9962</v>
      </c>
      <c r="C3212" s="210" t="s">
        <v>9963</v>
      </c>
      <c r="D3212" s="210" t="s">
        <v>3891</v>
      </c>
      <c r="E3212" s="204">
        <v>1.0</v>
      </c>
      <c r="F3212" s="205">
        <v>0.0</v>
      </c>
      <c r="G3212" s="205">
        <v>1.0</v>
      </c>
    </row>
    <row r="3213" ht="15.75" customHeight="1">
      <c r="A3213" s="200" t="s">
        <v>321</v>
      </c>
      <c r="B3213" s="186" t="s">
        <v>9964</v>
      </c>
      <c r="C3213" s="210" t="s">
        <v>3896</v>
      </c>
      <c r="D3213" s="210" t="s">
        <v>9965</v>
      </c>
      <c r="E3213" s="204">
        <v>1.0</v>
      </c>
      <c r="F3213" s="205">
        <v>0.0</v>
      </c>
      <c r="G3213" s="205">
        <v>1.0</v>
      </c>
    </row>
    <row r="3214" ht="15.75" customHeight="1">
      <c r="A3214" s="200" t="s">
        <v>321</v>
      </c>
      <c r="B3214" s="186" t="s">
        <v>9966</v>
      </c>
      <c r="C3214" s="210" t="s">
        <v>9967</v>
      </c>
      <c r="D3214" s="210" t="s">
        <v>9968</v>
      </c>
      <c r="E3214" s="204">
        <v>1.0</v>
      </c>
      <c r="F3214" s="205">
        <v>0.0</v>
      </c>
      <c r="G3214" s="205">
        <v>0.0</v>
      </c>
    </row>
    <row r="3215" ht="15.75" customHeight="1">
      <c r="A3215" s="200" t="s">
        <v>321</v>
      </c>
      <c r="B3215" s="186" t="s">
        <v>9969</v>
      </c>
      <c r="C3215" s="210" t="s">
        <v>9970</v>
      </c>
      <c r="D3215" s="210" t="s">
        <v>9971</v>
      </c>
      <c r="E3215" s="204">
        <v>1.0</v>
      </c>
      <c r="F3215" s="205">
        <v>0.0</v>
      </c>
      <c r="G3215" s="205">
        <v>1.0</v>
      </c>
    </row>
    <row r="3216" ht="15.75" customHeight="1">
      <c r="A3216" s="200" t="s">
        <v>321</v>
      </c>
      <c r="B3216" s="186" t="s">
        <v>9972</v>
      </c>
      <c r="C3216" s="210" t="s">
        <v>9973</v>
      </c>
      <c r="D3216" s="210" t="s">
        <v>9197</v>
      </c>
      <c r="E3216" s="204">
        <v>1.0</v>
      </c>
      <c r="F3216" s="205">
        <v>0.0</v>
      </c>
      <c r="G3216" s="205">
        <v>1.0</v>
      </c>
    </row>
    <row r="3217" ht="15.75" customHeight="1">
      <c r="A3217" s="200" t="s">
        <v>321</v>
      </c>
      <c r="B3217" s="186" t="s">
        <v>9974</v>
      </c>
      <c r="C3217" s="210" t="s">
        <v>9975</v>
      </c>
      <c r="D3217" s="210" t="s">
        <v>380</v>
      </c>
      <c r="E3217" s="204">
        <v>1.0</v>
      </c>
      <c r="F3217" s="205">
        <v>0.0</v>
      </c>
      <c r="G3217" s="205">
        <v>1.0</v>
      </c>
    </row>
    <row r="3218" ht="15.75" customHeight="1">
      <c r="A3218" s="200" t="s">
        <v>321</v>
      </c>
      <c r="B3218" s="186" t="s">
        <v>9976</v>
      </c>
      <c r="C3218" s="210" t="s">
        <v>9977</v>
      </c>
      <c r="D3218" s="210"/>
      <c r="E3218" s="204">
        <v>1.0</v>
      </c>
      <c r="F3218" s="205">
        <v>0.0</v>
      </c>
      <c r="G3218" s="205">
        <v>0.0</v>
      </c>
    </row>
    <row r="3219" ht="15.75" customHeight="1">
      <c r="A3219" s="200" t="s">
        <v>321</v>
      </c>
      <c r="B3219" s="186" t="s">
        <v>3443</v>
      </c>
      <c r="C3219" s="210" t="s">
        <v>3444</v>
      </c>
      <c r="D3219" s="210" t="s">
        <v>9978</v>
      </c>
      <c r="E3219" s="204">
        <v>1.0</v>
      </c>
      <c r="F3219" s="205">
        <v>0.0</v>
      </c>
      <c r="G3219" s="205">
        <v>1.0</v>
      </c>
    </row>
    <row r="3220" ht="15.75" customHeight="1">
      <c r="A3220" s="200" t="s">
        <v>321</v>
      </c>
      <c r="B3220" s="186" t="s">
        <v>9979</v>
      </c>
      <c r="C3220" s="210" t="s">
        <v>9977</v>
      </c>
      <c r="D3220" s="210"/>
      <c r="E3220" s="204">
        <v>1.0</v>
      </c>
      <c r="F3220" s="205">
        <v>0.0</v>
      </c>
      <c r="G3220" s="205">
        <v>0.0</v>
      </c>
    </row>
    <row r="3221" ht="15.75" customHeight="1">
      <c r="A3221" s="200" t="s">
        <v>321</v>
      </c>
      <c r="B3221" s="186" t="s">
        <v>2738</v>
      </c>
      <c r="C3221" s="210" t="s">
        <v>2739</v>
      </c>
      <c r="D3221" s="210" t="s">
        <v>2741</v>
      </c>
      <c r="E3221" s="204">
        <v>1.0</v>
      </c>
      <c r="F3221" s="205">
        <v>0.0</v>
      </c>
      <c r="G3221" s="205">
        <v>1.0</v>
      </c>
    </row>
    <row r="3222" ht="15.75" customHeight="1">
      <c r="A3222" s="200" t="s">
        <v>321</v>
      </c>
      <c r="B3222" s="186" t="s">
        <v>9980</v>
      </c>
      <c r="C3222" s="210" t="s">
        <v>9981</v>
      </c>
      <c r="D3222" s="210" t="s">
        <v>9982</v>
      </c>
      <c r="E3222" s="204">
        <v>1.0</v>
      </c>
      <c r="F3222" s="205">
        <v>0.0</v>
      </c>
      <c r="G3222" s="205">
        <v>3.0</v>
      </c>
    </row>
    <row r="3223" ht="15.75" customHeight="1">
      <c r="A3223" s="200" t="s">
        <v>321</v>
      </c>
      <c r="B3223" s="186" t="s">
        <v>9983</v>
      </c>
      <c r="C3223" s="210" t="s">
        <v>9984</v>
      </c>
      <c r="D3223" s="210"/>
      <c r="E3223" s="204">
        <v>1.0</v>
      </c>
      <c r="F3223" s="205">
        <v>0.0</v>
      </c>
      <c r="G3223" s="205">
        <v>1.0</v>
      </c>
    </row>
    <row r="3224" ht="15.75" customHeight="1">
      <c r="A3224" s="200" t="s">
        <v>321</v>
      </c>
      <c r="B3224" s="186" t="s">
        <v>9985</v>
      </c>
      <c r="C3224" s="210" t="s">
        <v>9986</v>
      </c>
      <c r="D3224" s="210"/>
      <c r="E3224" s="204">
        <v>1.0</v>
      </c>
      <c r="F3224" s="205">
        <v>0.0</v>
      </c>
      <c r="G3224" s="205">
        <v>1.0</v>
      </c>
    </row>
    <row r="3225" ht="15.75" customHeight="1">
      <c r="A3225" s="200" t="s">
        <v>321</v>
      </c>
      <c r="B3225" s="186" t="s">
        <v>9987</v>
      </c>
      <c r="C3225" s="210" t="s">
        <v>9988</v>
      </c>
      <c r="D3225" s="210" t="s">
        <v>2382</v>
      </c>
      <c r="E3225" s="204">
        <v>1.0</v>
      </c>
      <c r="F3225" s="205">
        <v>0.0</v>
      </c>
      <c r="G3225" s="205">
        <v>0.0</v>
      </c>
    </row>
    <row r="3226" ht="15.75" customHeight="1">
      <c r="A3226" s="200" t="s">
        <v>321</v>
      </c>
      <c r="B3226" s="186" t="s">
        <v>9989</v>
      </c>
      <c r="C3226" s="210" t="s">
        <v>9990</v>
      </c>
      <c r="D3226" s="210" t="s">
        <v>1029</v>
      </c>
      <c r="E3226" s="204">
        <v>1.0</v>
      </c>
      <c r="F3226" s="205">
        <v>0.0</v>
      </c>
      <c r="G3226" s="205">
        <v>1.0</v>
      </c>
    </row>
    <row r="3227" ht="15.75" customHeight="1">
      <c r="A3227" s="200" t="s">
        <v>321</v>
      </c>
      <c r="B3227" s="186" t="s">
        <v>9991</v>
      </c>
      <c r="C3227" s="210" t="s">
        <v>9992</v>
      </c>
      <c r="D3227" s="210" t="s">
        <v>9993</v>
      </c>
      <c r="E3227" s="204">
        <v>1.0</v>
      </c>
      <c r="F3227" s="205">
        <v>0.0</v>
      </c>
      <c r="G3227" s="205">
        <v>3.0</v>
      </c>
    </row>
    <row r="3228" ht="15.75" customHeight="1">
      <c r="A3228" s="200" t="s">
        <v>321</v>
      </c>
      <c r="B3228" s="186" t="s">
        <v>5484</v>
      </c>
      <c r="C3228" s="210" t="s">
        <v>5485</v>
      </c>
      <c r="D3228" s="210" t="s">
        <v>1101</v>
      </c>
      <c r="E3228" s="204">
        <v>1.0</v>
      </c>
      <c r="F3228" s="205">
        <v>0.0</v>
      </c>
      <c r="G3228" s="205">
        <v>0.0</v>
      </c>
    </row>
    <row r="3229" ht="15.75" customHeight="1">
      <c r="A3229" s="200" t="s">
        <v>321</v>
      </c>
      <c r="B3229" s="186" t="s">
        <v>9994</v>
      </c>
      <c r="C3229" s="210" t="s">
        <v>9995</v>
      </c>
      <c r="D3229" s="210" t="s">
        <v>9996</v>
      </c>
      <c r="E3229" s="204">
        <v>1.0</v>
      </c>
      <c r="F3229" s="205">
        <v>0.0</v>
      </c>
      <c r="G3229" s="205">
        <v>1.0</v>
      </c>
    </row>
    <row r="3230" ht="15.75" customHeight="1">
      <c r="A3230" s="200" t="s">
        <v>321</v>
      </c>
      <c r="B3230" s="186" t="s">
        <v>9997</v>
      </c>
      <c r="C3230" s="210" t="s">
        <v>9998</v>
      </c>
      <c r="D3230" s="210" t="s">
        <v>9999</v>
      </c>
      <c r="E3230" s="204">
        <v>1.0</v>
      </c>
      <c r="F3230" s="205">
        <v>0.0</v>
      </c>
      <c r="G3230" s="205">
        <v>0.0</v>
      </c>
    </row>
    <row r="3231" ht="15.75" customHeight="1">
      <c r="A3231" s="200" t="s">
        <v>321</v>
      </c>
      <c r="B3231" s="186" t="s">
        <v>10000</v>
      </c>
      <c r="C3231" s="210" t="s">
        <v>9998</v>
      </c>
      <c r="D3231" s="210" t="s">
        <v>10001</v>
      </c>
      <c r="E3231" s="204">
        <v>1.0</v>
      </c>
      <c r="F3231" s="205">
        <v>0.0</v>
      </c>
      <c r="G3231" s="205">
        <v>4.0</v>
      </c>
    </row>
    <row r="3232" ht="15.75" customHeight="1">
      <c r="A3232" s="200" t="s">
        <v>321</v>
      </c>
      <c r="B3232" s="186" t="s">
        <v>2398</v>
      </c>
      <c r="C3232" s="210" t="s">
        <v>2399</v>
      </c>
      <c r="D3232" s="210" t="s">
        <v>10002</v>
      </c>
      <c r="E3232" s="204">
        <v>1.0</v>
      </c>
      <c r="F3232" s="205">
        <v>0.0</v>
      </c>
      <c r="G3232" s="205">
        <v>4.0</v>
      </c>
    </row>
    <row r="3233" ht="15.75" customHeight="1">
      <c r="A3233" s="200" t="s">
        <v>321</v>
      </c>
      <c r="B3233" s="186" t="s">
        <v>5503</v>
      </c>
      <c r="C3233" s="210" t="s">
        <v>5504</v>
      </c>
      <c r="D3233" s="210" t="s">
        <v>10003</v>
      </c>
      <c r="E3233" s="204">
        <v>1.0</v>
      </c>
      <c r="F3233" s="205">
        <v>0.0</v>
      </c>
      <c r="G3233" s="205">
        <v>0.0</v>
      </c>
    </row>
    <row r="3234" ht="15.75" customHeight="1">
      <c r="A3234" s="200" t="s">
        <v>321</v>
      </c>
      <c r="B3234" s="186" t="s">
        <v>2757</v>
      </c>
      <c r="C3234" s="210" t="s">
        <v>2758</v>
      </c>
      <c r="D3234" s="210"/>
      <c r="E3234" s="204">
        <v>1.0</v>
      </c>
      <c r="F3234" s="205">
        <v>0.0</v>
      </c>
      <c r="G3234" s="205">
        <v>1.0</v>
      </c>
    </row>
    <row r="3235" ht="15.75" customHeight="1">
      <c r="A3235" s="200" t="s">
        <v>321</v>
      </c>
      <c r="B3235" s="186" t="s">
        <v>2742</v>
      </c>
      <c r="C3235" s="210" t="s">
        <v>2743</v>
      </c>
      <c r="D3235" s="210" t="s">
        <v>1087</v>
      </c>
      <c r="E3235" s="204">
        <v>1.0</v>
      </c>
      <c r="F3235" s="205">
        <v>0.0</v>
      </c>
      <c r="G3235" s="205">
        <v>1.0</v>
      </c>
    </row>
    <row r="3236" ht="15.75" customHeight="1">
      <c r="A3236" s="200" t="s">
        <v>321</v>
      </c>
      <c r="B3236" s="186" t="s">
        <v>10004</v>
      </c>
      <c r="C3236" s="210" t="s">
        <v>10005</v>
      </c>
      <c r="D3236" s="210" t="s">
        <v>10006</v>
      </c>
      <c r="E3236" s="204">
        <v>1.0</v>
      </c>
      <c r="F3236" s="205">
        <v>0.0</v>
      </c>
      <c r="G3236" s="205">
        <v>0.0</v>
      </c>
    </row>
    <row r="3237" ht="15.75" customHeight="1">
      <c r="A3237" s="200" t="s">
        <v>321</v>
      </c>
      <c r="B3237" s="186" t="s">
        <v>6828</v>
      </c>
      <c r="C3237" s="210" t="s">
        <v>846</v>
      </c>
      <c r="D3237" s="210" t="s">
        <v>10007</v>
      </c>
      <c r="E3237" s="204">
        <v>1.0</v>
      </c>
      <c r="F3237" s="205">
        <v>0.0</v>
      </c>
      <c r="G3237" s="205">
        <v>0.0</v>
      </c>
    </row>
    <row r="3238" ht="15.75" customHeight="1">
      <c r="A3238" s="200" t="s">
        <v>321</v>
      </c>
      <c r="B3238" s="186" t="s">
        <v>10008</v>
      </c>
      <c r="C3238" s="210" t="s">
        <v>10009</v>
      </c>
      <c r="D3238" s="210" t="s">
        <v>2250</v>
      </c>
      <c r="E3238" s="204">
        <v>1.0</v>
      </c>
      <c r="F3238" s="205">
        <v>0.0</v>
      </c>
      <c r="G3238" s="205">
        <v>0.0</v>
      </c>
    </row>
    <row r="3239" ht="15.75" customHeight="1">
      <c r="A3239" s="200" t="s">
        <v>321</v>
      </c>
      <c r="B3239" s="186" t="s">
        <v>5512</v>
      </c>
      <c r="C3239" s="210" t="s">
        <v>5513</v>
      </c>
      <c r="D3239" s="210" t="s">
        <v>10010</v>
      </c>
      <c r="E3239" s="204">
        <v>1.0</v>
      </c>
      <c r="F3239" s="205">
        <v>0.0</v>
      </c>
      <c r="G3239" s="205">
        <v>1.0</v>
      </c>
    </row>
    <row r="3240" ht="15.75" customHeight="1">
      <c r="A3240" s="200" t="s">
        <v>321</v>
      </c>
      <c r="B3240" s="186" t="s">
        <v>10011</v>
      </c>
      <c r="C3240" s="210" t="s">
        <v>9309</v>
      </c>
      <c r="D3240" s="210" t="s">
        <v>9310</v>
      </c>
      <c r="E3240" s="204">
        <v>1.0</v>
      </c>
      <c r="F3240" s="205">
        <v>0.0</v>
      </c>
      <c r="G3240" s="205">
        <v>0.0</v>
      </c>
    </row>
    <row r="3241" ht="15.75" customHeight="1">
      <c r="A3241" s="200" t="s">
        <v>321</v>
      </c>
      <c r="B3241" s="186" t="s">
        <v>10012</v>
      </c>
      <c r="C3241" s="210" t="s">
        <v>10013</v>
      </c>
      <c r="D3241" s="210" t="s">
        <v>10014</v>
      </c>
      <c r="E3241" s="204">
        <v>1.0</v>
      </c>
      <c r="F3241" s="205">
        <v>0.0</v>
      </c>
      <c r="G3241" s="205">
        <v>1.0</v>
      </c>
    </row>
    <row r="3242" ht="15.75" customHeight="1">
      <c r="A3242" s="200" t="s">
        <v>321</v>
      </c>
      <c r="B3242" s="186" t="s">
        <v>10015</v>
      </c>
      <c r="C3242" s="210" t="s">
        <v>10016</v>
      </c>
      <c r="D3242" s="210" t="s">
        <v>10017</v>
      </c>
      <c r="E3242" s="204">
        <v>1.0</v>
      </c>
      <c r="F3242" s="205">
        <v>0.0</v>
      </c>
      <c r="G3242" s="205">
        <v>0.0</v>
      </c>
    </row>
    <row r="3243" ht="15.75" customHeight="1">
      <c r="A3243" s="200" t="s">
        <v>321</v>
      </c>
      <c r="B3243" s="186" t="s">
        <v>5518</v>
      </c>
      <c r="C3243" s="210" t="s">
        <v>5519</v>
      </c>
      <c r="D3243" s="210" t="s">
        <v>10018</v>
      </c>
      <c r="E3243" s="204">
        <v>1.0</v>
      </c>
      <c r="F3243" s="205">
        <v>0.0</v>
      </c>
      <c r="G3243" s="205">
        <v>2.0</v>
      </c>
    </row>
    <row r="3244" ht="15.75" customHeight="1">
      <c r="A3244" s="200" t="s">
        <v>321</v>
      </c>
      <c r="B3244" s="186" t="s">
        <v>6833</v>
      </c>
      <c r="C3244" s="210" t="s">
        <v>6834</v>
      </c>
      <c r="D3244" s="210"/>
      <c r="E3244" s="204">
        <v>1.0</v>
      </c>
      <c r="F3244" s="205">
        <v>0.0</v>
      </c>
      <c r="G3244" s="205">
        <v>0.0</v>
      </c>
    </row>
    <row r="3245" ht="15.75" customHeight="1">
      <c r="A3245" s="200" t="s">
        <v>321</v>
      </c>
      <c r="B3245" s="186" t="s">
        <v>5527</v>
      </c>
      <c r="C3245" s="210" t="s">
        <v>5528</v>
      </c>
      <c r="D3245" s="210" t="s">
        <v>10019</v>
      </c>
      <c r="E3245" s="204">
        <v>1.0</v>
      </c>
      <c r="F3245" s="205">
        <v>0.0</v>
      </c>
      <c r="G3245" s="205">
        <v>0.0</v>
      </c>
    </row>
    <row r="3246" ht="15.75" customHeight="1">
      <c r="A3246" s="200" t="s">
        <v>321</v>
      </c>
      <c r="B3246" s="186" t="s">
        <v>5529</v>
      </c>
      <c r="C3246" s="210" t="s">
        <v>5530</v>
      </c>
      <c r="D3246" s="210" t="s">
        <v>10020</v>
      </c>
      <c r="E3246" s="204">
        <v>1.0</v>
      </c>
      <c r="F3246" s="205">
        <v>0.0</v>
      </c>
      <c r="G3246" s="205">
        <v>0.0</v>
      </c>
    </row>
    <row r="3247" ht="15.75" customHeight="1">
      <c r="A3247" s="200" t="s">
        <v>321</v>
      </c>
      <c r="B3247" s="186" t="s">
        <v>10021</v>
      </c>
      <c r="C3247" s="210" t="s">
        <v>9988</v>
      </c>
      <c r="D3247" s="210" t="s">
        <v>2382</v>
      </c>
      <c r="E3247" s="204">
        <v>1.0</v>
      </c>
      <c r="F3247" s="205">
        <v>0.0</v>
      </c>
      <c r="G3247" s="205">
        <v>0.0</v>
      </c>
    </row>
    <row r="3248" ht="15.75" customHeight="1">
      <c r="A3248" s="200" t="s">
        <v>321</v>
      </c>
      <c r="B3248" s="186" t="s">
        <v>5544</v>
      </c>
      <c r="C3248" s="210" t="s">
        <v>5545</v>
      </c>
      <c r="D3248" s="210" t="s">
        <v>10022</v>
      </c>
      <c r="E3248" s="204">
        <v>1.0</v>
      </c>
      <c r="F3248" s="205">
        <v>0.0</v>
      </c>
      <c r="G3248" s="205">
        <v>2.0</v>
      </c>
    </row>
    <row r="3249" ht="15.75" customHeight="1">
      <c r="A3249" s="200" t="s">
        <v>321</v>
      </c>
      <c r="B3249" s="186" t="s">
        <v>2744</v>
      </c>
      <c r="C3249" s="210" t="s">
        <v>2745</v>
      </c>
      <c r="D3249" s="210" t="s">
        <v>2746</v>
      </c>
      <c r="E3249" s="204">
        <v>1.0</v>
      </c>
      <c r="F3249" s="205">
        <v>0.0</v>
      </c>
      <c r="G3249" s="205">
        <v>2.0</v>
      </c>
    </row>
    <row r="3250" ht="15.75" customHeight="1">
      <c r="A3250" s="200" t="s">
        <v>321</v>
      </c>
      <c r="B3250" s="186" t="s">
        <v>2747</v>
      </c>
      <c r="C3250" s="210" t="s">
        <v>2748</v>
      </c>
      <c r="D3250" s="210" t="s">
        <v>2749</v>
      </c>
      <c r="E3250" s="204">
        <v>1.0</v>
      </c>
      <c r="F3250" s="205">
        <v>0.0</v>
      </c>
      <c r="G3250" s="205">
        <v>2.0</v>
      </c>
    </row>
    <row r="3251" ht="15.75" customHeight="1">
      <c r="A3251" s="200" t="s">
        <v>321</v>
      </c>
      <c r="B3251" s="186" t="s">
        <v>690</v>
      </c>
      <c r="C3251" s="210" t="s">
        <v>691</v>
      </c>
      <c r="D3251" s="210" t="s">
        <v>10023</v>
      </c>
      <c r="E3251" s="204">
        <v>1.0</v>
      </c>
      <c r="F3251" s="205">
        <v>0.0</v>
      </c>
      <c r="G3251" s="205">
        <v>1.0</v>
      </c>
    </row>
    <row r="3252" ht="15.75" customHeight="1">
      <c r="A3252" s="200" t="s">
        <v>321</v>
      </c>
      <c r="B3252" s="186" t="s">
        <v>10024</v>
      </c>
      <c r="C3252" s="210" t="s">
        <v>10025</v>
      </c>
      <c r="D3252" s="210" t="s">
        <v>380</v>
      </c>
      <c r="E3252" s="204">
        <v>1.0</v>
      </c>
      <c r="F3252" s="205">
        <v>0.0</v>
      </c>
      <c r="G3252" s="205">
        <v>1.0</v>
      </c>
    </row>
    <row r="3253" ht="15.75" customHeight="1">
      <c r="A3253" s="200" t="s">
        <v>321</v>
      </c>
      <c r="B3253" s="186" t="s">
        <v>6446</v>
      </c>
      <c r="C3253" s="210" t="s">
        <v>6447</v>
      </c>
      <c r="D3253" s="210" t="s">
        <v>10026</v>
      </c>
      <c r="E3253" s="204">
        <v>1.0</v>
      </c>
      <c r="F3253" s="205">
        <v>0.0</v>
      </c>
      <c r="G3253" s="205">
        <v>0.0</v>
      </c>
    </row>
    <row r="3254" ht="15.75" customHeight="1">
      <c r="A3254" s="200" t="s">
        <v>321</v>
      </c>
      <c r="B3254" s="186" t="s">
        <v>7774</v>
      </c>
      <c r="C3254" s="210" t="s">
        <v>7775</v>
      </c>
      <c r="D3254" s="210"/>
      <c r="E3254" s="204">
        <v>1.0</v>
      </c>
      <c r="F3254" s="205">
        <v>0.0</v>
      </c>
      <c r="G3254" s="205">
        <v>1.0</v>
      </c>
    </row>
    <row r="3255" ht="15.75" customHeight="1">
      <c r="A3255" s="200" t="s">
        <v>321</v>
      </c>
      <c r="B3255" s="186" t="s">
        <v>7780</v>
      </c>
      <c r="C3255" s="210" t="s">
        <v>5567</v>
      </c>
      <c r="D3255" s="210"/>
      <c r="E3255" s="204">
        <v>1.0</v>
      </c>
      <c r="F3255" s="205">
        <v>0.0</v>
      </c>
      <c r="G3255" s="205">
        <v>1.0</v>
      </c>
    </row>
    <row r="3256" ht="15.75" customHeight="1">
      <c r="A3256" s="200" t="s">
        <v>321</v>
      </c>
      <c r="B3256" s="186" t="s">
        <v>10027</v>
      </c>
      <c r="C3256" s="210" t="s">
        <v>10028</v>
      </c>
      <c r="D3256" s="210" t="s">
        <v>10029</v>
      </c>
      <c r="E3256" s="204">
        <v>1.0</v>
      </c>
      <c r="F3256" s="205">
        <v>0.0</v>
      </c>
      <c r="G3256" s="205">
        <v>1.0</v>
      </c>
    </row>
    <row r="3257" ht="15.75" customHeight="1">
      <c r="A3257" s="200" t="s">
        <v>321</v>
      </c>
      <c r="B3257" s="186" t="s">
        <v>10030</v>
      </c>
      <c r="C3257" s="210" t="s">
        <v>10031</v>
      </c>
      <c r="D3257" s="210" t="s">
        <v>10032</v>
      </c>
      <c r="E3257" s="204">
        <v>1.0</v>
      </c>
      <c r="F3257" s="205">
        <v>0.0</v>
      </c>
      <c r="G3257" s="205">
        <v>0.0</v>
      </c>
    </row>
    <row r="3258" ht="15.75" customHeight="1">
      <c r="A3258" s="200" t="s">
        <v>321</v>
      </c>
      <c r="B3258" s="186" t="s">
        <v>8727</v>
      </c>
      <c r="C3258" s="210" t="s">
        <v>8728</v>
      </c>
      <c r="D3258" s="210" t="s">
        <v>10033</v>
      </c>
      <c r="E3258" s="204">
        <v>1.0</v>
      </c>
      <c r="F3258" s="205">
        <v>0.0</v>
      </c>
      <c r="G3258" s="205">
        <v>2.0</v>
      </c>
    </row>
    <row r="3259" ht="15.75" customHeight="1">
      <c r="A3259" s="200" t="s">
        <v>321</v>
      </c>
      <c r="B3259" s="186" t="s">
        <v>5588</v>
      </c>
      <c r="C3259" s="210" t="s">
        <v>5589</v>
      </c>
      <c r="D3259" s="210" t="s">
        <v>10034</v>
      </c>
      <c r="E3259" s="204">
        <v>1.0</v>
      </c>
      <c r="F3259" s="205">
        <v>0.0</v>
      </c>
      <c r="G3259" s="205">
        <v>3.0</v>
      </c>
    </row>
    <row r="3260" ht="15.75" customHeight="1">
      <c r="A3260" s="200" t="s">
        <v>321</v>
      </c>
      <c r="B3260" s="186" t="s">
        <v>4063</v>
      </c>
      <c r="C3260" s="210" t="s">
        <v>4064</v>
      </c>
      <c r="D3260" s="210" t="s">
        <v>10035</v>
      </c>
      <c r="E3260" s="204">
        <v>1.0</v>
      </c>
      <c r="F3260" s="205">
        <v>0.0</v>
      </c>
      <c r="G3260" s="205">
        <v>0.0</v>
      </c>
    </row>
    <row r="3261" ht="15.75" customHeight="1">
      <c r="A3261" s="224"/>
      <c r="B3261" s="186"/>
      <c r="C3261" s="210"/>
      <c r="D3261" s="210"/>
      <c r="E3261" s="204"/>
      <c r="F3261" s="205"/>
      <c r="G3261" s="205"/>
    </row>
    <row r="3262" ht="15.75" customHeight="1">
      <c r="A3262" s="224"/>
      <c r="B3262" s="186"/>
      <c r="C3262" s="210"/>
      <c r="D3262" s="210"/>
      <c r="E3262" s="204"/>
      <c r="F3262" s="205"/>
      <c r="G3262" s="205"/>
    </row>
    <row r="3263" ht="15.75" customHeight="1">
      <c r="A3263" s="224"/>
      <c r="B3263" s="186"/>
      <c r="C3263" s="210"/>
      <c r="D3263" s="210"/>
      <c r="E3263" s="204"/>
      <c r="F3263" s="205"/>
      <c r="G3263" s="205"/>
    </row>
    <row r="3264" ht="15.75" customHeight="1">
      <c r="A3264" s="224"/>
      <c r="B3264" s="186"/>
      <c r="C3264" s="210"/>
      <c r="D3264" s="210"/>
      <c r="E3264" s="204"/>
      <c r="F3264" s="205"/>
      <c r="G3264" s="205"/>
    </row>
    <row r="3265" ht="15.75" customHeight="1">
      <c r="A3265" s="224"/>
      <c r="B3265" s="186"/>
      <c r="C3265" s="210"/>
      <c r="D3265" s="210"/>
      <c r="E3265" s="204"/>
      <c r="F3265" s="205"/>
      <c r="G3265" s="205"/>
    </row>
    <row r="3266" ht="15.75" customHeight="1">
      <c r="A3266" s="224"/>
      <c r="B3266" s="186"/>
      <c r="C3266" s="210"/>
      <c r="D3266" s="210"/>
      <c r="E3266" s="204"/>
      <c r="F3266" s="205"/>
      <c r="G3266" s="205"/>
    </row>
    <row r="3267" ht="15.75" customHeight="1">
      <c r="A3267" s="224"/>
      <c r="B3267" s="186"/>
      <c r="C3267" s="210"/>
      <c r="D3267" s="210"/>
      <c r="E3267" s="204"/>
      <c r="F3267" s="205"/>
      <c r="G3267" s="205"/>
    </row>
    <row r="3268" ht="15.75" customHeight="1">
      <c r="A3268" s="224"/>
      <c r="B3268" s="186"/>
      <c r="C3268" s="210"/>
      <c r="D3268" s="210"/>
      <c r="E3268" s="204"/>
      <c r="F3268" s="205"/>
      <c r="G3268" s="205"/>
    </row>
    <row r="3269" ht="15.75" customHeight="1">
      <c r="A3269" s="224"/>
      <c r="B3269" s="186"/>
      <c r="C3269" s="210"/>
      <c r="D3269" s="210"/>
      <c r="E3269" s="204"/>
      <c r="F3269" s="205"/>
      <c r="G3269" s="205"/>
    </row>
    <row r="3270" ht="15.75" customHeight="1">
      <c r="A3270" s="224"/>
      <c r="B3270" s="186"/>
      <c r="C3270" s="210"/>
      <c r="D3270" s="210"/>
      <c r="E3270" s="204"/>
      <c r="F3270" s="205"/>
      <c r="G3270" s="205"/>
    </row>
    <row r="3271" ht="15.75" customHeight="1">
      <c r="A3271" s="224"/>
      <c r="B3271" s="186"/>
      <c r="C3271" s="210"/>
      <c r="D3271" s="210"/>
      <c r="E3271" s="204"/>
      <c r="F3271" s="205"/>
      <c r="G3271" s="205"/>
    </row>
    <row r="3272" ht="15.75" customHeight="1">
      <c r="A3272" s="224"/>
      <c r="B3272" s="186"/>
      <c r="C3272" s="210"/>
      <c r="D3272" s="210"/>
      <c r="E3272" s="204"/>
      <c r="F3272" s="205"/>
      <c r="G3272" s="205"/>
    </row>
    <row r="3273" ht="15.75" customHeight="1">
      <c r="A3273" s="224"/>
      <c r="B3273" s="186"/>
      <c r="C3273" s="210"/>
      <c r="D3273" s="210"/>
      <c r="E3273" s="204"/>
      <c r="F3273" s="205"/>
      <c r="G3273" s="205"/>
    </row>
    <row r="3274" ht="15.75" customHeight="1">
      <c r="A3274" s="224"/>
      <c r="B3274" s="186"/>
      <c r="C3274" s="210"/>
      <c r="D3274" s="210"/>
      <c r="E3274" s="204"/>
      <c r="F3274" s="205"/>
      <c r="G3274" s="205"/>
    </row>
    <row r="3275" ht="15.75" customHeight="1">
      <c r="A3275" s="224"/>
      <c r="B3275" s="186"/>
      <c r="C3275" s="210"/>
      <c r="D3275" s="210"/>
      <c r="E3275" s="204"/>
      <c r="F3275" s="205"/>
      <c r="G3275" s="205"/>
    </row>
    <row r="3276" ht="15.75" customHeight="1">
      <c r="A3276" s="224"/>
      <c r="B3276" s="186"/>
      <c r="C3276" s="210"/>
      <c r="D3276" s="210"/>
      <c r="E3276" s="204"/>
      <c r="F3276" s="205"/>
      <c r="G3276" s="205"/>
    </row>
    <row r="3277" ht="15.75" customHeight="1">
      <c r="A3277" s="224"/>
      <c r="B3277" s="186"/>
      <c r="C3277" s="210"/>
      <c r="D3277" s="210"/>
      <c r="E3277" s="204"/>
      <c r="F3277" s="205"/>
      <c r="G3277" s="205"/>
    </row>
    <row r="3278" ht="15.75" customHeight="1">
      <c r="A3278" s="224"/>
      <c r="B3278" s="186"/>
      <c r="C3278" s="210"/>
      <c r="D3278" s="210"/>
      <c r="E3278" s="204"/>
      <c r="F3278" s="205"/>
      <c r="G3278" s="205"/>
    </row>
    <row r="3279" ht="15.75" customHeight="1">
      <c r="A3279" s="224"/>
      <c r="B3279" s="186"/>
      <c r="C3279" s="210"/>
      <c r="D3279" s="210"/>
      <c r="E3279" s="204"/>
      <c r="F3279" s="205"/>
      <c r="G3279" s="205"/>
    </row>
    <row r="3280" ht="15.75" customHeight="1">
      <c r="A3280" s="224"/>
      <c r="B3280" s="186"/>
      <c r="C3280" s="210"/>
      <c r="D3280" s="210"/>
      <c r="E3280" s="204"/>
      <c r="F3280" s="205"/>
      <c r="G3280" s="205"/>
    </row>
    <row r="3281" ht="15.75" customHeight="1">
      <c r="A3281" s="224"/>
      <c r="B3281" s="186"/>
      <c r="C3281" s="210"/>
      <c r="D3281" s="210"/>
      <c r="E3281" s="204"/>
      <c r="F3281" s="205"/>
      <c r="G3281" s="205"/>
    </row>
    <row r="3282" ht="15.75" customHeight="1">
      <c r="A3282" s="224"/>
      <c r="B3282" s="186"/>
      <c r="C3282" s="210"/>
      <c r="D3282" s="210"/>
      <c r="E3282" s="204"/>
      <c r="F3282" s="205"/>
      <c r="G3282" s="205"/>
    </row>
    <row r="3283" ht="15.75" customHeight="1">
      <c r="A3283" s="224"/>
      <c r="B3283" s="186"/>
      <c r="C3283" s="210"/>
      <c r="D3283" s="210"/>
      <c r="E3283" s="204"/>
      <c r="F3283" s="205"/>
      <c r="G3283" s="205"/>
    </row>
    <row r="3284" ht="15.75" customHeight="1">
      <c r="A3284" s="224"/>
      <c r="B3284" s="186"/>
      <c r="C3284" s="210"/>
      <c r="D3284" s="210"/>
      <c r="E3284" s="204"/>
      <c r="F3284" s="205"/>
      <c r="G3284" s="205"/>
    </row>
    <row r="3285" ht="15.75" customHeight="1">
      <c r="A3285" s="224"/>
      <c r="B3285" s="186"/>
      <c r="C3285" s="210"/>
      <c r="D3285" s="210"/>
      <c r="E3285" s="204"/>
      <c r="F3285" s="205"/>
      <c r="G3285" s="205"/>
    </row>
    <row r="3286" ht="15.75" customHeight="1">
      <c r="A3286" s="224"/>
      <c r="B3286" s="186"/>
      <c r="C3286" s="210"/>
      <c r="D3286" s="210"/>
      <c r="E3286" s="204"/>
      <c r="F3286" s="205"/>
      <c r="G3286" s="205"/>
    </row>
    <row r="3287" ht="15.75" customHeight="1">
      <c r="A3287" s="224"/>
      <c r="B3287" s="186"/>
      <c r="C3287" s="210"/>
      <c r="D3287" s="210"/>
      <c r="E3287" s="204"/>
      <c r="F3287" s="205"/>
      <c r="G3287" s="205"/>
    </row>
    <row r="3288" ht="15.75" customHeight="1">
      <c r="A3288" s="224"/>
      <c r="B3288" s="186"/>
      <c r="C3288" s="210"/>
      <c r="D3288" s="210"/>
      <c r="E3288" s="204"/>
      <c r="F3288" s="205"/>
      <c r="G3288" s="205"/>
    </row>
    <row r="3289" ht="15.75" customHeight="1">
      <c r="A3289" s="224"/>
      <c r="B3289" s="186"/>
      <c r="C3289" s="210"/>
      <c r="D3289" s="210"/>
      <c r="E3289" s="204"/>
      <c r="F3289" s="205"/>
      <c r="G3289" s="205"/>
    </row>
    <row r="3290" ht="15.75" customHeight="1">
      <c r="A3290" s="224"/>
      <c r="B3290" s="186"/>
      <c r="C3290" s="210"/>
      <c r="D3290" s="210"/>
      <c r="E3290" s="204"/>
      <c r="F3290" s="205"/>
      <c r="G3290" s="205"/>
    </row>
    <row r="3291" ht="15.75" customHeight="1">
      <c r="A3291" s="224"/>
      <c r="B3291" s="186"/>
      <c r="C3291" s="210"/>
      <c r="D3291" s="210"/>
      <c r="E3291" s="204"/>
      <c r="F3291" s="205"/>
      <c r="G3291" s="205"/>
    </row>
    <row r="3292" ht="15.75" customHeight="1">
      <c r="A3292" s="224"/>
      <c r="B3292" s="186"/>
      <c r="C3292" s="210"/>
      <c r="D3292" s="210"/>
      <c r="E3292" s="204"/>
      <c r="F3292" s="205"/>
      <c r="G3292" s="205"/>
    </row>
    <row r="3293" ht="15.75" customHeight="1">
      <c r="A3293" s="224"/>
      <c r="B3293" s="186"/>
      <c r="C3293" s="210"/>
      <c r="D3293" s="210"/>
      <c r="E3293" s="204"/>
      <c r="F3293" s="205"/>
      <c r="G3293" s="205"/>
    </row>
    <row r="3294" ht="15.75" customHeight="1">
      <c r="A3294" s="224"/>
      <c r="B3294" s="186"/>
      <c r="C3294" s="210"/>
      <c r="D3294" s="210"/>
      <c r="E3294" s="204"/>
      <c r="F3294" s="205"/>
      <c r="G3294" s="205"/>
    </row>
    <row r="3295" ht="15.75" customHeight="1">
      <c r="A3295" s="224"/>
      <c r="B3295" s="186"/>
      <c r="C3295" s="210"/>
      <c r="D3295" s="210"/>
      <c r="E3295" s="204"/>
      <c r="F3295" s="205"/>
      <c r="G3295" s="205"/>
    </row>
    <row r="3296" ht="15.75" customHeight="1">
      <c r="A3296" s="224"/>
      <c r="B3296" s="186"/>
      <c r="C3296" s="210"/>
      <c r="D3296" s="210"/>
      <c r="E3296" s="204"/>
      <c r="F3296" s="205"/>
      <c r="G3296" s="205"/>
    </row>
    <row r="3297" ht="15.75" customHeight="1">
      <c r="A3297" s="224"/>
      <c r="B3297" s="186"/>
      <c r="C3297" s="210"/>
      <c r="D3297" s="210"/>
      <c r="E3297" s="204"/>
      <c r="F3297" s="205"/>
      <c r="G3297" s="205"/>
    </row>
    <row r="3298" ht="15.75" customHeight="1">
      <c r="A3298" s="224"/>
      <c r="B3298" s="186"/>
      <c r="C3298" s="210"/>
      <c r="D3298" s="210"/>
      <c r="E3298" s="204"/>
      <c r="F3298" s="205"/>
      <c r="G3298" s="205"/>
    </row>
    <row r="3299" ht="15.75" customHeight="1">
      <c r="A3299" s="224"/>
      <c r="B3299" s="186"/>
      <c r="C3299" s="210"/>
      <c r="D3299" s="210"/>
      <c r="E3299" s="204"/>
      <c r="F3299" s="205"/>
      <c r="G3299" s="205"/>
    </row>
    <row r="3300" ht="15.75" customHeight="1">
      <c r="A3300" s="224"/>
      <c r="B3300" s="186"/>
      <c r="C3300" s="210"/>
      <c r="D3300" s="210"/>
      <c r="E3300" s="204"/>
      <c r="F3300" s="205"/>
      <c r="G3300" s="205"/>
    </row>
    <row r="3301" ht="15.75" customHeight="1">
      <c r="A3301" s="224"/>
      <c r="B3301" s="186"/>
      <c r="C3301" s="210"/>
      <c r="D3301" s="210"/>
      <c r="E3301" s="204"/>
      <c r="F3301" s="205"/>
      <c r="G3301" s="205"/>
    </row>
    <row r="3302" ht="15.75" customHeight="1">
      <c r="A3302" s="224"/>
      <c r="B3302" s="186"/>
      <c r="C3302" s="210"/>
      <c r="D3302" s="210"/>
      <c r="E3302" s="204"/>
      <c r="F3302" s="205"/>
      <c r="G3302" s="205"/>
    </row>
    <row r="3303" ht="15.75" customHeight="1">
      <c r="A3303" s="224"/>
      <c r="B3303" s="186"/>
      <c r="C3303" s="210"/>
      <c r="D3303" s="210"/>
      <c r="E3303" s="204"/>
      <c r="F3303" s="205"/>
      <c r="G3303" s="205"/>
    </row>
    <row r="3304" ht="15.75" customHeight="1">
      <c r="A3304" s="224"/>
      <c r="B3304" s="186"/>
      <c r="C3304" s="210"/>
      <c r="D3304" s="210"/>
      <c r="E3304" s="204"/>
      <c r="F3304" s="205"/>
      <c r="G3304" s="205"/>
    </row>
    <row r="3305" ht="15.75" customHeight="1">
      <c r="A3305" s="224"/>
      <c r="B3305" s="186"/>
      <c r="C3305" s="210"/>
      <c r="D3305" s="210"/>
      <c r="E3305" s="204"/>
      <c r="F3305" s="205"/>
      <c r="G3305" s="205"/>
    </row>
    <row r="3306" ht="15.75" customHeight="1">
      <c r="A3306" s="224"/>
      <c r="B3306" s="186"/>
      <c r="C3306" s="210"/>
      <c r="D3306" s="210"/>
      <c r="E3306" s="204"/>
      <c r="F3306" s="205"/>
      <c r="G3306" s="205"/>
    </row>
    <row r="3307" ht="15.75" customHeight="1">
      <c r="A3307" s="224"/>
      <c r="B3307" s="186"/>
      <c r="C3307" s="210"/>
      <c r="D3307" s="210"/>
      <c r="E3307" s="204"/>
      <c r="F3307" s="205"/>
      <c r="G3307" s="205"/>
    </row>
    <row r="3308" ht="15.75" customHeight="1">
      <c r="A3308" s="224"/>
      <c r="B3308" s="186"/>
      <c r="C3308" s="210"/>
      <c r="D3308" s="210"/>
      <c r="E3308" s="204"/>
      <c r="F3308" s="205"/>
      <c r="G3308" s="205"/>
    </row>
    <row r="3309" ht="15.75" customHeight="1">
      <c r="A3309" s="224"/>
      <c r="B3309" s="186"/>
      <c r="C3309" s="210"/>
      <c r="D3309" s="210"/>
      <c r="E3309" s="204"/>
      <c r="F3309" s="205"/>
      <c r="G3309" s="205"/>
    </row>
    <row r="3310" ht="15.75" customHeight="1">
      <c r="A3310" s="224"/>
      <c r="B3310" s="186"/>
      <c r="C3310" s="210"/>
      <c r="D3310" s="210"/>
      <c r="E3310" s="204"/>
      <c r="F3310" s="205"/>
      <c r="G3310" s="205"/>
    </row>
    <row r="3311" ht="15.75" customHeight="1">
      <c r="A3311" s="224"/>
      <c r="B3311" s="186"/>
      <c r="C3311" s="210"/>
      <c r="D3311" s="210"/>
      <c r="E3311" s="204"/>
      <c r="F3311" s="205"/>
      <c r="G3311" s="205"/>
    </row>
    <row r="3312" ht="15.75" customHeight="1">
      <c r="A3312" s="224"/>
      <c r="B3312" s="186"/>
      <c r="C3312" s="210"/>
      <c r="D3312" s="210"/>
      <c r="E3312" s="204"/>
      <c r="F3312" s="205"/>
      <c r="G3312" s="205"/>
    </row>
    <row r="3313" ht="15.75" customHeight="1">
      <c r="A3313" s="224"/>
      <c r="B3313" s="186"/>
      <c r="C3313" s="210"/>
      <c r="D3313" s="210"/>
      <c r="E3313" s="204"/>
      <c r="F3313" s="205"/>
      <c r="G3313" s="205"/>
    </row>
    <row r="3314" ht="15.75" customHeight="1">
      <c r="A3314" s="224"/>
      <c r="B3314" s="186"/>
      <c r="C3314" s="210"/>
      <c r="D3314" s="210"/>
      <c r="E3314" s="204"/>
      <c r="F3314" s="205"/>
      <c r="G3314" s="205"/>
    </row>
    <row r="3315" ht="15.75" customHeight="1">
      <c r="A3315" s="224"/>
      <c r="B3315" s="186"/>
      <c r="C3315" s="210"/>
      <c r="D3315" s="210"/>
      <c r="E3315" s="204"/>
      <c r="F3315" s="205"/>
      <c r="G3315" s="205"/>
    </row>
    <row r="3316" ht="15.75" customHeight="1">
      <c r="A3316" s="224"/>
      <c r="B3316" s="186"/>
      <c r="C3316" s="210"/>
      <c r="D3316" s="210"/>
      <c r="E3316" s="204"/>
      <c r="F3316" s="205"/>
      <c r="G3316" s="205"/>
    </row>
    <row r="3317" ht="15.75" customHeight="1">
      <c r="A3317" s="224"/>
      <c r="B3317" s="186"/>
      <c r="C3317" s="210"/>
      <c r="D3317" s="210"/>
      <c r="E3317" s="204"/>
      <c r="F3317" s="205"/>
      <c r="G3317" s="205"/>
    </row>
    <row r="3318" ht="15.75" customHeight="1">
      <c r="A3318" s="224"/>
      <c r="B3318" s="186"/>
      <c r="C3318" s="210"/>
      <c r="D3318" s="210"/>
      <c r="E3318" s="204"/>
      <c r="F3318" s="205"/>
      <c r="G3318" s="205"/>
    </row>
    <row r="3319" ht="15.75" customHeight="1">
      <c r="A3319" s="224"/>
      <c r="B3319" s="186"/>
      <c r="C3319" s="210"/>
      <c r="D3319" s="210"/>
      <c r="E3319" s="204"/>
      <c r="F3319" s="205"/>
      <c r="G3319" s="205"/>
    </row>
    <row r="3320" ht="15.75" customHeight="1">
      <c r="A3320" s="224"/>
      <c r="B3320" s="186"/>
      <c r="C3320" s="210"/>
      <c r="D3320" s="210"/>
      <c r="E3320" s="204"/>
      <c r="F3320" s="205"/>
      <c r="G3320" s="205"/>
    </row>
    <row r="3321" ht="15.75" customHeight="1">
      <c r="A3321" s="224"/>
      <c r="B3321" s="186"/>
      <c r="C3321" s="210"/>
      <c r="D3321" s="210"/>
      <c r="E3321" s="204"/>
      <c r="F3321" s="205"/>
      <c r="G3321" s="205"/>
    </row>
    <row r="3322" ht="15.75" customHeight="1">
      <c r="A3322" s="224"/>
      <c r="B3322" s="186"/>
      <c r="C3322" s="210"/>
      <c r="D3322" s="210"/>
      <c r="E3322" s="204"/>
      <c r="F3322" s="205"/>
      <c r="G3322" s="205"/>
    </row>
    <row r="3323" ht="15.75" customHeight="1">
      <c r="A3323" s="224"/>
      <c r="B3323" s="186"/>
      <c r="C3323" s="210"/>
      <c r="D3323" s="210"/>
      <c r="E3323" s="204"/>
      <c r="F3323" s="205"/>
      <c r="G3323" s="205"/>
    </row>
    <row r="3324" ht="15.75" customHeight="1">
      <c r="A3324" s="224"/>
      <c r="B3324" s="186"/>
      <c r="C3324" s="210"/>
      <c r="D3324" s="210"/>
      <c r="E3324" s="204"/>
      <c r="F3324" s="205"/>
      <c r="G3324" s="205"/>
    </row>
    <row r="3325" ht="15.75" customHeight="1">
      <c r="A3325" s="224"/>
      <c r="B3325" s="186"/>
      <c r="C3325" s="210"/>
      <c r="D3325" s="210"/>
      <c r="E3325" s="204"/>
      <c r="F3325" s="205"/>
      <c r="G3325" s="205"/>
    </row>
    <row r="3326" ht="15.75" customHeight="1">
      <c r="A3326" s="224"/>
      <c r="B3326" s="186"/>
      <c r="C3326" s="210"/>
      <c r="D3326" s="210"/>
      <c r="E3326" s="204"/>
      <c r="F3326" s="205"/>
      <c r="G3326" s="205"/>
    </row>
    <row r="3327" ht="15.75" customHeight="1">
      <c r="A3327" s="224"/>
      <c r="B3327" s="186"/>
      <c r="C3327" s="210"/>
      <c r="D3327" s="210"/>
      <c r="E3327" s="204"/>
      <c r="F3327" s="205"/>
      <c r="G3327" s="205"/>
    </row>
    <row r="3328" ht="15.75" customHeight="1">
      <c r="A3328" s="224"/>
      <c r="B3328" s="186"/>
      <c r="C3328" s="210"/>
      <c r="D3328" s="210"/>
      <c r="E3328" s="204"/>
      <c r="F3328" s="205"/>
      <c r="G3328" s="205"/>
    </row>
    <row r="3329" ht="15.75" customHeight="1">
      <c r="A3329" s="224"/>
      <c r="B3329" s="186"/>
      <c r="C3329" s="210"/>
      <c r="D3329" s="210"/>
      <c r="E3329" s="204"/>
      <c r="F3329" s="205"/>
      <c r="G3329" s="205"/>
    </row>
    <row r="3330" ht="15.75" customHeight="1">
      <c r="A3330" s="224"/>
      <c r="B3330" s="186"/>
      <c r="C3330" s="210"/>
      <c r="D3330" s="210"/>
      <c r="E3330" s="204"/>
      <c r="F3330" s="205"/>
      <c r="G3330" s="205"/>
    </row>
    <row r="3331" ht="15.75" customHeight="1">
      <c r="A3331" s="224"/>
      <c r="B3331" s="186"/>
      <c r="C3331" s="210"/>
      <c r="D3331" s="210"/>
      <c r="E3331" s="204"/>
      <c r="F3331" s="205"/>
      <c r="G3331" s="205"/>
    </row>
    <row r="3332" ht="15.75" customHeight="1">
      <c r="A3332" s="224"/>
      <c r="B3332" s="186"/>
      <c r="C3332" s="210"/>
      <c r="D3332" s="210"/>
      <c r="E3332" s="204"/>
      <c r="F3332" s="205"/>
      <c r="G3332" s="205"/>
    </row>
    <row r="3333" ht="15.75" customHeight="1">
      <c r="A3333" s="224"/>
      <c r="B3333" s="186"/>
      <c r="C3333" s="210"/>
      <c r="D3333" s="210"/>
      <c r="E3333" s="204"/>
      <c r="F3333" s="205"/>
      <c r="G3333" s="205"/>
    </row>
    <row r="3334" ht="15.75" customHeight="1">
      <c r="A3334" s="224"/>
      <c r="B3334" s="186"/>
      <c r="C3334" s="210"/>
      <c r="D3334" s="210"/>
      <c r="E3334" s="204"/>
      <c r="F3334" s="205"/>
      <c r="G3334" s="205"/>
    </row>
    <row r="3335" ht="15.75" customHeight="1">
      <c r="A3335" s="224"/>
      <c r="B3335" s="186"/>
      <c r="C3335" s="210"/>
      <c r="D3335" s="210"/>
      <c r="E3335" s="204"/>
      <c r="F3335" s="205"/>
      <c r="G3335" s="205"/>
    </row>
    <row r="3336" ht="15.75" customHeight="1">
      <c r="A3336" s="224"/>
      <c r="B3336" s="186"/>
      <c r="C3336" s="210"/>
      <c r="D3336" s="210"/>
      <c r="E3336" s="204"/>
      <c r="F3336" s="205"/>
      <c r="G3336" s="205"/>
    </row>
    <row r="3337" ht="15.75" customHeight="1">
      <c r="A3337" s="224"/>
      <c r="B3337" s="186"/>
      <c r="C3337" s="210"/>
      <c r="D3337" s="210"/>
      <c r="E3337" s="204"/>
      <c r="F3337" s="205"/>
      <c r="G3337" s="205"/>
    </row>
    <row r="3338" ht="15.75" customHeight="1">
      <c r="A3338" s="224"/>
      <c r="B3338" s="186"/>
      <c r="C3338" s="210"/>
      <c r="D3338" s="210"/>
      <c r="E3338" s="204"/>
      <c r="F3338" s="205"/>
      <c r="G3338" s="205"/>
    </row>
    <row r="3339" ht="15.75" customHeight="1">
      <c r="A3339" s="224"/>
      <c r="B3339" s="186"/>
      <c r="C3339" s="210"/>
      <c r="D3339" s="210"/>
      <c r="E3339" s="204"/>
      <c r="F3339" s="205"/>
      <c r="G3339" s="205"/>
    </row>
    <row r="3340" ht="15.75" customHeight="1">
      <c r="A3340" s="224"/>
      <c r="B3340" s="186"/>
      <c r="C3340" s="210"/>
      <c r="D3340" s="210"/>
      <c r="E3340" s="204"/>
      <c r="F3340" s="205"/>
      <c r="G3340" s="205"/>
    </row>
    <row r="3341" ht="15.75" customHeight="1">
      <c r="A3341" s="224"/>
      <c r="B3341" s="186"/>
      <c r="C3341" s="210"/>
      <c r="D3341" s="210"/>
      <c r="E3341" s="204"/>
      <c r="F3341" s="205"/>
      <c r="G3341" s="205"/>
    </row>
    <row r="3342" ht="15.75" customHeight="1">
      <c r="A3342" s="224"/>
      <c r="B3342" s="186"/>
      <c r="C3342" s="210"/>
      <c r="D3342" s="210"/>
      <c r="E3342" s="204"/>
      <c r="F3342" s="205"/>
      <c r="G3342" s="205"/>
    </row>
    <row r="3343" ht="15.75" customHeight="1">
      <c r="A3343" s="224"/>
      <c r="B3343" s="186"/>
      <c r="C3343" s="210"/>
      <c r="D3343" s="210"/>
      <c r="E3343" s="204"/>
      <c r="F3343" s="205"/>
      <c r="G3343" s="205"/>
    </row>
    <row r="3344" ht="15.75" customHeight="1">
      <c r="A3344" s="224"/>
      <c r="B3344" s="186"/>
      <c r="C3344" s="210"/>
      <c r="D3344" s="210"/>
      <c r="E3344" s="204"/>
      <c r="F3344" s="205"/>
      <c r="G3344" s="205"/>
    </row>
    <row r="3345" ht="15.75" customHeight="1">
      <c r="A3345" s="224"/>
      <c r="B3345" s="186"/>
      <c r="C3345" s="210"/>
      <c r="D3345" s="210"/>
      <c r="E3345" s="204"/>
      <c r="F3345" s="205"/>
      <c r="G3345" s="205"/>
    </row>
    <row r="3346" ht="15.75" customHeight="1">
      <c r="A3346" s="224"/>
      <c r="B3346" s="186"/>
      <c r="C3346" s="210"/>
      <c r="D3346" s="210"/>
      <c r="E3346" s="204"/>
      <c r="F3346" s="205"/>
      <c r="G3346" s="205"/>
    </row>
    <row r="3347" ht="15.75" customHeight="1">
      <c r="A3347" s="224"/>
      <c r="B3347" s="186"/>
      <c r="C3347" s="210"/>
      <c r="D3347" s="210"/>
      <c r="E3347" s="204"/>
      <c r="F3347" s="205"/>
      <c r="G3347" s="205"/>
    </row>
    <row r="3348" ht="15.75" customHeight="1">
      <c r="A3348" s="224"/>
      <c r="B3348" s="186"/>
      <c r="C3348" s="210"/>
      <c r="D3348" s="210"/>
      <c r="E3348" s="204"/>
      <c r="F3348" s="205"/>
      <c r="G3348" s="205"/>
    </row>
    <row r="3349" ht="15.75" customHeight="1">
      <c r="A3349" s="224"/>
      <c r="B3349" s="186"/>
      <c r="C3349" s="210"/>
      <c r="D3349" s="210"/>
      <c r="E3349" s="204"/>
      <c r="F3349" s="205"/>
      <c r="G3349" s="205"/>
    </row>
    <row r="3350" ht="15.75" customHeight="1">
      <c r="A3350" s="224"/>
      <c r="B3350" s="186"/>
      <c r="C3350" s="210"/>
      <c r="D3350" s="210"/>
      <c r="E3350" s="204"/>
      <c r="F3350" s="205"/>
      <c r="G3350" s="205"/>
    </row>
    <row r="3351" ht="15.75" customHeight="1">
      <c r="A3351" s="224"/>
      <c r="B3351" s="186"/>
      <c r="C3351" s="210"/>
      <c r="D3351" s="210"/>
      <c r="E3351" s="204"/>
      <c r="F3351" s="205"/>
      <c r="G3351" s="205"/>
    </row>
    <row r="3352" ht="15.75" customHeight="1">
      <c r="A3352" s="224"/>
      <c r="B3352" s="186"/>
      <c r="C3352" s="210"/>
      <c r="D3352" s="210"/>
      <c r="E3352" s="204"/>
      <c r="F3352" s="205"/>
      <c r="G3352" s="205"/>
    </row>
    <row r="3353" ht="15.75" customHeight="1">
      <c r="A3353" s="224"/>
      <c r="B3353" s="186"/>
      <c r="C3353" s="210"/>
      <c r="D3353" s="210"/>
      <c r="E3353" s="204"/>
      <c r="F3353" s="205"/>
      <c r="G3353" s="205"/>
    </row>
    <row r="3354" ht="15.75" customHeight="1">
      <c r="A3354" s="224"/>
      <c r="B3354" s="186"/>
      <c r="C3354" s="210"/>
      <c r="D3354" s="210"/>
      <c r="E3354" s="204"/>
      <c r="F3354" s="205"/>
      <c r="G3354" s="205"/>
    </row>
    <row r="3355" ht="15.75" customHeight="1">
      <c r="A3355" s="224"/>
      <c r="B3355" s="186"/>
      <c r="C3355" s="210"/>
      <c r="D3355" s="210"/>
      <c r="E3355" s="204"/>
      <c r="F3355" s="205"/>
      <c r="G3355" s="205"/>
    </row>
    <row r="3356" ht="15.75" customHeight="1">
      <c r="A3356" s="224"/>
      <c r="B3356" s="186"/>
      <c r="C3356" s="210"/>
      <c r="D3356" s="210"/>
      <c r="E3356" s="204"/>
      <c r="F3356" s="205"/>
      <c r="G3356" s="205"/>
    </row>
    <row r="3357" ht="15.75" customHeight="1">
      <c r="A3357" s="224"/>
      <c r="B3357" s="186"/>
      <c r="C3357" s="210"/>
      <c r="D3357" s="210"/>
      <c r="E3357" s="204"/>
      <c r="F3357" s="205"/>
      <c r="G3357" s="205"/>
    </row>
    <row r="3358" ht="15.75" customHeight="1">
      <c r="A3358" s="224"/>
      <c r="B3358" s="186"/>
      <c r="C3358" s="210"/>
      <c r="D3358" s="210"/>
      <c r="E3358" s="204"/>
      <c r="F3358" s="205"/>
      <c r="G3358" s="205"/>
    </row>
    <row r="3359" ht="15.75" customHeight="1">
      <c r="A3359" s="224"/>
      <c r="B3359" s="186"/>
      <c r="C3359" s="210"/>
      <c r="D3359" s="210"/>
      <c r="E3359" s="204"/>
      <c r="F3359" s="205"/>
      <c r="G3359" s="205"/>
    </row>
    <row r="3360" ht="15.75" customHeight="1">
      <c r="A3360" s="224"/>
      <c r="B3360" s="186"/>
      <c r="C3360" s="210"/>
      <c r="D3360" s="210"/>
      <c r="E3360" s="204"/>
      <c r="F3360" s="205"/>
      <c r="G3360" s="205"/>
    </row>
    <row r="3361" ht="15.75" customHeight="1">
      <c r="A3361" s="224"/>
      <c r="B3361" s="186"/>
      <c r="C3361" s="210"/>
      <c r="D3361" s="210"/>
      <c r="E3361" s="204"/>
      <c r="F3361" s="205"/>
      <c r="G3361" s="205"/>
    </row>
    <row r="3362" ht="15.75" customHeight="1">
      <c r="A3362" s="224"/>
      <c r="B3362" s="186"/>
      <c r="C3362" s="210"/>
      <c r="D3362" s="210"/>
      <c r="E3362" s="204"/>
      <c r="F3362" s="205"/>
      <c r="G3362" s="205"/>
    </row>
    <row r="3363" ht="15.75" customHeight="1">
      <c r="A3363" s="224"/>
      <c r="B3363" s="186"/>
      <c r="C3363" s="210"/>
      <c r="D3363" s="210"/>
      <c r="E3363" s="204"/>
      <c r="F3363" s="205"/>
      <c r="G3363" s="205"/>
    </row>
    <row r="3364" ht="15.75" customHeight="1">
      <c r="A3364" s="224"/>
      <c r="B3364" s="186"/>
      <c r="C3364" s="210"/>
      <c r="D3364" s="210"/>
      <c r="E3364" s="204"/>
      <c r="F3364" s="205"/>
      <c r="G3364" s="205"/>
    </row>
    <row r="3365" ht="15.75" customHeight="1">
      <c r="A3365" s="224"/>
      <c r="B3365" s="186"/>
      <c r="C3365" s="210"/>
      <c r="D3365" s="210"/>
      <c r="E3365" s="204"/>
      <c r="F3365" s="205"/>
      <c r="G3365" s="205"/>
    </row>
    <row r="3366" ht="15.75" customHeight="1">
      <c r="A3366" s="224"/>
      <c r="B3366" s="186"/>
      <c r="C3366" s="210"/>
      <c r="D3366" s="210"/>
      <c r="E3366" s="204"/>
      <c r="F3366" s="205"/>
      <c r="G3366" s="205"/>
    </row>
    <row r="3367" ht="15.75" customHeight="1">
      <c r="A3367" s="224"/>
      <c r="B3367" s="186"/>
      <c r="C3367" s="210"/>
      <c r="D3367" s="210"/>
      <c r="E3367" s="204"/>
      <c r="F3367" s="205"/>
      <c r="G3367" s="205"/>
    </row>
    <row r="3368" ht="15.75" customHeight="1">
      <c r="A3368" s="224"/>
      <c r="B3368" s="186"/>
      <c r="C3368" s="210"/>
      <c r="D3368" s="210"/>
      <c r="E3368" s="204"/>
      <c r="F3368" s="205"/>
      <c r="G3368" s="205"/>
    </row>
    <row r="3369" ht="15.75" customHeight="1">
      <c r="A3369" s="224"/>
      <c r="B3369" s="186"/>
      <c r="C3369" s="210"/>
      <c r="D3369" s="210"/>
      <c r="E3369" s="204"/>
      <c r="F3369" s="205"/>
      <c r="G3369" s="205"/>
    </row>
    <row r="3370" ht="15.75" customHeight="1">
      <c r="A3370" s="224"/>
      <c r="B3370" s="186"/>
      <c r="C3370" s="210"/>
      <c r="D3370" s="210"/>
      <c r="E3370" s="204"/>
      <c r="F3370" s="205"/>
      <c r="G3370" s="205"/>
    </row>
    <row r="3371" ht="15.75" customHeight="1">
      <c r="A3371" s="224"/>
      <c r="B3371" s="186"/>
      <c r="C3371" s="210"/>
      <c r="D3371" s="210"/>
      <c r="E3371" s="204"/>
      <c r="F3371" s="205"/>
      <c r="G3371" s="205"/>
    </row>
    <row r="3372" ht="15.75" customHeight="1">
      <c r="A3372" s="224"/>
      <c r="B3372" s="186"/>
      <c r="C3372" s="210"/>
      <c r="D3372" s="210"/>
      <c r="E3372" s="204"/>
      <c r="F3372" s="205"/>
      <c r="G3372" s="205"/>
    </row>
    <row r="3373" ht="15.75" customHeight="1">
      <c r="A3373" s="224"/>
      <c r="B3373" s="186"/>
      <c r="C3373" s="210"/>
      <c r="D3373" s="210"/>
      <c r="E3373" s="204"/>
      <c r="F3373" s="205"/>
      <c r="G3373" s="205"/>
    </row>
    <row r="3374" ht="15.75" customHeight="1">
      <c r="A3374" s="224"/>
      <c r="B3374" s="186"/>
      <c r="C3374" s="210"/>
      <c r="D3374" s="210"/>
      <c r="E3374" s="204"/>
      <c r="F3374" s="205"/>
      <c r="G3374" s="205"/>
    </row>
    <row r="3375" ht="15.75" customHeight="1">
      <c r="A3375" s="224"/>
      <c r="B3375" s="186"/>
      <c r="C3375" s="210"/>
      <c r="D3375" s="210"/>
      <c r="E3375" s="204"/>
      <c r="F3375" s="205"/>
      <c r="G3375" s="205"/>
    </row>
    <row r="3376" ht="15.75" customHeight="1">
      <c r="A3376" s="224"/>
      <c r="B3376" s="186"/>
      <c r="C3376" s="210"/>
      <c r="D3376" s="210"/>
      <c r="E3376" s="204"/>
      <c r="F3376" s="205"/>
      <c r="G3376" s="205"/>
    </row>
    <row r="3377" ht="15.75" customHeight="1">
      <c r="A3377" s="224"/>
      <c r="B3377" s="186"/>
      <c r="C3377" s="210"/>
      <c r="D3377" s="210"/>
      <c r="E3377" s="204"/>
      <c r="F3377" s="205"/>
      <c r="G3377" s="205"/>
    </row>
    <row r="3378" ht="15.75" customHeight="1">
      <c r="A3378" s="224"/>
      <c r="B3378" s="186"/>
      <c r="C3378" s="210"/>
      <c r="D3378" s="210"/>
      <c r="E3378" s="204"/>
      <c r="F3378" s="205"/>
      <c r="G3378" s="205"/>
    </row>
    <row r="3379" ht="15.75" customHeight="1">
      <c r="A3379" s="224"/>
      <c r="B3379" s="186"/>
      <c r="C3379" s="210"/>
      <c r="D3379" s="210"/>
      <c r="E3379" s="204"/>
      <c r="F3379" s="205"/>
      <c r="G3379" s="205"/>
    </row>
    <row r="3380" ht="15.75" customHeight="1">
      <c r="A3380" s="224"/>
      <c r="B3380" s="186"/>
      <c r="C3380" s="210"/>
      <c r="D3380" s="210"/>
      <c r="E3380" s="204"/>
      <c r="F3380" s="205"/>
      <c r="G3380" s="205"/>
    </row>
    <row r="3381" ht="15.75" customHeight="1">
      <c r="A3381" s="224"/>
      <c r="B3381" s="186"/>
      <c r="C3381" s="210"/>
      <c r="D3381" s="210"/>
      <c r="E3381" s="204"/>
      <c r="F3381" s="205"/>
      <c r="G3381" s="205"/>
    </row>
    <row r="3382" ht="15.75" customHeight="1">
      <c r="A3382" s="224"/>
      <c r="B3382" s="186"/>
      <c r="C3382" s="210"/>
      <c r="D3382" s="210"/>
      <c r="E3382" s="204"/>
      <c r="F3382" s="205"/>
      <c r="G3382" s="205"/>
    </row>
    <row r="3383" ht="15.75" customHeight="1">
      <c r="A3383" s="224"/>
      <c r="B3383" s="186"/>
      <c r="C3383" s="210"/>
      <c r="D3383" s="210"/>
      <c r="E3383" s="204"/>
      <c r="F3383" s="205"/>
      <c r="G3383" s="205"/>
    </row>
    <row r="3384" ht="15.75" customHeight="1">
      <c r="A3384" s="224"/>
      <c r="B3384" s="186"/>
      <c r="C3384" s="210"/>
      <c r="D3384" s="210"/>
      <c r="E3384" s="204"/>
      <c r="F3384" s="205"/>
      <c r="G3384" s="205"/>
    </row>
    <row r="3385" ht="15.75" customHeight="1">
      <c r="A3385" s="224"/>
      <c r="B3385" s="186"/>
      <c r="C3385" s="210"/>
      <c r="D3385" s="210"/>
      <c r="E3385" s="204"/>
      <c r="F3385" s="205"/>
      <c r="G3385" s="205"/>
    </row>
    <row r="3386" ht="15.75" customHeight="1">
      <c r="A3386" s="224"/>
      <c r="B3386" s="186"/>
      <c r="C3386" s="210"/>
      <c r="D3386" s="210"/>
      <c r="E3386" s="204"/>
      <c r="F3386" s="205"/>
      <c r="G3386" s="205"/>
    </row>
    <row r="3387" ht="15.75" customHeight="1">
      <c r="A3387" s="224"/>
      <c r="B3387" s="186"/>
      <c r="C3387" s="210"/>
      <c r="D3387" s="210"/>
      <c r="E3387" s="204"/>
      <c r="F3387" s="205"/>
      <c r="G3387" s="205"/>
    </row>
    <row r="3388" ht="15.75" customHeight="1">
      <c r="A3388" s="224"/>
      <c r="B3388" s="186"/>
      <c r="C3388" s="210"/>
      <c r="D3388" s="210"/>
      <c r="E3388" s="204"/>
      <c r="F3388" s="205"/>
      <c r="G3388" s="205"/>
    </row>
    <row r="3389" ht="15.75" customHeight="1">
      <c r="A3389" s="224"/>
      <c r="B3389" s="186"/>
      <c r="C3389" s="210"/>
      <c r="D3389" s="210"/>
      <c r="E3389" s="204"/>
      <c r="F3389" s="205"/>
      <c r="G3389" s="205"/>
    </row>
    <row r="3390" ht="15.75" customHeight="1">
      <c r="A3390" s="224"/>
      <c r="B3390" s="186"/>
      <c r="C3390" s="210"/>
      <c r="D3390" s="210"/>
      <c r="E3390" s="204"/>
      <c r="F3390" s="205"/>
      <c r="G3390" s="205"/>
    </row>
    <row r="3391" ht="15.75" customHeight="1">
      <c r="A3391" s="224"/>
      <c r="B3391" s="186"/>
      <c r="C3391" s="210"/>
      <c r="D3391" s="210"/>
      <c r="E3391" s="204"/>
      <c r="F3391" s="205"/>
      <c r="G3391" s="205"/>
    </row>
    <row r="3392" ht="15.75" customHeight="1">
      <c r="A3392" s="224"/>
      <c r="B3392" s="186"/>
      <c r="C3392" s="210"/>
      <c r="D3392" s="210"/>
      <c r="E3392" s="204"/>
      <c r="F3392" s="205"/>
      <c r="G3392" s="205"/>
    </row>
    <row r="3393" ht="15.75" customHeight="1">
      <c r="A3393" s="224"/>
      <c r="B3393" s="186"/>
      <c r="C3393" s="210"/>
      <c r="D3393" s="210"/>
      <c r="E3393" s="204"/>
      <c r="F3393" s="205"/>
      <c r="G3393" s="205"/>
    </row>
    <row r="3394" ht="15.75" customHeight="1">
      <c r="A3394" s="224"/>
      <c r="B3394" s="186"/>
      <c r="C3394" s="210"/>
      <c r="D3394" s="210"/>
      <c r="E3394" s="204"/>
      <c r="F3394" s="205"/>
      <c r="G3394" s="205"/>
    </row>
    <row r="3395" ht="15.75" customHeight="1">
      <c r="A3395" s="224"/>
      <c r="B3395" s="186"/>
      <c r="C3395" s="210"/>
      <c r="D3395" s="210"/>
      <c r="E3395" s="204"/>
      <c r="F3395" s="205"/>
      <c r="G3395" s="205"/>
    </row>
    <row r="3396" ht="15.75" customHeight="1">
      <c r="A3396" s="224"/>
      <c r="B3396" s="186"/>
      <c r="C3396" s="210"/>
      <c r="D3396" s="210"/>
      <c r="E3396" s="204"/>
      <c r="F3396" s="205"/>
      <c r="G3396" s="205"/>
    </row>
    <row r="3397" ht="15.75" customHeight="1">
      <c r="A3397" s="224"/>
      <c r="B3397" s="186"/>
      <c r="C3397" s="210"/>
      <c r="D3397" s="210"/>
      <c r="E3397" s="204"/>
      <c r="F3397" s="205"/>
      <c r="G3397" s="205"/>
    </row>
    <row r="3398" ht="15.75" customHeight="1">
      <c r="A3398" s="224"/>
      <c r="B3398" s="186"/>
      <c r="C3398" s="210"/>
      <c r="D3398" s="210"/>
      <c r="E3398" s="204"/>
      <c r="F3398" s="205"/>
      <c r="G3398" s="205"/>
    </row>
    <row r="3399" ht="15.75" customHeight="1">
      <c r="A3399" s="224"/>
      <c r="B3399" s="186"/>
      <c r="C3399" s="210"/>
      <c r="D3399" s="210"/>
      <c r="E3399" s="204"/>
      <c r="F3399" s="205"/>
      <c r="G3399" s="205"/>
    </row>
    <row r="3400" ht="15.75" customHeight="1">
      <c r="A3400" s="224"/>
      <c r="B3400" s="186"/>
      <c r="C3400" s="210"/>
      <c r="D3400" s="210"/>
      <c r="E3400" s="204"/>
      <c r="F3400" s="205"/>
      <c r="G3400" s="205"/>
    </row>
    <row r="3401" ht="15.75" customHeight="1">
      <c r="A3401" s="224"/>
      <c r="B3401" s="186"/>
      <c r="C3401" s="210"/>
      <c r="D3401" s="210"/>
      <c r="E3401" s="204"/>
      <c r="F3401" s="205"/>
      <c r="G3401" s="205"/>
    </row>
    <row r="3402" ht="15.75" customHeight="1">
      <c r="A3402" s="224"/>
      <c r="B3402" s="186"/>
      <c r="C3402" s="210"/>
      <c r="D3402" s="210"/>
      <c r="E3402" s="204"/>
      <c r="F3402" s="205"/>
      <c r="G3402" s="205"/>
    </row>
    <row r="3403" ht="15.75" customHeight="1">
      <c r="A3403" s="224"/>
      <c r="B3403" s="186"/>
      <c r="C3403" s="210"/>
      <c r="D3403" s="210"/>
      <c r="E3403" s="204"/>
      <c r="F3403" s="205"/>
      <c r="G3403" s="205"/>
    </row>
    <row r="3404" ht="15.75" customHeight="1">
      <c r="A3404" s="224"/>
      <c r="B3404" s="186"/>
      <c r="C3404" s="210"/>
      <c r="D3404" s="210"/>
      <c r="E3404" s="204"/>
      <c r="F3404" s="205"/>
      <c r="G3404" s="205"/>
    </row>
    <row r="3405" ht="15.75" customHeight="1">
      <c r="A3405" s="224"/>
      <c r="B3405" s="186"/>
      <c r="C3405" s="210"/>
      <c r="D3405" s="210"/>
      <c r="E3405" s="204"/>
      <c r="F3405" s="205"/>
      <c r="G3405" s="205"/>
    </row>
    <row r="3406" ht="15.75" customHeight="1">
      <c r="A3406" s="224"/>
      <c r="B3406" s="186"/>
      <c r="C3406" s="210"/>
      <c r="D3406" s="210"/>
      <c r="E3406" s="204"/>
      <c r="F3406" s="205"/>
      <c r="G3406" s="205"/>
    </row>
    <row r="3407" ht="15.75" customHeight="1">
      <c r="A3407" s="224"/>
      <c r="B3407" s="186"/>
      <c r="C3407" s="210"/>
      <c r="D3407" s="210"/>
      <c r="E3407" s="204"/>
      <c r="F3407" s="205"/>
      <c r="G3407" s="205"/>
    </row>
    <row r="3408" ht="15.75" customHeight="1">
      <c r="A3408" s="224"/>
      <c r="B3408" s="186"/>
      <c r="C3408" s="210"/>
      <c r="D3408" s="210"/>
      <c r="E3408" s="204"/>
      <c r="F3408" s="205"/>
      <c r="G3408" s="205"/>
    </row>
    <row r="3409" ht="15.75" customHeight="1">
      <c r="A3409" s="224"/>
      <c r="B3409" s="186"/>
      <c r="C3409" s="210"/>
      <c r="D3409" s="210"/>
      <c r="E3409" s="204"/>
      <c r="F3409" s="205"/>
      <c r="G3409" s="205"/>
    </row>
    <row r="3410" ht="15.75" customHeight="1">
      <c r="A3410" s="224"/>
      <c r="B3410" s="186"/>
      <c r="C3410" s="210"/>
      <c r="D3410" s="210"/>
      <c r="E3410" s="204"/>
      <c r="F3410" s="205"/>
      <c r="G3410" s="205"/>
    </row>
    <row r="3411" ht="15.75" customHeight="1">
      <c r="A3411" s="224"/>
      <c r="B3411" s="186"/>
      <c r="C3411" s="210"/>
      <c r="D3411" s="210"/>
      <c r="E3411" s="204"/>
      <c r="F3411" s="205"/>
      <c r="G3411" s="205"/>
    </row>
    <row r="3412" ht="15.75" customHeight="1">
      <c r="A3412" s="224"/>
      <c r="B3412" s="186"/>
      <c r="C3412" s="210"/>
      <c r="D3412" s="210"/>
      <c r="E3412" s="204"/>
      <c r="F3412" s="205"/>
      <c r="G3412" s="205"/>
    </row>
    <row r="3413" ht="15.75" customHeight="1">
      <c r="A3413" s="224"/>
      <c r="B3413" s="186"/>
      <c r="C3413" s="210"/>
      <c r="D3413" s="210"/>
      <c r="E3413" s="204"/>
      <c r="F3413" s="205"/>
      <c r="G3413" s="205"/>
    </row>
    <row r="3414" ht="15.75" customHeight="1">
      <c r="A3414" s="224"/>
      <c r="B3414" s="186"/>
      <c r="C3414" s="210"/>
      <c r="D3414" s="210"/>
      <c r="E3414" s="204"/>
      <c r="F3414" s="205"/>
      <c r="G3414" s="205"/>
    </row>
    <row r="3415" ht="15.75" customHeight="1">
      <c r="A3415" s="224"/>
      <c r="B3415" s="186"/>
      <c r="C3415" s="210"/>
      <c r="D3415" s="210"/>
      <c r="E3415" s="204"/>
      <c r="F3415" s="205"/>
      <c r="G3415" s="205"/>
    </row>
    <row r="3416" ht="15.75" customHeight="1">
      <c r="A3416" s="224"/>
      <c r="B3416" s="186"/>
      <c r="C3416" s="210"/>
      <c r="D3416" s="210"/>
      <c r="E3416" s="204"/>
      <c r="F3416" s="205"/>
      <c r="G3416" s="205"/>
    </row>
    <row r="3417" ht="15.75" customHeight="1">
      <c r="A3417" s="224"/>
      <c r="B3417" s="186"/>
      <c r="C3417" s="210"/>
      <c r="D3417" s="210"/>
      <c r="E3417" s="204"/>
      <c r="F3417" s="205"/>
      <c r="G3417" s="205"/>
    </row>
    <row r="3418" ht="15.75" customHeight="1">
      <c r="A3418" s="224"/>
      <c r="B3418" s="186"/>
      <c r="C3418" s="210"/>
      <c r="D3418" s="210"/>
      <c r="E3418" s="204"/>
      <c r="F3418" s="205"/>
      <c r="G3418" s="205"/>
    </row>
    <row r="3419" ht="15.75" customHeight="1">
      <c r="A3419" s="224"/>
      <c r="B3419" s="186"/>
      <c r="C3419" s="210"/>
      <c r="D3419" s="210"/>
      <c r="E3419" s="204"/>
      <c r="F3419" s="205"/>
      <c r="G3419" s="205"/>
    </row>
    <row r="3420" ht="15.75" customHeight="1">
      <c r="A3420" s="224"/>
      <c r="B3420" s="186"/>
      <c r="C3420" s="210"/>
      <c r="D3420" s="210"/>
      <c r="E3420" s="204"/>
      <c r="F3420" s="205"/>
      <c r="G3420" s="205"/>
    </row>
    <row r="3421" ht="15.75" customHeight="1">
      <c r="A3421" s="224"/>
      <c r="B3421" s="186"/>
      <c r="C3421" s="210"/>
      <c r="D3421" s="210"/>
      <c r="E3421" s="204"/>
      <c r="F3421" s="205"/>
      <c r="G3421" s="205"/>
    </row>
    <row r="3422" ht="15.75" customHeight="1">
      <c r="A3422" s="224"/>
      <c r="B3422" s="186"/>
      <c r="C3422" s="210"/>
      <c r="D3422" s="210"/>
      <c r="E3422" s="204"/>
      <c r="F3422" s="205"/>
      <c r="G3422" s="205"/>
    </row>
    <row r="3423" ht="15.75" customHeight="1">
      <c r="A3423" s="224"/>
      <c r="B3423" s="186"/>
      <c r="C3423" s="210"/>
      <c r="D3423" s="210"/>
      <c r="E3423" s="204"/>
      <c r="F3423" s="205"/>
      <c r="G3423" s="205"/>
    </row>
    <row r="3424" ht="15.75" customHeight="1">
      <c r="A3424" s="224"/>
      <c r="B3424" s="186"/>
      <c r="C3424" s="210"/>
      <c r="D3424" s="210"/>
      <c r="E3424" s="204"/>
      <c r="F3424" s="205"/>
      <c r="G3424" s="205"/>
    </row>
    <row r="3425" ht="15.75" customHeight="1">
      <c r="A3425" s="224"/>
      <c r="B3425" s="186"/>
      <c r="C3425" s="210"/>
      <c r="D3425" s="210"/>
      <c r="E3425" s="204"/>
      <c r="F3425" s="205"/>
      <c r="G3425" s="205"/>
    </row>
    <row r="3426" ht="15.75" customHeight="1">
      <c r="A3426" s="224"/>
      <c r="B3426" s="186"/>
      <c r="C3426" s="210"/>
      <c r="D3426" s="210"/>
      <c r="E3426" s="204"/>
      <c r="F3426" s="205"/>
      <c r="G3426" s="205"/>
    </row>
    <row r="3427" ht="15.75" customHeight="1">
      <c r="A3427" s="224"/>
      <c r="B3427" s="186"/>
      <c r="C3427" s="210"/>
      <c r="D3427" s="210"/>
      <c r="E3427" s="204"/>
      <c r="F3427" s="205"/>
      <c r="G3427" s="205"/>
    </row>
    <row r="3428" ht="15.75" customHeight="1">
      <c r="A3428" s="224"/>
      <c r="B3428" s="186"/>
      <c r="C3428" s="210"/>
      <c r="D3428" s="210"/>
      <c r="E3428" s="204"/>
      <c r="F3428" s="205"/>
      <c r="G3428" s="205"/>
    </row>
    <row r="3429" ht="15.75" customHeight="1">
      <c r="A3429" s="224"/>
      <c r="B3429" s="186"/>
      <c r="C3429" s="210"/>
      <c r="D3429" s="210"/>
      <c r="E3429" s="204"/>
      <c r="F3429" s="205"/>
      <c r="G3429" s="205"/>
    </row>
    <row r="3430" ht="15.75" customHeight="1">
      <c r="A3430" s="224"/>
      <c r="B3430" s="186"/>
      <c r="C3430" s="210"/>
      <c r="D3430" s="210"/>
      <c r="E3430" s="204"/>
      <c r="F3430" s="205"/>
      <c r="G3430" s="205"/>
    </row>
    <row r="3431" ht="15.75" customHeight="1">
      <c r="A3431" s="224"/>
      <c r="B3431" s="186"/>
      <c r="C3431" s="210"/>
      <c r="D3431" s="210"/>
      <c r="E3431" s="204"/>
      <c r="F3431" s="205"/>
      <c r="G3431" s="205"/>
    </row>
    <row r="3432" ht="15.75" customHeight="1">
      <c r="A3432" s="224"/>
      <c r="B3432" s="186"/>
      <c r="C3432" s="210"/>
      <c r="D3432" s="210"/>
      <c r="E3432" s="204"/>
      <c r="F3432" s="205"/>
      <c r="G3432" s="205"/>
    </row>
    <row r="3433" ht="15.75" customHeight="1">
      <c r="A3433" s="224"/>
      <c r="B3433" s="186"/>
      <c r="C3433" s="210"/>
      <c r="D3433" s="210"/>
      <c r="E3433" s="204"/>
      <c r="F3433" s="205"/>
      <c r="G3433" s="205"/>
    </row>
    <row r="3434" ht="15.75" customHeight="1">
      <c r="A3434" s="224"/>
      <c r="B3434" s="186"/>
      <c r="C3434" s="210"/>
      <c r="D3434" s="210"/>
      <c r="E3434" s="204"/>
      <c r="F3434" s="205"/>
      <c r="G3434" s="205"/>
    </row>
    <row r="3435" ht="15.75" customHeight="1">
      <c r="A3435" s="224"/>
      <c r="B3435" s="186"/>
      <c r="C3435" s="210"/>
      <c r="D3435" s="210"/>
      <c r="E3435" s="204"/>
      <c r="F3435" s="205"/>
      <c r="G3435" s="205"/>
    </row>
    <row r="3436" ht="15.75" customHeight="1">
      <c r="A3436" s="224"/>
      <c r="B3436" s="186"/>
      <c r="C3436" s="210"/>
      <c r="D3436" s="210"/>
      <c r="E3436" s="204"/>
      <c r="F3436" s="205"/>
      <c r="G3436" s="205"/>
    </row>
    <row r="3437" ht="15.75" customHeight="1">
      <c r="A3437" s="224"/>
      <c r="B3437" s="186"/>
      <c r="C3437" s="210"/>
      <c r="D3437" s="210"/>
      <c r="E3437" s="204"/>
      <c r="F3437" s="205"/>
      <c r="G3437" s="205"/>
    </row>
    <row r="3438" ht="15.75" customHeight="1">
      <c r="A3438" s="224"/>
      <c r="B3438" s="186"/>
      <c r="C3438" s="210"/>
      <c r="D3438" s="210"/>
      <c r="E3438" s="204"/>
      <c r="F3438" s="205"/>
      <c r="G3438" s="205"/>
    </row>
    <row r="3439" ht="15.75" customHeight="1">
      <c r="A3439" s="224"/>
      <c r="B3439" s="186"/>
      <c r="C3439" s="210"/>
      <c r="D3439" s="210"/>
      <c r="E3439" s="204"/>
      <c r="F3439" s="205"/>
      <c r="G3439" s="205"/>
    </row>
    <row r="3440" ht="15.75" customHeight="1">
      <c r="A3440" s="224"/>
      <c r="B3440" s="186"/>
      <c r="C3440" s="210"/>
      <c r="D3440" s="210"/>
      <c r="E3440" s="204"/>
      <c r="F3440" s="205"/>
      <c r="G3440" s="205"/>
    </row>
    <row r="3441" ht="15.75" customHeight="1">
      <c r="A3441" s="224"/>
      <c r="B3441" s="186"/>
      <c r="C3441" s="210"/>
      <c r="D3441" s="210"/>
      <c r="E3441" s="204"/>
      <c r="F3441" s="205"/>
      <c r="G3441" s="205"/>
    </row>
    <row r="3442" ht="15.75" customHeight="1">
      <c r="A3442" s="224"/>
      <c r="B3442" s="186"/>
      <c r="C3442" s="210"/>
      <c r="D3442" s="210"/>
      <c r="E3442" s="204"/>
      <c r="F3442" s="205"/>
      <c r="G3442" s="205"/>
    </row>
    <row r="3443" ht="15.75" customHeight="1">
      <c r="A3443" s="224"/>
      <c r="B3443" s="186"/>
      <c r="C3443" s="210"/>
      <c r="D3443" s="210"/>
      <c r="E3443" s="204"/>
      <c r="F3443" s="205"/>
      <c r="G3443" s="205"/>
    </row>
    <row r="3444" ht="15.75" customHeight="1">
      <c r="A3444" s="224"/>
      <c r="B3444" s="186"/>
      <c r="C3444" s="210"/>
      <c r="D3444" s="210"/>
      <c r="E3444" s="204"/>
      <c r="F3444" s="205"/>
      <c r="G3444" s="205"/>
    </row>
    <row r="3445" ht="15.75" customHeight="1">
      <c r="A3445" s="224"/>
      <c r="B3445" s="186"/>
      <c r="C3445" s="210"/>
      <c r="D3445" s="210"/>
      <c r="E3445" s="204"/>
      <c r="F3445" s="205"/>
      <c r="G3445" s="205"/>
    </row>
    <row r="3446" ht="15.75" customHeight="1">
      <c r="A3446" s="224"/>
      <c r="B3446" s="186"/>
      <c r="C3446" s="210"/>
      <c r="D3446" s="210"/>
      <c r="E3446" s="204"/>
      <c r="F3446" s="205"/>
      <c r="G3446" s="205"/>
    </row>
    <row r="3447" ht="15.75" customHeight="1">
      <c r="A3447" s="224"/>
      <c r="B3447" s="186"/>
      <c r="C3447" s="210"/>
      <c r="D3447" s="210"/>
      <c r="E3447" s="204"/>
      <c r="F3447" s="205"/>
      <c r="G3447" s="205"/>
    </row>
    <row r="3448" ht="15.75" customHeight="1">
      <c r="A3448" s="224"/>
      <c r="B3448" s="186"/>
      <c r="C3448" s="210"/>
      <c r="D3448" s="210"/>
      <c r="E3448" s="204"/>
      <c r="F3448" s="205"/>
      <c r="G3448" s="205"/>
    </row>
    <row r="3449" ht="15.75" customHeight="1">
      <c r="A3449" s="224"/>
      <c r="B3449" s="186"/>
      <c r="C3449" s="210"/>
      <c r="D3449" s="210"/>
      <c r="E3449" s="204"/>
      <c r="F3449" s="205"/>
      <c r="G3449" s="205"/>
    </row>
    <row r="3450" ht="15.75" customHeight="1">
      <c r="A3450" s="224"/>
      <c r="B3450" s="186"/>
      <c r="C3450" s="210"/>
      <c r="D3450" s="210"/>
      <c r="E3450" s="204"/>
      <c r="F3450" s="205"/>
      <c r="G3450" s="205"/>
    </row>
    <row r="3451" ht="15.75" customHeight="1">
      <c r="A3451" s="224"/>
      <c r="B3451" s="186"/>
      <c r="C3451" s="210"/>
      <c r="D3451" s="210"/>
      <c r="E3451" s="204"/>
      <c r="F3451" s="205"/>
      <c r="G3451" s="205"/>
    </row>
    <row r="3452" ht="15.75" customHeight="1">
      <c r="A3452" s="224"/>
      <c r="B3452" s="186"/>
      <c r="C3452" s="210"/>
      <c r="D3452" s="210"/>
      <c r="E3452" s="204"/>
      <c r="F3452" s="205"/>
      <c r="G3452" s="205"/>
    </row>
    <row r="3453" ht="15.75" customHeight="1">
      <c r="A3453" s="224"/>
      <c r="B3453" s="186"/>
      <c r="C3453" s="210"/>
      <c r="D3453" s="210"/>
      <c r="E3453" s="204"/>
      <c r="F3453" s="205"/>
      <c r="G3453" s="205"/>
    </row>
    <row r="3454" ht="15.75" customHeight="1">
      <c r="A3454" s="224"/>
      <c r="B3454" s="186"/>
      <c r="C3454" s="210"/>
      <c r="D3454" s="210"/>
      <c r="E3454" s="204"/>
      <c r="F3454" s="205"/>
      <c r="G3454" s="205"/>
    </row>
    <row r="3455" ht="15.75" customHeight="1">
      <c r="A3455" s="224"/>
      <c r="B3455" s="186"/>
      <c r="C3455" s="210"/>
      <c r="D3455" s="210"/>
      <c r="E3455" s="204"/>
      <c r="F3455" s="205"/>
      <c r="G3455" s="205"/>
    </row>
    <row r="3456" ht="15.75" customHeight="1">
      <c r="A3456" s="224"/>
      <c r="B3456" s="186"/>
      <c r="C3456" s="210"/>
      <c r="D3456" s="210"/>
      <c r="E3456" s="204"/>
      <c r="F3456" s="205"/>
      <c r="G3456" s="205"/>
    </row>
    <row r="3457" ht="15.75" customHeight="1">
      <c r="A3457" s="224"/>
      <c r="B3457" s="186"/>
      <c r="C3457" s="210"/>
      <c r="D3457" s="210"/>
      <c r="E3457" s="204"/>
      <c r="F3457" s="205"/>
      <c r="G3457" s="205"/>
    </row>
    <row r="3458" ht="15.75" customHeight="1">
      <c r="A3458" s="224"/>
      <c r="B3458" s="186"/>
      <c r="C3458" s="210"/>
      <c r="D3458" s="210"/>
      <c r="E3458" s="204"/>
      <c r="F3458" s="205"/>
      <c r="G3458" s="205"/>
    </row>
    <row r="3459" ht="15.75" customHeight="1">
      <c r="A3459" s="224"/>
      <c r="B3459" s="186"/>
      <c r="C3459" s="210"/>
      <c r="D3459" s="210"/>
      <c r="E3459" s="204"/>
      <c r="F3459" s="205"/>
      <c r="G3459" s="205"/>
    </row>
    <row r="3460" ht="15.75" customHeight="1">
      <c r="A3460" s="224"/>
      <c r="B3460" s="186"/>
      <c r="C3460" s="210"/>
      <c r="D3460" s="210"/>
      <c r="E3460" s="204"/>
      <c r="F3460" s="205"/>
      <c r="G3460" s="205"/>
    </row>
    <row r="3461" ht="15.75" customHeight="1">
      <c r="A3461" s="224"/>
      <c r="B3461" s="186"/>
      <c r="C3461" s="210"/>
      <c r="D3461" s="210"/>
      <c r="E3461" s="204"/>
      <c r="F3461" s="205"/>
      <c r="G3461" s="205"/>
    </row>
    <row r="3462" ht="15.75" customHeight="1">
      <c r="A3462" s="224"/>
      <c r="B3462" s="186"/>
      <c r="C3462" s="210"/>
      <c r="D3462" s="210"/>
      <c r="E3462" s="204"/>
      <c r="F3462" s="205"/>
      <c r="G3462" s="205"/>
    </row>
    <row r="3463" ht="15.75" customHeight="1">
      <c r="A3463" s="224"/>
      <c r="B3463" s="186"/>
      <c r="C3463" s="210"/>
      <c r="D3463" s="210"/>
      <c r="E3463" s="204"/>
      <c r="F3463" s="205"/>
      <c r="G3463" s="205"/>
    </row>
    <row r="3464" ht="15.75" customHeight="1">
      <c r="A3464" s="224"/>
      <c r="B3464" s="186"/>
      <c r="C3464" s="210"/>
      <c r="D3464" s="210"/>
      <c r="E3464" s="204"/>
      <c r="F3464" s="205"/>
      <c r="G3464" s="205"/>
    </row>
    <row r="3465" ht="15.75" customHeight="1">
      <c r="A3465" s="224"/>
      <c r="B3465" s="186"/>
      <c r="C3465" s="210"/>
      <c r="D3465" s="210"/>
      <c r="E3465" s="204"/>
      <c r="F3465" s="205"/>
      <c r="G3465" s="205"/>
    </row>
    <row r="3466" ht="15.75" customHeight="1">
      <c r="A3466" s="224"/>
      <c r="B3466" s="186"/>
      <c r="C3466" s="210"/>
      <c r="D3466" s="210"/>
      <c r="E3466" s="204"/>
      <c r="F3466" s="205"/>
      <c r="G3466" s="205"/>
    </row>
    <row r="3467" ht="15.75" customHeight="1">
      <c r="A3467" s="224"/>
      <c r="B3467" s="186"/>
      <c r="C3467" s="210"/>
      <c r="D3467" s="210"/>
      <c r="E3467" s="204"/>
      <c r="F3467" s="205"/>
      <c r="G3467" s="205"/>
    </row>
    <row r="3468" ht="15.75" customHeight="1">
      <c r="A3468" s="224"/>
      <c r="B3468" s="186"/>
      <c r="C3468" s="210"/>
      <c r="D3468" s="210"/>
      <c r="E3468" s="204"/>
      <c r="F3468" s="205"/>
      <c r="G3468" s="205"/>
    </row>
    <row r="3469" ht="15.75" customHeight="1">
      <c r="A3469" s="224"/>
      <c r="B3469" s="186"/>
      <c r="C3469" s="210"/>
      <c r="D3469" s="210"/>
      <c r="E3469" s="204"/>
      <c r="F3469" s="205"/>
      <c r="G3469" s="205"/>
    </row>
    <row r="3470" ht="15.75" customHeight="1">
      <c r="A3470" s="224"/>
      <c r="B3470" s="186"/>
      <c r="C3470" s="210"/>
      <c r="D3470" s="210"/>
      <c r="E3470" s="204"/>
      <c r="F3470" s="205"/>
      <c r="G3470" s="205"/>
    </row>
    <row r="3471" ht="15.75" customHeight="1">
      <c r="A3471" s="224"/>
      <c r="B3471" s="186"/>
      <c r="C3471" s="210"/>
      <c r="D3471" s="210"/>
      <c r="E3471" s="204"/>
      <c r="F3471" s="205"/>
      <c r="G3471" s="205"/>
    </row>
    <row r="3472" ht="15.75" customHeight="1">
      <c r="A3472" s="224"/>
      <c r="B3472" s="186"/>
      <c r="C3472" s="210"/>
      <c r="D3472" s="210"/>
      <c r="E3472" s="204"/>
      <c r="F3472" s="205"/>
      <c r="G3472" s="205"/>
    </row>
    <row r="3473" ht="15.75" customHeight="1">
      <c r="A3473" s="224"/>
      <c r="B3473" s="186"/>
      <c r="C3473" s="210"/>
      <c r="D3473" s="210"/>
      <c r="E3473" s="204"/>
      <c r="F3473" s="205"/>
      <c r="G3473" s="205"/>
    </row>
    <row r="3474" ht="15.75" customHeight="1">
      <c r="A3474" s="224"/>
      <c r="B3474" s="186"/>
      <c r="C3474" s="210"/>
      <c r="D3474" s="210"/>
      <c r="E3474" s="204"/>
      <c r="F3474" s="205"/>
      <c r="G3474" s="205"/>
    </row>
    <row r="3475" ht="15.75" customHeight="1">
      <c r="A3475" s="224"/>
      <c r="B3475" s="186"/>
      <c r="C3475" s="210"/>
      <c r="D3475" s="210"/>
      <c r="E3475" s="204"/>
      <c r="F3475" s="205"/>
      <c r="G3475" s="205"/>
    </row>
    <row r="3476" ht="15.75" customHeight="1">
      <c r="A3476" s="224"/>
      <c r="B3476" s="186"/>
      <c r="C3476" s="210"/>
      <c r="D3476" s="210"/>
      <c r="E3476" s="204"/>
      <c r="F3476" s="205"/>
      <c r="G3476" s="205"/>
    </row>
    <row r="3477" ht="15.75" customHeight="1">
      <c r="A3477" s="224"/>
      <c r="B3477" s="186"/>
      <c r="C3477" s="210"/>
      <c r="D3477" s="210"/>
      <c r="E3477" s="204"/>
      <c r="F3477" s="205"/>
      <c r="G3477" s="205"/>
    </row>
    <row r="3478" ht="15.75" customHeight="1">
      <c r="A3478" s="224"/>
      <c r="B3478" s="186"/>
      <c r="C3478" s="210"/>
      <c r="D3478" s="210"/>
      <c r="E3478" s="204"/>
      <c r="F3478" s="205"/>
      <c r="G3478" s="205"/>
    </row>
    <row r="3479" ht="15.75" customHeight="1">
      <c r="A3479" s="224"/>
      <c r="B3479" s="186"/>
      <c r="C3479" s="210"/>
      <c r="D3479" s="210"/>
      <c r="E3479" s="204"/>
      <c r="F3479" s="205"/>
      <c r="G3479" s="205"/>
    </row>
    <row r="3480" ht="15.75" customHeight="1">
      <c r="A3480" s="224"/>
      <c r="B3480" s="186"/>
      <c r="C3480" s="210"/>
      <c r="D3480" s="210"/>
      <c r="E3480" s="204"/>
      <c r="F3480" s="205"/>
      <c r="G3480" s="205"/>
    </row>
    <row r="3481" ht="15.75" customHeight="1">
      <c r="A3481" s="224"/>
      <c r="B3481" s="186"/>
      <c r="C3481" s="210"/>
      <c r="D3481" s="210"/>
      <c r="E3481" s="204"/>
      <c r="F3481" s="205"/>
      <c r="G3481" s="205"/>
    </row>
    <row r="3482" ht="15.75" customHeight="1">
      <c r="A3482" s="224"/>
      <c r="B3482" s="186"/>
      <c r="C3482" s="210"/>
      <c r="D3482" s="210"/>
      <c r="E3482" s="204"/>
      <c r="F3482" s="205"/>
      <c r="G3482" s="205"/>
    </row>
    <row r="3483" ht="15.75" customHeight="1">
      <c r="A3483" s="224"/>
      <c r="B3483" s="186"/>
      <c r="C3483" s="210"/>
      <c r="D3483" s="210"/>
      <c r="E3483" s="204"/>
      <c r="F3483" s="205"/>
      <c r="G3483" s="205"/>
    </row>
    <row r="3484" ht="15.75" customHeight="1">
      <c r="A3484" s="224"/>
      <c r="B3484" s="186"/>
      <c r="C3484" s="210"/>
      <c r="D3484" s="210"/>
      <c r="E3484" s="204"/>
      <c r="F3484" s="205"/>
      <c r="G3484" s="205"/>
    </row>
    <row r="3485" ht="15.75" customHeight="1">
      <c r="A3485" s="224"/>
      <c r="B3485" s="186"/>
      <c r="C3485" s="210"/>
      <c r="D3485" s="210"/>
      <c r="E3485" s="204"/>
      <c r="F3485" s="205"/>
      <c r="G3485" s="205"/>
    </row>
    <row r="3486" ht="15.75" customHeight="1">
      <c r="A3486" s="224"/>
      <c r="B3486" s="186"/>
      <c r="C3486" s="210"/>
      <c r="D3486" s="210"/>
      <c r="E3486" s="204"/>
      <c r="F3486" s="205"/>
      <c r="G3486" s="205"/>
    </row>
    <row r="3487" ht="15.75" customHeight="1">
      <c r="A3487" s="224"/>
      <c r="B3487" s="186"/>
      <c r="C3487" s="210"/>
      <c r="D3487" s="210"/>
      <c r="E3487" s="204"/>
      <c r="F3487" s="205"/>
      <c r="G3487" s="205"/>
    </row>
    <row r="3488" ht="15.75" customHeight="1">
      <c r="A3488" s="224"/>
      <c r="B3488" s="186"/>
      <c r="C3488" s="210"/>
      <c r="D3488" s="210"/>
      <c r="E3488" s="204"/>
      <c r="F3488" s="205"/>
      <c r="G3488" s="205"/>
    </row>
    <row r="3489" ht="15.75" customHeight="1">
      <c r="A3489" s="224"/>
      <c r="B3489" s="186"/>
      <c r="C3489" s="210"/>
      <c r="D3489" s="210"/>
      <c r="E3489" s="204"/>
      <c r="F3489" s="205"/>
      <c r="G3489" s="205"/>
    </row>
    <row r="3490" ht="15.75" customHeight="1">
      <c r="A3490" s="224"/>
      <c r="B3490" s="186"/>
      <c r="C3490" s="210"/>
      <c r="D3490" s="210"/>
      <c r="E3490" s="204"/>
      <c r="F3490" s="205"/>
      <c r="G3490" s="205"/>
    </row>
    <row r="3491" ht="15.75" customHeight="1">
      <c r="A3491" s="224"/>
      <c r="B3491" s="186"/>
      <c r="C3491" s="210"/>
      <c r="D3491" s="210"/>
      <c r="E3491" s="204"/>
      <c r="F3491" s="205"/>
      <c r="G3491" s="205"/>
    </row>
    <row r="3492" ht="15.75" customHeight="1">
      <c r="A3492" s="224"/>
      <c r="B3492" s="186"/>
      <c r="C3492" s="210"/>
      <c r="D3492" s="210"/>
      <c r="E3492" s="204"/>
      <c r="F3492" s="205"/>
      <c r="G3492" s="205"/>
    </row>
    <row r="3493" ht="15.75" customHeight="1">
      <c r="A3493" s="224"/>
      <c r="B3493" s="186"/>
      <c r="C3493" s="210"/>
      <c r="D3493" s="210"/>
      <c r="E3493" s="204"/>
      <c r="F3493" s="205"/>
      <c r="G3493" s="205"/>
    </row>
    <row r="3494" ht="15.75" customHeight="1">
      <c r="A3494" s="224"/>
      <c r="B3494" s="186"/>
      <c r="C3494" s="210"/>
      <c r="D3494" s="210"/>
      <c r="E3494" s="204"/>
      <c r="F3494" s="205"/>
      <c r="G3494" s="205"/>
    </row>
    <row r="3495" ht="15.75" customHeight="1">
      <c r="A3495" s="224"/>
      <c r="B3495" s="186"/>
      <c r="C3495" s="210"/>
      <c r="D3495" s="210"/>
      <c r="E3495" s="204"/>
      <c r="F3495" s="205"/>
      <c r="G3495" s="205"/>
    </row>
    <row r="3496" ht="15.75" customHeight="1">
      <c r="A3496" s="224"/>
      <c r="B3496" s="186"/>
      <c r="C3496" s="210"/>
      <c r="D3496" s="210"/>
      <c r="E3496" s="204"/>
      <c r="F3496" s="205"/>
      <c r="G3496" s="205"/>
    </row>
    <row r="3497" ht="15.75" customHeight="1">
      <c r="A3497" s="224"/>
      <c r="B3497" s="186"/>
      <c r="C3497" s="210"/>
      <c r="D3497" s="210"/>
      <c r="E3497" s="204"/>
      <c r="F3497" s="205"/>
      <c r="G3497" s="205"/>
    </row>
    <row r="3498" ht="15.75" customHeight="1">
      <c r="A3498" s="224"/>
      <c r="B3498" s="186"/>
      <c r="C3498" s="210"/>
      <c r="D3498" s="210"/>
      <c r="E3498" s="204"/>
      <c r="F3498" s="205"/>
      <c r="G3498" s="205"/>
    </row>
    <row r="3499" ht="15.75" customHeight="1">
      <c r="A3499" s="224"/>
      <c r="B3499" s="186"/>
      <c r="C3499" s="210"/>
      <c r="D3499" s="210"/>
      <c r="E3499" s="204"/>
      <c r="F3499" s="205"/>
      <c r="G3499" s="205"/>
    </row>
    <row r="3500" ht="15.75" customHeight="1">
      <c r="A3500" s="224"/>
      <c r="B3500" s="186"/>
      <c r="C3500" s="210"/>
      <c r="D3500" s="210"/>
      <c r="E3500" s="204"/>
      <c r="F3500" s="205"/>
      <c r="G3500" s="205"/>
    </row>
    <row r="3501" ht="15.75" customHeight="1">
      <c r="A3501" s="224"/>
      <c r="B3501" s="186"/>
      <c r="C3501" s="210"/>
      <c r="D3501" s="210"/>
      <c r="E3501" s="204"/>
      <c r="F3501" s="205"/>
      <c r="G3501" s="205"/>
    </row>
    <row r="3502" ht="15.75" customHeight="1">
      <c r="A3502" s="224"/>
      <c r="B3502" s="186"/>
      <c r="C3502" s="210"/>
      <c r="D3502" s="210"/>
      <c r="E3502" s="204"/>
      <c r="F3502" s="205"/>
      <c r="G3502" s="205"/>
    </row>
    <row r="3503" ht="15.75" customHeight="1">
      <c r="A3503" s="224"/>
      <c r="B3503" s="186"/>
      <c r="C3503" s="210"/>
      <c r="D3503" s="210"/>
      <c r="E3503" s="204"/>
      <c r="F3503" s="205"/>
      <c r="G3503" s="205"/>
    </row>
    <row r="3504" ht="15.75" customHeight="1">
      <c r="A3504" s="224"/>
      <c r="B3504" s="186"/>
      <c r="C3504" s="210"/>
      <c r="D3504" s="210"/>
      <c r="E3504" s="204"/>
      <c r="F3504" s="205"/>
      <c r="G3504" s="205"/>
    </row>
    <row r="3505" ht="15.75" customHeight="1">
      <c r="A3505" s="224"/>
      <c r="B3505" s="186"/>
      <c r="C3505" s="210"/>
      <c r="D3505" s="210"/>
      <c r="E3505" s="204"/>
      <c r="F3505" s="205"/>
      <c r="G3505" s="205"/>
    </row>
    <row r="3506" ht="15.75" customHeight="1">
      <c r="A3506" s="224"/>
      <c r="B3506" s="186"/>
      <c r="C3506" s="210"/>
      <c r="D3506" s="210"/>
      <c r="E3506" s="204"/>
      <c r="F3506" s="205"/>
      <c r="G3506" s="205"/>
    </row>
    <row r="3507" ht="15.75" customHeight="1">
      <c r="A3507" s="224"/>
      <c r="B3507" s="186"/>
      <c r="C3507" s="210"/>
      <c r="D3507" s="210"/>
      <c r="E3507" s="204"/>
      <c r="F3507" s="205"/>
      <c r="G3507" s="205"/>
    </row>
    <row r="3508" ht="15.75" customHeight="1">
      <c r="A3508" s="224"/>
      <c r="B3508" s="186"/>
      <c r="C3508" s="210"/>
      <c r="D3508" s="210"/>
      <c r="E3508" s="204"/>
      <c r="F3508" s="205"/>
      <c r="G3508" s="205"/>
    </row>
    <row r="3509" ht="15.75" customHeight="1">
      <c r="A3509" s="224"/>
      <c r="B3509" s="186"/>
      <c r="C3509" s="210"/>
      <c r="D3509" s="210"/>
      <c r="E3509" s="204"/>
      <c r="F3509" s="205"/>
      <c r="G3509" s="205"/>
    </row>
    <row r="3510" ht="15.75" customHeight="1">
      <c r="A3510" s="224"/>
      <c r="B3510" s="186"/>
      <c r="C3510" s="210"/>
      <c r="D3510" s="210"/>
      <c r="E3510" s="204"/>
      <c r="F3510" s="205"/>
      <c r="G3510" s="205"/>
    </row>
    <row r="3511" ht="15.75" customHeight="1">
      <c r="A3511" s="224"/>
      <c r="B3511" s="186"/>
      <c r="C3511" s="210"/>
      <c r="D3511" s="210"/>
      <c r="E3511" s="204"/>
      <c r="F3511" s="205"/>
      <c r="G3511" s="205"/>
    </row>
    <row r="3512" ht="15.75" customHeight="1">
      <c r="A3512" s="224"/>
      <c r="B3512" s="186"/>
      <c r="C3512" s="210"/>
      <c r="D3512" s="210"/>
      <c r="E3512" s="204"/>
      <c r="F3512" s="205"/>
      <c r="G3512" s="205"/>
    </row>
    <row r="3513" ht="15.75" customHeight="1">
      <c r="A3513" s="224"/>
      <c r="B3513" s="186"/>
      <c r="C3513" s="210"/>
      <c r="D3513" s="210"/>
      <c r="E3513" s="204"/>
      <c r="F3513" s="205"/>
      <c r="G3513" s="205"/>
    </row>
    <row r="3514" ht="15.75" customHeight="1">
      <c r="A3514" s="224"/>
      <c r="B3514" s="186"/>
      <c r="C3514" s="210"/>
      <c r="D3514" s="210"/>
      <c r="E3514" s="204"/>
      <c r="F3514" s="205"/>
      <c r="G3514" s="205"/>
    </row>
    <row r="3515" ht="15.75" customHeight="1">
      <c r="A3515" s="224"/>
      <c r="B3515" s="186"/>
      <c r="C3515" s="210"/>
      <c r="D3515" s="210"/>
      <c r="E3515" s="204"/>
      <c r="F3515" s="205"/>
      <c r="G3515" s="205"/>
    </row>
    <row r="3516" ht="15.75" customHeight="1">
      <c r="A3516" s="224"/>
      <c r="B3516" s="186"/>
      <c r="C3516" s="210"/>
      <c r="D3516" s="210"/>
      <c r="E3516" s="204"/>
      <c r="F3516" s="205"/>
      <c r="G3516" s="205"/>
    </row>
    <row r="3517" ht="15.75" customHeight="1">
      <c r="A3517" s="224"/>
      <c r="B3517" s="186"/>
      <c r="C3517" s="210"/>
      <c r="D3517" s="210"/>
      <c r="E3517" s="204"/>
      <c r="F3517" s="205"/>
      <c r="G3517" s="205"/>
    </row>
    <row r="3518" ht="15.75" customHeight="1">
      <c r="A3518" s="224"/>
      <c r="B3518" s="186"/>
      <c r="C3518" s="210"/>
      <c r="D3518" s="210"/>
      <c r="E3518" s="204"/>
      <c r="F3518" s="205"/>
      <c r="G3518" s="205"/>
    </row>
    <row r="3519" ht="15.75" customHeight="1">
      <c r="A3519" s="224"/>
      <c r="B3519" s="186"/>
      <c r="C3519" s="210"/>
      <c r="D3519" s="210"/>
      <c r="E3519" s="204"/>
      <c r="F3519" s="205"/>
      <c r="G3519" s="205"/>
    </row>
    <row r="3520" ht="15.75" customHeight="1">
      <c r="A3520" s="224"/>
      <c r="B3520" s="186"/>
      <c r="C3520" s="210"/>
      <c r="D3520" s="210"/>
      <c r="E3520" s="204"/>
      <c r="F3520" s="205"/>
      <c r="G3520" s="205"/>
    </row>
    <row r="3521" ht="15.75" customHeight="1">
      <c r="A3521" s="224"/>
      <c r="B3521" s="186"/>
      <c r="C3521" s="210"/>
      <c r="D3521" s="210"/>
      <c r="E3521" s="204"/>
      <c r="F3521" s="205"/>
      <c r="G3521" s="205"/>
    </row>
    <row r="3522" ht="15.75" customHeight="1">
      <c r="A3522" s="224"/>
      <c r="B3522" s="186"/>
      <c r="C3522" s="210"/>
      <c r="D3522" s="210"/>
      <c r="E3522" s="204"/>
      <c r="F3522" s="205"/>
      <c r="G3522" s="205"/>
    </row>
    <row r="3523" ht="15.75" customHeight="1">
      <c r="A3523" s="224"/>
      <c r="B3523" s="186"/>
      <c r="C3523" s="210"/>
      <c r="D3523" s="210"/>
      <c r="E3523" s="204"/>
      <c r="F3523" s="205"/>
      <c r="G3523" s="205"/>
    </row>
    <row r="3524" ht="15.75" customHeight="1">
      <c r="A3524" s="224"/>
      <c r="B3524" s="186"/>
      <c r="C3524" s="210"/>
      <c r="D3524" s="210"/>
      <c r="E3524" s="204"/>
      <c r="F3524" s="205"/>
      <c r="G3524" s="205"/>
    </row>
    <row r="3525" ht="15.75" customHeight="1">
      <c r="A3525" s="224"/>
      <c r="B3525" s="186"/>
      <c r="C3525" s="210"/>
      <c r="D3525" s="210"/>
      <c r="E3525" s="204"/>
      <c r="F3525" s="205"/>
      <c r="G3525" s="205"/>
    </row>
    <row r="3526" ht="15.75" customHeight="1">
      <c r="A3526" s="224"/>
      <c r="B3526" s="186"/>
      <c r="C3526" s="210"/>
      <c r="D3526" s="210"/>
      <c r="E3526" s="204"/>
      <c r="F3526" s="205"/>
      <c r="G3526" s="205"/>
    </row>
    <row r="3527" ht="15.75" customHeight="1">
      <c r="A3527" s="224"/>
      <c r="B3527" s="186"/>
      <c r="C3527" s="210"/>
      <c r="D3527" s="210"/>
      <c r="E3527" s="204"/>
      <c r="F3527" s="205"/>
      <c r="G3527" s="205"/>
    </row>
    <row r="3528" ht="15.75" customHeight="1">
      <c r="A3528" s="224"/>
      <c r="B3528" s="186"/>
      <c r="C3528" s="210"/>
      <c r="D3528" s="210"/>
      <c r="E3528" s="204"/>
      <c r="F3528" s="205"/>
      <c r="G3528" s="205"/>
    </row>
    <row r="3529" ht="15.75" customHeight="1">
      <c r="A3529" s="224"/>
      <c r="B3529" s="186"/>
      <c r="C3529" s="210"/>
      <c r="D3529" s="210"/>
      <c r="E3529" s="204"/>
      <c r="F3529" s="205"/>
      <c r="G3529" s="205"/>
    </row>
    <row r="3530" ht="15.75" customHeight="1">
      <c r="A3530" s="224"/>
      <c r="B3530" s="186"/>
      <c r="C3530" s="210"/>
      <c r="D3530" s="210"/>
      <c r="E3530" s="204"/>
      <c r="F3530" s="205"/>
      <c r="G3530" s="205"/>
    </row>
    <row r="3531" ht="15.75" customHeight="1">
      <c r="A3531" s="224"/>
      <c r="B3531" s="186"/>
      <c r="C3531" s="210"/>
      <c r="D3531" s="210"/>
      <c r="E3531" s="204"/>
      <c r="F3531" s="205"/>
      <c r="G3531" s="205"/>
    </row>
    <row r="3532" ht="15.75" customHeight="1">
      <c r="A3532" s="224"/>
      <c r="B3532" s="186"/>
      <c r="C3532" s="210"/>
      <c r="D3532" s="210"/>
      <c r="E3532" s="204"/>
      <c r="F3532" s="205"/>
      <c r="G3532" s="205"/>
    </row>
    <row r="3533" ht="15.75" customHeight="1">
      <c r="A3533" s="224"/>
      <c r="B3533" s="186"/>
      <c r="C3533" s="210"/>
      <c r="D3533" s="210"/>
      <c r="E3533" s="204"/>
      <c r="F3533" s="205"/>
      <c r="G3533" s="205"/>
    </row>
    <row r="3534" ht="15.75" customHeight="1">
      <c r="A3534" s="224"/>
      <c r="B3534" s="186"/>
      <c r="C3534" s="210"/>
      <c r="D3534" s="210"/>
      <c r="E3534" s="204"/>
      <c r="F3534" s="205"/>
      <c r="G3534" s="205"/>
    </row>
    <row r="3535" ht="15.75" customHeight="1">
      <c r="A3535" s="224"/>
      <c r="B3535" s="186"/>
      <c r="C3535" s="210"/>
      <c r="D3535" s="210"/>
      <c r="E3535" s="204"/>
      <c r="F3535" s="205"/>
      <c r="G3535" s="205"/>
    </row>
    <row r="3536" ht="15.75" customHeight="1">
      <c r="A3536" s="224"/>
      <c r="B3536" s="186"/>
      <c r="C3536" s="210"/>
      <c r="D3536" s="210"/>
      <c r="E3536" s="204"/>
      <c r="F3536" s="205"/>
      <c r="G3536" s="205"/>
    </row>
    <row r="3537" ht="15.75" customHeight="1">
      <c r="A3537" s="224"/>
      <c r="B3537" s="186"/>
      <c r="C3537" s="210"/>
      <c r="D3537" s="210"/>
      <c r="E3537" s="204"/>
      <c r="F3537" s="205"/>
      <c r="G3537" s="205"/>
    </row>
    <row r="3538" ht="15.75" customHeight="1">
      <c r="A3538" s="224"/>
      <c r="B3538" s="186"/>
      <c r="C3538" s="210"/>
      <c r="D3538" s="210"/>
      <c r="E3538" s="204"/>
      <c r="F3538" s="205"/>
      <c r="G3538" s="205"/>
    </row>
    <row r="3539" ht="15.75" customHeight="1">
      <c r="A3539" s="224"/>
      <c r="B3539" s="186"/>
      <c r="C3539" s="210"/>
      <c r="D3539" s="210"/>
      <c r="E3539" s="204"/>
      <c r="F3539" s="205"/>
      <c r="G3539" s="205"/>
    </row>
    <row r="3540" ht="15.75" customHeight="1">
      <c r="A3540" s="224"/>
      <c r="B3540" s="186"/>
      <c r="C3540" s="210"/>
      <c r="D3540" s="210"/>
      <c r="E3540" s="204"/>
      <c r="F3540" s="205"/>
      <c r="G3540" s="205"/>
    </row>
    <row r="3541" ht="15.75" customHeight="1">
      <c r="A3541" s="224"/>
      <c r="B3541" s="186"/>
      <c r="C3541" s="210"/>
      <c r="D3541" s="210"/>
      <c r="E3541" s="204"/>
      <c r="F3541" s="205"/>
      <c r="G3541" s="205"/>
    </row>
    <row r="3542" ht="15.75" customHeight="1">
      <c r="A3542" s="224"/>
      <c r="B3542" s="186"/>
      <c r="C3542" s="210"/>
      <c r="D3542" s="210"/>
      <c r="E3542" s="204"/>
      <c r="F3542" s="205"/>
      <c r="G3542" s="205"/>
    </row>
    <row r="3543" ht="15.75" customHeight="1">
      <c r="A3543" s="224"/>
      <c r="B3543" s="186"/>
      <c r="C3543" s="210"/>
      <c r="D3543" s="210"/>
      <c r="E3543" s="204"/>
      <c r="F3543" s="205"/>
      <c r="G3543" s="205"/>
    </row>
    <row r="3544" ht="15.75" customHeight="1">
      <c r="A3544" s="224"/>
      <c r="B3544" s="186"/>
      <c r="C3544" s="210"/>
      <c r="D3544" s="210"/>
      <c r="E3544" s="204"/>
      <c r="F3544" s="205"/>
      <c r="G3544" s="205"/>
    </row>
    <row r="3545" ht="15.75" customHeight="1">
      <c r="A3545" s="224"/>
      <c r="B3545" s="186"/>
      <c r="C3545" s="210"/>
      <c r="D3545" s="210"/>
      <c r="E3545" s="204"/>
      <c r="F3545" s="205"/>
      <c r="G3545" s="205"/>
    </row>
    <row r="3546" ht="15.75" customHeight="1">
      <c r="A3546" s="224"/>
      <c r="B3546" s="186"/>
      <c r="C3546" s="210"/>
      <c r="D3546" s="210"/>
      <c r="E3546" s="204"/>
      <c r="F3546" s="205"/>
      <c r="G3546" s="205"/>
    </row>
    <row r="3547" ht="15.75" customHeight="1">
      <c r="A3547" s="224"/>
      <c r="B3547" s="186"/>
      <c r="C3547" s="210"/>
      <c r="D3547" s="210"/>
      <c r="E3547" s="204"/>
      <c r="F3547" s="205"/>
      <c r="G3547" s="205"/>
    </row>
    <row r="3548" ht="15.75" customHeight="1">
      <c r="A3548" s="224"/>
      <c r="B3548" s="186"/>
      <c r="C3548" s="210"/>
      <c r="D3548" s="210"/>
      <c r="E3548" s="204"/>
      <c r="F3548" s="205"/>
      <c r="G3548" s="205"/>
    </row>
    <row r="3549" ht="15.75" customHeight="1">
      <c r="A3549" s="224"/>
      <c r="B3549" s="186"/>
      <c r="C3549" s="210"/>
      <c r="D3549" s="210"/>
      <c r="E3549" s="204"/>
      <c r="F3549" s="205"/>
      <c r="G3549" s="205"/>
    </row>
    <row r="3550" ht="15.75" customHeight="1">
      <c r="A3550" s="224"/>
      <c r="B3550" s="186"/>
      <c r="C3550" s="210"/>
      <c r="D3550" s="210"/>
      <c r="E3550" s="204"/>
      <c r="F3550" s="205"/>
      <c r="G3550" s="205"/>
    </row>
    <row r="3551" ht="15.75" customHeight="1">
      <c r="A3551" s="224"/>
      <c r="B3551" s="186"/>
      <c r="C3551" s="210"/>
      <c r="D3551" s="210"/>
      <c r="E3551" s="204"/>
      <c r="F3551" s="205"/>
      <c r="G3551" s="205"/>
    </row>
    <row r="3552" ht="15.75" customHeight="1">
      <c r="A3552" s="224"/>
      <c r="B3552" s="186"/>
      <c r="C3552" s="210"/>
      <c r="D3552" s="210"/>
      <c r="E3552" s="204"/>
      <c r="F3552" s="205"/>
      <c r="G3552" s="205"/>
    </row>
    <row r="3553" ht="15.75" customHeight="1">
      <c r="A3553" s="224"/>
      <c r="B3553" s="186"/>
      <c r="C3553" s="210"/>
      <c r="D3553" s="210"/>
      <c r="E3553" s="204"/>
      <c r="F3553" s="205"/>
      <c r="G3553" s="205"/>
    </row>
    <row r="3554" ht="15.75" customHeight="1">
      <c r="A3554" s="224"/>
      <c r="B3554" s="186"/>
      <c r="C3554" s="210"/>
      <c r="D3554" s="210"/>
      <c r="E3554" s="204"/>
      <c r="F3554" s="205"/>
      <c r="G3554" s="205"/>
    </row>
    <row r="3555" ht="15.75" customHeight="1">
      <c r="A3555" s="224"/>
      <c r="B3555" s="186"/>
      <c r="C3555" s="210"/>
      <c r="D3555" s="210"/>
      <c r="E3555" s="204"/>
      <c r="F3555" s="205"/>
      <c r="G3555" s="205"/>
    </row>
    <row r="3556" ht="15.75" customHeight="1">
      <c r="A3556" s="224"/>
      <c r="B3556" s="186"/>
      <c r="C3556" s="210"/>
      <c r="D3556" s="210"/>
      <c r="E3556" s="204"/>
      <c r="F3556" s="205"/>
      <c r="G3556" s="205"/>
    </row>
    <row r="3557" ht="15.75" customHeight="1">
      <c r="A3557" s="224"/>
      <c r="B3557" s="186"/>
      <c r="C3557" s="210"/>
      <c r="D3557" s="210"/>
      <c r="E3557" s="204"/>
      <c r="F3557" s="205"/>
      <c r="G3557" s="205"/>
    </row>
    <row r="3558" ht="15.75" customHeight="1">
      <c r="A3558" s="224"/>
      <c r="B3558" s="186"/>
      <c r="C3558" s="210"/>
      <c r="D3558" s="210"/>
      <c r="E3558" s="204"/>
      <c r="F3558" s="205"/>
      <c r="G3558" s="205"/>
    </row>
    <row r="3559" ht="15.75" customHeight="1">
      <c r="A3559" s="224"/>
      <c r="B3559" s="186"/>
      <c r="C3559" s="210"/>
      <c r="D3559" s="210"/>
      <c r="E3559" s="204"/>
      <c r="F3559" s="205"/>
      <c r="G3559" s="205"/>
    </row>
    <row r="3560" ht="15.75" customHeight="1">
      <c r="A3560" s="224"/>
      <c r="B3560" s="186"/>
      <c r="C3560" s="210"/>
      <c r="D3560" s="210"/>
      <c r="E3560" s="204"/>
      <c r="F3560" s="205"/>
      <c r="G3560" s="205"/>
    </row>
    <row r="3561" ht="15.75" customHeight="1">
      <c r="A3561" s="224"/>
      <c r="B3561" s="186"/>
      <c r="C3561" s="210"/>
      <c r="D3561" s="210"/>
      <c r="E3561" s="204"/>
      <c r="F3561" s="205"/>
      <c r="G3561" s="205"/>
    </row>
    <row r="3562" ht="15.75" customHeight="1">
      <c r="A3562" s="224"/>
      <c r="B3562" s="186"/>
      <c r="C3562" s="210"/>
      <c r="D3562" s="210"/>
      <c r="E3562" s="204"/>
      <c r="F3562" s="205"/>
      <c r="G3562" s="205"/>
    </row>
    <row r="3563" ht="15.75" customHeight="1">
      <c r="A3563" s="224"/>
      <c r="B3563" s="186"/>
      <c r="C3563" s="210"/>
      <c r="D3563" s="210"/>
      <c r="E3563" s="204"/>
      <c r="F3563" s="205"/>
      <c r="G3563" s="205"/>
    </row>
    <row r="3564" ht="15.75" customHeight="1">
      <c r="A3564" s="224"/>
      <c r="B3564" s="186"/>
      <c r="C3564" s="210"/>
      <c r="D3564" s="210"/>
      <c r="E3564" s="204"/>
      <c r="F3564" s="205"/>
      <c r="G3564" s="205"/>
    </row>
    <row r="3565" ht="15.75" customHeight="1">
      <c r="A3565" s="224"/>
      <c r="B3565" s="186"/>
      <c r="C3565" s="210"/>
      <c r="D3565" s="210"/>
      <c r="E3565" s="204"/>
      <c r="F3565" s="205"/>
      <c r="G3565" s="205"/>
    </row>
    <row r="3566" ht="15.75" customHeight="1">
      <c r="A3566" s="224"/>
      <c r="B3566" s="186"/>
      <c r="C3566" s="210"/>
      <c r="D3566" s="210"/>
      <c r="E3566" s="204"/>
      <c r="F3566" s="205"/>
      <c r="G3566" s="205"/>
    </row>
    <row r="3567" ht="15.75" customHeight="1">
      <c r="A3567" s="224"/>
      <c r="B3567" s="186"/>
      <c r="C3567" s="210"/>
      <c r="D3567" s="210"/>
      <c r="E3567" s="204"/>
      <c r="F3567" s="205"/>
      <c r="G3567" s="205"/>
    </row>
    <row r="3568" ht="15.75" customHeight="1">
      <c r="A3568" s="224"/>
      <c r="B3568" s="186"/>
      <c r="C3568" s="210"/>
      <c r="D3568" s="210"/>
      <c r="E3568" s="204"/>
      <c r="F3568" s="205"/>
      <c r="G3568" s="205"/>
    </row>
    <row r="3569" ht="15.75" customHeight="1">
      <c r="A3569" s="224"/>
      <c r="B3569" s="186"/>
      <c r="C3569" s="210"/>
      <c r="D3569" s="210"/>
      <c r="E3569" s="204"/>
      <c r="F3569" s="205"/>
      <c r="G3569" s="205"/>
    </row>
    <row r="3570" ht="15.75" customHeight="1">
      <c r="A3570" s="224"/>
      <c r="B3570" s="186"/>
      <c r="C3570" s="210"/>
      <c r="D3570" s="210"/>
      <c r="E3570" s="204"/>
      <c r="F3570" s="205"/>
      <c r="G3570" s="205"/>
    </row>
    <row r="3571" ht="15.75" customHeight="1">
      <c r="A3571" s="224"/>
      <c r="B3571" s="186"/>
      <c r="C3571" s="210"/>
      <c r="D3571" s="210"/>
      <c r="E3571" s="204"/>
      <c r="F3571" s="205"/>
      <c r="G3571" s="205"/>
    </row>
    <row r="3572" ht="15.75" customHeight="1">
      <c r="A3572" s="224"/>
      <c r="B3572" s="186"/>
      <c r="C3572" s="210"/>
      <c r="D3572" s="210"/>
      <c r="E3572" s="204"/>
      <c r="F3572" s="205"/>
      <c r="G3572" s="205"/>
    </row>
    <row r="3573" ht="15.75" customHeight="1">
      <c r="A3573" s="224"/>
      <c r="B3573" s="186"/>
      <c r="C3573" s="210"/>
      <c r="D3573" s="210"/>
      <c r="E3573" s="204"/>
      <c r="F3573" s="205"/>
      <c r="G3573" s="205"/>
    </row>
    <row r="3574" ht="15.75" customHeight="1">
      <c r="A3574" s="224"/>
      <c r="B3574" s="186"/>
      <c r="C3574" s="210"/>
      <c r="D3574" s="210"/>
      <c r="E3574" s="204"/>
      <c r="F3574" s="205"/>
      <c r="G3574" s="205"/>
    </row>
    <row r="3575" ht="15.75" customHeight="1">
      <c r="A3575" s="224"/>
      <c r="B3575" s="186"/>
      <c r="C3575" s="210"/>
      <c r="D3575" s="210"/>
      <c r="E3575" s="204"/>
      <c r="F3575" s="205"/>
      <c r="G3575" s="205"/>
    </row>
    <row r="3576" ht="15.75" customHeight="1">
      <c r="A3576" s="224"/>
      <c r="B3576" s="186"/>
      <c r="C3576" s="210"/>
      <c r="D3576" s="210"/>
      <c r="E3576" s="204"/>
      <c r="F3576" s="205"/>
      <c r="G3576" s="205"/>
    </row>
    <row r="3577" ht="15.75" customHeight="1">
      <c r="A3577" s="224"/>
      <c r="B3577" s="186"/>
      <c r="C3577" s="210"/>
      <c r="D3577" s="210"/>
      <c r="E3577" s="204"/>
      <c r="F3577" s="205"/>
      <c r="G3577" s="205"/>
    </row>
    <row r="3578" ht="15.75" customHeight="1">
      <c r="A3578" s="224"/>
      <c r="B3578" s="186"/>
      <c r="C3578" s="210"/>
      <c r="D3578" s="210"/>
      <c r="E3578" s="204"/>
      <c r="F3578" s="205"/>
      <c r="G3578" s="205"/>
    </row>
    <row r="3579" ht="15.75" customHeight="1">
      <c r="A3579" s="224"/>
      <c r="B3579" s="186"/>
      <c r="C3579" s="210"/>
      <c r="D3579" s="210"/>
      <c r="E3579" s="204"/>
      <c r="F3579" s="205"/>
      <c r="G3579" s="205"/>
    </row>
    <row r="3580" ht="15.75" customHeight="1">
      <c r="A3580" s="224"/>
      <c r="B3580" s="186"/>
      <c r="C3580" s="210"/>
      <c r="D3580" s="210"/>
      <c r="E3580" s="204"/>
      <c r="F3580" s="205"/>
      <c r="G3580" s="205"/>
    </row>
    <row r="3581" ht="15.75" customHeight="1">
      <c r="A3581" s="224"/>
      <c r="B3581" s="186"/>
      <c r="C3581" s="210"/>
      <c r="D3581" s="210"/>
      <c r="E3581" s="204"/>
      <c r="F3581" s="205"/>
      <c r="G3581" s="205"/>
    </row>
    <row r="3582" ht="15.75" customHeight="1">
      <c r="A3582" s="224"/>
      <c r="B3582" s="186"/>
      <c r="C3582" s="210"/>
      <c r="D3582" s="210"/>
      <c r="E3582" s="204"/>
      <c r="F3582" s="205"/>
      <c r="G3582" s="205"/>
    </row>
    <row r="3583" ht="15.75" customHeight="1">
      <c r="A3583" s="224"/>
      <c r="B3583" s="186"/>
      <c r="C3583" s="210"/>
      <c r="D3583" s="210"/>
      <c r="E3583" s="204"/>
      <c r="F3583" s="205"/>
      <c r="G3583" s="205"/>
    </row>
    <row r="3584" ht="15.75" customHeight="1">
      <c r="A3584" s="224"/>
      <c r="B3584" s="186"/>
      <c r="C3584" s="210"/>
      <c r="D3584" s="210"/>
      <c r="E3584" s="204"/>
      <c r="F3584" s="205"/>
      <c r="G3584" s="205"/>
    </row>
    <row r="3585" ht="15.75" customHeight="1">
      <c r="A3585" s="224"/>
      <c r="B3585" s="186"/>
      <c r="C3585" s="210"/>
      <c r="D3585" s="210"/>
      <c r="E3585" s="204"/>
      <c r="F3585" s="205"/>
      <c r="G3585" s="205"/>
    </row>
    <row r="3586" ht="15.75" customHeight="1">
      <c r="A3586" s="224"/>
      <c r="B3586" s="186"/>
      <c r="C3586" s="210"/>
      <c r="D3586" s="210"/>
      <c r="E3586" s="204"/>
      <c r="F3586" s="205"/>
      <c r="G3586" s="205"/>
    </row>
    <row r="3587" ht="15.75" customHeight="1">
      <c r="A3587" s="224"/>
      <c r="B3587" s="186"/>
      <c r="C3587" s="210"/>
      <c r="D3587" s="210"/>
      <c r="E3587" s="204"/>
      <c r="F3587" s="205"/>
      <c r="G3587" s="205"/>
    </row>
    <row r="3588" ht="15.75" customHeight="1">
      <c r="A3588" s="224"/>
      <c r="B3588" s="186"/>
      <c r="C3588" s="210"/>
      <c r="D3588" s="210"/>
      <c r="E3588" s="204"/>
      <c r="F3588" s="205"/>
      <c r="G3588" s="205"/>
    </row>
    <row r="3589" ht="15.75" customHeight="1">
      <c r="A3589" s="224"/>
      <c r="B3589" s="186"/>
      <c r="C3589" s="210"/>
      <c r="D3589" s="210"/>
      <c r="E3589" s="204"/>
      <c r="F3589" s="205"/>
      <c r="G3589" s="205"/>
    </row>
    <row r="3590" ht="15.75" customHeight="1">
      <c r="A3590" s="224"/>
      <c r="B3590" s="186"/>
      <c r="C3590" s="210"/>
      <c r="D3590" s="210"/>
      <c r="E3590" s="204"/>
      <c r="F3590" s="205"/>
      <c r="G3590" s="205"/>
    </row>
    <row r="3591" ht="15.75" customHeight="1">
      <c r="A3591" s="224"/>
      <c r="B3591" s="186"/>
      <c r="C3591" s="210"/>
      <c r="D3591" s="210"/>
      <c r="E3591" s="204"/>
      <c r="F3591" s="205"/>
      <c r="G3591" s="205"/>
    </row>
    <row r="3592" ht="15.75" customHeight="1">
      <c r="A3592" s="224"/>
      <c r="B3592" s="186"/>
      <c r="C3592" s="210"/>
      <c r="D3592" s="210"/>
      <c r="E3592" s="204"/>
      <c r="F3592" s="205"/>
      <c r="G3592" s="205"/>
    </row>
    <row r="3593" ht="15.75" customHeight="1">
      <c r="A3593" s="224"/>
      <c r="B3593" s="186"/>
      <c r="C3593" s="210"/>
      <c r="D3593" s="210"/>
      <c r="E3593" s="204"/>
      <c r="F3593" s="205"/>
      <c r="G3593" s="205"/>
    </row>
    <row r="3594" ht="15.75" customHeight="1">
      <c r="A3594" s="224"/>
      <c r="B3594" s="186"/>
      <c r="C3594" s="210"/>
      <c r="D3594" s="210"/>
      <c r="E3594" s="204"/>
      <c r="F3594" s="205"/>
      <c r="G3594" s="205"/>
    </row>
    <row r="3595" ht="15.75" customHeight="1">
      <c r="A3595" s="224"/>
      <c r="B3595" s="186"/>
      <c r="C3595" s="210"/>
      <c r="D3595" s="210"/>
      <c r="E3595" s="204"/>
      <c r="F3595" s="205"/>
      <c r="G3595" s="205"/>
    </row>
    <row r="3596" ht="15.75" customHeight="1">
      <c r="A3596" s="224"/>
      <c r="B3596" s="186"/>
      <c r="C3596" s="210"/>
      <c r="D3596" s="210"/>
      <c r="E3596" s="204"/>
      <c r="F3596" s="205"/>
      <c r="G3596" s="205"/>
    </row>
    <row r="3597" ht="15.75" customHeight="1">
      <c r="A3597" s="224"/>
      <c r="B3597" s="186"/>
      <c r="C3597" s="210"/>
      <c r="D3597" s="210"/>
      <c r="E3597" s="204"/>
      <c r="F3597" s="205"/>
      <c r="G3597" s="205"/>
    </row>
    <row r="3598" ht="15.75" customHeight="1">
      <c r="A3598" s="224"/>
      <c r="B3598" s="186"/>
      <c r="C3598" s="210"/>
      <c r="D3598" s="210"/>
      <c r="E3598" s="204"/>
      <c r="F3598" s="205"/>
      <c r="G3598" s="205"/>
    </row>
    <row r="3599" ht="15.75" customHeight="1">
      <c r="A3599" s="224"/>
      <c r="B3599" s="186"/>
      <c r="C3599" s="210"/>
      <c r="D3599" s="210"/>
      <c r="E3599" s="204"/>
      <c r="F3599" s="205"/>
      <c r="G3599" s="205"/>
    </row>
    <row r="3600" ht="15.75" customHeight="1">
      <c r="A3600" s="224"/>
      <c r="B3600" s="186"/>
      <c r="C3600" s="210"/>
      <c r="D3600" s="210"/>
      <c r="E3600" s="204"/>
      <c r="F3600" s="205"/>
      <c r="G3600" s="205"/>
    </row>
    <row r="3601" ht="15.75" customHeight="1">
      <c r="A3601" s="224"/>
      <c r="B3601" s="186"/>
      <c r="C3601" s="210"/>
      <c r="D3601" s="210"/>
      <c r="E3601" s="204"/>
      <c r="F3601" s="205"/>
      <c r="G3601" s="205"/>
    </row>
    <row r="3602" ht="15.75" customHeight="1">
      <c r="A3602" s="224"/>
      <c r="B3602" s="186"/>
      <c r="C3602" s="210"/>
      <c r="D3602" s="210"/>
      <c r="E3602" s="204"/>
      <c r="F3602" s="205"/>
      <c r="G3602" s="205"/>
    </row>
    <row r="3603" ht="15.75" customHeight="1">
      <c r="A3603" s="224"/>
      <c r="B3603" s="186"/>
      <c r="C3603" s="210"/>
      <c r="D3603" s="210"/>
      <c r="E3603" s="204"/>
      <c r="F3603" s="205"/>
      <c r="G3603" s="205"/>
    </row>
    <row r="3604" ht="15.75" customHeight="1">
      <c r="A3604" s="224"/>
      <c r="B3604" s="186"/>
      <c r="C3604" s="210"/>
      <c r="D3604" s="210"/>
      <c r="E3604" s="204"/>
      <c r="F3604" s="205"/>
      <c r="G3604" s="205"/>
    </row>
    <row r="3605" ht="15.75" customHeight="1">
      <c r="A3605" s="224"/>
      <c r="B3605" s="186"/>
      <c r="C3605" s="210"/>
      <c r="D3605" s="210"/>
      <c r="E3605" s="204"/>
      <c r="F3605" s="205"/>
      <c r="G3605" s="205"/>
    </row>
    <row r="3606" ht="15.75" customHeight="1">
      <c r="A3606" s="224"/>
      <c r="B3606" s="186"/>
      <c r="C3606" s="210"/>
      <c r="D3606" s="210"/>
      <c r="E3606" s="204"/>
      <c r="F3606" s="205"/>
      <c r="G3606" s="205"/>
    </row>
    <row r="3607" ht="15.75" customHeight="1">
      <c r="A3607" s="224"/>
      <c r="B3607" s="186"/>
      <c r="C3607" s="210"/>
      <c r="D3607" s="210"/>
      <c r="E3607" s="204"/>
      <c r="F3607" s="205"/>
      <c r="G3607" s="205"/>
    </row>
    <row r="3608" ht="15.75" customHeight="1">
      <c r="A3608" s="224"/>
      <c r="B3608" s="186"/>
      <c r="C3608" s="210"/>
      <c r="D3608" s="210"/>
      <c r="E3608" s="204"/>
      <c r="F3608" s="205"/>
      <c r="G3608" s="205"/>
    </row>
    <row r="3609" ht="15.75" customHeight="1">
      <c r="A3609" s="224"/>
      <c r="B3609" s="186"/>
      <c r="C3609" s="210"/>
      <c r="D3609" s="210"/>
      <c r="E3609" s="204"/>
      <c r="F3609" s="205"/>
      <c r="G3609" s="205"/>
    </row>
    <row r="3610" ht="15.75" customHeight="1">
      <c r="A3610" s="224"/>
      <c r="B3610" s="186"/>
      <c r="C3610" s="210"/>
      <c r="D3610" s="210"/>
      <c r="E3610" s="204"/>
      <c r="F3610" s="205"/>
      <c r="G3610" s="205"/>
    </row>
    <row r="3611" ht="15.75" customHeight="1">
      <c r="A3611" s="224"/>
      <c r="B3611" s="186"/>
      <c r="C3611" s="210"/>
      <c r="D3611" s="210"/>
      <c r="E3611" s="204"/>
      <c r="F3611" s="205"/>
      <c r="G3611" s="205"/>
    </row>
    <row r="3612" ht="15.75" customHeight="1">
      <c r="A3612" s="224"/>
      <c r="B3612" s="186"/>
      <c r="C3612" s="210"/>
      <c r="D3612" s="210"/>
      <c r="E3612" s="204"/>
      <c r="F3612" s="205"/>
      <c r="G3612" s="205"/>
    </row>
    <row r="3613" ht="15.75" customHeight="1">
      <c r="A3613" s="224"/>
      <c r="B3613" s="186"/>
      <c r="C3613" s="210"/>
      <c r="D3613" s="210"/>
      <c r="E3613" s="204"/>
      <c r="F3613" s="205"/>
      <c r="G3613" s="205"/>
    </row>
    <row r="3614" ht="15.75" customHeight="1">
      <c r="A3614" s="224"/>
      <c r="B3614" s="186"/>
      <c r="C3614" s="210"/>
      <c r="D3614" s="210"/>
      <c r="E3614" s="204"/>
      <c r="F3614" s="205"/>
      <c r="G3614" s="205"/>
    </row>
    <row r="3615" ht="15.75" customHeight="1">
      <c r="A3615" s="224"/>
      <c r="B3615" s="186"/>
      <c r="C3615" s="210"/>
      <c r="D3615" s="210"/>
      <c r="E3615" s="204"/>
      <c r="F3615" s="205"/>
      <c r="G3615" s="205"/>
    </row>
    <row r="3616" ht="15.75" customHeight="1">
      <c r="A3616" s="224"/>
      <c r="B3616" s="186"/>
      <c r="C3616" s="210"/>
      <c r="D3616" s="210"/>
      <c r="E3616" s="204"/>
      <c r="F3616" s="205"/>
      <c r="G3616" s="205"/>
    </row>
    <row r="3617" ht="15.75" customHeight="1">
      <c r="A3617" s="224"/>
      <c r="B3617" s="186"/>
      <c r="C3617" s="210"/>
      <c r="D3617" s="210"/>
      <c r="E3617" s="204"/>
      <c r="F3617" s="205"/>
      <c r="G3617" s="205"/>
    </row>
    <row r="3618" ht="15.75" customHeight="1">
      <c r="A3618" s="224"/>
      <c r="B3618" s="186"/>
      <c r="C3618" s="210"/>
      <c r="D3618" s="210"/>
      <c r="E3618" s="204"/>
      <c r="F3618" s="205"/>
      <c r="G3618" s="205"/>
    </row>
    <row r="3619" ht="15.75" customHeight="1">
      <c r="A3619" s="224"/>
      <c r="B3619" s="186"/>
      <c r="C3619" s="210"/>
      <c r="D3619" s="210"/>
      <c r="E3619" s="204"/>
      <c r="F3619" s="205"/>
      <c r="G3619" s="205"/>
    </row>
    <row r="3620" ht="15.75" customHeight="1">
      <c r="A3620" s="224"/>
      <c r="B3620" s="186"/>
      <c r="C3620" s="210"/>
      <c r="D3620" s="210"/>
      <c r="E3620" s="204"/>
      <c r="F3620" s="205"/>
      <c r="G3620" s="205"/>
    </row>
    <row r="3621" ht="15.75" customHeight="1">
      <c r="A3621" s="224"/>
      <c r="B3621" s="186"/>
      <c r="C3621" s="210"/>
      <c r="D3621" s="210"/>
      <c r="E3621" s="204"/>
      <c r="F3621" s="205"/>
      <c r="G3621" s="205"/>
    </row>
    <row r="3622" ht="15.75" customHeight="1">
      <c r="A3622" s="224"/>
      <c r="B3622" s="186"/>
      <c r="C3622" s="210"/>
      <c r="D3622" s="210"/>
      <c r="E3622" s="204"/>
      <c r="F3622" s="205"/>
      <c r="G3622" s="205"/>
    </row>
    <row r="3623" ht="15.75" customHeight="1">
      <c r="A3623" s="224"/>
      <c r="B3623" s="186"/>
      <c r="C3623" s="210"/>
      <c r="D3623" s="210"/>
      <c r="E3623" s="204"/>
      <c r="F3623" s="205"/>
      <c r="G3623" s="205"/>
    </row>
    <row r="3624" ht="15.75" customHeight="1">
      <c r="A3624" s="224"/>
      <c r="B3624" s="186"/>
      <c r="C3624" s="210"/>
      <c r="D3624" s="210"/>
      <c r="E3624" s="204"/>
      <c r="F3624" s="205"/>
      <c r="G3624" s="205"/>
    </row>
    <row r="3625" ht="15.75" customHeight="1">
      <c r="A3625" s="224"/>
      <c r="B3625" s="186"/>
      <c r="C3625" s="210"/>
      <c r="D3625" s="210"/>
      <c r="E3625" s="204"/>
      <c r="F3625" s="205"/>
      <c r="G3625" s="205"/>
    </row>
    <row r="3626" ht="15.75" customHeight="1">
      <c r="A3626" s="224"/>
      <c r="B3626" s="186"/>
      <c r="C3626" s="210"/>
      <c r="D3626" s="210"/>
      <c r="E3626" s="204"/>
      <c r="F3626" s="205"/>
      <c r="G3626" s="205"/>
    </row>
    <row r="3627" ht="15.75" customHeight="1">
      <c r="A3627" s="224"/>
      <c r="B3627" s="186"/>
      <c r="C3627" s="210"/>
      <c r="D3627" s="210"/>
      <c r="E3627" s="204"/>
      <c r="F3627" s="205"/>
      <c r="G3627" s="205"/>
    </row>
    <row r="3628" ht="15.75" customHeight="1">
      <c r="A3628" s="224"/>
      <c r="B3628" s="186"/>
      <c r="C3628" s="210"/>
      <c r="D3628" s="210"/>
      <c r="E3628" s="204"/>
      <c r="F3628" s="205"/>
      <c r="G3628" s="205"/>
    </row>
    <row r="3629" ht="15.75" customHeight="1">
      <c r="A3629" s="224"/>
      <c r="B3629" s="186"/>
      <c r="C3629" s="210"/>
      <c r="D3629" s="210"/>
      <c r="E3629" s="204"/>
      <c r="F3629" s="205"/>
      <c r="G3629" s="205"/>
    </row>
    <row r="3630" ht="15.75" customHeight="1">
      <c r="A3630" s="224"/>
      <c r="B3630" s="186"/>
      <c r="C3630" s="210"/>
      <c r="D3630" s="210"/>
      <c r="E3630" s="204"/>
      <c r="F3630" s="205"/>
      <c r="G3630" s="205"/>
    </row>
    <row r="3631" ht="15.75" customHeight="1">
      <c r="A3631" s="224"/>
      <c r="B3631" s="186"/>
      <c r="C3631" s="210"/>
      <c r="D3631" s="210"/>
      <c r="E3631" s="204"/>
      <c r="F3631" s="205"/>
      <c r="G3631" s="205"/>
    </row>
    <row r="3632" ht="15.75" customHeight="1">
      <c r="A3632" s="224"/>
      <c r="B3632" s="186"/>
      <c r="C3632" s="210"/>
      <c r="D3632" s="210"/>
      <c r="E3632" s="204"/>
      <c r="F3632" s="205"/>
      <c r="G3632" s="205"/>
    </row>
    <row r="3633" ht="15.75" customHeight="1">
      <c r="A3633" s="224"/>
      <c r="B3633" s="186"/>
      <c r="C3633" s="210"/>
      <c r="D3633" s="210"/>
      <c r="E3633" s="204"/>
      <c r="F3633" s="205"/>
      <c r="G3633" s="205"/>
    </row>
    <row r="3634" ht="15.75" customHeight="1">
      <c r="A3634" s="224"/>
      <c r="B3634" s="186"/>
      <c r="C3634" s="210"/>
      <c r="D3634" s="210"/>
      <c r="E3634" s="204"/>
      <c r="F3634" s="205"/>
      <c r="G3634" s="205"/>
    </row>
    <row r="3635" ht="15.75" customHeight="1">
      <c r="A3635" s="224"/>
      <c r="B3635" s="186"/>
      <c r="C3635" s="210"/>
      <c r="D3635" s="210"/>
      <c r="E3635" s="204"/>
      <c r="F3635" s="205"/>
      <c r="G3635" s="205"/>
    </row>
    <row r="3636" ht="15.75" customHeight="1">
      <c r="A3636" s="224"/>
      <c r="B3636" s="186"/>
      <c r="C3636" s="210"/>
      <c r="D3636" s="210"/>
      <c r="E3636" s="204"/>
      <c r="F3636" s="205"/>
      <c r="G3636" s="205"/>
    </row>
    <row r="3637" ht="15.75" customHeight="1">
      <c r="A3637" s="224"/>
      <c r="B3637" s="186"/>
      <c r="C3637" s="210"/>
      <c r="D3637" s="210"/>
      <c r="E3637" s="204"/>
      <c r="F3637" s="205"/>
      <c r="G3637" s="205"/>
    </row>
    <row r="3638" ht="15.75" customHeight="1">
      <c r="A3638" s="224"/>
      <c r="B3638" s="186"/>
      <c r="C3638" s="210"/>
      <c r="D3638" s="210"/>
      <c r="E3638" s="204"/>
      <c r="F3638" s="205"/>
      <c r="G3638" s="205"/>
    </row>
    <row r="3639" ht="15.75" customHeight="1">
      <c r="A3639" s="224"/>
      <c r="B3639" s="186"/>
      <c r="C3639" s="210"/>
      <c r="D3639" s="210"/>
      <c r="E3639" s="204"/>
      <c r="F3639" s="205"/>
      <c r="G3639" s="205"/>
    </row>
    <row r="3640" ht="15.75" customHeight="1">
      <c r="A3640" s="224"/>
      <c r="B3640" s="186"/>
      <c r="C3640" s="210"/>
      <c r="D3640" s="210"/>
      <c r="E3640" s="204"/>
      <c r="F3640" s="205"/>
      <c r="G3640" s="205"/>
    </row>
    <row r="3641" ht="15.75" customHeight="1">
      <c r="A3641" s="224"/>
      <c r="B3641" s="186"/>
      <c r="C3641" s="210"/>
      <c r="D3641" s="210"/>
      <c r="E3641" s="204"/>
      <c r="F3641" s="205"/>
      <c r="G3641" s="205"/>
    </row>
    <row r="3642" ht="15.75" customHeight="1">
      <c r="A3642" s="224"/>
      <c r="B3642" s="186"/>
      <c r="C3642" s="210"/>
      <c r="D3642" s="210"/>
      <c r="E3642" s="204"/>
      <c r="F3642" s="205"/>
      <c r="G3642" s="205"/>
    </row>
    <row r="3643" ht="15.75" customHeight="1">
      <c r="A3643" s="224"/>
      <c r="B3643" s="186"/>
      <c r="C3643" s="210"/>
      <c r="D3643" s="210"/>
      <c r="E3643" s="204"/>
      <c r="F3643" s="205"/>
      <c r="G3643" s="205"/>
    </row>
    <row r="3644" ht="15.75" customHeight="1">
      <c r="A3644" s="224"/>
      <c r="B3644" s="186"/>
      <c r="C3644" s="210"/>
      <c r="D3644" s="210"/>
      <c r="E3644" s="204"/>
      <c r="F3644" s="205"/>
      <c r="G3644" s="205"/>
    </row>
    <row r="3645" ht="15.75" customHeight="1">
      <c r="A3645" s="224"/>
      <c r="B3645" s="186"/>
      <c r="C3645" s="210"/>
      <c r="D3645" s="210"/>
      <c r="E3645" s="204"/>
      <c r="F3645" s="205"/>
      <c r="G3645" s="205"/>
    </row>
    <row r="3646" ht="15.75" customHeight="1">
      <c r="A3646" s="224"/>
      <c r="B3646" s="186"/>
      <c r="C3646" s="210"/>
      <c r="D3646" s="210"/>
      <c r="E3646" s="204"/>
      <c r="F3646" s="205"/>
      <c r="G3646" s="205"/>
    </row>
    <row r="3647" ht="15.75" customHeight="1">
      <c r="A3647" s="224"/>
      <c r="B3647" s="186"/>
      <c r="C3647" s="210"/>
      <c r="D3647" s="210"/>
      <c r="E3647" s="204"/>
      <c r="F3647" s="205"/>
      <c r="G3647" s="205"/>
    </row>
    <row r="3648" ht="15.75" customHeight="1">
      <c r="A3648" s="224"/>
      <c r="B3648" s="186"/>
      <c r="C3648" s="210"/>
      <c r="D3648" s="210"/>
      <c r="E3648" s="204"/>
      <c r="F3648" s="205"/>
      <c r="G3648" s="205"/>
    </row>
    <row r="3649" ht="15.75" customHeight="1">
      <c r="A3649" s="224"/>
      <c r="B3649" s="186"/>
      <c r="C3649" s="210"/>
      <c r="D3649" s="210"/>
      <c r="E3649" s="204"/>
      <c r="F3649" s="205"/>
      <c r="G3649" s="205"/>
    </row>
    <row r="3650" ht="15.75" customHeight="1">
      <c r="A3650" s="224"/>
      <c r="B3650" s="186"/>
      <c r="C3650" s="210"/>
      <c r="D3650" s="210"/>
      <c r="E3650" s="204"/>
      <c r="F3650" s="205"/>
      <c r="G3650" s="205"/>
    </row>
    <row r="3651" ht="15.75" customHeight="1">
      <c r="A3651" s="224"/>
      <c r="B3651" s="186"/>
      <c r="C3651" s="210"/>
      <c r="D3651" s="210"/>
      <c r="E3651" s="204"/>
      <c r="F3651" s="205"/>
      <c r="G3651" s="205"/>
    </row>
    <row r="3652" ht="15.75" customHeight="1">
      <c r="A3652" s="224"/>
      <c r="B3652" s="186"/>
      <c r="C3652" s="210"/>
      <c r="D3652" s="210"/>
      <c r="E3652" s="204"/>
      <c r="F3652" s="205"/>
      <c r="G3652" s="205"/>
    </row>
    <row r="3653" ht="15.75" customHeight="1">
      <c r="A3653" s="224"/>
      <c r="B3653" s="186"/>
      <c r="C3653" s="210"/>
      <c r="D3653" s="210"/>
      <c r="E3653" s="204"/>
      <c r="F3653" s="205"/>
      <c r="G3653" s="205"/>
    </row>
    <row r="3654" ht="15.75" customHeight="1">
      <c r="A3654" s="224"/>
      <c r="B3654" s="186"/>
      <c r="C3654" s="210"/>
      <c r="D3654" s="210"/>
      <c r="E3654" s="204"/>
      <c r="F3654" s="205"/>
      <c r="G3654" s="205"/>
    </row>
    <row r="3655" ht="15.75" customHeight="1">
      <c r="A3655" s="224"/>
      <c r="B3655" s="186"/>
      <c r="C3655" s="210"/>
      <c r="D3655" s="210"/>
      <c r="E3655" s="204"/>
      <c r="F3655" s="205"/>
      <c r="G3655" s="205"/>
    </row>
    <row r="3656" ht="15.75" customHeight="1">
      <c r="A3656" s="224"/>
      <c r="B3656" s="186"/>
      <c r="C3656" s="210"/>
      <c r="D3656" s="210"/>
      <c r="E3656" s="204"/>
      <c r="F3656" s="205"/>
      <c r="G3656" s="205"/>
    </row>
    <row r="3657" ht="15.75" customHeight="1">
      <c r="A3657" s="224"/>
      <c r="B3657" s="186"/>
      <c r="C3657" s="210"/>
      <c r="D3657" s="210"/>
      <c r="E3657" s="204"/>
      <c r="F3657" s="205"/>
      <c r="G3657" s="205"/>
    </row>
    <row r="3658" ht="15.75" customHeight="1">
      <c r="A3658" s="224"/>
      <c r="B3658" s="186"/>
      <c r="C3658" s="210"/>
      <c r="D3658" s="210"/>
      <c r="E3658" s="204"/>
      <c r="F3658" s="205"/>
      <c r="G3658" s="205"/>
    </row>
    <row r="3659" ht="15.75" customHeight="1">
      <c r="A3659" s="224"/>
      <c r="B3659" s="186"/>
      <c r="C3659" s="210"/>
      <c r="D3659" s="210"/>
      <c r="E3659" s="204"/>
      <c r="F3659" s="205"/>
      <c r="G3659" s="205"/>
    </row>
    <row r="3660" ht="15.75" customHeight="1">
      <c r="A3660" s="224"/>
      <c r="B3660" s="186"/>
      <c r="C3660" s="210"/>
      <c r="D3660" s="210"/>
      <c r="E3660" s="204"/>
      <c r="F3660" s="205"/>
      <c r="G3660" s="205"/>
    </row>
    <row r="3661" ht="15.75" customHeight="1">
      <c r="A3661" s="224"/>
      <c r="B3661" s="186"/>
      <c r="C3661" s="210"/>
      <c r="D3661" s="210"/>
      <c r="E3661" s="204"/>
      <c r="F3661" s="205"/>
      <c r="G3661" s="205"/>
    </row>
    <row r="3662" ht="15.75" customHeight="1">
      <c r="A3662" s="224"/>
      <c r="B3662" s="186"/>
      <c r="C3662" s="210"/>
      <c r="D3662" s="210"/>
      <c r="E3662" s="204"/>
      <c r="F3662" s="205"/>
      <c r="G3662" s="205"/>
    </row>
    <row r="3663" ht="15.75" customHeight="1">
      <c r="A3663" s="224"/>
      <c r="B3663" s="186"/>
      <c r="C3663" s="210"/>
      <c r="D3663" s="210"/>
      <c r="E3663" s="204"/>
      <c r="F3663" s="205"/>
      <c r="G3663" s="205"/>
    </row>
    <row r="3664" ht="15.75" customHeight="1">
      <c r="A3664" s="224"/>
      <c r="B3664" s="186"/>
      <c r="C3664" s="210"/>
      <c r="D3664" s="210"/>
      <c r="E3664" s="204"/>
      <c r="F3664" s="205"/>
      <c r="G3664" s="205"/>
    </row>
    <row r="3665" ht="15.75" customHeight="1">
      <c r="A3665" s="224"/>
      <c r="B3665" s="186"/>
      <c r="C3665" s="210"/>
      <c r="D3665" s="210"/>
      <c r="E3665" s="204"/>
      <c r="F3665" s="205"/>
      <c r="G3665" s="205"/>
    </row>
    <row r="3666" ht="15.75" customHeight="1">
      <c r="A3666" s="224"/>
      <c r="B3666" s="186"/>
      <c r="C3666" s="210"/>
      <c r="D3666" s="210"/>
      <c r="E3666" s="204"/>
      <c r="F3666" s="205"/>
      <c r="G3666" s="205"/>
    </row>
    <row r="3667" ht="15.75" customHeight="1">
      <c r="A3667" s="224"/>
      <c r="B3667" s="186"/>
      <c r="C3667" s="210"/>
      <c r="D3667" s="210"/>
      <c r="E3667" s="204"/>
      <c r="F3667" s="205"/>
      <c r="G3667" s="205"/>
    </row>
    <row r="3668" ht="15.75" customHeight="1">
      <c r="A3668" s="224"/>
      <c r="B3668" s="186"/>
      <c r="C3668" s="210"/>
      <c r="D3668" s="210"/>
      <c r="E3668" s="204"/>
      <c r="F3668" s="205"/>
      <c r="G3668" s="205"/>
    </row>
    <row r="3669" ht="15.75" customHeight="1">
      <c r="A3669" s="224"/>
      <c r="B3669" s="186"/>
      <c r="C3669" s="210"/>
      <c r="D3669" s="210"/>
      <c r="E3669" s="204"/>
      <c r="F3669" s="205"/>
      <c r="G3669" s="205"/>
    </row>
    <row r="3670" ht="15.75" customHeight="1">
      <c r="A3670" s="224"/>
      <c r="B3670" s="186"/>
      <c r="C3670" s="210"/>
      <c r="D3670" s="210"/>
      <c r="E3670" s="204"/>
      <c r="F3670" s="205"/>
      <c r="G3670" s="205"/>
    </row>
    <row r="3671" ht="15.75" customHeight="1">
      <c r="A3671" s="224"/>
      <c r="B3671" s="186"/>
      <c r="C3671" s="210"/>
      <c r="D3671" s="210"/>
      <c r="E3671" s="204"/>
      <c r="F3671" s="205"/>
      <c r="G3671" s="205"/>
    </row>
    <row r="3672" ht="15.75" customHeight="1">
      <c r="A3672" s="224"/>
      <c r="B3672" s="186"/>
      <c r="C3672" s="210"/>
      <c r="D3672" s="210"/>
      <c r="E3672" s="204"/>
      <c r="F3672" s="205"/>
      <c r="G3672" s="205"/>
    </row>
    <row r="3673" ht="15.75" customHeight="1">
      <c r="A3673" s="224"/>
      <c r="B3673" s="186"/>
      <c r="C3673" s="210"/>
      <c r="D3673" s="210"/>
      <c r="E3673" s="204"/>
      <c r="F3673" s="205"/>
      <c r="G3673" s="205"/>
    </row>
    <row r="3674" ht="15.75" customHeight="1">
      <c r="A3674" s="224"/>
      <c r="B3674" s="186"/>
      <c r="C3674" s="210"/>
      <c r="D3674" s="210"/>
      <c r="E3674" s="204"/>
      <c r="F3674" s="205"/>
      <c r="G3674" s="205"/>
    </row>
    <row r="3675" ht="15.75" customHeight="1">
      <c r="A3675" s="224"/>
      <c r="B3675" s="186"/>
      <c r="C3675" s="210"/>
      <c r="D3675" s="210"/>
      <c r="E3675" s="204"/>
      <c r="F3675" s="205"/>
      <c r="G3675" s="205"/>
    </row>
    <row r="3676" ht="15.75" customHeight="1">
      <c r="A3676" s="224"/>
      <c r="B3676" s="186"/>
      <c r="C3676" s="210"/>
      <c r="D3676" s="210"/>
      <c r="E3676" s="204"/>
      <c r="F3676" s="205"/>
      <c r="G3676" s="205"/>
    </row>
    <row r="3677" ht="15.75" customHeight="1">
      <c r="A3677" s="224"/>
      <c r="B3677" s="186"/>
      <c r="C3677" s="210"/>
      <c r="D3677" s="210"/>
      <c r="E3677" s="204"/>
      <c r="F3677" s="205"/>
      <c r="G3677" s="205"/>
    </row>
    <row r="3678" ht="15.75" customHeight="1">
      <c r="A3678" s="224"/>
      <c r="B3678" s="186"/>
      <c r="C3678" s="210"/>
      <c r="D3678" s="210"/>
      <c r="E3678" s="204"/>
      <c r="F3678" s="205"/>
      <c r="G3678" s="205"/>
    </row>
    <row r="3679" ht="15.75" customHeight="1">
      <c r="A3679" s="224"/>
      <c r="B3679" s="186"/>
      <c r="C3679" s="210"/>
      <c r="D3679" s="210"/>
      <c r="E3679" s="204"/>
      <c r="F3679" s="205"/>
      <c r="G3679" s="205"/>
    </row>
    <row r="3680" ht="15.75" customHeight="1">
      <c r="A3680" s="224"/>
      <c r="B3680" s="186"/>
      <c r="C3680" s="210"/>
      <c r="D3680" s="210"/>
      <c r="E3680" s="204"/>
      <c r="F3680" s="205"/>
      <c r="G3680" s="205"/>
    </row>
    <row r="3681" ht="15.75" customHeight="1">
      <c r="A3681" s="224"/>
      <c r="B3681" s="186"/>
      <c r="C3681" s="210"/>
      <c r="D3681" s="210"/>
      <c r="E3681" s="204"/>
      <c r="F3681" s="205"/>
      <c r="G3681" s="205"/>
    </row>
    <row r="3682" ht="15.75" customHeight="1">
      <c r="A3682" s="224"/>
      <c r="B3682" s="186"/>
      <c r="C3682" s="210"/>
      <c r="D3682" s="210"/>
      <c r="E3682" s="204"/>
      <c r="F3682" s="205"/>
      <c r="G3682" s="205"/>
    </row>
    <row r="3683" ht="15.75" customHeight="1">
      <c r="A3683" s="224"/>
      <c r="B3683" s="186"/>
      <c r="C3683" s="210"/>
      <c r="D3683" s="210"/>
      <c r="E3683" s="204"/>
      <c r="F3683" s="205"/>
      <c r="G3683" s="205"/>
    </row>
    <row r="3684" ht="15.75" customHeight="1">
      <c r="A3684" s="224"/>
      <c r="B3684" s="186"/>
      <c r="C3684" s="210"/>
      <c r="D3684" s="210"/>
      <c r="E3684" s="204"/>
      <c r="F3684" s="205"/>
      <c r="G3684" s="205"/>
    </row>
    <row r="3685" ht="15.75" customHeight="1">
      <c r="A3685" s="224"/>
      <c r="B3685" s="186"/>
      <c r="C3685" s="210"/>
      <c r="D3685" s="210"/>
      <c r="E3685" s="204"/>
      <c r="F3685" s="205"/>
      <c r="G3685" s="205"/>
    </row>
    <row r="3686" ht="15.75" customHeight="1">
      <c r="A3686" s="224"/>
      <c r="B3686" s="186"/>
      <c r="C3686" s="210"/>
      <c r="D3686" s="210"/>
      <c r="E3686" s="204"/>
      <c r="F3686" s="205"/>
      <c r="G3686" s="205"/>
    </row>
    <row r="3687" ht="15.75" customHeight="1">
      <c r="A3687" s="224"/>
      <c r="B3687" s="186"/>
      <c r="C3687" s="210"/>
      <c r="D3687" s="210"/>
      <c r="E3687" s="204"/>
      <c r="F3687" s="205"/>
      <c r="G3687" s="205"/>
    </row>
    <row r="3688" ht="15.75" customHeight="1">
      <c r="A3688" s="224"/>
      <c r="B3688" s="186"/>
      <c r="C3688" s="210"/>
      <c r="D3688" s="210"/>
      <c r="E3688" s="204"/>
      <c r="F3688" s="205"/>
      <c r="G3688" s="205"/>
    </row>
    <row r="3689" ht="15.75" customHeight="1">
      <c r="A3689" s="224"/>
      <c r="B3689" s="186"/>
      <c r="C3689" s="210"/>
      <c r="D3689" s="210"/>
      <c r="E3689" s="204"/>
      <c r="F3689" s="205"/>
      <c r="G3689" s="205"/>
    </row>
    <row r="3690" ht="15.75" customHeight="1">
      <c r="A3690" s="224"/>
      <c r="B3690" s="186"/>
      <c r="C3690" s="210"/>
      <c r="D3690" s="210"/>
      <c r="E3690" s="204"/>
      <c r="F3690" s="205"/>
      <c r="G3690" s="205"/>
    </row>
    <row r="3691" ht="15.75" customHeight="1">
      <c r="A3691" s="224"/>
      <c r="B3691" s="186"/>
      <c r="C3691" s="210"/>
      <c r="D3691" s="210"/>
      <c r="E3691" s="204"/>
      <c r="F3691" s="205"/>
      <c r="G3691" s="205"/>
    </row>
    <row r="3692" ht="15.75" customHeight="1">
      <c r="A3692" s="224"/>
      <c r="B3692" s="186"/>
      <c r="C3692" s="210"/>
      <c r="D3692" s="210"/>
      <c r="E3692" s="204"/>
      <c r="F3692" s="205"/>
      <c r="G3692" s="205"/>
    </row>
    <row r="3693" ht="15.75" customHeight="1">
      <c r="A3693" s="224"/>
      <c r="B3693" s="186"/>
      <c r="C3693" s="210"/>
      <c r="D3693" s="210"/>
      <c r="E3693" s="204"/>
      <c r="F3693" s="205"/>
      <c r="G3693" s="205"/>
    </row>
    <row r="3694" ht="15.75" customHeight="1">
      <c r="A3694" s="224"/>
      <c r="B3694" s="186"/>
      <c r="C3694" s="210"/>
      <c r="D3694" s="210"/>
      <c r="E3694" s="204"/>
      <c r="F3694" s="205"/>
      <c r="G3694" s="205"/>
    </row>
    <row r="3695" ht="15.75" customHeight="1">
      <c r="A3695" s="224"/>
      <c r="B3695" s="186"/>
      <c r="C3695" s="210"/>
      <c r="D3695" s="210"/>
      <c r="E3695" s="204"/>
      <c r="F3695" s="205"/>
      <c r="G3695" s="205"/>
    </row>
    <row r="3696" ht="15.75" customHeight="1">
      <c r="A3696" s="224"/>
      <c r="B3696" s="186"/>
      <c r="C3696" s="210"/>
      <c r="D3696" s="210"/>
      <c r="E3696" s="204"/>
      <c r="F3696" s="205"/>
      <c r="G3696" s="205"/>
    </row>
    <row r="3697" ht="15.75" customHeight="1">
      <c r="A3697" s="224"/>
      <c r="B3697" s="186"/>
      <c r="C3697" s="210"/>
      <c r="D3697" s="210"/>
      <c r="E3697" s="204"/>
      <c r="F3697" s="205"/>
      <c r="G3697" s="205"/>
    </row>
    <row r="3698" ht="15.75" customHeight="1">
      <c r="A3698" s="224"/>
      <c r="B3698" s="186"/>
      <c r="C3698" s="210"/>
      <c r="D3698" s="210"/>
      <c r="E3698" s="204"/>
      <c r="F3698" s="205"/>
      <c r="G3698" s="205"/>
    </row>
    <row r="3699" ht="15.75" customHeight="1">
      <c r="A3699" s="224"/>
      <c r="B3699" s="186"/>
      <c r="C3699" s="210"/>
      <c r="D3699" s="210"/>
      <c r="E3699" s="204"/>
      <c r="F3699" s="205"/>
      <c r="G3699" s="205"/>
    </row>
    <row r="3700" ht="15.75" customHeight="1">
      <c r="A3700" s="224"/>
      <c r="B3700" s="186"/>
      <c r="C3700" s="210"/>
      <c r="D3700" s="210"/>
      <c r="E3700" s="204"/>
      <c r="F3700" s="205"/>
      <c r="G3700" s="205"/>
    </row>
    <row r="3701" ht="15.75" customHeight="1">
      <c r="A3701" s="224"/>
      <c r="B3701" s="186"/>
      <c r="C3701" s="210"/>
      <c r="D3701" s="210"/>
      <c r="E3701" s="204"/>
      <c r="F3701" s="205"/>
      <c r="G3701" s="205"/>
    </row>
    <row r="3702" ht="15.75" customHeight="1">
      <c r="A3702" s="224"/>
      <c r="B3702" s="186"/>
      <c r="C3702" s="210"/>
      <c r="D3702" s="210"/>
      <c r="E3702" s="204"/>
      <c r="F3702" s="205"/>
      <c r="G3702" s="205"/>
    </row>
    <row r="3703" ht="15.75" customHeight="1">
      <c r="A3703" s="224"/>
      <c r="B3703" s="186"/>
      <c r="C3703" s="210"/>
      <c r="D3703" s="210"/>
      <c r="E3703" s="204"/>
      <c r="F3703" s="205"/>
      <c r="G3703" s="205"/>
    </row>
    <row r="3704" ht="15.75" customHeight="1">
      <c r="A3704" s="224"/>
      <c r="B3704" s="186"/>
      <c r="C3704" s="210"/>
      <c r="D3704" s="210"/>
      <c r="E3704" s="204"/>
      <c r="F3704" s="205"/>
      <c r="G3704" s="205"/>
    </row>
    <row r="3705" ht="15.75" customHeight="1">
      <c r="A3705" s="224"/>
      <c r="B3705" s="186"/>
      <c r="C3705" s="210"/>
      <c r="D3705" s="210"/>
      <c r="E3705" s="204"/>
      <c r="F3705" s="205"/>
      <c r="G3705" s="205"/>
    </row>
    <row r="3706" ht="15.75" customHeight="1">
      <c r="A3706" s="224"/>
      <c r="B3706" s="186"/>
      <c r="C3706" s="210"/>
      <c r="D3706" s="210"/>
      <c r="E3706" s="204"/>
      <c r="F3706" s="205"/>
      <c r="G3706" s="205"/>
    </row>
    <row r="3707" ht="15.75" customHeight="1">
      <c r="A3707" s="224"/>
      <c r="B3707" s="186"/>
      <c r="C3707" s="210"/>
      <c r="D3707" s="210"/>
      <c r="E3707" s="204"/>
      <c r="F3707" s="205"/>
      <c r="G3707" s="205"/>
    </row>
    <row r="3708" ht="15.75" customHeight="1">
      <c r="A3708" s="224"/>
      <c r="B3708" s="186"/>
      <c r="C3708" s="210"/>
      <c r="D3708" s="210"/>
      <c r="E3708" s="204"/>
      <c r="F3708" s="205"/>
      <c r="G3708" s="205"/>
    </row>
    <row r="3709" ht="15.75" customHeight="1">
      <c r="A3709" s="224"/>
      <c r="B3709" s="186"/>
      <c r="C3709" s="210"/>
      <c r="D3709" s="210"/>
      <c r="E3709" s="204"/>
      <c r="F3709" s="205"/>
      <c r="G3709" s="205"/>
    </row>
    <row r="3710" ht="15.75" customHeight="1">
      <c r="A3710" s="224"/>
      <c r="B3710" s="186"/>
      <c r="C3710" s="210"/>
      <c r="D3710" s="210"/>
      <c r="E3710" s="204"/>
      <c r="F3710" s="205"/>
      <c r="G3710" s="205"/>
    </row>
    <row r="3711" ht="15.75" customHeight="1">
      <c r="A3711" s="224"/>
      <c r="B3711" s="186"/>
      <c r="C3711" s="210"/>
      <c r="D3711" s="210"/>
      <c r="E3711" s="204"/>
      <c r="F3711" s="205"/>
      <c r="G3711" s="205"/>
    </row>
    <row r="3712" ht="15.75" customHeight="1">
      <c r="A3712" s="224"/>
      <c r="B3712" s="186"/>
      <c r="C3712" s="210"/>
      <c r="D3712" s="210"/>
      <c r="E3712" s="204"/>
      <c r="F3712" s="205"/>
      <c r="G3712" s="205"/>
    </row>
    <row r="3713" ht="15.75" customHeight="1">
      <c r="A3713" s="224"/>
      <c r="B3713" s="186"/>
      <c r="C3713" s="210"/>
      <c r="D3713" s="210"/>
      <c r="E3713" s="204"/>
      <c r="F3713" s="205"/>
      <c r="G3713" s="205"/>
    </row>
    <row r="3714" ht="15.75" customHeight="1">
      <c r="A3714" s="224"/>
      <c r="B3714" s="186"/>
      <c r="C3714" s="210"/>
      <c r="D3714" s="210"/>
      <c r="E3714" s="204"/>
      <c r="F3714" s="205"/>
      <c r="G3714" s="205"/>
    </row>
    <row r="3715" ht="15.75" customHeight="1">
      <c r="A3715" s="224"/>
      <c r="B3715" s="186"/>
      <c r="C3715" s="210"/>
      <c r="D3715" s="210"/>
      <c r="E3715" s="204"/>
      <c r="F3715" s="205"/>
      <c r="G3715" s="205"/>
    </row>
    <row r="3716" ht="15.75" customHeight="1">
      <c r="A3716" s="224"/>
      <c r="B3716" s="186"/>
      <c r="C3716" s="210"/>
      <c r="D3716" s="210"/>
      <c r="E3716" s="204"/>
      <c r="F3716" s="205"/>
      <c r="G3716" s="205"/>
    </row>
    <row r="3717" ht="15.75" customHeight="1">
      <c r="A3717" s="224"/>
      <c r="B3717" s="186"/>
      <c r="C3717" s="210"/>
      <c r="D3717" s="210"/>
      <c r="E3717" s="204"/>
      <c r="F3717" s="205"/>
      <c r="G3717" s="205"/>
    </row>
    <row r="3718" ht="15.75" customHeight="1">
      <c r="A3718" s="224"/>
      <c r="B3718" s="186"/>
      <c r="C3718" s="210"/>
      <c r="D3718" s="210"/>
      <c r="E3718" s="204"/>
      <c r="F3718" s="205"/>
      <c r="G3718" s="205"/>
    </row>
    <row r="3719" ht="15.75" customHeight="1">
      <c r="A3719" s="224"/>
      <c r="B3719" s="186"/>
      <c r="C3719" s="210"/>
      <c r="D3719" s="210"/>
      <c r="E3719" s="204"/>
      <c r="F3719" s="205"/>
      <c r="G3719" s="205"/>
    </row>
    <row r="3720" ht="15.75" customHeight="1">
      <c r="A3720" s="224"/>
      <c r="B3720" s="186"/>
      <c r="C3720" s="210"/>
      <c r="D3720" s="210"/>
      <c r="E3720" s="204"/>
      <c r="F3720" s="205"/>
      <c r="G3720" s="205"/>
    </row>
    <row r="3721" ht="15.75" customHeight="1">
      <c r="A3721" s="224"/>
      <c r="B3721" s="186"/>
      <c r="C3721" s="210"/>
      <c r="D3721" s="210"/>
      <c r="E3721" s="204"/>
      <c r="F3721" s="205"/>
      <c r="G3721" s="205"/>
    </row>
    <row r="3722" ht="15.75" customHeight="1">
      <c r="A3722" s="224"/>
      <c r="B3722" s="186"/>
      <c r="C3722" s="210"/>
      <c r="D3722" s="210"/>
      <c r="E3722" s="204"/>
      <c r="F3722" s="205"/>
      <c r="G3722" s="205"/>
    </row>
    <row r="3723" ht="15.75" customHeight="1">
      <c r="A3723" s="224"/>
      <c r="B3723" s="186"/>
      <c r="C3723" s="210"/>
      <c r="D3723" s="210"/>
      <c r="E3723" s="204"/>
      <c r="F3723" s="205"/>
      <c r="G3723" s="205"/>
    </row>
    <row r="3724" ht="15.75" customHeight="1">
      <c r="A3724" s="224"/>
      <c r="B3724" s="186"/>
      <c r="C3724" s="210"/>
      <c r="D3724" s="210"/>
      <c r="E3724" s="204"/>
      <c r="F3724" s="205"/>
      <c r="G3724" s="205"/>
    </row>
    <row r="3725" ht="15.75" customHeight="1">
      <c r="A3725" s="224"/>
      <c r="B3725" s="186"/>
      <c r="C3725" s="210"/>
      <c r="D3725" s="210"/>
      <c r="E3725" s="204"/>
      <c r="F3725" s="205"/>
      <c r="G3725" s="205"/>
    </row>
    <row r="3726" ht="15.75" customHeight="1">
      <c r="A3726" s="224"/>
      <c r="B3726" s="186"/>
      <c r="C3726" s="210"/>
      <c r="D3726" s="210"/>
      <c r="E3726" s="204"/>
      <c r="F3726" s="205"/>
      <c r="G3726" s="205"/>
    </row>
    <row r="3727" ht="15.75" customHeight="1">
      <c r="A3727" s="224"/>
      <c r="B3727" s="186"/>
      <c r="C3727" s="210"/>
      <c r="D3727" s="210"/>
      <c r="E3727" s="204"/>
      <c r="F3727" s="205"/>
      <c r="G3727" s="205"/>
    </row>
    <row r="3728" ht="15.75" customHeight="1">
      <c r="A3728" s="224"/>
      <c r="B3728" s="186"/>
      <c r="C3728" s="210"/>
      <c r="D3728" s="210"/>
      <c r="E3728" s="204"/>
      <c r="F3728" s="205"/>
      <c r="G3728" s="205"/>
    </row>
    <row r="3729" ht="15.75" customHeight="1">
      <c r="A3729" s="224"/>
      <c r="B3729" s="186"/>
      <c r="C3729" s="210"/>
      <c r="D3729" s="210"/>
      <c r="E3729" s="204"/>
      <c r="F3729" s="205"/>
      <c r="G3729" s="205"/>
    </row>
    <row r="3730" ht="15.75" customHeight="1">
      <c r="A3730" s="224"/>
      <c r="B3730" s="186"/>
      <c r="C3730" s="210"/>
      <c r="D3730" s="210"/>
      <c r="E3730" s="204"/>
      <c r="F3730" s="205"/>
      <c r="G3730" s="205"/>
    </row>
    <row r="3731" ht="15.75" customHeight="1">
      <c r="A3731" s="224"/>
      <c r="B3731" s="186"/>
      <c r="C3731" s="210"/>
      <c r="D3731" s="210"/>
      <c r="E3731" s="204"/>
      <c r="F3731" s="205"/>
      <c r="G3731" s="205"/>
    </row>
    <row r="3732" ht="15.75" customHeight="1">
      <c r="A3732" s="224"/>
      <c r="B3732" s="186"/>
      <c r="C3732" s="210"/>
      <c r="D3732" s="210"/>
      <c r="E3732" s="204"/>
      <c r="F3732" s="205"/>
      <c r="G3732" s="205"/>
    </row>
    <row r="3733" ht="15.75" customHeight="1">
      <c r="A3733" s="224"/>
      <c r="B3733" s="186"/>
      <c r="C3733" s="210"/>
      <c r="D3733" s="210"/>
      <c r="E3733" s="204"/>
      <c r="F3733" s="205"/>
      <c r="G3733" s="205"/>
    </row>
    <row r="3734" ht="15.75" customHeight="1">
      <c r="A3734" s="224"/>
      <c r="B3734" s="186"/>
      <c r="C3734" s="210"/>
      <c r="D3734" s="210"/>
      <c r="E3734" s="204"/>
      <c r="F3734" s="205"/>
      <c r="G3734" s="205"/>
    </row>
    <row r="3735" ht="15.75" customHeight="1">
      <c r="A3735" s="224"/>
      <c r="B3735" s="186"/>
      <c r="C3735" s="210"/>
      <c r="D3735" s="210"/>
      <c r="E3735" s="204"/>
      <c r="F3735" s="205"/>
      <c r="G3735" s="205"/>
    </row>
    <row r="3736" ht="15.75" customHeight="1">
      <c r="A3736" s="224"/>
      <c r="B3736" s="186"/>
      <c r="C3736" s="210"/>
      <c r="D3736" s="210"/>
      <c r="E3736" s="204"/>
      <c r="F3736" s="205"/>
      <c r="G3736" s="205"/>
    </row>
    <row r="3737" ht="15.75" customHeight="1">
      <c r="A3737" s="224"/>
      <c r="B3737" s="186"/>
      <c r="C3737" s="210"/>
      <c r="D3737" s="210"/>
      <c r="E3737" s="204"/>
      <c r="F3737" s="205"/>
      <c r="G3737" s="205"/>
    </row>
    <row r="3738" ht="15.75" customHeight="1">
      <c r="A3738" s="224"/>
      <c r="B3738" s="186"/>
      <c r="C3738" s="210"/>
      <c r="D3738" s="210"/>
      <c r="E3738" s="204"/>
      <c r="F3738" s="205"/>
      <c r="G3738" s="205"/>
    </row>
    <row r="3739" ht="15.75" customHeight="1">
      <c r="A3739" s="224"/>
      <c r="B3739" s="186"/>
      <c r="C3739" s="210"/>
      <c r="D3739" s="210"/>
      <c r="E3739" s="204"/>
      <c r="F3739" s="205"/>
      <c r="G3739" s="205"/>
    </row>
    <row r="3740" ht="15.75" customHeight="1">
      <c r="A3740" s="224"/>
      <c r="B3740" s="186"/>
      <c r="C3740" s="210"/>
      <c r="D3740" s="210"/>
      <c r="E3740" s="204"/>
      <c r="F3740" s="205"/>
      <c r="G3740" s="205"/>
    </row>
    <row r="3741" ht="15.75" customHeight="1">
      <c r="A3741" s="224"/>
      <c r="B3741" s="186"/>
      <c r="C3741" s="210"/>
      <c r="D3741" s="210"/>
      <c r="E3741" s="204"/>
      <c r="F3741" s="205"/>
      <c r="G3741" s="205"/>
    </row>
    <row r="3742" ht="15.75" customHeight="1">
      <c r="A3742" s="224"/>
      <c r="B3742" s="186"/>
      <c r="C3742" s="210"/>
      <c r="D3742" s="210"/>
      <c r="E3742" s="204"/>
      <c r="F3742" s="205"/>
      <c r="G3742" s="205"/>
    </row>
    <row r="3743" ht="15.75" customHeight="1">
      <c r="A3743" s="224"/>
      <c r="B3743" s="186"/>
      <c r="C3743" s="210"/>
      <c r="D3743" s="210"/>
      <c r="E3743" s="204"/>
      <c r="F3743" s="205"/>
      <c r="G3743" s="205"/>
    </row>
    <row r="3744" ht="15.75" customHeight="1">
      <c r="A3744" s="224"/>
      <c r="B3744" s="186"/>
      <c r="C3744" s="210"/>
      <c r="D3744" s="210"/>
      <c r="E3744" s="204"/>
      <c r="F3744" s="205"/>
      <c r="G3744" s="205"/>
    </row>
    <row r="3745" ht="15.75" customHeight="1">
      <c r="A3745" s="224"/>
      <c r="B3745" s="186"/>
      <c r="C3745" s="210"/>
      <c r="D3745" s="210"/>
      <c r="E3745" s="204"/>
      <c r="F3745" s="205"/>
      <c r="G3745" s="205"/>
    </row>
    <row r="3746" ht="15.75" customHeight="1">
      <c r="A3746" s="224"/>
      <c r="B3746" s="186"/>
      <c r="C3746" s="210"/>
      <c r="D3746" s="210"/>
      <c r="E3746" s="204"/>
      <c r="F3746" s="205"/>
      <c r="G3746" s="205"/>
    </row>
    <row r="3747" ht="15.75" customHeight="1">
      <c r="A3747" s="224"/>
      <c r="B3747" s="186"/>
      <c r="C3747" s="210"/>
      <c r="D3747" s="210"/>
      <c r="E3747" s="204"/>
      <c r="F3747" s="205"/>
      <c r="G3747" s="205"/>
    </row>
    <row r="3748" ht="15.75" customHeight="1">
      <c r="A3748" s="224"/>
      <c r="B3748" s="186"/>
      <c r="C3748" s="210"/>
      <c r="D3748" s="210"/>
      <c r="E3748" s="204"/>
      <c r="F3748" s="205"/>
      <c r="G3748" s="205"/>
    </row>
    <row r="3749" ht="15.75" customHeight="1">
      <c r="A3749" s="224"/>
      <c r="B3749" s="186"/>
      <c r="C3749" s="210"/>
      <c r="D3749" s="210"/>
      <c r="E3749" s="204"/>
      <c r="F3749" s="205"/>
      <c r="G3749" s="205"/>
    </row>
    <row r="3750" ht="15.75" customHeight="1">
      <c r="A3750" s="224"/>
      <c r="B3750" s="186"/>
      <c r="C3750" s="210"/>
      <c r="D3750" s="210"/>
      <c r="E3750" s="204"/>
      <c r="F3750" s="205"/>
      <c r="G3750" s="205"/>
    </row>
    <row r="3751" ht="15.75" customHeight="1">
      <c r="A3751" s="224"/>
      <c r="B3751" s="186"/>
      <c r="C3751" s="210"/>
      <c r="D3751" s="210"/>
      <c r="E3751" s="204"/>
      <c r="F3751" s="205"/>
      <c r="G3751" s="205"/>
    </row>
    <row r="3752" ht="15.75" customHeight="1">
      <c r="A3752" s="224"/>
      <c r="B3752" s="186"/>
      <c r="C3752" s="210"/>
      <c r="D3752" s="210"/>
      <c r="E3752" s="204"/>
      <c r="F3752" s="205"/>
      <c r="G3752" s="205"/>
    </row>
    <row r="3753" ht="15.75" customHeight="1">
      <c r="A3753" s="224"/>
      <c r="B3753" s="186"/>
      <c r="C3753" s="210"/>
      <c r="D3753" s="210"/>
      <c r="E3753" s="204"/>
      <c r="F3753" s="205"/>
      <c r="G3753" s="205"/>
    </row>
    <row r="3754" ht="15.75" customHeight="1">
      <c r="A3754" s="224"/>
      <c r="B3754" s="186"/>
      <c r="C3754" s="210"/>
      <c r="D3754" s="210"/>
      <c r="E3754" s="204"/>
      <c r="F3754" s="205"/>
      <c r="G3754" s="205"/>
    </row>
    <row r="3755" ht="15.75" customHeight="1">
      <c r="A3755" s="224"/>
      <c r="B3755" s="186"/>
      <c r="C3755" s="210"/>
      <c r="D3755" s="210"/>
      <c r="E3755" s="204"/>
      <c r="F3755" s="205"/>
      <c r="G3755" s="205"/>
    </row>
    <row r="3756" ht="15.75" customHeight="1">
      <c r="A3756" s="224"/>
      <c r="B3756" s="186"/>
      <c r="C3756" s="210"/>
      <c r="D3756" s="210"/>
      <c r="E3756" s="204"/>
      <c r="F3756" s="205"/>
      <c r="G3756" s="205"/>
    </row>
    <row r="3757" ht="15.75" customHeight="1">
      <c r="A3757" s="224"/>
      <c r="B3757" s="186"/>
      <c r="C3757" s="210"/>
      <c r="D3757" s="210"/>
      <c r="E3757" s="204"/>
      <c r="F3757" s="205"/>
      <c r="G3757" s="205"/>
    </row>
    <row r="3758" ht="15.75" customHeight="1">
      <c r="A3758" s="224"/>
      <c r="B3758" s="186"/>
      <c r="C3758" s="210"/>
      <c r="D3758" s="210"/>
      <c r="E3758" s="204"/>
      <c r="F3758" s="205"/>
      <c r="G3758" s="205"/>
    </row>
    <row r="3759" ht="15.75" customHeight="1">
      <c r="A3759" s="224"/>
      <c r="B3759" s="186"/>
      <c r="C3759" s="210"/>
      <c r="D3759" s="210"/>
      <c r="E3759" s="204"/>
      <c r="F3759" s="205"/>
      <c r="G3759" s="205"/>
    </row>
    <row r="3760" ht="15.75" customHeight="1">
      <c r="A3760" s="224"/>
      <c r="B3760" s="186"/>
      <c r="C3760" s="210"/>
      <c r="D3760" s="210"/>
      <c r="E3760" s="204"/>
      <c r="F3760" s="205"/>
      <c r="G3760" s="205"/>
    </row>
    <row r="3761" ht="15.75" customHeight="1">
      <c r="A3761" s="224"/>
      <c r="B3761" s="186"/>
      <c r="C3761" s="210"/>
      <c r="D3761" s="210"/>
      <c r="E3761" s="204"/>
      <c r="F3761" s="205"/>
      <c r="G3761" s="205"/>
    </row>
    <row r="3762" ht="15.75" customHeight="1">
      <c r="A3762" s="224"/>
      <c r="B3762" s="186"/>
      <c r="C3762" s="210"/>
      <c r="D3762" s="210"/>
      <c r="E3762" s="204"/>
      <c r="F3762" s="205"/>
      <c r="G3762" s="205"/>
    </row>
    <row r="3763" ht="15.75" customHeight="1">
      <c r="A3763" s="224"/>
      <c r="B3763" s="186"/>
      <c r="C3763" s="210"/>
      <c r="D3763" s="210"/>
      <c r="E3763" s="204"/>
      <c r="F3763" s="205"/>
      <c r="G3763" s="205"/>
    </row>
    <row r="3764" ht="15.75" customHeight="1">
      <c r="A3764" s="224"/>
      <c r="B3764" s="186"/>
      <c r="C3764" s="210"/>
      <c r="D3764" s="210"/>
      <c r="E3764" s="204"/>
      <c r="F3764" s="205"/>
      <c r="G3764" s="205"/>
    </row>
    <row r="3765" ht="15.75" customHeight="1">
      <c r="A3765" s="224"/>
      <c r="B3765" s="186"/>
      <c r="C3765" s="210"/>
      <c r="D3765" s="210"/>
      <c r="E3765" s="204"/>
      <c r="F3765" s="205"/>
      <c r="G3765" s="205"/>
    </row>
    <row r="3766" ht="15.75" customHeight="1">
      <c r="A3766" s="224"/>
      <c r="B3766" s="186"/>
      <c r="C3766" s="210"/>
      <c r="D3766" s="210"/>
      <c r="E3766" s="204"/>
      <c r="F3766" s="205"/>
      <c r="G3766" s="205"/>
    </row>
    <row r="3767" ht="15.75" customHeight="1">
      <c r="A3767" s="224"/>
      <c r="B3767" s="186"/>
      <c r="C3767" s="210"/>
      <c r="D3767" s="210"/>
      <c r="E3767" s="204"/>
      <c r="F3767" s="205"/>
      <c r="G3767" s="205"/>
    </row>
    <row r="3768" ht="15.75" customHeight="1">
      <c r="A3768" s="224"/>
      <c r="B3768" s="186"/>
      <c r="C3768" s="210"/>
      <c r="D3768" s="210"/>
      <c r="E3768" s="204"/>
      <c r="F3768" s="205"/>
      <c r="G3768" s="205"/>
    </row>
    <row r="3769" ht="15.75" customHeight="1">
      <c r="A3769" s="224"/>
      <c r="B3769" s="186"/>
      <c r="C3769" s="210"/>
      <c r="D3769" s="210"/>
      <c r="E3769" s="204"/>
      <c r="F3769" s="205"/>
      <c r="G3769" s="205"/>
    </row>
    <row r="3770" ht="15.75" customHeight="1">
      <c r="A3770" s="224"/>
      <c r="B3770" s="186"/>
      <c r="C3770" s="210"/>
      <c r="D3770" s="210"/>
      <c r="E3770" s="204"/>
      <c r="F3770" s="205"/>
      <c r="G3770" s="205"/>
    </row>
    <row r="3771" ht="15.75" customHeight="1">
      <c r="A3771" s="224"/>
      <c r="B3771" s="186"/>
      <c r="C3771" s="210"/>
      <c r="D3771" s="210"/>
      <c r="E3771" s="204"/>
      <c r="F3771" s="205"/>
      <c r="G3771" s="205"/>
    </row>
    <row r="3772" ht="15.75" customHeight="1">
      <c r="A3772" s="224"/>
      <c r="B3772" s="186"/>
      <c r="C3772" s="210"/>
      <c r="D3772" s="210"/>
      <c r="E3772" s="204"/>
      <c r="F3772" s="205"/>
      <c r="G3772" s="205"/>
    </row>
    <row r="3773" ht="15.75" customHeight="1">
      <c r="A3773" s="224"/>
      <c r="B3773" s="186"/>
      <c r="C3773" s="210"/>
      <c r="D3773" s="210"/>
      <c r="E3773" s="204"/>
      <c r="F3773" s="205"/>
      <c r="G3773" s="205"/>
    </row>
    <row r="3774" ht="15.75" customHeight="1">
      <c r="A3774" s="224"/>
      <c r="B3774" s="186"/>
      <c r="C3774" s="210"/>
      <c r="D3774" s="210"/>
      <c r="E3774" s="204"/>
      <c r="F3774" s="205"/>
      <c r="G3774" s="205"/>
    </row>
    <row r="3775" ht="15.75" customHeight="1">
      <c r="A3775" s="224"/>
      <c r="B3775" s="186"/>
      <c r="C3775" s="210"/>
      <c r="D3775" s="210"/>
      <c r="E3775" s="204"/>
      <c r="F3775" s="205"/>
      <c r="G3775" s="205"/>
    </row>
    <row r="3776" ht="15.75" customHeight="1">
      <c r="A3776" s="224"/>
      <c r="B3776" s="186"/>
      <c r="C3776" s="210"/>
      <c r="D3776" s="210"/>
      <c r="E3776" s="204"/>
      <c r="F3776" s="205"/>
      <c r="G3776" s="205"/>
    </row>
    <row r="3777" ht="15.75" customHeight="1">
      <c r="A3777" s="224"/>
      <c r="B3777" s="186"/>
      <c r="C3777" s="210"/>
      <c r="D3777" s="210"/>
      <c r="E3777" s="204"/>
      <c r="F3777" s="205"/>
      <c r="G3777" s="205"/>
    </row>
    <row r="3778" ht="15.75" customHeight="1">
      <c r="A3778" s="224"/>
      <c r="B3778" s="186"/>
      <c r="C3778" s="210"/>
      <c r="D3778" s="210"/>
      <c r="E3778" s="204"/>
      <c r="F3778" s="205"/>
      <c r="G3778" s="205"/>
    </row>
    <row r="3779" ht="15.75" customHeight="1">
      <c r="A3779" s="224"/>
      <c r="B3779" s="186"/>
      <c r="C3779" s="210"/>
      <c r="D3779" s="210"/>
      <c r="E3779" s="204"/>
      <c r="F3779" s="205"/>
      <c r="G3779" s="205"/>
    </row>
    <row r="3780" ht="15.75" customHeight="1">
      <c r="A3780" s="224"/>
      <c r="B3780" s="186"/>
      <c r="C3780" s="210"/>
      <c r="D3780" s="210"/>
      <c r="E3780" s="204"/>
      <c r="F3780" s="205"/>
      <c r="G3780" s="205"/>
    </row>
    <row r="3781" ht="15.75" customHeight="1">
      <c r="A3781" s="224"/>
      <c r="B3781" s="186"/>
      <c r="C3781" s="210"/>
      <c r="D3781" s="210"/>
      <c r="E3781" s="204"/>
      <c r="F3781" s="205"/>
      <c r="G3781" s="205"/>
    </row>
    <row r="3782" ht="15.75" customHeight="1">
      <c r="A3782" s="224"/>
      <c r="B3782" s="186"/>
      <c r="C3782" s="210"/>
      <c r="D3782" s="210"/>
      <c r="E3782" s="204"/>
      <c r="F3782" s="205"/>
      <c r="G3782" s="205"/>
    </row>
    <row r="3783" ht="15.75" customHeight="1">
      <c r="A3783" s="224"/>
      <c r="B3783" s="186"/>
      <c r="C3783" s="210"/>
      <c r="D3783" s="210"/>
      <c r="E3783" s="204"/>
      <c r="F3783" s="205"/>
      <c r="G3783" s="205"/>
    </row>
    <row r="3784" ht="15.75" customHeight="1">
      <c r="A3784" s="224"/>
      <c r="B3784" s="186"/>
      <c r="C3784" s="210"/>
      <c r="D3784" s="210"/>
      <c r="E3784" s="204"/>
      <c r="F3784" s="205"/>
      <c r="G3784" s="205"/>
    </row>
    <row r="3785" ht="15.75" customHeight="1">
      <c r="A3785" s="224"/>
      <c r="B3785" s="186"/>
      <c r="C3785" s="210"/>
      <c r="D3785" s="210"/>
      <c r="E3785" s="204"/>
      <c r="F3785" s="205"/>
      <c r="G3785" s="205"/>
    </row>
    <row r="3786" ht="15.75" customHeight="1">
      <c r="A3786" s="224"/>
      <c r="B3786" s="186"/>
      <c r="C3786" s="210"/>
      <c r="D3786" s="210"/>
      <c r="E3786" s="204"/>
      <c r="F3786" s="205"/>
      <c r="G3786" s="205"/>
    </row>
    <row r="3787" ht="15.75" customHeight="1">
      <c r="A3787" s="224"/>
      <c r="B3787" s="186"/>
      <c r="C3787" s="210"/>
      <c r="D3787" s="210"/>
      <c r="E3787" s="204"/>
      <c r="F3787" s="205"/>
      <c r="G3787" s="205"/>
    </row>
    <row r="3788" ht="15.75" customHeight="1">
      <c r="A3788" s="224"/>
      <c r="B3788" s="186"/>
      <c r="C3788" s="210"/>
      <c r="D3788" s="210"/>
      <c r="E3788" s="204"/>
      <c r="F3788" s="205"/>
      <c r="G3788" s="205"/>
    </row>
    <row r="3789" ht="15.75" customHeight="1">
      <c r="A3789" s="224"/>
      <c r="B3789" s="186"/>
      <c r="C3789" s="210"/>
      <c r="D3789" s="210"/>
      <c r="E3789" s="204"/>
      <c r="F3789" s="205"/>
      <c r="G3789" s="205"/>
    </row>
    <row r="3790" ht="15.75" customHeight="1">
      <c r="A3790" s="224"/>
      <c r="B3790" s="186"/>
      <c r="C3790" s="210"/>
      <c r="D3790" s="210"/>
      <c r="E3790" s="204"/>
      <c r="F3790" s="205"/>
      <c r="G3790" s="205"/>
    </row>
    <row r="3791" ht="15.75" customHeight="1">
      <c r="A3791" s="224"/>
      <c r="B3791" s="186"/>
      <c r="C3791" s="210"/>
      <c r="D3791" s="210"/>
      <c r="E3791" s="204"/>
      <c r="F3791" s="205"/>
      <c r="G3791" s="205"/>
    </row>
    <row r="3792" ht="15.75" customHeight="1">
      <c r="A3792" s="224"/>
      <c r="B3792" s="186"/>
      <c r="C3792" s="210"/>
      <c r="D3792" s="210"/>
      <c r="E3792" s="204"/>
      <c r="F3792" s="205"/>
      <c r="G3792" s="205"/>
    </row>
    <row r="3793" ht="15.75" customHeight="1">
      <c r="A3793" s="224"/>
      <c r="B3793" s="186"/>
      <c r="C3793" s="210"/>
      <c r="D3793" s="210"/>
      <c r="E3793" s="204"/>
      <c r="F3793" s="205"/>
      <c r="G3793" s="205"/>
    </row>
    <row r="3794" ht="15.75" customHeight="1">
      <c r="A3794" s="224"/>
      <c r="B3794" s="186"/>
      <c r="C3794" s="210"/>
      <c r="D3794" s="210"/>
      <c r="E3794" s="204"/>
      <c r="F3794" s="205"/>
      <c r="G3794" s="205"/>
    </row>
    <row r="3795" ht="15.75" customHeight="1">
      <c r="A3795" s="224"/>
      <c r="B3795" s="186"/>
      <c r="C3795" s="210"/>
      <c r="D3795" s="210"/>
      <c r="E3795" s="204"/>
      <c r="F3795" s="205"/>
      <c r="G3795" s="205"/>
    </row>
    <row r="3796" ht="15.75" customHeight="1">
      <c r="A3796" s="224"/>
      <c r="B3796" s="186"/>
      <c r="C3796" s="210"/>
      <c r="D3796" s="210"/>
      <c r="E3796" s="204"/>
      <c r="F3796" s="205"/>
      <c r="G3796" s="205"/>
    </row>
    <row r="3797" ht="15.75" customHeight="1">
      <c r="A3797" s="224"/>
      <c r="B3797" s="186"/>
      <c r="C3797" s="210"/>
      <c r="D3797" s="210"/>
      <c r="E3797" s="204"/>
      <c r="F3797" s="205"/>
      <c r="G3797" s="205"/>
    </row>
    <row r="3798" ht="15.75" customHeight="1">
      <c r="A3798" s="224"/>
      <c r="B3798" s="186"/>
      <c r="C3798" s="210"/>
      <c r="D3798" s="210"/>
      <c r="E3798" s="204"/>
      <c r="F3798" s="205"/>
      <c r="G3798" s="205"/>
    </row>
    <row r="3799" ht="15.75" customHeight="1">
      <c r="A3799" s="224"/>
      <c r="B3799" s="186"/>
      <c r="C3799" s="210"/>
      <c r="D3799" s="210"/>
      <c r="E3799" s="204"/>
      <c r="F3799" s="205"/>
      <c r="G3799" s="205"/>
    </row>
    <row r="3800" ht="15.75" customHeight="1">
      <c r="A3800" s="224"/>
      <c r="B3800" s="186"/>
      <c r="C3800" s="210"/>
      <c r="D3800" s="210"/>
      <c r="E3800" s="204"/>
      <c r="F3800" s="205"/>
      <c r="G3800" s="205"/>
    </row>
    <row r="3801" ht="15.75" customHeight="1">
      <c r="A3801" s="224"/>
      <c r="B3801" s="186"/>
      <c r="C3801" s="210"/>
      <c r="D3801" s="210"/>
      <c r="E3801" s="204"/>
      <c r="F3801" s="205"/>
      <c r="G3801" s="205"/>
    </row>
    <row r="3802" ht="15.75" customHeight="1">
      <c r="A3802" s="224"/>
      <c r="B3802" s="186"/>
      <c r="C3802" s="210"/>
      <c r="D3802" s="210"/>
      <c r="E3802" s="204"/>
      <c r="F3802" s="205"/>
      <c r="G3802" s="205"/>
    </row>
    <row r="3803" ht="15.75" customHeight="1">
      <c r="A3803" s="224"/>
      <c r="B3803" s="186"/>
      <c r="C3803" s="210"/>
      <c r="D3803" s="210"/>
      <c r="E3803" s="204"/>
      <c r="F3803" s="205"/>
      <c r="G3803" s="205"/>
    </row>
    <row r="3804" ht="15.75" customHeight="1">
      <c r="A3804" s="224"/>
      <c r="B3804" s="186"/>
      <c r="C3804" s="210"/>
      <c r="D3804" s="210"/>
      <c r="E3804" s="204"/>
      <c r="F3804" s="205"/>
      <c r="G3804" s="205"/>
    </row>
    <row r="3805" ht="15.75" customHeight="1">
      <c r="A3805" s="224"/>
      <c r="B3805" s="186"/>
      <c r="C3805" s="210"/>
      <c r="D3805" s="210"/>
      <c r="E3805" s="204"/>
      <c r="F3805" s="205"/>
      <c r="G3805" s="205"/>
    </row>
    <row r="3806" ht="15.75" customHeight="1">
      <c r="A3806" s="224"/>
      <c r="B3806" s="186"/>
      <c r="C3806" s="210"/>
      <c r="D3806" s="210"/>
      <c r="E3806" s="204"/>
      <c r="F3806" s="205"/>
      <c r="G3806" s="205"/>
    </row>
    <row r="3807" ht="15.75" customHeight="1">
      <c r="A3807" s="224"/>
      <c r="B3807" s="186"/>
      <c r="C3807" s="210"/>
      <c r="D3807" s="210"/>
      <c r="E3807" s="204"/>
      <c r="F3807" s="205"/>
      <c r="G3807" s="205"/>
    </row>
    <row r="3808" ht="15.75" customHeight="1">
      <c r="A3808" s="224"/>
      <c r="B3808" s="186"/>
      <c r="C3808" s="210"/>
      <c r="D3808" s="210"/>
      <c r="E3808" s="204"/>
      <c r="F3808" s="205"/>
      <c r="G3808" s="205"/>
    </row>
    <row r="3809" ht="15.75" customHeight="1">
      <c r="A3809" s="224"/>
      <c r="B3809" s="186"/>
      <c r="C3809" s="210"/>
      <c r="D3809" s="210"/>
      <c r="E3809" s="204"/>
      <c r="F3809" s="205"/>
      <c r="G3809" s="205"/>
    </row>
    <row r="3810" ht="15.75" customHeight="1">
      <c r="A3810" s="224"/>
      <c r="B3810" s="186"/>
      <c r="C3810" s="210"/>
      <c r="D3810" s="210"/>
      <c r="E3810" s="204"/>
      <c r="F3810" s="205"/>
      <c r="G3810" s="205"/>
    </row>
    <row r="3811" ht="15.75" customHeight="1">
      <c r="A3811" s="224"/>
      <c r="B3811" s="186"/>
      <c r="C3811" s="210"/>
      <c r="D3811" s="210"/>
      <c r="E3811" s="204"/>
      <c r="F3811" s="205"/>
      <c r="G3811" s="205"/>
    </row>
    <row r="3812" ht="15.75" customHeight="1">
      <c r="A3812" s="224"/>
      <c r="B3812" s="186"/>
      <c r="C3812" s="210"/>
      <c r="D3812" s="210"/>
      <c r="E3812" s="204"/>
      <c r="F3812" s="205"/>
      <c r="G3812" s="205"/>
    </row>
    <row r="3813" ht="15.75" customHeight="1">
      <c r="A3813" s="224"/>
      <c r="B3813" s="186"/>
      <c r="C3813" s="210"/>
      <c r="D3813" s="210"/>
      <c r="E3813" s="204"/>
      <c r="F3813" s="205"/>
      <c r="G3813" s="205"/>
    </row>
    <row r="3814" ht="15.75" customHeight="1">
      <c r="A3814" s="224"/>
      <c r="B3814" s="186"/>
      <c r="C3814" s="210"/>
      <c r="D3814" s="210"/>
      <c r="E3814" s="204"/>
      <c r="F3814" s="205"/>
      <c r="G3814" s="205"/>
    </row>
    <row r="3815" ht="15.75" customHeight="1">
      <c r="A3815" s="224"/>
      <c r="B3815" s="186"/>
      <c r="C3815" s="210"/>
      <c r="D3815" s="210"/>
      <c r="E3815" s="204"/>
      <c r="F3815" s="205"/>
      <c r="G3815" s="205"/>
    </row>
    <row r="3816" ht="15.75" customHeight="1">
      <c r="A3816" s="224"/>
      <c r="B3816" s="186"/>
      <c r="C3816" s="210"/>
      <c r="D3816" s="210"/>
      <c r="E3816" s="204"/>
      <c r="F3816" s="205"/>
      <c r="G3816" s="205"/>
    </row>
    <row r="3817" ht="15.75" customHeight="1">
      <c r="A3817" s="224"/>
      <c r="B3817" s="186"/>
      <c r="C3817" s="210"/>
      <c r="D3817" s="210"/>
      <c r="E3817" s="204"/>
      <c r="F3817" s="205"/>
      <c r="G3817" s="205"/>
    </row>
    <row r="3818" ht="15.75" customHeight="1">
      <c r="A3818" s="224"/>
      <c r="B3818" s="186"/>
      <c r="C3818" s="210"/>
      <c r="D3818" s="210"/>
      <c r="E3818" s="204"/>
      <c r="F3818" s="205"/>
      <c r="G3818" s="205"/>
    </row>
    <row r="3819" ht="15.75" customHeight="1">
      <c r="A3819" s="224"/>
      <c r="B3819" s="186"/>
      <c r="C3819" s="210"/>
      <c r="D3819" s="210"/>
      <c r="E3819" s="204"/>
      <c r="F3819" s="205"/>
      <c r="G3819" s="205"/>
    </row>
    <row r="3820" ht="15.75" customHeight="1">
      <c r="A3820" s="224"/>
      <c r="B3820" s="186"/>
      <c r="C3820" s="210"/>
      <c r="D3820" s="210"/>
      <c r="E3820" s="204"/>
      <c r="F3820" s="205"/>
      <c r="G3820" s="205"/>
    </row>
    <row r="3821" ht="15.75" customHeight="1">
      <c r="A3821" s="224"/>
      <c r="B3821" s="186"/>
      <c r="C3821" s="210"/>
      <c r="D3821" s="210"/>
      <c r="E3821" s="204"/>
      <c r="F3821" s="205"/>
      <c r="G3821" s="205"/>
    </row>
    <row r="3822" ht="15.75" customHeight="1">
      <c r="A3822" s="224"/>
      <c r="B3822" s="186"/>
      <c r="C3822" s="210"/>
      <c r="D3822" s="210"/>
      <c r="E3822" s="204"/>
      <c r="F3822" s="205"/>
      <c r="G3822" s="205"/>
    </row>
    <row r="3823" ht="15.75" customHeight="1">
      <c r="A3823" s="224"/>
      <c r="B3823" s="186"/>
      <c r="C3823" s="210"/>
      <c r="D3823" s="210"/>
      <c r="E3823" s="204"/>
      <c r="F3823" s="205"/>
      <c r="G3823" s="205"/>
    </row>
    <row r="3824" ht="15.75" customHeight="1">
      <c r="A3824" s="224"/>
      <c r="B3824" s="186"/>
      <c r="C3824" s="210"/>
      <c r="D3824" s="210"/>
      <c r="E3824" s="204"/>
      <c r="F3824" s="205"/>
      <c r="G3824" s="205"/>
    </row>
    <row r="3825" ht="15.75" customHeight="1">
      <c r="A3825" s="224"/>
      <c r="B3825" s="186"/>
      <c r="C3825" s="210"/>
      <c r="D3825" s="210"/>
      <c r="E3825" s="204"/>
      <c r="F3825" s="205"/>
      <c r="G3825" s="205"/>
    </row>
    <row r="3826" ht="15.75" customHeight="1">
      <c r="A3826" s="224"/>
      <c r="B3826" s="186"/>
      <c r="C3826" s="210"/>
      <c r="D3826" s="210"/>
      <c r="E3826" s="204"/>
      <c r="F3826" s="205"/>
      <c r="G3826" s="205"/>
    </row>
    <row r="3827" ht="15.75" customHeight="1">
      <c r="A3827" s="224"/>
      <c r="B3827" s="186"/>
      <c r="C3827" s="210"/>
      <c r="D3827" s="210"/>
      <c r="E3827" s="204"/>
      <c r="F3827" s="205"/>
      <c r="G3827" s="205"/>
    </row>
    <row r="3828" ht="15.75" customHeight="1">
      <c r="A3828" s="224"/>
      <c r="B3828" s="186"/>
      <c r="C3828" s="210"/>
      <c r="D3828" s="210"/>
      <c r="E3828" s="204"/>
      <c r="F3828" s="205"/>
      <c r="G3828" s="205"/>
    </row>
    <row r="3829" ht="15.75" customHeight="1">
      <c r="A3829" s="224"/>
      <c r="B3829" s="186"/>
      <c r="C3829" s="210"/>
      <c r="D3829" s="210"/>
      <c r="E3829" s="204"/>
      <c r="F3829" s="205"/>
      <c r="G3829" s="205"/>
    </row>
    <row r="3830" ht="15.75" customHeight="1">
      <c r="A3830" s="224"/>
      <c r="B3830" s="186"/>
      <c r="C3830" s="210"/>
      <c r="D3830" s="210"/>
      <c r="E3830" s="204"/>
      <c r="F3830" s="205"/>
      <c r="G3830" s="205"/>
    </row>
    <row r="3831" ht="15.75" customHeight="1">
      <c r="A3831" s="224"/>
      <c r="B3831" s="186"/>
      <c r="C3831" s="210"/>
      <c r="D3831" s="210"/>
      <c r="E3831" s="204"/>
      <c r="F3831" s="205"/>
      <c r="G3831" s="205"/>
    </row>
    <row r="3832" ht="15.75" customHeight="1">
      <c r="A3832" s="224"/>
      <c r="B3832" s="186"/>
      <c r="C3832" s="210"/>
      <c r="D3832" s="210"/>
      <c r="E3832" s="204"/>
      <c r="F3832" s="205"/>
      <c r="G3832" s="205"/>
    </row>
    <row r="3833" ht="15.75" customHeight="1">
      <c r="A3833" s="224"/>
      <c r="B3833" s="186"/>
      <c r="C3833" s="210"/>
      <c r="D3833" s="210"/>
      <c r="E3833" s="204"/>
      <c r="F3833" s="205"/>
      <c r="G3833" s="205"/>
    </row>
    <row r="3834" ht="15.75" customHeight="1">
      <c r="A3834" s="224"/>
      <c r="B3834" s="186"/>
      <c r="C3834" s="210"/>
      <c r="D3834" s="210"/>
      <c r="E3834" s="204"/>
      <c r="F3834" s="205"/>
      <c r="G3834" s="205"/>
    </row>
    <row r="3835" ht="15.75" customHeight="1">
      <c r="A3835" s="224"/>
      <c r="B3835" s="186"/>
      <c r="C3835" s="210"/>
      <c r="D3835" s="210"/>
      <c r="E3835" s="204"/>
      <c r="F3835" s="205"/>
      <c r="G3835" s="205"/>
    </row>
    <row r="3836" ht="15.75" customHeight="1">
      <c r="A3836" s="224"/>
      <c r="B3836" s="186"/>
      <c r="C3836" s="210"/>
      <c r="D3836" s="210"/>
      <c r="E3836" s="204"/>
      <c r="F3836" s="205"/>
      <c r="G3836" s="205"/>
    </row>
    <row r="3837" ht="15.75" customHeight="1">
      <c r="A3837" s="224"/>
      <c r="B3837" s="186"/>
      <c r="C3837" s="210"/>
      <c r="D3837" s="210"/>
      <c r="E3837" s="204"/>
      <c r="F3837" s="205"/>
      <c r="G3837" s="205"/>
    </row>
    <row r="3838" ht="15.75" customHeight="1">
      <c r="A3838" s="224"/>
      <c r="B3838" s="186"/>
      <c r="C3838" s="210"/>
      <c r="D3838" s="210"/>
      <c r="E3838" s="204"/>
      <c r="F3838" s="205"/>
      <c r="G3838" s="205"/>
    </row>
    <row r="3839" ht="15.75" customHeight="1">
      <c r="A3839" s="224"/>
      <c r="B3839" s="186"/>
      <c r="C3839" s="210"/>
      <c r="D3839" s="210"/>
      <c r="E3839" s="204"/>
      <c r="F3839" s="205"/>
      <c r="G3839" s="205"/>
    </row>
    <row r="3840" ht="15.75" customHeight="1">
      <c r="A3840" s="224"/>
      <c r="B3840" s="186"/>
      <c r="C3840" s="210"/>
      <c r="D3840" s="210"/>
      <c r="E3840" s="204"/>
      <c r="F3840" s="205"/>
      <c r="G3840" s="205"/>
    </row>
    <row r="3841" ht="15.75" customHeight="1">
      <c r="A3841" s="224"/>
      <c r="B3841" s="186"/>
      <c r="C3841" s="210"/>
      <c r="D3841" s="210"/>
      <c r="E3841" s="204"/>
      <c r="F3841" s="205"/>
      <c r="G3841" s="205"/>
    </row>
    <row r="3842" ht="15.75" customHeight="1">
      <c r="A3842" s="224"/>
      <c r="B3842" s="186"/>
      <c r="C3842" s="210"/>
      <c r="D3842" s="210"/>
      <c r="E3842" s="204"/>
      <c r="F3842" s="205"/>
      <c r="G3842" s="205"/>
    </row>
    <row r="3843" ht="15.75" customHeight="1">
      <c r="A3843" s="224"/>
      <c r="B3843" s="186"/>
      <c r="C3843" s="210"/>
      <c r="D3843" s="210"/>
      <c r="E3843" s="204"/>
      <c r="F3843" s="205"/>
      <c r="G3843" s="205"/>
    </row>
    <row r="3844" ht="15.75" customHeight="1">
      <c r="A3844" s="224"/>
      <c r="B3844" s="186"/>
      <c r="C3844" s="210"/>
      <c r="D3844" s="210"/>
      <c r="E3844" s="204"/>
      <c r="F3844" s="205"/>
      <c r="G3844" s="205"/>
    </row>
    <row r="3845" ht="15.75" customHeight="1">
      <c r="A3845" s="224"/>
      <c r="B3845" s="186"/>
      <c r="C3845" s="210"/>
      <c r="D3845" s="210"/>
      <c r="E3845" s="204"/>
      <c r="F3845" s="205"/>
      <c r="G3845" s="205"/>
    </row>
    <row r="3846" ht="15.75" customHeight="1">
      <c r="A3846" s="224"/>
      <c r="B3846" s="186"/>
      <c r="C3846" s="210"/>
      <c r="D3846" s="210"/>
      <c r="E3846" s="204"/>
      <c r="F3846" s="205"/>
      <c r="G3846" s="205"/>
    </row>
    <row r="3847" ht="15.75" customHeight="1">
      <c r="A3847" s="224"/>
      <c r="B3847" s="186"/>
      <c r="C3847" s="210"/>
      <c r="D3847" s="210"/>
      <c r="E3847" s="204"/>
      <c r="F3847" s="205"/>
      <c r="G3847" s="205"/>
    </row>
    <row r="3848" ht="15.75" customHeight="1">
      <c r="A3848" s="224"/>
      <c r="B3848" s="186"/>
      <c r="C3848" s="210"/>
      <c r="D3848" s="210"/>
      <c r="E3848" s="204"/>
      <c r="F3848" s="205"/>
      <c r="G3848" s="205"/>
    </row>
    <row r="3849" ht="15.75" customHeight="1">
      <c r="A3849" s="224"/>
      <c r="B3849" s="186"/>
      <c r="C3849" s="210"/>
      <c r="D3849" s="210"/>
      <c r="E3849" s="204"/>
      <c r="F3849" s="205"/>
      <c r="G3849" s="205"/>
    </row>
    <row r="3850" ht="15.75" customHeight="1">
      <c r="A3850" s="224"/>
      <c r="B3850" s="186"/>
      <c r="C3850" s="210"/>
      <c r="D3850" s="210"/>
      <c r="E3850" s="204"/>
      <c r="F3850" s="205"/>
      <c r="G3850" s="205"/>
    </row>
    <row r="3851" ht="15.75" customHeight="1">
      <c r="A3851" s="224"/>
      <c r="B3851" s="186"/>
      <c r="C3851" s="210"/>
      <c r="D3851" s="210"/>
      <c r="E3851" s="204"/>
      <c r="F3851" s="205"/>
      <c r="G3851" s="205"/>
    </row>
    <row r="3852" ht="15.75" customHeight="1">
      <c r="A3852" s="224"/>
      <c r="B3852" s="186"/>
      <c r="C3852" s="210"/>
      <c r="D3852" s="210"/>
      <c r="E3852" s="204"/>
      <c r="F3852" s="205"/>
      <c r="G3852" s="205"/>
    </row>
    <row r="3853" ht="15.75" customHeight="1">
      <c r="A3853" s="224"/>
      <c r="B3853" s="186"/>
      <c r="C3853" s="210"/>
      <c r="D3853" s="210"/>
      <c r="E3853" s="204"/>
      <c r="F3853" s="205"/>
      <c r="G3853" s="205"/>
    </row>
    <row r="3854" ht="15.75" customHeight="1">
      <c r="A3854" s="224"/>
      <c r="B3854" s="186"/>
      <c r="C3854" s="210"/>
      <c r="D3854" s="210"/>
      <c r="E3854" s="204"/>
      <c r="F3854" s="205"/>
      <c r="G3854" s="205"/>
    </row>
    <row r="3855" ht="15.75" customHeight="1">
      <c r="A3855" s="224"/>
      <c r="B3855" s="186"/>
      <c r="C3855" s="210"/>
      <c r="D3855" s="210"/>
      <c r="E3855" s="204"/>
      <c r="F3855" s="205"/>
      <c r="G3855" s="205"/>
    </row>
    <row r="3856" ht="15.75" customHeight="1">
      <c r="A3856" s="224"/>
      <c r="B3856" s="186"/>
      <c r="C3856" s="210"/>
      <c r="D3856" s="210"/>
      <c r="E3856" s="204"/>
      <c r="F3856" s="205"/>
      <c r="G3856" s="205"/>
    </row>
    <row r="3857" ht="15.75" customHeight="1">
      <c r="A3857" s="224"/>
      <c r="B3857" s="186"/>
      <c r="C3857" s="210"/>
      <c r="D3857" s="210"/>
      <c r="E3857" s="204"/>
      <c r="F3857" s="205"/>
      <c r="G3857" s="205"/>
    </row>
    <row r="3858" ht="15.75" customHeight="1">
      <c r="A3858" s="224"/>
      <c r="B3858" s="186"/>
      <c r="C3858" s="210"/>
      <c r="D3858" s="210"/>
      <c r="E3858" s="204"/>
      <c r="F3858" s="205"/>
      <c r="G3858" s="205"/>
    </row>
    <row r="3859" ht="15.75" customHeight="1">
      <c r="A3859" s="224"/>
      <c r="B3859" s="186"/>
      <c r="C3859" s="210"/>
      <c r="D3859" s="210"/>
      <c r="E3859" s="204"/>
      <c r="F3859" s="205"/>
      <c r="G3859" s="205"/>
    </row>
    <row r="3860" ht="15.75" customHeight="1">
      <c r="A3860" s="224"/>
      <c r="B3860" s="186"/>
      <c r="C3860" s="210"/>
      <c r="D3860" s="210"/>
      <c r="E3860" s="204"/>
      <c r="F3860" s="205"/>
      <c r="G3860" s="205"/>
    </row>
    <row r="3861" ht="15.75" customHeight="1">
      <c r="A3861" s="224"/>
      <c r="B3861" s="186"/>
      <c r="C3861" s="210"/>
      <c r="D3861" s="210"/>
      <c r="E3861" s="204"/>
      <c r="F3861" s="205"/>
      <c r="G3861" s="205"/>
    </row>
    <row r="3862" ht="15.75" customHeight="1">
      <c r="A3862" s="224"/>
      <c r="B3862" s="186"/>
      <c r="C3862" s="210"/>
      <c r="D3862" s="210"/>
      <c r="E3862" s="204"/>
      <c r="F3862" s="205"/>
      <c r="G3862" s="205"/>
    </row>
    <row r="3863" ht="15.75" customHeight="1">
      <c r="A3863" s="224"/>
      <c r="B3863" s="186"/>
      <c r="C3863" s="210"/>
      <c r="D3863" s="210"/>
      <c r="E3863" s="204"/>
      <c r="F3863" s="205"/>
      <c r="G3863" s="205"/>
    </row>
    <row r="3864" ht="15.75" customHeight="1">
      <c r="A3864" s="224"/>
      <c r="B3864" s="186"/>
      <c r="C3864" s="210"/>
      <c r="D3864" s="210"/>
      <c r="E3864" s="204"/>
      <c r="F3864" s="205"/>
      <c r="G3864" s="205"/>
    </row>
    <row r="3865" ht="15.75" customHeight="1">
      <c r="A3865" s="224"/>
      <c r="B3865" s="186"/>
      <c r="C3865" s="210"/>
      <c r="D3865" s="210"/>
      <c r="E3865" s="204"/>
      <c r="F3865" s="205"/>
      <c r="G3865" s="205"/>
    </row>
    <row r="3866" ht="15.75" customHeight="1">
      <c r="A3866" s="224"/>
      <c r="B3866" s="186"/>
      <c r="C3866" s="210"/>
      <c r="D3866" s="210"/>
      <c r="E3866" s="204"/>
      <c r="F3866" s="205"/>
      <c r="G3866" s="205"/>
    </row>
    <row r="3867" ht="15.75" customHeight="1">
      <c r="A3867" s="224"/>
      <c r="B3867" s="186"/>
      <c r="C3867" s="210"/>
      <c r="D3867" s="210"/>
      <c r="E3867" s="204"/>
      <c r="F3867" s="205"/>
      <c r="G3867" s="205"/>
    </row>
    <row r="3868" ht="15.75" customHeight="1">
      <c r="A3868" s="224"/>
      <c r="B3868" s="186"/>
      <c r="C3868" s="210"/>
      <c r="D3868" s="210"/>
      <c r="E3868" s="204"/>
      <c r="F3868" s="205"/>
      <c r="G3868" s="205"/>
    </row>
    <row r="3869" ht="15.75" customHeight="1">
      <c r="A3869" s="224"/>
      <c r="B3869" s="186"/>
      <c r="C3869" s="210"/>
      <c r="D3869" s="210"/>
      <c r="E3869" s="204"/>
      <c r="F3869" s="205"/>
      <c r="G3869" s="205"/>
    </row>
    <row r="3870" ht="15.75" customHeight="1">
      <c r="A3870" s="224"/>
      <c r="B3870" s="186"/>
      <c r="C3870" s="210"/>
      <c r="D3870" s="210"/>
      <c r="E3870" s="204"/>
      <c r="F3870" s="205"/>
      <c r="G3870" s="205"/>
    </row>
    <row r="3871" ht="15.75" customHeight="1">
      <c r="A3871" s="224"/>
      <c r="B3871" s="186"/>
      <c r="C3871" s="210"/>
      <c r="D3871" s="210"/>
      <c r="E3871" s="204"/>
      <c r="F3871" s="205"/>
      <c r="G3871" s="205"/>
    </row>
    <row r="3872" ht="15.75" customHeight="1">
      <c r="A3872" s="224"/>
      <c r="B3872" s="186"/>
      <c r="C3872" s="210"/>
      <c r="D3872" s="210"/>
      <c r="E3872" s="204"/>
      <c r="F3872" s="205"/>
      <c r="G3872" s="205"/>
    </row>
    <row r="3873" ht="15.75" customHeight="1">
      <c r="A3873" s="224"/>
      <c r="B3873" s="186"/>
      <c r="C3873" s="210"/>
      <c r="D3873" s="210"/>
      <c r="E3873" s="204"/>
      <c r="F3873" s="205"/>
      <c r="G3873" s="205"/>
    </row>
    <row r="3874" ht="15.75" customHeight="1">
      <c r="A3874" s="224"/>
      <c r="B3874" s="186"/>
      <c r="C3874" s="210"/>
      <c r="D3874" s="210"/>
      <c r="E3874" s="204"/>
      <c r="F3874" s="205"/>
      <c r="G3874" s="205"/>
    </row>
    <row r="3875" ht="15.75" customHeight="1">
      <c r="A3875" s="224"/>
      <c r="B3875" s="186"/>
      <c r="C3875" s="210"/>
      <c r="D3875" s="210"/>
      <c r="E3875" s="204"/>
      <c r="F3875" s="205"/>
      <c r="G3875" s="205"/>
    </row>
    <row r="3876" ht="15.75" customHeight="1">
      <c r="A3876" s="224"/>
      <c r="B3876" s="186"/>
      <c r="C3876" s="210"/>
      <c r="D3876" s="210"/>
      <c r="E3876" s="204"/>
      <c r="F3876" s="205"/>
      <c r="G3876" s="205"/>
    </row>
    <row r="3877" ht="15.75" customHeight="1">
      <c r="A3877" s="224"/>
      <c r="B3877" s="186"/>
      <c r="C3877" s="210"/>
      <c r="D3877" s="210"/>
      <c r="E3877" s="204"/>
      <c r="F3877" s="205"/>
      <c r="G3877" s="205"/>
    </row>
    <row r="3878" ht="15.75" customHeight="1">
      <c r="A3878" s="224"/>
      <c r="B3878" s="186"/>
      <c r="C3878" s="210"/>
      <c r="D3878" s="210"/>
      <c r="E3878" s="204"/>
      <c r="F3878" s="205"/>
      <c r="G3878" s="205"/>
    </row>
    <row r="3879" ht="15.75" customHeight="1">
      <c r="A3879" s="224"/>
      <c r="B3879" s="186"/>
      <c r="C3879" s="210"/>
      <c r="D3879" s="210"/>
      <c r="E3879" s="204"/>
      <c r="F3879" s="205"/>
      <c r="G3879" s="205"/>
    </row>
    <row r="3880" ht="15.75" customHeight="1">
      <c r="A3880" s="224"/>
      <c r="B3880" s="186"/>
      <c r="C3880" s="210"/>
      <c r="D3880" s="210"/>
      <c r="E3880" s="204"/>
      <c r="F3880" s="205"/>
      <c r="G3880" s="205"/>
    </row>
    <row r="3881" ht="15.75" customHeight="1">
      <c r="A3881" s="224"/>
      <c r="B3881" s="186"/>
      <c r="C3881" s="210"/>
      <c r="D3881" s="210"/>
      <c r="E3881" s="204"/>
      <c r="F3881" s="205"/>
      <c r="G3881" s="205"/>
    </row>
    <row r="3882" ht="15.75" customHeight="1">
      <c r="A3882" s="224"/>
      <c r="B3882" s="186"/>
      <c r="C3882" s="210"/>
      <c r="D3882" s="210"/>
      <c r="E3882" s="204"/>
      <c r="F3882" s="205"/>
      <c r="G3882" s="205"/>
    </row>
    <row r="3883" ht="15.75" customHeight="1">
      <c r="A3883" s="224"/>
      <c r="B3883" s="186"/>
      <c r="C3883" s="210"/>
      <c r="D3883" s="210"/>
      <c r="E3883" s="204"/>
      <c r="F3883" s="205"/>
      <c r="G3883" s="205"/>
    </row>
    <row r="3884" ht="15.75" customHeight="1">
      <c r="A3884" s="224"/>
      <c r="B3884" s="186"/>
      <c r="C3884" s="210"/>
      <c r="D3884" s="210"/>
      <c r="E3884" s="204"/>
      <c r="F3884" s="205"/>
      <c r="G3884" s="205"/>
    </row>
    <row r="3885" ht="15.75" customHeight="1">
      <c r="A3885" s="224"/>
      <c r="B3885" s="186"/>
      <c r="C3885" s="210"/>
      <c r="D3885" s="210"/>
      <c r="E3885" s="204"/>
      <c r="F3885" s="205"/>
      <c r="G3885" s="205"/>
    </row>
    <row r="3886" ht="15.75" customHeight="1">
      <c r="A3886" s="224"/>
      <c r="B3886" s="186"/>
      <c r="C3886" s="210"/>
      <c r="D3886" s="210"/>
      <c r="E3886" s="204"/>
      <c r="F3886" s="205"/>
      <c r="G3886" s="205"/>
    </row>
    <row r="3887" ht="15.75" customHeight="1">
      <c r="A3887" s="224"/>
      <c r="B3887" s="186"/>
      <c r="C3887" s="210"/>
      <c r="D3887" s="210"/>
      <c r="E3887" s="204"/>
      <c r="F3887" s="205"/>
      <c r="G3887" s="205"/>
    </row>
    <row r="3888" ht="15.75" customHeight="1">
      <c r="A3888" s="224"/>
      <c r="B3888" s="186"/>
      <c r="C3888" s="210"/>
      <c r="D3888" s="210"/>
      <c r="E3888" s="204"/>
      <c r="F3888" s="205"/>
      <c r="G3888" s="205"/>
    </row>
    <row r="3889" ht="15.75" customHeight="1">
      <c r="A3889" s="224"/>
      <c r="B3889" s="186"/>
      <c r="C3889" s="210"/>
      <c r="D3889" s="210"/>
      <c r="E3889" s="204"/>
      <c r="F3889" s="205"/>
      <c r="G3889" s="205"/>
    </row>
    <row r="3890" ht="15.75" customHeight="1">
      <c r="A3890" s="224"/>
      <c r="B3890" s="186"/>
      <c r="C3890" s="210"/>
      <c r="D3890" s="210"/>
      <c r="E3890" s="204"/>
      <c r="F3890" s="205"/>
      <c r="G3890" s="205"/>
    </row>
    <row r="3891" ht="15.75" customHeight="1">
      <c r="A3891" s="224"/>
      <c r="B3891" s="186"/>
      <c r="C3891" s="210"/>
      <c r="D3891" s="210"/>
      <c r="E3891" s="204"/>
      <c r="F3891" s="205"/>
      <c r="G3891" s="205"/>
    </row>
    <row r="3892" ht="15.75" customHeight="1">
      <c r="A3892" s="224"/>
      <c r="B3892" s="186"/>
      <c r="C3892" s="210"/>
      <c r="D3892" s="210"/>
      <c r="E3892" s="204"/>
      <c r="F3892" s="205"/>
      <c r="G3892" s="205"/>
    </row>
    <row r="3893" ht="15.75" customHeight="1">
      <c r="A3893" s="224"/>
      <c r="B3893" s="186"/>
      <c r="C3893" s="210"/>
      <c r="D3893" s="210"/>
      <c r="E3893" s="204"/>
      <c r="F3893" s="205"/>
      <c r="G3893" s="205"/>
    </row>
    <row r="3894" ht="15.75" customHeight="1">
      <c r="A3894" s="224"/>
      <c r="B3894" s="186"/>
      <c r="C3894" s="210"/>
      <c r="D3894" s="210"/>
      <c r="E3894" s="204"/>
      <c r="F3894" s="205"/>
      <c r="G3894" s="205"/>
    </row>
    <row r="3895" ht="15.75" customHeight="1">
      <c r="A3895" s="224"/>
      <c r="B3895" s="186"/>
      <c r="C3895" s="210"/>
      <c r="D3895" s="210"/>
      <c r="E3895" s="204"/>
      <c r="F3895" s="205"/>
      <c r="G3895" s="205"/>
    </row>
    <row r="3896" ht="15.75" customHeight="1">
      <c r="A3896" s="224"/>
      <c r="B3896" s="186"/>
      <c r="C3896" s="210"/>
      <c r="D3896" s="210"/>
      <c r="E3896" s="204"/>
      <c r="F3896" s="205"/>
      <c r="G3896" s="205"/>
    </row>
    <row r="3897" ht="15.75" customHeight="1">
      <c r="A3897" s="224"/>
      <c r="B3897" s="186"/>
      <c r="C3897" s="210"/>
      <c r="D3897" s="210"/>
      <c r="E3897" s="204"/>
      <c r="F3897" s="205"/>
      <c r="G3897" s="205"/>
    </row>
    <row r="3898" ht="15.75" customHeight="1">
      <c r="A3898" s="224"/>
      <c r="B3898" s="186"/>
      <c r="C3898" s="210"/>
      <c r="D3898" s="210"/>
      <c r="E3898" s="204"/>
      <c r="F3898" s="205"/>
      <c r="G3898" s="205"/>
    </row>
    <row r="3899" ht="15.75" customHeight="1">
      <c r="A3899" s="224"/>
      <c r="B3899" s="186"/>
      <c r="C3899" s="210"/>
      <c r="D3899" s="210"/>
      <c r="E3899" s="204"/>
      <c r="F3899" s="205"/>
      <c r="G3899" s="205"/>
    </row>
    <row r="3900" ht="15.75" customHeight="1">
      <c r="A3900" s="224"/>
      <c r="B3900" s="186"/>
      <c r="C3900" s="210"/>
      <c r="D3900" s="210"/>
      <c r="E3900" s="204"/>
      <c r="F3900" s="205"/>
      <c r="G3900" s="205"/>
    </row>
    <row r="3901" ht="15.75" customHeight="1">
      <c r="A3901" s="224"/>
      <c r="B3901" s="186"/>
      <c r="C3901" s="210"/>
      <c r="D3901" s="210"/>
      <c r="E3901" s="204"/>
      <c r="F3901" s="205"/>
      <c r="G3901" s="205"/>
    </row>
    <row r="3902" ht="15.75" customHeight="1">
      <c r="A3902" s="224"/>
      <c r="B3902" s="186"/>
      <c r="C3902" s="210"/>
      <c r="D3902" s="210"/>
      <c r="E3902" s="204"/>
      <c r="F3902" s="205"/>
      <c r="G3902" s="205"/>
    </row>
    <row r="3903" ht="15.75" customHeight="1">
      <c r="A3903" s="224"/>
      <c r="B3903" s="186"/>
      <c r="C3903" s="210"/>
      <c r="D3903" s="210"/>
      <c r="E3903" s="204"/>
      <c r="F3903" s="205"/>
      <c r="G3903" s="205"/>
    </row>
    <row r="3904" ht="15.75" customHeight="1">
      <c r="A3904" s="224"/>
      <c r="B3904" s="186"/>
      <c r="C3904" s="210"/>
      <c r="D3904" s="210"/>
      <c r="E3904" s="204"/>
      <c r="F3904" s="205"/>
      <c r="G3904" s="205"/>
    </row>
    <row r="3905" ht="15.75" customHeight="1">
      <c r="A3905" s="224"/>
      <c r="B3905" s="186"/>
      <c r="C3905" s="210"/>
      <c r="D3905" s="210"/>
      <c r="E3905" s="204"/>
      <c r="F3905" s="205"/>
      <c r="G3905" s="205"/>
    </row>
    <row r="3906" ht="15.75" customHeight="1">
      <c r="A3906" s="224"/>
      <c r="B3906" s="186"/>
      <c r="C3906" s="210"/>
      <c r="D3906" s="210"/>
      <c r="E3906" s="204"/>
      <c r="F3906" s="205"/>
      <c r="G3906" s="205"/>
    </row>
    <row r="3907" ht="15.75" customHeight="1">
      <c r="A3907" s="224"/>
      <c r="B3907" s="186"/>
      <c r="C3907" s="210"/>
      <c r="D3907" s="210"/>
      <c r="E3907" s="204"/>
      <c r="F3907" s="205"/>
      <c r="G3907" s="205"/>
    </row>
    <row r="3908" ht="15.75" customHeight="1">
      <c r="A3908" s="224"/>
      <c r="B3908" s="186"/>
      <c r="C3908" s="210"/>
      <c r="D3908" s="210"/>
      <c r="E3908" s="204"/>
      <c r="F3908" s="205"/>
      <c r="G3908" s="205"/>
    </row>
    <row r="3909" ht="15.75" customHeight="1">
      <c r="A3909" s="224"/>
      <c r="B3909" s="186"/>
      <c r="C3909" s="210"/>
      <c r="D3909" s="210"/>
      <c r="E3909" s="204"/>
      <c r="F3909" s="205"/>
      <c r="G3909" s="205"/>
    </row>
    <row r="3910" ht="15.75" customHeight="1">
      <c r="A3910" s="224"/>
      <c r="B3910" s="186"/>
      <c r="C3910" s="210"/>
      <c r="D3910" s="210"/>
      <c r="E3910" s="204"/>
      <c r="F3910" s="205"/>
      <c r="G3910" s="205"/>
    </row>
    <row r="3911" ht="15.75" customHeight="1">
      <c r="A3911" s="224"/>
      <c r="B3911" s="186"/>
      <c r="C3911" s="210"/>
      <c r="D3911" s="210"/>
      <c r="E3911" s="204"/>
      <c r="F3911" s="205"/>
      <c r="G3911" s="205"/>
    </row>
    <row r="3912" ht="15.75" customHeight="1">
      <c r="A3912" s="224"/>
      <c r="B3912" s="186"/>
      <c r="C3912" s="210"/>
      <c r="D3912" s="210"/>
      <c r="E3912" s="204"/>
      <c r="F3912" s="205"/>
      <c r="G3912" s="205"/>
    </row>
    <row r="3913" ht="15.75" customHeight="1">
      <c r="A3913" s="224"/>
      <c r="B3913" s="186"/>
      <c r="C3913" s="210"/>
      <c r="D3913" s="210"/>
      <c r="E3913" s="204"/>
      <c r="F3913" s="205"/>
      <c r="G3913" s="205"/>
    </row>
    <row r="3914" ht="15.75" customHeight="1">
      <c r="A3914" s="224"/>
      <c r="B3914" s="186"/>
      <c r="C3914" s="210"/>
      <c r="D3914" s="210"/>
      <c r="E3914" s="204"/>
      <c r="F3914" s="205"/>
      <c r="G3914" s="205"/>
    </row>
    <row r="3915" ht="15.75" customHeight="1">
      <c r="A3915" s="224"/>
      <c r="B3915" s="186"/>
      <c r="C3915" s="210"/>
      <c r="D3915" s="210"/>
      <c r="E3915" s="204"/>
      <c r="F3915" s="205"/>
      <c r="G3915" s="205"/>
    </row>
    <row r="3916" ht="15.75" customHeight="1">
      <c r="A3916" s="224"/>
      <c r="B3916" s="186"/>
      <c r="C3916" s="210"/>
      <c r="D3916" s="210"/>
      <c r="E3916" s="204"/>
      <c r="F3916" s="205"/>
      <c r="G3916" s="205"/>
    </row>
    <row r="3917" ht="15.75" customHeight="1">
      <c r="A3917" s="224"/>
      <c r="B3917" s="186"/>
      <c r="C3917" s="210"/>
      <c r="D3917" s="210"/>
      <c r="E3917" s="204"/>
      <c r="F3917" s="205"/>
      <c r="G3917" s="205"/>
    </row>
    <row r="3918" ht="15.75" customHeight="1">
      <c r="A3918" s="224"/>
      <c r="B3918" s="186"/>
      <c r="C3918" s="210"/>
      <c r="D3918" s="210"/>
      <c r="E3918" s="204"/>
      <c r="F3918" s="205"/>
      <c r="G3918" s="205"/>
    </row>
    <row r="3919" ht="15.75" customHeight="1">
      <c r="A3919" s="224"/>
      <c r="B3919" s="186"/>
      <c r="C3919" s="210"/>
      <c r="D3919" s="210"/>
      <c r="E3919" s="204"/>
      <c r="F3919" s="205"/>
      <c r="G3919" s="205"/>
    </row>
    <row r="3920" ht="15.75" customHeight="1">
      <c r="A3920" s="224"/>
      <c r="B3920" s="186"/>
      <c r="C3920" s="210"/>
      <c r="D3920" s="210"/>
      <c r="E3920" s="204"/>
      <c r="F3920" s="205"/>
      <c r="G3920" s="205"/>
    </row>
    <row r="3921" ht="15.75" customHeight="1">
      <c r="A3921" s="224"/>
      <c r="B3921" s="186"/>
      <c r="C3921" s="210"/>
      <c r="D3921" s="210"/>
      <c r="E3921" s="204"/>
      <c r="F3921" s="205"/>
      <c r="G3921" s="205"/>
    </row>
    <row r="3922" ht="15.75" customHeight="1">
      <c r="A3922" s="224"/>
      <c r="B3922" s="186"/>
      <c r="C3922" s="210"/>
      <c r="D3922" s="210"/>
      <c r="E3922" s="204"/>
      <c r="F3922" s="205"/>
      <c r="G3922" s="205"/>
    </row>
    <row r="3923" ht="15.75" customHeight="1">
      <c r="A3923" s="224"/>
      <c r="B3923" s="186"/>
      <c r="C3923" s="210"/>
      <c r="D3923" s="210"/>
      <c r="E3923" s="204"/>
      <c r="F3923" s="205"/>
      <c r="G3923" s="205"/>
    </row>
    <row r="3924" ht="15.75" customHeight="1">
      <c r="A3924" s="224"/>
      <c r="B3924" s="186"/>
      <c r="C3924" s="210"/>
      <c r="D3924" s="210"/>
      <c r="E3924" s="204"/>
      <c r="F3924" s="205"/>
      <c r="G3924" s="205"/>
    </row>
    <row r="3925" ht="15.75" customHeight="1">
      <c r="A3925" s="224"/>
      <c r="B3925" s="186"/>
      <c r="C3925" s="210"/>
      <c r="D3925" s="210"/>
      <c r="E3925" s="204"/>
      <c r="F3925" s="205"/>
      <c r="G3925" s="205"/>
    </row>
    <row r="3926" ht="15.75" customHeight="1">
      <c r="A3926" s="224"/>
      <c r="B3926" s="186"/>
      <c r="C3926" s="210"/>
      <c r="D3926" s="210"/>
      <c r="E3926" s="204"/>
      <c r="F3926" s="205"/>
      <c r="G3926" s="205"/>
    </row>
    <row r="3927" ht="15.75" customHeight="1">
      <c r="A3927" s="224"/>
      <c r="B3927" s="186"/>
      <c r="C3927" s="210"/>
      <c r="D3927" s="210"/>
      <c r="E3927" s="204"/>
      <c r="F3927" s="205"/>
      <c r="G3927" s="205"/>
    </row>
    <row r="3928" ht="15.75" customHeight="1">
      <c r="A3928" s="224"/>
      <c r="B3928" s="186"/>
      <c r="C3928" s="210"/>
      <c r="D3928" s="210"/>
      <c r="E3928" s="204"/>
      <c r="F3928" s="205"/>
      <c r="G3928" s="205"/>
    </row>
    <row r="3929" ht="15.75" customHeight="1">
      <c r="A3929" s="224"/>
      <c r="B3929" s="186"/>
      <c r="C3929" s="210"/>
      <c r="D3929" s="210"/>
      <c r="E3929" s="204"/>
      <c r="F3929" s="205"/>
      <c r="G3929" s="205"/>
    </row>
    <row r="3930" ht="15.75" customHeight="1">
      <c r="A3930" s="224"/>
      <c r="B3930" s="186"/>
      <c r="C3930" s="210"/>
      <c r="D3930" s="210"/>
      <c r="E3930" s="204"/>
      <c r="F3930" s="205"/>
      <c r="G3930" s="205"/>
    </row>
    <row r="3931" ht="15.75" customHeight="1">
      <c r="A3931" s="224"/>
      <c r="B3931" s="186"/>
      <c r="C3931" s="210"/>
      <c r="D3931" s="210"/>
      <c r="E3931" s="204"/>
      <c r="F3931" s="205"/>
      <c r="G3931" s="205"/>
    </row>
    <row r="3932" ht="15.75" customHeight="1">
      <c r="A3932" s="224"/>
      <c r="B3932" s="186"/>
      <c r="C3932" s="210"/>
      <c r="D3932" s="210"/>
      <c r="E3932" s="204"/>
      <c r="F3932" s="205"/>
      <c r="G3932" s="205"/>
    </row>
    <row r="3933" ht="15.75" customHeight="1">
      <c r="A3933" s="224"/>
      <c r="B3933" s="186"/>
      <c r="C3933" s="210"/>
      <c r="D3933" s="210"/>
      <c r="E3933" s="204"/>
      <c r="F3933" s="205"/>
      <c r="G3933" s="205"/>
    </row>
    <row r="3934" ht="15.75" customHeight="1">
      <c r="A3934" s="224"/>
      <c r="B3934" s="186"/>
      <c r="C3934" s="210"/>
      <c r="D3934" s="210"/>
      <c r="E3934" s="204"/>
      <c r="F3934" s="205"/>
      <c r="G3934" s="205"/>
    </row>
    <row r="3935" ht="15.75" customHeight="1">
      <c r="A3935" s="224"/>
      <c r="B3935" s="186"/>
      <c r="C3935" s="210"/>
      <c r="D3935" s="210"/>
      <c r="E3935" s="204"/>
      <c r="F3935" s="205"/>
      <c r="G3935" s="205"/>
    </row>
    <row r="3936" ht="15.75" customHeight="1">
      <c r="A3936" s="224"/>
      <c r="B3936" s="186"/>
      <c r="C3936" s="210"/>
      <c r="D3936" s="210"/>
      <c r="E3936" s="204"/>
      <c r="F3936" s="205"/>
      <c r="G3936" s="205"/>
    </row>
    <row r="3937" ht="15.75" customHeight="1">
      <c r="A3937" s="224"/>
      <c r="B3937" s="186"/>
      <c r="C3937" s="210"/>
      <c r="D3937" s="210"/>
      <c r="E3937" s="204"/>
      <c r="F3937" s="205"/>
      <c r="G3937" s="205"/>
    </row>
    <row r="3938" ht="15.75" customHeight="1">
      <c r="A3938" s="224"/>
      <c r="B3938" s="186"/>
      <c r="C3938" s="210"/>
      <c r="D3938" s="210"/>
      <c r="E3938" s="204"/>
      <c r="F3938" s="205"/>
      <c r="G3938" s="205"/>
    </row>
    <row r="3939" ht="15.75" customHeight="1">
      <c r="A3939" s="224"/>
      <c r="B3939" s="186"/>
      <c r="C3939" s="210"/>
      <c r="D3939" s="210"/>
      <c r="E3939" s="204"/>
      <c r="F3939" s="205"/>
      <c r="G3939" s="205"/>
    </row>
    <row r="3940" ht="15.75" customHeight="1">
      <c r="A3940" s="224"/>
      <c r="B3940" s="186"/>
      <c r="C3940" s="210"/>
      <c r="D3940" s="210"/>
      <c r="E3940" s="204"/>
      <c r="F3940" s="205"/>
      <c r="G3940" s="205"/>
    </row>
    <row r="3941" ht="15.75" customHeight="1">
      <c r="A3941" s="224"/>
      <c r="B3941" s="186"/>
      <c r="C3941" s="210"/>
      <c r="D3941" s="210"/>
      <c r="E3941" s="204"/>
      <c r="F3941" s="205"/>
      <c r="G3941" s="205"/>
    </row>
    <row r="3942" ht="15.75" customHeight="1">
      <c r="A3942" s="224"/>
      <c r="B3942" s="186"/>
      <c r="C3942" s="210"/>
      <c r="D3942" s="210"/>
      <c r="E3942" s="204"/>
      <c r="F3942" s="205"/>
      <c r="G3942" s="205"/>
    </row>
    <row r="3943" ht="15.75" customHeight="1">
      <c r="A3943" s="224"/>
      <c r="B3943" s="186"/>
      <c r="C3943" s="210"/>
      <c r="D3943" s="210"/>
      <c r="E3943" s="204"/>
      <c r="F3943" s="205"/>
      <c r="G3943" s="205"/>
    </row>
    <row r="3944" ht="15.75" customHeight="1">
      <c r="A3944" s="224"/>
      <c r="B3944" s="186"/>
      <c r="C3944" s="210"/>
      <c r="D3944" s="210"/>
      <c r="E3944" s="204"/>
      <c r="F3944" s="205"/>
      <c r="G3944" s="205"/>
    </row>
    <row r="3945" ht="15.75" customHeight="1">
      <c r="A3945" s="224"/>
      <c r="B3945" s="186"/>
      <c r="C3945" s="210"/>
      <c r="D3945" s="210"/>
      <c r="E3945" s="204"/>
      <c r="F3945" s="205"/>
      <c r="G3945" s="205"/>
    </row>
    <row r="3946" ht="15.75" customHeight="1">
      <c r="A3946" s="224"/>
      <c r="B3946" s="186"/>
      <c r="C3946" s="210"/>
      <c r="D3946" s="210"/>
      <c r="E3946" s="204"/>
      <c r="F3946" s="205"/>
      <c r="G3946" s="205"/>
    </row>
    <row r="3947" ht="15.75" customHeight="1">
      <c r="A3947" s="224"/>
      <c r="B3947" s="186"/>
      <c r="C3947" s="210"/>
      <c r="D3947" s="210"/>
      <c r="E3947" s="204"/>
      <c r="F3947" s="205"/>
      <c r="G3947" s="205"/>
    </row>
    <row r="3948" ht="15.75" customHeight="1">
      <c r="A3948" s="224"/>
      <c r="B3948" s="186"/>
      <c r="C3948" s="210"/>
      <c r="D3948" s="210"/>
      <c r="E3948" s="204"/>
      <c r="F3948" s="205"/>
      <c r="G3948" s="205"/>
    </row>
    <row r="3949" ht="15.75" customHeight="1">
      <c r="A3949" s="224"/>
      <c r="B3949" s="186"/>
      <c r="C3949" s="210"/>
      <c r="D3949" s="210"/>
      <c r="E3949" s="204"/>
      <c r="F3949" s="205"/>
      <c r="G3949" s="205"/>
    </row>
    <row r="3950" ht="15.75" customHeight="1">
      <c r="A3950" s="224"/>
      <c r="B3950" s="186"/>
      <c r="C3950" s="210"/>
      <c r="D3950" s="210"/>
      <c r="E3950" s="204"/>
      <c r="F3950" s="205"/>
      <c r="G3950" s="205"/>
    </row>
    <row r="3951" ht="15.75" customHeight="1">
      <c r="A3951" s="224"/>
      <c r="B3951" s="186"/>
      <c r="C3951" s="210"/>
      <c r="D3951" s="210"/>
      <c r="E3951" s="204"/>
      <c r="F3951" s="205"/>
      <c r="G3951" s="205"/>
    </row>
    <row r="3952" ht="15.75" customHeight="1">
      <c r="A3952" s="224"/>
      <c r="B3952" s="186"/>
      <c r="C3952" s="210"/>
      <c r="D3952" s="210"/>
      <c r="E3952" s="204"/>
      <c r="F3952" s="205"/>
      <c r="G3952" s="205"/>
    </row>
    <row r="3953" ht="15.75" customHeight="1">
      <c r="A3953" s="224"/>
      <c r="B3953" s="186"/>
      <c r="C3953" s="210"/>
      <c r="D3953" s="210"/>
      <c r="E3953" s="204"/>
      <c r="F3953" s="205"/>
      <c r="G3953" s="205"/>
    </row>
    <row r="3954" ht="15.75" customHeight="1">
      <c r="A3954" s="224"/>
      <c r="B3954" s="186"/>
      <c r="C3954" s="210"/>
      <c r="D3954" s="210"/>
      <c r="E3954" s="204"/>
      <c r="F3954" s="205"/>
      <c r="G3954" s="205"/>
    </row>
    <row r="3955" ht="15.75" customHeight="1">
      <c r="A3955" s="224"/>
      <c r="B3955" s="186"/>
      <c r="C3955" s="210"/>
      <c r="D3955" s="210"/>
      <c r="E3955" s="204"/>
      <c r="F3955" s="205"/>
      <c r="G3955" s="205"/>
    </row>
    <row r="3956" ht="15.75" customHeight="1">
      <c r="A3956" s="224"/>
      <c r="B3956" s="186"/>
      <c r="C3956" s="210"/>
      <c r="D3956" s="210"/>
      <c r="E3956" s="204"/>
      <c r="F3956" s="205"/>
      <c r="G3956" s="205"/>
    </row>
    <row r="3957" ht="15.75" customHeight="1">
      <c r="A3957" s="224"/>
      <c r="B3957" s="186"/>
      <c r="C3957" s="210"/>
      <c r="D3957" s="210"/>
      <c r="E3957" s="204"/>
      <c r="F3957" s="205"/>
      <c r="G3957" s="205"/>
    </row>
    <row r="3958" ht="15.75" customHeight="1">
      <c r="A3958" s="224"/>
      <c r="B3958" s="186"/>
      <c r="C3958" s="210"/>
      <c r="D3958" s="210"/>
      <c r="E3958" s="204"/>
      <c r="F3958" s="205"/>
      <c r="G3958" s="205"/>
    </row>
    <row r="3959" ht="15.75" customHeight="1">
      <c r="A3959" s="224"/>
      <c r="B3959" s="186"/>
      <c r="C3959" s="210"/>
      <c r="D3959" s="210"/>
      <c r="E3959" s="204"/>
      <c r="F3959" s="205"/>
      <c r="G3959" s="205"/>
    </row>
    <row r="3960" ht="15.75" customHeight="1">
      <c r="A3960" s="224"/>
      <c r="B3960" s="186"/>
      <c r="C3960" s="210"/>
      <c r="D3960" s="210"/>
      <c r="E3960" s="204"/>
      <c r="F3960" s="205"/>
      <c r="G3960" s="205"/>
    </row>
    <row r="3961" ht="15.75" customHeight="1">
      <c r="A3961" s="224"/>
      <c r="B3961" s="186"/>
      <c r="C3961" s="210"/>
      <c r="D3961" s="210"/>
      <c r="E3961" s="204"/>
      <c r="F3961" s="205"/>
      <c r="G3961" s="205"/>
    </row>
    <row r="3962" ht="15.75" customHeight="1">
      <c r="A3962" s="224"/>
      <c r="B3962" s="186"/>
      <c r="C3962" s="210"/>
      <c r="D3962" s="210"/>
      <c r="E3962" s="204"/>
      <c r="F3962" s="205"/>
      <c r="G3962" s="205"/>
    </row>
    <row r="3963" ht="15.75" customHeight="1">
      <c r="A3963" s="224"/>
      <c r="B3963" s="186"/>
      <c r="C3963" s="210"/>
      <c r="D3963" s="210"/>
      <c r="E3963" s="204"/>
      <c r="F3963" s="205"/>
      <c r="G3963" s="205"/>
    </row>
    <row r="3964" ht="15.75" customHeight="1">
      <c r="A3964" s="224"/>
      <c r="B3964" s="186"/>
      <c r="C3964" s="210"/>
      <c r="D3964" s="210"/>
      <c r="E3964" s="204"/>
      <c r="F3964" s="205"/>
      <c r="G3964" s="205"/>
    </row>
    <row r="3965" ht="15.75" customHeight="1">
      <c r="A3965" s="224"/>
      <c r="B3965" s="186"/>
      <c r="C3965" s="210"/>
      <c r="D3965" s="210"/>
      <c r="E3965" s="204"/>
      <c r="F3965" s="205"/>
      <c r="G3965" s="205"/>
    </row>
    <row r="3966" ht="15.75" customHeight="1">
      <c r="A3966" s="224"/>
      <c r="B3966" s="186"/>
      <c r="C3966" s="210"/>
      <c r="D3966" s="210"/>
      <c r="E3966" s="204"/>
      <c r="F3966" s="205"/>
      <c r="G3966" s="205"/>
    </row>
    <row r="3967" ht="15.75" customHeight="1">
      <c r="A3967" s="224"/>
      <c r="B3967" s="186"/>
      <c r="C3967" s="210"/>
      <c r="D3967" s="210"/>
      <c r="E3967" s="204"/>
      <c r="F3967" s="205"/>
      <c r="G3967" s="205"/>
    </row>
    <row r="3968" ht="15.75" customHeight="1">
      <c r="A3968" s="224"/>
      <c r="B3968" s="186"/>
      <c r="C3968" s="210"/>
      <c r="D3968" s="210"/>
      <c r="E3968" s="204"/>
      <c r="F3968" s="205"/>
      <c r="G3968" s="205"/>
    </row>
    <row r="3969" ht="15.75" customHeight="1">
      <c r="A3969" s="224"/>
      <c r="B3969" s="186"/>
      <c r="C3969" s="210"/>
      <c r="D3969" s="210"/>
      <c r="E3969" s="204"/>
      <c r="F3969" s="205"/>
      <c r="G3969" s="205"/>
    </row>
    <row r="3970" ht="15.75" customHeight="1">
      <c r="A3970" s="224"/>
      <c r="B3970" s="186"/>
      <c r="C3970" s="210"/>
      <c r="D3970" s="210"/>
      <c r="E3970" s="204"/>
      <c r="F3970" s="205"/>
      <c r="G3970" s="205"/>
    </row>
    <row r="3971" ht="15.75" customHeight="1">
      <c r="A3971" s="224"/>
      <c r="B3971" s="186"/>
      <c r="C3971" s="210"/>
      <c r="D3971" s="210"/>
      <c r="E3971" s="204"/>
      <c r="F3971" s="205"/>
      <c r="G3971" s="205"/>
    </row>
    <row r="3972" ht="15.75" customHeight="1">
      <c r="A3972" s="224"/>
      <c r="B3972" s="186"/>
      <c r="C3972" s="210"/>
      <c r="D3972" s="210"/>
      <c r="E3972" s="204"/>
      <c r="F3972" s="205"/>
      <c r="G3972" s="205"/>
    </row>
    <row r="3973" ht="15.75" customHeight="1">
      <c r="A3973" s="224"/>
      <c r="B3973" s="186"/>
      <c r="C3973" s="210"/>
      <c r="D3973" s="210"/>
      <c r="E3973" s="204"/>
      <c r="F3973" s="205"/>
      <c r="G3973" s="205"/>
    </row>
    <row r="3974" ht="15.75" customHeight="1">
      <c r="A3974" s="224"/>
      <c r="B3974" s="186"/>
      <c r="C3974" s="210"/>
      <c r="D3974" s="210"/>
      <c r="E3974" s="204"/>
      <c r="F3974" s="205"/>
      <c r="G3974" s="205"/>
    </row>
    <row r="3975" ht="15.75" customHeight="1">
      <c r="A3975" s="224"/>
      <c r="B3975" s="186"/>
      <c r="C3975" s="210"/>
      <c r="D3975" s="210"/>
      <c r="E3975" s="204"/>
      <c r="F3975" s="205"/>
      <c r="G3975" s="205"/>
    </row>
    <row r="3976" ht="15.75" customHeight="1">
      <c r="A3976" s="224"/>
      <c r="B3976" s="186"/>
      <c r="C3976" s="210"/>
      <c r="D3976" s="210"/>
      <c r="E3976" s="204"/>
      <c r="F3976" s="205"/>
      <c r="G3976" s="205"/>
    </row>
    <row r="3977" ht="15.75" customHeight="1">
      <c r="A3977" s="224"/>
      <c r="B3977" s="186"/>
      <c r="C3977" s="210"/>
      <c r="D3977" s="210"/>
      <c r="E3977" s="204"/>
      <c r="F3977" s="205"/>
      <c r="G3977" s="205"/>
    </row>
    <row r="3978" ht="15.75" customHeight="1">
      <c r="A3978" s="224"/>
      <c r="B3978" s="186"/>
      <c r="C3978" s="210"/>
      <c r="D3978" s="210"/>
      <c r="E3978" s="204"/>
      <c r="F3978" s="205"/>
      <c r="G3978" s="205"/>
    </row>
    <row r="3979" ht="15.75" customHeight="1">
      <c r="A3979" s="224"/>
      <c r="B3979" s="186"/>
      <c r="C3979" s="210"/>
      <c r="D3979" s="210"/>
      <c r="E3979" s="204"/>
      <c r="F3979" s="205"/>
      <c r="G3979" s="205"/>
    </row>
    <row r="3980" ht="15.75" customHeight="1">
      <c r="A3980" s="224"/>
      <c r="B3980" s="186"/>
      <c r="C3980" s="210"/>
      <c r="D3980" s="210"/>
      <c r="E3980" s="204"/>
      <c r="F3980" s="205"/>
      <c r="G3980" s="205"/>
    </row>
    <row r="3981" ht="15.75" customHeight="1">
      <c r="A3981" s="224"/>
      <c r="B3981" s="186"/>
      <c r="C3981" s="210"/>
      <c r="D3981" s="210"/>
      <c r="E3981" s="204"/>
      <c r="F3981" s="205"/>
      <c r="G3981" s="205"/>
    </row>
    <row r="3982" ht="15.75" customHeight="1">
      <c r="A3982" s="224"/>
      <c r="B3982" s="186"/>
      <c r="C3982" s="210"/>
      <c r="D3982" s="210"/>
      <c r="E3982" s="204"/>
      <c r="F3982" s="205"/>
      <c r="G3982" s="205"/>
    </row>
    <row r="3983" ht="15.75" customHeight="1">
      <c r="A3983" s="224"/>
      <c r="B3983" s="186"/>
      <c r="C3983" s="210"/>
      <c r="D3983" s="210"/>
      <c r="E3983" s="204"/>
      <c r="F3983" s="205"/>
      <c r="G3983" s="205"/>
    </row>
    <row r="3984" ht="15.75" customHeight="1">
      <c r="A3984" s="224"/>
      <c r="B3984" s="186"/>
      <c r="C3984" s="210"/>
      <c r="D3984" s="210"/>
      <c r="E3984" s="204"/>
      <c r="F3984" s="205"/>
      <c r="G3984" s="205"/>
    </row>
    <row r="3985" ht="15.75" customHeight="1">
      <c r="A3985" s="224"/>
      <c r="B3985" s="186"/>
      <c r="C3985" s="210"/>
      <c r="D3985" s="210"/>
      <c r="E3985" s="204"/>
      <c r="F3985" s="205"/>
      <c r="G3985" s="205"/>
    </row>
    <row r="3986" ht="15.75" customHeight="1">
      <c r="A3986" s="224"/>
      <c r="B3986" s="186"/>
      <c r="C3986" s="210"/>
      <c r="D3986" s="210"/>
      <c r="E3986" s="204"/>
      <c r="F3986" s="205"/>
      <c r="G3986" s="205"/>
    </row>
    <row r="3987" ht="15.75" customHeight="1">
      <c r="A3987" s="224"/>
      <c r="B3987" s="186"/>
      <c r="C3987" s="210"/>
      <c r="D3987" s="210"/>
      <c r="E3987" s="204"/>
      <c r="F3987" s="205"/>
      <c r="G3987" s="205"/>
    </row>
    <row r="3988" ht="15.75" customHeight="1">
      <c r="A3988" s="224"/>
      <c r="B3988" s="186"/>
      <c r="C3988" s="210"/>
      <c r="D3988" s="210"/>
      <c r="E3988" s="204"/>
      <c r="F3988" s="205"/>
      <c r="G3988" s="205"/>
    </row>
    <row r="3989" ht="15.75" customHeight="1">
      <c r="A3989" s="224"/>
      <c r="B3989" s="186"/>
      <c r="C3989" s="210"/>
      <c r="D3989" s="210"/>
      <c r="E3989" s="204"/>
      <c r="F3989" s="205"/>
      <c r="G3989" s="205"/>
    </row>
    <row r="3990" ht="15.75" customHeight="1">
      <c r="A3990" s="224"/>
      <c r="B3990" s="186"/>
      <c r="C3990" s="210"/>
      <c r="D3990" s="210"/>
      <c r="E3990" s="204"/>
      <c r="F3990" s="205"/>
      <c r="G3990" s="205"/>
    </row>
    <row r="3991" ht="15.75" customHeight="1">
      <c r="A3991" s="224"/>
      <c r="B3991" s="186"/>
      <c r="C3991" s="210"/>
      <c r="D3991" s="210"/>
      <c r="E3991" s="204"/>
      <c r="F3991" s="205"/>
      <c r="G3991" s="205"/>
    </row>
    <row r="3992" ht="15.75" customHeight="1">
      <c r="A3992" s="224"/>
      <c r="B3992" s="186"/>
      <c r="C3992" s="210"/>
      <c r="D3992" s="210"/>
      <c r="E3992" s="204"/>
      <c r="F3992" s="205"/>
      <c r="G3992" s="205"/>
    </row>
    <row r="3993" ht="15.75" customHeight="1">
      <c r="A3993" s="224"/>
      <c r="B3993" s="186"/>
      <c r="C3993" s="210"/>
      <c r="D3993" s="210"/>
      <c r="E3993" s="204"/>
      <c r="F3993" s="205"/>
      <c r="G3993" s="205"/>
    </row>
    <row r="3994" ht="15.75" customHeight="1">
      <c r="A3994" s="224"/>
      <c r="B3994" s="186"/>
      <c r="C3994" s="210"/>
      <c r="D3994" s="210"/>
      <c r="E3994" s="204"/>
      <c r="F3994" s="205"/>
      <c r="G3994" s="205"/>
    </row>
    <row r="3995" ht="15.75" customHeight="1">
      <c r="A3995" s="224"/>
      <c r="B3995" s="186"/>
      <c r="C3995" s="210"/>
      <c r="D3995" s="210"/>
      <c r="E3995" s="204"/>
      <c r="F3995" s="205"/>
      <c r="G3995" s="205"/>
    </row>
    <row r="3996" ht="15.75" customHeight="1">
      <c r="A3996" s="224"/>
      <c r="B3996" s="186"/>
      <c r="C3996" s="210"/>
      <c r="D3996" s="210"/>
      <c r="E3996" s="204"/>
      <c r="F3996" s="205"/>
      <c r="G3996" s="205"/>
    </row>
    <row r="3997" ht="15.75" customHeight="1">
      <c r="A3997" s="224"/>
      <c r="B3997" s="186"/>
      <c r="C3997" s="210"/>
      <c r="D3997" s="210"/>
      <c r="E3997" s="204"/>
      <c r="F3997" s="205"/>
      <c r="G3997" s="205"/>
    </row>
    <row r="3998" ht="15.75" customHeight="1">
      <c r="A3998" s="224"/>
      <c r="B3998" s="186"/>
      <c r="C3998" s="210"/>
      <c r="D3998" s="210"/>
      <c r="E3998" s="204"/>
      <c r="F3998" s="205"/>
      <c r="G3998" s="205"/>
    </row>
    <row r="3999" ht="15.75" customHeight="1">
      <c r="A3999" s="224"/>
      <c r="B3999" s="186"/>
      <c r="C3999" s="210"/>
      <c r="D3999" s="210"/>
      <c r="E3999" s="204"/>
      <c r="F3999" s="205"/>
      <c r="G3999" s="205"/>
    </row>
    <row r="4000" ht="15.75" customHeight="1">
      <c r="A4000" s="224"/>
      <c r="B4000" s="186"/>
      <c r="C4000" s="210"/>
      <c r="D4000" s="210"/>
      <c r="E4000" s="204"/>
      <c r="F4000" s="205"/>
      <c r="G4000" s="205"/>
    </row>
    <row r="4001" ht="15.75" customHeight="1">
      <c r="A4001" s="224"/>
      <c r="B4001" s="186"/>
      <c r="C4001" s="210"/>
      <c r="D4001" s="210"/>
      <c r="E4001" s="204"/>
      <c r="F4001" s="205"/>
      <c r="G4001" s="205"/>
    </row>
    <row r="4002" ht="15.75" customHeight="1">
      <c r="A4002" s="224"/>
      <c r="B4002" s="186"/>
      <c r="C4002" s="210"/>
      <c r="D4002" s="210"/>
      <c r="E4002" s="204"/>
      <c r="F4002" s="205"/>
      <c r="G4002" s="205"/>
    </row>
    <row r="4003" ht="15.75" customHeight="1">
      <c r="A4003" s="224"/>
      <c r="B4003" s="186"/>
      <c r="C4003" s="210"/>
      <c r="D4003" s="210"/>
      <c r="E4003" s="204"/>
      <c r="F4003" s="205"/>
      <c r="G4003" s="205"/>
    </row>
    <row r="4004" ht="15.75" customHeight="1">
      <c r="A4004" s="224"/>
      <c r="B4004" s="186"/>
      <c r="C4004" s="210"/>
      <c r="D4004" s="210"/>
      <c r="E4004" s="204"/>
      <c r="F4004" s="205"/>
      <c r="G4004" s="205"/>
    </row>
    <row r="4005" ht="15.75" customHeight="1">
      <c r="A4005" s="224"/>
      <c r="B4005" s="186"/>
      <c r="C4005" s="210"/>
      <c r="D4005" s="210"/>
      <c r="E4005" s="204"/>
      <c r="F4005" s="205"/>
      <c r="G4005" s="205"/>
    </row>
    <row r="4006" ht="15.75" customHeight="1">
      <c r="A4006" s="224"/>
      <c r="B4006" s="186"/>
      <c r="C4006" s="210"/>
      <c r="D4006" s="210"/>
      <c r="E4006" s="204"/>
      <c r="F4006" s="205"/>
      <c r="G4006" s="205"/>
    </row>
    <row r="4007" ht="15.75" customHeight="1">
      <c r="A4007" s="224"/>
      <c r="B4007" s="186"/>
      <c r="C4007" s="210"/>
      <c r="D4007" s="210"/>
      <c r="E4007" s="204"/>
      <c r="F4007" s="205"/>
      <c r="G4007" s="205"/>
    </row>
    <row r="4008" ht="15.75" customHeight="1">
      <c r="A4008" s="224"/>
      <c r="B4008" s="186"/>
      <c r="C4008" s="210"/>
      <c r="D4008" s="210"/>
      <c r="E4008" s="204"/>
      <c r="F4008" s="205"/>
      <c r="G4008" s="205"/>
    </row>
    <row r="4009" ht="15.75" customHeight="1">
      <c r="A4009" s="224"/>
      <c r="B4009" s="186"/>
      <c r="C4009" s="210"/>
      <c r="D4009" s="210"/>
      <c r="E4009" s="204"/>
      <c r="F4009" s="205"/>
      <c r="G4009" s="205"/>
    </row>
    <row r="4010" ht="15.75" customHeight="1">
      <c r="A4010" s="224"/>
      <c r="B4010" s="186"/>
      <c r="C4010" s="210"/>
      <c r="D4010" s="210"/>
      <c r="E4010" s="204"/>
      <c r="F4010" s="205"/>
      <c r="G4010" s="205"/>
    </row>
    <row r="4011" ht="15.75" customHeight="1">
      <c r="A4011" s="224"/>
      <c r="B4011" s="186"/>
      <c r="C4011" s="210"/>
      <c r="D4011" s="210"/>
      <c r="E4011" s="204"/>
      <c r="F4011" s="205"/>
      <c r="G4011" s="205"/>
    </row>
    <row r="4012" ht="15.75" customHeight="1">
      <c r="A4012" s="224"/>
      <c r="B4012" s="186"/>
      <c r="C4012" s="210"/>
      <c r="D4012" s="210"/>
      <c r="E4012" s="204"/>
      <c r="F4012" s="205"/>
      <c r="G4012" s="205"/>
    </row>
    <row r="4013" ht="15.75" customHeight="1">
      <c r="A4013" s="224"/>
      <c r="B4013" s="186"/>
      <c r="C4013" s="210"/>
      <c r="D4013" s="210"/>
      <c r="E4013" s="204"/>
      <c r="F4013" s="205"/>
      <c r="G4013" s="205"/>
    </row>
    <row r="4014" ht="15.75" customHeight="1">
      <c r="A4014" s="224"/>
      <c r="B4014" s="186"/>
      <c r="C4014" s="210"/>
      <c r="D4014" s="210"/>
      <c r="E4014" s="204"/>
      <c r="F4014" s="205"/>
      <c r="G4014" s="205"/>
    </row>
    <row r="4015" ht="15.75" customHeight="1">
      <c r="A4015" s="224"/>
      <c r="B4015" s="186"/>
      <c r="C4015" s="210"/>
      <c r="D4015" s="210"/>
      <c r="E4015" s="204"/>
      <c r="F4015" s="205"/>
      <c r="G4015" s="205"/>
    </row>
    <row r="4016" ht="15.75" customHeight="1">
      <c r="A4016" s="224"/>
      <c r="B4016" s="186"/>
      <c r="C4016" s="210"/>
      <c r="D4016" s="210"/>
      <c r="E4016" s="204"/>
      <c r="F4016" s="205"/>
      <c r="G4016" s="205"/>
    </row>
    <row r="4017" ht="15.75" customHeight="1">
      <c r="A4017" s="224"/>
      <c r="B4017" s="186"/>
      <c r="C4017" s="210"/>
      <c r="D4017" s="210"/>
      <c r="E4017" s="204"/>
      <c r="F4017" s="205"/>
      <c r="G4017" s="205"/>
    </row>
    <row r="4018" ht="15.75" customHeight="1">
      <c r="A4018" s="224"/>
      <c r="B4018" s="186"/>
      <c r="C4018" s="210"/>
      <c r="D4018" s="210"/>
      <c r="E4018" s="204"/>
      <c r="F4018" s="205"/>
      <c r="G4018" s="205"/>
    </row>
    <row r="4019" ht="15.75" customHeight="1">
      <c r="A4019" s="224"/>
      <c r="B4019" s="186"/>
      <c r="C4019" s="210"/>
      <c r="D4019" s="210"/>
      <c r="E4019" s="204"/>
      <c r="F4019" s="205"/>
      <c r="G4019" s="205"/>
    </row>
    <row r="4020" ht="15.75" customHeight="1">
      <c r="A4020" s="224"/>
      <c r="B4020" s="186"/>
      <c r="C4020" s="210"/>
      <c r="D4020" s="210"/>
      <c r="E4020" s="204"/>
      <c r="F4020" s="205"/>
      <c r="G4020" s="205"/>
    </row>
    <row r="4021" ht="15.75" customHeight="1">
      <c r="A4021" s="224"/>
      <c r="B4021" s="186"/>
      <c r="C4021" s="210"/>
      <c r="D4021" s="210"/>
      <c r="E4021" s="204"/>
      <c r="F4021" s="205"/>
      <c r="G4021" s="205"/>
    </row>
    <row r="4022" ht="15.75" customHeight="1">
      <c r="A4022" s="224"/>
      <c r="B4022" s="186"/>
      <c r="C4022" s="210"/>
      <c r="D4022" s="210"/>
      <c r="E4022" s="204"/>
      <c r="F4022" s="205"/>
      <c r="G4022" s="205"/>
    </row>
    <row r="4023" ht="15.75" customHeight="1">
      <c r="A4023" s="224"/>
      <c r="B4023" s="186"/>
      <c r="C4023" s="210"/>
      <c r="D4023" s="210"/>
      <c r="E4023" s="204"/>
      <c r="F4023" s="205"/>
      <c r="G4023" s="205"/>
    </row>
    <row r="4024" ht="15.75" customHeight="1">
      <c r="A4024" s="224"/>
      <c r="B4024" s="186"/>
      <c r="C4024" s="210"/>
      <c r="D4024" s="210"/>
      <c r="E4024" s="204"/>
      <c r="F4024" s="205"/>
      <c r="G4024" s="205"/>
    </row>
    <row r="4025" ht="15.75" customHeight="1">
      <c r="A4025" s="224"/>
      <c r="B4025" s="186"/>
      <c r="C4025" s="210"/>
      <c r="D4025" s="210"/>
      <c r="E4025" s="204"/>
      <c r="F4025" s="205"/>
      <c r="G4025" s="205"/>
    </row>
    <row r="4026" ht="15.75" customHeight="1">
      <c r="A4026" s="224"/>
      <c r="B4026" s="186"/>
      <c r="C4026" s="210"/>
      <c r="D4026" s="210"/>
      <c r="E4026" s="204"/>
      <c r="F4026" s="205"/>
      <c r="G4026" s="205"/>
    </row>
    <row r="4027" ht="15.75" customHeight="1">
      <c r="A4027" s="224"/>
      <c r="B4027" s="186"/>
      <c r="C4027" s="210"/>
      <c r="D4027" s="210"/>
      <c r="E4027" s="204"/>
      <c r="F4027" s="205"/>
      <c r="G4027" s="205"/>
    </row>
    <row r="4028" ht="15.75" customHeight="1">
      <c r="A4028" s="224"/>
      <c r="B4028" s="186"/>
      <c r="C4028" s="210"/>
      <c r="D4028" s="210"/>
      <c r="E4028" s="204"/>
      <c r="F4028" s="205"/>
      <c r="G4028" s="205"/>
    </row>
    <row r="4029" ht="15.75" customHeight="1">
      <c r="A4029" s="224"/>
      <c r="B4029" s="186"/>
      <c r="C4029" s="210"/>
      <c r="D4029" s="210"/>
      <c r="E4029" s="204"/>
      <c r="F4029" s="205"/>
      <c r="G4029" s="205"/>
    </row>
    <row r="4030" ht="15.75" customHeight="1">
      <c r="A4030" s="224"/>
      <c r="B4030" s="186"/>
      <c r="C4030" s="210"/>
      <c r="D4030" s="210"/>
      <c r="E4030" s="204"/>
      <c r="F4030" s="205"/>
      <c r="G4030" s="205"/>
    </row>
    <row r="4031" ht="15.75" customHeight="1">
      <c r="A4031" s="224"/>
      <c r="B4031" s="186"/>
      <c r="C4031" s="210"/>
      <c r="D4031" s="210"/>
      <c r="E4031" s="204"/>
      <c r="F4031" s="205"/>
      <c r="G4031" s="205"/>
    </row>
    <row r="4032" ht="15.75" customHeight="1">
      <c r="A4032" s="224"/>
      <c r="B4032" s="186"/>
      <c r="C4032" s="210"/>
      <c r="D4032" s="210"/>
      <c r="E4032" s="204"/>
      <c r="F4032" s="205"/>
      <c r="G4032" s="205"/>
    </row>
    <row r="4033" ht="15.75" customHeight="1">
      <c r="A4033" s="224"/>
      <c r="B4033" s="186"/>
      <c r="C4033" s="210"/>
      <c r="D4033" s="210"/>
      <c r="E4033" s="204"/>
      <c r="F4033" s="205"/>
      <c r="G4033" s="205"/>
    </row>
    <row r="4034" ht="15.75" customHeight="1">
      <c r="A4034" s="224"/>
      <c r="B4034" s="186"/>
      <c r="C4034" s="210"/>
      <c r="D4034" s="210"/>
      <c r="E4034" s="204"/>
      <c r="F4034" s="205"/>
      <c r="G4034" s="205"/>
    </row>
    <row r="4035" ht="15.75" customHeight="1">
      <c r="A4035" s="224"/>
      <c r="B4035" s="186"/>
      <c r="C4035" s="210"/>
      <c r="D4035" s="210"/>
      <c r="E4035" s="204"/>
      <c r="F4035" s="205"/>
      <c r="G4035" s="205"/>
    </row>
    <row r="4036" ht="15.75" customHeight="1">
      <c r="A4036" s="224"/>
      <c r="B4036" s="186"/>
      <c r="C4036" s="210"/>
      <c r="D4036" s="210"/>
      <c r="E4036" s="204"/>
      <c r="F4036" s="205"/>
      <c r="G4036" s="205"/>
    </row>
    <row r="4037" ht="15.75" customHeight="1">
      <c r="A4037" s="224"/>
      <c r="B4037" s="186"/>
      <c r="C4037" s="210"/>
      <c r="D4037" s="210"/>
      <c r="E4037" s="204"/>
      <c r="F4037" s="205"/>
      <c r="G4037" s="205"/>
    </row>
    <row r="4038" ht="15.75" customHeight="1">
      <c r="A4038" s="224"/>
      <c r="B4038" s="186"/>
      <c r="C4038" s="210"/>
      <c r="D4038" s="210"/>
      <c r="E4038" s="204"/>
      <c r="F4038" s="205"/>
      <c r="G4038" s="205"/>
    </row>
    <row r="4039" ht="15.75" customHeight="1">
      <c r="A4039" s="224"/>
      <c r="B4039" s="186"/>
      <c r="C4039" s="210"/>
      <c r="D4039" s="210"/>
      <c r="E4039" s="204"/>
      <c r="F4039" s="205"/>
      <c r="G4039" s="205"/>
    </row>
    <row r="4040" ht="15.75" customHeight="1">
      <c r="A4040" s="224"/>
      <c r="B4040" s="186"/>
      <c r="C4040" s="210"/>
      <c r="D4040" s="210"/>
      <c r="E4040" s="204"/>
      <c r="F4040" s="205"/>
      <c r="G4040" s="205"/>
    </row>
    <row r="4041" ht="15.75" customHeight="1">
      <c r="A4041" s="224"/>
      <c r="B4041" s="186"/>
      <c r="C4041" s="210"/>
      <c r="D4041" s="210"/>
      <c r="E4041" s="204"/>
      <c r="F4041" s="205"/>
      <c r="G4041" s="205"/>
    </row>
    <row r="4042" ht="15.75" customHeight="1">
      <c r="A4042" s="224"/>
      <c r="B4042" s="186"/>
      <c r="C4042" s="210"/>
      <c r="D4042" s="210"/>
      <c r="E4042" s="204"/>
      <c r="F4042" s="205"/>
      <c r="G4042" s="205"/>
    </row>
    <row r="4043" ht="15.75" customHeight="1">
      <c r="A4043" s="224"/>
      <c r="B4043" s="186"/>
      <c r="C4043" s="210"/>
      <c r="D4043" s="210"/>
      <c r="E4043" s="204"/>
      <c r="F4043" s="205"/>
      <c r="G4043" s="205"/>
    </row>
    <row r="4044" ht="15.75" customHeight="1">
      <c r="A4044" s="224"/>
      <c r="B4044" s="186"/>
      <c r="C4044" s="210"/>
      <c r="D4044" s="210"/>
      <c r="E4044" s="204"/>
      <c r="F4044" s="205"/>
      <c r="G4044" s="205"/>
    </row>
    <row r="4045" ht="15.75" customHeight="1">
      <c r="A4045" s="224"/>
      <c r="B4045" s="186"/>
      <c r="C4045" s="210"/>
      <c r="D4045" s="210"/>
      <c r="E4045" s="204"/>
      <c r="F4045" s="205"/>
      <c r="G4045" s="205"/>
    </row>
    <row r="4046" ht="15.75" customHeight="1">
      <c r="A4046" s="224"/>
      <c r="B4046" s="186"/>
      <c r="C4046" s="210"/>
      <c r="D4046" s="210"/>
      <c r="E4046" s="204"/>
      <c r="F4046" s="205"/>
      <c r="G4046" s="205"/>
    </row>
    <row r="4047" ht="15.75" customHeight="1">
      <c r="A4047" s="224"/>
      <c r="B4047" s="186"/>
      <c r="C4047" s="210"/>
      <c r="D4047" s="210"/>
      <c r="E4047" s="204"/>
      <c r="F4047" s="205"/>
      <c r="G4047" s="205"/>
    </row>
    <row r="4048" ht="15.75" customHeight="1">
      <c r="A4048" s="224"/>
      <c r="B4048" s="186"/>
      <c r="C4048" s="210"/>
      <c r="D4048" s="210"/>
      <c r="E4048" s="204"/>
      <c r="F4048" s="205"/>
      <c r="G4048" s="205"/>
    </row>
    <row r="4049" ht="15.75" customHeight="1">
      <c r="A4049" s="224"/>
      <c r="B4049" s="186"/>
      <c r="C4049" s="210"/>
      <c r="D4049" s="210"/>
      <c r="E4049" s="204"/>
      <c r="F4049" s="205"/>
      <c r="G4049" s="205"/>
    </row>
    <row r="4050" ht="15.75" customHeight="1">
      <c r="A4050" s="224"/>
      <c r="B4050" s="186"/>
      <c r="C4050" s="210"/>
      <c r="D4050" s="210"/>
      <c r="E4050" s="204"/>
      <c r="F4050" s="205"/>
      <c r="G4050" s="205"/>
    </row>
    <row r="4051" ht="15.75" customHeight="1">
      <c r="A4051" s="224"/>
      <c r="B4051" s="186"/>
      <c r="C4051" s="210"/>
      <c r="D4051" s="210"/>
      <c r="E4051" s="204"/>
      <c r="F4051" s="205"/>
      <c r="G4051" s="205"/>
    </row>
    <row r="4052" ht="15.75" customHeight="1">
      <c r="A4052" s="224"/>
      <c r="B4052" s="186"/>
      <c r="C4052" s="210"/>
      <c r="D4052" s="210"/>
      <c r="E4052" s="204"/>
      <c r="F4052" s="205"/>
      <c r="G4052" s="205"/>
    </row>
    <row r="4053" ht="15.75" customHeight="1">
      <c r="A4053" s="224"/>
      <c r="B4053" s="186"/>
      <c r="C4053" s="210"/>
      <c r="D4053" s="210"/>
      <c r="E4053" s="204"/>
      <c r="F4053" s="205"/>
      <c r="G4053" s="205"/>
    </row>
    <row r="4054" ht="15.75" customHeight="1">
      <c r="A4054" s="224"/>
      <c r="B4054" s="186"/>
      <c r="C4054" s="210"/>
      <c r="D4054" s="210"/>
      <c r="E4054" s="204"/>
      <c r="F4054" s="205"/>
      <c r="G4054" s="205"/>
    </row>
    <row r="4055" ht="15.75" customHeight="1">
      <c r="A4055" s="224"/>
      <c r="B4055" s="186"/>
      <c r="C4055" s="210"/>
      <c r="D4055" s="210"/>
      <c r="E4055" s="204"/>
      <c r="F4055" s="205"/>
      <c r="G4055" s="205"/>
    </row>
    <row r="4056" ht="15.75" customHeight="1">
      <c r="A4056" s="224"/>
      <c r="B4056" s="186"/>
      <c r="C4056" s="210"/>
      <c r="D4056" s="210"/>
      <c r="E4056" s="204"/>
      <c r="F4056" s="205"/>
      <c r="G4056" s="205"/>
    </row>
    <row r="4057" ht="15.75" customHeight="1">
      <c r="A4057" s="224"/>
      <c r="B4057" s="186"/>
      <c r="C4057" s="210"/>
      <c r="D4057" s="210"/>
      <c r="E4057" s="204"/>
      <c r="F4057" s="205"/>
      <c r="G4057" s="205"/>
    </row>
    <row r="4058" ht="15.75" customHeight="1">
      <c r="A4058" s="224"/>
      <c r="B4058" s="186"/>
      <c r="C4058" s="210"/>
      <c r="D4058" s="210"/>
      <c r="E4058" s="204"/>
      <c r="F4058" s="205"/>
      <c r="G4058" s="205"/>
    </row>
    <row r="4059" ht="15.75" customHeight="1">
      <c r="A4059" s="224"/>
      <c r="B4059" s="186"/>
      <c r="C4059" s="210"/>
      <c r="D4059" s="210"/>
      <c r="E4059" s="204"/>
      <c r="F4059" s="205"/>
      <c r="G4059" s="205"/>
    </row>
    <row r="4060" ht="15.75" customHeight="1">
      <c r="A4060" s="224"/>
      <c r="B4060" s="186"/>
      <c r="C4060" s="210"/>
      <c r="D4060" s="210"/>
      <c r="E4060" s="204"/>
      <c r="F4060" s="205"/>
      <c r="G4060" s="205"/>
    </row>
    <row r="4061" ht="15.75" customHeight="1">
      <c r="A4061" s="224"/>
      <c r="B4061" s="186"/>
      <c r="C4061" s="210"/>
      <c r="D4061" s="210"/>
      <c r="E4061" s="204"/>
      <c r="F4061" s="205"/>
      <c r="G4061" s="205"/>
    </row>
    <row r="4062" ht="15.75" customHeight="1">
      <c r="A4062" s="224"/>
      <c r="B4062" s="186"/>
      <c r="C4062" s="210"/>
      <c r="D4062" s="210"/>
      <c r="E4062" s="204"/>
      <c r="F4062" s="205"/>
      <c r="G4062" s="205"/>
    </row>
    <row r="4063" ht="15.75" customHeight="1">
      <c r="A4063" s="224"/>
      <c r="B4063" s="186"/>
      <c r="C4063" s="210"/>
      <c r="D4063" s="210"/>
      <c r="E4063" s="204"/>
      <c r="F4063" s="205"/>
      <c r="G4063" s="205"/>
    </row>
    <row r="4064" ht="15.75" customHeight="1">
      <c r="A4064" s="224"/>
      <c r="B4064" s="186"/>
      <c r="C4064" s="210"/>
      <c r="D4064" s="210"/>
      <c r="E4064" s="204"/>
      <c r="F4064" s="205"/>
      <c r="G4064" s="205"/>
    </row>
    <row r="4065" ht="15.75" customHeight="1">
      <c r="A4065" s="224"/>
      <c r="B4065" s="186"/>
      <c r="C4065" s="210"/>
      <c r="D4065" s="210"/>
      <c r="E4065" s="204"/>
      <c r="F4065" s="205"/>
      <c r="G4065" s="205"/>
    </row>
    <row r="4066" ht="15.75" customHeight="1">
      <c r="A4066" s="224"/>
      <c r="B4066" s="186"/>
      <c r="C4066" s="210"/>
      <c r="D4066" s="210"/>
      <c r="E4066" s="204"/>
      <c r="F4066" s="205"/>
      <c r="G4066" s="205"/>
    </row>
    <row r="4067" ht="15.75" customHeight="1">
      <c r="A4067" s="224"/>
      <c r="B4067" s="186"/>
      <c r="C4067" s="210"/>
      <c r="D4067" s="210"/>
      <c r="E4067" s="204"/>
      <c r="F4067" s="205"/>
      <c r="G4067" s="205"/>
    </row>
    <row r="4068" ht="15.75" customHeight="1">
      <c r="A4068" s="224"/>
      <c r="B4068" s="186"/>
      <c r="C4068" s="210"/>
      <c r="D4068" s="210"/>
      <c r="E4068" s="204"/>
      <c r="F4068" s="205"/>
      <c r="G4068" s="205"/>
    </row>
    <row r="4069" ht="15.75" customHeight="1">
      <c r="A4069" s="224"/>
      <c r="B4069" s="186"/>
      <c r="C4069" s="210"/>
      <c r="D4069" s="210"/>
      <c r="E4069" s="204"/>
      <c r="F4069" s="205"/>
      <c r="G4069" s="205"/>
    </row>
    <row r="4070" ht="15.75" customHeight="1">
      <c r="A4070" s="224"/>
      <c r="B4070" s="186"/>
      <c r="C4070" s="210"/>
      <c r="D4070" s="210"/>
      <c r="E4070" s="204"/>
      <c r="F4070" s="205"/>
      <c r="G4070" s="205"/>
    </row>
    <row r="4071" ht="15.75" customHeight="1">
      <c r="A4071" s="224"/>
      <c r="B4071" s="186"/>
      <c r="C4071" s="210"/>
      <c r="D4071" s="210"/>
      <c r="E4071" s="204"/>
      <c r="F4071" s="205"/>
      <c r="G4071" s="205"/>
    </row>
    <row r="4072" ht="15.75" customHeight="1">
      <c r="A4072" s="224"/>
      <c r="B4072" s="186"/>
      <c r="C4072" s="210"/>
      <c r="D4072" s="210"/>
      <c r="E4072" s="204"/>
      <c r="F4072" s="205"/>
      <c r="G4072" s="205"/>
    </row>
    <row r="4073" ht="15.75" customHeight="1">
      <c r="A4073" s="224"/>
      <c r="B4073" s="186"/>
      <c r="C4073" s="210"/>
      <c r="D4073" s="210"/>
      <c r="E4073" s="204"/>
      <c r="F4073" s="205"/>
      <c r="G4073" s="205"/>
    </row>
    <row r="4074" ht="15.75" customHeight="1">
      <c r="A4074" s="224"/>
      <c r="B4074" s="186"/>
      <c r="C4074" s="210"/>
      <c r="D4074" s="210"/>
      <c r="E4074" s="204"/>
      <c r="F4074" s="205"/>
      <c r="G4074" s="205"/>
    </row>
    <row r="4075" ht="15.75" customHeight="1">
      <c r="A4075" s="224"/>
      <c r="B4075" s="186"/>
      <c r="C4075" s="210"/>
      <c r="D4075" s="210"/>
      <c r="E4075" s="204"/>
      <c r="F4075" s="205"/>
      <c r="G4075" s="205"/>
    </row>
    <row r="4076" ht="15.75" customHeight="1">
      <c r="A4076" s="224"/>
      <c r="B4076" s="186"/>
      <c r="C4076" s="210"/>
      <c r="D4076" s="210"/>
      <c r="E4076" s="204"/>
      <c r="F4076" s="205"/>
      <c r="G4076" s="205"/>
    </row>
    <row r="4077" ht="15.75" customHeight="1">
      <c r="A4077" s="224"/>
      <c r="B4077" s="186"/>
      <c r="C4077" s="210"/>
      <c r="D4077" s="210"/>
      <c r="E4077" s="204"/>
      <c r="F4077" s="205"/>
      <c r="G4077" s="205"/>
    </row>
    <row r="4078" ht="15.75" customHeight="1">
      <c r="A4078" s="224"/>
      <c r="B4078" s="186"/>
      <c r="C4078" s="210"/>
      <c r="D4078" s="210"/>
      <c r="E4078" s="204"/>
      <c r="F4078" s="205"/>
      <c r="G4078" s="205"/>
    </row>
    <row r="4079" ht="15.75" customHeight="1">
      <c r="A4079" s="224"/>
      <c r="B4079" s="186"/>
      <c r="C4079" s="210"/>
      <c r="D4079" s="210"/>
      <c r="E4079" s="204"/>
      <c r="F4079" s="205"/>
      <c r="G4079" s="205"/>
    </row>
    <row r="4080" ht="15.75" customHeight="1">
      <c r="A4080" s="224"/>
      <c r="B4080" s="186"/>
      <c r="C4080" s="210"/>
      <c r="D4080" s="210"/>
      <c r="E4080" s="204"/>
      <c r="F4080" s="205"/>
      <c r="G4080" s="205"/>
    </row>
    <row r="4081" ht="15.75" customHeight="1">
      <c r="A4081" s="224"/>
      <c r="B4081" s="186"/>
      <c r="C4081" s="210"/>
      <c r="D4081" s="210"/>
      <c r="E4081" s="204"/>
      <c r="F4081" s="205"/>
      <c r="G4081" s="205"/>
    </row>
    <row r="4082" ht="15.75" customHeight="1">
      <c r="A4082" s="224"/>
      <c r="B4082" s="186"/>
      <c r="C4082" s="210"/>
      <c r="D4082" s="210"/>
      <c r="E4082" s="204"/>
      <c r="F4082" s="205"/>
      <c r="G4082" s="205"/>
    </row>
    <row r="4083" ht="15.75" customHeight="1">
      <c r="A4083" s="224"/>
      <c r="B4083" s="186"/>
      <c r="C4083" s="210"/>
      <c r="D4083" s="210"/>
      <c r="E4083" s="204"/>
      <c r="F4083" s="205"/>
      <c r="G4083" s="205"/>
    </row>
    <row r="4084" ht="15.75" customHeight="1">
      <c r="A4084" s="224"/>
      <c r="B4084" s="186"/>
      <c r="C4084" s="210"/>
      <c r="D4084" s="210"/>
      <c r="E4084" s="204"/>
      <c r="F4084" s="205"/>
      <c r="G4084" s="205"/>
    </row>
    <row r="4085" ht="15.75" customHeight="1">
      <c r="A4085" s="224"/>
      <c r="B4085" s="186"/>
      <c r="C4085" s="210"/>
      <c r="D4085" s="210"/>
      <c r="E4085" s="204"/>
      <c r="F4085" s="205"/>
      <c r="G4085" s="205"/>
    </row>
    <row r="4086" ht="15.75" customHeight="1">
      <c r="A4086" s="224"/>
      <c r="B4086" s="186"/>
      <c r="C4086" s="210"/>
      <c r="D4086" s="210"/>
      <c r="E4086" s="204"/>
      <c r="F4086" s="205"/>
      <c r="G4086" s="205"/>
    </row>
    <row r="4087" ht="15.75" customHeight="1">
      <c r="A4087" s="224"/>
      <c r="B4087" s="186"/>
      <c r="C4087" s="210"/>
      <c r="D4087" s="210"/>
      <c r="E4087" s="204"/>
      <c r="F4087" s="205"/>
      <c r="G4087" s="205"/>
    </row>
    <row r="4088" ht="15.75" customHeight="1">
      <c r="A4088" s="224"/>
      <c r="B4088" s="186"/>
      <c r="C4088" s="210"/>
      <c r="D4088" s="210"/>
      <c r="E4088" s="204"/>
      <c r="F4088" s="205"/>
      <c r="G4088" s="205"/>
    </row>
    <row r="4089" ht="15.75" customHeight="1">
      <c r="A4089" s="224"/>
      <c r="B4089" s="186"/>
      <c r="C4089" s="210"/>
      <c r="D4089" s="210"/>
      <c r="E4089" s="204"/>
      <c r="F4089" s="205"/>
      <c r="G4089" s="205"/>
    </row>
    <row r="4090" ht="15.75" customHeight="1">
      <c r="A4090" s="224"/>
      <c r="B4090" s="186"/>
      <c r="C4090" s="210"/>
      <c r="D4090" s="210"/>
      <c r="E4090" s="204"/>
      <c r="F4090" s="205"/>
      <c r="G4090" s="205"/>
    </row>
    <row r="4091" ht="15.75" customHeight="1">
      <c r="A4091" s="224"/>
      <c r="B4091" s="186"/>
      <c r="C4091" s="210"/>
      <c r="D4091" s="210"/>
      <c r="E4091" s="204"/>
      <c r="F4091" s="205"/>
      <c r="G4091" s="205"/>
    </row>
    <row r="4092" ht="15.75" customHeight="1">
      <c r="A4092" s="224"/>
      <c r="B4092" s="186"/>
      <c r="C4092" s="210"/>
      <c r="D4092" s="210"/>
      <c r="E4092" s="204"/>
      <c r="F4092" s="205"/>
      <c r="G4092" s="205"/>
    </row>
    <row r="4093" ht="15.75" customHeight="1">
      <c r="A4093" s="224"/>
      <c r="B4093" s="186"/>
      <c r="C4093" s="210"/>
      <c r="D4093" s="210"/>
      <c r="E4093" s="204"/>
      <c r="F4093" s="205"/>
      <c r="G4093" s="205"/>
    </row>
    <row r="4094" ht="15.75" customHeight="1">
      <c r="A4094" s="224"/>
      <c r="B4094" s="186"/>
      <c r="C4094" s="210"/>
      <c r="D4094" s="210"/>
      <c r="E4094" s="204"/>
      <c r="F4094" s="205"/>
      <c r="G4094" s="205"/>
    </row>
    <row r="4095" ht="15.75" customHeight="1">
      <c r="A4095" s="224"/>
      <c r="B4095" s="186"/>
      <c r="C4095" s="210"/>
      <c r="D4095" s="210"/>
      <c r="E4095" s="204"/>
      <c r="F4095" s="205"/>
      <c r="G4095" s="205"/>
    </row>
    <row r="4096" ht="15.75" customHeight="1">
      <c r="A4096" s="224"/>
      <c r="B4096" s="186"/>
      <c r="C4096" s="210"/>
      <c r="D4096" s="210"/>
      <c r="E4096" s="204"/>
      <c r="F4096" s="205"/>
      <c r="G4096" s="205"/>
    </row>
    <row r="4097" ht="15.75" customHeight="1">
      <c r="A4097" s="224"/>
      <c r="B4097" s="186"/>
      <c r="C4097" s="210"/>
      <c r="D4097" s="210"/>
      <c r="E4097" s="204"/>
      <c r="F4097" s="205"/>
      <c r="G4097" s="205"/>
    </row>
    <row r="4098" ht="15.75" customHeight="1">
      <c r="A4098" s="224"/>
      <c r="B4098" s="186"/>
      <c r="C4098" s="210"/>
      <c r="D4098" s="210"/>
      <c r="E4098" s="204"/>
      <c r="F4098" s="205"/>
      <c r="G4098" s="205"/>
    </row>
    <row r="4099" ht="15.75" customHeight="1">
      <c r="A4099" s="224"/>
      <c r="B4099" s="186"/>
      <c r="C4099" s="210"/>
      <c r="D4099" s="210"/>
      <c r="E4099" s="204"/>
      <c r="F4099" s="205"/>
      <c r="G4099" s="205"/>
    </row>
    <row r="4100" ht="15.75" customHeight="1">
      <c r="A4100" s="224"/>
      <c r="B4100" s="186"/>
      <c r="C4100" s="210"/>
      <c r="D4100" s="210"/>
      <c r="E4100" s="204"/>
      <c r="F4100" s="205"/>
      <c r="G4100" s="205"/>
    </row>
    <row r="4101" ht="15.75" customHeight="1">
      <c r="A4101" s="224"/>
      <c r="B4101" s="186"/>
      <c r="C4101" s="210"/>
      <c r="D4101" s="210"/>
      <c r="E4101" s="204"/>
      <c r="F4101" s="205"/>
      <c r="G4101" s="205"/>
    </row>
    <row r="4102" ht="15.75" customHeight="1">
      <c r="A4102" s="224"/>
      <c r="B4102" s="186"/>
      <c r="C4102" s="210"/>
      <c r="D4102" s="210"/>
      <c r="E4102" s="204"/>
      <c r="F4102" s="205"/>
      <c r="G4102" s="205"/>
    </row>
    <row r="4103" ht="15.75" customHeight="1">
      <c r="A4103" s="224"/>
      <c r="B4103" s="186"/>
      <c r="C4103" s="210"/>
      <c r="D4103" s="210"/>
      <c r="E4103" s="204"/>
      <c r="F4103" s="205"/>
      <c r="G4103" s="205"/>
    </row>
    <row r="4104" ht="15.75" customHeight="1">
      <c r="A4104" s="224"/>
      <c r="B4104" s="186"/>
      <c r="C4104" s="210"/>
      <c r="D4104" s="210"/>
      <c r="E4104" s="204"/>
      <c r="F4104" s="205"/>
      <c r="G4104" s="205"/>
    </row>
    <row r="4105" ht="15.75" customHeight="1">
      <c r="A4105" s="224"/>
      <c r="B4105" s="186"/>
      <c r="C4105" s="210"/>
      <c r="D4105" s="210"/>
      <c r="E4105" s="204"/>
      <c r="F4105" s="205"/>
      <c r="G4105" s="205"/>
    </row>
    <row r="4106" ht="15.75" customHeight="1">
      <c r="A4106" s="224"/>
      <c r="B4106" s="186"/>
      <c r="C4106" s="210"/>
      <c r="D4106" s="210"/>
      <c r="E4106" s="204"/>
      <c r="F4106" s="205"/>
      <c r="G4106" s="205"/>
    </row>
    <row r="4107" ht="15.75" customHeight="1">
      <c r="A4107" s="224"/>
      <c r="B4107" s="186"/>
      <c r="C4107" s="210"/>
      <c r="D4107" s="210"/>
      <c r="E4107" s="204"/>
      <c r="F4107" s="205"/>
      <c r="G4107" s="205"/>
    </row>
    <row r="4108" ht="15.75" customHeight="1">
      <c r="A4108" s="224"/>
      <c r="B4108" s="186"/>
      <c r="C4108" s="210"/>
      <c r="D4108" s="210"/>
      <c r="E4108" s="204"/>
      <c r="F4108" s="205"/>
      <c r="G4108" s="205"/>
    </row>
    <row r="4109" ht="15.75" customHeight="1">
      <c r="A4109" s="224"/>
      <c r="B4109" s="186"/>
      <c r="C4109" s="210"/>
      <c r="D4109" s="210"/>
      <c r="E4109" s="204"/>
      <c r="F4109" s="205"/>
      <c r="G4109" s="205"/>
    </row>
    <row r="4110" ht="15.75" customHeight="1">
      <c r="A4110" s="224"/>
      <c r="B4110" s="186"/>
      <c r="C4110" s="210"/>
      <c r="D4110" s="210"/>
      <c r="E4110" s="204"/>
      <c r="F4110" s="205"/>
      <c r="G4110" s="205"/>
    </row>
    <row r="4111" ht="15.75" customHeight="1">
      <c r="A4111" s="224"/>
      <c r="B4111" s="186"/>
      <c r="C4111" s="210"/>
      <c r="D4111" s="210"/>
      <c r="E4111" s="204"/>
      <c r="F4111" s="205"/>
      <c r="G4111" s="205"/>
    </row>
    <row r="4112" ht="15.75" customHeight="1">
      <c r="A4112" s="224"/>
      <c r="B4112" s="186"/>
      <c r="C4112" s="210"/>
      <c r="D4112" s="210"/>
      <c r="E4112" s="204"/>
      <c r="F4112" s="205"/>
      <c r="G4112" s="205"/>
    </row>
    <row r="4113" ht="15.75" customHeight="1">
      <c r="A4113" s="224"/>
      <c r="B4113" s="186"/>
      <c r="C4113" s="210"/>
      <c r="D4113" s="210"/>
      <c r="E4113" s="204"/>
      <c r="F4113" s="205"/>
      <c r="G4113" s="205"/>
    </row>
    <row r="4114" ht="15.75" customHeight="1">
      <c r="A4114" s="224"/>
      <c r="B4114" s="186"/>
      <c r="C4114" s="210"/>
      <c r="D4114" s="210"/>
      <c r="E4114" s="204"/>
      <c r="F4114" s="205"/>
      <c r="G4114" s="205"/>
    </row>
    <row r="4115" ht="15.75" customHeight="1">
      <c r="A4115" s="224"/>
      <c r="B4115" s="186"/>
      <c r="C4115" s="210"/>
      <c r="D4115" s="210"/>
      <c r="E4115" s="204"/>
      <c r="F4115" s="205"/>
      <c r="G4115" s="205"/>
    </row>
    <row r="4116" ht="15.75" customHeight="1">
      <c r="A4116" s="224"/>
      <c r="B4116" s="186"/>
      <c r="C4116" s="210"/>
      <c r="D4116" s="210"/>
      <c r="E4116" s="204"/>
      <c r="F4116" s="205"/>
      <c r="G4116" s="205"/>
    </row>
    <row r="4117" ht="15.75" customHeight="1">
      <c r="A4117" s="224"/>
      <c r="B4117" s="186"/>
      <c r="C4117" s="210"/>
      <c r="D4117" s="210"/>
      <c r="E4117" s="204"/>
      <c r="F4117" s="205"/>
      <c r="G4117" s="205"/>
    </row>
    <row r="4118" ht="15.75" customHeight="1">
      <c r="A4118" s="224"/>
      <c r="B4118" s="186"/>
      <c r="C4118" s="210"/>
      <c r="D4118" s="210"/>
      <c r="E4118" s="204"/>
      <c r="F4118" s="205"/>
      <c r="G4118" s="205"/>
    </row>
    <row r="4119" ht="15.75" customHeight="1">
      <c r="A4119" s="224"/>
      <c r="B4119" s="186"/>
      <c r="C4119" s="210"/>
      <c r="D4119" s="210"/>
      <c r="E4119" s="204"/>
      <c r="F4119" s="205"/>
      <c r="G4119" s="205"/>
    </row>
    <row r="4120" ht="15.75" customHeight="1">
      <c r="A4120" s="224"/>
      <c r="B4120" s="186"/>
      <c r="C4120" s="210"/>
      <c r="D4120" s="210"/>
      <c r="E4120" s="204"/>
      <c r="F4120" s="205"/>
      <c r="G4120" s="205"/>
    </row>
    <row r="4121" ht="15.75" customHeight="1">
      <c r="A4121" s="224"/>
      <c r="B4121" s="186"/>
      <c r="C4121" s="210"/>
      <c r="D4121" s="210"/>
      <c r="E4121" s="204"/>
      <c r="F4121" s="205"/>
      <c r="G4121" s="205"/>
    </row>
    <row r="4122" ht="15.75" customHeight="1">
      <c r="A4122" s="224"/>
      <c r="B4122" s="186"/>
      <c r="C4122" s="210"/>
      <c r="D4122" s="210"/>
      <c r="E4122" s="204"/>
      <c r="F4122" s="205"/>
      <c r="G4122" s="205"/>
    </row>
    <row r="4123" ht="15.75" customHeight="1">
      <c r="A4123" s="224"/>
      <c r="B4123" s="186"/>
      <c r="C4123" s="210"/>
      <c r="D4123" s="210"/>
      <c r="E4123" s="204"/>
      <c r="F4123" s="205"/>
      <c r="G4123" s="205"/>
    </row>
    <row r="4124" ht="15.75" customHeight="1">
      <c r="A4124" s="224"/>
      <c r="B4124" s="186"/>
      <c r="C4124" s="210"/>
      <c r="D4124" s="210"/>
      <c r="E4124" s="204"/>
      <c r="F4124" s="205"/>
      <c r="G4124" s="205"/>
    </row>
    <row r="4125" ht="15.75" customHeight="1">
      <c r="A4125" s="224"/>
      <c r="B4125" s="186"/>
      <c r="C4125" s="210"/>
      <c r="D4125" s="210"/>
      <c r="E4125" s="204"/>
      <c r="F4125" s="205"/>
      <c r="G4125" s="205"/>
    </row>
    <row r="4126" ht="15.75" customHeight="1">
      <c r="A4126" s="224"/>
      <c r="B4126" s="186"/>
      <c r="C4126" s="210"/>
      <c r="D4126" s="210"/>
      <c r="E4126" s="204"/>
      <c r="F4126" s="205"/>
      <c r="G4126" s="205"/>
    </row>
    <row r="4127" ht="15.75" customHeight="1">
      <c r="A4127" s="224"/>
      <c r="B4127" s="186"/>
      <c r="C4127" s="210"/>
      <c r="D4127" s="210"/>
      <c r="E4127" s="204"/>
      <c r="F4127" s="205"/>
      <c r="G4127" s="205"/>
    </row>
    <row r="4128" ht="15.75" customHeight="1">
      <c r="A4128" s="224"/>
      <c r="B4128" s="186"/>
      <c r="C4128" s="210"/>
      <c r="D4128" s="210"/>
      <c r="E4128" s="204"/>
      <c r="F4128" s="205"/>
      <c r="G4128" s="205"/>
    </row>
    <row r="4129" ht="15.75" customHeight="1">
      <c r="A4129" s="224"/>
      <c r="B4129" s="186"/>
      <c r="C4129" s="210"/>
      <c r="D4129" s="210"/>
      <c r="E4129" s="204"/>
      <c r="F4129" s="205"/>
      <c r="G4129" s="205"/>
    </row>
    <row r="4130" ht="15.75" customHeight="1">
      <c r="A4130" s="224"/>
      <c r="B4130" s="186"/>
      <c r="C4130" s="210"/>
      <c r="D4130" s="210"/>
      <c r="E4130" s="204"/>
      <c r="F4130" s="205"/>
      <c r="G4130" s="205"/>
    </row>
    <row r="4131" ht="15.75" customHeight="1">
      <c r="A4131" s="224"/>
      <c r="B4131" s="186"/>
      <c r="C4131" s="210"/>
      <c r="D4131" s="210"/>
      <c r="E4131" s="204"/>
      <c r="F4131" s="205"/>
      <c r="G4131" s="205"/>
    </row>
    <row r="4132" ht="15.75" customHeight="1">
      <c r="A4132" s="224"/>
      <c r="B4132" s="186"/>
      <c r="C4132" s="210"/>
      <c r="D4132" s="210"/>
      <c r="E4132" s="204"/>
      <c r="F4132" s="205"/>
      <c r="G4132" s="205"/>
    </row>
    <row r="4133" ht="15.75" customHeight="1">
      <c r="A4133" s="224"/>
      <c r="B4133" s="186"/>
      <c r="C4133" s="210"/>
      <c r="D4133" s="210"/>
      <c r="E4133" s="204"/>
      <c r="F4133" s="205"/>
      <c r="G4133" s="205"/>
    </row>
    <row r="4134" ht="15.75" customHeight="1">
      <c r="A4134" s="224"/>
      <c r="B4134" s="186"/>
      <c r="C4134" s="210"/>
      <c r="D4134" s="210"/>
      <c r="E4134" s="204"/>
      <c r="F4134" s="205"/>
      <c r="G4134" s="205"/>
    </row>
    <row r="4135" ht="15.75" customHeight="1">
      <c r="A4135" s="224"/>
      <c r="B4135" s="186"/>
      <c r="C4135" s="210"/>
      <c r="D4135" s="210"/>
      <c r="E4135" s="204"/>
      <c r="F4135" s="205"/>
      <c r="G4135" s="205"/>
    </row>
    <row r="4136" ht="15.75" customHeight="1">
      <c r="A4136" s="224"/>
      <c r="B4136" s="186"/>
      <c r="C4136" s="210"/>
      <c r="D4136" s="210"/>
      <c r="E4136" s="204"/>
      <c r="F4136" s="205"/>
      <c r="G4136" s="205"/>
    </row>
    <row r="4137" ht="15.75" customHeight="1">
      <c r="A4137" s="224"/>
      <c r="B4137" s="186"/>
      <c r="C4137" s="210"/>
      <c r="D4137" s="210"/>
      <c r="E4137" s="204"/>
      <c r="F4137" s="205"/>
      <c r="G4137" s="205"/>
    </row>
    <row r="4138" ht="15.75" customHeight="1">
      <c r="A4138" s="224"/>
      <c r="B4138" s="186"/>
      <c r="C4138" s="210"/>
      <c r="D4138" s="210"/>
      <c r="E4138" s="204"/>
      <c r="F4138" s="205"/>
      <c r="G4138" s="205"/>
    </row>
    <row r="4139" ht="15.75" customHeight="1">
      <c r="A4139" s="224"/>
      <c r="B4139" s="186"/>
      <c r="C4139" s="210"/>
      <c r="D4139" s="210"/>
      <c r="E4139" s="204"/>
      <c r="F4139" s="205"/>
      <c r="G4139" s="205"/>
    </row>
    <row r="4140" ht="15.75" customHeight="1">
      <c r="A4140" s="224"/>
      <c r="B4140" s="186"/>
      <c r="C4140" s="210"/>
      <c r="D4140" s="210"/>
      <c r="E4140" s="204"/>
      <c r="F4140" s="205"/>
      <c r="G4140" s="205"/>
    </row>
    <row r="4141" ht="15.75" customHeight="1">
      <c r="A4141" s="224"/>
      <c r="B4141" s="186"/>
      <c r="C4141" s="210"/>
      <c r="D4141" s="210"/>
      <c r="E4141" s="204"/>
      <c r="F4141" s="205"/>
      <c r="G4141" s="205"/>
    </row>
    <row r="4142" ht="15.75" customHeight="1">
      <c r="A4142" s="224"/>
      <c r="B4142" s="186"/>
      <c r="C4142" s="210"/>
      <c r="D4142" s="210"/>
      <c r="E4142" s="204"/>
      <c r="F4142" s="205"/>
      <c r="G4142" s="205"/>
    </row>
    <row r="4143" ht="15.75" customHeight="1">
      <c r="A4143" s="224"/>
      <c r="B4143" s="186"/>
      <c r="C4143" s="210"/>
      <c r="D4143" s="210"/>
      <c r="E4143" s="204"/>
      <c r="F4143" s="205"/>
      <c r="G4143" s="205"/>
    </row>
    <row r="4144" ht="15.75" customHeight="1">
      <c r="A4144" s="224"/>
      <c r="B4144" s="186"/>
      <c r="C4144" s="210"/>
      <c r="D4144" s="210"/>
      <c r="E4144" s="204"/>
      <c r="F4144" s="205"/>
      <c r="G4144" s="205"/>
    </row>
    <row r="4145" ht="15.75" customHeight="1">
      <c r="A4145" s="224"/>
      <c r="B4145" s="186"/>
      <c r="C4145" s="210"/>
      <c r="D4145" s="210"/>
      <c r="E4145" s="204"/>
      <c r="F4145" s="205"/>
      <c r="G4145" s="205"/>
    </row>
    <row r="4146" ht="15.75" customHeight="1">
      <c r="A4146" s="224"/>
      <c r="B4146" s="186"/>
      <c r="C4146" s="210"/>
      <c r="D4146" s="210"/>
      <c r="E4146" s="204"/>
      <c r="F4146" s="205"/>
      <c r="G4146" s="205"/>
    </row>
    <row r="4147" ht="15.75" customHeight="1">
      <c r="A4147" s="224"/>
      <c r="B4147" s="186"/>
      <c r="C4147" s="210"/>
      <c r="D4147" s="210"/>
      <c r="E4147" s="204"/>
      <c r="F4147" s="205"/>
      <c r="G4147" s="205"/>
    </row>
    <row r="4148" ht="15.75" customHeight="1">
      <c r="A4148" s="224"/>
      <c r="B4148" s="186"/>
      <c r="C4148" s="210"/>
      <c r="D4148" s="210"/>
      <c r="E4148" s="204"/>
      <c r="F4148" s="205"/>
      <c r="G4148" s="205"/>
    </row>
    <row r="4149" ht="15.75" customHeight="1">
      <c r="A4149" s="224"/>
      <c r="B4149" s="186"/>
      <c r="C4149" s="210"/>
      <c r="D4149" s="210"/>
      <c r="E4149" s="204"/>
      <c r="F4149" s="205"/>
      <c r="G4149" s="205"/>
    </row>
    <row r="4150" ht="15.75" customHeight="1">
      <c r="A4150" s="224"/>
      <c r="B4150" s="186"/>
      <c r="C4150" s="210"/>
      <c r="D4150" s="210"/>
      <c r="E4150" s="204"/>
      <c r="F4150" s="205"/>
      <c r="G4150" s="205"/>
    </row>
    <row r="4151" ht="15.75" customHeight="1">
      <c r="A4151" s="224"/>
      <c r="B4151" s="186"/>
      <c r="C4151" s="210"/>
      <c r="D4151" s="210"/>
      <c r="E4151" s="204"/>
      <c r="F4151" s="205"/>
      <c r="G4151" s="205"/>
    </row>
    <row r="4152" ht="15.75" customHeight="1">
      <c r="A4152" s="224"/>
      <c r="B4152" s="186"/>
      <c r="C4152" s="210"/>
      <c r="D4152" s="210"/>
      <c r="E4152" s="204"/>
      <c r="F4152" s="205"/>
      <c r="G4152" s="205"/>
    </row>
    <row r="4153" ht="15.75" customHeight="1">
      <c r="A4153" s="224"/>
      <c r="B4153" s="186"/>
      <c r="C4153" s="210"/>
      <c r="D4153" s="210"/>
      <c r="E4153" s="204"/>
      <c r="F4153" s="205"/>
      <c r="G4153" s="205"/>
    </row>
    <row r="4154" ht="15.75" customHeight="1">
      <c r="A4154" s="224"/>
      <c r="B4154" s="186"/>
      <c r="C4154" s="210"/>
      <c r="D4154" s="210"/>
      <c r="E4154" s="204"/>
      <c r="F4154" s="205"/>
      <c r="G4154" s="205"/>
    </row>
    <row r="4155" ht="15.75" customHeight="1">
      <c r="A4155" s="224"/>
      <c r="B4155" s="186"/>
      <c r="C4155" s="210"/>
      <c r="D4155" s="210"/>
      <c r="E4155" s="204"/>
      <c r="F4155" s="205"/>
      <c r="G4155" s="205"/>
    </row>
    <row r="4156" ht="15.75" customHeight="1">
      <c r="A4156" s="224"/>
      <c r="B4156" s="186"/>
      <c r="C4156" s="210"/>
      <c r="D4156" s="210"/>
      <c r="E4156" s="204"/>
      <c r="F4156" s="205"/>
      <c r="G4156" s="205"/>
    </row>
    <row r="4157" ht="15.75" customHeight="1">
      <c r="A4157" s="224"/>
      <c r="B4157" s="186"/>
      <c r="C4157" s="210"/>
      <c r="D4157" s="210"/>
      <c r="E4157" s="204"/>
      <c r="F4157" s="205"/>
      <c r="G4157" s="205"/>
    </row>
    <row r="4158" ht="15.75" customHeight="1">
      <c r="A4158" s="224"/>
      <c r="B4158" s="186"/>
      <c r="C4158" s="210"/>
      <c r="D4158" s="210"/>
      <c r="E4158" s="204"/>
      <c r="F4158" s="205"/>
      <c r="G4158" s="205"/>
    </row>
    <row r="4159" ht="15.75" customHeight="1">
      <c r="A4159" s="224"/>
      <c r="B4159" s="186"/>
      <c r="C4159" s="210"/>
      <c r="D4159" s="210"/>
      <c r="E4159" s="204"/>
      <c r="F4159" s="205"/>
      <c r="G4159" s="205"/>
    </row>
    <row r="4160" ht="15.75" customHeight="1">
      <c r="A4160" s="224"/>
      <c r="B4160" s="186"/>
      <c r="C4160" s="210"/>
      <c r="D4160" s="210"/>
      <c r="E4160" s="204"/>
      <c r="F4160" s="205"/>
      <c r="G4160" s="205"/>
    </row>
    <row r="4161" ht="15.75" customHeight="1">
      <c r="A4161" s="224"/>
      <c r="B4161" s="186"/>
      <c r="C4161" s="210"/>
      <c r="D4161" s="210"/>
      <c r="E4161" s="204"/>
      <c r="F4161" s="205"/>
      <c r="G4161" s="205"/>
    </row>
    <row r="4162" ht="15.75" customHeight="1">
      <c r="A4162" s="224"/>
      <c r="B4162" s="186"/>
      <c r="C4162" s="210"/>
      <c r="D4162" s="210"/>
      <c r="E4162" s="204"/>
      <c r="F4162" s="205"/>
      <c r="G4162" s="205"/>
    </row>
    <row r="4163" ht="15.75" customHeight="1">
      <c r="A4163" s="224"/>
      <c r="B4163" s="186"/>
      <c r="C4163" s="210"/>
      <c r="D4163" s="210"/>
      <c r="E4163" s="204"/>
      <c r="F4163" s="205"/>
      <c r="G4163" s="205"/>
    </row>
    <row r="4164" ht="15.75" customHeight="1">
      <c r="A4164" s="224"/>
      <c r="B4164" s="186"/>
      <c r="C4164" s="210"/>
      <c r="D4164" s="210"/>
      <c r="E4164" s="204"/>
      <c r="F4164" s="205"/>
      <c r="G4164" s="205"/>
    </row>
    <row r="4165" ht="15.75" customHeight="1">
      <c r="A4165" s="224"/>
      <c r="B4165" s="186"/>
      <c r="C4165" s="210"/>
      <c r="D4165" s="210"/>
      <c r="E4165" s="204"/>
      <c r="F4165" s="205"/>
      <c r="G4165" s="205"/>
    </row>
    <row r="4166" ht="15.75" customHeight="1">
      <c r="A4166" s="224"/>
      <c r="B4166" s="186"/>
      <c r="C4166" s="210"/>
      <c r="D4166" s="210"/>
      <c r="E4166" s="204"/>
      <c r="F4166" s="205"/>
      <c r="G4166" s="205"/>
    </row>
    <row r="4167" ht="15.75" customHeight="1">
      <c r="A4167" s="224"/>
      <c r="B4167" s="186"/>
      <c r="C4167" s="210"/>
      <c r="D4167" s="210"/>
      <c r="E4167" s="204"/>
      <c r="F4167" s="205"/>
      <c r="G4167" s="205"/>
    </row>
    <row r="4168" ht="15.75" customHeight="1">
      <c r="A4168" s="224"/>
      <c r="B4168" s="186"/>
      <c r="C4168" s="210"/>
      <c r="D4168" s="210"/>
      <c r="E4168" s="204"/>
      <c r="F4168" s="205"/>
      <c r="G4168" s="205"/>
    </row>
    <row r="4169" ht="15.75" customHeight="1">
      <c r="A4169" s="224"/>
      <c r="B4169" s="186"/>
      <c r="C4169" s="210"/>
      <c r="D4169" s="210"/>
      <c r="E4169" s="204"/>
      <c r="F4169" s="205"/>
      <c r="G4169" s="205"/>
    </row>
    <row r="4170" ht="15.75" customHeight="1">
      <c r="A4170" s="224"/>
      <c r="B4170" s="186"/>
      <c r="C4170" s="210"/>
      <c r="D4170" s="210"/>
      <c r="E4170" s="204"/>
      <c r="F4170" s="205"/>
      <c r="G4170" s="205"/>
    </row>
    <row r="4171" ht="15.75" customHeight="1">
      <c r="A4171" s="224"/>
      <c r="B4171" s="186"/>
      <c r="C4171" s="210"/>
      <c r="D4171" s="210"/>
      <c r="E4171" s="204"/>
      <c r="F4171" s="205"/>
      <c r="G4171" s="205"/>
    </row>
    <row r="4172" ht="15.75" customHeight="1">
      <c r="A4172" s="224"/>
      <c r="B4172" s="186"/>
      <c r="C4172" s="210"/>
      <c r="D4172" s="210"/>
      <c r="E4172" s="204"/>
      <c r="F4172" s="205"/>
      <c r="G4172" s="205"/>
    </row>
    <row r="4173" ht="15.75" customHeight="1">
      <c r="A4173" s="224"/>
      <c r="B4173" s="186"/>
      <c r="C4173" s="210"/>
      <c r="D4173" s="210"/>
      <c r="E4173" s="204"/>
      <c r="F4173" s="205"/>
      <c r="G4173" s="205"/>
    </row>
    <row r="4174" ht="15.75" customHeight="1">
      <c r="A4174" s="224"/>
      <c r="B4174" s="186"/>
      <c r="C4174" s="210"/>
      <c r="D4174" s="210"/>
      <c r="E4174" s="204"/>
      <c r="F4174" s="205"/>
      <c r="G4174" s="205"/>
    </row>
    <row r="4175" ht="15.75" customHeight="1">
      <c r="A4175" s="224"/>
      <c r="B4175" s="186"/>
      <c r="C4175" s="210"/>
      <c r="D4175" s="210"/>
      <c r="E4175" s="204"/>
      <c r="F4175" s="205"/>
      <c r="G4175" s="205"/>
    </row>
    <row r="4176" ht="15.75" customHeight="1">
      <c r="A4176" s="224"/>
      <c r="B4176" s="186"/>
      <c r="C4176" s="210"/>
      <c r="D4176" s="210"/>
      <c r="E4176" s="204"/>
      <c r="F4176" s="205"/>
      <c r="G4176" s="205"/>
    </row>
    <row r="4177" ht="15.75" customHeight="1">
      <c r="A4177" s="224"/>
      <c r="B4177" s="186"/>
      <c r="C4177" s="210"/>
      <c r="D4177" s="210"/>
      <c r="E4177" s="204"/>
      <c r="F4177" s="205"/>
      <c r="G4177" s="205"/>
    </row>
    <row r="4178" ht="15.75" customHeight="1">
      <c r="A4178" s="224"/>
      <c r="B4178" s="186"/>
      <c r="C4178" s="210"/>
      <c r="D4178" s="210"/>
      <c r="E4178" s="204"/>
      <c r="F4178" s="205"/>
      <c r="G4178" s="205"/>
    </row>
    <row r="4179" ht="15.75" customHeight="1">
      <c r="A4179" s="224"/>
      <c r="B4179" s="186"/>
      <c r="C4179" s="210"/>
      <c r="D4179" s="210"/>
      <c r="E4179" s="204"/>
      <c r="F4179" s="205"/>
      <c r="G4179" s="205"/>
    </row>
    <row r="4180" ht="15.75" customHeight="1">
      <c r="A4180" s="224"/>
      <c r="B4180" s="186"/>
      <c r="C4180" s="210"/>
      <c r="D4180" s="210"/>
      <c r="E4180" s="204"/>
      <c r="F4180" s="205"/>
      <c r="G4180" s="205"/>
    </row>
    <row r="4181" ht="15.75" customHeight="1">
      <c r="A4181" s="224"/>
      <c r="B4181" s="186"/>
      <c r="C4181" s="210"/>
      <c r="D4181" s="210"/>
      <c r="E4181" s="204"/>
      <c r="F4181" s="205"/>
      <c r="G4181" s="205"/>
    </row>
    <row r="4182" ht="15.75" customHeight="1">
      <c r="A4182" s="224"/>
      <c r="B4182" s="186"/>
      <c r="C4182" s="210"/>
      <c r="D4182" s="210"/>
      <c r="E4182" s="204"/>
      <c r="F4182" s="205"/>
      <c r="G4182" s="205"/>
    </row>
    <row r="4183" ht="15.75" customHeight="1">
      <c r="A4183" s="224"/>
      <c r="B4183" s="186"/>
      <c r="C4183" s="210"/>
      <c r="D4183" s="210"/>
      <c r="E4183" s="204"/>
      <c r="F4183" s="205"/>
      <c r="G4183" s="205"/>
    </row>
    <row r="4184" ht="15.75" customHeight="1">
      <c r="A4184" s="224"/>
      <c r="B4184" s="186"/>
      <c r="C4184" s="210"/>
      <c r="D4184" s="210"/>
      <c r="E4184" s="204"/>
      <c r="F4184" s="205"/>
      <c r="G4184" s="205"/>
    </row>
    <row r="4185" ht="15.75" customHeight="1">
      <c r="A4185" s="224"/>
      <c r="B4185" s="186"/>
      <c r="C4185" s="210"/>
      <c r="D4185" s="210"/>
      <c r="E4185" s="204"/>
      <c r="F4185" s="205"/>
      <c r="G4185" s="205"/>
    </row>
    <row r="4186" ht="15.75" customHeight="1">
      <c r="A4186" s="224"/>
      <c r="B4186" s="186"/>
      <c r="C4186" s="210"/>
      <c r="D4186" s="210"/>
      <c r="E4186" s="204"/>
      <c r="F4186" s="205"/>
      <c r="G4186" s="205"/>
    </row>
    <row r="4187" ht="15.75" customHeight="1">
      <c r="A4187" s="224"/>
      <c r="B4187" s="186"/>
      <c r="C4187" s="210"/>
      <c r="D4187" s="210"/>
      <c r="E4187" s="204"/>
      <c r="F4187" s="205"/>
      <c r="G4187" s="205"/>
    </row>
    <row r="4188" ht="15.75" customHeight="1">
      <c r="A4188" s="224"/>
      <c r="B4188" s="186"/>
      <c r="C4188" s="210"/>
      <c r="D4188" s="210"/>
      <c r="E4188" s="204"/>
      <c r="F4188" s="205"/>
      <c r="G4188" s="205"/>
    </row>
    <row r="4189" ht="15.75" customHeight="1">
      <c r="A4189" s="224"/>
      <c r="B4189" s="186"/>
      <c r="C4189" s="210"/>
      <c r="D4189" s="210"/>
      <c r="E4189" s="204"/>
      <c r="F4189" s="205"/>
      <c r="G4189" s="205"/>
    </row>
    <row r="4190" ht="15.75" customHeight="1">
      <c r="A4190" s="224"/>
      <c r="B4190" s="186"/>
      <c r="C4190" s="210"/>
      <c r="D4190" s="210"/>
      <c r="E4190" s="204"/>
      <c r="F4190" s="205"/>
      <c r="G4190" s="205"/>
    </row>
    <row r="4191" ht="15.75" customHeight="1">
      <c r="A4191" s="224"/>
      <c r="B4191" s="186"/>
      <c r="C4191" s="210"/>
      <c r="D4191" s="210"/>
      <c r="E4191" s="204"/>
      <c r="F4191" s="205"/>
      <c r="G4191" s="205"/>
    </row>
    <row r="4192" ht="15.75" customHeight="1">
      <c r="A4192" s="224"/>
      <c r="B4192" s="186"/>
      <c r="C4192" s="210"/>
      <c r="D4192" s="210"/>
      <c r="E4192" s="204"/>
      <c r="F4192" s="205"/>
      <c r="G4192" s="205"/>
    </row>
    <row r="4193" ht="15.75" customHeight="1">
      <c r="A4193" s="224"/>
      <c r="B4193" s="186"/>
      <c r="C4193" s="210"/>
      <c r="D4193" s="210"/>
      <c r="E4193" s="204"/>
      <c r="F4193" s="205"/>
      <c r="G4193" s="205"/>
    </row>
    <row r="4194" ht="15.75" customHeight="1">
      <c r="A4194" s="224"/>
      <c r="B4194" s="186"/>
      <c r="C4194" s="210"/>
      <c r="D4194" s="210"/>
      <c r="E4194" s="204"/>
      <c r="F4194" s="205"/>
      <c r="G4194" s="205"/>
    </row>
    <row r="4195" ht="15.75" customHeight="1">
      <c r="A4195" s="224"/>
      <c r="B4195" s="186"/>
      <c r="C4195" s="210"/>
      <c r="D4195" s="210"/>
      <c r="E4195" s="204"/>
      <c r="F4195" s="205"/>
      <c r="G4195" s="205"/>
    </row>
    <row r="4196" ht="15.75" customHeight="1">
      <c r="A4196" s="224"/>
      <c r="B4196" s="186"/>
      <c r="C4196" s="210"/>
      <c r="D4196" s="210"/>
      <c r="E4196" s="204"/>
      <c r="F4196" s="205"/>
      <c r="G4196" s="205"/>
    </row>
    <row r="4197" ht="15.75" customHeight="1">
      <c r="A4197" s="224"/>
      <c r="B4197" s="186"/>
      <c r="C4197" s="210"/>
      <c r="D4197" s="210"/>
      <c r="E4197" s="204"/>
      <c r="F4197" s="205"/>
      <c r="G4197" s="205"/>
    </row>
    <row r="4198" ht="15.75" customHeight="1">
      <c r="A4198" s="224"/>
      <c r="B4198" s="186"/>
      <c r="C4198" s="210"/>
      <c r="D4198" s="210"/>
      <c r="E4198" s="204"/>
      <c r="F4198" s="205"/>
      <c r="G4198" s="205"/>
    </row>
    <row r="4199" ht="15.75" customHeight="1">
      <c r="A4199" s="224"/>
      <c r="B4199" s="186"/>
      <c r="C4199" s="210"/>
      <c r="D4199" s="210"/>
      <c r="E4199" s="204"/>
      <c r="F4199" s="205"/>
      <c r="G4199" s="205"/>
    </row>
    <row r="4200" ht="15.75" customHeight="1">
      <c r="A4200" s="224"/>
      <c r="B4200" s="186"/>
      <c r="C4200" s="210"/>
      <c r="D4200" s="210"/>
      <c r="E4200" s="204"/>
      <c r="F4200" s="205"/>
      <c r="G4200" s="205"/>
    </row>
    <row r="4201" ht="15.75" customHeight="1">
      <c r="A4201" s="224"/>
      <c r="B4201" s="186"/>
      <c r="C4201" s="210"/>
      <c r="D4201" s="210"/>
      <c r="E4201" s="204"/>
      <c r="F4201" s="205"/>
      <c r="G4201" s="205"/>
    </row>
    <row r="4202" ht="15.75" customHeight="1">
      <c r="A4202" s="224"/>
      <c r="B4202" s="186"/>
      <c r="C4202" s="210"/>
      <c r="D4202" s="210"/>
      <c r="E4202" s="204"/>
      <c r="F4202" s="205"/>
      <c r="G4202" s="205"/>
    </row>
    <row r="4203" ht="15.75" customHeight="1">
      <c r="A4203" s="224"/>
      <c r="B4203" s="186"/>
      <c r="C4203" s="210"/>
      <c r="D4203" s="210"/>
      <c r="E4203" s="204"/>
      <c r="F4203" s="205"/>
      <c r="G4203" s="205"/>
    </row>
    <row r="4204" ht="15.75" customHeight="1">
      <c r="A4204" s="224"/>
      <c r="B4204" s="186"/>
      <c r="C4204" s="210"/>
      <c r="D4204" s="210"/>
      <c r="E4204" s="204"/>
      <c r="F4204" s="205"/>
      <c r="G4204" s="205"/>
    </row>
    <row r="4205" ht="15.75" customHeight="1">
      <c r="A4205" s="224"/>
      <c r="B4205" s="186"/>
      <c r="C4205" s="210"/>
      <c r="D4205" s="210"/>
      <c r="E4205" s="204"/>
      <c r="F4205" s="205"/>
      <c r="G4205" s="205"/>
    </row>
    <row r="4206" ht="15.75" customHeight="1">
      <c r="A4206" s="224"/>
      <c r="B4206" s="186"/>
      <c r="C4206" s="210"/>
      <c r="D4206" s="210"/>
      <c r="E4206" s="204"/>
      <c r="F4206" s="205"/>
      <c r="G4206" s="205"/>
    </row>
    <row r="4207" ht="15.75" customHeight="1">
      <c r="A4207" s="224"/>
      <c r="B4207" s="186"/>
      <c r="C4207" s="210"/>
      <c r="D4207" s="210"/>
      <c r="E4207" s="204"/>
      <c r="F4207" s="205"/>
      <c r="G4207" s="205"/>
    </row>
    <row r="4208" ht="15.75" customHeight="1">
      <c r="A4208" s="224"/>
      <c r="B4208" s="186"/>
      <c r="C4208" s="210"/>
      <c r="D4208" s="210"/>
      <c r="E4208" s="204"/>
      <c r="F4208" s="205"/>
      <c r="G4208" s="205"/>
    </row>
    <row r="4209" ht="15.75" customHeight="1">
      <c r="A4209" s="224"/>
      <c r="B4209" s="186"/>
      <c r="C4209" s="210"/>
      <c r="D4209" s="210"/>
      <c r="E4209" s="204"/>
      <c r="F4209" s="205"/>
      <c r="G4209" s="205"/>
    </row>
    <row r="4210" ht="15.75" customHeight="1">
      <c r="A4210" s="224"/>
      <c r="B4210" s="186"/>
      <c r="C4210" s="210"/>
      <c r="D4210" s="210"/>
      <c r="E4210" s="204"/>
      <c r="F4210" s="205"/>
      <c r="G4210" s="205"/>
    </row>
    <row r="4211" ht="15.75" customHeight="1">
      <c r="A4211" s="224"/>
      <c r="B4211" s="186"/>
      <c r="C4211" s="210"/>
      <c r="D4211" s="210"/>
      <c r="E4211" s="204"/>
      <c r="F4211" s="205"/>
      <c r="G4211" s="205"/>
    </row>
    <row r="4212" ht="15.75" customHeight="1">
      <c r="A4212" s="224"/>
      <c r="B4212" s="186"/>
      <c r="C4212" s="210"/>
      <c r="D4212" s="210"/>
      <c r="E4212" s="204"/>
      <c r="F4212" s="205"/>
      <c r="G4212" s="205"/>
    </row>
    <row r="4213" ht="15.75" customHeight="1">
      <c r="A4213" s="224"/>
      <c r="B4213" s="186"/>
      <c r="C4213" s="210"/>
      <c r="D4213" s="210"/>
      <c r="E4213" s="204"/>
      <c r="F4213" s="205"/>
      <c r="G4213" s="205"/>
    </row>
    <row r="4214" ht="15.75" customHeight="1">
      <c r="A4214" s="224"/>
      <c r="B4214" s="186"/>
      <c r="C4214" s="210"/>
      <c r="D4214" s="210"/>
      <c r="E4214" s="204"/>
      <c r="F4214" s="205"/>
      <c r="G4214" s="205"/>
    </row>
    <row r="4215" ht="15.75" customHeight="1">
      <c r="A4215" s="224"/>
      <c r="B4215" s="186"/>
      <c r="C4215" s="210"/>
      <c r="D4215" s="210"/>
      <c r="E4215" s="204"/>
      <c r="F4215" s="205"/>
      <c r="G4215" s="205"/>
    </row>
    <row r="4216" ht="15.75" customHeight="1">
      <c r="A4216" s="224"/>
      <c r="B4216" s="186"/>
      <c r="C4216" s="210"/>
      <c r="D4216" s="210"/>
      <c r="E4216" s="204"/>
      <c r="F4216" s="205"/>
      <c r="G4216" s="205"/>
    </row>
    <row r="4217" ht="15.75" customHeight="1">
      <c r="A4217" s="224"/>
      <c r="B4217" s="186"/>
      <c r="C4217" s="210"/>
      <c r="D4217" s="210"/>
      <c r="E4217" s="204"/>
      <c r="F4217" s="205"/>
      <c r="G4217" s="205"/>
    </row>
    <row r="4218" ht="15.75" customHeight="1">
      <c r="A4218" s="224"/>
      <c r="B4218" s="186"/>
      <c r="C4218" s="210"/>
      <c r="D4218" s="210"/>
      <c r="E4218" s="204"/>
      <c r="F4218" s="205"/>
      <c r="G4218" s="205"/>
    </row>
    <row r="4219" ht="15.75" customHeight="1">
      <c r="A4219" s="224"/>
      <c r="B4219" s="186"/>
      <c r="C4219" s="210"/>
      <c r="D4219" s="210"/>
      <c r="E4219" s="204"/>
      <c r="F4219" s="205"/>
      <c r="G4219" s="205"/>
    </row>
    <row r="4220" ht="15.75" customHeight="1">
      <c r="A4220" s="224"/>
      <c r="B4220" s="186"/>
      <c r="C4220" s="210"/>
      <c r="D4220" s="210"/>
      <c r="E4220" s="204"/>
      <c r="F4220" s="205"/>
      <c r="G4220" s="205"/>
    </row>
    <row r="4221" ht="15.75" customHeight="1">
      <c r="A4221" s="224"/>
      <c r="B4221" s="186"/>
      <c r="C4221" s="210"/>
      <c r="D4221" s="210"/>
      <c r="E4221" s="204"/>
      <c r="F4221" s="205"/>
      <c r="G4221" s="205"/>
    </row>
    <row r="4222" ht="15.75" customHeight="1">
      <c r="A4222" s="224"/>
      <c r="B4222" s="186"/>
      <c r="C4222" s="210"/>
      <c r="D4222" s="210"/>
      <c r="E4222" s="204"/>
      <c r="F4222" s="205"/>
      <c r="G4222" s="205"/>
    </row>
    <row r="4223" ht="15.75" customHeight="1">
      <c r="A4223" s="224"/>
      <c r="B4223" s="186"/>
      <c r="C4223" s="210"/>
      <c r="D4223" s="210"/>
      <c r="E4223" s="204"/>
      <c r="F4223" s="205"/>
      <c r="G4223" s="205"/>
    </row>
    <row r="4224" ht="15.75" customHeight="1">
      <c r="A4224" s="224"/>
      <c r="B4224" s="186"/>
      <c r="C4224" s="210"/>
      <c r="D4224" s="210"/>
      <c r="E4224" s="204"/>
      <c r="F4224" s="205"/>
      <c r="G4224" s="205"/>
    </row>
    <row r="4225" ht="15.75" customHeight="1">
      <c r="A4225" s="224"/>
      <c r="B4225" s="186"/>
      <c r="C4225" s="210"/>
      <c r="D4225" s="210"/>
      <c r="E4225" s="204"/>
      <c r="F4225" s="205"/>
      <c r="G4225" s="205"/>
    </row>
    <row r="4226" ht="15.75" customHeight="1">
      <c r="A4226" s="224"/>
      <c r="B4226" s="186"/>
      <c r="C4226" s="210"/>
      <c r="D4226" s="210"/>
      <c r="E4226" s="204"/>
      <c r="F4226" s="205"/>
      <c r="G4226" s="205"/>
    </row>
    <row r="4227" ht="15.75" customHeight="1">
      <c r="A4227" s="224"/>
      <c r="B4227" s="186"/>
      <c r="C4227" s="210"/>
      <c r="D4227" s="210"/>
      <c r="E4227" s="204"/>
      <c r="F4227" s="205"/>
      <c r="G4227" s="205"/>
    </row>
    <row r="4228" ht="15.75" customHeight="1">
      <c r="A4228" s="224"/>
      <c r="B4228" s="186"/>
      <c r="C4228" s="210"/>
      <c r="D4228" s="210"/>
      <c r="E4228" s="204"/>
      <c r="F4228" s="205"/>
      <c r="G4228" s="205"/>
    </row>
    <row r="4229" ht="15.75" customHeight="1">
      <c r="A4229" s="224"/>
      <c r="B4229" s="186"/>
      <c r="C4229" s="210"/>
      <c r="D4229" s="210"/>
      <c r="E4229" s="204"/>
      <c r="F4229" s="205"/>
      <c r="G4229" s="205"/>
    </row>
    <row r="4230" ht="15.75" customHeight="1">
      <c r="A4230" s="224"/>
      <c r="B4230" s="186"/>
      <c r="C4230" s="210"/>
      <c r="D4230" s="210"/>
      <c r="E4230" s="204"/>
      <c r="F4230" s="205"/>
      <c r="G4230" s="205"/>
    </row>
    <row r="4231" ht="15.75" customHeight="1">
      <c r="A4231" s="224"/>
      <c r="B4231" s="186"/>
      <c r="C4231" s="210"/>
      <c r="D4231" s="210"/>
      <c r="E4231" s="204"/>
      <c r="F4231" s="205"/>
      <c r="G4231" s="205"/>
    </row>
    <row r="4232" ht="15.75" customHeight="1">
      <c r="A4232" s="224"/>
      <c r="B4232" s="186"/>
      <c r="C4232" s="210"/>
      <c r="D4232" s="210"/>
      <c r="E4232" s="204"/>
      <c r="F4232" s="205"/>
      <c r="G4232" s="205"/>
    </row>
    <row r="4233" ht="15.75" customHeight="1">
      <c r="A4233" s="224"/>
      <c r="B4233" s="186"/>
      <c r="C4233" s="210"/>
      <c r="D4233" s="210"/>
      <c r="E4233" s="204"/>
      <c r="F4233" s="205"/>
      <c r="G4233" s="205"/>
    </row>
    <row r="4234" ht="15.75" customHeight="1">
      <c r="A4234" s="224"/>
      <c r="B4234" s="186"/>
      <c r="C4234" s="210"/>
      <c r="D4234" s="210"/>
      <c r="E4234" s="204"/>
      <c r="F4234" s="205"/>
      <c r="G4234" s="205"/>
    </row>
    <row r="4235" ht="15.75" customHeight="1">
      <c r="A4235" s="224"/>
      <c r="B4235" s="186"/>
      <c r="C4235" s="210"/>
      <c r="D4235" s="210"/>
      <c r="E4235" s="204"/>
      <c r="F4235" s="205"/>
      <c r="G4235" s="205"/>
    </row>
    <row r="4236" ht="15.75" customHeight="1">
      <c r="A4236" s="224"/>
      <c r="B4236" s="186"/>
      <c r="C4236" s="210"/>
      <c r="D4236" s="210"/>
      <c r="E4236" s="204"/>
      <c r="F4236" s="205"/>
      <c r="G4236" s="205"/>
    </row>
    <row r="4237" ht="15.75" customHeight="1">
      <c r="A4237" s="224"/>
      <c r="B4237" s="186"/>
      <c r="C4237" s="210"/>
      <c r="D4237" s="210"/>
      <c r="E4237" s="204"/>
      <c r="F4237" s="205"/>
      <c r="G4237" s="205"/>
    </row>
    <row r="4238" ht="15.75" customHeight="1">
      <c r="A4238" s="224"/>
      <c r="B4238" s="186"/>
      <c r="C4238" s="210"/>
      <c r="D4238" s="210"/>
      <c r="E4238" s="204"/>
      <c r="F4238" s="205"/>
      <c r="G4238" s="205"/>
    </row>
    <row r="4239" ht="15.75" customHeight="1">
      <c r="A4239" s="224"/>
      <c r="B4239" s="186"/>
      <c r="C4239" s="210"/>
      <c r="D4239" s="210"/>
      <c r="E4239" s="204"/>
      <c r="F4239" s="205"/>
      <c r="G4239" s="205"/>
    </row>
    <row r="4240" ht="15.75" customHeight="1">
      <c r="A4240" s="224"/>
      <c r="B4240" s="186"/>
      <c r="C4240" s="210"/>
      <c r="D4240" s="210"/>
      <c r="E4240" s="204"/>
      <c r="F4240" s="205"/>
      <c r="G4240" s="205"/>
    </row>
    <row r="4241" ht="15.75" customHeight="1">
      <c r="A4241" s="224"/>
      <c r="B4241" s="186"/>
      <c r="C4241" s="210"/>
      <c r="D4241" s="210"/>
      <c r="E4241" s="204"/>
      <c r="F4241" s="205"/>
      <c r="G4241" s="205"/>
    </row>
    <row r="4242" ht="15.75" customHeight="1">
      <c r="A4242" s="224"/>
      <c r="B4242" s="186"/>
      <c r="C4242" s="210"/>
      <c r="D4242" s="210"/>
      <c r="E4242" s="204"/>
      <c r="F4242" s="205"/>
      <c r="G4242" s="205"/>
    </row>
    <row r="4243" ht="15.75" customHeight="1">
      <c r="A4243" s="224"/>
      <c r="B4243" s="186"/>
      <c r="C4243" s="210"/>
      <c r="D4243" s="210"/>
      <c r="E4243" s="204"/>
      <c r="F4243" s="205"/>
      <c r="G4243" s="205"/>
    </row>
    <row r="4244" ht="15.75" customHeight="1">
      <c r="A4244" s="224"/>
      <c r="B4244" s="186"/>
      <c r="C4244" s="210"/>
      <c r="D4244" s="210"/>
      <c r="E4244" s="204"/>
      <c r="F4244" s="205"/>
      <c r="G4244" s="205"/>
    </row>
    <row r="4245" ht="15.75" customHeight="1">
      <c r="A4245" s="224"/>
      <c r="B4245" s="186"/>
      <c r="C4245" s="210"/>
      <c r="D4245" s="210"/>
      <c r="E4245" s="204"/>
      <c r="F4245" s="205"/>
      <c r="G4245" s="205"/>
    </row>
    <row r="4246" ht="15.75" customHeight="1">
      <c r="A4246" s="224"/>
      <c r="B4246" s="186"/>
      <c r="C4246" s="210"/>
      <c r="D4246" s="210"/>
      <c r="E4246" s="204"/>
      <c r="F4246" s="205"/>
      <c r="G4246" s="205"/>
    </row>
    <row r="4247" ht="15.75" customHeight="1">
      <c r="A4247" s="224"/>
      <c r="B4247" s="186"/>
      <c r="C4247" s="210"/>
      <c r="D4247" s="210"/>
      <c r="E4247" s="204"/>
      <c r="F4247" s="205"/>
      <c r="G4247" s="205"/>
    </row>
    <row r="4248" ht="15.75" customHeight="1">
      <c r="A4248" s="224"/>
      <c r="B4248" s="186"/>
      <c r="C4248" s="210"/>
      <c r="D4248" s="210"/>
      <c r="E4248" s="204"/>
      <c r="F4248" s="205"/>
      <c r="G4248" s="205"/>
    </row>
    <row r="4249" ht="15.75" customHeight="1">
      <c r="A4249" s="224"/>
      <c r="B4249" s="186"/>
      <c r="C4249" s="210"/>
      <c r="D4249" s="210"/>
      <c r="E4249" s="204"/>
      <c r="F4249" s="205"/>
      <c r="G4249" s="205"/>
    </row>
    <row r="4250" ht="15.75" customHeight="1">
      <c r="A4250" s="224"/>
      <c r="B4250" s="186"/>
      <c r="C4250" s="210"/>
      <c r="D4250" s="210"/>
      <c r="E4250" s="204"/>
      <c r="F4250" s="205"/>
      <c r="G4250" s="205"/>
    </row>
    <row r="4251" ht="15.75" customHeight="1">
      <c r="A4251" s="224"/>
      <c r="B4251" s="186"/>
      <c r="C4251" s="210"/>
      <c r="D4251" s="210"/>
      <c r="E4251" s="204"/>
      <c r="F4251" s="205"/>
      <c r="G4251" s="205"/>
    </row>
    <row r="4252" ht="15.75" customHeight="1">
      <c r="A4252" s="224"/>
      <c r="B4252" s="186"/>
      <c r="C4252" s="210"/>
      <c r="D4252" s="210"/>
      <c r="E4252" s="204"/>
      <c r="F4252" s="205"/>
      <c r="G4252" s="205"/>
    </row>
    <row r="4253" ht="15.75" customHeight="1">
      <c r="A4253" s="224"/>
      <c r="B4253" s="186"/>
      <c r="C4253" s="210"/>
      <c r="D4253" s="210"/>
      <c r="E4253" s="204"/>
      <c r="F4253" s="205"/>
      <c r="G4253" s="205"/>
    </row>
    <row r="4254" ht="15.75" customHeight="1">
      <c r="A4254" s="224"/>
      <c r="B4254" s="186"/>
      <c r="C4254" s="210"/>
      <c r="D4254" s="210"/>
      <c r="E4254" s="204"/>
      <c r="F4254" s="205"/>
      <c r="G4254" s="205"/>
    </row>
    <row r="4255" ht="15.75" customHeight="1">
      <c r="A4255" s="224"/>
      <c r="B4255" s="186"/>
      <c r="C4255" s="210"/>
      <c r="D4255" s="210"/>
      <c r="E4255" s="204"/>
      <c r="F4255" s="205"/>
      <c r="G4255" s="205"/>
    </row>
    <row r="4256" ht="15.75" customHeight="1">
      <c r="A4256" s="224"/>
      <c r="B4256" s="186"/>
      <c r="C4256" s="210"/>
      <c r="D4256" s="210"/>
      <c r="E4256" s="204"/>
      <c r="F4256" s="205"/>
      <c r="G4256" s="205"/>
    </row>
    <row r="4257" ht="15.75" customHeight="1">
      <c r="A4257" s="224"/>
      <c r="B4257" s="186"/>
      <c r="C4257" s="210"/>
      <c r="D4257" s="210"/>
      <c r="E4257" s="204"/>
      <c r="F4257" s="205"/>
      <c r="G4257" s="205"/>
    </row>
    <row r="4258" ht="15.75" customHeight="1">
      <c r="A4258" s="224"/>
      <c r="B4258" s="186"/>
      <c r="C4258" s="210"/>
      <c r="D4258" s="210"/>
      <c r="E4258" s="204"/>
      <c r="F4258" s="205"/>
      <c r="G4258" s="205"/>
    </row>
    <row r="4259" ht="15.75" customHeight="1">
      <c r="A4259" s="224"/>
      <c r="B4259" s="186"/>
      <c r="C4259" s="210"/>
      <c r="D4259" s="210"/>
      <c r="E4259" s="204"/>
      <c r="F4259" s="205"/>
      <c r="G4259" s="205"/>
    </row>
    <row r="4260" ht="15.75" customHeight="1">
      <c r="A4260" s="224"/>
      <c r="B4260" s="186"/>
      <c r="C4260" s="210"/>
      <c r="D4260" s="210"/>
      <c r="E4260" s="204"/>
      <c r="F4260" s="205"/>
      <c r="G4260" s="205"/>
    </row>
    <row r="4261" ht="15.75" customHeight="1">
      <c r="A4261" s="224"/>
      <c r="B4261" s="186"/>
      <c r="C4261" s="210"/>
      <c r="D4261" s="210"/>
      <c r="E4261" s="204"/>
      <c r="F4261" s="205"/>
      <c r="G4261" s="205"/>
    </row>
    <row r="4262" ht="15.75" customHeight="1">
      <c r="A4262" s="224"/>
      <c r="B4262" s="186"/>
      <c r="C4262" s="210"/>
      <c r="D4262" s="210"/>
      <c r="E4262" s="204"/>
      <c r="F4262" s="205"/>
      <c r="G4262" s="205"/>
    </row>
    <row r="4263" ht="15.75" customHeight="1">
      <c r="A4263" s="224"/>
      <c r="B4263" s="186"/>
      <c r="C4263" s="210"/>
      <c r="D4263" s="210"/>
      <c r="E4263" s="204"/>
      <c r="F4263" s="205"/>
      <c r="G4263" s="205"/>
    </row>
    <row r="4264" ht="15.75" customHeight="1">
      <c r="A4264" s="224"/>
      <c r="B4264" s="186"/>
      <c r="C4264" s="210"/>
      <c r="D4264" s="210"/>
      <c r="E4264" s="204"/>
      <c r="F4264" s="205"/>
      <c r="G4264" s="205"/>
    </row>
    <row r="4265" ht="15.75" customHeight="1">
      <c r="A4265" s="224"/>
      <c r="B4265" s="186"/>
      <c r="C4265" s="210"/>
      <c r="D4265" s="210"/>
      <c r="E4265" s="204"/>
      <c r="F4265" s="205"/>
      <c r="G4265" s="205"/>
    </row>
    <row r="4266" ht="15.75" customHeight="1">
      <c r="A4266" s="224"/>
      <c r="B4266" s="186"/>
      <c r="C4266" s="210"/>
      <c r="D4266" s="210"/>
      <c r="E4266" s="204"/>
      <c r="F4266" s="205"/>
      <c r="G4266" s="205"/>
    </row>
    <row r="4267" ht="15.75" customHeight="1">
      <c r="A4267" s="224"/>
      <c r="B4267" s="186"/>
      <c r="C4267" s="210"/>
      <c r="D4267" s="210"/>
      <c r="E4267" s="204"/>
      <c r="F4267" s="205"/>
      <c r="G4267" s="205"/>
    </row>
  </sheetData>
  <autoFilter ref="$A$1:$G$4267"/>
  <hyperlinks>
    <hyperlink r:id="rId1" ref="B4"/>
    <hyperlink r:id="rId2" ref="B2530"/>
    <hyperlink r:id="rId3" ref="B2531"/>
    <hyperlink r:id="rId4" ref="B2532"/>
    <hyperlink r:id="rId5" ref="B2533"/>
    <hyperlink r:id="rId6" ref="B2534"/>
    <hyperlink r:id="rId7" ref="B2535"/>
    <hyperlink r:id="rId8" ref="B2536"/>
    <hyperlink r:id="rId9" ref="B2537"/>
    <hyperlink r:id="rId10" ref="B2538"/>
    <hyperlink r:id="rId11" ref="B2539"/>
    <hyperlink r:id="rId12" ref="B2540"/>
    <hyperlink r:id="rId13" ref="B2541"/>
    <hyperlink r:id="rId14" ref="B2542"/>
    <hyperlink r:id="rId15" ref="B2543"/>
    <hyperlink r:id="rId16" ref="B2544"/>
    <hyperlink r:id="rId17" ref="B2545"/>
    <hyperlink r:id="rId18" ref="B2546"/>
    <hyperlink r:id="rId19" ref="B2547"/>
    <hyperlink r:id="rId20" ref="B2548"/>
    <hyperlink r:id="rId21" ref="B2549"/>
    <hyperlink r:id="rId22" ref="B2550"/>
    <hyperlink r:id="rId23" ref="B2551"/>
    <hyperlink r:id="rId24" ref="B2552"/>
    <hyperlink r:id="rId25" ref="B2553"/>
    <hyperlink r:id="rId26" ref="B2554"/>
    <hyperlink r:id="rId27" ref="B2555"/>
    <hyperlink r:id="rId28" ref="B2556"/>
    <hyperlink r:id="rId29" ref="B2557"/>
    <hyperlink r:id="rId30" ref="B2558"/>
    <hyperlink r:id="rId31" ref="B2559"/>
    <hyperlink r:id="rId32" ref="B2560"/>
    <hyperlink r:id="rId33" ref="B2561"/>
    <hyperlink r:id="rId34" ref="B2562"/>
    <hyperlink r:id="rId35" ref="B2563"/>
    <hyperlink r:id="rId36" ref="B2564"/>
    <hyperlink r:id="rId37" location=":~:text=2.%20Digital%20Gravity%20%E2%80%93%20Best%20for%20Performance,Ads%2C%20Meta%20performance%2C%20and%20landing%20page%20CRO." ref="B2565"/>
    <hyperlink r:id="rId38" ref="B2566"/>
    <hyperlink r:id="rId39" ref="B2567"/>
  </hyperlinks>
  <printOptions gridLines="1" horizontalCentered="1"/>
  <pageMargins bottom="0.75" footer="0.0" header="0.0" left="0.7" right="0.7" top="0.75"/>
  <pageSetup fitToHeight="0" cellComments="atEnd" orientation="landscape" pageOrder="overThenDown"/>
  <drawing r:id="rId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9.56"/>
    <col customWidth="1" min="2" max="2" width="46.78"/>
    <col customWidth="1" min="3" max="3" width="57.89"/>
    <col customWidth="1" min="4" max="4" width="31.22"/>
    <col customWidth="1" min="5" max="5" width="10.67"/>
    <col customWidth="1" min="6" max="6" width="16.78"/>
    <col customWidth="1" min="7" max="7" width="13.44"/>
  </cols>
  <sheetData>
    <row r="1">
      <c r="A1" s="213" t="s">
        <v>289</v>
      </c>
      <c r="B1" s="193" t="s">
        <v>287</v>
      </c>
      <c r="C1" s="193" t="s">
        <v>288</v>
      </c>
      <c r="D1" s="214" t="s">
        <v>293</v>
      </c>
      <c r="E1" s="214" t="s">
        <v>294</v>
      </c>
      <c r="F1" s="214" t="s">
        <v>295</v>
      </c>
      <c r="G1" s="214" t="s">
        <v>296</v>
      </c>
    </row>
    <row r="2">
      <c r="A2" s="215"/>
      <c r="B2" s="216" t="s">
        <v>299</v>
      </c>
      <c r="C2" s="217"/>
      <c r="D2" s="217"/>
      <c r="E2" s="217"/>
      <c r="F2" s="218"/>
      <c r="G2" s="217"/>
    </row>
    <row r="3">
      <c r="A3" s="219"/>
      <c r="B3" s="220" t="s">
        <v>5176</v>
      </c>
      <c r="C3" s="221" t="s">
        <v>298</v>
      </c>
      <c r="D3" s="220" t="s">
        <v>293</v>
      </c>
      <c r="E3" s="220" t="s">
        <v>294</v>
      </c>
      <c r="F3" s="222" t="s">
        <v>295</v>
      </c>
      <c r="G3" s="220" t="s">
        <v>296</v>
      </c>
    </row>
    <row r="4" ht="30.0" customHeight="1">
      <c r="A4" s="200" t="s">
        <v>303</v>
      </c>
      <c r="B4" s="223" t="s">
        <v>1747</v>
      </c>
      <c r="C4" s="202" t="s">
        <v>5180</v>
      </c>
      <c r="D4" s="203" t="s">
        <v>5182</v>
      </c>
      <c r="E4" s="204">
        <v>6.0</v>
      </c>
      <c r="F4" s="205">
        <v>0.01</v>
      </c>
      <c r="G4" s="205">
        <v>0.0</v>
      </c>
    </row>
    <row r="5" ht="30.0" customHeight="1">
      <c r="A5" s="200" t="s">
        <v>303</v>
      </c>
      <c r="B5" s="206" t="s">
        <v>612</v>
      </c>
      <c r="C5" s="202" t="s">
        <v>613</v>
      </c>
      <c r="D5" s="203" t="s">
        <v>617</v>
      </c>
      <c r="E5" s="204">
        <v>4.0</v>
      </c>
      <c r="F5" s="205">
        <v>0.0</v>
      </c>
      <c r="G5" s="205">
        <v>1.75</v>
      </c>
    </row>
    <row r="6" ht="30.0" customHeight="1">
      <c r="A6" s="200" t="s">
        <v>303</v>
      </c>
      <c r="B6" s="206" t="s">
        <v>618</v>
      </c>
      <c r="C6" s="202" t="s">
        <v>619</v>
      </c>
      <c r="D6" s="203" t="s">
        <v>620</v>
      </c>
      <c r="E6" s="204">
        <v>3.0</v>
      </c>
      <c r="F6" s="205">
        <v>0.0</v>
      </c>
      <c r="G6" s="205">
        <v>1.33</v>
      </c>
    </row>
    <row r="7" ht="30.0" customHeight="1">
      <c r="A7" s="200" t="s">
        <v>303</v>
      </c>
      <c r="B7" s="206" t="s">
        <v>621</v>
      </c>
      <c r="C7" s="202" t="s">
        <v>622</v>
      </c>
      <c r="D7" s="203" t="s">
        <v>623</v>
      </c>
      <c r="E7" s="204">
        <v>2.0</v>
      </c>
      <c r="F7" s="205">
        <v>0.0</v>
      </c>
      <c r="G7" s="205">
        <v>0.0</v>
      </c>
    </row>
    <row r="8" ht="30.0" customHeight="1">
      <c r="A8" s="200" t="s">
        <v>303</v>
      </c>
      <c r="B8" s="206" t="s">
        <v>628</v>
      </c>
      <c r="C8" s="202" t="s">
        <v>629</v>
      </c>
      <c r="D8" s="203" t="s">
        <v>5189</v>
      </c>
      <c r="E8" s="204">
        <v>1.0</v>
      </c>
      <c r="F8" s="205">
        <v>0.0</v>
      </c>
      <c r="G8" s="205">
        <v>1.0</v>
      </c>
    </row>
    <row r="9" ht="15.75" customHeight="1">
      <c r="A9" s="224"/>
      <c r="B9" s="186"/>
      <c r="C9" s="210"/>
      <c r="D9" s="210"/>
      <c r="E9" s="204"/>
      <c r="F9" s="205"/>
      <c r="G9" s="205"/>
    </row>
    <row r="10" ht="15.75" customHeight="1">
      <c r="A10" s="225"/>
      <c r="B10" s="226" t="s">
        <v>5194</v>
      </c>
      <c r="C10" s="226" t="s">
        <v>298</v>
      </c>
      <c r="D10" s="226" t="s">
        <v>293</v>
      </c>
      <c r="E10" s="227" t="s">
        <v>294</v>
      </c>
      <c r="F10" s="228" t="s">
        <v>295</v>
      </c>
      <c r="G10" s="229" t="s">
        <v>296</v>
      </c>
    </row>
    <row r="11" ht="15.75" customHeight="1">
      <c r="A11" s="200" t="s">
        <v>576</v>
      </c>
      <c r="B11" s="186" t="s">
        <v>612</v>
      </c>
      <c r="C11" s="210" t="s">
        <v>613</v>
      </c>
      <c r="D11" s="210" t="s">
        <v>5200</v>
      </c>
      <c r="E11" s="204">
        <v>1.0</v>
      </c>
      <c r="F11" s="205">
        <v>0.0</v>
      </c>
      <c r="G11" s="205">
        <v>0.0</v>
      </c>
    </row>
    <row r="12" ht="15.75" customHeight="1">
      <c r="A12" s="224"/>
      <c r="B12" s="186"/>
      <c r="C12" s="210"/>
      <c r="D12" s="210"/>
      <c r="E12" s="204"/>
      <c r="F12" s="205"/>
      <c r="G12" s="205"/>
    </row>
    <row r="13" ht="15.75" customHeight="1">
      <c r="A13" s="225"/>
      <c r="B13" s="226" t="s">
        <v>5204</v>
      </c>
      <c r="C13" s="226" t="s">
        <v>298</v>
      </c>
      <c r="D13" s="226" t="s">
        <v>293</v>
      </c>
      <c r="E13" s="227" t="s">
        <v>294</v>
      </c>
      <c r="F13" s="228" t="s">
        <v>295</v>
      </c>
      <c r="G13" s="229" t="s">
        <v>296</v>
      </c>
    </row>
    <row r="14" ht="15.75" customHeight="1">
      <c r="A14" s="200" t="s">
        <v>311</v>
      </c>
      <c r="B14" s="186" t="s">
        <v>624</v>
      </c>
      <c r="C14" s="210" t="s">
        <v>625</v>
      </c>
      <c r="D14" s="210" t="s">
        <v>627</v>
      </c>
      <c r="E14" s="204">
        <v>40.0</v>
      </c>
      <c r="F14" s="205">
        <v>0.04</v>
      </c>
      <c r="G14" s="205">
        <v>1.1</v>
      </c>
    </row>
    <row r="15" ht="15.75" customHeight="1">
      <c r="A15" s="200" t="s">
        <v>311</v>
      </c>
      <c r="B15" s="186" t="s">
        <v>628</v>
      </c>
      <c r="C15" s="210" t="s">
        <v>629</v>
      </c>
      <c r="D15" s="210" t="s">
        <v>631</v>
      </c>
      <c r="E15" s="204">
        <v>9.0</v>
      </c>
      <c r="F15" s="205">
        <v>0.01</v>
      </c>
      <c r="G15" s="205">
        <v>1.22</v>
      </c>
    </row>
    <row r="16" ht="15.75" customHeight="1">
      <c r="A16" s="200" t="s">
        <v>311</v>
      </c>
      <c r="B16" s="186" t="s">
        <v>5209</v>
      </c>
      <c r="C16" s="210" t="s">
        <v>5210</v>
      </c>
      <c r="D16" s="210" t="s">
        <v>5211</v>
      </c>
      <c r="E16" s="204">
        <v>3.0</v>
      </c>
      <c r="F16" s="205">
        <v>0.0</v>
      </c>
      <c r="G16" s="205">
        <v>1.0</v>
      </c>
    </row>
    <row r="17" ht="15.75" customHeight="1">
      <c r="A17" s="200" t="s">
        <v>311</v>
      </c>
      <c r="B17" s="186" t="s">
        <v>1747</v>
      </c>
      <c r="C17" s="210" t="s">
        <v>5180</v>
      </c>
      <c r="D17" s="210" t="s">
        <v>5213</v>
      </c>
      <c r="E17" s="204">
        <v>1.0</v>
      </c>
      <c r="F17" s="205">
        <v>0.0</v>
      </c>
      <c r="G17" s="205">
        <v>0.0</v>
      </c>
    </row>
    <row r="18" ht="15.75" customHeight="1">
      <c r="A18" s="200" t="s">
        <v>311</v>
      </c>
      <c r="B18" s="186" t="s">
        <v>5216</v>
      </c>
      <c r="C18" s="210" t="s">
        <v>5217</v>
      </c>
      <c r="D18" s="210" t="s">
        <v>5218</v>
      </c>
      <c r="E18" s="204">
        <v>1.0</v>
      </c>
      <c r="F18" s="205">
        <v>0.0</v>
      </c>
      <c r="G18" s="205">
        <v>0.0</v>
      </c>
    </row>
    <row r="19" ht="15.75" customHeight="1">
      <c r="A19" s="225"/>
      <c r="B19" s="226" t="s">
        <v>5219</v>
      </c>
      <c r="C19" s="226" t="s">
        <v>298</v>
      </c>
      <c r="D19" s="226" t="s">
        <v>293</v>
      </c>
      <c r="E19" s="227" t="s">
        <v>294</v>
      </c>
      <c r="F19" s="228" t="s">
        <v>295</v>
      </c>
      <c r="G19" s="229" t="s">
        <v>296</v>
      </c>
    </row>
    <row r="20" ht="15.75" customHeight="1">
      <c r="A20" s="200" t="s">
        <v>315</v>
      </c>
      <c r="B20" s="175" t="s">
        <v>5222</v>
      </c>
      <c r="C20" s="230" t="s">
        <v>5226</v>
      </c>
      <c r="D20" s="230" t="s">
        <v>5229</v>
      </c>
      <c r="E20" s="231">
        <v>30.0</v>
      </c>
      <c r="F20" s="232">
        <v>0.03</v>
      </c>
      <c r="G20" s="232">
        <v>1.03</v>
      </c>
    </row>
    <row r="21" ht="15.75" customHeight="1">
      <c r="A21" s="200" t="s">
        <v>315</v>
      </c>
      <c r="B21" s="175" t="s">
        <v>5233</v>
      </c>
      <c r="C21" s="230" t="s">
        <v>5236</v>
      </c>
      <c r="D21" s="230" t="s">
        <v>5237</v>
      </c>
      <c r="E21" s="231">
        <v>20.0</v>
      </c>
      <c r="F21" s="232">
        <v>0.02</v>
      </c>
      <c r="G21" s="232">
        <v>1.7</v>
      </c>
    </row>
    <row r="22" ht="15.75" customHeight="1">
      <c r="A22" s="200" t="s">
        <v>315</v>
      </c>
      <c r="B22" s="175" t="s">
        <v>5240</v>
      </c>
      <c r="C22" s="230" t="s">
        <v>5244</v>
      </c>
      <c r="D22" s="230" t="s">
        <v>5245</v>
      </c>
      <c r="E22" s="231">
        <v>3.0</v>
      </c>
      <c r="F22" s="232">
        <v>0.0</v>
      </c>
      <c r="G22" s="232">
        <v>1.33</v>
      </c>
    </row>
    <row r="23" ht="15.75" customHeight="1">
      <c r="A23" s="200" t="s">
        <v>315</v>
      </c>
      <c r="B23" s="175" t="s">
        <v>5246</v>
      </c>
      <c r="C23" s="230" t="s">
        <v>5250</v>
      </c>
      <c r="D23" s="230" t="s">
        <v>5251</v>
      </c>
      <c r="E23" s="231">
        <v>1.0</v>
      </c>
      <c r="F23" s="232">
        <v>0.0</v>
      </c>
      <c r="G23" s="232">
        <v>0.0</v>
      </c>
    </row>
    <row r="24" ht="15.75" customHeight="1">
      <c r="A24" s="224"/>
      <c r="B24" s="186"/>
      <c r="C24" s="210"/>
      <c r="D24" s="210"/>
      <c r="E24" s="204"/>
      <c r="F24" s="205"/>
      <c r="G24" s="205"/>
    </row>
    <row r="25" ht="15.75" customHeight="1">
      <c r="A25" s="224"/>
      <c r="B25" s="186"/>
      <c r="C25" s="210"/>
      <c r="D25" s="210"/>
      <c r="E25" s="204"/>
      <c r="F25" s="205"/>
      <c r="G25" s="205"/>
    </row>
    <row r="26" ht="15.75" customHeight="1">
      <c r="A26" s="225"/>
      <c r="B26" s="226" t="s">
        <v>5254</v>
      </c>
      <c r="C26" s="226" t="s">
        <v>298</v>
      </c>
      <c r="D26" s="226" t="s">
        <v>293</v>
      </c>
      <c r="E26" s="227" t="s">
        <v>294</v>
      </c>
      <c r="F26" s="229" t="s">
        <v>295</v>
      </c>
      <c r="G26" s="229" t="s">
        <v>296</v>
      </c>
    </row>
    <row r="27" ht="15.75" customHeight="1">
      <c r="A27" s="200" t="s">
        <v>321</v>
      </c>
      <c r="B27" s="186" t="s">
        <v>632</v>
      </c>
      <c r="C27" s="210" t="s">
        <v>633</v>
      </c>
      <c r="D27" s="210" t="s">
        <v>634</v>
      </c>
      <c r="E27" s="204">
        <v>28.0</v>
      </c>
      <c r="F27" s="205">
        <v>0.03</v>
      </c>
      <c r="G27" s="205">
        <v>1.71</v>
      </c>
    </row>
    <row r="28" ht="15.75" customHeight="1">
      <c r="A28" s="200" t="s">
        <v>321</v>
      </c>
      <c r="B28" s="186" t="s">
        <v>5209</v>
      </c>
      <c r="C28" s="210" t="s">
        <v>5210</v>
      </c>
      <c r="D28" s="210" t="s">
        <v>5259</v>
      </c>
      <c r="E28" s="204">
        <v>21.0</v>
      </c>
      <c r="F28" s="205">
        <v>0.02</v>
      </c>
      <c r="G28" s="205">
        <v>1.0</v>
      </c>
    </row>
    <row r="29" ht="15.75" customHeight="1">
      <c r="A29" s="200" t="s">
        <v>321</v>
      </c>
      <c r="B29" s="186" t="s">
        <v>5262</v>
      </c>
      <c r="C29" s="210" t="s">
        <v>622</v>
      </c>
      <c r="D29" s="210" t="s">
        <v>5263</v>
      </c>
      <c r="E29" s="204">
        <v>2.0</v>
      </c>
      <c r="F29" s="205">
        <v>0.0</v>
      </c>
      <c r="G29" s="205">
        <v>1.0</v>
      </c>
    </row>
    <row r="30" ht="15.75" customHeight="1">
      <c r="A30" s="200" t="s">
        <v>321</v>
      </c>
      <c r="B30" s="186" t="s">
        <v>1747</v>
      </c>
      <c r="C30" s="210" t="s">
        <v>5180</v>
      </c>
      <c r="D30" s="210" t="s">
        <v>5266</v>
      </c>
      <c r="E30" s="204">
        <v>1.0</v>
      </c>
      <c r="F30" s="205">
        <v>0.0</v>
      </c>
      <c r="G30" s="205">
        <v>0.0</v>
      </c>
    </row>
    <row r="31" ht="15.75" customHeight="1">
      <c r="A31" s="224"/>
      <c r="B31" s="186"/>
      <c r="C31" s="210"/>
      <c r="D31" s="210"/>
      <c r="E31" s="204"/>
      <c r="F31" s="205"/>
      <c r="G31" s="205"/>
    </row>
    <row r="32" ht="15.75" customHeight="1">
      <c r="A32" s="224"/>
      <c r="B32" s="186"/>
      <c r="C32" s="210"/>
      <c r="D32" s="210"/>
      <c r="E32" s="204"/>
      <c r="F32" s="205"/>
      <c r="G32" s="205"/>
    </row>
    <row r="33" ht="15.75" customHeight="1">
      <c r="A33" s="224"/>
      <c r="B33" s="186"/>
      <c r="C33" s="210"/>
      <c r="D33" s="210"/>
      <c r="E33" s="204"/>
      <c r="F33" s="205"/>
      <c r="G33" s="205"/>
    </row>
    <row r="34" ht="15.75" customHeight="1">
      <c r="A34" s="224"/>
      <c r="B34" s="186"/>
      <c r="C34" s="210"/>
      <c r="D34" s="210"/>
      <c r="E34" s="204"/>
      <c r="F34" s="205"/>
      <c r="G34" s="205"/>
    </row>
    <row r="35" ht="15.75" customHeight="1">
      <c r="A35" s="224"/>
      <c r="B35" s="186"/>
      <c r="C35" s="210"/>
      <c r="D35" s="210"/>
      <c r="E35" s="204"/>
      <c r="F35" s="205"/>
      <c r="G35" s="205"/>
    </row>
    <row r="36" ht="15.75" customHeight="1">
      <c r="A36" s="224"/>
      <c r="B36" s="186"/>
      <c r="C36" s="210"/>
      <c r="D36" s="210"/>
      <c r="E36" s="204"/>
      <c r="F36" s="205"/>
      <c r="G36" s="205"/>
    </row>
    <row r="37" ht="15.75" customHeight="1">
      <c r="A37" s="224"/>
      <c r="B37" s="186"/>
      <c r="C37" s="210"/>
      <c r="D37" s="210"/>
      <c r="E37" s="204"/>
      <c r="F37" s="205"/>
      <c r="G37" s="205"/>
    </row>
    <row r="38" ht="15.75" customHeight="1">
      <c r="A38" s="224"/>
      <c r="B38" s="186"/>
      <c r="C38" s="210"/>
      <c r="D38" s="210"/>
      <c r="E38" s="204"/>
      <c r="F38" s="205"/>
      <c r="G38" s="205"/>
    </row>
    <row r="39" ht="15.75" customHeight="1">
      <c r="A39" s="224"/>
      <c r="B39" s="186"/>
      <c r="C39" s="210"/>
      <c r="D39" s="210"/>
      <c r="E39" s="204"/>
      <c r="F39" s="205"/>
      <c r="G39" s="205"/>
    </row>
    <row r="40" ht="15.75" customHeight="1">
      <c r="A40" s="224"/>
      <c r="B40" s="186"/>
      <c r="C40" s="210"/>
      <c r="D40" s="210"/>
      <c r="E40" s="204"/>
      <c r="F40" s="205"/>
      <c r="G40" s="205"/>
    </row>
    <row r="41" ht="15.75" customHeight="1">
      <c r="A41" s="224"/>
      <c r="B41" s="186"/>
      <c r="C41" s="210"/>
      <c r="D41" s="210"/>
      <c r="E41" s="204"/>
      <c r="F41" s="205"/>
      <c r="G41" s="205"/>
    </row>
    <row r="42" ht="15.75" customHeight="1">
      <c r="A42" s="224"/>
      <c r="B42" s="186"/>
      <c r="C42" s="210"/>
      <c r="D42" s="210"/>
      <c r="E42" s="204"/>
      <c r="F42" s="205"/>
      <c r="G42" s="205"/>
    </row>
    <row r="43" ht="15.75" customHeight="1">
      <c r="A43" s="224"/>
      <c r="B43" s="186"/>
      <c r="C43" s="210"/>
      <c r="D43" s="210"/>
      <c r="E43" s="204"/>
      <c r="F43" s="205"/>
      <c r="G43" s="205"/>
    </row>
    <row r="44" ht="15.75" customHeight="1">
      <c r="A44" s="224"/>
      <c r="B44" s="186"/>
      <c r="C44" s="210"/>
      <c r="D44" s="210"/>
      <c r="E44" s="204"/>
      <c r="F44" s="205"/>
      <c r="G44" s="205"/>
    </row>
    <row r="45" ht="15.75" customHeight="1">
      <c r="A45" s="224"/>
      <c r="B45" s="186"/>
      <c r="C45" s="210"/>
      <c r="D45" s="210"/>
      <c r="E45" s="204"/>
      <c r="F45" s="205"/>
      <c r="G45" s="205"/>
    </row>
    <row r="46" ht="15.75" customHeight="1">
      <c r="A46" s="224"/>
      <c r="B46" s="186"/>
      <c r="C46" s="210"/>
      <c r="D46" s="210"/>
      <c r="E46" s="204"/>
      <c r="F46" s="205"/>
      <c r="G46" s="205"/>
    </row>
    <row r="47" ht="15.75" customHeight="1">
      <c r="A47" s="224"/>
      <c r="B47" s="186"/>
      <c r="C47" s="210"/>
      <c r="D47" s="210"/>
      <c r="E47" s="204"/>
      <c r="F47" s="205"/>
      <c r="G47" s="205"/>
    </row>
    <row r="48" ht="15.75" customHeight="1">
      <c r="A48" s="224"/>
      <c r="B48" s="186"/>
      <c r="C48" s="210"/>
      <c r="D48" s="210"/>
      <c r="E48" s="204"/>
      <c r="F48" s="205"/>
      <c r="G48" s="205"/>
    </row>
    <row r="49" ht="15.75" customHeight="1">
      <c r="A49" s="224"/>
      <c r="B49" s="186"/>
      <c r="C49" s="210"/>
      <c r="D49" s="210"/>
      <c r="E49" s="204"/>
      <c r="F49" s="205"/>
      <c r="G49" s="205"/>
    </row>
    <row r="50" ht="15.75" customHeight="1">
      <c r="A50" s="224"/>
      <c r="B50" s="186"/>
      <c r="C50" s="210"/>
      <c r="D50" s="210"/>
      <c r="E50" s="204"/>
      <c r="F50" s="205"/>
      <c r="G50" s="205"/>
    </row>
    <row r="51" ht="15.75" customHeight="1">
      <c r="A51" s="224"/>
      <c r="B51" s="186"/>
      <c r="C51" s="210"/>
      <c r="D51" s="210"/>
      <c r="E51" s="204"/>
      <c r="F51" s="205"/>
      <c r="G51" s="205"/>
    </row>
    <row r="52" ht="15.75" customHeight="1">
      <c r="A52" s="224"/>
      <c r="B52" s="186"/>
      <c r="C52" s="210"/>
      <c r="D52" s="210"/>
      <c r="E52" s="204"/>
      <c r="F52" s="205"/>
      <c r="G52" s="205"/>
    </row>
    <row r="53" ht="15.75" customHeight="1">
      <c r="A53" s="224"/>
      <c r="B53" s="186"/>
      <c r="C53" s="210"/>
      <c r="D53" s="210"/>
      <c r="E53" s="204"/>
      <c r="F53" s="205"/>
      <c r="G53" s="205"/>
    </row>
    <row r="54" ht="15.75" customHeight="1">
      <c r="A54" s="224"/>
      <c r="B54" s="186"/>
      <c r="C54" s="210"/>
      <c r="D54" s="210"/>
      <c r="E54" s="204"/>
      <c r="F54" s="205"/>
      <c r="G54" s="205"/>
    </row>
    <row r="55" ht="15.75" customHeight="1">
      <c r="A55" s="224"/>
      <c r="B55" s="186"/>
      <c r="C55" s="210"/>
      <c r="D55" s="210"/>
      <c r="E55" s="204"/>
      <c r="F55" s="205"/>
      <c r="G55" s="205"/>
    </row>
    <row r="56" ht="15.75" customHeight="1">
      <c r="A56" s="224"/>
      <c r="B56" s="186"/>
      <c r="C56" s="210"/>
      <c r="D56" s="210"/>
      <c r="E56" s="204"/>
      <c r="F56" s="205"/>
      <c r="G56" s="205"/>
    </row>
    <row r="57" ht="15.75" customHeight="1">
      <c r="A57" s="224"/>
      <c r="B57" s="186"/>
      <c r="C57" s="210"/>
      <c r="D57" s="210"/>
      <c r="E57" s="204"/>
      <c r="F57" s="205"/>
      <c r="G57" s="205"/>
    </row>
    <row r="58" ht="15.75" customHeight="1">
      <c r="A58" s="224"/>
      <c r="B58" s="186"/>
      <c r="C58" s="210"/>
      <c r="D58" s="210"/>
      <c r="E58" s="204"/>
      <c r="F58" s="205"/>
      <c r="G58" s="205"/>
    </row>
    <row r="59" ht="15.75" customHeight="1">
      <c r="A59" s="224"/>
      <c r="B59" s="186"/>
      <c r="C59" s="210"/>
      <c r="D59" s="210"/>
      <c r="E59" s="204"/>
      <c r="F59" s="205"/>
      <c r="G59" s="205"/>
    </row>
    <row r="60" ht="15.75" customHeight="1">
      <c r="A60" s="224"/>
      <c r="B60" s="186"/>
      <c r="C60" s="210"/>
      <c r="D60" s="210"/>
      <c r="E60" s="204"/>
      <c r="F60" s="205"/>
      <c r="G60" s="205"/>
    </row>
    <row r="61" ht="15.75" customHeight="1">
      <c r="A61" s="224"/>
      <c r="B61" s="186"/>
      <c r="C61" s="210"/>
      <c r="D61" s="210"/>
      <c r="E61" s="204"/>
      <c r="F61" s="205"/>
      <c r="G61" s="205"/>
    </row>
    <row r="62" ht="15.75" customHeight="1">
      <c r="A62" s="224"/>
      <c r="B62" s="186"/>
      <c r="C62" s="210"/>
      <c r="D62" s="210"/>
      <c r="E62" s="204"/>
      <c r="F62" s="205"/>
      <c r="G62" s="205"/>
    </row>
    <row r="63" ht="15.75" customHeight="1">
      <c r="A63" s="224"/>
      <c r="B63" s="186"/>
      <c r="C63" s="210"/>
      <c r="D63" s="210"/>
      <c r="E63" s="204"/>
      <c r="F63" s="205"/>
      <c r="G63" s="205"/>
    </row>
    <row r="64" ht="15.75" customHeight="1">
      <c r="A64" s="224"/>
      <c r="B64" s="186"/>
      <c r="C64" s="210"/>
      <c r="D64" s="210"/>
      <c r="E64" s="204"/>
      <c r="F64" s="205"/>
      <c r="G64" s="205"/>
    </row>
    <row r="65" ht="15.75" customHeight="1">
      <c r="A65" s="224"/>
      <c r="B65" s="186"/>
      <c r="C65" s="210"/>
      <c r="D65" s="210"/>
      <c r="E65" s="204"/>
      <c r="F65" s="205"/>
      <c r="G65" s="205"/>
    </row>
    <row r="66" ht="15.75" customHeight="1">
      <c r="A66" s="224"/>
      <c r="B66" s="186"/>
      <c r="C66" s="210"/>
      <c r="D66" s="210"/>
      <c r="E66" s="204"/>
      <c r="F66" s="205"/>
      <c r="G66" s="205"/>
    </row>
    <row r="67" ht="15.75" customHeight="1">
      <c r="A67" s="224"/>
      <c r="B67" s="186"/>
      <c r="C67" s="210"/>
      <c r="D67" s="210"/>
      <c r="E67" s="204"/>
      <c r="F67" s="205"/>
      <c r="G67" s="205"/>
    </row>
    <row r="68" ht="15.75" customHeight="1">
      <c r="A68" s="224"/>
      <c r="B68" s="186"/>
      <c r="C68" s="210"/>
      <c r="D68" s="210"/>
      <c r="E68" s="204"/>
      <c r="F68" s="205"/>
      <c r="G68" s="205"/>
    </row>
    <row r="69" ht="15.75" customHeight="1">
      <c r="A69" s="224"/>
      <c r="B69" s="186"/>
      <c r="C69" s="210"/>
      <c r="D69" s="210"/>
      <c r="E69" s="204"/>
      <c r="F69" s="205"/>
      <c r="G69" s="205"/>
    </row>
    <row r="70" ht="15.75" customHeight="1">
      <c r="A70" s="224"/>
      <c r="B70" s="186"/>
      <c r="C70" s="210"/>
      <c r="D70" s="210"/>
      <c r="E70" s="204"/>
      <c r="F70" s="205"/>
      <c r="G70" s="205"/>
    </row>
    <row r="71" ht="15.75" customHeight="1">
      <c r="A71" s="224"/>
      <c r="B71" s="186"/>
      <c r="C71" s="210"/>
      <c r="D71" s="210"/>
      <c r="E71" s="204"/>
      <c r="F71" s="205"/>
      <c r="G71" s="205"/>
    </row>
    <row r="72" ht="15.75" customHeight="1">
      <c r="A72" s="224"/>
      <c r="B72" s="186"/>
      <c r="C72" s="210"/>
      <c r="D72" s="210"/>
      <c r="E72" s="204"/>
      <c r="F72" s="205"/>
      <c r="G72" s="205"/>
    </row>
    <row r="73" ht="15.75" customHeight="1">
      <c r="A73" s="224"/>
      <c r="B73" s="186"/>
      <c r="C73" s="210"/>
      <c r="D73" s="210"/>
      <c r="E73" s="204"/>
      <c r="F73" s="205"/>
      <c r="G73" s="205"/>
    </row>
    <row r="74" ht="15.75" customHeight="1">
      <c r="A74" s="224"/>
      <c r="B74" s="186"/>
      <c r="C74" s="210"/>
      <c r="D74" s="210"/>
      <c r="E74" s="204"/>
      <c r="F74" s="205"/>
      <c r="G74" s="205"/>
    </row>
    <row r="75" ht="15.75" customHeight="1">
      <c r="A75" s="224"/>
      <c r="B75" s="186"/>
      <c r="C75" s="210"/>
      <c r="D75" s="210"/>
      <c r="E75" s="204"/>
      <c r="F75" s="205"/>
      <c r="G75" s="205"/>
    </row>
    <row r="76" ht="15.75" customHeight="1">
      <c r="A76" s="224"/>
      <c r="B76" s="186"/>
      <c r="C76" s="210"/>
      <c r="D76" s="210"/>
      <c r="E76" s="204"/>
      <c r="F76" s="205"/>
      <c r="G76" s="205"/>
    </row>
    <row r="77" ht="15.75" customHeight="1">
      <c r="A77" s="224"/>
      <c r="B77" s="186"/>
      <c r="C77" s="210"/>
      <c r="D77" s="210"/>
      <c r="E77" s="204"/>
      <c r="F77" s="205"/>
      <c r="G77" s="205"/>
    </row>
    <row r="78" ht="15.75" customHeight="1">
      <c r="A78" s="224"/>
      <c r="B78" s="186"/>
      <c r="C78" s="210"/>
      <c r="D78" s="210"/>
      <c r="E78" s="204"/>
      <c r="F78" s="205"/>
      <c r="G78" s="205"/>
    </row>
    <row r="79" ht="15.75" customHeight="1">
      <c r="A79" s="224"/>
      <c r="B79" s="186"/>
      <c r="C79" s="210"/>
      <c r="D79" s="210"/>
      <c r="E79" s="204"/>
      <c r="F79" s="205"/>
      <c r="G79" s="205"/>
    </row>
    <row r="80" ht="15.75" customHeight="1">
      <c r="A80" s="224"/>
      <c r="B80" s="186"/>
      <c r="C80" s="210"/>
      <c r="D80" s="210"/>
      <c r="E80" s="204"/>
      <c r="F80" s="205"/>
      <c r="G80" s="205"/>
    </row>
    <row r="81" ht="15.75" customHeight="1">
      <c r="A81" s="224"/>
      <c r="B81" s="186"/>
      <c r="C81" s="210"/>
      <c r="D81" s="210"/>
      <c r="E81" s="204"/>
      <c r="F81" s="205"/>
      <c r="G81" s="205"/>
    </row>
    <row r="82" ht="15.75" customHeight="1">
      <c r="A82" s="224"/>
      <c r="B82" s="186"/>
      <c r="C82" s="210"/>
      <c r="D82" s="210"/>
      <c r="E82" s="204"/>
      <c r="F82" s="205"/>
      <c r="G82" s="205"/>
    </row>
    <row r="83" ht="15.75" customHeight="1">
      <c r="A83" s="224"/>
      <c r="B83" s="186"/>
      <c r="C83" s="210"/>
      <c r="D83" s="210"/>
      <c r="E83" s="204"/>
      <c r="F83" s="205"/>
      <c r="G83" s="205"/>
    </row>
    <row r="84" ht="15.75" customHeight="1">
      <c r="A84" s="224"/>
      <c r="B84" s="186"/>
      <c r="C84" s="210"/>
      <c r="D84" s="210"/>
      <c r="E84" s="204"/>
      <c r="F84" s="205"/>
      <c r="G84" s="205"/>
    </row>
    <row r="85" ht="15.75" customHeight="1">
      <c r="A85" s="224"/>
      <c r="B85" s="186"/>
      <c r="C85" s="210"/>
      <c r="D85" s="210"/>
      <c r="E85" s="204"/>
      <c r="F85" s="205"/>
      <c r="G85" s="205"/>
    </row>
    <row r="86" ht="15.75" customHeight="1">
      <c r="A86" s="224"/>
      <c r="B86" s="186"/>
      <c r="C86" s="210"/>
      <c r="D86" s="210"/>
      <c r="E86" s="204"/>
      <c r="F86" s="205"/>
      <c r="G86" s="205"/>
    </row>
    <row r="87" ht="15.75" customHeight="1">
      <c r="A87" s="224"/>
      <c r="B87" s="186"/>
      <c r="C87" s="210"/>
      <c r="D87" s="210"/>
      <c r="E87" s="204"/>
      <c r="F87" s="205"/>
      <c r="G87" s="205"/>
    </row>
    <row r="88" ht="15.75" customHeight="1">
      <c r="A88" s="224"/>
      <c r="B88" s="186"/>
      <c r="C88" s="210"/>
      <c r="D88" s="210"/>
      <c r="E88" s="204"/>
      <c r="F88" s="205"/>
      <c r="G88" s="205"/>
    </row>
    <row r="89" ht="15.75" customHeight="1">
      <c r="A89" s="224"/>
      <c r="B89" s="186"/>
      <c r="C89" s="210"/>
      <c r="D89" s="210"/>
      <c r="E89" s="204"/>
      <c r="F89" s="205"/>
      <c r="G89" s="205"/>
    </row>
    <row r="90" ht="15.75" customHeight="1">
      <c r="A90" s="224"/>
      <c r="B90" s="186"/>
      <c r="C90" s="210"/>
      <c r="D90" s="210"/>
      <c r="E90" s="204"/>
      <c r="F90" s="205"/>
      <c r="G90" s="205"/>
    </row>
    <row r="91" ht="15.75" customHeight="1">
      <c r="A91" s="224"/>
      <c r="B91" s="186"/>
      <c r="C91" s="210"/>
      <c r="D91" s="210"/>
      <c r="E91" s="204"/>
      <c r="F91" s="205"/>
      <c r="G91" s="205"/>
    </row>
    <row r="92" ht="15.75" customHeight="1">
      <c r="A92" s="224"/>
      <c r="B92" s="186"/>
      <c r="C92" s="210"/>
      <c r="D92" s="210"/>
      <c r="E92" s="204"/>
      <c r="F92" s="205"/>
      <c r="G92" s="205"/>
    </row>
    <row r="93" ht="15.75" customHeight="1">
      <c r="A93" s="224"/>
      <c r="B93" s="186"/>
      <c r="C93" s="210"/>
      <c r="D93" s="210"/>
      <c r="E93" s="204"/>
      <c r="F93" s="205"/>
      <c r="G93" s="205"/>
    </row>
    <row r="94" ht="15.75" customHeight="1">
      <c r="A94" s="224"/>
      <c r="B94" s="186"/>
      <c r="C94" s="210"/>
      <c r="D94" s="210"/>
      <c r="E94" s="204"/>
      <c r="F94" s="205"/>
      <c r="G94" s="205"/>
    </row>
    <row r="95" ht="15.75" customHeight="1">
      <c r="A95" s="224"/>
      <c r="B95" s="186"/>
      <c r="C95" s="210"/>
      <c r="D95" s="210"/>
      <c r="E95" s="204"/>
      <c r="F95" s="205"/>
      <c r="G95" s="205"/>
    </row>
    <row r="96" ht="15.75" customHeight="1">
      <c r="A96" s="224"/>
      <c r="B96" s="186"/>
      <c r="C96" s="210"/>
      <c r="D96" s="210"/>
      <c r="E96" s="204"/>
      <c r="F96" s="205"/>
      <c r="G96" s="205"/>
    </row>
    <row r="97" ht="15.75" customHeight="1">
      <c r="A97" s="224"/>
      <c r="B97" s="186"/>
      <c r="C97" s="210"/>
      <c r="D97" s="210"/>
      <c r="E97" s="204"/>
      <c r="F97" s="205"/>
      <c r="G97" s="205"/>
    </row>
    <row r="98" ht="15.75" customHeight="1">
      <c r="A98" s="224"/>
      <c r="B98" s="186"/>
      <c r="C98" s="210"/>
      <c r="D98" s="210"/>
      <c r="E98" s="204"/>
      <c r="F98" s="205"/>
      <c r="G98" s="205"/>
    </row>
    <row r="99" ht="15.75" customHeight="1">
      <c r="A99" s="224"/>
      <c r="B99" s="186"/>
      <c r="C99" s="210"/>
      <c r="D99" s="210"/>
      <c r="E99" s="204"/>
      <c r="F99" s="205"/>
      <c r="G99" s="205"/>
    </row>
    <row r="100" ht="15.75" customHeight="1">
      <c r="A100" s="224"/>
      <c r="B100" s="186"/>
      <c r="C100" s="210"/>
      <c r="D100" s="210"/>
      <c r="E100" s="204"/>
      <c r="F100" s="205"/>
      <c r="G100" s="205"/>
    </row>
    <row r="101" ht="15.75" customHeight="1">
      <c r="A101" s="224"/>
      <c r="B101" s="186"/>
      <c r="C101" s="210"/>
      <c r="D101" s="210"/>
      <c r="E101" s="204"/>
      <c r="F101" s="205"/>
      <c r="G101" s="205"/>
    </row>
    <row r="102" ht="15.75" customHeight="1">
      <c r="A102" s="224"/>
      <c r="B102" s="186"/>
      <c r="C102" s="210"/>
      <c r="D102" s="210"/>
      <c r="E102" s="204"/>
      <c r="F102" s="205"/>
      <c r="G102" s="205"/>
    </row>
    <row r="103" ht="15.75" customHeight="1">
      <c r="A103" s="224"/>
      <c r="B103" s="186"/>
      <c r="C103" s="210"/>
      <c r="D103" s="210"/>
      <c r="E103" s="204"/>
      <c r="F103" s="205"/>
      <c r="G103" s="205"/>
    </row>
    <row r="104" ht="15.75" customHeight="1">
      <c r="A104" s="224"/>
      <c r="B104" s="186"/>
      <c r="C104" s="210"/>
      <c r="D104" s="210"/>
      <c r="E104" s="204"/>
      <c r="F104" s="205"/>
      <c r="G104" s="205"/>
    </row>
    <row r="105" ht="15.75" customHeight="1">
      <c r="A105" s="224"/>
      <c r="B105" s="186"/>
      <c r="C105" s="210"/>
      <c r="D105" s="210"/>
      <c r="E105" s="204"/>
      <c r="F105" s="205"/>
      <c r="G105" s="205"/>
    </row>
    <row r="106" ht="15.75" customHeight="1">
      <c r="A106" s="224"/>
      <c r="B106" s="186"/>
      <c r="C106" s="210"/>
      <c r="D106" s="210"/>
      <c r="E106" s="204"/>
      <c r="F106" s="205"/>
      <c r="G106" s="205"/>
    </row>
    <row r="107" ht="15.75" customHeight="1">
      <c r="A107" s="224"/>
      <c r="B107" s="186"/>
      <c r="C107" s="210"/>
      <c r="D107" s="210"/>
      <c r="E107" s="204"/>
      <c r="F107" s="205"/>
      <c r="G107" s="205"/>
    </row>
    <row r="108" ht="15.75" customHeight="1">
      <c r="A108" s="224"/>
      <c r="B108" s="186"/>
      <c r="C108" s="210"/>
      <c r="D108" s="210"/>
      <c r="E108" s="204"/>
      <c r="F108" s="205"/>
      <c r="G108" s="205"/>
    </row>
    <row r="109" ht="15.75" customHeight="1">
      <c r="A109" s="224"/>
      <c r="B109" s="186"/>
      <c r="C109" s="210"/>
      <c r="D109" s="210"/>
      <c r="E109" s="204"/>
      <c r="F109" s="205"/>
      <c r="G109" s="205"/>
    </row>
    <row r="110" ht="15.75" customHeight="1">
      <c r="A110" s="224"/>
      <c r="B110" s="186"/>
      <c r="C110" s="210"/>
      <c r="D110" s="210"/>
      <c r="E110" s="204"/>
      <c r="F110" s="205"/>
      <c r="G110" s="205"/>
    </row>
    <row r="111" ht="15.75" customHeight="1">
      <c r="A111" s="224"/>
      <c r="B111" s="186"/>
      <c r="C111" s="210"/>
      <c r="D111" s="210"/>
      <c r="E111" s="204"/>
      <c r="F111" s="205"/>
      <c r="G111" s="205"/>
    </row>
    <row r="112" ht="15.75" customHeight="1">
      <c r="A112" s="224"/>
      <c r="B112" s="186"/>
      <c r="C112" s="210"/>
      <c r="D112" s="210"/>
      <c r="E112" s="204"/>
      <c r="F112" s="205"/>
      <c r="G112" s="205"/>
    </row>
    <row r="113" ht="15.75" customHeight="1">
      <c r="A113" s="224"/>
      <c r="B113" s="186"/>
      <c r="C113" s="210"/>
      <c r="D113" s="210"/>
      <c r="E113" s="204"/>
      <c r="F113" s="205"/>
      <c r="G113" s="205"/>
    </row>
    <row r="114" ht="15.75" customHeight="1">
      <c r="A114" s="224"/>
      <c r="B114" s="186"/>
      <c r="C114" s="210"/>
      <c r="D114" s="210"/>
      <c r="E114" s="204"/>
      <c r="F114" s="205"/>
      <c r="G114" s="205"/>
    </row>
    <row r="115" ht="15.75" customHeight="1">
      <c r="A115" s="224"/>
      <c r="B115" s="186"/>
      <c r="C115" s="210"/>
      <c r="D115" s="210"/>
      <c r="E115" s="204"/>
      <c r="F115" s="205"/>
      <c r="G115" s="205"/>
    </row>
    <row r="116" ht="15.75" customHeight="1">
      <c r="A116" s="224"/>
      <c r="B116" s="186"/>
      <c r="C116" s="210"/>
      <c r="D116" s="210"/>
      <c r="E116" s="204"/>
      <c r="F116" s="205"/>
      <c r="G116" s="205"/>
    </row>
    <row r="117" ht="15.75" customHeight="1">
      <c r="A117" s="224"/>
      <c r="B117" s="186"/>
      <c r="C117" s="210"/>
      <c r="D117" s="210"/>
      <c r="E117" s="204"/>
      <c r="F117" s="205"/>
      <c r="G117" s="205"/>
    </row>
    <row r="118" ht="15.75" customHeight="1">
      <c r="A118" s="224"/>
      <c r="B118" s="186"/>
      <c r="C118" s="210"/>
      <c r="D118" s="210"/>
      <c r="E118" s="204"/>
      <c r="F118" s="205"/>
      <c r="G118" s="205"/>
    </row>
    <row r="119" ht="15.75" customHeight="1">
      <c r="A119" s="224"/>
      <c r="B119" s="186"/>
      <c r="C119" s="210"/>
      <c r="D119" s="210"/>
      <c r="E119" s="204"/>
      <c r="F119" s="205"/>
      <c r="G119" s="205"/>
    </row>
    <row r="120" ht="15.75" customHeight="1">
      <c r="A120" s="224"/>
      <c r="B120" s="186"/>
      <c r="C120" s="210"/>
      <c r="D120" s="210"/>
      <c r="E120" s="204"/>
      <c r="F120" s="205"/>
      <c r="G120" s="205"/>
    </row>
    <row r="121" ht="15.75" customHeight="1">
      <c r="A121" s="224"/>
      <c r="B121" s="186"/>
      <c r="C121" s="210"/>
      <c r="D121" s="210"/>
      <c r="E121" s="204"/>
      <c r="F121" s="205"/>
      <c r="G121" s="205"/>
    </row>
    <row r="122" ht="15.75" customHeight="1">
      <c r="A122" s="224"/>
      <c r="B122" s="186"/>
      <c r="C122" s="210"/>
      <c r="D122" s="210"/>
      <c r="E122" s="204"/>
      <c r="F122" s="205"/>
      <c r="G122" s="205"/>
    </row>
    <row r="123" ht="15.75" customHeight="1">
      <c r="A123" s="224"/>
      <c r="B123" s="186"/>
      <c r="C123" s="210"/>
      <c r="D123" s="210"/>
      <c r="E123" s="204"/>
      <c r="F123" s="205"/>
      <c r="G123" s="205"/>
    </row>
    <row r="124" ht="15.75" customHeight="1">
      <c r="A124" s="224"/>
      <c r="B124" s="186"/>
      <c r="C124" s="210"/>
      <c r="D124" s="210"/>
      <c r="E124" s="204"/>
      <c r="F124" s="205"/>
      <c r="G124" s="205"/>
    </row>
    <row r="125" ht="15.75" customHeight="1">
      <c r="A125" s="224"/>
      <c r="B125" s="186"/>
      <c r="C125" s="210"/>
      <c r="D125" s="210"/>
      <c r="E125" s="204"/>
      <c r="F125" s="205"/>
      <c r="G125" s="205"/>
    </row>
    <row r="126" ht="15.75" customHeight="1">
      <c r="A126" s="224"/>
      <c r="B126" s="186"/>
      <c r="C126" s="210"/>
      <c r="D126" s="210"/>
      <c r="E126" s="204"/>
      <c r="F126" s="205"/>
      <c r="G126" s="205"/>
    </row>
    <row r="127" ht="15.75" customHeight="1">
      <c r="A127" s="224"/>
      <c r="B127" s="186"/>
      <c r="C127" s="210"/>
      <c r="D127" s="210"/>
      <c r="E127" s="204"/>
      <c r="F127" s="205"/>
      <c r="G127" s="205"/>
    </row>
    <row r="128" ht="15.75" customHeight="1">
      <c r="A128" s="224"/>
      <c r="B128" s="186"/>
      <c r="C128" s="210"/>
      <c r="D128" s="210"/>
      <c r="E128" s="204"/>
      <c r="F128" s="205"/>
      <c r="G128" s="205"/>
    </row>
    <row r="129" ht="15.75" customHeight="1">
      <c r="A129" s="224"/>
      <c r="B129" s="186"/>
      <c r="C129" s="210"/>
      <c r="D129" s="210"/>
      <c r="E129" s="204"/>
      <c r="F129" s="205"/>
      <c r="G129" s="205"/>
    </row>
    <row r="130" ht="15.75" customHeight="1">
      <c r="A130" s="224"/>
      <c r="B130" s="186"/>
      <c r="C130" s="210"/>
      <c r="D130" s="210"/>
      <c r="E130" s="204"/>
      <c r="F130" s="205"/>
      <c r="G130" s="205"/>
    </row>
    <row r="131" ht="15.75" customHeight="1">
      <c r="A131" s="224"/>
      <c r="B131" s="186"/>
      <c r="C131" s="210"/>
      <c r="D131" s="210"/>
      <c r="E131" s="204"/>
      <c r="F131" s="205"/>
      <c r="G131" s="205"/>
    </row>
    <row r="132" ht="15.75" customHeight="1">
      <c r="A132" s="224"/>
      <c r="B132" s="186"/>
      <c r="C132" s="210"/>
      <c r="D132" s="210"/>
      <c r="E132" s="204"/>
      <c r="F132" s="205"/>
      <c r="G132" s="205"/>
    </row>
    <row r="133" ht="15.75" customHeight="1">
      <c r="A133" s="224"/>
      <c r="B133" s="186"/>
      <c r="C133" s="210"/>
      <c r="D133" s="210"/>
      <c r="E133" s="204"/>
      <c r="F133" s="205"/>
      <c r="G133" s="205"/>
    </row>
    <row r="134" ht="15.75" customHeight="1">
      <c r="A134" s="224"/>
      <c r="B134" s="186"/>
      <c r="C134" s="210"/>
      <c r="D134" s="210"/>
      <c r="E134" s="204"/>
      <c r="F134" s="205"/>
      <c r="G134" s="205"/>
    </row>
    <row r="135" ht="15.75" customHeight="1">
      <c r="A135" s="224"/>
      <c r="B135" s="186"/>
      <c r="C135" s="210"/>
      <c r="D135" s="210"/>
      <c r="E135" s="204"/>
      <c r="F135" s="205"/>
      <c r="G135" s="205"/>
    </row>
    <row r="136" ht="15.75" customHeight="1">
      <c r="A136" s="224"/>
      <c r="B136" s="186"/>
      <c r="C136" s="210"/>
      <c r="D136" s="210"/>
      <c r="E136" s="204"/>
      <c r="F136" s="205"/>
      <c r="G136" s="205"/>
    </row>
    <row r="137" ht="15.75" customHeight="1">
      <c r="A137" s="224"/>
      <c r="B137" s="186"/>
      <c r="C137" s="210"/>
      <c r="D137" s="210"/>
      <c r="E137" s="204"/>
      <c r="F137" s="205"/>
      <c r="G137" s="205"/>
    </row>
    <row r="138" ht="15.75" customHeight="1">
      <c r="A138" s="224"/>
      <c r="B138" s="186"/>
      <c r="C138" s="210"/>
      <c r="D138" s="210"/>
      <c r="E138" s="204"/>
      <c r="F138" s="205"/>
      <c r="G138" s="205"/>
    </row>
    <row r="139" ht="15.75" customHeight="1">
      <c r="A139" s="224"/>
      <c r="B139" s="186"/>
      <c r="C139" s="210"/>
      <c r="D139" s="210"/>
      <c r="E139" s="204"/>
      <c r="F139" s="205"/>
      <c r="G139" s="205"/>
    </row>
    <row r="140" ht="15.75" customHeight="1">
      <c r="A140" s="224"/>
      <c r="B140" s="186"/>
      <c r="C140" s="210"/>
      <c r="D140" s="210"/>
      <c r="E140" s="204"/>
      <c r="F140" s="205"/>
      <c r="G140" s="205"/>
    </row>
    <row r="141" ht="15.75" customHeight="1">
      <c r="A141" s="224"/>
      <c r="B141" s="186"/>
      <c r="C141" s="210"/>
      <c r="D141" s="210"/>
      <c r="E141" s="204"/>
      <c r="F141" s="205"/>
      <c r="G141" s="205"/>
    </row>
    <row r="142" ht="15.75" customHeight="1">
      <c r="A142" s="224"/>
      <c r="B142" s="186"/>
      <c r="C142" s="210"/>
      <c r="D142" s="210"/>
      <c r="E142" s="204"/>
      <c r="F142" s="205"/>
      <c r="G142" s="205"/>
    </row>
    <row r="143" ht="15.75" customHeight="1">
      <c r="A143" s="224"/>
      <c r="B143" s="186"/>
      <c r="C143" s="210"/>
      <c r="D143" s="210"/>
      <c r="E143" s="204"/>
      <c r="F143" s="205"/>
      <c r="G143" s="205"/>
    </row>
    <row r="144" ht="15.75" customHeight="1">
      <c r="A144" s="224"/>
      <c r="B144" s="186"/>
      <c r="C144" s="210"/>
      <c r="D144" s="210"/>
      <c r="E144" s="204"/>
      <c r="F144" s="205"/>
      <c r="G144" s="205"/>
    </row>
    <row r="145" ht="15.75" customHeight="1">
      <c r="A145" s="224"/>
      <c r="B145" s="186"/>
      <c r="C145" s="210"/>
      <c r="D145" s="210"/>
      <c r="E145" s="204"/>
      <c r="F145" s="205"/>
      <c r="G145" s="205"/>
    </row>
    <row r="146" ht="15.75" customHeight="1">
      <c r="A146" s="224"/>
      <c r="B146" s="186"/>
      <c r="C146" s="210"/>
      <c r="D146" s="210"/>
      <c r="E146" s="204"/>
      <c r="F146" s="205"/>
      <c r="G146" s="205"/>
    </row>
    <row r="147" ht="15.75" customHeight="1">
      <c r="A147" s="224"/>
      <c r="B147" s="186"/>
      <c r="C147" s="210"/>
      <c r="D147" s="210"/>
      <c r="E147" s="204"/>
      <c r="F147" s="205"/>
      <c r="G147" s="205"/>
    </row>
    <row r="148" ht="15.75" customHeight="1">
      <c r="A148" s="224"/>
      <c r="B148" s="186"/>
      <c r="C148" s="210"/>
      <c r="D148" s="210"/>
      <c r="E148" s="204"/>
      <c r="F148" s="205"/>
      <c r="G148" s="205"/>
    </row>
    <row r="149" ht="15.75" customHeight="1">
      <c r="A149" s="224"/>
      <c r="B149" s="186"/>
      <c r="C149" s="210"/>
      <c r="D149" s="210"/>
      <c r="E149" s="204"/>
      <c r="F149" s="205"/>
      <c r="G149" s="205"/>
    </row>
    <row r="150" ht="15.75" customHeight="1">
      <c r="A150" s="224"/>
      <c r="B150" s="186"/>
      <c r="C150" s="210"/>
      <c r="D150" s="210"/>
      <c r="E150" s="204"/>
      <c r="F150" s="205"/>
      <c r="G150" s="205"/>
    </row>
    <row r="151" ht="15.75" customHeight="1">
      <c r="A151" s="224"/>
      <c r="B151" s="186"/>
      <c r="C151" s="210"/>
      <c r="D151" s="210"/>
      <c r="E151" s="204"/>
      <c r="F151" s="205"/>
      <c r="G151" s="205"/>
    </row>
    <row r="152" ht="15.75" customHeight="1">
      <c r="A152" s="224"/>
      <c r="B152" s="186"/>
      <c r="C152" s="210"/>
      <c r="D152" s="210"/>
      <c r="E152" s="204"/>
      <c r="F152" s="205"/>
      <c r="G152" s="205"/>
    </row>
    <row r="153" ht="15.75" customHeight="1">
      <c r="A153" s="224"/>
      <c r="B153" s="186"/>
      <c r="C153" s="210"/>
      <c r="D153" s="210"/>
      <c r="E153" s="204"/>
      <c r="F153" s="205"/>
      <c r="G153" s="205"/>
    </row>
    <row r="154" ht="15.75" customHeight="1">
      <c r="A154" s="224"/>
      <c r="B154" s="186"/>
      <c r="C154" s="210"/>
      <c r="D154" s="210"/>
      <c r="E154" s="204"/>
      <c r="F154" s="205"/>
      <c r="G154" s="205"/>
    </row>
    <row r="155" ht="15.75" customHeight="1">
      <c r="A155" s="224"/>
      <c r="B155" s="186"/>
      <c r="C155" s="210"/>
      <c r="D155" s="210"/>
      <c r="E155" s="204"/>
      <c r="F155" s="205"/>
      <c r="G155" s="205"/>
    </row>
    <row r="156" ht="15.75" customHeight="1">
      <c r="A156" s="224"/>
      <c r="B156" s="186"/>
      <c r="C156" s="210"/>
      <c r="D156" s="210"/>
      <c r="E156" s="204"/>
      <c r="F156" s="205"/>
      <c r="G156" s="205"/>
    </row>
    <row r="157" ht="15.75" customHeight="1">
      <c r="A157" s="224"/>
      <c r="B157" s="186"/>
      <c r="C157" s="210"/>
      <c r="D157" s="210"/>
      <c r="E157" s="204"/>
      <c r="F157" s="205"/>
      <c r="G157" s="205"/>
    </row>
    <row r="158" ht="15.75" customHeight="1">
      <c r="A158" s="224"/>
      <c r="B158" s="186"/>
      <c r="C158" s="210"/>
      <c r="D158" s="210"/>
      <c r="E158" s="204"/>
      <c r="F158" s="205"/>
      <c r="G158" s="205"/>
    </row>
    <row r="159" ht="15.75" customHeight="1">
      <c r="A159" s="224"/>
      <c r="B159" s="186"/>
      <c r="C159" s="210"/>
      <c r="D159" s="210"/>
      <c r="E159" s="204"/>
      <c r="F159" s="205"/>
      <c r="G159" s="205"/>
    </row>
    <row r="160" ht="15.75" customHeight="1">
      <c r="A160" s="224"/>
      <c r="B160" s="186"/>
      <c r="C160" s="210"/>
      <c r="D160" s="210"/>
      <c r="E160" s="204"/>
      <c r="F160" s="205"/>
      <c r="G160" s="205"/>
    </row>
    <row r="161" ht="15.75" customHeight="1">
      <c r="A161" s="224"/>
      <c r="B161" s="186"/>
      <c r="C161" s="210"/>
      <c r="D161" s="210"/>
      <c r="E161" s="204"/>
      <c r="F161" s="205"/>
      <c r="G161" s="205"/>
    </row>
    <row r="162" ht="15.75" customHeight="1">
      <c r="A162" s="224"/>
      <c r="B162" s="186"/>
      <c r="C162" s="210"/>
      <c r="D162" s="210"/>
      <c r="E162" s="204"/>
      <c r="F162" s="205"/>
      <c r="G162" s="205"/>
    </row>
    <row r="163" ht="15.75" customHeight="1">
      <c r="A163" s="224"/>
      <c r="B163" s="186"/>
      <c r="C163" s="210"/>
      <c r="D163" s="210"/>
      <c r="E163" s="204"/>
      <c r="F163" s="205"/>
      <c r="G163" s="205"/>
    </row>
    <row r="164" ht="15.75" customHeight="1">
      <c r="A164" s="224"/>
      <c r="B164" s="186"/>
      <c r="C164" s="210"/>
      <c r="D164" s="210"/>
      <c r="E164" s="204"/>
      <c r="F164" s="205"/>
      <c r="G164" s="205"/>
    </row>
    <row r="165" ht="15.75" customHeight="1">
      <c r="A165" s="224"/>
      <c r="B165" s="186"/>
      <c r="C165" s="210"/>
      <c r="D165" s="210"/>
      <c r="E165" s="204"/>
      <c r="F165" s="205"/>
      <c r="G165" s="205"/>
    </row>
    <row r="166" ht="15.75" customHeight="1">
      <c r="A166" s="224"/>
      <c r="B166" s="186"/>
      <c r="C166" s="210"/>
      <c r="D166" s="210"/>
      <c r="E166" s="204"/>
      <c r="F166" s="205"/>
      <c r="G166" s="205"/>
    </row>
    <row r="167" ht="15.75" customHeight="1">
      <c r="A167" s="224"/>
      <c r="B167" s="186"/>
      <c r="C167" s="210"/>
      <c r="D167" s="210"/>
      <c r="E167" s="204"/>
      <c r="F167" s="205"/>
      <c r="G167" s="205"/>
    </row>
    <row r="168" ht="15.75" customHeight="1">
      <c r="A168" s="224"/>
      <c r="B168" s="186"/>
      <c r="C168" s="210"/>
      <c r="D168" s="210"/>
      <c r="E168" s="204"/>
      <c r="F168" s="205"/>
      <c r="G168" s="205"/>
    </row>
    <row r="169" ht="15.75" customHeight="1">
      <c r="A169" s="224"/>
      <c r="B169" s="186"/>
      <c r="C169" s="210"/>
      <c r="D169" s="210"/>
      <c r="E169" s="204"/>
      <c r="F169" s="205"/>
      <c r="G169" s="205"/>
    </row>
    <row r="170" ht="15.75" customHeight="1">
      <c r="A170" s="224"/>
      <c r="B170" s="186"/>
      <c r="C170" s="210"/>
      <c r="D170" s="210"/>
      <c r="E170" s="204"/>
      <c r="F170" s="205"/>
      <c r="G170" s="205"/>
    </row>
    <row r="171" ht="15.75" customHeight="1">
      <c r="A171" s="224"/>
      <c r="B171" s="186"/>
      <c r="C171" s="210"/>
      <c r="D171" s="210"/>
      <c r="E171" s="204"/>
      <c r="F171" s="205"/>
      <c r="G171" s="205"/>
    </row>
    <row r="172" ht="15.75" customHeight="1">
      <c r="A172" s="224"/>
      <c r="B172" s="186"/>
      <c r="C172" s="210"/>
      <c r="D172" s="210"/>
      <c r="E172" s="204"/>
      <c r="F172" s="205"/>
      <c r="G172" s="205"/>
    </row>
    <row r="173" ht="15.75" customHeight="1">
      <c r="A173" s="224"/>
      <c r="B173" s="186"/>
      <c r="C173" s="210"/>
      <c r="D173" s="210"/>
      <c r="E173" s="204"/>
      <c r="F173" s="205"/>
      <c r="G173" s="205"/>
    </row>
    <row r="174" ht="15.75" customHeight="1">
      <c r="A174" s="224"/>
      <c r="B174" s="186"/>
      <c r="C174" s="210"/>
      <c r="D174" s="210"/>
      <c r="E174" s="204"/>
      <c r="F174" s="205"/>
      <c r="G174" s="205"/>
    </row>
    <row r="175" ht="15.75" customHeight="1">
      <c r="A175" s="224"/>
      <c r="B175" s="186"/>
      <c r="C175" s="210"/>
      <c r="D175" s="210"/>
      <c r="E175" s="204"/>
      <c r="F175" s="205"/>
      <c r="G175" s="205"/>
    </row>
    <row r="176" ht="15.75" customHeight="1">
      <c r="A176" s="224"/>
      <c r="B176" s="186"/>
      <c r="C176" s="210"/>
      <c r="D176" s="210"/>
      <c r="E176" s="204"/>
      <c r="F176" s="205"/>
      <c r="G176" s="205"/>
    </row>
    <row r="177" ht="15.75" customHeight="1">
      <c r="A177" s="224"/>
      <c r="B177" s="186"/>
      <c r="C177" s="210"/>
      <c r="D177" s="210"/>
      <c r="E177" s="204"/>
      <c r="F177" s="205"/>
      <c r="G177" s="205"/>
    </row>
    <row r="178" ht="15.75" customHeight="1">
      <c r="A178" s="224"/>
      <c r="B178" s="186"/>
      <c r="C178" s="210"/>
      <c r="D178" s="210"/>
      <c r="E178" s="204"/>
      <c r="F178" s="205"/>
      <c r="G178" s="205"/>
    </row>
    <row r="179" ht="15.75" customHeight="1">
      <c r="A179" s="224"/>
      <c r="B179" s="186"/>
      <c r="C179" s="210"/>
      <c r="D179" s="210"/>
      <c r="E179" s="204"/>
      <c r="F179" s="205"/>
      <c r="G179" s="205"/>
    </row>
    <row r="180" ht="15.75" customHeight="1">
      <c r="A180" s="224"/>
      <c r="B180" s="186"/>
      <c r="C180" s="210"/>
      <c r="D180" s="210"/>
      <c r="E180" s="204"/>
      <c r="F180" s="205"/>
      <c r="G180" s="205"/>
    </row>
    <row r="181" ht="15.75" customHeight="1">
      <c r="A181" s="224"/>
      <c r="B181" s="186"/>
      <c r="C181" s="210"/>
      <c r="D181" s="210"/>
      <c r="E181" s="204"/>
      <c r="F181" s="205"/>
      <c r="G181" s="205"/>
    </row>
    <row r="182" ht="15.75" customHeight="1">
      <c r="A182" s="224"/>
      <c r="B182" s="186"/>
      <c r="C182" s="210"/>
      <c r="D182" s="210"/>
      <c r="E182" s="204"/>
      <c r="F182" s="205"/>
      <c r="G182" s="205"/>
    </row>
    <row r="183" ht="15.75" customHeight="1">
      <c r="A183" s="224"/>
      <c r="B183" s="186"/>
      <c r="C183" s="210"/>
      <c r="D183" s="210"/>
      <c r="E183" s="204"/>
      <c r="F183" s="205"/>
      <c r="G183" s="205"/>
    </row>
    <row r="184" ht="15.75" customHeight="1">
      <c r="A184" s="224"/>
      <c r="B184" s="186"/>
      <c r="C184" s="210"/>
      <c r="D184" s="210"/>
      <c r="E184" s="204"/>
      <c r="F184" s="205"/>
      <c r="G184" s="205"/>
    </row>
    <row r="185" ht="15.75" customHeight="1">
      <c r="A185" s="224"/>
      <c r="B185" s="186"/>
      <c r="C185" s="210"/>
      <c r="D185" s="210"/>
      <c r="E185" s="204"/>
      <c r="F185" s="205"/>
      <c r="G185" s="205"/>
    </row>
    <row r="186" ht="15.75" customHeight="1">
      <c r="A186" s="224"/>
      <c r="B186" s="186"/>
      <c r="C186" s="210"/>
      <c r="D186" s="210"/>
      <c r="E186" s="204"/>
      <c r="F186" s="205"/>
      <c r="G186" s="205"/>
    </row>
    <row r="187" ht="15.75" customHeight="1">
      <c r="A187" s="224"/>
      <c r="B187" s="186"/>
      <c r="C187" s="210"/>
      <c r="D187" s="210"/>
      <c r="E187" s="204"/>
      <c r="F187" s="205"/>
      <c r="G187" s="205"/>
    </row>
    <row r="188" ht="15.75" customHeight="1">
      <c r="A188" s="224"/>
      <c r="B188" s="186"/>
      <c r="C188" s="210"/>
      <c r="D188" s="210"/>
      <c r="E188" s="204"/>
      <c r="F188" s="205"/>
      <c r="G188" s="205"/>
    </row>
    <row r="189" ht="15.75" customHeight="1">
      <c r="A189" s="224"/>
      <c r="B189" s="186"/>
      <c r="C189" s="210"/>
      <c r="D189" s="210"/>
      <c r="E189" s="204"/>
      <c r="F189" s="205"/>
      <c r="G189" s="205"/>
    </row>
    <row r="190" ht="15.75" customHeight="1">
      <c r="A190" s="224"/>
      <c r="B190" s="186"/>
      <c r="C190" s="210"/>
      <c r="D190" s="210"/>
      <c r="E190" s="204"/>
      <c r="F190" s="205"/>
      <c r="G190" s="205"/>
    </row>
    <row r="191" ht="15.75" customHeight="1">
      <c r="A191" s="224"/>
      <c r="B191" s="186"/>
      <c r="C191" s="210"/>
      <c r="D191" s="210"/>
      <c r="E191" s="204"/>
      <c r="F191" s="205"/>
      <c r="G191" s="205"/>
    </row>
    <row r="192" ht="15.75" customHeight="1">
      <c r="A192" s="224"/>
      <c r="B192" s="186"/>
      <c r="C192" s="210"/>
      <c r="D192" s="210"/>
      <c r="E192" s="204"/>
      <c r="F192" s="205"/>
      <c r="G192" s="205"/>
    </row>
    <row r="193" ht="15.75" customHeight="1">
      <c r="A193" s="224"/>
      <c r="B193" s="186"/>
      <c r="C193" s="210"/>
      <c r="D193" s="210"/>
      <c r="E193" s="204"/>
      <c r="F193" s="205"/>
      <c r="G193" s="205"/>
    </row>
    <row r="194" ht="15.75" customHeight="1">
      <c r="A194" s="224"/>
      <c r="B194" s="186"/>
      <c r="C194" s="210"/>
      <c r="D194" s="210"/>
      <c r="E194" s="204"/>
      <c r="F194" s="205"/>
      <c r="G194" s="205"/>
    </row>
    <row r="195" ht="15.75" customHeight="1">
      <c r="A195" s="224"/>
      <c r="B195" s="186"/>
      <c r="C195" s="210"/>
      <c r="D195" s="210"/>
      <c r="E195" s="204"/>
      <c r="F195" s="205"/>
      <c r="G195" s="205"/>
    </row>
    <row r="196" ht="15.75" customHeight="1">
      <c r="A196" s="224"/>
      <c r="B196" s="186"/>
      <c r="C196" s="210"/>
      <c r="D196" s="210"/>
      <c r="E196" s="204"/>
      <c r="F196" s="205"/>
      <c r="G196" s="205"/>
    </row>
    <row r="197" ht="15.75" customHeight="1">
      <c r="A197" s="224"/>
      <c r="B197" s="186"/>
      <c r="C197" s="210"/>
      <c r="D197" s="210"/>
      <c r="E197" s="204"/>
      <c r="F197" s="205"/>
      <c r="G197" s="205"/>
    </row>
    <row r="198" ht="15.75" customHeight="1">
      <c r="A198" s="224"/>
      <c r="B198" s="186"/>
      <c r="C198" s="210"/>
      <c r="D198" s="210"/>
      <c r="E198" s="204"/>
      <c r="F198" s="205"/>
      <c r="G198" s="205"/>
    </row>
    <row r="199" ht="15.75" customHeight="1">
      <c r="A199" s="224"/>
      <c r="B199" s="186"/>
      <c r="C199" s="210"/>
      <c r="D199" s="210"/>
      <c r="E199" s="204"/>
      <c r="F199" s="205"/>
      <c r="G199" s="205"/>
    </row>
    <row r="200" ht="15.75" customHeight="1">
      <c r="A200" s="224"/>
      <c r="B200" s="186"/>
      <c r="C200" s="210"/>
      <c r="D200" s="210"/>
      <c r="E200" s="204"/>
      <c r="F200" s="205"/>
      <c r="G200" s="205"/>
    </row>
    <row r="201" ht="15.75" customHeight="1">
      <c r="A201" s="224"/>
      <c r="B201" s="186"/>
      <c r="C201" s="210"/>
      <c r="D201" s="210"/>
      <c r="E201" s="204"/>
      <c r="F201" s="205"/>
      <c r="G201" s="205"/>
    </row>
    <row r="202" ht="15.75" customHeight="1">
      <c r="A202" s="224"/>
      <c r="B202" s="186"/>
      <c r="C202" s="210"/>
      <c r="D202" s="210"/>
      <c r="E202" s="204"/>
      <c r="F202" s="205"/>
      <c r="G202" s="205"/>
    </row>
    <row r="203" ht="15.75" customHeight="1">
      <c r="A203" s="224"/>
      <c r="B203" s="186"/>
      <c r="C203" s="210"/>
      <c r="D203" s="210"/>
      <c r="E203" s="204"/>
      <c r="F203" s="205"/>
      <c r="G203" s="205"/>
    </row>
    <row r="204" ht="15.75" customHeight="1">
      <c r="A204" s="224"/>
      <c r="B204" s="186"/>
      <c r="C204" s="210"/>
      <c r="D204" s="210"/>
      <c r="E204" s="204"/>
      <c r="F204" s="205"/>
      <c r="G204" s="205"/>
    </row>
    <row r="205" ht="15.75" customHeight="1">
      <c r="A205" s="224"/>
      <c r="B205" s="186"/>
      <c r="C205" s="210"/>
      <c r="D205" s="210"/>
      <c r="E205" s="204"/>
      <c r="F205" s="205"/>
      <c r="G205" s="205"/>
    </row>
    <row r="206" ht="15.75" customHeight="1">
      <c r="A206" s="224"/>
      <c r="B206" s="186"/>
      <c r="C206" s="210"/>
      <c r="D206" s="210"/>
      <c r="E206" s="204"/>
      <c r="F206" s="205"/>
      <c r="G206" s="205"/>
    </row>
    <row r="207" ht="15.75" customHeight="1">
      <c r="A207" s="224"/>
      <c r="B207" s="186"/>
      <c r="C207" s="210"/>
      <c r="D207" s="210"/>
      <c r="E207" s="204"/>
      <c r="F207" s="205"/>
      <c r="G207" s="205"/>
    </row>
    <row r="208" ht="15.75" customHeight="1">
      <c r="A208" s="224"/>
      <c r="B208" s="186"/>
      <c r="C208" s="210"/>
      <c r="D208" s="210"/>
      <c r="E208" s="204"/>
      <c r="F208" s="205"/>
      <c r="G208" s="205"/>
    </row>
    <row r="209" ht="15.75" customHeight="1">
      <c r="A209" s="224"/>
      <c r="B209" s="186"/>
      <c r="C209" s="210"/>
      <c r="D209" s="210"/>
      <c r="E209" s="204"/>
      <c r="F209" s="205"/>
      <c r="G209" s="205"/>
    </row>
    <row r="210" ht="15.75" customHeight="1">
      <c r="A210" s="224"/>
      <c r="B210" s="186"/>
      <c r="C210" s="210"/>
      <c r="D210" s="210"/>
      <c r="E210" s="204"/>
      <c r="F210" s="205"/>
      <c r="G210" s="205"/>
    </row>
    <row r="211" ht="15.75" customHeight="1">
      <c r="A211" s="224"/>
      <c r="B211" s="186"/>
      <c r="C211" s="210"/>
      <c r="D211" s="210"/>
      <c r="E211" s="204"/>
      <c r="F211" s="205"/>
      <c r="G211" s="205"/>
    </row>
    <row r="212" ht="15.75" customHeight="1">
      <c r="A212" s="224"/>
      <c r="B212" s="186"/>
      <c r="C212" s="210"/>
      <c r="D212" s="210"/>
      <c r="E212" s="204"/>
      <c r="F212" s="205"/>
      <c r="G212" s="205"/>
    </row>
    <row r="213" ht="15.75" customHeight="1">
      <c r="A213" s="224"/>
      <c r="B213" s="186"/>
      <c r="C213" s="210"/>
      <c r="D213" s="210"/>
      <c r="E213" s="204"/>
      <c r="F213" s="205"/>
      <c r="G213" s="205"/>
    </row>
    <row r="214" ht="15.75" customHeight="1">
      <c r="A214" s="224"/>
      <c r="B214" s="186"/>
      <c r="C214" s="210"/>
      <c r="D214" s="210"/>
      <c r="E214" s="204"/>
      <c r="F214" s="205"/>
      <c r="G214" s="205"/>
    </row>
    <row r="215" ht="15.75" customHeight="1">
      <c r="A215" s="224"/>
      <c r="B215" s="186"/>
      <c r="C215" s="210"/>
      <c r="D215" s="210"/>
      <c r="E215" s="204"/>
      <c r="F215" s="205"/>
      <c r="G215" s="205"/>
    </row>
    <row r="216" ht="15.75" customHeight="1">
      <c r="A216" s="224"/>
      <c r="B216" s="186"/>
      <c r="C216" s="210"/>
      <c r="D216" s="210"/>
      <c r="E216" s="204"/>
      <c r="F216" s="205"/>
      <c r="G216" s="205"/>
    </row>
    <row r="217" ht="15.75" customHeight="1">
      <c r="A217" s="224"/>
      <c r="B217" s="186"/>
      <c r="C217" s="210"/>
      <c r="D217" s="210"/>
      <c r="E217" s="204"/>
      <c r="F217" s="205"/>
      <c r="G217" s="205"/>
    </row>
    <row r="218" ht="15.75" customHeight="1">
      <c r="A218" s="224"/>
      <c r="B218" s="186"/>
      <c r="C218" s="210"/>
      <c r="D218" s="210"/>
      <c r="E218" s="204"/>
      <c r="F218" s="205"/>
      <c r="G218" s="205"/>
    </row>
    <row r="219" ht="15.75" customHeight="1">
      <c r="A219" s="224"/>
      <c r="B219" s="186"/>
      <c r="C219" s="210"/>
      <c r="D219" s="210"/>
      <c r="E219" s="204"/>
      <c r="F219" s="205"/>
      <c r="G219" s="205"/>
    </row>
    <row r="220" ht="15.75" customHeight="1">
      <c r="A220" s="224"/>
      <c r="B220" s="186"/>
      <c r="C220" s="210"/>
      <c r="D220" s="210"/>
      <c r="E220" s="204"/>
      <c r="F220" s="205"/>
      <c r="G220" s="205"/>
    </row>
    <row r="221" ht="15.75" customHeight="1">
      <c r="A221" s="224"/>
      <c r="B221" s="186"/>
      <c r="C221" s="210"/>
      <c r="D221" s="210"/>
      <c r="E221" s="204"/>
      <c r="F221" s="205"/>
      <c r="G221" s="205"/>
    </row>
    <row r="222" ht="15.75" customHeight="1">
      <c r="A222" s="224"/>
      <c r="B222" s="186"/>
      <c r="C222" s="210"/>
      <c r="D222" s="210"/>
      <c r="E222" s="204"/>
      <c r="F222" s="205"/>
      <c r="G222" s="205"/>
    </row>
    <row r="223" ht="15.75" customHeight="1">
      <c r="A223" s="224"/>
      <c r="B223" s="186"/>
      <c r="C223" s="210"/>
      <c r="D223" s="210"/>
      <c r="E223" s="204"/>
      <c r="F223" s="205"/>
      <c r="G223" s="205"/>
    </row>
    <row r="224" ht="15.75" customHeight="1">
      <c r="A224" s="224"/>
      <c r="B224" s="186"/>
      <c r="C224" s="210"/>
      <c r="D224" s="210"/>
      <c r="E224" s="204"/>
      <c r="F224" s="205"/>
      <c r="G224" s="205"/>
    </row>
    <row r="225" ht="15.75" customHeight="1">
      <c r="A225" s="224"/>
      <c r="B225" s="186"/>
      <c r="C225" s="210"/>
      <c r="D225" s="210"/>
      <c r="E225" s="204"/>
      <c r="F225" s="205"/>
      <c r="G225" s="205"/>
    </row>
    <row r="226" ht="15.75" customHeight="1">
      <c r="A226" s="224"/>
      <c r="B226" s="186"/>
      <c r="C226" s="210"/>
      <c r="D226" s="210"/>
      <c r="E226" s="204"/>
      <c r="F226" s="205"/>
      <c r="G226" s="205"/>
    </row>
    <row r="227" ht="15.75" customHeight="1">
      <c r="A227" s="224"/>
      <c r="B227" s="186"/>
      <c r="C227" s="210"/>
      <c r="D227" s="210"/>
      <c r="E227" s="204"/>
      <c r="F227" s="205"/>
      <c r="G227" s="205"/>
    </row>
    <row r="228" ht="15.75" customHeight="1">
      <c r="A228" s="224"/>
      <c r="B228" s="186"/>
      <c r="C228" s="210"/>
      <c r="D228" s="210"/>
      <c r="E228" s="204"/>
      <c r="F228" s="205"/>
      <c r="G228" s="205"/>
    </row>
    <row r="229" ht="15.75" customHeight="1">
      <c r="A229" s="224"/>
      <c r="B229" s="186"/>
      <c r="C229" s="210"/>
      <c r="D229" s="210"/>
      <c r="E229" s="204"/>
      <c r="F229" s="205"/>
      <c r="G229" s="205"/>
    </row>
    <row r="230" ht="15.75" customHeight="1">
      <c r="A230" s="224"/>
      <c r="B230" s="186"/>
      <c r="C230" s="210"/>
      <c r="D230" s="210"/>
      <c r="E230" s="204"/>
      <c r="F230" s="205"/>
      <c r="G230" s="205"/>
    </row>
    <row r="231" ht="15.75" customHeight="1">
      <c r="A231" s="224"/>
      <c r="B231" s="186"/>
      <c r="C231" s="210"/>
      <c r="D231" s="210"/>
      <c r="E231" s="204"/>
      <c r="F231" s="205"/>
      <c r="G231" s="205"/>
    </row>
    <row r="232" ht="15.75" customHeight="1">
      <c r="A232" s="224"/>
      <c r="B232" s="186"/>
      <c r="C232" s="210"/>
      <c r="D232" s="210"/>
      <c r="E232" s="204"/>
      <c r="F232" s="205"/>
      <c r="G232" s="205"/>
    </row>
    <row r="233" ht="15.75" customHeight="1">
      <c r="A233" s="224"/>
      <c r="B233" s="186"/>
      <c r="C233" s="210"/>
      <c r="D233" s="210"/>
      <c r="E233" s="204"/>
      <c r="F233" s="205"/>
      <c r="G233" s="205"/>
    </row>
    <row r="234" ht="15.75" customHeight="1">
      <c r="A234" s="224"/>
      <c r="B234" s="186"/>
      <c r="C234" s="210"/>
      <c r="D234" s="210"/>
      <c r="E234" s="204"/>
      <c r="F234" s="205"/>
      <c r="G234" s="205"/>
    </row>
    <row r="235" ht="15.75" customHeight="1">
      <c r="A235" s="224"/>
      <c r="B235" s="186"/>
      <c r="C235" s="210"/>
      <c r="D235" s="210"/>
      <c r="E235" s="204"/>
      <c r="F235" s="205"/>
      <c r="G235" s="205"/>
    </row>
    <row r="236" ht="15.75" customHeight="1">
      <c r="A236" s="224"/>
      <c r="B236" s="186"/>
      <c r="C236" s="210"/>
      <c r="D236" s="210"/>
      <c r="E236" s="204"/>
      <c r="F236" s="205"/>
      <c r="G236" s="205"/>
    </row>
    <row r="237" ht="15.75" customHeight="1">
      <c r="A237" s="224"/>
      <c r="B237" s="186"/>
      <c r="C237" s="210"/>
      <c r="D237" s="210"/>
      <c r="E237" s="204"/>
      <c r="F237" s="205"/>
      <c r="G237" s="205"/>
    </row>
    <row r="238" ht="15.75" customHeight="1">
      <c r="A238" s="224"/>
      <c r="B238" s="186"/>
      <c r="C238" s="210"/>
      <c r="D238" s="210"/>
      <c r="E238" s="204"/>
      <c r="F238" s="205"/>
      <c r="G238" s="205"/>
    </row>
    <row r="239" ht="15.75" customHeight="1">
      <c r="A239" s="224"/>
      <c r="B239" s="186"/>
      <c r="C239" s="210"/>
      <c r="D239" s="210"/>
      <c r="E239" s="204"/>
      <c r="F239" s="205"/>
      <c r="G239" s="205"/>
    </row>
    <row r="240" ht="15.75" customHeight="1">
      <c r="A240" s="224"/>
      <c r="B240" s="186"/>
      <c r="C240" s="210"/>
      <c r="D240" s="210"/>
      <c r="E240" s="204"/>
      <c r="F240" s="205"/>
      <c r="G240" s="205"/>
    </row>
    <row r="241" ht="15.75" customHeight="1">
      <c r="A241" s="224"/>
      <c r="B241" s="186"/>
      <c r="C241" s="210"/>
      <c r="D241" s="210"/>
      <c r="E241" s="204"/>
      <c r="F241" s="205"/>
      <c r="G241" s="205"/>
    </row>
    <row r="242" ht="15.75" customHeight="1">
      <c r="A242" s="224"/>
      <c r="B242" s="186"/>
      <c r="C242" s="210"/>
      <c r="D242" s="210"/>
      <c r="E242" s="204"/>
      <c r="F242" s="205"/>
      <c r="G242" s="205"/>
    </row>
    <row r="243" ht="15.75" customHeight="1">
      <c r="A243" s="224"/>
      <c r="B243" s="186"/>
      <c r="C243" s="210"/>
      <c r="D243" s="210"/>
      <c r="E243" s="204"/>
      <c r="F243" s="205"/>
      <c r="G243" s="205"/>
    </row>
    <row r="244" ht="15.75" customHeight="1">
      <c r="A244" s="224"/>
      <c r="B244" s="186"/>
      <c r="C244" s="210"/>
      <c r="D244" s="210"/>
      <c r="E244" s="204"/>
      <c r="F244" s="205"/>
      <c r="G244" s="205"/>
    </row>
    <row r="245" ht="15.75" customHeight="1">
      <c r="A245" s="224"/>
      <c r="B245" s="186"/>
      <c r="C245" s="210"/>
      <c r="D245" s="210"/>
      <c r="E245" s="204"/>
      <c r="F245" s="205"/>
      <c r="G245" s="205"/>
    </row>
    <row r="246" ht="15.75" customHeight="1">
      <c r="A246" s="224"/>
      <c r="B246" s="186"/>
      <c r="C246" s="210"/>
      <c r="D246" s="210"/>
      <c r="E246" s="204"/>
      <c r="F246" s="205"/>
      <c r="G246" s="205"/>
    </row>
    <row r="247" ht="15.75" customHeight="1">
      <c r="A247" s="224"/>
      <c r="B247" s="186"/>
      <c r="C247" s="210"/>
      <c r="D247" s="210"/>
      <c r="E247" s="204"/>
      <c r="F247" s="205"/>
      <c r="G247" s="205"/>
    </row>
    <row r="248" ht="15.75" customHeight="1">
      <c r="A248" s="224"/>
      <c r="B248" s="186"/>
      <c r="C248" s="210"/>
      <c r="D248" s="210"/>
      <c r="E248" s="204"/>
      <c r="F248" s="205"/>
      <c r="G248" s="205"/>
    </row>
    <row r="249" ht="15.75" customHeight="1">
      <c r="A249" s="224"/>
      <c r="B249" s="186"/>
      <c r="C249" s="210"/>
      <c r="D249" s="210"/>
      <c r="E249" s="204"/>
      <c r="F249" s="205"/>
      <c r="G249" s="205"/>
    </row>
    <row r="250" ht="15.75" customHeight="1">
      <c r="A250" s="224"/>
      <c r="B250" s="186"/>
      <c r="C250" s="210"/>
      <c r="D250" s="210"/>
      <c r="E250" s="204"/>
      <c r="F250" s="205"/>
      <c r="G250" s="205"/>
    </row>
    <row r="251" ht="15.75" customHeight="1">
      <c r="A251" s="224"/>
      <c r="B251" s="186"/>
      <c r="C251" s="210"/>
      <c r="D251" s="210"/>
      <c r="E251" s="204"/>
      <c r="F251" s="205"/>
      <c r="G251" s="205"/>
    </row>
    <row r="252" ht="15.75" customHeight="1">
      <c r="A252" s="224"/>
      <c r="B252" s="186"/>
      <c r="C252" s="210"/>
      <c r="D252" s="210"/>
      <c r="E252" s="204"/>
      <c r="F252" s="205"/>
      <c r="G252" s="205"/>
    </row>
    <row r="253" ht="15.75" customHeight="1">
      <c r="A253" s="224"/>
      <c r="B253" s="186"/>
      <c r="C253" s="210"/>
      <c r="D253" s="210"/>
      <c r="E253" s="204"/>
      <c r="F253" s="205"/>
      <c r="G253" s="205"/>
    </row>
    <row r="254" ht="15.75" customHeight="1">
      <c r="A254" s="224"/>
      <c r="B254" s="186"/>
      <c r="C254" s="210"/>
      <c r="D254" s="210"/>
      <c r="E254" s="204"/>
      <c r="F254" s="205"/>
      <c r="G254" s="205"/>
    </row>
    <row r="255" ht="15.75" customHeight="1">
      <c r="A255" s="224"/>
      <c r="B255" s="186"/>
      <c r="C255" s="210"/>
      <c r="D255" s="210"/>
      <c r="E255" s="204"/>
      <c r="F255" s="205"/>
      <c r="G255" s="205"/>
    </row>
    <row r="256" ht="15.75" customHeight="1">
      <c r="A256" s="224"/>
      <c r="B256" s="186"/>
      <c r="C256" s="210"/>
      <c r="D256" s="210"/>
      <c r="E256" s="204"/>
      <c r="F256" s="205"/>
      <c r="G256" s="205"/>
    </row>
    <row r="257" ht="15.75" customHeight="1">
      <c r="A257" s="224"/>
      <c r="B257" s="186"/>
      <c r="C257" s="210"/>
      <c r="D257" s="210"/>
      <c r="E257" s="204"/>
      <c r="F257" s="205"/>
      <c r="G257" s="205"/>
    </row>
    <row r="258" ht="15.75" customHeight="1">
      <c r="A258" s="224"/>
      <c r="B258" s="186"/>
      <c r="C258" s="210"/>
      <c r="D258" s="210"/>
      <c r="E258" s="204"/>
      <c r="F258" s="205"/>
      <c r="G258" s="205"/>
    </row>
    <row r="259" ht="15.75" customHeight="1">
      <c r="A259" s="224"/>
      <c r="B259" s="186"/>
      <c r="C259" s="210"/>
      <c r="D259" s="210"/>
      <c r="E259" s="204"/>
      <c r="F259" s="205"/>
      <c r="G259" s="205"/>
    </row>
    <row r="260" ht="15.75" customHeight="1">
      <c r="A260" s="224"/>
      <c r="B260" s="186"/>
      <c r="C260" s="210"/>
      <c r="D260" s="210"/>
      <c r="E260" s="204"/>
      <c r="F260" s="205"/>
      <c r="G260" s="205"/>
    </row>
    <row r="261" ht="15.75" customHeight="1">
      <c r="A261" s="224"/>
      <c r="B261" s="186"/>
      <c r="C261" s="210"/>
      <c r="D261" s="210"/>
      <c r="E261" s="204"/>
      <c r="F261" s="205"/>
      <c r="G261" s="205"/>
    </row>
    <row r="262" ht="15.75" customHeight="1">
      <c r="A262" s="224"/>
      <c r="B262" s="186"/>
      <c r="C262" s="210"/>
      <c r="D262" s="210"/>
      <c r="E262" s="204"/>
      <c r="F262" s="205"/>
      <c r="G262" s="205"/>
    </row>
    <row r="263" ht="15.75" customHeight="1">
      <c r="A263" s="224"/>
      <c r="B263" s="186"/>
      <c r="C263" s="210"/>
      <c r="D263" s="210"/>
      <c r="E263" s="204"/>
      <c r="F263" s="205"/>
      <c r="G263" s="205"/>
    </row>
    <row r="264" ht="15.75" customHeight="1">
      <c r="A264" s="224"/>
      <c r="B264" s="186"/>
      <c r="C264" s="210"/>
      <c r="D264" s="210"/>
      <c r="E264" s="204"/>
      <c r="F264" s="205"/>
      <c r="G264" s="205"/>
    </row>
    <row r="265" ht="15.75" customHeight="1">
      <c r="A265" s="224"/>
      <c r="B265" s="186"/>
      <c r="C265" s="210"/>
      <c r="D265" s="210"/>
      <c r="E265" s="204"/>
      <c r="F265" s="205"/>
      <c r="G265" s="205"/>
    </row>
    <row r="266" ht="15.75" customHeight="1">
      <c r="A266" s="224"/>
      <c r="B266" s="186"/>
      <c r="C266" s="210"/>
      <c r="D266" s="210"/>
      <c r="E266" s="204"/>
      <c r="F266" s="205"/>
      <c r="G266" s="205"/>
    </row>
    <row r="267" ht="15.75" customHeight="1">
      <c r="A267" s="224"/>
      <c r="B267" s="186"/>
      <c r="C267" s="210"/>
      <c r="D267" s="210"/>
      <c r="E267" s="204"/>
      <c r="F267" s="205"/>
      <c r="G267" s="205"/>
    </row>
    <row r="268" ht="15.75" customHeight="1">
      <c r="A268" s="224"/>
      <c r="B268" s="186"/>
      <c r="C268" s="210"/>
      <c r="D268" s="210"/>
      <c r="E268" s="204"/>
      <c r="F268" s="205"/>
      <c r="G268" s="205"/>
    </row>
    <row r="269" ht="15.75" customHeight="1">
      <c r="A269" s="224"/>
      <c r="B269" s="186"/>
      <c r="C269" s="210"/>
      <c r="D269" s="210"/>
      <c r="E269" s="204"/>
      <c r="F269" s="205"/>
      <c r="G269" s="205"/>
    </row>
    <row r="270" ht="15.75" customHeight="1">
      <c r="A270" s="224"/>
      <c r="B270" s="186"/>
      <c r="C270" s="210"/>
      <c r="D270" s="210"/>
      <c r="E270" s="204"/>
      <c r="F270" s="205"/>
      <c r="G270" s="205"/>
    </row>
    <row r="271" ht="15.75" customHeight="1">
      <c r="A271" s="224"/>
      <c r="B271" s="186"/>
      <c r="C271" s="210"/>
      <c r="D271" s="210"/>
      <c r="E271" s="204"/>
      <c r="F271" s="205"/>
      <c r="G271" s="205"/>
    </row>
    <row r="272" ht="15.75" customHeight="1">
      <c r="A272" s="224"/>
      <c r="B272" s="186"/>
      <c r="C272" s="210"/>
      <c r="D272" s="210"/>
      <c r="E272" s="204"/>
      <c r="F272" s="205"/>
      <c r="G272" s="205"/>
    </row>
    <row r="273" ht="15.75" customHeight="1">
      <c r="A273" s="224"/>
      <c r="B273" s="186"/>
      <c r="C273" s="210"/>
      <c r="D273" s="210"/>
      <c r="E273" s="204"/>
      <c r="F273" s="205"/>
      <c r="G273" s="205"/>
    </row>
    <row r="274" ht="15.75" customHeight="1">
      <c r="A274" s="224"/>
      <c r="B274" s="186"/>
      <c r="C274" s="210"/>
      <c r="D274" s="210"/>
      <c r="E274" s="204"/>
      <c r="F274" s="205"/>
      <c r="G274" s="205"/>
    </row>
    <row r="275" ht="15.75" customHeight="1">
      <c r="A275" s="224"/>
      <c r="B275" s="186"/>
      <c r="C275" s="210"/>
      <c r="D275" s="210"/>
      <c r="E275" s="204"/>
      <c r="F275" s="205"/>
      <c r="G275" s="205"/>
    </row>
    <row r="276" ht="15.75" customHeight="1">
      <c r="A276" s="224"/>
      <c r="B276" s="186"/>
      <c r="C276" s="210"/>
      <c r="D276" s="210"/>
      <c r="E276" s="204"/>
      <c r="F276" s="205"/>
      <c r="G276" s="205"/>
    </row>
    <row r="277" ht="15.75" customHeight="1">
      <c r="A277" s="224"/>
      <c r="B277" s="186"/>
      <c r="C277" s="210"/>
      <c r="D277" s="210"/>
      <c r="E277" s="204"/>
      <c r="F277" s="205"/>
      <c r="G277" s="205"/>
    </row>
    <row r="278" ht="15.75" customHeight="1">
      <c r="A278" s="224"/>
      <c r="B278" s="186"/>
      <c r="C278" s="210"/>
      <c r="D278" s="210"/>
      <c r="E278" s="204"/>
      <c r="F278" s="205"/>
      <c r="G278" s="205"/>
    </row>
    <row r="279" ht="15.75" customHeight="1">
      <c r="A279" s="224"/>
      <c r="B279" s="186"/>
      <c r="C279" s="210"/>
      <c r="D279" s="210"/>
      <c r="E279" s="204"/>
      <c r="F279" s="205"/>
      <c r="G279" s="205"/>
    </row>
    <row r="280" ht="15.75" customHeight="1">
      <c r="A280" s="224"/>
      <c r="B280" s="186"/>
      <c r="C280" s="210"/>
      <c r="D280" s="210"/>
      <c r="E280" s="204"/>
      <c r="F280" s="205"/>
      <c r="G280" s="205"/>
    </row>
    <row r="281" ht="15.75" customHeight="1">
      <c r="A281" s="224"/>
      <c r="B281" s="186"/>
      <c r="C281" s="210"/>
      <c r="D281" s="210"/>
      <c r="E281" s="204"/>
      <c r="F281" s="205"/>
      <c r="G281" s="205"/>
    </row>
    <row r="282" ht="15.75" customHeight="1">
      <c r="A282" s="224"/>
      <c r="B282" s="186"/>
      <c r="C282" s="210"/>
      <c r="D282" s="210"/>
      <c r="E282" s="204"/>
      <c r="F282" s="205"/>
      <c r="G282" s="205"/>
    </row>
    <row r="283" ht="15.75" customHeight="1">
      <c r="A283" s="224"/>
      <c r="B283" s="186"/>
      <c r="C283" s="210"/>
      <c r="D283" s="210"/>
      <c r="E283" s="204"/>
      <c r="F283" s="205"/>
      <c r="G283" s="205"/>
    </row>
    <row r="284" ht="15.75" customHeight="1">
      <c r="A284" s="224"/>
      <c r="B284" s="186"/>
      <c r="C284" s="210"/>
      <c r="D284" s="210"/>
      <c r="E284" s="204"/>
      <c r="F284" s="205"/>
      <c r="G284" s="205"/>
    </row>
    <row r="285" ht="15.75" customHeight="1">
      <c r="A285" s="224"/>
      <c r="B285" s="186"/>
      <c r="C285" s="210"/>
      <c r="D285" s="210"/>
      <c r="E285" s="204"/>
      <c r="F285" s="205"/>
      <c r="G285" s="205"/>
    </row>
    <row r="286" ht="15.75" customHeight="1">
      <c r="A286" s="224"/>
      <c r="B286" s="186"/>
      <c r="C286" s="210"/>
      <c r="D286" s="210"/>
      <c r="E286" s="204"/>
      <c r="F286" s="205"/>
      <c r="G286" s="205"/>
    </row>
    <row r="287" ht="15.75" customHeight="1">
      <c r="A287" s="224"/>
      <c r="B287" s="186"/>
      <c r="C287" s="210"/>
      <c r="D287" s="210"/>
      <c r="E287" s="204"/>
      <c r="F287" s="205"/>
      <c r="G287" s="205"/>
    </row>
    <row r="288" ht="15.75" customHeight="1">
      <c r="A288" s="224"/>
      <c r="B288" s="186"/>
      <c r="C288" s="210"/>
      <c r="D288" s="210"/>
      <c r="E288" s="204"/>
      <c r="F288" s="205"/>
      <c r="G288" s="205"/>
    </row>
    <row r="289" ht="15.75" customHeight="1">
      <c r="A289" s="224"/>
      <c r="B289" s="186"/>
      <c r="C289" s="210"/>
      <c r="D289" s="210"/>
      <c r="E289" s="204"/>
      <c r="F289" s="205"/>
      <c r="G289" s="205"/>
    </row>
    <row r="290" ht="15.75" customHeight="1">
      <c r="A290" s="224"/>
      <c r="B290" s="186"/>
      <c r="C290" s="210"/>
      <c r="D290" s="210"/>
      <c r="E290" s="204"/>
      <c r="F290" s="205"/>
      <c r="G290" s="205"/>
    </row>
    <row r="291" ht="15.75" customHeight="1">
      <c r="A291" s="224"/>
      <c r="B291" s="186"/>
      <c r="C291" s="210"/>
      <c r="D291" s="210"/>
      <c r="E291" s="204"/>
      <c r="F291" s="205"/>
      <c r="G291" s="205"/>
    </row>
    <row r="292" ht="15.75" customHeight="1">
      <c r="A292" s="224"/>
      <c r="B292" s="186"/>
      <c r="C292" s="210"/>
      <c r="D292" s="210"/>
      <c r="E292" s="204"/>
      <c r="F292" s="205"/>
      <c r="G292" s="205"/>
    </row>
    <row r="293" ht="15.75" customHeight="1">
      <c r="A293" s="224"/>
      <c r="B293" s="186"/>
      <c r="C293" s="210"/>
      <c r="D293" s="210"/>
      <c r="E293" s="204"/>
      <c r="F293" s="205"/>
      <c r="G293" s="205"/>
    </row>
    <row r="294" ht="15.75" customHeight="1">
      <c r="A294" s="224"/>
      <c r="B294" s="186"/>
      <c r="C294" s="210"/>
      <c r="D294" s="210"/>
      <c r="E294" s="204"/>
      <c r="F294" s="205"/>
      <c r="G294" s="205"/>
    </row>
    <row r="295" ht="15.75" customHeight="1">
      <c r="A295" s="224"/>
      <c r="B295" s="186"/>
      <c r="C295" s="210"/>
      <c r="D295" s="210"/>
      <c r="E295" s="204"/>
      <c r="F295" s="205"/>
      <c r="G295" s="205"/>
    </row>
    <row r="296" ht="15.75" customHeight="1">
      <c r="A296" s="224"/>
      <c r="B296" s="186"/>
      <c r="C296" s="210"/>
      <c r="D296" s="210"/>
      <c r="E296" s="204"/>
      <c r="F296" s="205"/>
      <c r="G296" s="205"/>
    </row>
    <row r="297" ht="15.75" customHeight="1">
      <c r="A297" s="224"/>
      <c r="B297" s="186"/>
      <c r="C297" s="210"/>
      <c r="D297" s="210"/>
      <c r="E297" s="204"/>
      <c r="F297" s="205"/>
      <c r="G297" s="205"/>
    </row>
    <row r="298" ht="15.75" customHeight="1">
      <c r="A298" s="224"/>
      <c r="B298" s="186"/>
      <c r="C298" s="210"/>
      <c r="D298" s="210"/>
      <c r="E298" s="204"/>
      <c r="F298" s="205"/>
      <c r="G298" s="205"/>
    </row>
    <row r="299" ht="15.75" customHeight="1">
      <c r="A299" s="224"/>
      <c r="B299" s="186"/>
      <c r="C299" s="210"/>
      <c r="D299" s="210"/>
      <c r="E299" s="204"/>
      <c r="F299" s="205"/>
      <c r="G299" s="205"/>
    </row>
    <row r="300" ht="15.75" customHeight="1">
      <c r="A300" s="224"/>
      <c r="B300" s="186"/>
      <c r="C300" s="210"/>
      <c r="D300" s="210"/>
      <c r="E300" s="204"/>
      <c r="F300" s="205"/>
      <c r="G300" s="205"/>
    </row>
    <row r="301" ht="15.75" customHeight="1">
      <c r="A301" s="224"/>
      <c r="B301" s="186"/>
      <c r="C301" s="210"/>
      <c r="D301" s="210"/>
      <c r="E301" s="204"/>
      <c r="F301" s="205"/>
      <c r="G301" s="205"/>
    </row>
    <row r="302" ht="15.75" customHeight="1">
      <c r="A302" s="224"/>
      <c r="B302" s="186"/>
      <c r="C302" s="210"/>
      <c r="D302" s="210"/>
      <c r="E302" s="204"/>
      <c r="F302" s="205"/>
      <c r="G302" s="205"/>
    </row>
    <row r="303" ht="15.75" customHeight="1">
      <c r="A303" s="224"/>
      <c r="B303" s="186"/>
      <c r="C303" s="210"/>
      <c r="D303" s="210"/>
      <c r="E303" s="204"/>
      <c r="F303" s="205"/>
      <c r="G303" s="205"/>
    </row>
    <row r="304" ht="15.75" customHeight="1">
      <c r="A304" s="224"/>
      <c r="B304" s="186"/>
      <c r="C304" s="210"/>
      <c r="D304" s="210"/>
      <c r="E304" s="204"/>
      <c r="F304" s="205"/>
      <c r="G304" s="205"/>
    </row>
    <row r="305" ht="15.75" customHeight="1">
      <c r="A305" s="224"/>
      <c r="B305" s="186"/>
      <c r="C305" s="210"/>
      <c r="D305" s="210"/>
      <c r="E305" s="204"/>
      <c r="F305" s="205"/>
      <c r="G305" s="205"/>
    </row>
    <row r="306" ht="15.75" customHeight="1">
      <c r="A306" s="224"/>
      <c r="B306" s="186"/>
      <c r="C306" s="210"/>
      <c r="D306" s="210"/>
      <c r="E306" s="204"/>
      <c r="F306" s="205"/>
      <c r="G306" s="205"/>
    </row>
    <row r="307" ht="15.75" customHeight="1">
      <c r="A307" s="224"/>
      <c r="B307" s="186"/>
      <c r="C307" s="210"/>
      <c r="D307" s="210"/>
      <c r="E307" s="204"/>
      <c r="F307" s="205"/>
      <c r="G307" s="205"/>
    </row>
    <row r="308" ht="15.75" customHeight="1">
      <c r="A308" s="224"/>
      <c r="B308" s="186"/>
      <c r="C308" s="210"/>
      <c r="D308" s="210"/>
      <c r="E308" s="204"/>
      <c r="F308" s="205"/>
      <c r="G308" s="205"/>
    </row>
    <row r="309" ht="15.75" customHeight="1">
      <c r="A309" s="224"/>
      <c r="B309" s="186"/>
      <c r="C309" s="210"/>
      <c r="D309" s="210"/>
      <c r="E309" s="204"/>
      <c r="F309" s="205"/>
      <c r="G309" s="205"/>
    </row>
    <row r="310" ht="15.75" customHeight="1">
      <c r="A310" s="224"/>
      <c r="B310" s="186"/>
      <c r="C310" s="210"/>
      <c r="D310" s="210"/>
      <c r="E310" s="204"/>
      <c r="F310" s="205"/>
      <c r="G310" s="205"/>
    </row>
    <row r="311" ht="15.75" customHeight="1">
      <c r="A311" s="224"/>
      <c r="B311" s="186"/>
      <c r="C311" s="210"/>
      <c r="D311" s="210"/>
      <c r="E311" s="204"/>
      <c r="F311" s="205"/>
      <c r="G311" s="205"/>
    </row>
    <row r="312" ht="15.75" customHeight="1">
      <c r="A312" s="224"/>
      <c r="B312" s="186"/>
      <c r="C312" s="210"/>
      <c r="D312" s="210"/>
      <c r="E312" s="204"/>
      <c r="F312" s="205"/>
      <c r="G312" s="205"/>
    </row>
    <row r="313" ht="15.75" customHeight="1">
      <c r="A313" s="224"/>
      <c r="B313" s="186"/>
      <c r="C313" s="210"/>
      <c r="D313" s="210"/>
      <c r="E313" s="204"/>
      <c r="F313" s="205"/>
      <c r="G313" s="205"/>
    </row>
    <row r="314" ht="15.75" customHeight="1">
      <c r="A314" s="224"/>
      <c r="B314" s="186"/>
      <c r="C314" s="210"/>
      <c r="D314" s="210"/>
      <c r="E314" s="204"/>
      <c r="F314" s="205"/>
      <c r="G314" s="205"/>
    </row>
    <row r="315" ht="15.75" customHeight="1">
      <c r="A315" s="224"/>
      <c r="B315" s="186"/>
      <c r="C315" s="210"/>
      <c r="D315" s="210"/>
      <c r="E315" s="204"/>
      <c r="F315" s="205"/>
      <c r="G315" s="205"/>
    </row>
    <row r="316" ht="15.75" customHeight="1">
      <c r="A316" s="224"/>
      <c r="B316" s="186"/>
      <c r="C316" s="210"/>
      <c r="D316" s="210"/>
      <c r="E316" s="204"/>
      <c r="F316" s="205"/>
      <c r="G316" s="205"/>
    </row>
    <row r="317" ht="15.75" customHeight="1">
      <c r="A317" s="224"/>
      <c r="B317" s="186"/>
      <c r="C317" s="210"/>
      <c r="D317" s="210"/>
      <c r="E317" s="204"/>
      <c r="F317" s="205"/>
      <c r="G317" s="205"/>
    </row>
    <row r="318" ht="15.75" customHeight="1">
      <c r="A318" s="224"/>
      <c r="B318" s="186"/>
      <c r="C318" s="210"/>
      <c r="D318" s="210"/>
      <c r="E318" s="204"/>
      <c r="F318" s="205"/>
      <c r="G318" s="205"/>
    </row>
    <row r="319" ht="15.75" customHeight="1">
      <c r="A319" s="224"/>
      <c r="B319" s="186"/>
      <c r="C319" s="210"/>
      <c r="D319" s="210"/>
      <c r="E319" s="204"/>
      <c r="F319" s="205"/>
      <c r="G319" s="205"/>
    </row>
    <row r="320" ht="15.75" customHeight="1">
      <c r="A320" s="224"/>
      <c r="B320" s="186"/>
      <c r="C320" s="210"/>
      <c r="D320" s="210"/>
      <c r="E320" s="204"/>
      <c r="F320" s="205"/>
      <c r="G320" s="205"/>
    </row>
    <row r="321" ht="15.75" customHeight="1">
      <c r="A321" s="224"/>
      <c r="B321" s="186"/>
      <c r="C321" s="210"/>
      <c r="D321" s="210"/>
      <c r="E321" s="204"/>
      <c r="F321" s="205"/>
      <c r="G321" s="205"/>
    </row>
    <row r="322" ht="15.75" customHeight="1">
      <c r="A322" s="224"/>
      <c r="B322" s="186"/>
      <c r="C322" s="210"/>
      <c r="D322" s="210"/>
      <c r="E322" s="204"/>
      <c r="F322" s="205"/>
      <c r="G322" s="205"/>
    </row>
    <row r="323" ht="15.75" customHeight="1">
      <c r="A323" s="224"/>
      <c r="B323" s="186"/>
      <c r="C323" s="210"/>
      <c r="D323" s="210"/>
      <c r="E323" s="204"/>
      <c r="F323" s="205"/>
      <c r="G323" s="205"/>
    </row>
    <row r="324" ht="15.75" customHeight="1">
      <c r="A324" s="224"/>
      <c r="B324" s="186"/>
      <c r="C324" s="210"/>
      <c r="D324" s="210"/>
      <c r="E324" s="204"/>
      <c r="F324" s="205"/>
      <c r="G324" s="205"/>
    </row>
    <row r="325" ht="15.75" customHeight="1">
      <c r="A325" s="224"/>
      <c r="B325" s="186"/>
      <c r="C325" s="210"/>
      <c r="D325" s="210"/>
      <c r="E325" s="204"/>
      <c r="F325" s="205"/>
      <c r="G325" s="205"/>
    </row>
    <row r="326" ht="15.75" customHeight="1">
      <c r="A326" s="224"/>
      <c r="B326" s="186"/>
      <c r="C326" s="210"/>
      <c r="D326" s="210"/>
      <c r="E326" s="204"/>
      <c r="F326" s="205"/>
      <c r="G326" s="205"/>
    </row>
    <row r="327" ht="15.75" customHeight="1">
      <c r="A327" s="224"/>
      <c r="B327" s="186"/>
      <c r="C327" s="210"/>
      <c r="D327" s="210"/>
      <c r="E327" s="204"/>
      <c r="F327" s="205"/>
      <c r="G327" s="205"/>
    </row>
    <row r="328" ht="15.75" customHeight="1">
      <c r="A328" s="224"/>
      <c r="B328" s="186"/>
      <c r="C328" s="210"/>
      <c r="D328" s="210"/>
      <c r="E328" s="204"/>
      <c r="F328" s="205"/>
      <c r="G328" s="205"/>
    </row>
    <row r="329" ht="15.75" customHeight="1">
      <c r="A329" s="224"/>
      <c r="B329" s="186"/>
      <c r="C329" s="210"/>
      <c r="D329" s="210"/>
      <c r="E329" s="204"/>
      <c r="F329" s="205"/>
      <c r="G329" s="205"/>
    </row>
    <row r="330" ht="15.75" customHeight="1">
      <c r="A330" s="224"/>
      <c r="B330" s="186"/>
      <c r="C330" s="210"/>
      <c r="D330" s="210"/>
      <c r="E330" s="204"/>
      <c r="F330" s="205"/>
      <c r="G330" s="205"/>
    </row>
    <row r="331" ht="15.75" customHeight="1">
      <c r="A331" s="224"/>
      <c r="B331" s="186"/>
      <c r="C331" s="210"/>
      <c r="D331" s="210"/>
      <c r="E331" s="204"/>
      <c r="F331" s="205"/>
      <c r="G331" s="205"/>
    </row>
    <row r="332" ht="15.75" customHeight="1">
      <c r="A332" s="224"/>
      <c r="B332" s="186"/>
      <c r="C332" s="210"/>
      <c r="D332" s="210"/>
      <c r="E332" s="204"/>
      <c r="F332" s="205"/>
      <c r="G332" s="205"/>
    </row>
    <row r="333" ht="15.75" customHeight="1">
      <c r="A333" s="224"/>
      <c r="B333" s="186"/>
      <c r="C333" s="210"/>
      <c r="D333" s="210"/>
      <c r="E333" s="204"/>
      <c r="F333" s="205"/>
      <c r="G333" s="205"/>
    </row>
    <row r="334" ht="15.75" customHeight="1">
      <c r="A334" s="224"/>
      <c r="B334" s="186"/>
      <c r="C334" s="210"/>
      <c r="D334" s="210"/>
      <c r="E334" s="204"/>
      <c r="F334" s="205"/>
      <c r="G334" s="205"/>
    </row>
    <row r="335" ht="15.75" customHeight="1">
      <c r="A335" s="224"/>
      <c r="B335" s="186"/>
      <c r="C335" s="210"/>
      <c r="D335" s="210"/>
      <c r="E335" s="204"/>
      <c r="F335" s="205"/>
      <c r="G335" s="205"/>
    </row>
    <row r="336" ht="15.75" customHeight="1">
      <c r="A336" s="224"/>
      <c r="B336" s="186"/>
      <c r="C336" s="210"/>
      <c r="D336" s="210"/>
      <c r="E336" s="204"/>
      <c r="F336" s="205"/>
      <c r="G336" s="205"/>
    </row>
    <row r="337" ht="15.75" customHeight="1">
      <c r="A337" s="224"/>
      <c r="B337" s="186"/>
      <c r="C337" s="210"/>
      <c r="D337" s="210"/>
      <c r="E337" s="204"/>
      <c r="F337" s="205"/>
      <c r="G337" s="205"/>
    </row>
    <row r="338" ht="15.75" customHeight="1">
      <c r="A338" s="224"/>
      <c r="B338" s="186"/>
      <c r="C338" s="210"/>
      <c r="D338" s="210"/>
      <c r="E338" s="204"/>
      <c r="F338" s="205"/>
      <c r="G338" s="205"/>
    </row>
    <row r="339" ht="15.75" customHeight="1">
      <c r="A339" s="224"/>
      <c r="B339" s="186"/>
      <c r="C339" s="210"/>
      <c r="D339" s="210"/>
      <c r="E339" s="204"/>
      <c r="F339" s="205"/>
      <c r="G339" s="205"/>
    </row>
    <row r="340" ht="15.75" customHeight="1">
      <c r="A340" s="224"/>
      <c r="B340" s="186"/>
      <c r="C340" s="210"/>
      <c r="D340" s="210"/>
      <c r="E340" s="204"/>
      <c r="F340" s="205"/>
      <c r="G340" s="205"/>
    </row>
    <row r="341" ht="15.75" customHeight="1">
      <c r="A341" s="224"/>
      <c r="B341" s="186"/>
      <c r="C341" s="210"/>
      <c r="D341" s="210"/>
      <c r="E341" s="204"/>
      <c r="F341" s="205"/>
      <c r="G341" s="205"/>
    </row>
    <row r="342" ht="15.75" customHeight="1">
      <c r="A342" s="224"/>
      <c r="B342" s="186"/>
      <c r="C342" s="210"/>
      <c r="D342" s="210"/>
      <c r="E342" s="204"/>
      <c r="F342" s="205"/>
      <c r="G342" s="205"/>
    </row>
    <row r="343" ht="15.75" customHeight="1">
      <c r="A343" s="224"/>
      <c r="B343" s="186"/>
      <c r="C343" s="210"/>
      <c r="D343" s="210"/>
      <c r="E343" s="204"/>
      <c r="F343" s="205"/>
      <c r="G343" s="205"/>
    </row>
    <row r="344" ht="15.75" customHeight="1">
      <c r="A344" s="224"/>
      <c r="B344" s="186"/>
      <c r="C344" s="210"/>
      <c r="D344" s="210"/>
      <c r="E344" s="204"/>
      <c r="F344" s="205"/>
      <c r="G344" s="205"/>
    </row>
    <row r="345" ht="15.75" customHeight="1">
      <c r="A345" s="224"/>
      <c r="B345" s="186"/>
      <c r="C345" s="210"/>
      <c r="D345" s="210"/>
      <c r="E345" s="204"/>
      <c r="F345" s="205"/>
      <c r="G345" s="205"/>
    </row>
    <row r="346" ht="15.75" customHeight="1">
      <c r="A346" s="224"/>
      <c r="B346" s="186"/>
      <c r="C346" s="210"/>
      <c r="D346" s="210"/>
      <c r="E346" s="204"/>
      <c r="F346" s="205"/>
      <c r="G346" s="205"/>
    </row>
    <row r="347" ht="15.75" customHeight="1">
      <c r="A347" s="224"/>
      <c r="B347" s="186"/>
      <c r="C347" s="210"/>
      <c r="D347" s="210"/>
      <c r="E347" s="204"/>
      <c r="F347" s="205"/>
      <c r="G347" s="205"/>
    </row>
    <row r="348" ht="15.75" customHeight="1">
      <c r="A348" s="224"/>
      <c r="B348" s="186"/>
      <c r="C348" s="210"/>
      <c r="D348" s="210"/>
      <c r="E348" s="204"/>
      <c r="F348" s="205"/>
      <c r="G348" s="205"/>
    </row>
    <row r="349" ht="15.75" customHeight="1">
      <c r="A349" s="224"/>
      <c r="B349" s="186"/>
      <c r="C349" s="210"/>
      <c r="D349" s="210"/>
      <c r="E349" s="204"/>
      <c r="F349" s="205"/>
      <c r="G349" s="205"/>
    </row>
    <row r="350" ht="15.75" customHeight="1">
      <c r="A350" s="224"/>
      <c r="B350" s="186"/>
      <c r="C350" s="210"/>
      <c r="D350" s="210"/>
      <c r="E350" s="204"/>
      <c r="F350" s="205"/>
      <c r="G350" s="205"/>
    </row>
    <row r="351" ht="15.75" customHeight="1">
      <c r="A351" s="224"/>
      <c r="B351" s="186"/>
      <c r="C351" s="210"/>
      <c r="D351" s="210"/>
      <c r="E351" s="204"/>
      <c r="F351" s="205"/>
      <c r="G351" s="205"/>
    </row>
    <row r="352" ht="15.75" customHeight="1">
      <c r="A352" s="224"/>
      <c r="B352" s="186"/>
      <c r="C352" s="210"/>
      <c r="D352" s="210"/>
      <c r="E352" s="204"/>
      <c r="F352" s="205"/>
      <c r="G352" s="205"/>
    </row>
    <row r="353" ht="15.75" customHeight="1">
      <c r="A353" s="224"/>
      <c r="B353" s="186"/>
      <c r="C353" s="210"/>
      <c r="D353" s="210"/>
      <c r="E353" s="204"/>
      <c r="F353" s="205"/>
      <c r="G353" s="205"/>
    </row>
    <row r="354" ht="15.75" customHeight="1">
      <c r="A354" s="224"/>
      <c r="B354" s="186"/>
      <c r="C354" s="210"/>
      <c r="D354" s="210"/>
      <c r="E354" s="204"/>
      <c r="F354" s="205"/>
      <c r="G354" s="205"/>
    </row>
    <row r="355" ht="15.75" customHeight="1">
      <c r="A355" s="224"/>
      <c r="B355" s="186"/>
      <c r="C355" s="210"/>
      <c r="D355" s="210"/>
      <c r="E355" s="204"/>
      <c r="F355" s="205"/>
      <c r="G355" s="205"/>
    </row>
    <row r="356" ht="15.75" customHeight="1">
      <c r="A356" s="224"/>
      <c r="B356" s="186"/>
      <c r="C356" s="210"/>
      <c r="D356" s="210"/>
      <c r="E356" s="204"/>
      <c r="F356" s="205"/>
      <c r="G356" s="205"/>
    </row>
    <row r="357" ht="15.75" customHeight="1">
      <c r="A357" s="224"/>
      <c r="B357" s="186"/>
      <c r="C357" s="210"/>
      <c r="D357" s="210"/>
      <c r="E357" s="204"/>
      <c r="F357" s="205"/>
      <c r="G357" s="205"/>
    </row>
    <row r="358" ht="15.75" customHeight="1">
      <c r="A358" s="224"/>
      <c r="B358" s="186"/>
      <c r="C358" s="210"/>
      <c r="D358" s="210"/>
      <c r="E358" s="204"/>
      <c r="F358" s="205"/>
      <c r="G358" s="205"/>
    </row>
    <row r="359" ht="15.75" customHeight="1">
      <c r="A359" s="224"/>
      <c r="B359" s="186"/>
      <c r="C359" s="210"/>
      <c r="D359" s="210"/>
      <c r="E359" s="204"/>
      <c r="F359" s="205"/>
      <c r="G359" s="205"/>
    </row>
    <row r="360" ht="15.75" customHeight="1">
      <c r="A360" s="224"/>
      <c r="B360" s="186"/>
      <c r="C360" s="210"/>
      <c r="D360" s="210"/>
      <c r="E360" s="204"/>
      <c r="F360" s="205"/>
      <c r="G360" s="205"/>
    </row>
    <row r="361" ht="15.75" customHeight="1">
      <c r="A361" s="224"/>
      <c r="B361" s="186"/>
      <c r="C361" s="210"/>
      <c r="D361" s="210"/>
      <c r="E361" s="204"/>
      <c r="F361" s="205"/>
      <c r="G361" s="205"/>
    </row>
    <row r="362" ht="15.75" customHeight="1">
      <c r="A362" s="224"/>
      <c r="B362" s="186"/>
      <c r="C362" s="210"/>
      <c r="D362" s="210"/>
      <c r="E362" s="204"/>
      <c r="F362" s="205"/>
      <c r="G362" s="205"/>
    </row>
    <row r="363" ht="15.75" customHeight="1">
      <c r="A363" s="224"/>
      <c r="B363" s="186"/>
      <c r="C363" s="210"/>
      <c r="D363" s="210"/>
      <c r="E363" s="204"/>
      <c r="F363" s="205"/>
      <c r="G363" s="205"/>
    </row>
    <row r="364" ht="15.75" customHeight="1">
      <c r="A364" s="224"/>
      <c r="B364" s="186"/>
      <c r="C364" s="210"/>
      <c r="D364" s="210"/>
      <c r="E364" s="204"/>
      <c r="F364" s="205"/>
      <c r="G364" s="205"/>
    </row>
    <row r="365" ht="15.75" customHeight="1">
      <c r="A365" s="224"/>
      <c r="B365" s="186"/>
      <c r="C365" s="210"/>
      <c r="D365" s="210"/>
      <c r="E365" s="204"/>
      <c r="F365" s="205"/>
      <c r="G365" s="205"/>
    </row>
    <row r="366" ht="15.75" customHeight="1">
      <c r="A366" s="224"/>
      <c r="B366" s="186"/>
      <c r="C366" s="210"/>
      <c r="D366" s="210"/>
      <c r="E366" s="204"/>
      <c r="F366" s="205"/>
      <c r="G366" s="205"/>
    </row>
    <row r="367" ht="15.75" customHeight="1">
      <c r="A367" s="224"/>
      <c r="B367" s="186"/>
      <c r="C367" s="210"/>
      <c r="D367" s="210"/>
      <c r="E367" s="204"/>
      <c r="F367" s="205"/>
      <c r="G367" s="205"/>
    </row>
    <row r="368" ht="15.75" customHeight="1">
      <c r="A368" s="224"/>
      <c r="B368" s="186"/>
      <c r="C368" s="210"/>
      <c r="D368" s="210"/>
      <c r="E368" s="204"/>
      <c r="F368" s="205"/>
      <c r="G368" s="205"/>
    </row>
    <row r="369" ht="15.75" customHeight="1">
      <c r="A369" s="224"/>
      <c r="B369" s="186"/>
      <c r="C369" s="210"/>
      <c r="D369" s="210"/>
      <c r="E369" s="204"/>
      <c r="F369" s="205"/>
      <c r="G369" s="205"/>
    </row>
    <row r="370" ht="15.75" customHeight="1">
      <c r="A370" s="224"/>
      <c r="B370" s="186"/>
      <c r="C370" s="210"/>
      <c r="D370" s="210"/>
      <c r="E370" s="204"/>
      <c r="F370" s="205"/>
      <c r="G370" s="205"/>
    </row>
    <row r="371" ht="15.75" customHeight="1">
      <c r="A371" s="224"/>
      <c r="B371" s="186"/>
      <c r="C371" s="210"/>
      <c r="D371" s="210"/>
      <c r="E371" s="204"/>
      <c r="F371" s="205"/>
      <c r="G371" s="205"/>
    </row>
    <row r="372" ht="15.75" customHeight="1">
      <c r="A372" s="224"/>
      <c r="B372" s="186"/>
      <c r="C372" s="210"/>
      <c r="D372" s="210"/>
      <c r="E372" s="204"/>
      <c r="F372" s="205"/>
      <c r="G372" s="205"/>
    </row>
    <row r="373" ht="15.75" customHeight="1">
      <c r="A373" s="224"/>
      <c r="B373" s="186"/>
      <c r="C373" s="210"/>
      <c r="D373" s="210"/>
      <c r="E373" s="204"/>
      <c r="F373" s="205"/>
      <c r="G373" s="205"/>
    </row>
    <row r="374" ht="15.75" customHeight="1">
      <c r="A374" s="224"/>
      <c r="B374" s="186"/>
      <c r="C374" s="210"/>
      <c r="D374" s="210"/>
      <c r="E374" s="204"/>
      <c r="F374" s="205"/>
      <c r="G374" s="205"/>
    </row>
    <row r="375" ht="15.75" customHeight="1">
      <c r="A375" s="224"/>
      <c r="B375" s="186"/>
      <c r="C375" s="210"/>
      <c r="D375" s="210"/>
      <c r="E375" s="204"/>
      <c r="F375" s="205"/>
      <c r="G375" s="205"/>
    </row>
    <row r="376" ht="15.75" customHeight="1">
      <c r="A376" s="224"/>
      <c r="B376" s="186"/>
      <c r="C376" s="210"/>
      <c r="D376" s="210"/>
      <c r="E376" s="204"/>
      <c r="F376" s="205"/>
      <c r="G376" s="205"/>
    </row>
    <row r="377" ht="15.75" customHeight="1">
      <c r="A377" s="224"/>
      <c r="B377" s="186"/>
      <c r="C377" s="210"/>
      <c r="D377" s="210"/>
      <c r="E377" s="204"/>
      <c r="F377" s="205"/>
      <c r="G377" s="205"/>
    </row>
    <row r="378" ht="15.75" customHeight="1">
      <c r="A378" s="224"/>
      <c r="B378" s="186"/>
      <c r="C378" s="210"/>
      <c r="D378" s="210"/>
      <c r="E378" s="204"/>
      <c r="F378" s="205"/>
      <c r="G378" s="205"/>
    </row>
    <row r="379" ht="15.75" customHeight="1">
      <c r="A379" s="224"/>
      <c r="B379" s="186"/>
      <c r="C379" s="210"/>
      <c r="D379" s="210"/>
      <c r="E379" s="204"/>
      <c r="F379" s="205"/>
      <c r="G379" s="205"/>
    </row>
    <row r="380" ht="15.75" customHeight="1">
      <c r="A380" s="224"/>
      <c r="B380" s="186"/>
      <c r="C380" s="210"/>
      <c r="D380" s="210"/>
      <c r="E380" s="204"/>
      <c r="F380" s="205"/>
      <c r="G380" s="205"/>
    </row>
    <row r="381" ht="15.75" customHeight="1">
      <c r="A381" s="224"/>
      <c r="B381" s="186"/>
      <c r="C381" s="210"/>
      <c r="D381" s="210"/>
      <c r="E381" s="204"/>
      <c r="F381" s="205"/>
      <c r="G381" s="205"/>
    </row>
    <row r="382" ht="15.75" customHeight="1">
      <c r="A382" s="224"/>
      <c r="B382" s="186"/>
      <c r="C382" s="210"/>
      <c r="D382" s="210"/>
      <c r="E382" s="204"/>
      <c r="F382" s="205"/>
      <c r="G382" s="205"/>
    </row>
    <row r="383" ht="15.75" customHeight="1">
      <c r="A383" s="224"/>
      <c r="B383" s="186"/>
      <c r="C383" s="210"/>
      <c r="D383" s="210"/>
      <c r="E383" s="204"/>
      <c r="F383" s="205"/>
      <c r="G383" s="205"/>
    </row>
    <row r="384" ht="15.75" customHeight="1">
      <c r="A384" s="224"/>
      <c r="B384" s="186"/>
      <c r="C384" s="210"/>
      <c r="D384" s="210"/>
      <c r="E384" s="204"/>
      <c r="F384" s="205"/>
      <c r="G384" s="205"/>
    </row>
    <row r="385" ht="15.75" customHeight="1">
      <c r="A385" s="224"/>
      <c r="B385" s="186"/>
      <c r="C385" s="210"/>
      <c r="D385" s="210"/>
      <c r="E385" s="204"/>
      <c r="F385" s="205"/>
      <c r="G385" s="205"/>
    </row>
    <row r="386" ht="15.75" customHeight="1">
      <c r="A386" s="224"/>
      <c r="B386" s="186"/>
      <c r="C386" s="210"/>
      <c r="D386" s="210"/>
      <c r="E386" s="204"/>
      <c r="F386" s="205"/>
      <c r="G386" s="205"/>
    </row>
    <row r="387" ht="15.75" customHeight="1">
      <c r="A387" s="224"/>
      <c r="B387" s="186"/>
      <c r="C387" s="210"/>
      <c r="D387" s="210"/>
      <c r="E387" s="204"/>
      <c r="F387" s="205"/>
      <c r="G387" s="205"/>
    </row>
    <row r="388" ht="15.75" customHeight="1">
      <c r="A388" s="224"/>
      <c r="B388" s="186"/>
      <c r="C388" s="210"/>
      <c r="D388" s="210"/>
      <c r="E388" s="204"/>
      <c r="F388" s="205"/>
      <c r="G388" s="205"/>
    </row>
    <row r="389" ht="15.75" customHeight="1">
      <c r="A389" s="224"/>
      <c r="B389" s="186"/>
      <c r="C389" s="210"/>
      <c r="D389" s="210"/>
      <c r="E389" s="204"/>
      <c r="F389" s="205"/>
      <c r="G389" s="205"/>
    </row>
    <row r="390" ht="15.75" customHeight="1">
      <c r="A390" s="224"/>
      <c r="B390" s="186"/>
      <c r="C390" s="210"/>
      <c r="D390" s="210"/>
      <c r="E390" s="204"/>
      <c r="F390" s="205"/>
      <c r="G390" s="205"/>
    </row>
    <row r="391" ht="15.75" customHeight="1">
      <c r="A391" s="224"/>
      <c r="B391" s="186"/>
      <c r="C391" s="210"/>
      <c r="D391" s="210"/>
      <c r="E391" s="204"/>
      <c r="F391" s="205"/>
      <c r="G391" s="205"/>
    </row>
    <row r="392" ht="15.75" customHeight="1">
      <c r="A392" s="224"/>
      <c r="B392" s="186"/>
      <c r="C392" s="210"/>
      <c r="D392" s="210"/>
      <c r="E392" s="204"/>
      <c r="F392" s="205"/>
      <c r="G392" s="205"/>
    </row>
    <row r="393" ht="15.75" customHeight="1">
      <c r="A393" s="224"/>
      <c r="B393" s="186"/>
      <c r="C393" s="210"/>
      <c r="D393" s="210"/>
      <c r="E393" s="204"/>
      <c r="F393" s="205"/>
      <c r="G393" s="205"/>
    </row>
    <row r="394" ht="15.75" customHeight="1">
      <c r="A394" s="224"/>
      <c r="B394" s="186"/>
      <c r="C394" s="210"/>
      <c r="D394" s="210"/>
      <c r="E394" s="204"/>
      <c r="F394" s="205"/>
      <c r="G394" s="205"/>
    </row>
    <row r="395" ht="15.75" customHeight="1">
      <c r="A395" s="224"/>
      <c r="B395" s="186"/>
      <c r="C395" s="210"/>
      <c r="D395" s="210"/>
      <c r="E395" s="204"/>
      <c r="F395" s="205"/>
      <c r="G395" s="205"/>
    </row>
    <row r="396" ht="15.75" customHeight="1">
      <c r="A396" s="224"/>
      <c r="B396" s="186"/>
      <c r="C396" s="210"/>
      <c r="D396" s="210"/>
      <c r="E396" s="204"/>
      <c r="F396" s="205"/>
      <c r="G396" s="205"/>
    </row>
    <row r="397" ht="15.75" customHeight="1">
      <c r="A397" s="224"/>
      <c r="B397" s="186"/>
      <c r="C397" s="210"/>
      <c r="D397" s="210"/>
      <c r="E397" s="204"/>
      <c r="F397" s="205"/>
      <c r="G397" s="205"/>
    </row>
    <row r="398" ht="15.75" customHeight="1">
      <c r="A398" s="224"/>
      <c r="B398" s="186"/>
      <c r="C398" s="210"/>
      <c r="D398" s="210"/>
      <c r="E398" s="204"/>
      <c r="F398" s="205"/>
      <c r="G398" s="205"/>
    </row>
    <row r="399" ht="15.75" customHeight="1">
      <c r="A399" s="224"/>
      <c r="B399" s="186"/>
      <c r="C399" s="210"/>
      <c r="D399" s="210"/>
      <c r="E399" s="204"/>
      <c r="F399" s="205"/>
      <c r="G399" s="205"/>
    </row>
    <row r="400" ht="15.75" customHeight="1">
      <c r="A400" s="224"/>
      <c r="B400" s="186"/>
      <c r="C400" s="210"/>
      <c r="D400" s="210"/>
      <c r="E400" s="204"/>
      <c r="F400" s="205"/>
      <c r="G400" s="205"/>
    </row>
    <row r="401" ht="15.75" customHeight="1">
      <c r="A401" s="224"/>
      <c r="B401" s="186"/>
      <c r="C401" s="210"/>
      <c r="D401" s="210"/>
      <c r="E401" s="204"/>
      <c r="F401" s="205"/>
      <c r="G401" s="205"/>
    </row>
    <row r="402" ht="15.75" customHeight="1">
      <c r="A402" s="224"/>
      <c r="B402" s="186"/>
      <c r="C402" s="210"/>
      <c r="D402" s="210"/>
      <c r="E402" s="204"/>
      <c r="F402" s="205"/>
      <c r="G402" s="205"/>
    </row>
    <row r="403" ht="15.75" customHeight="1">
      <c r="A403" s="224"/>
      <c r="B403" s="186"/>
      <c r="C403" s="210"/>
      <c r="D403" s="210"/>
      <c r="E403" s="204"/>
      <c r="F403" s="205"/>
      <c r="G403" s="205"/>
    </row>
    <row r="404" ht="15.75" customHeight="1">
      <c r="A404" s="224"/>
      <c r="B404" s="186"/>
      <c r="C404" s="210"/>
      <c r="D404" s="210"/>
      <c r="E404" s="204"/>
      <c r="F404" s="205"/>
      <c r="G404" s="205"/>
    </row>
    <row r="405" ht="15.75" customHeight="1">
      <c r="A405" s="224"/>
      <c r="B405" s="186"/>
      <c r="C405" s="210"/>
      <c r="D405" s="210"/>
      <c r="E405" s="204"/>
      <c r="F405" s="205"/>
      <c r="G405" s="205"/>
    </row>
    <row r="406" ht="15.75" customHeight="1">
      <c r="A406" s="224"/>
      <c r="B406" s="186"/>
      <c r="C406" s="210"/>
      <c r="D406" s="210"/>
      <c r="E406" s="204"/>
      <c r="F406" s="205"/>
      <c r="G406" s="205"/>
    </row>
    <row r="407" ht="15.75" customHeight="1">
      <c r="A407" s="224"/>
      <c r="B407" s="186"/>
      <c r="C407" s="210"/>
      <c r="D407" s="210"/>
      <c r="E407" s="204"/>
      <c r="F407" s="205"/>
      <c r="G407" s="205"/>
    </row>
    <row r="408" ht="15.75" customHeight="1">
      <c r="A408" s="224"/>
      <c r="B408" s="186"/>
      <c r="C408" s="210"/>
      <c r="D408" s="210"/>
      <c r="E408" s="204"/>
      <c r="F408" s="205"/>
      <c r="G408" s="205"/>
    </row>
    <row r="409" ht="15.75" customHeight="1">
      <c r="A409" s="224"/>
      <c r="B409" s="186"/>
      <c r="C409" s="210"/>
      <c r="D409" s="210"/>
      <c r="E409" s="204"/>
      <c r="F409" s="205"/>
      <c r="G409" s="205"/>
    </row>
    <row r="410" ht="15.75" customHeight="1">
      <c r="A410" s="224"/>
      <c r="B410" s="186"/>
      <c r="C410" s="210"/>
      <c r="D410" s="210"/>
      <c r="E410" s="204"/>
      <c r="F410" s="205"/>
      <c r="G410" s="205"/>
    </row>
    <row r="411" ht="15.75" customHeight="1">
      <c r="A411" s="224"/>
      <c r="B411" s="186"/>
      <c r="C411" s="210"/>
      <c r="D411" s="210"/>
      <c r="E411" s="204"/>
      <c r="F411" s="205"/>
      <c r="G411" s="205"/>
    </row>
    <row r="412" ht="15.75" customHeight="1">
      <c r="A412" s="224"/>
      <c r="B412" s="186"/>
      <c r="C412" s="210"/>
      <c r="D412" s="210"/>
      <c r="E412" s="204"/>
      <c r="F412" s="205"/>
      <c r="G412" s="205"/>
    </row>
    <row r="413" ht="15.75" customHeight="1">
      <c r="A413" s="224"/>
      <c r="B413" s="186"/>
      <c r="C413" s="210"/>
      <c r="D413" s="210"/>
      <c r="E413" s="204"/>
      <c r="F413" s="205"/>
      <c r="G413" s="205"/>
    </row>
    <row r="414" ht="15.75" customHeight="1">
      <c r="A414" s="224"/>
      <c r="B414" s="186"/>
      <c r="C414" s="210"/>
      <c r="D414" s="210"/>
      <c r="E414" s="204"/>
      <c r="F414" s="205"/>
      <c r="G414" s="205"/>
    </row>
    <row r="415" ht="15.75" customHeight="1">
      <c r="A415" s="224"/>
      <c r="B415" s="186"/>
      <c r="C415" s="210"/>
      <c r="D415" s="210"/>
      <c r="E415" s="204"/>
      <c r="F415" s="205"/>
      <c r="G415" s="205"/>
    </row>
    <row r="416" ht="15.75" customHeight="1">
      <c r="A416" s="224"/>
      <c r="B416" s="186"/>
      <c r="C416" s="210"/>
      <c r="D416" s="210"/>
      <c r="E416" s="204"/>
      <c r="F416" s="205"/>
      <c r="G416" s="205"/>
    </row>
    <row r="417" ht="15.75" customHeight="1">
      <c r="A417" s="224"/>
      <c r="B417" s="186"/>
      <c r="C417" s="210"/>
      <c r="D417" s="210"/>
      <c r="E417" s="204"/>
      <c r="F417" s="205"/>
      <c r="G417" s="205"/>
    </row>
    <row r="418" ht="15.75" customHeight="1">
      <c r="A418" s="224"/>
      <c r="B418" s="186"/>
      <c r="C418" s="210"/>
      <c r="D418" s="210"/>
      <c r="E418" s="204"/>
      <c r="F418" s="205"/>
      <c r="G418" s="205"/>
    </row>
    <row r="419" ht="15.75" customHeight="1">
      <c r="A419" s="224"/>
      <c r="B419" s="186"/>
      <c r="C419" s="210"/>
      <c r="D419" s="210"/>
      <c r="E419" s="204"/>
      <c r="F419" s="205"/>
      <c r="G419" s="205"/>
    </row>
    <row r="420" ht="15.75" customHeight="1">
      <c r="A420" s="224"/>
      <c r="B420" s="186"/>
      <c r="C420" s="210"/>
      <c r="D420" s="210"/>
      <c r="E420" s="204"/>
      <c r="F420" s="205"/>
      <c r="G420" s="205"/>
    </row>
    <row r="421" ht="15.75" customHeight="1">
      <c r="A421" s="224"/>
      <c r="B421" s="186"/>
      <c r="C421" s="210"/>
      <c r="D421" s="210"/>
      <c r="E421" s="204"/>
      <c r="F421" s="205"/>
      <c r="G421" s="205"/>
    </row>
    <row r="422" ht="15.75" customHeight="1">
      <c r="A422" s="224"/>
      <c r="B422" s="186"/>
      <c r="C422" s="210"/>
      <c r="D422" s="210"/>
      <c r="E422" s="204"/>
      <c r="F422" s="205"/>
      <c r="G422" s="205"/>
    </row>
    <row r="423" ht="15.75" customHeight="1">
      <c r="A423" s="224"/>
      <c r="B423" s="186"/>
      <c r="C423" s="210"/>
      <c r="D423" s="210"/>
      <c r="E423" s="204"/>
      <c r="F423" s="205"/>
      <c r="G423" s="205"/>
    </row>
    <row r="424" ht="15.75" customHeight="1">
      <c r="A424" s="224"/>
      <c r="B424" s="186"/>
      <c r="C424" s="210"/>
      <c r="D424" s="210"/>
      <c r="E424" s="204"/>
      <c r="F424" s="205"/>
      <c r="G424" s="205"/>
    </row>
    <row r="425" ht="15.75" customHeight="1">
      <c r="A425" s="224"/>
      <c r="B425" s="186"/>
      <c r="C425" s="210"/>
      <c r="D425" s="210"/>
      <c r="E425" s="204"/>
      <c r="F425" s="205"/>
      <c r="G425" s="205"/>
    </row>
    <row r="426" ht="15.75" customHeight="1">
      <c r="A426" s="224"/>
      <c r="B426" s="186"/>
      <c r="C426" s="210"/>
      <c r="D426" s="210"/>
      <c r="E426" s="204"/>
      <c r="F426" s="205"/>
      <c r="G426" s="205"/>
    </row>
    <row r="427" ht="15.75" customHeight="1">
      <c r="A427" s="224"/>
      <c r="B427" s="186"/>
      <c r="C427" s="210"/>
      <c r="D427" s="210"/>
      <c r="E427" s="204"/>
      <c r="F427" s="205"/>
      <c r="G427" s="205"/>
    </row>
    <row r="428" ht="15.75" customHeight="1">
      <c r="A428" s="224"/>
      <c r="B428" s="186"/>
      <c r="C428" s="210"/>
      <c r="D428" s="210"/>
      <c r="E428" s="204"/>
      <c r="F428" s="205"/>
      <c r="G428" s="205"/>
    </row>
    <row r="429" ht="15.75" customHeight="1">
      <c r="A429" s="224"/>
      <c r="B429" s="186"/>
      <c r="C429" s="210"/>
      <c r="D429" s="210"/>
      <c r="E429" s="204"/>
      <c r="F429" s="205"/>
      <c r="G429" s="205"/>
    </row>
    <row r="430" ht="15.75" customHeight="1">
      <c r="A430" s="224"/>
      <c r="B430" s="186"/>
      <c r="C430" s="210"/>
      <c r="D430" s="210"/>
      <c r="E430" s="204"/>
      <c r="F430" s="205"/>
      <c r="G430" s="205"/>
    </row>
    <row r="431" ht="15.75" customHeight="1">
      <c r="A431" s="224"/>
      <c r="B431" s="186"/>
      <c r="C431" s="210"/>
      <c r="D431" s="210"/>
      <c r="E431" s="204"/>
      <c r="F431" s="205"/>
      <c r="G431" s="205"/>
    </row>
    <row r="432" ht="15.75" customHeight="1">
      <c r="A432" s="224"/>
      <c r="B432" s="186"/>
      <c r="C432" s="210"/>
      <c r="D432" s="210"/>
      <c r="E432" s="204"/>
      <c r="F432" s="205"/>
      <c r="G432" s="205"/>
    </row>
    <row r="433" ht="15.75" customHeight="1">
      <c r="A433" s="224"/>
      <c r="B433" s="186"/>
      <c r="C433" s="210"/>
      <c r="D433" s="210"/>
      <c r="E433" s="204"/>
      <c r="F433" s="205"/>
      <c r="G433" s="205"/>
    </row>
    <row r="434" ht="15.75" customHeight="1">
      <c r="A434" s="224"/>
      <c r="B434" s="186"/>
      <c r="C434" s="210"/>
      <c r="D434" s="210"/>
      <c r="E434" s="204"/>
      <c r="F434" s="205"/>
      <c r="G434" s="205"/>
    </row>
    <row r="435" ht="15.75" customHeight="1">
      <c r="A435" s="224"/>
      <c r="B435" s="186"/>
      <c r="C435" s="210"/>
      <c r="D435" s="210"/>
      <c r="E435" s="204"/>
      <c r="F435" s="205"/>
      <c r="G435" s="205"/>
    </row>
    <row r="436" ht="15.75" customHeight="1">
      <c r="A436" s="224"/>
      <c r="B436" s="186"/>
      <c r="C436" s="210"/>
      <c r="D436" s="210"/>
      <c r="E436" s="204"/>
      <c r="F436" s="205"/>
      <c r="G436" s="205"/>
    </row>
    <row r="437" ht="15.75" customHeight="1">
      <c r="A437" s="224"/>
      <c r="B437" s="186"/>
      <c r="C437" s="210"/>
      <c r="D437" s="210"/>
      <c r="E437" s="204"/>
      <c r="F437" s="205"/>
      <c r="G437" s="205"/>
    </row>
    <row r="438" ht="15.75" customHeight="1">
      <c r="A438" s="224"/>
      <c r="B438" s="186"/>
      <c r="C438" s="210"/>
      <c r="D438" s="210"/>
      <c r="E438" s="204"/>
      <c r="F438" s="205"/>
      <c r="G438" s="205"/>
    </row>
    <row r="439" ht="15.75" customHeight="1">
      <c r="A439" s="224"/>
      <c r="B439" s="186"/>
      <c r="C439" s="210"/>
      <c r="D439" s="210"/>
      <c r="E439" s="204"/>
      <c r="F439" s="205"/>
      <c r="G439" s="205"/>
    </row>
    <row r="440" ht="15.75" customHeight="1">
      <c r="A440" s="224"/>
      <c r="B440" s="186"/>
      <c r="C440" s="210"/>
      <c r="D440" s="210"/>
      <c r="E440" s="204"/>
      <c r="F440" s="205"/>
      <c r="G440" s="205"/>
    </row>
    <row r="441" ht="15.75" customHeight="1">
      <c r="A441" s="224"/>
      <c r="B441" s="186"/>
      <c r="C441" s="210"/>
      <c r="D441" s="210"/>
      <c r="E441" s="204"/>
      <c r="F441" s="205"/>
      <c r="G441" s="205"/>
    </row>
    <row r="442" ht="15.75" customHeight="1">
      <c r="A442" s="224"/>
      <c r="B442" s="186"/>
      <c r="C442" s="210"/>
      <c r="D442" s="210"/>
      <c r="E442" s="204"/>
      <c r="F442" s="205"/>
      <c r="G442" s="205"/>
    </row>
    <row r="443" ht="15.75" customHeight="1">
      <c r="A443" s="224"/>
      <c r="B443" s="186"/>
      <c r="C443" s="210"/>
      <c r="D443" s="210"/>
      <c r="E443" s="204"/>
      <c r="F443" s="205"/>
      <c r="G443" s="205"/>
    </row>
    <row r="444" ht="15.75" customHeight="1">
      <c r="A444" s="224"/>
      <c r="B444" s="186"/>
      <c r="C444" s="210"/>
      <c r="D444" s="210"/>
      <c r="E444" s="204"/>
      <c r="F444" s="205"/>
      <c r="G444" s="205"/>
    </row>
    <row r="445" ht="15.75" customHeight="1">
      <c r="A445" s="224"/>
      <c r="B445" s="186"/>
      <c r="C445" s="210"/>
      <c r="D445" s="210"/>
      <c r="E445" s="204"/>
      <c r="F445" s="205"/>
      <c r="G445" s="205"/>
    </row>
    <row r="446" ht="15.75" customHeight="1">
      <c r="A446" s="224"/>
      <c r="B446" s="186"/>
      <c r="C446" s="210"/>
      <c r="D446" s="210"/>
      <c r="E446" s="204"/>
      <c r="F446" s="205"/>
      <c r="G446" s="205"/>
    </row>
    <row r="447" ht="15.75" customHeight="1">
      <c r="A447" s="224"/>
      <c r="B447" s="186"/>
      <c r="C447" s="210"/>
      <c r="D447" s="210"/>
      <c r="E447" s="204"/>
      <c r="F447" s="205"/>
      <c r="G447" s="205"/>
    </row>
    <row r="448" ht="15.75" customHeight="1">
      <c r="A448" s="224"/>
      <c r="B448" s="186"/>
      <c r="C448" s="210"/>
      <c r="D448" s="210"/>
      <c r="E448" s="204"/>
      <c r="F448" s="205"/>
      <c r="G448" s="205"/>
    </row>
    <row r="449" ht="15.75" customHeight="1">
      <c r="A449" s="224"/>
      <c r="B449" s="186"/>
      <c r="C449" s="210"/>
      <c r="D449" s="210"/>
      <c r="E449" s="204"/>
      <c r="F449" s="205"/>
      <c r="G449" s="205"/>
    </row>
    <row r="450" ht="15.75" customHeight="1">
      <c r="A450" s="224"/>
      <c r="B450" s="186"/>
      <c r="C450" s="210"/>
      <c r="D450" s="210"/>
      <c r="E450" s="204"/>
      <c r="F450" s="205"/>
      <c r="G450" s="205"/>
    </row>
    <row r="451" ht="15.75" customHeight="1">
      <c r="A451" s="224"/>
      <c r="B451" s="186"/>
      <c r="C451" s="210"/>
      <c r="D451" s="210"/>
      <c r="E451" s="204"/>
      <c r="F451" s="205"/>
      <c r="G451" s="205"/>
    </row>
    <row r="452" ht="15.75" customHeight="1">
      <c r="A452" s="224"/>
      <c r="B452" s="186"/>
      <c r="C452" s="210"/>
      <c r="D452" s="210"/>
      <c r="E452" s="204"/>
      <c r="F452" s="205"/>
      <c r="G452" s="205"/>
    </row>
    <row r="453" ht="15.75" customHeight="1">
      <c r="A453" s="224"/>
      <c r="B453" s="186"/>
      <c r="C453" s="210"/>
      <c r="D453" s="210"/>
      <c r="E453" s="204"/>
      <c r="F453" s="205"/>
      <c r="G453" s="205"/>
    </row>
    <row r="454" ht="15.75" customHeight="1">
      <c r="A454" s="224"/>
      <c r="B454" s="186"/>
      <c r="C454" s="210"/>
      <c r="D454" s="210"/>
      <c r="E454" s="204"/>
      <c r="F454" s="205"/>
      <c r="G454" s="205"/>
    </row>
    <row r="455" ht="15.75" customHeight="1">
      <c r="A455" s="224"/>
      <c r="B455" s="186"/>
      <c r="C455" s="210"/>
      <c r="D455" s="210"/>
      <c r="E455" s="204"/>
      <c r="F455" s="205"/>
      <c r="G455" s="205"/>
    </row>
    <row r="456" ht="15.75" customHeight="1">
      <c r="A456" s="224"/>
      <c r="B456" s="186"/>
      <c r="C456" s="210"/>
      <c r="D456" s="210"/>
      <c r="E456" s="204"/>
      <c r="F456" s="205"/>
      <c r="G456" s="205"/>
    </row>
    <row r="457" ht="15.75" customHeight="1">
      <c r="A457" s="224"/>
      <c r="B457" s="186"/>
      <c r="C457" s="210"/>
      <c r="D457" s="210"/>
      <c r="E457" s="204"/>
      <c r="F457" s="205"/>
      <c r="G457" s="205"/>
    </row>
    <row r="458" ht="15.75" customHeight="1">
      <c r="A458" s="224"/>
      <c r="B458" s="186"/>
      <c r="C458" s="210"/>
      <c r="D458" s="210"/>
      <c r="E458" s="204"/>
      <c r="F458" s="205"/>
      <c r="G458" s="205"/>
    </row>
    <row r="459" ht="15.75" customHeight="1">
      <c r="A459" s="224"/>
      <c r="B459" s="186"/>
      <c r="C459" s="210"/>
      <c r="D459" s="210"/>
      <c r="E459" s="204"/>
      <c r="F459" s="205"/>
      <c r="G459" s="205"/>
    </row>
    <row r="460" ht="15.75" customHeight="1">
      <c r="A460" s="224"/>
      <c r="B460" s="186"/>
      <c r="C460" s="210"/>
      <c r="D460" s="210"/>
      <c r="E460" s="204"/>
      <c r="F460" s="205"/>
      <c r="G460" s="205"/>
    </row>
    <row r="461" ht="15.75" customHeight="1">
      <c r="A461" s="224"/>
      <c r="B461" s="186"/>
      <c r="C461" s="210"/>
      <c r="D461" s="210"/>
      <c r="E461" s="204"/>
      <c r="F461" s="205"/>
      <c r="G461" s="205"/>
    </row>
    <row r="462" ht="15.75" customHeight="1">
      <c r="A462" s="224"/>
      <c r="B462" s="186"/>
      <c r="C462" s="210"/>
      <c r="D462" s="210"/>
      <c r="E462" s="204"/>
      <c r="F462" s="205"/>
      <c r="G462" s="205"/>
    </row>
    <row r="463" ht="15.75" customHeight="1">
      <c r="A463" s="224"/>
      <c r="B463" s="186"/>
      <c r="C463" s="210"/>
      <c r="D463" s="210"/>
      <c r="E463" s="204"/>
      <c r="F463" s="205"/>
      <c r="G463" s="205"/>
    </row>
    <row r="464" ht="15.75" customHeight="1">
      <c r="A464" s="224"/>
      <c r="B464" s="186"/>
      <c r="C464" s="210"/>
      <c r="D464" s="210"/>
      <c r="E464" s="204"/>
      <c r="F464" s="205"/>
      <c r="G464" s="205"/>
    </row>
    <row r="465" ht="15.75" customHeight="1">
      <c r="A465" s="224"/>
      <c r="B465" s="186"/>
      <c r="C465" s="210"/>
      <c r="D465" s="210"/>
      <c r="E465" s="204"/>
      <c r="F465" s="205"/>
      <c r="G465" s="205"/>
    </row>
    <row r="466" ht="15.75" customHeight="1">
      <c r="A466" s="224"/>
      <c r="B466" s="186"/>
      <c r="C466" s="210"/>
      <c r="D466" s="210"/>
      <c r="E466" s="204"/>
      <c r="F466" s="205"/>
      <c r="G466" s="205"/>
    </row>
    <row r="467" ht="15.75" customHeight="1">
      <c r="A467" s="224"/>
      <c r="B467" s="186"/>
      <c r="C467" s="210"/>
      <c r="D467" s="210"/>
      <c r="E467" s="204"/>
      <c r="F467" s="205"/>
      <c r="G467" s="205"/>
    </row>
    <row r="468" ht="15.75" customHeight="1">
      <c r="A468" s="224"/>
      <c r="B468" s="186"/>
      <c r="C468" s="210"/>
      <c r="D468" s="210"/>
      <c r="E468" s="204"/>
      <c r="F468" s="205"/>
      <c r="G468" s="205"/>
    </row>
    <row r="469" ht="15.75" customHeight="1">
      <c r="A469" s="224"/>
      <c r="B469" s="186"/>
      <c r="C469" s="210"/>
      <c r="D469" s="210"/>
      <c r="E469" s="204"/>
      <c r="F469" s="205"/>
      <c r="G469" s="205"/>
    </row>
    <row r="470" ht="15.75" customHeight="1">
      <c r="A470" s="224"/>
      <c r="B470" s="186"/>
      <c r="C470" s="210"/>
      <c r="D470" s="210"/>
      <c r="E470" s="204"/>
      <c r="F470" s="205"/>
      <c r="G470" s="205"/>
    </row>
    <row r="471" ht="15.75" customHeight="1">
      <c r="A471" s="224"/>
      <c r="B471" s="186"/>
      <c r="C471" s="210"/>
      <c r="D471" s="210"/>
      <c r="E471" s="204"/>
      <c r="F471" s="205"/>
      <c r="G471" s="205"/>
    </row>
    <row r="472" ht="15.75" customHeight="1">
      <c r="A472" s="224"/>
      <c r="B472" s="186"/>
      <c r="C472" s="210"/>
      <c r="D472" s="210"/>
      <c r="E472" s="204"/>
      <c r="F472" s="205"/>
      <c r="G472" s="205"/>
    </row>
    <row r="473" ht="15.75" customHeight="1">
      <c r="A473" s="224"/>
      <c r="B473" s="186"/>
      <c r="C473" s="210"/>
      <c r="D473" s="210"/>
      <c r="E473" s="204"/>
      <c r="F473" s="205"/>
      <c r="G473" s="205"/>
    </row>
    <row r="474" ht="15.75" customHeight="1">
      <c r="A474" s="224"/>
      <c r="B474" s="186"/>
      <c r="C474" s="210"/>
      <c r="D474" s="210"/>
      <c r="E474" s="204"/>
      <c r="F474" s="205"/>
      <c r="G474" s="205"/>
    </row>
    <row r="475" ht="15.75" customHeight="1">
      <c r="A475" s="224"/>
      <c r="B475" s="186"/>
      <c r="C475" s="210"/>
      <c r="D475" s="210"/>
      <c r="E475" s="204"/>
      <c r="F475" s="205"/>
      <c r="G475" s="205"/>
    </row>
    <row r="476" ht="15.75" customHeight="1">
      <c r="A476" s="224"/>
      <c r="B476" s="186"/>
      <c r="C476" s="210"/>
      <c r="D476" s="210"/>
      <c r="E476" s="204"/>
      <c r="F476" s="205"/>
      <c r="G476" s="205"/>
    </row>
    <row r="477" ht="15.75" customHeight="1">
      <c r="A477" s="224"/>
      <c r="B477" s="186"/>
      <c r="C477" s="210"/>
      <c r="D477" s="210"/>
      <c r="E477" s="204"/>
      <c r="F477" s="205"/>
      <c r="G477" s="205"/>
    </row>
    <row r="478" ht="15.75" customHeight="1">
      <c r="A478" s="224"/>
      <c r="B478" s="186"/>
      <c r="C478" s="210"/>
      <c r="D478" s="210"/>
      <c r="E478" s="204"/>
      <c r="F478" s="205"/>
      <c r="G478" s="205"/>
    </row>
    <row r="479" ht="15.75" customHeight="1">
      <c r="A479" s="224"/>
      <c r="B479" s="186"/>
      <c r="C479" s="210"/>
      <c r="D479" s="210"/>
      <c r="E479" s="204"/>
      <c r="F479" s="205"/>
      <c r="G479" s="205"/>
    </row>
    <row r="480" ht="15.75" customHeight="1">
      <c r="A480" s="224"/>
      <c r="B480" s="186"/>
      <c r="C480" s="210"/>
      <c r="D480" s="210"/>
      <c r="E480" s="204"/>
      <c r="F480" s="205"/>
      <c r="G480" s="205"/>
    </row>
    <row r="481" ht="15.75" customHeight="1">
      <c r="A481" s="224"/>
      <c r="B481" s="186"/>
      <c r="C481" s="210"/>
      <c r="D481" s="210"/>
      <c r="E481" s="204"/>
      <c r="F481" s="205"/>
      <c r="G481" s="205"/>
    </row>
    <row r="482" ht="15.75" customHeight="1">
      <c r="A482" s="224"/>
      <c r="B482" s="186"/>
      <c r="C482" s="210"/>
      <c r="D482" s="210"/>
      <c r="E482" s="204"/>
      <c r="F482" s="205"/>
      <c r="G482" s="205"/>
    </row>
    <row r="483" ht="15.75" customHeight="1">
      <c r="A483" s="224"/>
      <c r="B483" s="186"/>
      <c r="C483" s="210"/>
      <c r="D483" s="210"/>
      <c r="E483" s="204"/>
      <c r="F483" s="205"/>
      <c r="G483" s="205"/>
    </row>
    <row r="484" ht="15.75" customHeight="1">
      <c r="A484" s="224"/>
      <c r="B484" s="186"/>
      <c r="C484" s="210"/>
      <c r="D484" s="210"/>
      <c r="E484" s="204"/>
      <c r="F484" s="205"/>
      <c r="G484" s="205"/>
    </row>
    <row r="485" ht="15.75" customHeight="1">
      <c r="A485" s="224"/>
      <c r="B485" s="186"/>
      <c r="C485" s="210"/>
      <c r="D485" s="210"/>
      <c r="E485" s="204"/>
      <c r="F485" s="205"/>
      <c r="G485" s="205"/>
    </row>
    <row r="486" ht="15.75" customHeight="1">
      <c r="A486" s="224"/>
      <c r="B486" s="186"/>
      <c r="C486" s="210"/>
      <c r="D486" s="210"/>
      <c r="E486" s="204"/>
      <c r="F486" s="205"/>
      <c r="G486" s="205"/>
    </row>
    <row r="487" ht="15.75" customHeight="1">
      <c r="A487" s="224"/>
      <c r="B487" s="186"/>
      <c r="C487" s="210"/>
      <c r="D487" s="210"/>
      <c r="E487" s="204"/>
      <c r="F487" s="205"/>
      <c r="G487" s="205"/>
    </row>
    <row r="488" ht="15.75" customHeight="1">
      <c r="A488" s="224"/>
      <c r="B488" s="186"/>
      <c r="C488" s="210"/>
      <c r="D488" s="210"/>
      <c r="E488" s="204"/>
      <c r="F488" s="205"/>
      <c r="G488" s="205"/>
    </row>
    <row r="489" ht="15.75" customHeight="1">
      <c r="A489" s="224"/>
      <c r="B489" s="186"/>
      <c r="C489" s="210"/>
      <c r="D489" s="210"/>
      <c r="E489" s="204"/>
      <c r="F489" s="205"/>
      <c r="G489" s="205"/>
    </row>
    <row r="490" ht="15.75" customHeight="1">
      <c r="A490" s="224"/>
      <c r="B490" s="186"/>
      <c r="C490" s="210"/>
      <c r="D490" s="210"/>
      <c r="E490" s="204"/>
      <c r="F490" s="205"/>
      <c r="G490" s="205"/>
    </row>
    <row r="491" ht="15.75" customHeight="1">
      <c r="A491" s="224"/>
      <c r="B491" s="186"/>
      <c r="C491" s="210"/>
      <c r="D491" s="210"/>
      <c r="E491" s="204"/>
      <c r="F491" s="205"/>
      <c r="G491" s="205"/>
    </row>
    <row r="492" ht="15.75" customHeight="1">
      <c r="A492" s="224"/>
      <c r="B492" s="186"/>
      <c r="C492" s="210"/>
      <c r="D492" s="210"/>
      <c r="E492" s="204"/>
      <c r="F492" s="205"/>
      <c r="G492" s="205"/>
    </row>
    <row r="493" ht="15.75" customHeight="1">
      <c r="A493" s="224"/>
      <c r="B493" s="186"/>
      <c r="C493" s="210"/>
      <c r="D493" s="210"/>
      <c r="E493" s="204"/>
      <c r="F493" s="205"/>
      <c r="G493" s="205"/>
    </row>
    <row r="494" ht="15.75" customHeight="1">
      <c r="A494" s="224"/>
      <c r="B494" s="186"/>
      <c r="C494" s="210"/>
      <c r="D494" s="210"/>
      <c r="E494" s="204"/>
      <c r="F494" s="205"/>
      <c r="G494" s="205"/>
    </row>
    <row r="495" ht="15.75" customHeight="1">
      <c r="A495" s="224"/>
      <c r="B495" s="186"/>
      <c r="C495" s="210"/>
      <c r="D495" s="210"/>
      <c r="E495" s="204"/>
      <c r="F495" s="205"/>
      <c r="G495" s="205"/>
    </row>
    <row r="496" ht="15.75" customHeight="1">
      <c r="A496" s="224"/>
      <c r="B496" s="186"/>
      <c r="C496" s="210"/>
      <c r="D496" s="210"/>
      <c r="E496" s="204"/>
      <c r="F496" s="205"/>
      <c r="G496" s="205"/>
    </row>
    <row r="497" ht="15.75" customHeight="1">
      <c r="A497" s="224"/>
      <c r="B497" s="186"/>
      <c r="C497" s="210"/>
      <c r="D497" s="210"/>
      <c r="E497" s="204"/>
      <c r="F497" s="205"/>
      <c r="G497" s="205"/>
    </row>
    <row r="498" ht="15.75" customHeight="1">
      <c r="A498" s="224"/>
      <c r="B498" s="186"/>
      <c r="C498" s="210"/>
      <c r="D498" s="210"/>
      <c r="E498" s="204"/>
      <c r="F498" s="205"/>
      <c r="G498" s="205"/>
    </row>
    <row r="499" ht="15.75" customHeight="1">
      <c r="A499" s="224"/>
      <c r="B499" s="186"/>
      <c r="C499" s="210"/>
      <c r="D499" s="210"/>
      <c r="E499" s="204"/>
      <c r="F499" s="205"/>
      <c r="G499" s="205"/>
    </row>
    <row r="500" ht="15.75" customHeight="1">
      <c r="A500" s="224"/>
      <c r="B500" s="186"/>
      <c r="C500" s="210"/>
      <c r="D500" s="210"/>
      <c r="E500" s="204"/>
      <c r="F500" s="205"/>
      <c r="G500" s="205"/>
    </row>
    <row r="501" ht="15.75" customHeight="1">
      <c r="A501" s="224"/>
      <c r="B501" s="186"/>
      <c r="C501" s="210"/>
      <c r="D501" s="210"/>
      <c r="E501" s="204"/>
      <c r="F501" s="205"/>
      <c r="G501" s="205"/>
    </row>
    <row r="502" ht="15.75" customHeight="1">
      <c r="A502" s="224"/>
      <c r="B502" s="186"/>
      <c r="C502" s="210"/>
      <c r="D502" s="210"/>
      <c r="E502" s="204"/>
      <c r="F502" s="205"/>
      <c r="G502" s="205"/>
    </row>
    <row r="503" ht="15.75" customHeight="1">
      <c r="A503" s="224"/>
      <c r="B503" s="186"/>
      <c r="C503" s="210"/>
      <c r="D503" s="210"/>
      <c r="E503" s="204"/>
      <c r="F503" s="205"/>
      <c r="G503" s="205"/>
    </row>
    <row r="504" ht="15.75" customHeight="1">
      <c r="A504" s="224"/>
      <c r="B504" s="186"/>
      <c r="C504" s="210"/>
      <c r="D504" s="210"/>
      <c r="E504" s="204"/>
      <c r="F504" s="205"/>
      <c r="G504" s="205"/>
    </row>
    <row r="505" ht="15.75" customHeight="1">
      <c r="A505" s="224"/>
      <c r="B505" s="186"/>
      <c r="C505" s="210"/>
      <c r="D505" s="210"/>
      <c r="E505" s="204"/>
      <c r="F505" s="205"/>
      <c r="G505" s="205"/>
    </row>
    <row r="506" ht="15.75" customHeight="1">
      <c r="A506" s="224"/>
      <c r="B506" s="186"/>
      <c r="C506" s="210"/>
      <c r="D506" s="210"/>
      <c r="E506" s="204"/>
      <c r="F506" s="205"/>
      <c r="G506" s="205"/>
    </row>
    <row r="507" ht="15.75" customHeight="1">
      <c r="A507" s="224"/>
      <c r="B507" s="186"/>
      <c r="C507" s="210"/>
      <c r="D507" s="210"/>
      <c r="E507" s="204"/>
      <c r="F507" s="205"/>
      <c r="G507" s="205"/>
    </row>
    <row r="508" ht="15.75" customHeight="1">
      <c r="A508" s="224"/>
      <c r="B508" s="186"/>
      <c r="C508" s="210"/>
      <c r="D508" s="210"/>
      <c r="E508" s="204"/>
      <c r="F508" s="205"/>
      <c r="G508" s="205"/>
    </row>
    <row r="509" ht="15.75" customHeight="1">
      <c r="A509" s="224"/>
      <c r="B509" s="186"/>
      <c r="C509" s="210"/>
      <c r="D509" s="210"/>
      <c r="E509" s="204"/>
      <c r="F509" s="205"/>
      <c r="G509" s="205"/>
    </row>
    <row r="510" ht="15.75" customHeight="1">
      <c r="A510" s="224"/>
      <c r="B510" s="186"/>
      <c r="C510" s="210"/>
      <c r="D510" s="210"/>
      <c r="E510" s="204"/>
      <c r="F510" s="205"/>
      <c r="G510" s="205"/>
    </row>
    <row r="511" ht="15.75" customHeight="1">
      <c r="A511" s="224"/>
      <c r="B511" s="186"/>
      <c r="C511" s="210"/>
      <c r="D511" s="210"/>
      <c r="E511" s="204"/>
      <c r="F511" s="205"/>
      <c r="G511" s="205"/>
    </row>
    <row r="512" ht="15.75" customHeight="1">
      <c r="A512" s="224"/>
      <c r="B512" s="186"/>
      <c r="C512" s="210"/>
      <c r="D512" s="210"/>
      <c r="E512" s="204"/>
      <c r="F512" s="205"/>
      <c r="G512" s="205"/>
    </row>
    <row r="513" ht="15.75" customHeight="1">
      <c r="A513" s="224"/>
      <c r="B513" s="186"/>
      <c r="C513" s="210"/>
      <c r="D513" s="210"/>
      <c r="E513" s="204"/>
      <c r="F513" s="205"/>
      <c r="G513" s="205"/>
    </row>
    <row r="514" ht="15.75" customHeight="1">
      <c r="A514" s="224"/>
      <c r="B514" s="186"/>
      <c r="C514" s="210"/>
      <c r="D514" s="210"/>
      <c r="E514" s="204"/>
      <c r="F514" s="205"/>
      <c r="G514" s="205"/>
    </row>
    <row r="515" ht="15.75" customHeight="1">
      <c r="A515" s="224"/>
      <c r="B515" s="186"/>
      <c r="C515" s="210"/>
      <c r="D515" s="210"/>
      <c r="E515" s="204"/>
      <c r="F515" s="205"/>
      <c r="G515" s="205"/>
    </row>
    <row r="516" ht="15.75" customHeight="1">
      <c r="A516" s="224"/>
      <c r="B516" s="186"/>
      <c r="C516" s="210"/>
      <c r="D516" s="210"/>
      <c r="E516" s="204"/>
      <c r="F516" s="205"/>
      <c r="G516" s="205"/>
    </row>
    <row r="517" ht="15.75" customHeight="1">
      <c r="A517" s="224"/>
      <c r="B517" s="186"/>
      <c r="C517" s="210"/>
      <c r="D517" s="210"/>
      <c r="E517" s="204"/>
      <c r="F517" s="205"/>
      <c r="G517" s="205"/>
    </row>
    <row r="518" ht="15.75" customHeight="1">
      <c r="A518" s="224"/>
      <c r="B518" s="186"/>
      <c r="C518" s="210"/>
      <c r="D518" s="210"/>
      <c r="E518" s="204"/>
      <c r="F518" s="205"/>
      <c r="G518" s="205"/>
    </row>
    <row r="519" ht="15.75" customHeight="1">
      <c r="A519" s="224"/>
      <c r="B519" s="186"/>
      <c r="C519" s="210"/>
      <c r="D519" s="210"/>
      <c r="E519" s="204"/>
      <c r="F519" s="205"/>
      <c r="G519" s="205"/>
    </row>
    <row r="520" ht="15.75" customHeight="1">
      <c r="A520" s="224"/>
      <c r="B520" s="186"/>
      <c r="C520" s="210"/>
      <c r="D520" s="210"/>
      <c r="E520" s="204"/>
      <c r="F520" s="205"/>
      <c r="G520" s="205"/>
    </row>
    <row r="521" ht="15.75" customHeight="1">
      <c r="A521" s="224"/>
      <c r="B521" s="186"/>
      <c r="C521" s="210"/>
      <c r="D521" s="210"/>
      <c r="E521" s="204"/>
      <c r="F521" s="205"/>
      <c r="G521" s="205"/>
    </row>
    <row r="522" ht="15.75" customHeight="1">
      <c r="A522" s="224"/>
      <c r="B522" s="186"/>
      <c r="C522" s="210"/>
      <c r="D522" s="210"/>
      <c r="E522" s="204"/>
      <c r="F522" s="205"/>
      <c r="G522" s="205"/>
    </row>
    <row r="523" ht="15.75" customHeight="1">
      <c r="A523" s="224"/>
      <c r="B523" s="186"/>
      <c r="C523" s="210"/>
      <c r="D523" s="210"/>
      <c r="E523" s="204"/>
      <c r="F523" s="205"/>
      <c r="G523" s="205"/>
    </row>
    <row r="524" ht="15.75" customHeight="1">
      <c r="A524" s="224"/>
      <c r="B524" s="186"/>
      <c r="C524" s="210"/>
      <c r="D524" s="210"/>
      <c r="E524" s="204"/>
      <c r="F524" s="205"/>
      <c r="G524" s="205"/>
    </row>
    <row r="525" ht="15.75" customHeight="1">
      <c r="A525" s="224"/>
      <c r="B525" s="186"/>
      <c r="C525" s="210"/>
      <c r="D525" s="210"/>
      <c r="E525" s="204"/>
      <c r="F525" s="205"/>
      <c r="G525" s="205"/>
    </row>
    <row r="526" ht="15.75" customHeight="1">
      <c r="A526" s="224"/>
      <c r="B526" s="186"/>
      <c r="C526" s="210"/>
      <c r="D526" s="210"/>
      <c r="E526" s="204"/>
      <c r="F526" s="205"/>
      <c r="G526" s="205"/>
    </row>
    <row r="527" ht="15.75" customHeight="1">
      <c r="A527" s="224"/>
      <c r="B527" s="186"/>
      <c r="C527" s="210"/>
      <c r="D527" s="210"/>
      <c r="E527" s="204"/>
      <c r="F527" s="205"/>
      <c r="G527" s="205"/>
    </row>
    <row r="528" ht="15.75" customHeight="1">
      <c r="A528" s="224"/>
      <c r="B528" s="186"/>
      <c r="C528" s="210"/>
      <c r="D528" s="210"/>
      <c r="E528" s="204"/>
      <c r="F528" s="205"/>
      <c r="G528" s="205"/>
    </row>
    <row r="529" ht="15.75" customHeight="1">
      <c r="A529" s="224"/>
      <c r="B529" s="186"/>
      <c r="C529" s="210"/>
      <c r="D529" s="210"/>
      <c r="E529" s="204"/>
      <c r="F529" s="205"/>
      <c r="G529" s="205"/>
    </row>
    <row r="530" ht="15.75" customHeight="1">
      <c r="A530" s="224"/>
      <c r="B530" s="186"/>
      <c r="C530" s="210"/>
      <c r="D530" s="210"/>
      <c r="E530" s="204"/>
      <c r="F530" s="205"/>
      <c r="G530" s="205"/>
    </row>
    <row r="531" ht="15.75" customHeight="1">
      <c r="A531" s="224"/>
      <c r="B531" s="186"/>
      <c r="C531" s="210"/>
      <c r="D531" s="210"/>
      <c r="E531" s="204"/>
      <c r="F531" s="205"/>
      <c r="G531" s="205"/>
    </row>
    <row r="532" ht="15.75" customHeight="1">
      <c r="A532" s="224"/>
      <c r="B532" s="186"/>
      <c r="C532" s="210"/>
      <c r="D532" s="210"/>
      <c r="E532" s="204"/>
      <c r="F532" s="205"/>
      <c r="G532" s="205"/>
    </row>
    <row r="533" ht="15.75" customHeight="1">
      <c r="A533" s="224"/>
      <c r="B533" s="186"/>
      <c r="C533" s="210"/>
      <c r="D533" s="210"/>
      <c r="E533" s="204"/>
      <c r="F533" s="205"/>
      <c r="G533" s="205"/>
    </row>
    <row r="534" ht="15.75" customHeight="1">
      <c r="A534" s="224"/>
      <c r="B534" s="186"/>
      <c r="C534" s="210"/>
      <c r="D534" s="210"/>
      <c r="E534" s="204"/>
      <c r="F534" s="205"/>
      <c r="G534" s="205"/>
    </row>
    <row r="535" ht="15.75" customHeight="1">
      <c r="A535" s="224"/>
      <c r="B535" s="186"/>
      <c r="C535" s="210"/>
      <c r="D535" s="210"/>
      <c r="E535" s="204"/>
      <c r="F535" s="205"/>
      <c r="G535" s="205"/>
    </row>
    <row r="536" ht="15.75" customHeight="1">
      <c r="A536" s="224"/>
      <c r="B536" s="186"/>
      <c r="C536" s="210"/>
      <c r="D536" s="210"/>
      <c r="E536" s="204"/>
      <c r="F536" s="205"/>
      <c r="G536" s="205"/>
    </row>
    <row r="537" ht="15.75" customHeight="1">
      <c r="A537" s="224"/>
      <c r="B537" s="186"/>
      <c r="C537" s="210"/>
      <c r="D537" s="210"/>
      <c r="E537" s="204"/>
      <c r="F537" s="205"/>
      <c r="G537" s="205"/>
    </row>
    <row r="538" ht="15.75" customHeight="1">
      <c r="A538" s="224"/>
      <c r="B538" s="186"/>
      <c r="C538" s="210"/>
      <c r="D538" s="210"/>
      <c r="E538" s="204"/>
      <c r="F538" s="205"/>
      <c r="G538" s="205"/>
    </row>
    <row r="539" ht="15.75" customHeight="1">
      <c r="A539" s="224"/>
      <c r="B539" s="186"/>
      <c r="C539" s="210"/>
      <c r="D539" s="210"/>
      <c r="E539" s="204"/>
      <c r="F539" s="205"/>
      <c r="G539" s="205"/>
    </row>
    <row r="540" ht="15.75" customHeight="1">
      <c r="A540" s="224"/>
      <c r="B540" s="186"/>
      <c r="C540" s="210"/>
      <c r="D540" s="210"/>
      <c r="E540" s="204"/>
      <c r="F540" s="205"/>
      <c r="G540" s="205"/>
    </row>
    <row r="541" ht="15.75" customHeight="1">
      <c r="A541" s="224"/>
      <c r="B541" s="186"/>
      <c r="C541" s="210"/>
      <c r="D541" s="210"/>
      <c r="E541" s="204"/>
      <c r="F541" s="205"/>
      <c r="G541" s="205"/>
    </row>
    <row r="542" ht="15.75" customHeight="1">
      <c r="A542" s="224"/>
      <c r="B542" s="186"/>
      <c r="C542" s="210"/>
      <c r="D542" s="210"/>
      <c r="E542" s="204"/>
      <c r="F542" s="205"/>
      <c r="G542" s="205"/>
    </row>
    <row r="543" ht="15.75" customHeight="1">
      <c r="A543" s="224"/>
      <c r="B543" s="186"/>
      <c r="C543" s="210"/>
      <c r="D543" s="210"/>
      <c r="E543" s="204"/>
      <c r="F543" s="205"/>
      <c r="G543" s="205"/>
    </row>
    <row r="544" ht="15.75" customHeight="1">
      <c r="A544" s="224"/>
      <c r="B544" s="186"/>
      <c r="C544" s="210"/>
      <c r="D544" s="210"/>
      <c r="E544" s="204"/>
      <c r="F544" s="205"/>
      <c r="G544" s="205"/>
    </row>
    <row r="545" ht="15.75" customHeight="1">
      <c r="A545" s="224"/>
      <c r="B545" s="186"/>
      <c r="C545" s="210"/>
      <c r="D545" s="210"/>
      <c r="E545" s="204"/>
      <c r="F545" s="205"/>
      <c r="G545" s="205"/>
    </row>
    <row r="546" ht="15.75" customHeight="1">
      <c r="A546" s="224"/>
      <c r="B546" s="186"/>
      <c r="C546" s="210"/>
      <c r="D546" s="210"/>
      <c r="E546" s="204"/>
      <c r="F546" s="205"/>
      <c r="G546" s="205"/>
    </row>
    <row r="547" ht="15.75" customHeight="1">
      <c r="A547" s="224"/>
      <c r="B547" s="186"/>
      <c r="C547" s="210"/>
      <c r="D547" s="210"/>
      <c r="E547" s="204"/>
      <c r="F547" s="205"/>
      <c r="G547" s="205"/>
    </row>
    <row r="548" ht="15.75" customHeight="1">
      <c r="A548" s="224"/>
      <c r="B548" s="186"/>
      <c r="C548" s="210"/>
      <c r="D548" s="210"/>
      <c r="E548" s="204"/>
      <c r="F548" s="205"/>
      <c r="G548" s="205"/>
    </row>
    <row r="549" ht="15.75" customHeight="1">
      <c r="A549" s="224"/>
      <c r="B549" s="186"/>
      <c r="C549" s="210"/>
      <c r="D549" s="210"/>
      <c r="E549" s="204"/>
      <c r="F549" s="205"/>
      <c r="G549" s="205"/>
    </row>
    <row r="550" ht="15.75" customHeight="1">
      <c r="A550" s="224"/>
      <c r="B550" s="186"/>
      <c r="C550" s="210"/>
      <c r="D550" s="210"/>
      <c r="E550" s="204"/>
      <c r="F550" s="205"/>
      <c r="G550" s="205"/>
    </row>
    <row r="551" ht="15.75" customHeight="1">
      <c r="A551" s="224"/>
      <c r="B551" s="186"/>
      <c r="C551" s="210"/>
      <c r="D551" s="210"/>
      <c r="E551" s="204"/>
      <c r="F551" s="205"/>
      <c r="G551" s="205"/>
    </row>
    <row r="552" ht="15.75" customHeight="1">
      <c r="A552" s="224"/>
      <c r="B552" s="186"/>
      <c r="C552" s="210"/>
      <c r="D552" s="210"/>
      <c r="E552" s="204"/>
      <c r="F552" s="205"/>
      <c r="G552" s="205"/>
    </row>
    <row r="553" ht="15.75" customHeight="1">
      <c r="A553" s="224"/>
      <c r="B553" s="186"/>
      <c r="C553" s="210"/>
      <c r="D553" s="210"/>
      <c r="E553" s="204"/>
      <c r="F553" s="205"/>
      <c r="G553" s="205"/>
    </row>
    <row r="554" ht="15.75" customHeight="1">
      <c r="A554" s="224"/>
      <c r="B554" s="186"/>
      <c r="C554" s="210"/>
      <c r="D554" s="210"/>
      <c r="E554" s="204"/>
      <c r="F554" s="205"/>
      <c r="G554" s="205"/>
    </row>
    <row r="555" ht="15.75" customHeight="1">
      <c r="A555" s="224"/>
      <c r="B555" s="186"/>
      <c r="C555" s="210"/>
      <c r="D555" s="210"/>
      <c r="E555" s="204"/>
      <c r="F555" s="205"/>
      <c r="G555" s="205"/>
    </row>
    <row r="556" ht="15.75" customHeight="1">
      <c r="A556" s="224"/>
      <c r="B556" s="186"/>
      <c r="C556" s="210"/>
      <c r="D556" s="210"/>
      <c r="E556" s="204"/>
      <c r="F556" s="205"/>
      <c r="G556" s="205"/>
    </row>
    <row r="557" ht="15.75" customHeight="1">
      <c r="A557" s="224"/>
      <c r="B557" s="186"/>
      <c r="C557" s="210"/>
      <c r="D557" s="210"/>
      <c r="E557" s="204"/>
      <c r="F557" s="205"/>
      <c r="G557" s="205"/>
    </row>
    <row r="558" ht="15.75" customHeight="1">
      <c r="A558" s="224"/>
      <c r="B558" s="186"/>
      <c r="C558" s="210"/>
      <c r="D558" s="210"/>
      <c r="E558" s="204"/>
      <c r="F558" s="205"/>
      <c r="G558" s="205"/>
    </row>
    <row r="559" ht="15.75" customHeight="1">
      <c r="A559" s="224"/>
      <c r="B559" s="186"/>
      <c r="C559" s="210"/>
      <c r="D559" s="210"/>
      <c r="E559" s="204"/>
      <c r="F559" s="205"/>
      <c r="G559" s="205"/>
    </row>
    <row r="560" ht="15.75" customHeight="1">
      <c r="A560" s="224"/>
      <c r="B560" s="186"/>
      <c r="C560" s="210"/>
      <c r="D560" s="210"/>
      <c r="E560" s="204"/>
      <c r="F560" s="205"/>
      <c r="G560" s="205"/>
    </row>
    <row r="561" ht="15.75" customHeight="1">
      <c r="A561" s="224"/>
      <c r="B561" s="186"/>
      <c r="C561" s="210"/>
      <c r="D561" s="210"/>
      <c r="E561" s="204"/>
      <c r="F561" s="205"/>
      <c r="G561" s="205"/>
    </row>
    <row r="562" ht="15.75" customHeight="1">
      <c r="A562" s="224"/>
      <c r="B562" s="186"/>
      <c r="C562" s="210"/>
      <c r="D562" s="210"/>
      <c r="E562" s="204"/>
      <c r="F562" s="205"/>
      <c r="G562" s="205"/>
    </row>
    <row r="563" ht="15.75" customHeight="1">
      <c r="A563" s="224"/>
      <c r="B563" s="186"/>
      <c r="C563" s="210"/>
      <c r="D563" s="210"/>
      <c r="E563" s="204"/>
      <c r="F563" s="205"/>
      <c r="G563" s="205"/>
    </row>
    <row r="564" ht="15.75" customHeight="1">
      <c r="A564" s="224"/>
      <c r="B564" s="186"/>
      <c r="C564" s="210"/>
      <c r="D564" s="210"/>
      <c r="E564" s="204"/>
      <c r="F564" s="205"/>
      <c r="G564" s="205"/>
    </row>
    <row r="565" ht="15.75" customHeight="1">
      <c r="A565" s="224"/>
      <c r="B565" s="186"/>
      <c r="C565" s="210"/>
      <c r="D565" s="210"/>
      <c r="E565" s="204"/>
      <c r="F565" s="205"/>
      <c r="G565" s="205"/>
    </row>
    <row r="566" ht="15.75" customHeight="1">
      <c r="A566" s="224"/>
      <c r="B566" s="186"/>
      <c r="C566" s="210"/>
      <c r="D566" s="210"/>
      <c r="E566" s="204"/>
      <c r="F566" s="205"/>
      <c r="G566" s="205"/>
    </row>
    <row r="567" ht="15.75" customHeight="1">
      <c r="A567" s="224"/>
      <c r="B567" s="186"/>
      <c r="C567" s="210"/>
      <c r="D567" s="210"/>
      <c r="E567" s="204"/>
      <c r="F567" s="205"/>
      <c r="G567" s="205"/>
    </row>
    <row r="568" ht="15.75" customHeight="1">
      <c r="A568" s="224"/>
      <c r="B568" s="186"/>
      <c r="C568" s="210"/>
      <c r="D568" s="210"/>
      <c r="E568" s="204"/>
      <c r="F568" s="205"/>
      <c r="G568" s="205"/>
    </row>
    <row r="569" ht="15.75" customHeight="1">
      <c r="A569" s="224"/>
      <c r="B569" s="186"/>
      <c r="C569" s="210"/>
      <c r="D569" s="210"/>
      <c r="E569" s="204"/>
      <c r="F569" s="205"/>
      <c r="G569" s="205"/>
    </row>
    <row r="570" ht="15.75" customHeight="1">
      <c r="A570" s="224"/>
      <c r="B570" s="186"/>
      <c r="C570" s="210"/>
      <c r="D570" s="210"/>
      <c r="E570" s="204"/>
      <c r="F570" s="205"/>
      <c r="G570" s="205"/>
    </row>
    <row r="571" ht="15.75" customHeight="1">
      <c r="A571" s="224"/>
      <c r="B571" s="186"/>
      <c r="C571" s="210"/>
      <c r="D571" s="210"/>
      <c r="E571" s="204"/>
      <c r="F571" s="205"/>
      <c r="G571" s="205"/>
    </row>
    <row r="572" ht="15.75" customHeight="1">
      <c r="A572" s="224"/>
      <c r="B572" s="186"/>
      <c r="C572" s="210"/>
      <c r="D572" s="210"/>
      <c r="E572" s="204"/>
      <c r="F572" s="205"/>
      <c r="G572" s="205"/>
    </row>
    <row r="573" ht="15.75" customHeight="1">
      <c r="A573" s="224"/>
      <c r="B573" s="186"/>
      <c r="C573" s="210"/>
      <c r="D573" s="210"/>
      <c r="E573" s="204"/>
      <c r="F573" s="205"/>
      <c r="G573" s="205"/>
    </row>
    <row r="574" ht="15.75" customHeight="1">
      <c r="A574" s="224"/>
      <c r="B574" s="186"/>
      <c r="C574" s="210"/>
      <c r="D574" s="210"/>
      <c r="E574" s="204"/>
      <c r="F574" s="205"/>
      <c r="G574" s="205"/>
    </row>
    <row r="575" ht="15.75" customHeight="1">
      <c r="A575" s="224"/>
      <c r="B575" s="186"/>
      <c r="C575" s="210"/>
      <c r="D575" s="210"/>
      <c r="E575" s="204"/>
      <c r="F575" s="205"/>
      <c r="G575" s="205"/>
    </row>
    <row r="576" ht="15.75" customHeight="1">
      <c r="A576" s="224"/>
      <c r="B576" s="186"/>
      <c r="C576" s="210"/>
      <c r="D576" s="210"/>
      <c r="E576" s="204"/>
      <c r="F576" s="205"/>
      <c r="G576" s="205"/>
    </row>
    <row r="577" ht="15.75" customHeight="1">
      <c r="A577" s="224"/>
      <c r="B577" s="186"/>
      <c r="C577" s="210"/>
      <c r="D577" s="210"/>
      <c r="E577" s="204"/>
      <c r="F577" s="205"/>
      <c r="G577" s="205"/>
    </row>
    <row r="578" ht="15.75" customHeight="1">
      <c r="A578" s="224"/>
      <c r="B578" s="186"/>
      <c r="C578" s="210"/>
      <c r="D578" s="210"/>
      <c r="E578" s="204"/>
      <c r="F578" s="205"/>
      <c r="G578" s="205"/>
    </row>
    <row r="579" ht="15.75" customHeight="1">
      <c r="A579" s="224"/>
      <c r="B579" s="186"/>
      <c r="C579" s="210"/>
      <c r="D579" s="210"/>
      <c r="E579" s="204"/>
      <c r="F579" s="205"/>
      <c r="G579" s="205"/>
    </row>
    <row r="580" ht="15.75" customHeight="1">
      <c r="A580" s="224"/>
      <c r="B580" s="186"/>
      <c r="C580" s="210"/>
      <c r="D580" s="210"/>
      <c r="E580" s="204"/>
      <c r="F580" s="205"/>
      <c r="G580" s="205"/>
    </row>
    <row r="581" ht="15.75" customHeight="1">
      <c r="A581" s="224"/>
      <c r="B581" s="186"/>
      <c r="C581" s="210"/>
      <c r="D581" s="210"/>
      <c r="E581" s="204"/>
      <c r="F581" s="205"/>
      <c r="G581" s="205"/>
    </row>
    <row r="582" ht="15.75" customHeight="1">
      <c r="A582" s="224"/>
      <c r="B582" s="186"/>
      <c r="C582" s="210"/>
      <c r="D582" s="210"/>
      <c r="E582" s="204"/>
      <c r="F582" s="205"/>
      <c r="G582" s="205"/>
    </row>
    <row r="583" ht="15.75" customHeight="1">
      <c r="A583" s="224"/>
      <c r="B583" s="186"/>
      <c r="C583" s="210"/>
      <c r="D583" s="210"/>
      <c r="E583" s="204"/>
      <c r="F583" s="205"/>
      <c r="G583" s="205"/>
    </row>
    <row r="584" ht="15.75" customHeight="1">
      <c r="A584" s="224"/>
      <c r="B584" s="186"/>
      <c r="C584" s="210"/>
      <c r="D584" s="210"/>
      <c r="E584" s="204"/>
      <c r="F584" s="205"/>
      <c r="G584" s="205"/>
    </row>
    <row r="585" ht="15.75" customHeight="1">
      <c r="A585" s="224"/>
      <c r="B585" s="186"/>
      <c r="C585" s="210"/>
      <c r="D585" s="210"/>
      <c r="E585" s="204"/>
      <c r="F585" s="205"/>
      <c r="G585" s="205"/>
    </row>
    <row r="586" ht="15.75" customHeight="1">
      <c r="A586" s="224"/>
      <c r="B586" s="186"/>
      <c r="C586" s="210"/>
      <c r="D586" s="210"/>
      <c r="E586" s="204"/>
      <c r="F586" s="205"/>
      <c r="G586" s="205"/>
    </row>
    <row r="587" ht="15.75" customHeight="1">
      <c r="A587" s="224"/>
      <c r="B587" s="186"/>
      <c r="C587" s="210"/>
      <c r="D587" s="210"/>
      <c r="E587" s="204"/>
      <c r="F587" s="205"/>
      <c r="G587" s="205"/>
    </row>
    <row r="588" ht="15.75" customHeight="1">
      <c r="A588" s="224"/>
      <c r="B588" s="186"/>
      <c r="C588" s="210"/>
      <c r="D588" s="210"/>
      <c r="E588" s="204"/>
      <c r="F588" s="205"/>
      <c r="G588" s="205"/>
    </row>
    <row r="589" ht="15.75" customHeight="1">
      <c r="A589" s="224"/>
      <c r="B589" s="186"/>
      <c r="C589" s="210"/>
      <c r="D589" s="210"/>
      <c r="E589" s="204"/>
      <c r="F589" s="205"/>
      <c r="G589" s="205"/>
    </row>
    <row r="590" ht="15.75" customHeight="1">
      <c r="A590" s="224"/>
      <c r="B590" s="186"/>
      <c r="C590" s="210"/>
      <c r="D590" s="210"/>
      <c r="E590" s="204"/>
      <c r="F590" s="205"/>
      <c r="G590" s="205"/>
    </row>
    <row r="591" ht="15.75" customHeight="1">
      <c r="A591" s="224"/>
      <c r="B591" s="186"/>
      <c r="C591" s="210"/>
      <c r="D591" s="210"/>
      <c r="E591" s="204"/>
      <c r="F591" s="205"/>
      <c r="G591" s="205"/>
    </row>
    <row r="592" ht="15.75" customHeight="1">
      <c r="A592" s="224"/>
      <c r="B592" s="186"/>
      <c r="C592" s="210"/>
      <c r="D592" s="210"/>
      <c r="E592" s="204"/>
      <c r="F592" s="205"/>
      <c r="G592" s="205"/>
    </row>
    <row r="593" ht="15.75" customHeight="1">
      <c r="A593" s="224"/>
      <c r="B593" s="186"/>
      <c r="C593" s="210"/>
      <c r="D593" s="210"/>
      <c r="E593" s="204"/>
      <c r="F593" s="205"/>
      <c r="G593" s="205"/>
    </row>
    <row r="594" ht="15.75" customHeight="1">
      <c r="A594" s="224"/>
      <c r="B594" s="186"/>
      <c r="C594" s="210"/>
      <c r="D594" s="210"/>
      <c r="E594" s="204"/>
      <c r="F594" s="205"/>
      <c r="G594" s="205"/>
    </row>
    <row r="595" ht="15.75" customHeight="1">
      <c r="A595" s="224"/>
      <c r="B595" s="186"/>
      <c r="C595" s="210"/>
      <c r="D595" s="210"/>
      <c r="E595" s="204"/>
      <c r="F595" s="205"/>
      <c r="G595" s="205"/>
    </row>
    <row r="596" ht="15.75" customHeight="1">
      <c r="A596" s="224"/>
      <c r="B596" s="186"/>
      <c r="C596" s="210"/>
      <c r="D596" s="210"/>
      <c r="E596" s="204"/>
      <c r="F596" s="205"/>
      <c r="G596" s="205"/>
    </row>
    <row r="597" ht="15.75" customHeight="1">
      <c r="A597" s="224"/>
      <c r="B597" s="186"/>
      <c r="C597" s="210"/>
      <c r="D597" s="210"/>
      <c r="E597" s="204"/>
      <c r="F597" s="205"/>
      <c r="G597" s="205"/>
    </row>
    <row r="598" ht="15.75" customHeight="1">
      <c r="A598" s="224"/>
      <c r="B598" s="186"/>
      <c r="C598" s="210"/>
      <c r="D598" s="210"/>
      <c r="E598" s="204"/>
      <c r="F598" s="205"/>
      <c r="G598" s="205"/>
    </row>
    <row r="599" ht="15.75" customHeight="1">
      <c r="A599" s="224"/>
      <c r="B599" s="186"/>
      <c r="C599" s="210"/>
      <c r="D599" s="210"/>
      <c r="E599" s="204"/>
      <c r="F599" s="205"/>
      <c r="G599" s="205"/>
    </row>
    <row r="600" ht="15.75" customHeight="1">
      <c r="A600" s="224"/>
      <c r="B600" s="186"/>
      <c r="C600" s="210"/>
      <c r="D600" s="210"/>
      <c r="E600" s="204"/>
      <c r="F600" s="205"/>
      <c r="G600" s="205"/>
    </row>
    <row r="601" ht="15.75" customHeight="1">
      <c r="A601" s="224"/>
      <c r="B601" s="186"/>
      <c r="C601" s="210"/>
      <c r="D601" s="210"/>
      <c r="E601" s="204"/>
      <c r="F601" s="205"/>
      <c r="G601" s="205"/>
    </row>
    <row r="602" ht="15.75" customHeight="1">
      <c r="A602" s="224"/>
      <c r="B602" s="186"/>
      <c r="C602" s="210"/>
      <c r="D602" s="210"/>
      <c r="E602" s="204"/>
      <c r="F602" s="205"/>
      <c r="G602" s="205"/>
    </row>
    <row r="603" ht="15.75" customHeight="1">
      <c r="A603" s="224"/>
      <c r="B603" s="186"/>
      <c r="C603" s="210"/>
      <c r="D603" s="210"/>
      <c r="E603" s="204"/>
      <c r="F603" s="205"/>
      <c r="G603" s="205"/>
    </row>
    <row r="604" ht="15.75" customHeight="1">
      <c r="A604" s="224"/>
      <c r="B604" s="186"/>
      <c r="C604" s="210"/>
      <c r="D604" s="210"/>
      <c r="E604" s="204"/>
      <c r="F604" s="205"/>
      <c r="G604" s="205"/>
    </row>
    <row r="605" ht="15.75" customHeight="1">
      <c r="A605" s="224"/>
      <c r="B605" s="186"/>
      <c r="C605" s="210"/>
      <c r="D605" s="210"/>
      <c r="E605" s="204"/>
      <c r="F605" s="205"/>
      <c r="G605" s="205"/>
    </row>
    <row r="606" ht="15.75" customHeight="1">
      <c r="A606" s="224"/>
      <c r="B606" s="186"/>
      <c r="C606" s="210"/>
      <c r="D606" s="210"/>
      <c r="E606" s="204"/>
      <c r="F606" s="205"/>
      <c r="G606" s="205"/>
    </row>
    <row r="607" ht="15.75" customHeight="1">
      <c r="A607" s="224"/>
      <c r="B607" s="186"/>
      <c r="C607" s="210"/>
      <c r="D607" s="210"/>
      <c r="E607" s="204"/>
      <c r="F607" s="205"/>
      <c r="G607" s="205"/>
    </row>
    <row r="608" ht="15.75" customHeight="1">
      <c r="A608" s="224"/>
      <c r="B608" s="186"/>
      <c r="C608" s="210"/>
      <c r="D608" s="210"/>
      <c r="E608" s="204"/>
      <c r="F608" s="205"/>
      <c r="G608" s="205"/>
    </row>
    <row r="609" ht="15.75" customHeight="1">
      <c r="A609" s="224"/>
      <c r="B609" s="186"/>
      <c r="C609" s="210"/>
      <c r="D609" s="210"/>
      <c r="E609" s="204"/>
      <c r="F609" s="205"/>
      <c r="G609" s="205"/>
    </row>
    <row r="610" ht="15.75" customHeight="1">
      <c r="A610" s="224"/>
      <c r="B610" s="186"/>
      <c r="C610" s="210"/>
      <c r="D610" s="210"/>
      <c r="E610" s="204"/>
      <c r="F610" s="205"/>
      <c r="G610" s="205"/>
    </row>
    <row r="611" ht="15.75" customHeight="1">
      <c r="A611" s="224"/>
      <c r="B611" s="186"/>
      <c r="C611" s="210"/>
      <c r="D611" s="210"/>
      <c r="E611" s="204"/>
      <c r="F611" s="205"/>
      <c r="G611" s="205"/>
    </row>
    <row r="612" ht="15.75" customHeight="1">
      <c r="A612" s="224"/>
      <c r="B612" s="186"/>
      <c r="C612" s="210"/>
      <c r="D612" s="210"/>
      <c r="E612" s="204"/>
      <c r="F612" s="205"/>
      <c r="G612" s="205"/>
    </row>
    <row r="613" ht="15.75" customHeight="1">
      <c r="A613" s="224"/>
      <c r="B613" s="186"/>
      <c r="C613" s="210"/>
      <c r="D613" s="210"/>
      <c r="E613" s="204"/>
      <c r="F613" s="205"/>
      <c r="G613" s="205"/>
    </row>
    <row r="614" ht="15.75" customHeight="1">
      <c r="A614" s="224"/>
      <c r="B614" s="186"/>
      <c r="C614" s="210"/>
      <c r="D614" s="210"/>
      <c r="E614" s="204"/>
      <c r="F614" s="205"/>
      <c r="G614" s="205"/>
    </row>
    <row r="615" ht="15.75" customHeight="1">
      <c r="A615" s="224"/>
      <c r="B615" s="186"/>
      <c r="C615" s="210"/>
      <c r="D615" s="210"/>
      <c r="E615" s="204"/>
      <c r="F615" s="205"/>
      <c r="G615" s="205"/>
    </row>
    <row r="616" ht="15.75" customHeight="1">
      <c r="A616" s="224"/>
      <c r="B616" s="186"/>
      <c r="C616" s="210"/>
      <c r="D616" s="210"/>
      <c r="E616" s="204"/>
      <c r="F616" s="205"/>
      <c r="G616" s="205"/>
    </row>
    <row r="617" ht="15.75" customHeight="1">
      <c r="A617" s="224"/>
      <c r="B617" s="186"/>
      <c r="C617" s="210"/>
      <c r="D617" s="210"/>
      <c r="E617" s="204"/>
      <c r="F617" s="205"/>
      <c r="G617" s="205"/>
    </row>
    <row r="618" ht="15.75" customHeight="1">
      <c r="A618" s="224"/>
      <c r="B618" s="186"/>
      <c r="C618" s="210"/>
      <c r="D618" s="210"/>
      <c r="E618" s="204"/>
      <c r="F618" s="205"/>
      <c r="G618" s="205"/>
    </row>
    <row r="619" ht="15.75" customHeight="1">
      <c r="A619" s="224"/>
      <c r="B619" s="186"/>
      <c r="C619" s="210"/>
      <c r="D619" s="210"/>
      <c r="E619" s="204"/>
      <c r="F619" s="205"/>
      <c r="G619" s="205"/>
    </row>
    <row r="620" ht="15.75" customHeight="1">
      <c r="A620" s="224"/>
      <c r="B620" s="186"/>
      <c r="C620" s="210"/>
      <c r="D620" s="210"/>
      <c r="E620" s="204"/>
      <c r="F620" s="205"/>
      <c r="G620" s="205"/>
    </row>
    <row r="621" ht="15.75" customHeight="1">
      <c r="A621" s="224"/>
      <c r="B621" s="186"/>
      <c r="C621" s="210"/>
      <c r="D621" s="210"/>
      <c r="E621" s="204"/>
      <c r="F621" s="205"/>
      <c r="G621" s="205"/>
    </row>
    <row r="622" ht="15.75" customHeight="1">
      <c r="A622" s="224"/>
      <c r="B622" s="186"/>
      <c r="C622" s="210"/>
      <c r="D622" s="210"/>
      <c r="E622" s="204"/>
      <c r="F622" s="205"/>
      <c r="G622" s="205"/>
    </row>
    <row r="623" ht="15.75" customHeight="1">
      <c r="A623" s="224"/>
      <c r="B623" s="186"/>
      <c r="C623" s="210"/>
      <c r="D623" s="210"/>
      <c r="E623" s="204"/>
      <c r="F623" s="205"/>
      <c r="G623" s="205"/>
    </row>
    <row r="624" ht="15.75" customHeight="1">
      <c r="A624" s="224"/>
      <c r="B624" s="186"/>
      <c r="C624" s="210"/>
      <c r="D624" s="210"/>
      <c r="E624" s="204"/>
      <c r="F624" s="205"/>
      <c r="G624" s="205"/>
    </row>
    <row r="625" ht="15.75" customHeight="1">
      <c r="A625" s="224"/>
      <c r="B625" s="186"/>
      <c r="C625" s="210"/>
      <c r="D625" s="210"/>
      <c r="E625" s="204"/>
      <c r="F625" s="205"/>
      <c r="G625" s="205"/>
    </row>
    <row r="626" ht="15.75" customHeight="1">
      <c r="A626" s="224"/>
      <c r="B626" s="186"/>
      <c r="C626" s="210"/>
      <c r="D626" s="210"/>
      <c r="E626" s="204"/>
      <c r="F626" s="205"/>
      <c r="G626" s="205"/>
    </row>
    <row r="627" ht="15.75" customHeight="1">
      <c r="A627" s="224"/>
      <c r="B627" s="186"/>
      <c r="C627" s="210"/>
      <c r="D627" s="210"/>
      <c r="E627" s="204"/>
      <c r="F627" s="205"/>
      <c r="G627" s="205"/>
    </row>
    <row r="628" ht="15.75" customHeight="1">
      <c r="A628" s="224"/>
      <c r="B628" s="186"/>
      <c r="C628" s="210"/>
      <c r="D628" s="210"/>
      <c r="E628" s="204"/>
      <c r="F628" s="205"/>
      <c r="G628" s="205"/>
    </row>
    <row r="629" ht="15.75" customHeight="1">
      <c r="A629" s="224"/>
      <c r="B629" s="186"/>
      <c r="C629" s="210"/>
      <c r="D629" s="210"/>
      <c r="E629" s="204"/>
      <c r="F629" s="205"/>
      <c r="G629" s="205"/>
    </row>
    <row r="630" ht="15.75" customHeight="1">
      <c r="A630" s="224"/>
      <c r="B630" s="186"/>
      <c r="C630" s="210"/>
      <c r="D630" s="210"/>
      <c r="E630" s="204"/>
      <c r="F630" s="205"/>
      <c r="G630" s="205"/>
    </row>
    <row r="631" ht="15.75" customHeight="1">
      <c r="A631" s="224"/>
      <c r="B631" s="186"/>
      <c r="C631" s="210"/>
      <c r="D631" s="210"/>
      <c r="E631" s="204"/>
      <c r="F631" s="205"/>
      <c r="G631" s="205"/>
    </row>
    <row r="632" ht="15.75" customHeight="1">
      <c r="A632" s="224"/>
      <c r="B632" s="186"/>
      <c r="C632" s="210"/>
      <c r="D632" s="210"/>
      <c r="E632" s="204"/>
      <c r="F632" s="205"/>
      <c r="G632" s="205"/>
    </row>
    <row r="633" ht="15.75" customHeight="1">
      <c r="A633" s="224"/>
      <c r="B633" s="186"/>
      <c r="C633" s="210"/>
      <c r="D633" s="210"/>
      <c r="E633" s="204"/>
      <c r="F633" s="205"/>
      <c r="G633" s="205"/>
    </row>
    <row r="634" ht="15.75" customHeight="1">
      <c r="A634" s="224"/>
      <c r="B634" s="186"/>
      <c r="C634" s="210"/>
      <c r="D634" s="210"/>
      <c r="E634" s="204"/>
      <c r="F634" s="205"/>
      <c r="G634" s="205"/>
    </row>
    <row r="635" ht="15.75" customHeight="1">
      <c r="A635" s="224"/>
      <c r="B635" s="186"/>
      <c r="C635" s="210"/>
      <c r="D635" s="210"/>
      <c r="E635" s="204"/>
      <c r="F635" s="205"/>
      <c r="G635" s="205"/>
    </row>
    <row r="636" ht="15.75" customHeight="1">
      <c r="A636" s="224"/>
      <c r="B636" s="186"/>
      <c r="C636" s="210"/>
      <c r="D636" s="210"/>
      <c r="E636" s="204"/>
      <c r="F636" s="205"/>
      <c r="G636" s="205"/>
    </row>
    <row r="637" ht="15.75" customHeight="1">
      <c r="A637" s="224"/>
      <c r="B637" s="186"/>
      <c r="C637" s="210"/>
      <c r="D637" s="210"/>
      <c r="E637" s="204"/>
      <c r="F637" s="205"/>
      <c r="G637" s="205"/>
    </row>
    <row r="638" ht="15.75" customHeight="1">
      <c r="A638" s="224"/>
      <c r="B638" s="186"/>
      <c r="C638" s="210"/>
      <c r="D638" s="210"/>
      <c r="E638" s="204"/>
      <c r="F638" s="205"/>
      <c r="G638" s="205"/>
    </row>
    <row r="639" ht="15.75" customHeight="1">
      <c r="A639" s="224"/>
      <c r="B639" s="186"/>
      <c r="C639" s="210"/>
      <c r="D639" s="210"/>
      <c r="E639" s="204"/>
      <c r="F639" s="205"/>
      <c r="G639" s="205"/>
    </row>
    <row r="640" ht="15.75" customHeight="1">
      <c r="A640" s="224"/>
      <c r="B640" s="186"/>
      <c r="C640" s="210"/>
      <c r="D640" s="210"/>
      <c r="E640" s="204"/>
      <c r="F640" s="205"/>
      <c r="G640" s="205"/>
    </row>
    <row r="641" ht="15.75" customHeight="1">
      <c r="A641" s="224"/>
      <c r="B641" s="186"/>
      <c r="C641" s="210"/>
      <c r="D641" s="210"/>
      <c r="E641" s="204"/>
      <c r="F641" s="205"/>
      <c r="G641" s="205"/>
    </row>
    <row r="642" ht="15.75" customHeight="1">
      <c r="A642" s="224"/>
      <c r="B642" s="186"/>
      <c r="C642" s="210"/>
      <c r="D642" s="210"/>
      <c r="E642" s="204"/>
      <c r="F642" s="205"/>
      <c r="G642" s="205"/>
    </row>
    <row r="643" ht="15.75" customHeight="1">
      <c r="A643" s="224"/>
      <c r="B643" s="186"/>
      <c r="C643" s="210"/>
      <c r="D643" s="210"/>
      <c r="E643" s="204"/>
      <c r="F643" s="205"/>
      <c r="G643" s="205"/>
    </row>
    <row r="644" ht="15.75" customHeight="1">
      <c r="A644" s="224"/>
      <c r="B644" s="186"/>
      <c r="C644" s="210"/>
      <c r="D644" s="210"/>
      <c r="E644" s="204"/>
      <c r="F644" s="205"/>
      <c r="G644" s="205"/>
    </row>
    <row r="645" ht="15.75" customHeight="1">
      <c r="A645" s="224"/>
      <c r="B645" s="186"/>
      <c r="C645" s="210"/>
      <c r="D645" s="210"/>
      <c r="E645" s="204"/>
      <c r="F645" s="205"/>
      <c r="G645" s="205"/>
    </row>
    <row r="646" ht="15.75" customHeight="1">
      <c r="A646" s="224"/>
      <c r="B646" s="186"/>
      <c r="C646" s="210"/>
      <c r="D646" s="210"/>
      <c r="E646" s="204"/>
      <c r="F646" s="205"/>
      <c r="G646" s="205"/>
    </row>
    <row r="647" ht="15.75" customHeight="1">
      <c r="A647" s="224"/>
      <c r="B647" s="186"/>
      <c r="C647" s="210"/>
      <c r="D647" s="210"/>
      <c r="E647" s="204"/>
      <c r="F647" s="205"/>
      <c r="G647" s="205"/>
    </row>
    <row r="648" ht="15.75" customHeight="1">
      <c r="A648" s="224"/>
      <c r="B648" s="186"/>
      <c r="C648" s="210"/>
      <c r="D648" s="210"/>
      <c r="E648" s="204"/>
      <c r="F648" s="205"/>
      <c r="G648" s="205"/>
    </row>
    <row r="649" ht="15.75" customHeight="1">
      <c r="A649" s="224"/>
      <c r="B649" s="186"/>
      <c r="C649" s="210"/>
      <c r="D649" s="210"/>
      <c r="E649" s="204"/>
      <c r="F649" s="205"/>
      <c r="G649" s="205"/>
    </row>
    <row r="650" ht="15.75" customHeight="1">
      <c r="A650" s="224"/>
      <c r="B650" s="186"/>
      <c r="C650" s="210"/>
      <c r="D650" s="210"/>
      <c r="E650" s="204"/>
      <c r="F650" s="205"/>
      <c r="G650" s="205"/>
    </row>
    <row r="651" ht="15.75" customHeight="1">
      <c r="A651" s="224"/>
      <c r="B651" s="186"/>
      <c r="C651" s="210"/>
      <c r="D651" s="210"/>
      <c r="E651" s="204"/>
      <c r="F651" s="205"/>
      <c r="G651" s="205"/>
    </row>
    <row r="652" ht="15.75" customHeight="1">
      <c r="A652" s="224"/>
      <c r="B652" s="186"/>
      <c r="C652" s="210"/>
      <c r="D652" s="210"/>
      <c r="E652" s="204"/>
      <c r="F652" s="205"/>
      <c r="G652" s="205"/>
    </row>
    <row r="653" ht="15.75" customHeight="1">
      <c r="A653" s="224"/>
      <c r="B653" s="186"/>
      <c r="C653" s="210"/>
      <c r="D653" s="210"/>
      <c r="E653" s="204"/>
      <c r="F653" s="205"/>
      <c r="G653" s="205"/>
    </row>
    <row r="654" ht="15.75" customHeight="1">
      <c r="A654" s="224"/>
      <c r="B654" s="186"/>
      <c r="C654" s="210"/>
      <c r="D654" s="210"/>
      <c r="E654" s="204"/>
      <c r="F654" s="205"/>
      <c r="G654" s="205"/>
    </row>
    <row r="655" ht="15.75" customHeight="1">
      <c r="A655" s="224"/>
      <c r="B655" s="186"/>
      <c r="C655" s="210"/>
      <c r="D655" s="210"/>
      <c r="E655" s="204"/>
      <c r="F655" s="205"/>
      <c r="G655" s="205"/>
    </row>
    <row r="656" ht="15.75" customHeight="1">
      <c r="A656" s="224"/>
      <c r="B656" s="186"/>
      <c r="C656" s="210"/>
      <c r="D656" s="210"/>
      <c r="E656" s="204"/>
      <c r="F656" s="205"/>
      <c r="G656" s="205"/>
    </row>
    <row r="657" ht="15.75" customHeight="1">
      <c r="A657" s="224"/>
      <c r="B657" s="186"/>
      <c r="C657" s="210"/>
      <c r="D657" s="210"/>
      <c r="E657" s="204"/>
      <c r="F657" s="205"/>
      <c r="G657" s="205"/>
    </row>
    <row r="658" ht="15.75" customHeight="1">
      <c r="A658" s="224"/>
      <c r="B658" s="186"/>
      <c r="C658" s="210"/>
      <c r="D658" s="210"/>
      <c r="E658" s="204"/>
      <c r="F658" s="205"/>
      <c r="G658" s="205"/>
    </row>
    <row r="659" ht="15.75" customHeight="1">
      <c r="A659" s="224"/>
      <c r="B659" s="186"/>
      <c r="C659" s="210"/>
      <c r="D659" s="210"/>
      <c r="E659" s="204"/>
      <c r="F659" s="205"/>
      <c r="G659" s="205"/>
    </row>
    <row r="660" ht="15.75" customHeight="1">
      <c r="A660" s="224"/>
      <c r="B660" s="186"/>
      <c r="C660" s="210"/>
      <c r="D660" s="210"/>
      <c r="E660" s="204"/>
      <c r="F660" s="205"/>
      <c r="G660" s="205"/>
    </row>
    <row r="661" ht="15.75" customHeight="1">
      <c r="A661" s="224"/>
      <c r="B661" s="186"/>
      <c r="C661" s="210"/>
      <c r="D661" s="210"/>
      <c r="E661" s="204"/>
      <c r="F661" s="205"/>
      <c r="G661" s="205"/>
    </row>
    <row r="662" ht="15.75" customHeight="1">
      <c r="A662" s="224"/>
      <c r="B662" s="186"/>
      <c r="C662" s="210"/>
      <c r="D662" s="210"/>
      <c r="E662" s="204"/>
      <c r="F662" s="205"/>
      <c r="G662" s="205"/>
    </row>
    <row r="663" ht="15.75" customHeight="1">
      <c r="A663" s="224"/>
      <c r="B663" s="186"/>
      <c r="C663" s="210"/>
      <c r="D663" s="210"/>
      <c r="E663" s="204"/>
      <c r="F663" s="205"/>
      <c r="G663" s="205"/>
    </row>
    <row r="664" ht="15.75" customHeight="1">
      <c r="A664" s="224"/>
      <c r="B664" s="186"/>
      <c r="C664" s="210"/>
      <c r="D664" s="210"/>
      <c r="E664" s="204"/>
      <c r="F664" s="205"/>
      <c r="G664" s="205"/>
    </row>
    <row r="665" ht="15.75" customHeight="1">
      <c r="A665" s="224"/>
      <c r="B665" s="186"/>
      <c r="C665" s="210"/>
      <c r="D665" s="210"/>
      <c r="E665" s="204"/>
      <c r="F665" s="205"/>
      <c r="G665" s="205"/>
    </row>
    <row r="666" ht="15.75" customHeight="1">
      <c r="A666" s="224"/>
      <c r="B666" s="186"/>
      <c r="C666" s="210"/>
      <c r="D666" s="210"/>
      <c r="E666" s="204"/>
      <c r="F666" s="205"/>
      <c r="G666" s="205"/>
    </row>
    <row r="667" ht="15.75" customHeight="1">
      <c r="A667" s="224"/>
      <c r="B667" s="186"/>
      <c r="C667" s="210"/>
      <c r="D667" s="210"/>
      <c r="E667" s="204"/>
      <c r="F667" s="205"/>
      <c r="G667" s="205"/>
    </row>
    <row r="668" ht="15.75" customHeight="1">
      <c r="A668" s="224"/>
      <c r="B668" s="186"/>
      <c r="C668" s="210"/>
      <c r="D668" s="210"/>
      <c r="E668" s="204"/>
      <c r="F668" s="205"/>
      <c r="G668" s="205"/>
    </row>
    <row r="669" ht="15.75" customHeight="1">
      <c r="A669" s="224"/>
      <c r="B669" s="186"/>
      <c r="C669" s="210"/>
      <c r="D669" s="210"/>
      <c r="E669" s="204"/>
      <c r="F669" s="205"/>
      <c r="G669" s="205"/>
    </row>
    <row r="670" ht="15.75" customHeight="1">
      <c r="A670" s="224"/>
      <c r="B670" s="186"/>
      <c r="C670" s="210"/>
      <c r="D670" s="210"/>
      <c r="E670" s="204"/>
      <c r="F670" s="205"/>
      <c r="G670" s="205"/>
    </row>
    <row r="671" ht="15.75" customHeight="1">
      <c r="A671" s="224"/>
      <c r="B671" s="186"/>
      <c r="C671" s="210"/>
      <c r="D671" s="210"/>
      <c r="E671" s="204"/>
      <c r="F671" s="205"/>
      <c r="G671" s="205"/>
    </row>
    <row r="672" ht="15.75" customHeight="1">
      <c r="A672" s="224"/>
      <c r="B672" s="186"/>
      <c r="C672" s="210"/>
      <c r="D672" s="210"/>
      <c r="E672" s="204"/>
      <c r="F672" s="205"/>
      <c r="G672" s="205"/>
    </row>
    <row r="673" ht="15.75" customHeight="1">
      <c r="A673" s="224"/>
      <c r="B673" s="186"/>
      <c r="C673" s="210"/>
      <c r="D673" s="210"/>
      <c r="E673" s="204"/>
      <c r="F673" s="205"/>
      <c r="G673" s="205"/>
    </row>
    <row r="674" ht="15.75" customHeight="1">
      <c r="A674" s="224"/>
      <c r="B674" s="186"/>
      <c r="C674" s="210"/>
      <c r="D674" s="210"/>
      <c r="E674" s="204"/>
      <c r="F674" s="205"/>
      <c r="G674" s="205"/>
    </row>
    <row r="675" ht="15.75" customHeight="1">
      <c r="A675" s="224"/>
      <c r="B675" s="186"/>
      <c r="C675" s="210"/>
      <c r="D675" s="210"/>
      <c r="E675" s="204"/>
      <c r="F675" s="205"/>
      <c r="G675" s="205"/>
    </row>
    <row r="676" ht="15.75" customHeight="1">
      <c r="A676" s="224"/>
      <c r="B676" s="186"/>
      <c r="C676" s="210"/>
      <c r="D676" s="210"/>
      <c r="E676" s="204"/>
      <c r="F676" s="205"/>
      <c r="G676" s="205"/>
    </row>
    <row r="677" ht="15.75" customHeight="1">
      <c r="A677" s="224"/>
      <c r="B677" s="186"/>
      <c r="C677" s="210"/>
      <c r="D677" s="210"/>
      <c r="E677" s="204"/>
      <c r="F677" s="205"/>
      <c r="G677" s="205"/>
    </row>
    <row r="678" ht="15.75" customHeight="1">
      <c r="A678" s="224"/>
      <c r="B678" s="186"/>
      <c r="C678" s="210"/>
      <c r="D678" s="210"/>
      <c r="E678" s="204"/>
      <c r="F678" s="205"/>
      <c r="G678" s="205"/>
    </row>
    <row r="679" ht="15.75" customHeight="1">
      <c r="A679" s="224"/>
      <c r="B679" s="186"/>
      <c r="C679" s="210"/>
      <c r="D679" s="210"/>
      <c r="E679" s="204"/>
      <c r="F679" s="205"/>
      <c r="G679" s="205"/>
    </row>
    <row r="680" ht="15.75" customHeight="1">
      <c r="A680" s="224"/>
      <c r="B680" s="186"/>
      <c r="C680" s="210"/>
      <c r="D680" s="210"/>
      <c r="E680" s="204"/>
      <c r="F680" s="205"/>
      <c r="G680" s="205"/>
    </row>
    <row r="681" ht="15.75" customHeight="1">
      <c r="A681" s="224"/>
      <c r="B681" s="186"/>
      <c r="C681" s="210"/>
      <c r="D681" s="210"/>
      <c r="E681" s="204"/>
      <c r="F681" s="205"/>
      <c r="G681" s="205"/>
    </row>
    <row r="682" ht="15.75" customHeight="1">
      <c r="A682" s="224"/>
      <c r="B682" s="186"/>
      <c r="C682" s="210"/>
      <c r="D682" s="210"/>
      <c r="E682" s="204"/>
      <c r="F682" s="205"/>
      <c r="G682" s="205"/>
    </row>
    <row r="683" ht="15.75" customHeight="1">
      <c r="A683" s="224"/>
      <c r="B683" s="186"/>
      <c r="C683" s="210"/>
      <c r="D683" s="210"/>
      <c r="E683" s="204"/>
      <c r="F683" s="205"/>
      <c r="G683" s="205"/>
    </row>
    <row r="684" ht="15.75" customHeight="1">
      <c r="A684" s="224"/>
      <c r="B684" s="186"/>
      <c r="C684" s="210"/>
      <c r="D684" s="210"/>
      <c r="E684" s="204"/>
      <c r="F684" s="205"/>
      <c r="G684" s="205"/>
    </row>
    <row r="685" ht="15.75" customHeight="1">
      <c r="A685" s="224"/>
      <c r="B685" s="186"/>
      <c r="C685" s="210"/>
      <c r="D685" s="210"/>
      <c r="E685" s="204"/>
      <c r="F685" s="205"/>
      <c r="G685" s="205"/>
    </row>
    <row r="686" ht="15.75" customHeight="1">
      <c r="A686" s="224"/>
      <c r="B686" s="186"/>
      <c r="C686" s="210"/>
      <c r="D686" s="210"/>
      <c r="E686" s="204"/>
      <c r="F686" s="205"/>
      <c r="G686" s="205"/>
    </row>
    <row r="687" ht="15.75" customHeight="1">
      <c r="A687" s="224"/>
      <c r="B687" s="186"/>
      <c r="C687" s="210"/>
      <c r="D687" s="210"/>
      <c r="E687" s="204"/>
      <c r="F687" s="205"/>
      <c r="G687" s="205"/>
    </row>
    <row r="688" ht="15.75" customHeight="1">
      <c r="A688" s="224"/>
      <c r="B688" s="186"/>
      <c r="C688" s="210"/>
      <c r="D688" s="210"/>
      <c r="E688" s="204"/>
      <c r="F688" s="205"/>
      <c r="G688" s="205"/>
    </row>
    <row r="689" ht="15.75" customHeight="1">
      <c r="A689" s="224"/>
      <c r="B689" s="186"/>
      <c r="C689" s="210"/>
      <c r="D689" s="210"/>
      <c r="E689" s="204"/>
      <c r="F689" s="205"/>
      <c r="G689" s="205"/>
    </row>
    <row r="690" ht="15.75" customHeight="1">
      <c r="A690" s="224"/>
      <c r="B690" s="186"/>
      <c r="C690" s="210"/>
      <c r="D690" s="210"/>
      <c r="E690" s="204"/>
      <c r="F690" s="205"/>
      <c r="G690" s="205"/>
    </row>
    <row r="691" ht="15.75" customHeight="1">
      <c r="A691" s="224"/>
      <c r="B691" s="186"/>
      <c r="C691" s="210"/>
      <c r="D691" s="210"/>
      <c r="E691" s="204"/>
      <c r="F691" s="205"/>
      <c r="G691" s="205"/>
    </row>
    <row r="692" ht="15.75" customHeight="1">
      <c r="A692" s="224"/>
      <c r="B692" s="186"/>
      <c r="C692" s="210"/>
      <c r="D692" s="210"/>
      <c r="E692" s="204"/>
      <c r="F692" s="205"/>
      <c r="G692" s="205"/>
    </row>
    <row r="693" ht="15.75" customHeight="1">
      <c r="A693" s="224"/>
      <c r="B693" s="186"/>
      <c r="C693" s="210"/>
      <c r="D693" s="210"/>
      <c r="E693" s="204"/>
      <c r="F693" s="205"/>
      <c r="G693" s="205"/>
    </row>
    <row r="694" ht="15.75" customHeight="1">
      <c r="A694" s="224"/>
      <c r="B694" s="186"/>
      <c r="C694" s="210"/>
      <c r="D694" s="210"/>
      <c r="E694" s="204"/>
      <c r="F694" s="205"/>
      <c r="G694" s="205"/>
    </row>
    <row r="695" ht="15.75" customHeight="1">
      <c r="A695" s="224"/>
      <c r="B695" s="186"/>
      <c r="C695" s="210"/>
      <c r="D695" s="210"/>
      <c r="E695" s="204"/>
      <c r="F695" s="205"/>
      <c r="G695" s="205"/>
    </row>
    <row r="696" ht="15.75" customHeight="1">
      <c r="A696" s="224"/>
      <c r="B696" s="186"/>
      <c r="C696" s="210"/>
      <c r="D696" s="210"/>
      <c r="E696" s="204"/>
      <c r="F696" s="205"/>
      <c r="G696" s="205"/>
    </row>
    <row r="697" ht="15.75" customHeight="1">
      <c r="A697" s="224"/>
      <c r="B697" s="186"/>
      <c r="C697" s="210"/>
      <c r="D697" s="210"/>
      <c r="E697" s="204"/>
      <c r="F697" s="205"/>
      <c r="G697" s="205"/>
    </row>
    <row r="698" ht="15.75" customHeight="1">
      <c r="A698" s="224"/>
      <c r="B698" s="186"/>
      <c r="C698" s="210"/>
      <c r="D698" s="210"/>
      <c r="E698" s="204"/>
      <c r="F698" s="205"/>
      <c r="G698" s="205"/>
    </row>
    <row r="699" ht="15.75" customHeight="1">
      <c r="A699" s="224"/>
      <c r="B699" s="186"/>
      <c r="C699" s="210"/>
      <c r="D699" s="210"/>
      <c r="E699" s="204"/>
      <c r="F699" s="205"/>
      <c r="G699" s="205"/>
    </row>
    <row r="700" ht="15.75" customHeight="1">
      <c r="A700" s="224"/>
      <c r="B700" s="186"/>
      <c r="C700" s="210"/>
      <c r="D700" s="210"/>
      <c r="E700" s="204"/>
      <c r="F700" s="205"/>
      <c r="G700" s="205"/>
    </row>
    <row r="701" ht="15.75" customHeight="1">
      <c r="A701" s="224"/>
      <c r="B701" s="186"/>
      <c r="C701" s="210"/>
      <c r="D701" s="210"/>
      <c r="E701" s="204"/>
      <c r="F701" s="205"/>
      <c r="G701" s="205"/>
    </row>
    <row r="702" ht="15.75" customHeight="1">
      <c r="A702" s="224"/>
      <c r="B702" s="186"/>
      <c r="C702" s="210"/>
      <c r="D702" s="210"/>
      <c r="E702" s="204"/>
      <c r="F702" s="205"/>
      <c r="G702" s="205"/>
    </row>
    <row r="703" ht="15.75" customHeight="1">
      <c r="A703" s="224"/>
      <c r="B703" s="186"/>
      <c r="C703" s="210"/>
      <c r="D703" s="210"/>
      <c r="E703" s="204"/>
      <c r="F703" s="205"/>
      <c r="G703" s="205"/>
    </row>
    <row r="704" ht="15.75" customHeight="1">
      <c r="A704" s="224"/>
      <c r="B704" s="186"/>
      <c r="C704" s="210"/>
      <c r="D704" s="210"/>
      <c r="E704" s="204"/>
      <c r="F704" s="205"/>
      <c r="G704" s="205"/>
    </row>
    <row r="705" ht="15.75" customHeight="1">
      <c r="A705" s="224"/>
      <c r="B705" s="186"/>
      <c r="C705" s="210"/>
      <c r="D705" s="210"/>
      <c r="E705" s="204"/>
      <c r="F705" s="205"/>
      <c r="G705" s="205"/>
    </row>
    <row r="706" ht="15.75" customHeight="1">
      <c r="A706" s="224"/>
      <c r="B706" s="186"/>
      <c r="C706" s="210"/>
      <c r="D706" s="210"/>
      <c r="E706" s="204"/>
      <c r="F706" s="205"/>
      <c r="G706" s="205"/>
    </row>
    <row r="707" ht="15.75" customHeight="1">
      <c r="A707" s="224"/>
      <c r="B707" s="186"/>
      <c r="C707" s="210"/>
      <c r="D707" s="210"/>
      <c r="E707" s="204"/>
      <c r="F707" s="205"/>
      <c r="G707" s="205"/>
    </row>
    <row r="708" ht="15.75" customHeight="1">
      <c r="A708" s="224"/>
      <c r="B708" s="186"/>
      <c r="C708" s="210"/>
      <c r="D708" s="210"/>
      <c r="E708" s="204"/>
      <c r="F708" s="205"/>
      <c r="G708" s="205"/>
    </row>
    <row r="709" ht="15.75" customHeight="1">
      <c r="A709" s="224"/>
      <c r="B709" s="186"/>
      <c r="C709" s="210"/>
      <c r="D709" s="210"/>
      <c r="E709" s="204"/>
      <c r="F709" s="205"/>
      <c r="G709" s="205"/>
    </row>
    <row r="710" ht="15.75" customHeight="1">
      <c r="A710" s="224"/>
      <c r="B710" s="186"/>
      <c r="C710" s="210"/>
      <c r="D710" s="210"/>
      <c r="E710" s="204"/>
      <c r="F710" s="205"/>
      <c r="G710" s="205"/>
    </row>
    <row r="711" ht="15.75" customHeight="1">
      <c r="A711" s="224"/>
      <c r="B711" s="186"/>
      <c r="C711" s="210"/>
      <c r="D711" s="210"/>
      <c r="E711" s="204"/>
      <c r="F711" s="205"/>
      <c r="G711" s="205"/>
    </row>
    <row r="712" ht="15.75" customHeight="1">
      <c r="A712" s="224"/>
      <c r="B712" s="186"/>
      <c r="C712" s="210"/>
      <c r="D712" s="210"/>
      <c r="E712" s="204"/>
      <c r="F712" s="205"/>
      <c r="G712" s="205"/>
    </row>
    <row r="713" ht="15.75" customHeight="1">
      <c r="A713" s="224"/>
      <c r="B713" s="186"/>
      <c r="C713" s="210"/>
      <c r="D713" s="210"/>
      <c r="E713" s="204"/>
      <c r="F713" s="205"/>
      <c r="G713" s="205"/>
    </row>
    <row r="714" ht="15.75" customHeight="1">
      <c r="A714" s="224"/>
      <c r="B714" s="186"/>
      <c r="C714" s="210"/>
      <c r="D714" s="210"/>
      <c r="E714" s="204"/>
      <c r="F714" s="205"/>
      <c r="G714" s="205"/>
    </row>
    <row r="715" ht="15.75" customHeight="1">
      <c r="A715" s="224"/>
      <c r="B715" s="186"/>
      <c r="C715" s="210"/>
      <c r="D715" s="210"/>
      <c r="E715" s="204"/>
      <c r="F715" s="205"/>
      <c r="G715" s="205"/>
    </row>
    <row r="716" ht="15.75" customHeight="1">
      <c r="A716" s="224"/>
      <c r="B716" s="186"/>
      <c r="C716" s="210"/>
      <c r="D716" s="210"/>
      <c r="E716" s="204"/>
      <c r="F716" s="205"/>
      <c r="G716" s="205"/>
    </row>
    <row r="717" ht="15.75" customHeight="1">
      <c r="A717" s="224"/>
      <c r="B717" s="186"/>
      <c r="C717" s="210"/>
      <c r="D717" s="210"/>
      <c r="E717" s="204"/>
      <c r="F717" s="205"/>
      <c r="G717" s="205"/>
    </row>
    <row r="718" ht="15.75" customHeight="1">
      <c r="A718" s="224"/>
      <c r="B718" s="186"/>
      <c r="C718" s="210"/>
      <c r="D718" s="210"/>
      <c r="E718" s="204"/>
      <c r="F718" s="205"/>
      <c r="G718" s="205"/>
    </row>
    <row r="719" ht="15.75" customHeight="1">
      <c r="A719" s="224"/>
      <c r="B719" s="186"/>
      <c r="C719" s="210"/>
      <c r="D719" s="210"/>
      <c r="E719" s="204"/>
      <c r="F719" s="205"/>
      <c r="G719" s="205"/>
    </row>
    <row r="720" ht="15.75" customHeight="1">
      <c r="A720" s="224"/>
      <c r="B720" s="186"/>
      <c r="C720" s="210"/>
      <c r="D720" s="210"/>
      <c r="E720" s="204"/>
      <c r="F720" s="205"/>
      <c r="G720" s="205"/>
    </row>
    <row r="721" ht="15.75" customHeight="1">
      <c r="A721" s="224"/>
      <c r="B721" s="186"/>
      <c r="C721" s="210"/>
      <c r="D721" s="210"/>
      <c r="E721" s="204"/>
      <c r="F721" s="205"/>
      <c r="G721" s="205"/>
    </row>
    <row r="722" ht="15.75" customHeight="1">
      <c r="A722" s="224"/>
      <c r="B722" s="186"/>
      <c r="C722" s="210"/>
      <c r="D722" s="210"/>
      <c r="E722" s="204"/>
      <c r="F722" s="205"/>
      <c r="G722" s="205"/>
    </row>
    <row r="723" ht="15.75" customHeight="1">
      <c r="A723" s="224"/>
      <c r="B723" s="186"/>
      <c r="C723" s="210"/>
      <c r="D723" s="210"/>
      <c r="E723" s="204"/>
      <c r="F723" s="205"/>
      <c r="G723" s="205"/>
    </row>
    <row r="724" ht="15.75" customHeight="1">
      <c r="A724" s="224"/>
      <c r="B724" s="186"/>
      <c r="C724" s="210"/>
      <c r="D724" s="210"/>
      <c r="E724" s="204"/>
      <c r="F724" s="205"/>
      <c r="G724" s="205"/>
    </row>
    <row r="725" ht="15.75" customHeight="1">
      <c r="A725" s="224"/>
      <c r="B725" s="186"/>
      <c r="C725" s="210"/>
      <c r="D725" s="210"/>
      <c r="E725" s="204"/>
      <c r="F725" s="205"/>
      <c r="G725" s="205"/>
    </row>
    <row r="726" ht="15.75" customHeight="1">
      <c r="A726" s="224"/>
      <c r="B726" s="186"/>
      <c r="C726" s="210"/>
      <c r="D726" s="210"/>
      <c r="E726" s="204"/>
      <c r="F726" s="205"/>
      <c r="G726" s="205"/>
    </row>
    <row r="727" ht="15.75" customHeight="1">
      <c r="A727" s="224"/>
      <c r="B727" s="186"/>
      <c r="C727" s="210"/>
      <c r="D727" s="210"/>
      <c r="E727" s="204"/>
      <c r="F727" s="205"/>
      <c r="G727" s="205"/>
    </row>
    <row r="728" ht="15.75" customHeight="1">
      <c r="A728" s="224"/>
      <c r="B728" s="186"/>
      <c r="C728" s="210"/>
      <c r="D728" s="210"/>
      <c r="E728" s="204"/>
      <c r="F728" s="205"/>
      <c r="G728" s="205"/>
    </row>
    <row r="729" ht="15.75" customHeight="1">
      <c r="A729" s="224"/>
      <c r="B729" s="186"/>
      <c r="C729" s="210"/>
      <c r="D729" s="210"/>
      <c r="E729" s="204"/>
      <c r="F729" s="205"/>
      <c r="G729" s="205"/>
    </row>
    <row r="730" ht="15.75" customHeight="1">
      <c r="A730" s="224"/>
      <c r="B730" s="186"/>
      <c r="C730" s="210"/>
      <c r="D730" s="210"/>
      <c r="E730" s="204"/>
      <c r="F730" s="205"/>
      <c r="G730" s="205"/>
    </row>
    <row r="731" ht="15.75" customHeight="1">
      <c r="A731" s="224"/>
      <c r="B731" s="186"/>
      <c r="C731" s="210"/>
      <c r="D731" s="210"/>
      <c r="E731" s="204"/>
      <c r="F731" s="205"/>
      <c r="G731" s="205"/>
    </row>
    <row r="732" ht="15.75" customHeight="1">
      <c r="A732" s="224"/>
      <c r="B732" s="186"/>
      <c r="C732" s="210"/>
      <c r="D732" s="210"/>
      <c r="E732" s="204"/>
      <c r="F732" s="205"/>
      <c r="G732" s="205"/>
    </row>
    <row r="733" ht="15.75" customHeight="1">
      <c r="A733" s="224"/>
      <c r="B733" s="186"/>
      <c r="C733" s="210"/>
      <c r="D733" s="210"/>
      <c r="E733" s="204"/>
      <c r="F733" s="205"/>
      <c r="G733" s="205"/>
    </row>
    <row r="734" ht="15.75" customHeight="1">
      <c r="A734" s="224"/>
      <c r="B734" s="186"/>
      <c r="C734" s="210"/>
      <c r="D734" s="210"/>
      <c r="E734" s="204"/>
      <c r="F734" s="205"/>
      <c r="G734" s="205"/>
    </row>
    <row r="735" ht="15.75" customHeight="1">
      <c r="A735" s="224"/>
      <c r="B735" s="186"/>
      <c r="C735" s="210"/>
      <c r="D735" s="210"/>
      <c r="E735" s="204"/>
      <c r="F735" s="205"/>
      <c r="G735" s="205"/>
    </row>
    <row r="736" ht="15.75" customHeight="1">
      <c r="A736" s="224"/>
      <c r="B736" s="186"/>
      <c r="C736" s="210"/>
      <c r="D736" s="210"/>
      <c r="E736" s="204"/>
      <c r="F736" s="205"/>
      <c r="G736" s="205"/>
    </row>
    <row r="737" ht="15.75" customHeight="1">
      <c r="A737" s="224"/>
      <c r="B737" s="186"/>
      <c r="C737" s="210"/>
      <c r="D737" s="210"/>
      <c r="E737" s="204"/>
      <c r="F737" s="205"/>
      <c r="G737" s="205"/>
    </row>
    <row r="738" ht="15.75" customHeight="1">
      <c r="A738" s="224"/>
      <c r="B738" s="186"/>
      <c r="C738" s="210"/>
      <c r="D738" s="210"/>
      <c r="E738" s="204"/>
      <c r="F738" s="205"/>
      <c r="G738" s="205"/>
    </row>
    <row r="739" ht="15.75" customHeight="1">
      <c r="A739" s="224"/>
      <c r="B739" s="186"/>
      <c r="C739" s="210"/>
      <c r="D739" s="210"/>
      <c r="E739" s="204"/>
      <c r="F739" s="205"/>
      <c r="G739" s="205"/>
    </row>
    <row r="740" ht="15.75" customHeight="1">
      <c r="A740" s="224"/>
      <c r="B740" s="186"/>
      <c r="C740" s="210"/>
      <c r="D740" s="210"/>
      <c r="E740" s="204"/>
      <c r="F740" s="205"/>
      <c r="G740" s="205"/>
    </row>
    <row r="741" ht="15.75" customHeight="1">
      <c r="A741" s="224"/>
      <c r="B741" s="186"/>
      <c r="C741" s="210"/>
      <c r="D741" s="210"/>
      <c r="E741" s="204"/>
      <c r="F741" s="205"/>
      <c r="G741" s="205"/>
    </row>
    <row r="742" ht="15.75" customHeight="1">
      <c r="A742" s="224"/>
      <c r="B742" s="186"/>
      <c r="C742" s="210"/>
      <c r="D742" s="210"/>
      <c r="E742" s="204"/>
      <c r="F742" s="205"/>
      <c r="G742" s="205"/>
    </row>
    <row r="743" ht="15.75" customHeight="1">
      <c r="A743" s="224"/>
      <c r="B743" s="186"/>
      <c r="C743" s="210"/>
      <c r="D743" s="210"/>
      <c r="E743" s="204"/>
      <c r="F743" s="205"/>
      <c r="G743" s="205"/>
    </row>
    <row r="744" ht="15.75" customHeight="1">
      <c r="A744" s="224"/>
      <c r="B744" s="186"/>
      <c r="C744" s="210"/>
      <c r="D744" s="210"/>
      <c r="E744" s="204"/>
      <c r="F744" s="205"/>
      <c r="G744" s="205"/>
    </row>
    <row r="745" ht="15.75" customHeight="1">
      <c r="A745" s="224"/>
      <c r="B745" s="186"/>
      <c r="C745" s="210"/>
      <c r="D745" s="210"/>
      <c r="E745" s="204"/>
      <c r="F745" s="205"/>
      <c r="G745" s="205"/>
    </row>
    <row r="746" ht="15.75" customHeight="1">
      <c r="A746" s="224"/>
      <c r="B746" s="186"/>
      <c r="C746" s="210"/>
      <c r="D746" s="210"/>
      <c r="E746" s="204"/>
      <c r="F746" s="205"/>
      <c r="G746" s="205"/>
    </row>
    <row r="747" ht="15.75" customHeight="1">
      <c r="A747" s="224"/>
      <c r="B747" s="186"/>
      <c r="C747" s="210"/>
      <c r="D747" s="210"/>
      <c r="E747" s="204"/>
      <c r="F747" s="205"/>
      <c r="G747" s="205"/>
    </row>
    <row r="748" ht="15.75" customHeight="1">
      <c r="A748" s="224"/>
      <c r="B748" s="186"/>
      <c r="C748" s="210"/>
      <c r="D748" s="210"/>
      <c r="E748" s="204"/>
      <c r="F748" s="205"/>
      <c r="G748" s="205"/>
    </row>
    <row r="749" ht="15.75" customHeight="1">
      <c r="A749" s="224"/>
      <c r="B749" s="186"/>
      <c r="C749" s="210"/>
      <c r="D749" s="210"/>
      <c r="E749" s="204"/>
      <c r="F749" s="205"/>
      <c r="G749" s="205"/>
    </row>
    <row r="750" ht="15.75" customHeight="1">
      <c r="A750" s="224"/>
      <c r="B750" s="186"/>
      <c r="C750" s="210"/>
      <c r="D750" s="210"/>
      <c r="E750" s="204"/>
      <c r="F750" s="205"/>
      <c r="G750" s="205"/>
    </row>
    <row r="751" ht="15.75" customHeight="1">
      <c r="A751" s="224"/>
      <c r="B751" s="186"/>
      <c r="C751" s="210"/>
      <c r="D751" s="210"/>
      <c r="E751" s="204"/>
      <c r="F751" s="205"/>
      <c r="G751" s="205"/>
    </row>
    <row r="752" ht="15.75" customHeight="1">
      <c r="A752" s="224"/>
      <c r="B752" s="186"/>
      <c r="C752" s="210"/>
      <c r="D752" s="210"/>
      <c r="E752" s="204"/>
      <c r="F752" s="205"/>
      <c r="G752" s="205"/>
    </row>
    <row r="753" ht="15.75" customHeight="1">
      <c r="A753" s="224"/>
      <c r="B753" s="186"/>
      <c r="C753" s="210"/>
      <c r="D753" s="210"/>
      <c r="E753" s="204"/>
      <c r="F753" s="205"/>
      <c r="G753" s="205"/>
    </row>
    <row r="754" ht="15.75" customHeight="1">
      <c r="A754" s="224"/>
      <c r="B754" s="186"/>
      <c r="C754" s="210"/>
      <c r="D754" s="210"/>
      <c r="E754" s="204"/>
      <c r="F754" s="205"/>
      <c r="G754" s="205"/>
    </row>
    <row r="755" ht="15.75" customHeight="1">
      <c r="A755" s="224"/>
      <c r="B755" s="186"/>
      <c r="C755" s="210"/>
      <c r="D755" s="210"/>
      <c r="E755" s="204"/>
      <c r="F755" s="205"/>
      <c r="G755" s="205"/>
    </row>
    <row r="756" ht="15.75" customHeight="1">
      <c r="A756" s="224"/>
      <c r="B756" s="186"/>
      <c r="C756" s="210"/>
      <c r="D756" s="210"/>
      <c r="E756" s="204"/>
      <c r="F756" s="205"/>
      <c r="G756" s="205"/>
    </row>
    <row r="757" ht="15.75" customHeight="1">
      <c r="A757" s="224"/>
      <c r="B757" s="186"/>
      <c r="C757" s="210"/>
      <c r="D757" s="210"/>
      <c r="E757" s="204"/>
      <c r="F757" s="205"/>
      <c r="G757" s="205"/>
    </row>
    <row r="758" ht="15.75" customHeight="1">
      <c r="A758" s="224"/>
      <c r="B758" s="186"/>
      <c r="C758" s="210"/>
      <c r="D758" s="210"/>
      <c r="E758" s="204"/>
      <c r="F758" s="205"/>
      <c r="G758" s="205"/>
    </row>
    <row r="759" ht="15.75" customHeight="1">
      <c r="A759" s="224"/>
      <c r="B759" s="186"/>
      <c r="C759" s="210"/>
      <c r="D759" s="210"/>
      <c r="E759" s="204"/>
      <c r="F759" s="205"/>
      <c r="G759" s="205"/>
    </row>
    <row r="760" ht="15.75" customHeight="1">
      <c r="A760" s="224"/>
      <c r="B760" s="186"/>
      <c r="C760" s="210"/>
      <c r="D760" s="210"/>
      <c r="E760" s="204"/>
      <c r="F760" s="205"/>
      <c r="G760" s="205"/>
    </row>
    <row r="761" ht="15.75" customHeight="1">
      <c r="A761" s="224"/>
      <c r="B761" s="186"/>
      <c r="C761" s="210"/>
      <c r="D761" s="210"/>
      <c r="E761" s="204"/>
      <c r="F761" s="205"/>
      <c r="G761" s="205"/>
    </row>
    <row r="762" ht="15.75" customHeight="1">
      <c r="A762" s="224"/>
      <c r="B762" s="186"/>
      <c r="C762" s="210"/>
      <c r="D762" s="210"/>
      <c r="E762" s="204"/>
      <c r="F762" s="205"/>
      <c r="G762" s="205"/>
    </row>
    <row r="763" ht="15.75" customHeight="1">
      <c r="A763" s="224"/>
      <c r="B763" s="186"/>
      <c r="C763" s="210"/>
      <c r="D763" s="210"/>
      <c r="E763" s="204"/>
      <c r="F763" s="205"/>
      <c r="G763" s="205"/>
    </row>
    <row r="764" ht="15.75" customHeight="1">
      <c r="A764" s="224"/>
      <c r="B764" s="186"/>
      <c r="C764" s="210"/>
      <c r="D764" s="210"/>
      <c r="E764" s="204"/>
      <c r="F764" s="205"/>
      <c r="G764" s="205"/>
    </row>
    <row r="765" ht="15.75" customHeight="1">
      <c r="A765" s="224"/>
      <c r="B765" s="186"/>
      <c r="C765" s="210"/>
      <c r="D765" s="210"/>
      <c r="E765" s="204"/>
      <c r="F765" s="205"/>
      <c r="G765" s="205"/>
    </row>
    <row r="766" ht="15.75" customHeight="1">
      <c r="A766" s="224"/>
      <c r="B766" s="186"/>
      <c r="C766" s="210"/>
      <c r="D766" s="210"/>
      <c r="E766" s="204"/>
      <c r="F766" s="205"/>
      <c r="G766" s="205"/>
    </row>
    <row r="767" ht="15.75" customHeight="1">
      <c r="A767" s="224"/>
      <c r="B767" s="186"/>
      <c r="C767" s="210"/>
      <c r="D767" s="210"/>
      <c r="E767" s="204"/>
      <c r="F767" s="205"/>
      <c r="G767" s="205"/>
    </row>
    <row r="768" ht="15.75" customHeight="1">
      <c r="A768" s="224"/>
      <c r="B768" s="186"/>
      <c r="C768" s="210"/>
      <c r="D768" s="210"/>
      <c r="E768" s="204"/>
      <c r="F768" s="205"/>
      <c r="G768" s="205"/>
    </row>
    <row r="769" ht="15.75" customHeight="1">
      <c r="A769" s="224"/>
      <c r="B769" s="186"/>
      <c r="C769" s="210"/>
      <c r="D769" s="210"/>
      <c r="E769" s="204"/>
      <c r="F769" s="205"/>
      <c r="G769" s="205"/>
    </row>
    <row r="770" ht="15.75" customHeight="1">
      <c r="A770" s="224"/>
      <c r="B770" s="186"/>
      <c r="C770" s="210"/>
      <c r="D770" s="210"/>
      <c r="E770" s="204"/>
      <c r="F770" s="205"/>
      <c r="G770" s="205"/>
    </row>
    <row r="771" ht="15.75" customHeight="1">
      <c r="A771" s="224"/>
      <c r="B771" s="186"/>
      <c r="C771" s="210"/>
      <c r="D771" s="210"/>
      <c r="E771" s="204"/>
      <c r="F771" s="205"/>
      <c r="G771" s="205"/>
    </row>
    <row r="772" ht="15.75" customHeight="1">
      <c r="A772" s="224"/>
      <c r="B772" s="186"/>
      <c r="C772" s="210"/>
      <c r="D772" s="210"/>
      <c r="E772" s="204"/>
      <c r="F772" s="205"/>
      <c r="G772" s="205"/>
    </row>
    <row r="773" ht="15.75" customHeight="1">
      <c r="A773" s="224"/>
      <c r="B773" s="186"/>
      <c r="C773" s="210"/>
      <c r="D773" s="210"/>
      <c r="E773" s="204"/>
      <c r="F773" s="205"/>
      <c r="G773" s="205"/>
    </row>
    <row r="774" ht="15.75" customHeight="1">
      <c r="A774" s="224"/>
      <c r="B774" s="186"/>
      <c r="C774" s="210"/>
      <c r="D774" s="210"/>
      <c r="E774" s="204"/>
      <c r="F774" s="205"/>
      <c r="G774" s="205"/>
    </row>
    <row r="775" ht="15.75" customHeight="1">
      <c r="A775" s="224"/>
      <c r="B775" s="186"/>
      <c r="C775" s="210"/>
      <c r="D775" s="210"/>
      <c r="E775" s="204"/>
      <c r="F775" s="205"/>
      <c r="G775" s="205"/>
    </row>
    <row r="776" ht="15.75" customHeight="1">
      <c r="A776" s="224"/>
      <c r="B776" s="186"/>
      <c r="C776" s="210"/>
      <c r="D776" s="210"/>
      <c r="E776" s="204"/>
      <c r="F776" s="205"/>
      <c r="G776" s="205"/>
    </row>
    <row r="777" ht="15.75" customHeight="1">
      <c r="A777" s="224"/>
      <c r="B777" s="186"/>
      <c r="C777" s="210"/>
      <c r="D777" s="210"/>
      <c r="E777" s="204"/>
      <c r="F777" s="205"/>
      <c r="G777" s="205"/>
    </row>
    <row r="778" ht="15.75" customHeight="1">
      <c r="A778" s="224"/>
      <c r="B778" s="186"/>
      <c r="C778" s="210"/>
      <c r="D778" s="210"/>
      <c r="E778" s="204"/>
      <c r="F778" s="205"/>
      <c r="G778" s="205"/>
    </row>
    <row r="779" ht="15.75" customHeight="1">
      <c r="A779" s="224"/>
      <c r="B779" s="186"/>
      <c r="C779" s="210"/>
      <c r="D779" s="210"/>
      <c r="E779" s="204"/>
      <c r="F779" s="205"/>
      <c r="G779" s="205"/>
    </row>
    <row r="780" ht="15.75" customHeight="1">
      <c r="A780" s="224"/>
      <c r="B780" s="186"/>
      <c r="C780" s="210"/>
      <c r="D780" s="210"/>
      <c r="E780" s="204"/>
      <c r="F780" s="205"/>
      <c r="G780" s="205"/>
    </row>
    <row r="781" ht="15.75" customHeight="1">
      <c r="A781" s="224"/>
      <c r="B781" s="186"/>
      <c r="C781" s="210"/>
      <c r="D781" s="210"/>
      <c r="E781" s="204"/>
      <c r="F781" s="205"/>
      <c r="G781" s="205"/>
    </row>
    <row r="782" ht="15.75" customHeight="1">
      <c r="A782" s="224"/>
      <c r="B782" s="186"/>
      <c r="C782" s="210"/>
      <c r="D782" s="210"/>
      <c r="E782" s="204"/>
      <c r="F782" s="205"/>
      <c r="G782" s="205"/>
    </row>
    <row r="783" ht="15.75" customHeight="1">
      <c r="A783" s="224"/>
      <c r="B783" s="186"/>
      <c r="C783" s="210"/>
      <c r="D783" s="210"/>
      <c r="E783" s="204"/>
      <c r="F783" s="205"/>
      <c r="G783" s="205"/>
    </row>
    <row r="784" ht="15.75" customHeight="1">
      <c r="A784" s="224"/>
      <c r="B784" s="186"/>
      <c r="C784" s="210"/>
      <c r="D784" s="210"/>
      <c r="E784" s="204"/>
      <c r="F784" s="205"/>
      <c r="G784" s="205"/>
    </row>
    <row r="785" ht="15.75" customHeight="1">
      <c r="A785" s="224"/>
      <c r="B785" s="186"/>
      <c r="C785" s="210"/>
      <c r="D785" s="210"/>
      <c r="E785" s="204"/>
      <c r="F785" s="205"/>
      <c r="G785" s="205"/>
    </row>
    <row r="786" ht="15.75" customHeight="1">
      <c r="A786" s="224"/>
      <c r="B786" s="186"/>
      <c r="C786" s="210"/>
      <c r="D786" s="210"/>
      <c r="E786" s="204"/>
      <c r="F786" s="205"/>
      <c r="G786" s="205"/>
    </row>
    <row r="787" ht="15.75" customHeight="1">
      <c r="A787" s="224"/>
      <c r="B787" s="186"/>
      <c r="C787" s="210"/>
      <c r="D787" s="210"/>
      <c r="E787" s="204"/>
      <c r="F787" s="205"/>
      <c r="G787" s="205"/>
    </row>
    <row r="788" ht="15.75" customHeight="1">
      <c r="A788" s="224"/>
      <c r="B788" s="186"/>
      <c r="C788" s="210"/>
      <c r="D788" s="210"/>
      <c r="E788" s="204"/>
      <c r="F788" s="205"/>
      <c r="G788" s="205"/>
    </row>
    <row r="789" ht="15.75" customHeight="1">
      <c r="A789" s="224"/>
      <c r="B789" s="186"/>
      <c r="C789" s="210"/>
      <c r="D789" s="210"/>
      <c r="E789" s="204"/>
      <c r="F789" s="205"/>
      <c r="G789" s="205"/>
    </row>
    <row r="790" ht="15.75" customHeight="1">
      <c r="A790" s="224"/>
      <c r="B790" s="186"/>
      <c r="C790" s="210"/>
      <c r="D790" s="210"/>
      <c r="E790" s="204"/>
      <c r="F790" s="205"/>
      <c r="G790" s="205"/>
    </row>
    <row r="791" ht="15.75" customHeight="1">
      <c r="A791" s="224"/>
      <c r="B791" s="186"/>
      <c r="C791" s="210"/>
      <c r="D791" s="210"/>
      <c r="E791" s="204"/>
      <c r="F791" s="205"/>
      <c r="G791" s="205"/>
    </row>
    <row r="792" ht="15.75" customHeight="1">
      <c r="A792" s="224"/>
      <c r="B792" s="186"/>
      <c r="C792" s="210"/>
      <c r="D792" s="210"/>
      <c r="E792" s="204"/>
      <c r="F792" s="205"/>
      <c r="G792" s="205"/>
    </row>
    <row r="793" ht="15.75" customHeight="1">
      <c r="A793" s="224"/>
      <c r="B793" s="186"/>
      <c r="C793" s="210"/>
      <c r="D793" s="210"/>
      <c r="E793" s="204"/>
      <c r="F793" s="205"/>
      <c r="G793" s="205"/>
    </row>
    <row r="794" ht="15.75" customHeight="1">
      <c r="A794" s="224"/>
      <c r="B794" s="186"/>
      <c r="C794" s="210"/>
      <c r="D794" s="210"/>
      <c r="E794" s="204"/>
      <c r="F794" s="205"/>
      <c r="G794" s="205"/>
    </row>
    <row r="795" ht="15.75" customHeight="1">
      <c r="A795" s="224"/>
      <c r="B795" s="186"/>
      <c r="C795" s="210"/>
      <c r="D795" s="210"/>
      <c r="E795" s="204"/>
      <c r="F795" s="205"/>
      <c r="G795" s="205"/>
    </row>
    <row r="796" ht="15.75" customHeight="1">
      <c r="A796" s="224"/>
      <c r="B796" s="186"/>
      <c r="C796" s="210"/>
      <c r="D796" s="210"/>
      <c r="E796" s="204"/>
      <c r="F796" s="205"/>
      <c r="G796" s="205"/>
    </row>
    <row r="797" ht="15.75" customHeight="1">
      <c r="A797" s="224"/>
      <c r="B797" s="186"/>
      <c r="C797" s="210"/>
      <c r="D797" s="210"/>
      <c r="E797" s="204"/>
      <c r="F797" s="205"/>
      <c r="G797" s="205"/>
    </row>
    <row r="798" ht="15.75" customHeight="1">
      <c r="A798" s="224"/>
      <c r="B798" s="186"/>
      <c r="C798" s="210"/>
      <c r="D798" s="210"/>
      <c r="E798" s="204"/>
      <c r="F798" s="205"/>
      <c r="G798" s="205"/>
    </row>
    <row r="799" ht="15.75" customHeight="1">
      <c r="A799" s="224"/>
      <c r="B799" s="186"/>
      <c r="C799" s="210"/>
      <c r="D799" s="210"/>
      <c r="E799" s="204"/>
      <c r="F799" s="205"/>
      <c r="G799" s="205"/>
    </row>
    <row r="800" ht="15.75" customHeight="1">
      <c r="A800" s="224"/>
      <c r="B800" s="186"/>
      <c r="C800" s="210"/>
      <c r="D800" s="210"/>
      <c r="E800" s="204"/>
      <c r="F800" s="205"/>
      <c r="G800" s="205"/>
    </row>
    <row r="801" ht="15.75" customHeight="1">
      <c r="A801" s="224"/>
      <c r="B801" s="186"/>
      <c r="C801" s="210"/>
      <c r="D801" s="210"/>
      <c r="E801" s="204"/>
      <c r="F801" s="205"/>
      <c r="G801" s="205"/>
    </row>
    <row r="802" ht="15.75" customHeight="1">
      <c r="A802" s="224"/>
      <c r="B802" s="186"/>
      <c r="C802" s="210"/>
      <c r="D802" s="210"/>
      <c r="E802" s="204"/>
      <c r="F802" s="205"/>
      <c r="G802" s="205"/>
    </row>
    <row r="803" ht="15.75" customHeight="1">
      <c r="A803" s="224"/>
      <c r="B803" s="186"/>
      <c r="C803" s="210"/>
      <c r="D803" s="210"/>
      <c r="E803" s="204"/>
      <c r="F803" s="205"/>
      <c r="G803" s="205"/>
    </row>
    <row r="804" ht="15.75" customHeight="1">
      <c r="A804" s="224"/>
      <c r="B804" s="186"/>
      <c r="C804" s="210"/>
      <c r="D804" s="210"/>
      <c r="E804" s="204"/>
      <c r="F804" s="205"/>
      <c r="G804" s="205"/>
    </row>
    <row r="805" ht="15.75" customHeight="1">
      <c r="A805" s="224"/>
      <c r="B805" s="186"/>
      <c r="C805" s="210"/>
      <c r="D805" s="210"/>
      <c r="E805" s="204"/>
      <c r="F805" s="205"/>
      <c r="G805" s="205"/>
    </row>
    <row r="806" ht="15.75" customHeight="1">
      <c r="A806" s="224"/>
      <c r="B806" s="186"/>
      <c r="C806" s="210"/>
      <c r="D806" s="210"/>
      <c r="E806" s="204"/>
      <c r="F806" s="205"/>
      <c r="G806" s="205"/>
    </row>
    <row r="807" ht="15.75" customHeight="1">
      <c r="A807" s="224"/>
      <c r="B807" s="186"/>
      <c r="C807" s="210"/>
      <c r="D807" s="210"/>
      <c r="E807" s="204"/>
      <c r="F807" s="205"/>
      <c r="G807" s="205"/>
    </row>
    <row r="808" ht="15.75" customHeight="1">
      <c r="A808" s="224"/>
      <c r="B808" s="186"/>
      <c r="C808" s="210"/>
      <c r="D808" s="210"/>
      <c r="E808" s="204"/>
      <c r="F808" s="205"/>
      <c r="G808" s="205"/>
    </row>
    <row r="809" ht="15.75" customHeight="1">
      <c r="A809" s="224"/>
      <c r="B809" s="186"/>
      <c r="C809" s="210"/>
      <c r="D809" s="210"/>
      <c r="E809" s="204"/>
      <c r="F809" s="205"/>
      <c r="G809" s="205"/>
    </row>
    <row r="810" ht="15.75" customHeight="1">
      <c r="A810" s="224"/>
      <c r="B810" s="186"/>
      <c r="C810" s="210"/>
      <c r="D810" s="210"/>
      <c r="E810" s="204"/>
      <c r="F810" s="205"/>
      <c r="G810" s="205"/>
    </row>
    <row r="811" ht="15.75" customHeight="1">
      <c r="A811" s="224"/>
      <c r="B811" s="186"/>
      <c r="C811" s="210"/>
      <c r="D811" s="210"/>
      <c r="E811" s="204"/>
      <c r="F811" s="205"/>
      <c r="G811" s="205"/>
    </row>
    <row r="812" ht="15.75" customHeight="1">
      <c r="A812" s="224"/>
      <c r="B812" s="186"/>
      <c r="C812" s="210"/>
      <c r="D812" s="210"/>
      <c r="E812" s="204"/>
      <c r="F812" s="205"/>
      <c r="G812" s="205"/>
    </row>
    <row r="813" ht="15.75" customHeight="1">
      <c r="A813" s="224"/>
      <c r="B813" s="186"/>
      <c r="C813" s="210"/>
      <c r="D813" s="210"/>
      <c r="E813" s="204"/>
      <c r="F813" s="205"/>
      <c r="G813" s="205"/>
    </row>
    <row r="814" ht="15.75" customHeight="1">
      <c r="A814" s="224"/>
      <c r="B814" s="186"/>
      <c r="C814" s="210"/>
      <c r="D814" s="210"/>
      <c r="E814" s="204"/>
      <c r="F814" s="205"/>
      <c r="G814" s="205"/>
    </row>
    <row r="815" ht="15.75" customHeight="1">
      <c r="A815" s="224"/>
      <c r="B815" s="186"/>
      <c r="C815" s="210"/>
      <c r="D815" s="210"/>
      <c r="E815" s="204"/>
      <c r="F815" s="205"/>
      <c r="G815" s="205"/>
    </row>
    <row r="816" ht="15.75" customHeight="1">
      <c r="A816" s="224"/>
      <c r="B816" s="186"/>
      <c r="C816" s="210"/>
      <c r="D816" s="210"/>
      <c r="E816" s="204"/>
      <c r="F816" s="205"/>
      <c r="G816" s="205"/>
    </row>
    <row r="817" ht="15.75" customHeight="1">
      <c r="A817" s="224"/>
      <c r="B817" s="186"/>
      <c r="C817" s="210"/>
      <c r="D817" s="210"/>
      <c r="E817" s="204"/>
      <c r="F817" s="205"/>
      <c r="G817" s="205"/>
    </row>
    <row r="818" ht="15.75" customHeight="1">
      <c r="A818" s="224"/>
      <c r="B818" s="186"/>
      <c r="C818" s="210"/>
      <c r="D818" s="210"/>
      <c r="E818" s="204"/>
      <c r="F818" s="205"/>
      <c r="G818" s="205"/>
    </row>
    <row r="819" ht="15.75" customHeight="1">
      <c r="A819" s="224"/>
      <c r="B819" s="186"/>
      <c r="C819" s="210"/>
      <c r="D819" s="210"/>
      <c r="E819" s="204"/>
      <c r="F819" s="205"/>
      <c r="G819" s="205"/>
    </row>
    <row r="820" ht="15.75" customHeight="1">
      <c r="A820" s="224"/>
      <c r="B820" s="186"/>
      <c r="C820" s="210"/>
      <c r="D820" s="210"/>
      <c r="E820" s="204"/>
      <c r="F820" s="205"/>
      <c r="G820" s="205"/>
    </row>
    <row r="821" ht="15.75" customHeight="1">
      <c r="A821" s="224"/>
      <c r="B821" s="186"/>
      <c r="C821" s="210"/>
      <c r="D821" s="210"/>
      <c r="E821" s="204"/>
      <c r="F821" s="205"/>
      <c r="G821" s="205"/>
    </row>
    <row r="822" ht="15.75" customHeight="1">
      <c r="A822" s="224"/>
      <c r="B822" s="186"/>
      <c r="C822" s="210"/>
      <c r="D822" s="210"/>
      <c r="E822" s="204"/>
      <c r="F822" s="205"/>
      <c r="G822" s="205"/>
    </row>
    <row r="823" ht="15.75" customHeight="1">
      <c r="A823" s="224"/>
      <c r="B823" s="186"/>
      <c r="C823" s="210"/>
      <c r="D823" s="210"/>
      <c r="E823" s="204"/>
      <c r="F823" s="205"/>
      <c r="G823" s="205"/>
    </row>
    <row r="824" ht="15.75" customHeight="1">
      <c r="A824" s="224"/>
      <c r="B824" s="186"/>
      <c r="C824" s="210"/>
      <c r="D824" s="210"/>
      <c r="E824" s="204"/>
      <c r="F824" s="205"/>
      <c r="G824" s="205"/>
    </row>
    <row r="825" ht="15.75" customHeight="1">
      <c r="A825" s="224"/>
      <c r="B825" s="186"/>
      <c r="C825" s="210"/>
      <c r="D825" s="210"/>
      <c r="E825" s="204"/>
      <c r="F825" s="205"/>
      <c r="G825" s="205"/>
    </row>
    <row r="826" ht="15.75" customHeight="1">
      <c r="A826" s="224"/>
      <c r="B826" s="186"/>
      <c r="C826" s="210"/>
      <c r="D826" s="210"/>
      <c r="E826" s="204"/>
      <c r="F826" s="205"/>
      <c r="G826" s="205"/>
    </row>
    <row r="827" ht="15.75" customHeight="1">
      <c r="A827" s="224"/>
      <c r="B827" s="186"/>
      <c r="C827" s="210"/>
      <c r="D827" s="210"/>
      <c r="E827" s="204"/>
      <c r="F827" s="205"/>
      <c r="G827" s="205"/>
    </row>
    <row r="828" ht="15.75" customHeight="1">
      <c r="A828" s="224"/>
      <c r="B828" s="186"/>
      <c r="C828" s="210"/>
      <c r="D828" s="210"/>
      <c r="E828" s="204"/>
      <c r="F828" s="205"/>
      <c r="G828" s="205"/>
    </row>
    <row r="829" ht="15.75" customHeight="1">
      <c r="A829" s="224"/>
      <c r="B829" s="186"/>
      <c r="C829" s="210"/>
      <c r="D829" s="210"/>
      <c r="E829" s="204"/>
      <c r="F829" s="205"/>
      <c r="G829" s="205"/>
    </row>
    <row r="830" ht="15.75" customHeight="1">
      <c r="A830" s="224"/>
      <c r="B830" s="186"/>
      <c r="C830" s="210"/>
      <c r="D830" s="210"/>
      <c r="E830" s="204"/>
      <c r="F830" s="205"/>
      <c r="G830" s="205"/>
    </row>
    <row r="831" ht="15.75" customHeight="1">
      <c r="A831" s="224"/>
      <c r="B831" s="186"/>
      <c r="C831" s="210"/>
      <c r="D831" s="210"/>
      <c r="E831" s="204"/>
      <c r="F831" s="205"/>
      <c r="G831" s="205"/>
    </row>
    <row r="832" ht="15.75" customHeight="1">
      <c r="A832" s="224"/>
      <c r="B832" s="186"/>
      <c r="C832" s="210"/>
      <c r="D832" s="210"/>
      <c r="E832" s="204"/>
      <c r="F832" s="205"/>
      <c r="G832" s="205"/>
    </row>
    <row r="833" ht="15.75" customHeight="1">
      <c r="A833" s="224"/>
      <c r="B833" s="186"/>
      <c r="C833" s="210"/>
      <c r="D833" s="210"/>
      <c r="E833" s="204"/>
      <c r="F833" s="205"/>
      <c r="G833" s="205"/>
    </row>
    <row r="834" ht="15.75" customHeight="1">
      <c r="A834" s="224"/>
      <c r="B834" s="186"/>
      <c r="C834" s="210"/>
      <c r="D834" s="210"/>
      <c r="E834" s="204"/>
      <c r="F834" s="205"/>
      <c r="G834" s="205"/>
    </row>
    <row r="835" ht="15.75" customHeight="1">
      <c r="A835" s="224"/>
      <c r="B835" s="186"/>
      <c r="C835" s="210"/>
      <c r="D835" s="210"/>
      <c r="E835" s="204"/>
      <c r="F835" s="205"/>
      <c r="G835" s="205"/>
    </row>
    <row r="836" ht="15.75" customHeight="1">
      <c r="A836" s="224"/>
      <c r="B836" s="186"/>
      <c r="C836" s="210"/>
      <c r="D836" s="210"/>
      <c r="E836" s="204"/>
      <c r="F836" s="205"/>
      <c r="G836" s="205"/>
    </row>
    <row r="837" ht="15.75" customHeight="1">
      <c r="A837" s="224"/>
      <c r="B837" s="186"/>
      <c r="C837" s="210"/>
      <c r="D837" s="210"/>
      <c r="E837" s="204"/>
      <c r="F837" s="205"/>
      <c r="G837" s="205"/>
    </row>
    <row r="838" ht="15.75" customHeight="1">
      <c r="A838" s="224"/>
      <c r="B838" s="186"/>
      <c r="C838" s="210"/>
      <c r="D838" s="210"/>
      <c r="E838" s="204"/>
      <c r="F838" s="205"/>
      <c r="G838" s="205"/>
    </row>
    <row r="839" ht="15.75" customHeight="1">
      <c r="A839" s="224"/>
      <c r="B839" s="186"/>
      <c r="C839" s="210"/>
      <c r="D839" s="210"/>
      <c r="E839" s="204"/>
      <c r="F839" s="205"/>
      <c r="G839" s="205"/>
    </row>
    <row r="840" ht="15.75" customHeight="1">
      <c r="A840" s="224"/>
      <c r="B840" s="186"/>
      <c r="C840" s="210"/>
      <c r="D840" s="210"/>
      <c r="E840" s="204"/>
      <c r="F840" s="205"/>
      <c r="G840" s="205"/>
    </row>
    <row r="841" ht="15.75" customHeight="1">
      <c r="A841" s="224"/>
      <c r="B841" s="186"/>
      <c r="C841" s="210"/>
      <c r="D841" s="210"/>
      <c r="E841" s="204"/>
      <c r="F841" s="205"/>
      <c r="G841" s="205"/>
    </row>
    <row r="842" ht="15.75" customHeight="1">
      <c r="A842" s="224"/>
      <c r="B842" s="186"/>
      <c r="C842" s="210"/>
      <c r="D842" s="210"/>
      <c r="E842" s="204"/>
      <c r="F842" s="205"/>
      <c r="G842" s="205"/>
    </row>
    <row r="843" ht="15.75" customHeight="1">
      <c r="A843" s="224"/>
      <c r="B843" s="186"/>
      <c r="C843" s="210"/>
      <c r="D843" s="210"/>
      <c r="E843" s="204"/>
      <c r="F843" s="205"/>
      <c r="G843" s="205"/>
    </row>
    <row r="844" ht="15.75" customHeight="1">
      <c r="A844" s="224"/>
      <c r="B844" s="186"/>
      <c r="C844" s="210"/>
      <c r="D844" s="210"/>
      <c r="E844" s="204"/>
      <c r="F844" s="205"/>
      <c r="G844" s="205"/>
    </row>
    <row r="845" ht="15.75" customHeight="1">
      <c r="A845" s="224"/>
      <c r="B845" s="186"/>
      <c r="C845" s="210"/>
      <c r="D845" s="210"/>
      <c r="E845" s="204"/>
      <c r="F845" s="205"/>
      <c r="G845" s="205"/>
    </row>
    <row r="846" ht="15.75" customHeight="1">
      <c r="A846" s="224"/>
      <c r="B846" s="186"/>
      <c r="C846" s="210"/>
      <c r="D846" s="210"/>
      <c r="E846" s="204"/>
      <c r="F846" s="205"/>
      <c r="G846" s="205"/>
    </row>
    <row r="847" ht="15.75" customHeight="1">
      <c r="A847" s="224"/>
      <c r="B847" s="186"/>
      <c r="C847" s="210"/>
      <c r="D847" s="210"/>
      <c r="E847" s="204"/>
      <c r="F847" s="205"/>
      <c r="G847" s="205"/>
    </row>
    <row r="848" ht="15.75" customHeight="1">
      <c r="A848" s="224"/>
      <c r="B848" s="186"/>
      <c r="C848" s="210"/>
      <c r="D848" s="210"/>
      <c r="E848" s="204"/>
      <c r="F848" s="205"/>
      <c r="G848" s="205"/>
    </row>
    <row r="849" ht="15.75" customHeight="1">
      <c r="A849" s="224"/>
      <c r="B849" s="186"/>
      <c r="C849" s="210"/>
      <c r="D849" s="210"/>
      <c r="E849" s="204"/>
      <c r="F849" s="205"/>
      <c r="G849" s="205"/>
    </row>
    <row r="850" ht="15.75" customHeight="1">
      <c r="A850" s="224"/>
      <c r="B850" s="186"/>
      <c r="C850" s="210"/>
      <c r="D850" s="210"/>
      <c r="E850" s="204"/>
      <c r="F850" s="205"/>
      <c r="G850" s="205"/>
    </row>
    <row r="851" ht="15.75" customHeight="1">
      <c r="A851" s="224"/>
      <c r="B851" s="186"/>
      <c r="C851" s="210"/>
      <c r="D851" s="210"/>
      <c r="E851" s="204"/>
      <c r="F851" s="205"/>
      <c r="G851" s="205"/>
    </row>
    <row r="852" ht="15.75" customHeight="1">
      <c r="A852" s="224"/>
      <c r="B852" s="186"/>
      <c r="C852" s="210"/>
      <c r="D852" s="210"/>
      <c r="E852" s="204"/>
      <c r="F852" s="205"/>
      <c r="G852" s="205"/>
    </row>
    <row r="853" ht="15.75" customHeight="1">
      <c r="A853" s="224"/>
      <c r="B853" s="186"/>
      <c r="C853" s="210"/>
      <c r="D853" s="210"/>
      <c r="E853" s="204"/>
      <c r="F853" s="205"/>
      <c r="G853" s="205"/>
    </row>
    <row r="854" ht="15.75" customHeight="1">
      <c r="A854" s="224"/>
      <c r="B854" s="186"/>
      <c r="C854" s="210"/>
      <c r="D854" s="210"/>
      <c r="E854" s="204"/>
      <c r="F854" s="205"/>
      <c r="G854" s="205"/>
    </row>
    <row r="855" ht="15.75" customHeight="1">
      <c r="A855" s="224"/>
      <c r="B855" s="186"/>
      <c r="C855" s="210"/>
      <c r="D855" s="210"/>
      <c r="E855" s="204"/>
      <c r="F855" s="205"/>
      <c r="G855" s="205"/>
    </row>
    <row r="856" ht="15.75" customHeight="1">
      <c r="A856" s="224"/>
      <c r="B856" s="186"/>
      <c r="C856" s="210"/>
      <c r="D856" s="210"/>
      <c r="E856" s="204"/>
      <c r="F856" s="205"/>
      <c r="G856" s="205"/>
    </row>
    <row r="857" ht="15.75" customHeight="1">
      <c r="A857" s="224"/>
      <c r="B857" s="186"/>
      <c r="C857" s="210"/>
      <c r="D857" s="210"/>
      <c r="E857" s="204"/>
      <c r="F857" s="205"/>
      <c r="G857" s="205"/>
    </row>
    <row r="858" ht="15.75" customHeight="1">
      <c r="A858" s="224"/>
      <c r="B858" s="186"/>
      <c r="C858" s="210"/>
      <c r="D858" s="210"/>
      <c r="E858" s="204"/>
      <c r="F858" s="205"/>
      <c r="G858" s="205"/>
    </row>
    <row r="859" ht="15.75" customHeight="1">
      <c r="A859" s="224"/>
      <c r="B859" s="186"/>
      <c r="C859" s="210"/>
      <c r="D859" s="210"/>
      <c r="E859" s="204"/>
      <c r="F859" s="205"/>
      <c r="G859" s="205"/>
    </row>
    <row r="860" ht="15.75" customHeight="1">
      <c r="A860" s="224"/>
      <c r="B860" s="186"/>
      <c r="C860" s="210"/>
      <c r="D860" s="210"/>
      <c r="E860" s="204"/>
      <c r="F860" s="205"/>
      <c r="G860" s="205"/>
    </row>
    <row r="861" ht="15.75" customHeight="1">
      <c r="A861" s="224"/>
      <c r="B861" s="186"/>
      <c r="C861" s="210"/>
      <c r="D861" s="210"/>
      <c r="E861" s="204"/>
      <c r="F861" s="205"/>
      <c r="G861" s="205"/>
    </row>
    <row r="862" ht="15.75" customHeight="1">
      <c r="A862" s="224"/>
      <c r="B862" s="186"/>
      <c r="C862" s="210"/>
      <c r="D862" s="210"/>
      <c r="E862" s="204"/>
      <c r="F862" s="205"/>
      <c r="G862" s="205"/>
    </row>
    <row r="863" ht="15.75" customHeight="1">
      <c r="A863" s="224"/>
      <c r="B863" s="186"/>
      <c r="C863" s="210"/>
      <c r="D863" s="210"/>
      <c r="E863" s="204"/>
      <c r="F863" s="205"/>
      <c r="G863" s="205"/>
    </row>
    <row r="864" ht="15.75" customHeight="1">
      <c r="A864" s="224"/>
      <c r="B864" s="186"/>
      <c r="C864" s="210"/>
      <c r="D864" s="210"/>
      <c r="E864" s="204"/>
      <c r="F864" s="205"/>
      <c r="G864" s="205"/>
    </row>
    <row r="865" ht="15.75" customHeight="1">
      <c r="A865" s="224"/>
      <c r="B865" s="186"/>
      <c r="C865" s="210"/>
      <c r="D865" s="210"/>
      <c r="E865" s="204"/>
      <c r="F865" s="205"/>
      <c r="G865" s="205"/>
    </row>
    <row r="866" ht="15.75" customHeight="1">
      <c r="A866" s="224"/>
      <c r="B866" s="186"/>
      <c r="C866" s="210"/>
      <c r="D866" s="210"/>
      <c r="E866" s="204"/>
      <c r="F866" s="205"/>
      <c r="G866" s="205"/>
    </row>
    <row r="867" ht="15.75" customHeight="1">
      <c r="A867" s="224"/>
      <c r="B867" s="186"/>
      <c r="C867" s="210"/>
      <c r="D867" s="210"/>
      <c r="E867" s="204"/>
      <c r="F867" s="205"/>
      <c r="G867" s="205"/>
    </row>
    <row r="868" ht="15.75" customHeight="1">
      <c r="A868" s="224"/>
      <c r="B868" s="186"/>
      <c r="C868" s="210"/>
      <c r="D868" s="210"/>
      <c r="E868" s="204"/>
      <c r="F868" s="205"/>
      <c r="G868" s="205"/>
    </row>
    <row r="869" ht="15.75" customHeight="1">
      <c r="A869" s="224"/>
      <c r="B869" s="186"/>
      <c r="C869" s="210"/>
      <c r="D869" s="210"/>
      <c r="E869" s="204"/>
      <c r="F869" s="205"/>
      <c r="G869" s="205"/>
    </row>
    <row r="870" ht="15.75" customHeight="1">
      <c r="A870" s="224"/>
      <c r="B870" s="186"/>
      <c r="C870" s="210"/>
      <c r="D870" s="210"/>
      <c r="E870" s="204"/>
      <c r="F870" s="205"/>
      <c r="G870" s="205"/>
    </row>
    <row r="871" ht="15.75" customHeight="1">
      <c r="A871" s="224"/>
      <c r="B871" s="186"/>
      <c r="C871" s="210"/>
      <c r="D871" s="210"/>
      <c r="E871" s="204"/>
      <c r="F871" s="205"/>
      <c r="G871" s="205"/>
    </row>
    <row r="872" ht="15.75" customHeight="1">
      <c r="A872" s="224"/>
      <c r="B872" s="186"/>
      <c r="C872" s="210"/>
      <c r="D872" s="210"/>
      <c r="E872" s="204"/>
      <c r="F872" s="205"/>
      <c r="G872" s="205"/>
    </row>
    <row r="873" ht="15.75" customHeight="1">
      <c r="A873" s="224"/>
      <c r="B873" s="186"/>
      <c r="C873" s="210"/>
      <c r="D873" s="210"/>
      <c r="E873" s="204"/>
      <c r="F873" s="205"/>
      <c r="G873" s="205"/>
    </row>
    <row r="874" ht="15.75" customHeight="1">
      <c r="A874" s="224"/>
      <c r="B874" s="186"/>
      <c r="C874" s="210"/>
      <c r="D874" s="210"/>
      <c r="E874" s="204"/>
      <c r="F874" s="205"/>
      <c r="G874" s="205"/>
    </row>
    <row r="875" ht="15.75" customHeight="1">
      <c r="A875" s="224"/>
      <c r="B875" s="186"/>
      <c r="C875" s="210"/>
      <c r="D875" s="210"/>
      <c r="E875" s="204"/>
      <c r="F875" s="205"/>
      <c r="G875" s="205"/>
    </row>
    <row r="876" ht="15.75" customHeight="1">
      <c r="A876" s="224"/>
      <c r="B876" s="186"/>
      <c r="C876" s="210"/>
      <c r="D876" s="210"/>
      <c r="E876" s="204"/>
      <c r="F876" s="205"/>
      <c r="G876" s="205"/>
    </row>
    <row r="877" ht="15.75" customHeight="1">
      <c r="A877" s="224"/>
      <c r="B877" s="186"/>
      <c r="C877" s="210"/>
      <c r="D877" s="210"/>
      <c r="E877" s="204"/>
      <c r="F877" s="205"/>
      <c r="G877" s="205"/>
    </row>
    <row r="878" ht="15.75" customHeight="1">
      <c r="A878" s="224"/>
      <c r="B878" s="186"/>
      <c r="C878" s="210"/>
      <c r="D878" s="210"/>
      <c r="E878" s="204"/>
      <c r="F878" s="205"/>
      <c r="G878" s="205"/>
    </row>
    <row r="879" ht="15.75" customHeight="1">
      <c r="A879" s="224"/>
      <c r="B879" s="186"/>
      <c r="C879" s="210"/>
      <c r="D879" s="210"/>
      <c r="E879" s="204"/>
      <c r="F879" s="205"/>
      <c r="G879" s="205"/>
    </row>
    <row r="880" ht="15.75" customHeight="1">
      <c r="A880" s="224"/>
      <c r="B880" s="186"/>
      <c r="C880" s="210"/>
      <c r="D880" s="210"/>
      <c r="E880" s="204"/>
      <c r="F880" s="205"/>
      <c r="G880" s="205"/>
    </row>
    <row r="881" ht="15.75" customHeight="1">
      <c r="A881" s="224"/>
      <c r="B881" s="186"/>
      <c r="C881" s="210"/>
      <c r="D881" s="210"/>
      <c r="E881" s="204"/>
      <c r="F881" s="205"/>
      <c r="G881" s="205"/>
    </row>
    <row r="882" ht="15.75" customHeight="1">
      <c r="A882" s="224"/>
      <c r="B882" s="186"/>
      <c r="C882" s="210"/>
      <c r="D882" s="210"/>
      <c r="E882" s="204"/>
      <c r="F882" s="205"/>
      <c r="G882" s="205"/>
    </row>
    <row r="883" ht="15.75" customHeight="1">
      <c r="A883" s="224"/>
      <c r="B883" s="186"/>
      <c r="C883" s="210"/>
      <c r="D883" s="210"/>
      <c r="E883" s="204"/>
      <c r="F883" s="205"/>
      <c r="G883" s="205"/>
    </row>
    <row r="884" ht="15.75" customHeight="1">
      <c r="A884" s="224"/>
      <c r="B884" s="186"/>
      <c r="C884" s="210"/>
      <c r="D884" s="210"/>
      <c r="E884" s="204"/>
      <c r="F884" s="205"/>
      <c r="G884" s="205"/>
    </row>
    <row r="885" ht="15.75" customHeight="1">
      <c r="A885" s="224"/>
      <c r="B885" s="186"/>
      <c r="C885" s="210"/>
      <c r="D885" s="210"/>
      <c r="E885" s="204"/>
      <c r="F885" s="205"/>
      <c r="G885" s="205"/>
    </row>
    <row r="886" ht="15.75" customHeight="1">
      <c r="A886" s="224"/>
      <c r="B886" s="186"/>
      <c r="C886" s="210"/>
      <c r="D886" s="210"/>
      <c r="E886" s="204"/>
      <c r="F886" s="205"/>
      <c r="G886" s="205"/>
    </row>
    <row r="887" ht="15.75" customHeight="1">
      <c r="A887" s="224"/>
      <c r="B887" s="186"/>
      <c r="C887" s="210"/>
      <c r="D887" s="210"/>
      <c r="E887" s="204"/>
      <c r="F887" s="205"/>
      <c r="G887" s="205"/>
    </row>
    <row r="888" ht="15.75" customHeight="1">
      <c r="A888" s="224"/>
      <c r="B888" s="186"/>
      <c r="C888" s="210"/>
      <c r="D888" s="210"/>
      <c r="E888" s="204"/>
      <c r="F888" s="205"/>
      <c r="G888" s="205"/>
    </row>
    <row r="889" ht="15.75" customHeight="1">
      <c r="A889" s="224"/>
      <c r="B889" s="186"/>
      <c r="C889" s="210"/>
      <c r="D889" s="210"/>
      <c r="E889" s="204"/>
      <c r="F889" s="205"/>
      <c r="G889" s="205"/>
    </row>
    <row r="890" ht="15.75" customHeight="1">
      <c r="A890" s="224"/>
      <c r="B890" s="186"/>
      <c r="C890" s="210"/>
      <c r="D890" s="210"/>
      <c r="E890" s="204"/>
      <c r="F890" s="205"/>
      <c r="G890" s="205"/>
    </row>
    <row r="891" ht="15.75" customHeight="1">
      <c r="A891" s="224"/>
      <c r="B891" s="186"/>
      <c r="C891" s="210"/>
      <c r="D891" s="210"/>
      <c r="E891" s="204"/>
      <c r="F891" s="205"/>
      <c r="G891" s="205"/>
    </row>
    <row r="892" ht="15.75" customHeight="1">
      <c r="A892" s="224"/>
      <c r="B892" s="186"/>
      <c r="C892" s="210"/>
      <c r="D892" s="210"/>
      <c r="E892" s="204"/>
      <c r="F892" s="205"/>
      <c r="G892" s="205"/>
    </row>
    <row r="893" ht="15.75" customHeight="1">
      <c r="A893" s="224"/>
      <c r="B893" s="186"/>
      <c r="C893" s="210"/>
      <c r="D893" s="210"/>
      <c r="E893" s="204"/>
      <c r="F893" s="205"/>
      <c r="G893" s="205"/>
    </row>
    <row r="894" ht="15.75" customHeight="1">
      <c r="A894" s="224"/>
      <c r="B894" s="186"/>
      <c r="C894" s="210"/>
      <c r="D894" s="210"/>
      <c r="E894" s="204"/>
      <c r="F894" s="205"/>
      <c r="G894" s="205"/>
    </row>
    <row r="895" ht="15.75" customHeight="1">
      <c r="A895" s="224"/>
      <c r="B895" s="186"/>
      <c r="C895" s="210"/>
      <c r="D895" s="210"/>
      <c r="E895" s="204"/>
      <c r="F895" s="205"/>
      <c r="G895" s="205"/>
    </row>
    <row r="896" ht="15.75" customHeight="1">
      <c r="A896" s="224"/>
      <c r="B896" s="186"/>
      <c r="C896" s="210"/>
      <c r="D896" s="210"/>
      <c r="E896" s="204"/>
      <c r="F896" s="205"/>
      <c r="G896" s="205"/>
    </row>
    <row r="897" ht="15.75" customHeight="1">
      <c r="A897" s="224"/>
      <c r="B897" s="186"/>
      <c r="C897" s="210"/>
      <c r="D897" s="210"/>
      <c r="E897" s="204"/>
      <c r="F897" s="205"/>
      <c r="G897" s="205"/>
    </row>
    <row r="898" ht="15.75" customHeight="1">
      <c r="A898" s="224"/>
      <c r="B898" s="186"/>
      <c r="C898" s="210"/>
      <c r="D898" s="210"/>
      <c r="E898" s="204"/>
      <c r="F898" s="205"/>
      <c r="G898" s="205"/>
    </row>
    <row r="899" ht="15.75" customHeight="1">
      <c r="A899" s="224"/>
      <c r="B899" s="186"/>
      <c r="C899" s="210"/>
      <c r="D899" s="210"/>
      <c r="E899" s="204"/>
      <c r="F899" s="205"/>
      <c r="G899" s="205"/>
    </row>
    <row r="900" ht="15.75" customHeight="1">
      <c r="A900" s="224"/>
      <c r="B900" s="186"/>
      <c r="C900" s="210"/>
      <c r="D900" s="210"/>
      <c r="E900" s="204"/>
      <c r="F900" s="205"/>
      <c r="G900" s="205"/>
    </row>
    <row r="901" ht="15.75" customHeight="1">
      <c r="A901" s="224"/>
      <c r="B901" s="186"/>
      <c r="C901" s="210"/>
      <c r="D901" s="210"/>
      <c r="E901" s="204"/>
      <c r="F901" s="205"/>
      <c r="G901" s="205"/>
    </row>
    <row r="902" ht="15.75" customHeight="1">
      <c r="A902" s="224"/>
      <c r="B902" s="186"/>
      <c r="C902" s="210"/>
      <c r="D902" s="210"/>
      <c r="E902" s="204"/>
      <c r="F902" s="205"/>
      <c r="G902" s="205"/>
    </row>
    <row r="903" ht="15.75" customHeight="1">
      <c r="A903" s="224"/>
      <c r="B903" s="186"/>
      <c r="C903" s="210"/>
      <c r="D903" s="210"/>
      <c r="E903" s="204"/>
      <c r="F903" s="205"/>
      <c r="G903" s="205"/>
    </row>
    <row r="904" ht="15.75" customHeight="1">
      <c r="A904" s="224"/>
      <c r="B904" s="186"/>
      <c r="C904" s="210"/>
      <c r="D904" s="210"/>
      <c r="E904" s="204"/>
      <c r="F904" s="205"/>
      <c r="G904" s="205"/>
    </row>
    <row r="905" ht="15.75" customHeight="1">
      <c r="A905" s="224"/>
      <c r="B905" s="186"/>
      <c r="C905" s="210"/>
      <c r="D905" s="210"/>
      <c r="E905" s="204"/>
      <c r="F905" s="205"/>
      <c r="G905" s="205"/>
    </row>
    <row r="906" ht="15.75" customHeight="1">
      <c r="A906" s="224"/>
      <c r="B906" s="186"/>
      <c r="C906" s="210"/>
      <c r="D906" s="210"/>
      <c r="E906" s="204"/>
      <c r="F906" s="205"/>
      <c r="G906" s="205"/>
    </row>
    <row r="907" ht="15.75" customHeight="1">
      <c r="A907" s="224"/>
      <c r="B907" s="186"/>
      <c r="C907" s="210"/>
      <c r="D907" s="210"/>
      <c r="E907" s="204"/>
      <c r="F907" s="205"/>
      <c r="G907" s="205"/>
    </row>
    <row r="908" ht="15.75" customHeight="1">
      <c r="A908" s="224"/>
      <c r="B908" s="186"/>
      <c r="C908" s="210"/>
      <c r="D908" s="210"/>
      <c r="E908" s="204"/>
      <c r="F908" s="205"/>
      <c r="G908" s="205"/>
    </row>
    <row r="909" ht="15.75" customHeight="1">
      <c r="A909" s="224"/>
      <c r="B909" s="186"/>
      <c r="C909" s="210"/>
      <c r="D909" s="210"/>
      <c r="E909" s="204"/>
      <c r="F909" s="205"/>
      <c r="G909" s="205"/>
    </row>
    <row r="910" ht="15.75" customHeight="1">
      <c r="A910" s="224"/>
      <c r="B910" s="186"/>
      <c r="C910" s="210"/>
      <c r="D910" s="210"/>
      <c r="E910" s="204"/>
      <c r="F910" s="205"/>
      <c r="G910" s="205"/>
    </row>
    <row r="911" ht="15.75" customHeight="1">
      <c r="A911" s="224"/>
      <c r="B911" s="186"/>
      <c r="C911" s="210"/>
      <c r="D911" s="210"/>
      <c r="E911" s="204"/>
      <c r="F911" s="205"/>
      <c r="G911" s="205"/>
    </row>
    <row r="912" ht="15.75" customHeight="1">
      <c r="A912" s="224"/>
      <c r="B912" s="186"/>
      <c r="C912" s="210"/>
      <c r="D912" s="210"/>
      <c r="E912" s="204"/>
      <c r="F912" s="205"/>
      <c r="G912" s="205"/>
    </row>
    <row r="913" ht="15.75" customHeight="1">
      <c r="A913" s="224"/>
      <c r="B913" s="186"/>
      <c r="C913" s="210"/>
      <c r="D913" s="210"/>
      <c r="E913" s="204"/>
      <c r="F913" s="205"/>
      <c r="G913" s="205"/>
    </row>
    <row r="914" ht="15.75" customHeight="1">
      <c r="A914" s="224"/>
      <c r="B914" s="186"/>
      <c r="C914" s="210"/>
      <c r="D914" s="210"/>
      <c r="E914" s="204"/>
      <c r="F914" s="205"/>
      <c r="G914" s="205"/>
    </row>
    <row r="915" ht="15.75" customHeight="1">
      <c r="A915" s="224"/>
      <c r="B915" s="186"/>
      <c r="C915" s="210"/>
      <c r="D915" s="210"/>
      <c r="E915" s="204"/>
      <c r="F915" s="205"/>
      <c r="G915" s="205"/>
    </row>
    <row r="916" ht="15.75" customHeight="1">
      <c r="A916" s="224"/>
      <c r="B916" s="186"/>
      <c r="C916" s="210"/>
      <c r="D916" s="210"/>
      <c r="E916" s="204"/>
      <c r="F916" s="205"/>
      <c r="G916" s="205"/>
    </row>
    <row r="917" ht="15.75" customHeight="1">
      <c r="A917" s="224"/>
      <c r="B917" s="186"/>
      <c r="C917" s="210"/>
      <c r="D917" s="210"/>
      <c r="E917" s="204"/>
      <c r="F917" s="205"/>
      <c r="G917" s="205"/>
    </row>
    <row r="918" ht="15.75" customHeight="1">
      <c r="A918" s="224"/>
      <c r="B918" s="186"/>
      <c r="C918" s="210"/>
      <c r="D918" s="210"/>
      <c r="E918" s="204"/>
      <c r="F918" s="205"/>
      <c r="G918" s="205"/>
    </row>
    <row r="919" ht="15.75" customHeight="1">
      <c r="A919" s="224"/>
      <c r="B919" s="186"/>
      <c r="C919" s="210"/>
      <c r="D919" s="210"/>
      <c r="E919" s="204"/>
      <c r="F919" s="205"/>
      <c r="G919" s="205"/>
    </row>
    <row r="920" ht="15.75" customHeight="1">
      <c r="A920" s="224"/>
      <c r="B920" s="186"/>
      <c r="C920" s="210"/>
      <c r="D920" s="210"/>
      <c r="E920" s="204"/>
      <c r="F920" s="205"/>
      <c r="G920" s="205"/>
    </row>
    <row r="921" ht="15.75" customHeight="1">
      <c r="A921" s="224"/>
      <c r="B921" s="186"/>
      <c r="C921" s="210"/>
      <c r="D921" s="210"/>
      <c r="E921" s="204"/>
      <c r="F921" s="205"/>
      <c r="G921" s="205"/>
    </row>
    <row r="922" ht="15.75" customHeight="1">
      <c r="A922" s="224"/>
      <c r="B922" s="186"/>
      <c r="C922" s="210"/>
      <c r="D922" s="210"/>
      <c r="E922" s="204"/>
      <c r="F922" s="205"/>
      <c r="G922" s="205"/>
    </row>
    <row r="923" ht="15.75" customHeight="1">
      <c r="A923" s="224"/>
      <c r="B923" s="186"/>
      <c r="C923" s="210"/>
      <c r="D923" s="210"/>
      <c r="E923" s="204"/>
      <c r="F923" s="205"/>
      <c r="G923" s="205"/>
    </row>
    <row r="924" ht="15.75" customHeight="1">
      <c r="A924" s="224"/>
      <c r="B924" s="186"/>
      <c r="C924" s="210"/>
      <c r="D924" s="210"/>
      <c r="E924" s="204"/>
      <c r="F924" s="205"/>
      <c r="G924" s="205"/>
    </row>
    <row r="925" ht="15.75" customHeight="1">
      <c r="A925" s="224"/>
      <c r="B925" s="186"/>
      <c r="C925" s="210"/>
      <c r="D925" s="210"/>
      <c r="E925" s="204"/>
      <c r="F925" s="205"/>
      <c r="G925" s="205"/>
    </row>
    <row r="926" ht="15.75" customHeight="1">
      <c r="A926" s="224"/>
      <c r="B926" s="186"/>
      <c r="C926" s="210"/>
      <c r="D926" s="210"/>
      <c r="E926" s="204"/>
      <c r="F926" s="205"/>
      <c r="G926" s="205"/>
    </row>
    <row r="927" ht="15.75" customHeight="1">
      <c r="A927" s="224"/>
      <c r="B927" s="186"/>
      <c r="C927" s="210"/>
      <c r="D927" s="210"/>
      <c r="E927" s="204"/>
      <c r="F927" s="205"/>
      <c r="G927" s="205"/>
    </row>
    <row r="928" ht="15.75" customHeight="1">
      <c r="A928" s="224"/>
      <c r="B928" s="186"/>
      <c r="C928" s="210"/>
      <c r="D928" s="210"/>
      <c r="E928" s="204"/>
      <c r="F928" s="205"/>
      <c r="G928" s="205"/>
    </row>
    <row r="929" ht="15.75" customHeight="1">
      <c r="A929" s="224"/>
      <c r="B929" s="186"/>
      <c r="C929" s="210"/>
      <c r="D929" s="210"/>
      <c r="E929" s="204"/>
      <c r="F929" s="205"/>
      <c r="G929" s="205"/>
    </row>
    <row r="930" ht="15.75" customHeight="1">
      <c r="A930" s="224"/>
      <c r="B930" s="186"/>
      <c r="C930" s="210"/>
      <c r="D930" s="210"/>
      <c r="E930" s="204"/>
      <c r="F930" s="205"/>
      <c r="G930" s="205"/>
    </row>
    <row r="931" ht="15.75" customHeight="1">
      <c r="A931" s="224"/>
      <c r="B931" s="186"/>
      <c r="C931" s="210"/>
      <c r="D931" s="210"/>
      <c r="E931" s="204"/>
      <c r="F931" s="205"/>
      <c r="G931" s="205"/>
    </row>
    <row r="932" ht="15.75" customHeight="1">
      <c r="A932" s="224"/>
      <c r="B932" s="186"/>
      <c r="C932" s="210"/>
      <c r="D932" s="210"/>
      <c r="E932" s="204"/>
      <c r="F932" s="205"/>
      <c r="G932" s="205"/>
    </row>
    <row r="933" ht="15.75" customHeight="1">
      <c r="A933" s="224"/>
      <c r="B933" s="186"/>
      <c r="C933" s="210"/>
      <c r="D933" s="210"/>
      <c r="E933" s="204"/>
      <c r="F933" s="205"/>
      <c r="G933" s="205"/>
    </row>
    <row r="934" ht="15.75" customHeight="1">
      <c r="A934" s="224"/>
      <c r="B934" s="186"/>
      <c r="C934" s="210"/>
      <c r="D934" s="210"/>
      <c r="E934" s="204"/>
      <c r="F934" s="205"/>
      <c r="G934" s="205"/>
    </row>
    <row r="935" ht="15.75" customHeight="1">
      <c r="A935" s="224"/>
      <c r="B935" s="186"/>
      <c r="C935" s="210"/>
      <c r="D935" s="210"/>
      <c r="E935" s="204"/>
      <c r="F935" s="205"/>
      <c r="G935" s="205"/>
    </row>
    <row r="936" ht="15.75" customHeight="1">
      <c r="A936" s="224"/>
      <c r="B936" s="186"/>
      <c r="C936" s="210"/>
      <c r="D936" s="210"/>
      <c r="E936" s="204"/>
      <c r="F936" s="205"/>
      <c r="G936" s="205"/>
    </row>
    <row r="937" ht="15.75" customHeight="1">
      <c r="A937" s="224"/>
      <c r="B937" s="186"/>
      <c r="C937" s="210"/>
      <c r="D937" s="210"/>
      <c r="E937" s="204"/>
      <c r="F937" s="205"/>
      <c r="G937" s="205"/>
    </row>
    <row r="938" ht="15.75" customHeight="1">
      <c r="A938" s="224"/>
      <c r="B938" s="186"/>
      <c r="C938" s="210"/>
      <c r="D938" s="210"/>
      <c r="E938" s="204"/>
      <c r="F938" s="205"/>
      <c r="G938" s="205"/>
    </row>
    <row r="939" ht="15.75" customHeight="1">
      <c r="A939" s="224"/>
      <c r="B939" s="186"/>
      <c r="C939" s="210"/>
      <c r="D939" s="210"/>
      <c r="E939" s="204"/>
      <c r="F939" s="205"/>
      <c r="G939" s="205"/>
    </row>
    <row r="940" ht="15.75" customHeight="1">
      <c r="A940" s="224"/>
      <c r="B940" s="186"/>
      <c r="C940" s="210"/>
      <c r="D940" s="210"/>
      <c r="E940" s="204"/>
      <c r="F940" s="205"/>
      <c r="G940" s="205"/>
    </row>
    <row r="941" ht="15.75" customHeight="1">
      <c r="A941" s="224"/>
      <c r="B941" s="186"/>
      <c r="C941" s="210"/>
      <c r="D941" s="210"/>
      <c r="E941" s="204"/>
      <c r="F941" s="205"/>
      <c r="G941" s="205"/>
    </row>
    <row r="942" ht="15.75" customHeight="1">
      <c r="A942" s="224"/>
      <c r="B942" s="186"/>
      <c r="C942" s="210"/>
      <c r="D942" s="210"/>
      <c r="E942" s="204"/>
      <c r="F942" s="205"/>
      <c r="G942" s="205"/>
    </row>
    <row r="943" ht="15.75" customHeight="1">
      <c r="A943" s="224"/>
      <c r="B943" s="186"/>
      <c r="C943" s="210"/>
      <c r="D943" s="210"/>
      <c r="E943" s="204"/>
      <c r="F943" s="205"/>
      <c r="G943" s="205"/>
    </row>
    <row r="944" ht="15.75" customHeight="1">
      <c r="A944" s="224"/>
      <c r="B944" s="186"/>
      <c r="C944" s="210"/>
      <c r="D944" s="210"/>
      <c r="E944" s="204"/>
      <c r="F944" s="205"/>
      <c r="G944" s="205"/>
    </row>
    <row r="945" ht="15.75" customHeight="1">
      <c r="A945" s="224"/>
      <c r="B945" s="186"/>
      <c r="C945" s="210"/>
      <c r="D945" s="210"/>
      <c r="E945" s="204"/>
      <c r="F945" s="205"/>
      <c r="G945" s="205"/>
    </row>
    <row r="946" ht="15.75" customHeight="1">
      <c r="A946" s="224"/>
      <c r="B946" s="186"/>
      <c r="C946" s="210"/>
      <c r="D946" s="210"/>
      <c r="E946" s="204"/>
      <c r="F946" s="205"/>
      <c r="G946" s="205"/>
    </row>
    <row r="947" ht="15.75" customHeight="1">
      <c r="A947" s="224"/>
      <c r="B947" s="186"/>
      <c r="C947" s="210"/>
      <c r="D947" s="210"/>
      <c r="E947" s="204"/>
      <c r="F947" s="205"/>
      <c r="G947" s="205"/>
    </row>
    <row r="948" ht="15.75" customHeight="1">
      <c r="A948" s="224"/>
      <c r="B948" s="186"/>
      <c r="C948" s="210"/>
      <c r="D948" s="210"/>
      <c r="E948" s="204"/>
      <c r="F948" s="205"/>
      <c r="G948" s="205"/>
    </row>
    <row r="949" ht="15.75" customHeight="1">
      <c r="A949" s="224"/>
      <c r="B949" s="186"/>
      <c r="C949" s="210"/>
      <c r="D949" s="210"/>
      <c r="E949" s="204"/>
      <c r="F949" s="205"/>
      <c r="G949" s="205"/>
    </row>
    <row r="950" ht="15.75" customHeight="1">
      <c r="A950" s="224"/>
      <c r="B950" s="186"/>
      <c r="C950" s="210"/>
      <c r="D950" s="210"/>
      <c r="E950" s="204"/>
      <c r="F950" s="205"/>
      <c r="G950" s="205"/>
    </row>
    <row r="951" ht="15.75" customHeight="1">
      <c r="A951" s="224"/>
      <c r="B951" s="186"/>
      <c r="C951" s="210"/>
      <c r="D951" s="210"/>
      <c r="E951" s="204"/>
      <c r="F951" s="205"/>
      <c r="G951" s="205"/>
    </row>
    <row r="952" ht="15.75" customHeight="1">
      <c r="A952" s="224"/>
      <c r="B952" s="186"/>
      <c r="C952" s="210"/>
      <c r="D952" s="210"/>
      <c r="E952" s="204"/>
      <c r="F952" s="205"/>
      <c r="G952" s="205"/>
    </row>
    <row r="953" ht="15.75" customHeight="1">
      <c r="A953" s="224"/>
      <c r="B953" s="186"/>
      <c r="C953" s="210"/>
      <c r="D953" s="210"/>
      <c r="E953" s="204"/>
      <c r="F953" s="205"/>
      <c r="G953" s="205"/>
    </row>
    <row r="954" ht="15.75" customHeight="1">
      <c r="A954" s="224"/>
      <c r="B954" s="186"/>
      <c r="C954" s="210"/>
      <c r="D954" s="210"/>
      <c r="E954" s="204"/>
      <c r="F954" s="205"/>
      <c r="G954" s="205"/>
    </row>
    <row r="955" ht="15.75" customHeight="1">
      <c r="A955" s="224"/>
      <c r="B955" s="186"/>
      <c r="C955" s="210"/>
      <c r="D955" s="210"/>
      <c r="E955" s="204"/>
      <c r="F955" s="205"/>
      <c r="G955" s="205"/>
    </row>
    <row r="956" ht="15.75" customHeight="1">
      <c r="A956" s="224"/>
      <c r="B956" s="186"/>
      <c r="C956" s="210"/>
      <c r="D956" s="210"/>
      <c r="E956" s="204"/>
      <c r="F956" s="205"/>
      <c r="G956" s="205"/>
    </row>
    <row r="957" ht="15.75" customHeight="1">
      <c r="A957" s="224"/>
      <c r="B957" s="186"/>
      <c r="C957" s="210"/>
      <c r="D957" s="210"/>
      <c r="E957" s="204"/>
      <c r="F957" s="205"/>
      <c r="G957" s="205"/>
    </row>
    <row r="958" ht="15.75" customHeight="1">
      <c r="A958" s="224"/>
      <c r="B958" s="186"/>
      <c r="C958" s="210"/>
      <c r="D958" s="210"/>
      <c r="E958" s="204"/>
      <c r="F958" s="205"/>
      <c r="G958" s="205"/>
    </row>
    <row r="959" ht="15.75" customHeight="1">
      <c r="A959" s="224"/>
      <c r="B959" s="186"/>
      <c r="C959" s="210"/>
      <c r="D959" s="210"/>
      <c r="E959" s="204"/>
      <c r="F959" s="205"/>
      <c r="G959" s="205"/>
    </row>
    <row r="960" ht="15.75" customHeight="1">
      <c r="A960" s="224"/>
      <c r="B960" s="186"/>
      <c r="C960" s="210"/>
      <c r="D960" s="210"/>
      <c r="E960" s="204"/>
      <c r="F960" s="205"/>
      <c r="G960" s="205"/>
    </row>
    <row r="961" ht="15.75" customHeight="1">
      <c r="A961" s="224"/>
      <c r="B961" s="186"/>
      <c r="C961" s="210"/>
      <c r="D961" s="210"/>
      <c r="E961" s="204"/>
      <c r="F961" s="205"/>
      <c r="G961" s="205"/>
    </row>
    <row r="962" ht="15.75" customHeight="1">
      <c r="A962" s="224"/>
      <c r="B962" s="186"/>
      <c r="C962" s="210"/>
      <c r="D962" s="210"/>
      <c r="E962" s="204"/>
      <c r="F962" s="205"/>
      <c r="G962" s="205"/>
    </row>
    <row r="963" ht="15.75" customHeight="1">
      <c r="A963" s="224"/>
      <c r="B963" s="186"/>
      <c r="C963" s="210"/>
      <c r="D963" s="210"/>
      <c r="E963" s="204"/>
      <c r="F963" s="205"/>
      <c r="G963" s="205"/>
    </row>
    <row r="964" ht="15.75" customHeight="1">
      <c r="A964" s="224"/>
      <c r="B964" s="186"/>
      <c r="C964" s="210"/>
      <c r="D964" s="210"/>
      <c r="E964" s="204"/>
      <c r="F964" s="205"/>
      <c r="G964" s="205"/>
    </row>
    <row r="965" ht="15.75" customHeight="1">
      <c r="A965" s="224"/>
      <c r="B965" s="186"/>
      <c r="C965" s="210"/>
      <c r="D965" s="210"/>
      <c r="E965" s="204"/>
      <c r="F965" s="205"/>
      <c r="G965" s="205"/>
    </row>
    <row r="966" ht="15.75" customHeight="1">
      <c r="A966" s="224"/>
      <c r="B966" s="186"/>
      <c r="C966" s="210"/>
      <c r="D966" s="210"/>
      <c r="E966" s="204"/>
      <c r="F966" s="205"/>
      <c r="G966" s="205"/>
    </row>
    <row r="967" ht="15.75" customHeight="1">
      <c r="A967" s="224"/>
      <c r="B967" s="186"/>
      <c r="C967" s="210"/>
      <c r="D967" s="210"/>
      <c r="E967" s="204"/>
      <c r="F967" s="205"/>
      <c r="G967" s="205"/>
    </row>
    <row r="968" ht="15.75" customHeight="1">
      <c r="A968" s="224"/>
      <c r="B968" s="186"/>
      <c r="C968" s="210"/>
      <c r="D968" s="210"/>
      <c r="E968" s="204"/>
      <c r="F968" s="205"/>
      <c r="G968" s="205"/>
    </row>
    <row r="969" ht="15.75" customHeight="1">
      <c r="A969" s="224"/>
      <c r="B969" s="186"/>
      <c r="C969" s="210"/>
      <c r="D969" s="210"/>
      <c r="E969" s="204"/>
      <c r="F969" s="205"/>
      <c r="G969" s="205"/>
    </row>
    <row r="970" ht="15.75" customHeight="1">
      <c r="A970" s="224"/>
      <c r="B970" s="186"/>
      <c r="C970" s="210"/>
      <c r="D970" s="210"/>
      <c r="E970" s="204"/>
      <c r="F970" s="205"/>
      <c r="G970" s="205"/>
    </row>
    <row r="971" ht="15.75" customHeight="1">
      <c r="A971" s="224"/>
      <c r="B971" s="186"/>
      <c r="C971" s="210"/>
      <c r="D971" s="210"/>
      <c r="E971" s="204"/>
      <c r="F971" s="205"/>
      <c r="G971" s="205"/>
    </row>
    <row r="972" ht="15.75" customHeight="1">
      <c r="A972" s="224"/>
      <c r="B972" s="186"/>
      <c r="C972" s="210"/>
      <c r="D972" s="210"/>
      <c r="E972" s="204"/>
      <c r="F972" s="205"/>
      <c r="G972" s="205"/>
    </row>
    <row r="973" ht="15.75" customHeight="1">
      <c r="A973" s="224"/>
      <c r="B973" s="186"/>
      <c r="C973" s="210"/>
      <c r="D973" s="210"/>
      <c r="E973" s="204"/>
      <c r="F973" s="205"/>
      <c r="G973" s="205"/>
    </row>
    <row r="974" ht="15.75" customHeight="1">
      <c r="A974" s="224"/>
      <c r="B974" s="186"/>
      <c r="C974" s="210"/>
      <c r="D974" s="210"/>
      <c r="E974" s="204"/>
      <c r="F974" s="205"/>
      <c r="G974" s="205"/>
    </row>
    <row r="975" ht="15.75" customHeight="1">
      <c r="A975" s="224"/>
      <c r="B975" s="186"/>
      <c r="C975" s="210"/>
      <c r="D975" s="210"/>
      <c r="E975" s="204"/>
      <c r="F975" s="205"/>
      <c r="G975" s="205"/>
    </row>
    <row r="976" ht="15.75" customHeight="1">
      <c r="A976" s="224"/>
      <c r="B976" s="186"/>
      <c r="C976" s="210"/>
      <c r="D976" s="210"/>
      <c r="E976" s="204"/>
      <c r="F976" s="205"/>
      <c r="G976" s="205"/>
    </row>
    <row r="977" ht="15.75" customHeight="1">
      <c r="A977" s="224"/>
      <c r="B977" s="186"/>
      <c r="C977" s="210"/>
      <c r="D977" s="210"/>
      <c r="E977" s="204"/>
      <c r="F977" s="205"/>
      <c r="G977" s="205"/>
    </row>
    <row r="978" ht="15.75" customHeight="1">
      <c r="A978" s="224"/>
      <c r="B978" s="186"/>
      <c r="C978" s="210"/>
      <c r="D978" s="210"/>
      <c r="E978" s="204"/>
      <c r="F978" s="205"/>
      <c r="G978" s="205"/>
    </row>
    <row r="979" ht="15.75" customHeight="1">
      <c r="A979" s="224"/>
      <c r="B979" s="186"/>
      <c r="C979" s="210"/>
      <c r="D979" s="210"/>
      <c r="E979" s="204"/>
      <c r="F979" s="205"/>
      <c r="G979" s="205"/>
    </row>
    <row r="980" ht="15.75" customHeight="1">
      <c r="A980" s="224"/>
      <c r="B980" s="186"/>
      <c r="C980" s="210"/>
      <c r="D980" s="210"/>
      <c r="E980" s="204"/>
      <c r="F980" s="205"/>
      <c r="G980" s="205"/>
    </row>
    <row r="981" ht="15.75" customHeight="1">
      <c r="A981" s="224"/>
      <c r="B981" s="186"/>
      <c r="C981" s="210"/>
      <c r="D981" s="210"/>
      <c r="E981" s="204"/>
      <c r="F981" s="205"/>
      <c r="G981" s="205"/>
    </row>
    <row r="982" ht="15.75" customHeight="1">
      <c r="A982" s="224"/>
      <c r="B982" s="186"/>
      <c r="C982" s="210"/>
      <c r="D982" s="210"/>
      <c r="E982" s="204"/>
      <c r="F982" s="205"/>
      <c r="G982" s="205"/>
    </row>
    <row r="983" ht="15.75" customHeight="1">
      <c r="A983" s="224"/>
      <c r="B983" s="186"/>
      <c r="C983" s="210"/>
      <c r="D983" s="210"/>
      <c r="E983" s="204"/>
      <c r="F983" s="205"/>
      <c r="G983" s="205"/>
    </row>
    <row r="984" ht="15.75" customHeight="1">
      <c r="A984" s="224"/>
      <c r="B984" s="186"/>
      <c r="C984" s="210"/>
      <c r="D984" s="210"/>
      <c r="E984" s="204"/>
      <c r="F984" s="205"/>
      <c r="G984" s="205"/>
    </row>
    <row r="985" ht="15.75" customHeight="1">
      <c r="A985" s="224"/>
      <c r="B985" s="186"/>
      <c r="C985" s="210"/>
      <c r="D985" s="210"/>
      <c r="E985" s="204"/>
      <c r="F985" s="205"/>
      <c r="G985" s="205"/>
    </row>
    <row r="986" ht="15.75" customHeight="1">
      <c r="A986" s="224"/>
      <c r="B986" s="186"/>
      <c r="C986" s="210"/>
      <c r="D986" s="210"/>
      <c r="E986" s="204"/>
      <c r="F986" s="205"/>
      <c r="G986" s="205"/>
    </row>
    <row r="987" ht="15.75" customHeight="1">
      <c r="A987" s="224"/>
      <c r="B987" s="186"/>
      <c r="C987" s="210"/>
      <c r="D987" s="210"/>
      <c r="E987" s="204"/>
      <c r="F987" s="205"/>
      <c r="G987" s="205"/>
    </row>
    <row r="988" ht="15.75" customHeight="1">
      <c r="A988" s="224"/>
      <c r="B988" s="186"/>
      <c r="C988" s="210"/>
      <c r="D988" s="210"/>
      <c r="E988" s="204"/>
      <c r="F988" s="205"/>
      <c r="G988" s="205"/>
    </row>
    <row r="989" ht="15.75" customHeight="1">
      <c r="A989" s="224"/>
      <c r="B989" s="186"/>
      <c r="C989" s="210"/>
      <c r="D989" s="210"/>
      <c r="E989" s="204"/>
      <c r="F989" s="205"/>
      <c r="G989" s="205"/>
    </row>
    <row r="990" ht="15.75" customHeight="1">
      <c r="A990" s="224"/>
      <c r="B990" s="186"/>
      <c r="C990" s="210"/>
      <c r="D990" s="210"/>
      <c r="E990" s="204"/>
      <c r="F990" s="205"/>
      <c r="G990" s="205"/>
    </row>
    <row r="991" ht="15.75" customHeight="1">
      <c r="A991" s="224"/>
      <c r="B991" s="186"/>
      <c r="C991" s="210"/>
      <c r="D991" s="210"/>
      <c r="E991" s="204"/>
      <c r="F991" s="205"/>
      <c r="G991" s="205"/>
    </row>
    <row r="992" ht="15.75" customHeight="1">
      <c r="A992" s="224"/>
      <c r="B992" s="186"/>
      <c r="C992" s="210"/>
      <c r="D992" s="210"/>
      <c r="E992" s="204"/>
      <c r="F992" s="205"/>
      <c r="G992" s="205"/>
    </row>
    <row r="993" ht="15.75" customHeight="1">
      <c r="A993" s="224"/>
      <c r="B993" s="186"/>
      <c r="C993" s="210"/>
      <c r="D993" s="210"/>
      <c r="E993" s="204"/>
      <c r="F993" s="205"/>
      <c r="G993" s="205"/>
    </row>
    <row r="994" ht="15.75" customHeight="1">
      <c r="A994" s="224"/>
      <c r="B994" s="186"/>
      <c r="C994" s="210"/>
      <c r="D994" s="210"/>
      <c r="E994" s="204"/>
      <c r="F994" s="205"/>
      <c r="G994" s="205"/>
    </row>
    <row r="995" ht="15.75" customHeight="1">
      <c r="A995" s="224"/>
      <c r="B995" s="186"/>
      <c r="C995" s="210"/>
      <c r="D995" s="210"/>
      <c r="E995" s="204"/>
      <c r="F995" s="205"/>
      <c r="G995" s="205"/>
    </row>
    <row r="996" ht="15.75" customHeight="1">
      <c r="A996" s="224"/>
      <c r="B996" s="186"/>
      <c r="C996" s="210"/>
      <c r="D996" s="210"/>
      <c r="E996" s="204"/>
      <c r="F996" s="205"/>
      <c r="G996" s="205"/>
    </row>
    <row r="997" ht="15.75" customHeight="1">
      <c r="A997" s="224"/>
      <c r="B997" s="186"/>
      <c r="C997" s="210"/>
      <c r="D997" s="210"/>
      <c r="E997" s="204"/>
      <c r="F997" s="205"/>
      <c r="G997" s="205"/>
    </row>
    <row r="998" ht="15.75" customHeight="1">
      <c r="A998" s="224"/>
      <c r="B998" s="186"/>
      <c r="C998" s="210"/>
      <c r="D998" s="210"/>
      <c r="E998" s="204"/>
      <c r="F998" s="205"/>
      <c r="G998" s="205"/>
    </row>
    <row r="999" ht="15.75" customHeight="1">
      <c r="A999" s="224"/>
      <c r="B999" s="186"/>
      <c r="C999" s="210"/>
      <c r="D999" s="210"/>
      <c r="E999" s="204"/>
      <c r="F999" s="205"/>
      <c r="G999" s="205"/>
    </row>
    <row r="1000" ht="15.75" customHeight="1">
      <c r="A1000" s="224"/>
      <c r="B1000" s="186"/>
      <c r="C1000" s="210"/>
      <c r="D1000" s="210"/>
      <c r="E1000" s="204"/>
      <c r="F1000" s="205"/>
      <c r="G1000" s="205"/>
    </row>
    <row r="1001" ht="15.75" customHeight="1">
      <c r="A1001" s="224"/>
      <c r="B1001" s="186"/>
      <c r="C1001" s="210"/>
      <c r="D1001" s="210"/>
      <c r="E1001" s="204"/>
      <c r="F1001" s="205"/>
      <c r="G1001" s="205"/>
    </row>
    <row r="1002" ht="15.75" customHeight="1">
      <c r="A1002" s="224"/>
      <c r="B1002" s="186"/>
      <c r="C1002" s="210"/>
      <c r="D1002" s="210"/>
      <c r="E1002" s="204"/>
      <c r="F1002" s="205"/>
      <c r="G1002" s="205"/>
    </row>
    <row r="1003" ht="15.75" customHeight="1">
      <c r="A1003" s="224"/>
      <c r="B1003" s="186"/>
      <c r="C1003" s="210"/>
      <c r="D1003" s="210"/>
      <c r="E1003" s="204"/>
      <c r="F1003" s="205"/>
      <c r="G1003" s="205"/>
    </row>
    <row r="1004" ht="15.75" customHeight="1">
      <c r="A1004" s="224"/>
      <c r="B1004" s="186"/>
      <c r="C1004" s="210"/>
      <c r="D1004" s="210"/>
      <c r="E1004" s="204"/>
      <c r="F1004" s="205"/>
      <c r="G1004" s="205"/>
    </row>
    <row r="1005" ht="15.75" customHeight="1">
      <c r="A1005" s="224"/>
      <c r="B1005" s="186"/>
      <c r="C1005" s="210"/>
      <c r="D1005" s="210"/>
      <c r="E1005" s="204"/>
      <c r="F1005" s="205"/>
      <c r="G1005" s="205"/>
    </row>
    <row r="1006" ht="15.75" customHeight="1">
      <c r="A1006" s="224"/>
      <c r="B1006" s="186"/>
      <c r="C1006" s="210"/>
      <c r="D1006" s="210"/>
      <c r="E1006" s="204"/>
      <c r="F1006" s="205"/>
      <c r="G1006" s="205"/>
    </row>
    <row r="1007" ht="15.75" customHeight="1">
      <c r="A1007" s="224"/>
      <c r="B1007" s="186"/>
      <c r="C1007" s="210"/>
      <c r="D1007" s="210"/>
      <c r="E1007" s="204"/>
      <c r="F1007" s="205"/>
      <c r="G1007" s="205"/>
    </row>
    <row r="1008" ht="15.75" customHeight="1">
      <c r="A1008" s="224"/>
      <c r="B1008" s="186"/>
      <c r="C1008" s="210"/>
      <c r="D1008" s="210"/>
      <c r="E1008" s="204"/>
      <c r="F1008" s="205"/>
      <c r="G1008" s="205"/>
    </row>
    <row r="1009" ht="15.75" customHeight="1">
      <c r="A1009" s="224"/>
      <c r="B1009" s="186"/>
      <c r="C1009" s="210"/>
      <c r="D1009" s="210"/>
      <c r="E1009" s="204"/>
      <c r="F1009" s="205"/>
      <c r="G1009" s="205"/>
    </row>
    <row r="1010" ht="15.75" customHeight="1">
      <c r="A1010" s="224"/>
      <c r="B1010" s="186"/>
      <c r="C1010" s="210"/>
      <c r="D1010" s="210"/>
      <c r="E1010" s="204"/>
      <c r="F1010" s="205"/>
      <c r="G1010" s="205"/>
    </row>
    <row r="1011" ht="15.75" customHeight="1">
      <c r="A1011" s="224"/>
      <c r="B1011" s="186"/>
      <c r="C1011" s="210"/>
      <c r="D1011" s="210"/>
      <c r="E1011" s="204"/>
      <c r="F1011" s="205"/>
      <c r="G1011" s="205"/>
    </row>
    <row r="1012" ht="15.75" customHeight="1">
      <c r="A1012" s="224"/>
      <c r="B1012" s="186"/>
      <c r="C1012" s="210"/>
      <c r="D1012" s="210"/>
      <c r="E1012" s="204"/>
      <c r="F1012" s="205"/>
      <c r="G1012" s="205"/>
    </row>
    <row r="1013" ht="15.75" customHeight="1">
      <c r="A1013" s="224"/>
      <c r="B1013" s="186"/>
      <c r="C1013" s="210"/>
      <c r="D1013" s="210"/>
      <c r="E1013" s="204"/>
      <c r="F1013" s="205"/>
      <c r="G1013" s="205"/>
    </row>
    <row r="1014" ht="15.75" customHeight="1">
      <c r="A1014" s="224"/>
      <c r="B1014" s="186"/>
      <c r="C1014" s="210"/>
      <c r="D1014" s="210"/>
      <c r="E1014" s="204"/>
      <c r="F1014" s="205"/>
      <c r="G1014" s="205"/>
    </row>
    <row r="1015" ht="15.75" customHeight="1">
      <c r="A1015" s="224"/>
      <c r="B1015" s="186"/>
      <c r="C1015" s="210"/>
      <c r="D1015" s="210"/>
      <c r="E1015" s="204"/>
      <c r="F1015" s="205"/>
      <c r="G1015" s="205"/>
    </row>
    <row r="1016" ht="15.75" customHeight="1">
      <c r="A1016" s="224"/>
      <c r="B1016" s="186"/>
      <c r="C1016" s="210"/>
      <c r="D1016" s="210"/>
      <c r="E1016" s="204"/>
      <c r="F1016" s="205"/>
      <c r="G1016" s="205"/>
    </row>
    <row r="1017" ht="15.75" customHeight="1">
      <c r="A1017" s="224"/>
      <c r="B1017" s="186"/>
      <c r="C1017" s="210"/>
      <c r="D1017" s="210"/>
      <c r="E1017" s="204"/>
      <c r="F1017" s="205"/>
      <c r="G1017" s="205"/>
    </row>
    <row r="1018" ht="15.75" customHeight="1">
      <c r="A1018" s="224"/>
      <c r="B1018" s="186"/>
      <c r="C1018" s="210"/>
      <c r="D1018" s="210"/>
      <c r="E1018" s="204"/>
      <c r="F1018" s="205"/>
      <c r="G1018" s="205"/>
    </row>
    <row r="1019" ht="15.75" customHeight="1">
      <c r="A1019" s="224"/>
      <c r="B1019" s="186"/>
      <c r="C1019" s="210"/>
      <c r="D1019" s="210"/>
      <c r="E1019" s="204"/>
      <c r="F1019" s="205"/>
      <c r="G1019" s="205"/>
    </row>
    <row r="1020" ht="15.75" customHeight="1">
      <c r="A1020" s="224"/>
      <c r="B1020" s="186"/>
      <c r="C1020" s="210"/>
      <c r="D1020" s="210"/>
      <c r="E1020" s="204"/>
      <c r="F1020" s="205"/>
      <c r="G1020" s="205"/>
    </row>
    <row r="1021" ht="15.75" customHeight="1">
      <c r="A1021" s="224"/>
      <c r="B1021" s="186"/>
      <c r="C1021" s="210"/>
      <c r="D1021" s="210"/>
      <c r="E1021" s="204"/>
      <c r="F1021" s="205"/>
      <c r="G1021" s="205"/>
    </row>
    <row r="1022" ht="15.75" customHeight="1">
      <c r="A1022" s="224"/>
      <c r="B1022" s="186"/>
      <c r="C1022" s="210"/>
      <c r="D1022" s="210"/>
      <c r="E1022" s="204"/>
      <c r="F1022" s="205"/>
      <c r="G1022" s="205"/>
    </row>
    <row r="1023" ht="15.75" customHeight="1">
      <c r="A1023" s="224"/>
      <c r="B1023" s="186"/>
      <c r="C1023" s="210"/>
      <c r="D1023" s="210"/>
      <c r="E1023" s="204"/>
      <c r="F1023" s="205"/>
      <c r="G1023" s="205"/>
    </row>
    <row r="1024" ht="15.75" customHeight="1">
      <c r="A1024" s="224"/>
      <c r="B1024" s="186"/>
      <c r="C1024" s="210"/>
      <c r="D1024" s="210"/>
      <c r="E1024" s="204"/>
      <c r="F1024" s="205"/>
      <c r="G1024" s="205"/>
    </row>
    <row r="1025" ht="15.75" customHeight="1">
      <c r="A1025" s="224"/>
      <c r="B1025" s="186"/>
      <c r="C1025" s="210"/>
      <c r="D1025" s="210"/>
      <c r="E1025" s="204"/>
      <c r="F1025" s="205"/>
      <c r="G1025" s="205"/>
    </row>
    <row r="1026" ht="15.75" customHeight="1">
      <c r="A1026" s="224"/>
      <c r="B1026" s="186"/>
      <c r="C1026" s="210"/>
      <c r="D1026" s="210"/>
      <c r="E1026" s="204"/>
      <c r="F1026" s="205"/>
      <c r="G1026" s="205"/>
    </row>
    <row r="1027" ht="15.75" customHeight="1">
      <c r="A1027" s="224"/>
      <c r="B1027" s="186"/>
      <c r="C1027" s="210"/>
      <c r="D1027" s="210"/>
      <c r="E1027" s="204"/>
      <c r="F1027" s="205"/>
      <c r="G1027" s="205"/>
    </row>
    <row r="1028" ht="15.75" customHeight="1">
      <c r="A1028" s="224"/>
      <c r="B1028" s="186"/>
      <c r="C1028" s="210"/>
      <c r="D1028" s="210"/>
      <c r="E1028" s="204"/>
      <c r="F1028" s="205"/>
      <c r="G1028" s="205"/>
    </row>
    <row r="1029" ht="15.75" customHeight="1">
      <c r="A1029" s="224"/>
      <c r="B1029" s="186"/>
      <c r="C1029" s="210"/>
      <c r="D1029" s="210"/>
      <c r="E1029" s="204"/>
      <c r="F1029" s="205"/>
      <c r="G1029" s="205"/>
    </row>
    <row r="1030" ht="15.75" customHeight="1">
      <c r="A1030" s="224"/>
      <c r="B1030" s="186"/>
      <c r="C1030" s="210"/>
      <c r="D1030" s="210"/>
      <c r="E1030" s="204"/>
      <c r="F1030" s="205"/>
      <c r="G1030" s="205"/>
    </row>
    <row r="1031" ht="15.75" customHeight="1">
      <c r="A1031" s="224"/>
      <c r="B1031" s="186"/>
      <c r="C1031" s="210"/>
      <c r="D1031" s="210"/>
      <c r="E1031" s="204"/>
      <c r="F1031" s="205"/>
      <c r="G1031" s="205"/>
    </row>
    <row r="1032" ht="15.75" customHeight="1">
      <c r="A1032" s="224"/>
      <c r="B1032" s="186"/>
      <c r="C1032" s="210"/>
      <c r="D1032" s="210"/>
      <c r="E1032" s="204"/>
      <c r="F1032" s="205"/>
      <c r="G1032" s="205"/>
    </row>
    <row r="1033" ht="15.75" customHeight="1">
      <c r="A1033" s="224"/>
      <c r="B1033" s="186"/>
      <c r="C1033" s="210"/>
      <c r="D1033" s="210"/>
      <c r="E1033" s="204"/>
      <c r="F1033" s="205"/>
      <c r="G1033" s="205"/>
    </row>
    <row r="1034" ht="15.75" customHeight="1">
      <c r="A1034" s="224"/>
      <c r="B1034" s="186"/>
      <c r="C1034" s="210"/>
      <c r="D1034" s="210"/>
      <c r="E1034" s="204"/>
      <c r="F1034" s="205"/>
      <c r="G1034" s="205"/>
    </row>
    <row r="1035" ht="15.75" customHeight="1">
      <c r="A1035" s="224"/>
      <c r="B1035" s="186"/>
      <c r="C1035" s="210"/>
      <c r="D1035" s="210"/>
      <c r="E1035" s="204"/>
      <c r="F1035" s="205"/>
      <c r="G1035" s="205"/>
    </row>
    <row r="1036" ht="15.75" customHeight="1">
      <c r="A1036" s="224"/>
      <c r="B1036" s="186"/>
      <c r="C1036" s="210"/>
      <c r="D1036" s="210"/>
      <c r="E1036" s="204"/>
      <c r="F1036" s="205"/>
      <c r="G1036" s="205"/>
    </row>
    <row r="1037" ht="15.75" customHeight="1">
      <c r="A1037" s="224"/>
      <c r="B1037" s="186"/>
      <c r="C1037" s="210"/>
      <c r="D1037" s="210"/>
      <c r="E1037" s="204"/>
      <c r="F1037" s="205"/>
      <c r="G1037" s="205"/>
    </row>
    <row r="1038" ht="15.75" customHeight="1">
      <c r="A1038" s="224"/>
      <c r="B1038" s="186"/>
      <c r="C1038" s="210"/>
      <c r="D1038" s="210"/>
      <c r="E1038" s="204"/>
      <c r="F1038" s="205"/>
      <c r="G1038" s="205"/>
    </row>
    <row r="1039" ht="15.75" customHeight="1">
      <c r="A1039" s="224"/>
      <c r="B1039" s="186"/>
      <c r="C1039" s="210"/>
      <c r="D1039" s="210"/>
      <c r="E1039" s="204"/>
      <c r="F1039" s="205"/>
      <c r="G1039" s="205"/>
    </row>
    <row r="1040" ht="15.75" customHeight="1">
      <c r="A1040" s="224"/>
      <c r="B1040" s="186"/>
      <c r="C1040" s="210"/>
      <c r="D1040" s="210"/>
      <c r="E1040" s="204"/>
      <c r="F1040" s="205"/>
      <c r="G1040" s="205"/>
    </row>
    <row r="1041" ht="15.75" customHeight="1">
      <c r="A1041" s="224"/>
      <c r="B1041" s="186"/>
      <c r="C1041" s="210"/>
      <c r="D1041" s="210"/>
      <c r="E1041" s="204"/>
      <c r="F1041" s="205"/>
      <c r="G1041" s="205"/>
    </row>
    <row r="1042" ht="15.75" customHeight="1">
      <c r="A1042" s="224"/>
      <c r="B1042" s="186"/>
      <c r="C1042" s="210"/>
      <c r="D1042" s="210"/>
      <c r="E1042" s="204"/>
      <c r="F1042" s="205"/>
      <c r="G1042" s="205"/>
    </row>
    <row r="1043" ht="15.75" customHeight="1">
      <c r="A1043" s="224"/>
      <c r="B1043" s="186"/>
      <c r="C1043" s="210"/>
      <c r="D1043" s="210"/>
      <c r="E1043" s="204"/>
      <c r="F1043" s="205"/>
      <c r="G1043" s="205"/>
    </row>
    <row r="1044" ht="15.75" customHeight="1">
      <c r="A1044" s="224"/>
      <c r="B1044" s="186"/>
      <c r="C1044" s="210"/>
      <c r="D1044" s="210"/>
      <c r="E1044" s="204"/>
      <c r="F1044" s="205"/>
      <c r="G1044" s="205"/>
    </row>
    <row r="1045" ht="15.75" customHeight="1">
      <c r="A1045" s="224"/>
      <c r="B1045" s="186"/>
      <c r="C1045" s="210"/>
      <c r="D1045" s="210"/>
      <c r="E1045" s="204"/>
      <c r="F1045" s="205"/>
      <c r="G1045" s="205"/>
    </row>
    <row r="1046" ht="15.75" customHeight="1">
      <c r="A1046" s="224"/>
      <c r="B1046" s="186"/>
      <c r="C1046" s="210"/>
      <c r="D1046" s="210"/>
      <c r="E1046" s="204"/>
      <c r="F1046" s="205"/>
      <c r="G1046" s="205"/>
    </row>
    <row r="1047" ht="15.75" customHeight="1">
      <c r="A1047" s="224"/>
      <c r="B1047" s="186"/>
      <c r="C1047" s="210"/>
      <c r="D1047" s="210"/>
      <c r="E1047" s="204"/>
      <c r="F1047" s="205"/>
      <c r="G1047" s="205"/>
    </row>
    <row r="1048" ht="15.75" customHeight="1">
      <c r="A1048" s="224"/>
      <c r="B1048" s="186"/>
      <c r="C1048" s="210"/>
      <c r="D1048" s="210"/>
      <c r="E1048" s="204"/>
      <c r="F1048" s="205"/>
      <c r="G1048" s="205"/>
    </row>
    <row r="1049" ht="15.75" customHeight="1">
      <c r="A1049" s="224"/>
      <c r="B1049" s="186"/>
      <c r="C1049" s="210"/>
      <c r="D1049" s="210"/>
      <c r="E1049" s="204"/>
      <c r="F1049" s="205"/>
      <c r="G1049" s="205"/>
    </row>
    <row r="1050" ht="15.75" customHeight="1">
      <c r="A1050" s="224"/>
      <c r="B1050" s="186"/>
      <c r="C1050" s="210"/>
      <c r="D1050" s="210"/>
      <c r="E1050" s="204"/>
      <c r="F1050" s="205"/>
      <c r="G1050" s="205"/>
    </row>
    <row r="1051" ht="15.75" customHeight="1">
      <c r="A1051" s="224"/>
      <c r="B1051" s="186"/>
      <c r="C1051" s="210"/>
      <c r="D1051" s="210"/>
      <c r="E1051" s="204"/>
      <c r="F1051" s="205"/>
      <c r="G1051" s="205"/>
    </row>
    <row r="1052" ht="15.75" customHeight="1">
      <c r="A1052" s="224"/>
      <c r="B1052" s="186"/>
      <c r="C1052" s="210"/>
      <c r="D1052" s="210"/>
      <c r="E1052" s="204"/>
      <c r="F1052" s="205"/>
      <c r="G1052" s="205"/>
    </row>
    <row r="1053" ht="15.75" customHeight="1">
      <c r="A1053" s="224"/>
      <c r="B1053" s="186"/>
      <c r="C1053" s="210"/>
      <c r="D1053" s="210"/>
      <c r="E1053" s="204"/>
      <c r="F1053" s="205"/>
      <c r="G1053" s="205"/>
    </row>
    <row r="1054" ht="15.75" customHeight="1">
      <c r="A1054" s="224"/>
      <c r="B1054" s="186"/>
      <c r="C1054" s="210"/>
      <c r="D1054" s="210"/>
      <c r="E1054" s="204"/>
      <c r="F1054" s="205"/>
      <c r="G1054" s="205"/>
    </row>
    <row r="1055" ht="15.75" customHeight="1">
      <c r="A1055" s="224"/>
      <c r="B1055" s="186"/>
      <c r="C1055" s="210"/>
      <c r="D1055" s="210"/>
      <c r="E1055" s="204"/>
      <c r="F1055" s="205"/>
      <c r="G1055" s="205"/>
    </row>
    <row r="1056" ht="15.75" customHeight="1">
      <c r="A1056" s="224"/>
      <c r="B1056" s="186"/>
      <c r="C1056" s="210"/>
      <c r="D1056" s="210"/>
      <c r="E1056" s="204"/>
      <c r="F1056" s="205"/>
      <c r="G1056" s="205"/>
    </row>
    <row r="1057" ht="15.75" customHeight="1">
      <c r="A1057" s="224"/>
      <c r="B1057" s="186"/>
      <c r="C1057" s="210"/>
      <c r="D1057" s="210"/>
      <c r="E1057" s="204"/>
      <c r="F1057" s="205"/>
      <c r="G1057" s="205"/>
    </row>
    <row r="1058" ht="15.75" customHeight="1">
      <c r="A1058" s="224"/>
      <c r="B1058" s="186"/>
      <c r="C1058" s="210"/>
      <c r="D1058" s="210"/>
      <c r="E1058" s="204"/>
      <c r="F1058" s="205"/>
      <c r="G1058" s="205"/>
    </row>
    <row r="1059" ht="15.75" customHeight="1">
      <c r="A1059" s="224"/>
      <c r="B1059" s="186"/>
      <c r="C1059" s="210"/>
      <c r="D1059" s="210"/>
      <c r="E1059" s="204"/>
      <c r="F1059" s="205"/>
      <c r="G1059" s="205"/>
    </row>
    <row r="1060" ht="15.75" customHeight="1">
      <c r="A1060" s="224"/>
      <c r="B1060" s="186"/>
      <c r="C1060" s="210"/>
      <c r="D1060" s="210"/>
      <c r="E1060" s="204"/>
      <c r="F1060" s="205"/>
      <c r="G1060" s="205"/>
    </row>
    <row r="1061" ht="15.75" customHeight="1">
      <c r="A1061" s="224"/>
      <c r="B1061" s="186"/>
      <c r="C1061" s="210"/>
      <c r="D1061" s="210"/>
      <c r="E1061" s="204"/>
      <c r="F1061" s="205"/>
      <c r="G1061" s="205"/>
    </row>
    <row r="1062" ht="15.75" customHeight="1">
      <c r="A1062" s="224"/>
      <c r="B1062" s="186"/>
      <c r="C1062" s="210"/>
      <c r="D1062" s="210"/>
      <c r="E1062" s="204"/>
      <c r="F1062" s="205"/>
      <c r="G1062" s="205"/>
    </row>
    <row r="1063" ht="15.75" customHeight="1">
      <c r="A1063" s="224"/>
      <c r="B1063" s="186"/>
      <c r="C1063" s="210"/>
      <c r="D1063" s="210"/>
      <c r="E1063" s="204"/>
      <c r="F1063" s="205"/>
      <c r="G1063" s="205"/>
    </row>
    <row r="1064" ht="15.75" customHeight="1">
      <c r="A1064" s="224"/>
      <c r="B1064" s="186"/>
      <c r="C1064" s="210"/>
      <c r="D1064" s="210"/>
      <c r="E1064" s="204"/>
      <c r="F1064" s="205"/>
      <c r="G1064" s="205"/>
    </row>
    <row r="1065" ht="15.75" customHeight="1">
      <c r="A1065" s="224"/>
      <c r="B1065" s="186"/>
      <c r="C1065" s="210"/>
      <c r="D1065" s="210"/>
      <c r="E1065" s="204"/>
      <c r="F1065" s="205"/>
      <c r="G1065" s="205"/>
    </row>
    <row r="1066" ht="15.75" customHeight="1">
      <c r="A1066" s="224"/>
      <c r="B1066" s="186"/>
      <c r="C1066" s="210"/>
      <c r="D1066" s="210"/>
      <c r="E1066" s="204"/>
      <c r="F1066" s="205"/>
      <c r="G1066" s="205"/>
    </row>
    <row r="1067" ht="15.75" customHeight="1">
      <c r="A1067" s="224"/>
      <c r="B1067" s="186"/>
      <c r="C1067" s="210"/>
      <c r="D1067" s="210"/>
      <c r="E1067" s="204"/>
      <c r="F1067" s="205"/>
      <c r="G1067" s="205"/>
    </row>
    <row r="1068" ht="15.75" customHeight="1">
      <c r="A1068" s="224"/>
      <c r="B1068" s="186"/>
      <c r="C1068" s="210"/>
      <c r="D1068" s="210"/>
      <c r="E1068" s="204"/>
      <c r="F1068" s="205"/>
      <c r="G1068" s="205"/>
    </row>
    <row r="1069" ht="15.75" customHeight="1">
      <c r="A1069" s="224"/>
      <c r="B1069" s="186"/>
      <c r="C1069" s="210"/>
      <c r="D1069" s="210"/>
      <c r="E1069" s="204"/>
      <c r="F1069" s="205"/>
      <c r="G1069" s="205"/>
    </row>
    <row r="1070" ht="15.75" customHeight="1">
      <c r="A1070" s="224"/>
      <c r="B1070" s="186"/>
      <c r="C1070" s="210"/>
      <c r="D1070" s="210"/>
      <c r="E1070" s="204"/>
      <c r="F1070" s="205"/>
      <c r="G1070" s="205"/>
    </row>
    <row r="1071" ht="15.75" customHeight="1">
      <c r="A1071" s="224"/>
      <c r="B1071" s="186"/>
      <c r="C1071" s="210"/>
      <c r="D1071" s="210"/>
      <c r="E1071" s="204"/>
      <c r="F1071" s="205"/>
      <c r="G1071" s="205"/>
    </row>
    <row r="1072" ht="15.75" customHeight="1">
      <c r="A1072" s="224"/>
      <c r="B1072" s="186"/>
      <c r="C1072" s="210"/>
      <c r="D1072" s="210"/>
      <c r="E1072" s="204"/>
      <c r="F1072" s="205"/>
      <c r="G1072" s="205"/>
    </row>
    <row r="1073" ht="15.75" customHeight="1">
      <c r="A1073" s="224"/>
      <c r="B1073" s="186"/>
      <c r="C1073" s="210"/>
      <c r="D1073" s="210"/>
      <c r="E1073" s="204"/>
      <c r="F1073" s="205"/>
      <c r="G1073" s="205"/>
    </row>
    <row r="1074" ht="15.75" customHeight="1">
      <c r="A1074" s="224"/>
      <c r="B1074" s="186"/>
      <c r="C1074" s="210"/>
      <c r="D1074" s="210"/>
      <c r="E1074" s="204"/>
      <c r="F1074" s="205"/>
      <c r="G1074" s="205"/>
    </row>
    <row r="1075" ht="15.75" customHeight="1">
      <c r="A1075" s="224"/>
      <c r="B1075" s="186"/>
      <c r="C1075" s="210"/>
      <c r="D1075" s="210"/>
      <c r="E1075" s="204"/>
      <c r="F1075" s="205"/>
      <c r="G1075" s="205"/>
    </row>
    <row r="1076" ht="15.75" customHeight="1">
      <c r="A1076" s="224"/>
      <c r="B1076" s="186"/>
      <c r="C1076" s="210"/>
      <c r="D1076" s="210"/>
      <c r="E1076" s="204"/>
      <c r="F1076" s="205"/>
      <c r="G1076" s="205"/>
    </row>
    <row r="1077" ht="15.75" customHeight="1">
      <c r="A1077" s="224"/>
      <c r="B1077" s="186"/>
      <c r="C1077" s="210"/>
      <c r="D1077" s="210"/>
      <c r="E1077" s="204"/>
      <c r="F1077" s="205"/>
      <c r="G1077" s="205"/>
    </row>
    <row r="1078" ht="15.75" customHeight="1">
      <c r="A1078" s="224"/>
      <c r="B1078" s="186"/>
      <c r="C1078" s="210"/>
      <c r="D1078" s="210"/>
      <c r="E1078" s="204"/>
      <c r="F1078" s="205"/>
      <c r="G1078" s="205"/>
    </row>
    <row r="1079" ht="15.75" customHeight="1">
      <c r="A1079" s="224"/>
      <c r="B1079" s="186"/>
      <c r="C1079" s="210"/>
      <c r="D1079" s="210"/>
      <c r="E1079" s="204"/>
      <c r="F1079" s="205"/>
      <c r="G1079" s="205"/>
    </row>
    <row r="1080" ht="15.75" customHeight="1">
      <c r="A1080" s="224"/>
      <c r="B1080" s="186"/>
      <c r="C1080" s="210"/>
      <c r="D1080" s="210"/>
      <c r="E1080" s="204"/>
      <c r="F1080" s="205"/>
      <c r="G1080" s="205"/>
    </row>
    <row r="1081" ht="15.75" customHeight="1">
      <c r="A1081" s="224"/>
      <c r="B1081" s="186"/>
      <c r="C1081" s="210"/>
      <c r="D1081" s="210"/>
      <c r="E1081" s="204"/>
      <c r="F1081" s="205"/>
      <c r="G1081" s="205"/>
    </row>
    <row r="1082" ht="15.75" customHeight="1">
      <c r="A1082" s="224"/>
      <c r="B1082" s="186"/>
      <c r="C1082" s="210"/>
      <c r="D1082" s="210"/>
      <c r="E1082" s="204"/>
      <c r="F1082" s="205"/>
      <c r="G1082" s="205"/>
    </row>
    <row r="1083" ht="15.75" customHeight="1">
      <c r="A1083" s="224"/>
      <c r="B1083" s="186"/>
      <c r="C1083" s="210"/>
      <c r="D1083" s="210"/>
      <c r="E1083" s="204"/>
      <c r="F1083" s="205"/>
      <c r="G1083" s="205"/>
    </row>
    <row r="1084" ht="15.75" customHeight="1">
      <c r="A1084" s="224"/>
      <c r="B1084" s="186"/>
      <c r="C1084" s="210"/>
      <c r="D1084" s="210"/>
      <c r="E1084" s="204"/>
      <c r="F1084" s="205"/>
      <c r="G1084" s="205"/>
    </row>
    <row r="1085" ht="15.75" customHeight="1">
      <c r="A1085" s="224"/>
      <c r="B1085" s="186"/>
      <c r="C1085" s="210"/>
      <c r="D1085" s="210"/>
      <c r="E1085" s="204"/>
      <c r="F1085" s="205"/>
      <c r="G1085" s="205"/>
    </row>
    <row r="1086" ht="15.75" customHeight="1">
      <c r="A1086" s="224"/>
      <c r="B1086" s="186"/>
      <c r="C1086" s="210"/>
      <c r="D1086" s="210"/>
      <c r="E1086" s="204"/>
      <c r="F1086" s="205"/>
      <c r="G1086" s="205"/>
    </row>
    <row r="1087" ht="15.75" customHeight="1">
      <c r="A1087" s="224"/>
      <c r="B1087" s="186"/>
      <c r="C1087" s="210"/>
      <c r="D1087" s="210"/>
      <c r="E1087" s="204"/>
      <c r="F1087" s="205"/>
      <c r="G1087" s="205"/>
    </row>
    <row r="1088" ht="15.75" customHeight="1">
      <c r="A1088" s="224"/>
      <c r="B1088" s="186"/>
      <c r="C1088" s="210"/>
      <c r="D1088" s="210"/>
      <c r="E1088" s="204"/>
      <c r="F1088" s="205"/>
      <c r="G1088" s="205"/>
    </row>
    <row r="1089" ht="15.75" customHeight="1">
      <c r="A1089" s="224"/>
      <c r="B1089" s="186"/>
      <c r="C1089" s="210"/>
      <c r="D1089" s="210"/>
      <c r="E1089" s="204"/>
      <c r="F1089" s="205"/>
      <c r="G1089" s="205"/>
    </row>
    <row r="1090" ht="15.75" customHeight="1">
      <c r="A1090" s="224"/>
      <c r="B1090" s="186"/>
      <c r="C1090" s="210"/>
      <c r="D1090" s="210"/>
      <c r="E1090" s="204"/>
      <c r="F1090" s="205"/>
      <c r="G1090" s="205"/>
    </row>
    <row r="1091" ht="15.75" customHeight="1">
      <c r="A1091" s="224"/>
      <c r="B1091" s="186"/>
      <c r="C1091" s="210"/>
      <c r="D1091" s="210"/>
      <c r="E1091" s="204"/>
      <c r="F1091" s="205"/>
      <c r="G1091" s="205"/>
    </row>
    <row r="1092" ht="15.75" customHeight="1">
      <c r="A1092" s="224"/>
      <c r="B1092" s="186"/>
      <c r="C1092" s="210"/>
      <c r="D1092" s="210"/>
      <c r="E1092" s="204"/>
      <c r="F1092" s="205"/>
      <c r="G1092" s="205"/>
    </row>
    <row r="1093" ht="15.75" customHeight="1">
      <c r="A1093" s="224"/>
      <c r="B1093" s="186"/>
      <c r="C1093" s="210"/>
      <c r="D1093" s="210"/>
      <c r="E1093" s="204"/>
      <c r="F1093" s="205"/>
      <c r="G1093" s="205"/>
    </row>
    <row r="1094" ht="15.75" customHeight="1">
      <c r="A1094" s="224"/>
      <c r="B1094" s="186"/>
      <c r="C1094" s="210"/>
      <c r="D1094" s="210"/>
      <c r="E1094" s="204"/>
      <c r="F1094" s="205"/>
      <c r="G1094" s="205"/>
    </row>
    <row r="1095" ht="15.75" customHeight="1">
      <c r="A1095" s="224"/>
      <c r="B1095" s="186"/>
      <c r="C1095" s="210"/>
      <c r="D1095" s="210"/>
      <c r="E1095" s="204"/>
      <c r="F1095" s="205"/>
      <c r="G1095" s="205"/>
    </row>
    <row r="1096" ht="15.75" customHeight="1">
      <c r="A1096" s="224"/>
      <c r="B1096" s="186"/>
      <c r="C1096" s="210"/>
      <c r="D1096" s="210"/>
      <c r="E1096" s="204"/>
      <c r="F1096" s="205"/>
      <c r="G1096" s="205"/>
    </row>
    <row r="1097" ht="15.75" customHeight="1">
      <c r="A1097" s="224"/>
      <c r="B1097" s="186"/>
      <c r="C1097" s="210"/>
      <c r="D1097" s="210"/>
      <c r="E1097" s="204"/>
      <c r="F1097" s="205"/>
      <c r="G1097" s="205"/>
    </row>
    <row r="1098" ht="15.75" customHeight="1">
      <c r="A1098" s="224"/>
      <c r="B1098" s="186"/>
      <c r="C1098" s="210"/>
      <c r="D1098" s="210"/>
      <c r="E1098" s="204"/>
      <c r="F1098" s="205"/>
      <c r="G1098" s="205"/>
    </row>
    <row r="1099" ht="15.75" customHeight="1">
      <c r="A1099" s="224"/>
      <c r="B1099" s="186"/>
      <c r="C1099" s="210"/>
      <c r="D1099" s="210"/>
      <c r="E1099" s="204"/>
      <c r="F1099" s="205"/>
      <c r="G1099" s="205"/>
    </row>
    <row r="1100" ht="15.75" customHeight="1">
      <c r="A1100" s="224"/>
      <c r="B1100" s="186"/>
      <c r="C1100" s="210"/>
      <c r="D1100" s="210"/>
      <c r="E1100" s="204"/>
      <c r="F1100" s="205"/>
      <c r="G1100" s="205"/>
    </row>
    <row r="1101" ht="15.75" customHeight="1">
      <c r="A1101" s="224"/>
      <c r="B1101" s="186"/>
      <c r="C1101" s="210"/>
      <c r="D1101" s="210"/>
      <c r="E1101" s="204"/>
      <c r="F1101" s="205"/>
      <c r="G1101" s="205"/>
    </row>
    <row r="1102" ht="15.75" customHeight="1">
      <c r="A1102" s="224"/>
      <c r="B1102" s="186"/>
      <c r="C1102" s="210"/>
      <c r="D1102" s="210"/>
      <c r="E1102" s="204"/>
      <c r="F1102" s="205"/>
      <c r="G1102" s="205"/>
    </row>
    <row r="1103" ht="15.75" customHeight="1">
      <c r="A1103" s="224"/>
      <c r="B1103" s="186"/>
      <c r="C1103" s="210"/>
      <c r="D1103" s="210"/>
      <c r="E1103" s="204"/>
      <c r="F1103" s="205"/>
      <c r="G1103" s="205"/>
    </row>
    <row r="1104" ht="15.75" customHeight="1">
      <c r="A1104" s="224"/>
      <c r="B1104" s="186"/>
      <c r="C1104" s="210"/>
      <c r="D1104" s="210"/>
      <c r="E1104" s="204"/>
      <c r="F1104" s="205"/>
      <c r="G1104" s="205"/>
    </row>
    <row r="1105" ht="15.75" customHeight="1">
      <c r="A1105" s="224"/>
      <c r="B1105" s="186"/>
      <c r="C1105" s="210"/>
      <c r="D1105" s="210"/>
      <c r="E1105" s="204"/>
      <c r="F1105" s="205"/>
      <c r="G1105" s="205"/>
    </row>
    <row r="1106" ht="15.75" customHeight="1">
      <c r="A1106" s="224"/>
      <c r="B1106" s="186"/>
      <c r="C1106" s="210"/>
      <c r="D1106" s="210"/>
      <c r="E1106" s="204"/>
      <c r="F1106" s="205"/>
      <c r="G1106" s="205"/>
    </row>
    <row r="1107" ht="15.75" customHeight="1">
      <c r="A1107" s="224"/>
      <c r="B1107" s="186"/>
      <c r="C1107" s="210"/>
      <c r="D1107" s="210"/>
      <c r="E1107" s="204"/>
      <c r="F1107" s="205"/>
      <c r="G1107" s="205"/>
    </row>
    <row r="1108" ht="15.75" customHeight="1">
      <c r="A1108" s="224"/>
      <c r="B1108" s="186"/>
      <c r="C1108" s="210"/>
      <c r="D1108" s="210"/>
      <c r="E1108" s="204"/>
      <c r="F1108" s="205"/>
      <c r="G1108" s="205"/>
    </row>
    <row r="1109" ht="15.75" customHeight="1">
      <c r="A1109" s="224"/>
      <c r="B1109" s="186"/>
      <c r="C1109" s="210"/>
      <c r="D1109" s="210"/>
      <c r="E1109" s="204"/>
      <c r="F1109" s="205"/>
      <c r="G1109" s="205"/>
    </row>
    <row r="1110" ht="15.75" customHeight="1">
      <c r="A1110" s="224"/>
      <c r="B1110" s="186"/>
      <c r="C1110" s="210"/>
      <c r="D1110" s="210"/>
      <c r="E1110" s="204"/>
      <c r="F1110" s="205"/>
      <c r="G1110" s="205"/>
    </row>
    <row r="1111" ht="15.75" customHeight="1">
      <c r="A1111" s="224"/>
      <c r="B1111" s="186"/>
      <c r="C1111" s="210"/>
      <c r="D1111" s="210"/>
      <c r="E1111" s="204"/>
      <c r="F1111" s="205"/>
      <c r="G1111" s="205"/>
    </row>
    <row r="1112" ht="15.75" customHeight="1">
      <c r="A1112" s="224"/>
      <c r="B1112" s="186"/>
      <c r="C1112" s="210"/>
      <c r="D1112" s="210"/>
      <c r="E1112" s="204"/>
      <c r="F1112" s="205"/>
      <c r="G1112" s="205"/>
    </row>
    <row r="1113" ht="15.75" customHeight="1">
      <c r="A1113" s="224"/>
      <c r="B1113" s="186"/>
      <c r="C1113" s="210"/>
      <c r="D1113" s="210"/>
      <c r="E1113" s="204"/>
      <c r="F1113" s="205"/>
      <c r="G1113" s="205"/>
    </row>
    <row r="1114" ht="15.75" customHeight="1">
      <c r="A1114" s="224"/>
      <c r="B1114" s="186"/>
      <c r="C1114" s="210"/>
      <c r="D1114" s="210"/>
      <c r="E1114" s="204"/>
      <c r="F1114" s="205"/>
      <c r="G1114" s="205"/>
    </row>
    <row r="1115" ht="15.75" customHeight="1">
      <c r="A1115" s="224"/>
      <c r="B1115" s="186"/>
      <c r="C1115" s="210"/>
      <c r="D1115" s="210"/>
      <c r="E1115" s="204"/>
      <c r="F1115" s="205"/>
      <c r="G1115" s="205"/>
    </row>
    <row r="1116" ht="15.75" customHeight="1">
      <c r="A1116" s="224"/>
      <c r="B1116" s="186"/>
      <c r="C1116" s="210"/>
      <c r="D1116" s="210"/>
      <c r="E1116" s="204"/>
      <c r="F1116" s="205"/>
      <c r="G1116" s="205"/>
    </row>
    <row r="1117" ht="15.75" customHeight="1">
      <c r="A1117" s="224"/>
      <c r="B1117" s="186"/>
      <c r="C1117" s="210"/>
      <c r="D1117" s="210"/>
      <c r="E1117" s="204"/>
      <c r="F1117" s="205"/>
      <c r="G1117" s="205"/>
    </row>
    <row r="1118" ht="15.75" customHeight="1">
      <c r="A1118" s="224"/>
      <c r="B1118" s="186"/>
      <c r="C1118" s="210"/>
      <c r="D1118" s="210"/>
      <c r="E1118" s="204"/>
      <c r="F1118" s="205"/>
      <c r="G1118" s="205"/>
    </row>
    <row r="1119" ht="15.75" customHeight="1">
      <c r="A1119" s="224"/>
      <c r="B1119" s="186"/>
      <c r="C1119" s="210"/>
      <c r="D1119" s="210"/>
      <c r="E1119" s="204"/>
      <c r="F1119" s="205"/>
      <c r="G1119" s="205"/>
    </row>
    <row r="1120" ht="15.75" customHeight="1">
      <c r="A1120" s="224"/>
      <c r="B1120" s="186"/>
      <c r="C1120" s="210"/>
      <c r="D1120" s="210"/>
      <c r="E1120" s="204"/>
      <c r="F1120" s="205"/>
      <c r="G1120" s="205"/>
    </row>
    <row r="1121" ht="15.75" customHeight="1">
      <c r="A1121" s="224"/>
      <c r="B1121" s="186"/>
      <c r="C1121" s="210"/>
      <c r="D1121" s="210"/>
      <c r="E1121" s="204"/>
      <c r="F1121" s="205"/>
      <c r="G1121" s="205"/>
    </row>
    <row r="1122" ht="15.75" customHeight="1">
      <c r="A1122" s="224"/>
      <c r="B1122" s="186"/>
      <c r="C1122" s="210"/>
      <c r="D1122" s="210"/>
      <c r="E1122" s="204"/>
      <c r="F1122" s="205"/>
      <c r="G1122" s="205"/>
    </row>
    <row r="1123" ht="15.75" customHeight="1">
      <c r="A1123" s="224"/>
      <c r="B1123" s="186"/>
      <c r="C1123" s="210"/>
      <c r="D1123" s="210"/>
      <c r="E1123" s="204"/>
      <c r="F1123" s="205"/>
      <c r="G1123" s="205"/>
    </row>
    <row r="1124" ht="15.75" customHeight="1">
      <c r="A1124" s="224"/>
      <c r="B1124" s="186"/>
      <c r="C1124" s="210"/>
      <c r="D1124" s="210"/>
      <c r="E1124" s="204"/>
      <c r="F1124" s="205"/>
      <c r="G1124" s="205"/>
    </row>
    <row r="1125" ht="15.75" customHeight="1">
      <c r="A1125" s="224"/>
      <c r="B1125" s="186"/>
      <c r="C1125" s="210"/>
      <c r="D1125" s="210"/>
      <c r="E1125" s="204"/>
      <c r="F1125" s="205"/>
      <c r="G1125" s="205"/>
    </row>
    <row r="1126" ht="15.75" customHeight="1">
      <c r="A1126" s="224"/>
      <c r="B1126" s="186"/>
      <c r="C1126" s="210"/>
      <c r="D1126" s="210"/>
      <c r="E1126" s="204"/>
      <c r="F1126" s="205"/>
      <c r="G1126" s="205"/>
    </row>
    <row r="1127" ht="15.75" customHeight="1">
      <c r="A1127" s="224"/>
      <c r="B1127" s="186"/>
      <c r="C1127" s="210"/>
      <c r="D1127" s="210"/>
      <c r="E1127" s="204"/>
      <c r="F1127" s="205"/>
      <c r="G1127" s="205"/>
    </row>
    <row r="1128" ht="15.75" customHeight="1">
      <c r="A1128" s="224"/>
      <c r="B1128" s="186"/>
      <c r="C1128" s="210"/>
      <c r="D1128" s="210"/>
      <c r="E1128" s="204"/>
      <c r="F1128" s="205"/>
      <c r="G1128" s="205"/>
    </row>
    <row r="1129" ht="15.75" customHeight="1">
      <c r="A1129" s="224"/>
      <c r="B1129" s="186"/>
      <c r="C1129" s="210"/>
      <c r="D1129" s="210"/>
      <c r="E1129" s="204"/>
      <c r="F1129" s="205"/>
      <c r="G1129" s="205"/>
    </row>
    <row r="1130" ht="15.75" customHeight="1">
      <c r="A1130" s="224"/>
      <c r="B1130" s="186"/>
      <c r="C1130" s="210"/>
      <c r="D1130" s="210"/>
      <c r="E1130" s="204"/>
      <c r="F1130" s="205"/>
      <c r="G1130" s="205"/>
    </row>
    <row r="1131" ht="15.75" customHeight="1">
      <c r="A1131" s="224"/>
      <c r="B1131" s="186"/>
      <c r="C1131" s="210"/>
      <c r="D1131" s="210"/>
      <c r="E1131" s="204"/>
      <c r="F1131" s="205"/>
      <c r="G1131" s="205"/>
    </row>
    <row r="1132" ht="15.75" customHeight="1">
      <c r="A1132" s="224"/>
      <c r="B1132" s="186"/>
      <c r="C1132" s="210"/>
      <c r="D1132" s="210"/>
      <c r="E1132" s="204"/>
      <c r="F1132" s="205"/>
      <c r="G1132" s="205"/>
    </row>
    <row r="1133" ht="15.75" customHeight="1">
      <c r="A1133" s="224"/>
      <c r="B1133" s="186"/>
      <c r="C1133" s="210"/>
      <c r="D1133" s="210"/>
      <c r="E1133" s="204"/>
      <c r="F1133" s="205"/>
      <c r="G1133" s="205"/>
    </row>
    <row r="1134" ht="15.75" customHeight="1">
      <c r="A1134" s="224"/>
      <c r="B1134" s="186"/>
      <c r="C1134" s="210"/>
      <c r="D1134" s="210"/>
      <c r="E1134" s="204"/>
      <c r="F1134" s="205"/>
      <c r="G1134" s="205"/>
    </row>
    <row r="1135" ht="15.75" customHeight="1">
      <c r="A1135" s="224"/>
      <c r="B1135" s="186"/>
      <c r="C1135" s="210"/>
      <c r="D1135" s="210"/>
      <c r="E1135" s="204"/>
      <c r="F1135" s="205"/>
      <c r="G1135" s="205"/>
    </row>
    <row r="1136" ht="15.75" customHeight="1">
      <c r="A1136" s="224"/>
      <c r="B1136" s="186"/>
      <c r="C1136" s="210"/>
      <c r="D1136" s="210"/>
      <c r="E1136" s="204"/>
      <c r="F1136" s="205"/>
      <c r="G1136" s="205"/>
    </row>
    <row r="1137" ht="15.75" customHeight="1">
      <c r="A1137" s="224"/>
      <c r="B1137" s="186"/>
      <c r="C1137" s="210"/>
      <c r="D1137" s="210"/>
      <c r="E1137" s="204"/>
      <c r="F1137" s="205"/>
      <c r="G1137" s="205"/>
    </row>
    <row r="1138" ht="15.75" customHeight="1">
      <c r="A1138" s="224"/>
      <c r="B1138" s="186"/>
      <c r="C1138" s="210"/>
      <c r="D1138" s="210"/>
      <c r="E1138" s="204"/>
      <c r="F1138" s="205"/>
      <c r="G1138" s="205"/>
    </row>
    <row r="1139" ht="15.75" customHeight="1">
      <c r="A1139" s="224"/>
      <c r="B1139" s="186"/>
      <c r="C1139" s="210"/>
      <c r="D1139" s="210"/>
      <c r="E1139" s="204"/>
      <c r="F1139" s="205"/>
      <c r="G1139" s="205"/>
    </row>
    <row r="1140" ht="15.75" customHeight="1">
      <c r="A1140" s="224"/>
      <c r="B1140" s="186"/>
      <c r="C1140" s="210"/>
      <c r="D1140" s="210"/>
      <c r="E1140" s="204"/>
      <c r="F1140" s="205"/>
      <c r="G1140" s="205"/>
    </row>
    <row r="1141" ht="15.75" customHeight="1">
      <c r="A1141" s="224"/>
      <c r="B1141" s="186"/>
      <c r="C1141" s="210"/>
      <c r="D1141" s="210"/>
      <c r="E1141" s="204"/>
      <c r="F1141" s="205"/>
      <c r="G1141" s="205"/>
    </row>
    <row r="1142" ht="15.75" customHeight="1">
      <c r="A1142" s="224"/>
      <c r="B1142" s="186"/>
      <c r="C1142" s="210"/>
      <c r="D1142" s="210"/>
      <c r="E1142" s="204"/>
      <c r="F1142" s="205"/>
      <c r="G1142" s="205"/>
    </row>
    <row r="1143" ht="15.75" customHeight="1">
      <c r="A1143" s="224"/>
      <c r="B1143" s="186"/>
      <c r="C1143" s="210"/>
      <c r="D1143" s="210"/>
      <c r="E1143" s="204"/>
      <c r="F1143" s="205"/>
      <c r="G1143" s="205"/>
    </row>
    <row r="1144" ht="15.75" customHeight="1">
      <c r="A1144" s="224"/>
      <c r="B1144" s="186"/>
      <c r="C1144" s="210"/>
      <c r="D1144" s="210"/>
      <c r="E1144" s="204"/>
      <c r="F1144" s="205"/>
      <c r="G1144" s="205"/>
    </row>
    <row r="1145" ht="15.75" customHeight="1">
      <c r="A1145" s="224"/>
      <c r="B1145" s="186"/>
      <c r="C1145" s="210"/>
      <c r="D1145" s="210"/>
      <c r="E1145" s="204"/>
      <c r="F1145" s="205"/>
      <c r="G1145" s="205"/>
    </row>
    <row r="1146" ht="15.75" customHeight="1">
      <c r="A1146" s="224"/>
      <c r="B1146" s="186"/>
      <c r="C1146" s="210"/>
      <c r="D1146" s="210"/>
      <c r="E1146" s="204"/>
      <c r="F1146" s="205"/>
      <c r="G1146" s="205"/>
    </row>
    <row r="1147" ht="15.75" customHeight="1">
      <c r="A1147" s="224"/>
      <c r="B1147" s="186"/>
      <c r="C1147" s="210"/>
      <c r="D1147" s="210"/>
      <c r="E1147" s="204"/>
      <c r="F1147" s="205"/>
      <c r="G1147" s="205"/>
    </row>
    <row r="1148" ht="15.75" customHeight="1">
      <c r="A1148" s="224"/>
      <c r="B1148" s="186"/>
      <c r="C1148" s="210"/>
      <c r="D1148" s="210"/>
      <c r="E1148" s="204"/>
      <c r="F1148" s="205"/>
      <c r="G1148" s="205"/>
    </row>
    <row r="1149" ht="15.75" customHeight="1">
      <c r="A1149" s="224"/>
      <c r="B1149" s="186"/>
      <c r="C1149" s="210"/>
      <c r="D1149" s="210"/>
      <c r="E1149" s="204"/>
      <c r="F1149" s="205"/>
      <c r="G1149" s="205"/>
    </row>
    <row r="1150" ht="15.75" customHeight="1">
      <c r="A1150" s="224"/>
      <c r="B1150" s="186"/>
      <c r="C1150" s="210"/>
      <c r="D1150" s="210"/>
      <c r="E1150" s="204"/>
      <c r="F1150" s="205"/>
      <c r="G1150" s="205"/>
    </row>
    <row r="1151" ht="15.75" customHeight="1">
      <c r="A1151" s="224"/>
      <c r="B1151" s="186"/>
      <c r="C1151" s="210"/>
      <c r="D1151" s="210"/>
      <c r="E1151" s="204"/>
      <c r="F1151" s="205"/>
      <c r="G1151" s="205"/>
    </row>
    <row r="1152" ht="15.75" customHeight="1">
      <c r="A1152" s="224"/>
      <c r="B1152" s="186"/>
      <c r="C1152" s="210"/>
      <c r="D1152" s="210"/>
      <c r="E1152" s="204"/>
      <c r="F1152" s="205"/>
      <c r="G1152" s="205"/>
    </row>
    <row r="1153" ht="15.75" customHeight="1">
      <c r="A1153" s="224"/>
      <c r="B1153" s="186"/>
      <c r="C1153" s="210"/>
      <c r="D1153" s="210"/>
      <c r="E1153" s="204"/>
      <c r="F1153" s="205"/>
      <c r="G1153" s="205"/>
    </row>
    <row r="1154" ht="15.75" customHeight="1">
      <c r="A1154" s="224"/>
      <c r="B1154" s="186"/>
      <c r="C1154" s="210"/>
      <c r="D1154" s="210"/>
      <c r="E1154" s="204"/>
      <c r="F1154" s="205"/>
      <c r="G1154" s="205"/>
    </row>
    <row r="1155" ht="15.75" customHeight="1">
      <c r="A1155" s="224"/>
      <c r="B1155" s="186"/>
      <c r="C1155" s="210"/>
      <c r="D1155" s="210"/>
      <c r="E1155" s="204"/>
      <c r="F1155" s="205"/>
      <c r="G1155" s="205"/>
    </row>
    <row r="1156" ht="15.75" customHeight="1">
      <c r="A1156" s="224"/>
      <c r="B1156" s="186"/>
      <c r="C1156" s="210"/>
      <c r="D1156" s="210"/>
      <c r="E1156" s="204"/>
      <c r="F1156" s="205"/>
      <c r="G1156" s="205"/>
    </row>
    <row r="1157" ht="15.75" customHeight="1">
      <c r="A1157" s="224"/>
      <c r="B1157" s="186"/>
      <c r="C1157" s="210"/>
      <c r="D1157" s="210"/>
      <c r="E1157" s="204"/>
      <c r="F1157" s="205"/>
      <c r="G1157" s="205"/>
    </row>
    <row r="1158" ht="15.75" customHeight="1">
      <c r="A1158" s="224"/>
      <c r="B1158" s="186"/>
      <c r="C1158" s="210"/>
      <c r="D1158" s="210"/>
      <c r="E1158" s="204"/>
      <c r="F1158" s="205"/>
      <c r="G1158" s="205"/>
    </row>
    <row r="1159" ht="15.75" customHeight="1">
      <c r="A1159" s="224"/>
      <c r="B1159" s="186"/>
      <c r="C1159" s="210"/>
      <c r="D1159" s="210"/>
      <c r="E1159" s="204"/>
      <c r="F1159" s="205"/>
      <c r="G1159" s="205"/>
    </row>
    <row r="1160" ht="15.75" customHeight="1">
      <c r="A1160" s="224"/>
      <c r="B1160" s="186"/>
      <c r="C1160" s="210"/>
      <c r="D1160" s="210"/>
      <c r="E1160" s="204"/>
      <c r="F1160" s="205"/>
      <c r="G1160" s="205"/>
    </row>
    <row r="1161" ht="15.75" customHeight="1">
      <c r="A1161" s="224"/>
      <c r="B1161" s="186"/>
      <c r="C1161" s="210"/>
      <c r="D1161" s="210"/>
      <c r="E1161" s="204"/>
      <c r="F1161" s="205"/>
      <c r="G1161" s="205"/>
    </row>
    <row r="1162" ht="15.75" customHeight="1">
      <c r="A1162" s="224"/>
      <c r="B1162" s="186"/>
      <c r="C1162" s="210"/>
      <c r="D1162" s="210"/>
      <c r="E1162" s="204"/>
      <c r="F1162" s="205"/>
      <c r="G1162" s="205"/>
    </row>
    <row r="1163" ht="15.75" customHeight="1">
      <c r="A1163" s="224"/>
      <c r="B1163" s="186"/>
      <c r="C1163" s="210"/>
      <c r="D1163" s="210"/>
      <c r="E1163" s="204"/>
      <c r="F1163" s="205"/>
      <c r="G1163" s="205"/>
    </row>
    <row r="1164" ht="15.75" customHeight="1">
      <c r="A1164" s="224"/>
      <c r="B1164" s="186"/>
      <c r="C1164" s="210"/>
      <c r="D1164" s="210"/>
      <c r="E1164" s="204"/>
      <c r="F1164" s="205"/>
      <c r="G1164" s="205"/>
    </row>
    <row r="1165" ht="15.75" customHeight="1">
      <c r="A1165" s="224"/>
      <c r="B1165" s="186"/>
      <c r="C1165" s="210"/>
      <c r="D1165" s="210"/>
      <c r="E1165" s="204"/>
      <c r="F1165" s="205"/>
      <c r="G1165" s="205"/>
    </row>
    <row r="1166" ht="15.75" customHeight="1">
      <c r="A1166" s="224"/>
      <c r="B1166" s="186"/>
      <c r="C1166" s="210"/>
      <c r="D1166" s="210"/>
      <c r="E1166" s="204"/>
      <c r="F1166" s="205"/>
      <c r="G1166" s="205"/>
    </row>
    <row r="1167" ht="15.75" customHeight="1">
      <c r="A1167" s="224"/>
      <c r="B1167" s="186"/>
      <c r="C1167" s="210"/>
      <c r="D1167" s="210"/>
      <c r="E1167" s="204"/>
      <c r="F1167" s="205"/>
      <c r="G1167" s="205"/>
    </row>
    <row r="1168" ht="15.75" customHeight="1">
      <c r="A1168" s="224"/>
      <c r="B1168" s="186"/>
      <c r="C1168" s="210"/>
      <c r="D1168" s="210"/>
      <c r="E1168" s="204"/>
      <c r="F1168" s="205"/>
      <c r="G1168" s="205"/>
    </row>
    <row r="1169" ht="15.75" customHeight="1">
      <c r="A1169" s="224"/>
      <c r="B1169" s="186"/>
      <c r="C1169" s="210"/>
      <c r="D1169" s="210"/>
      <c r="E1169" s="204"/>
      <c r="F1169" s="205"/>
      <c r="G1169" s="205"/>
    </row>
    <row r="1170" ht="15.75" customHeight="1">
      <c r="A1170" s="224"/>
      <c r="B1170" s="186"/>
      <c r="C1170" s="210"/>
      <c r="D1170" s="210"/>
      <c r="E1170" s="204"/>
      <c r="F1170" s="205"/>
      <c r="G1170" s="205"/>
    </row>
    <row r="1171" ht="15.75" customHeight="1">
      <c r="A1171" s="224"/>
      <c r="B1171" s="186"/>
      <c r="C1171" s="210"/>
      <c r="D1171" s="210"/>
      <c r="E1171" s="204"/>
      <c r="F1171" s="205"/>
      <c r="G1171" s="205"/>
    </row>
    <row r="1172" ht="15.75" customHeight="1">
      <c r="A1172" s="224"/>
      <c r="B1172" s="186"/>
      <c r="C1172" s="210"/>
      <c r="D1172" s="210"/>
      <c r="E1172" s="204"/>
      <c r="F1172" s="205"/>
      <c r="G1172" s="205"/>
    </row>
    <row r="1173" ht="15.75" customHeight="1">
      <c r="A1173" s="224"/>
      <c r="B1173" s="186"/>
      <c r="C1173" s="210"/>
      <c r="D1173" s="210"/>
      <c r="E1173" s="204"/>
      <c r="F1173" s="205"/>
      <c r="G1173" s="205"/>
    </row>
    <row r="1174" ht="15.75" customHeight="1">
      <c r="A1174" s="224"/>
      <c r="B1174" s="186"/>
      <c r="C1174" s="210"/>
      <c r="D1174" s="210"/>
      <c r="E1174" s="204"/>
      <c r="F1174" s="205"/>
      <c r="G1174" s="205"/>
    </row>
    <row r="1175" ht="15.75" customHeight="1">
      <c r="A1175" s="224"/>
      <c r="B1175" s="186"/>
      <c r="C1175" s="210"/>
      <c r="D1175" s="210"/>
      <c r="E1175" s="204"/>
      <c r="F1175" s="205"/>
      <c r="G1175" s="205"/>
    </row>
    <row r="1176" ht="15.75" customHeight="1">
      <c r="A1176" s="224"/>
      <c r="B1176" s="186"/>
      <c r="C1176" s="210"/>
      <c r="D1176" s="210"/>
      <c r="E1176" s="204"/>
      <c r="F1176" s="205"/>
      <c r="G1176" s="205"/>
    </row>
    <row r="1177" ht="15.75" customHeight="1">
      <c r="A1177" s="224"/>
      <c r="B1177" s="186"/>
      <c r="C1177" s="210"/>
      <c r="D1177" s="210"/>
      <c r="E1177" s="204"/>
      <c r="F1177" s="205"/>
      <c r="G1177" s="205"/>
    </row>
    <row r="1178" ht="15.75" customHeight="1">
      <c r="A1178" s="224"/>
      <c r="B1178" s="186"/>
      <c r="C1178" s="210"/>
      <c r="D1178" s="210"/>
      <c r="E1178" s="204"/>
      <c r="F1178" s="205"/>
      <c r="G1178" s="205"/>
    </row>
    <row r="1179" ht="15.75" customHeight="1">
      <c r="A1179" s="224"/>
      <c r="B1179" s="186"/>
      <c r="C1179" s="210"/>
      <c r="D1179" s="210"/>
      <c r="E1179" s="204"/>
      <c r="F1179" s="205"/>
      <c r="G1179" s="205"/>
    </row>
    <row r="1180" ht="15.75" customHeight="1">
      <c r="A1180" s="224"/>
      <c r="B1180" s="186"/>
      <c r="C1180" s="210"/>
      <c r="D1180" s="210"/>
      <c r="E1180" s="204"/>
      <c r="F1180" s="205"/>
      <c r="G1180" s="205"/>
    </row>
    <row r="1181" ht="15.75" customHeight="1">
      <c r="A1181" s="224"/>
      <c r="B1181" s="186"/>
      <c r="C1181" s="210"/>
      <c r="D1181" s="210"/>
      <c r="E1181" s="204"/>
      <c r="F1181" s="205"/>
      <c r="G1181" s="205"/>
    </row>
    <row r="1182" ht="15.75" customHeight="1">
      <c r="A1182" s="224"/>
      <c r="B1182" s="186"/>
      <c r="C1182" s="210"/>
      <c r="D1182" s="210"/>
      <c r="E1182" s="204"/>
      <c r="F1182" s="205"/>
      <c r="G1182" s="205"/>
    </row>
    <row r="1183" ht="15.75" customHeight="1">
      <c r="A1183" s="224"/>
      <c r="B1183" s="186"/>
      <c r="C1183" s="210"/>
      <c r="D1183" s="210"/>
      <c r="E1183" s="204"/>
      <c r="F1183" s="205"/>
      <c r="G1183" s="205"/>
    </row>
    <row r="1184" ht="15.75" customHeight="1">
      <c r="A1184" s="224"/>
      <c r="B1184" s="186"/>
      <c r="C1184" s="210"/>
      <c r="D1184" s="210"/>
      <c r="E1184" s="204"/>
      <c r="F1184" s="205"/>
      <c r="G1184" s="205"/>
    </row>
    <row r="1185" ht="15.75" customHeight="1">
      <c r="A1185" s="224"/>
      <c r="B1185" s="186"/>
      <c r="C1185" s="210"/>
      <c r="D1185" s="210"/>
      <c r="E1185" s="204"/>
      <c r="F1185" s="205"/>
      <c r="G1185" s="205"/>
    </row>
    <row r="1186" ht="15.75" customHeight="1">
      <c r="A1186" s="224"/>
      <c r="B1186" s="186"/>
      <c r="C1186" s="210"/>
      <c r="D1186" s="210"/>
      <c r="E1186" s="204"/>
      <c r="F1186" s="205"/>
      <c r="G1186" s="205"/>
    </row>
    <row r="1187" ht="15.75" customHeight="1">
      <c r="A1187" s="224"/>
      <c r="B1187" s="186"/>
      <c r="C1187" s="210"/>
      <c r="D1187" s="210"/>
      <c r="E1187" s="204"/>
      <c r="F1187" s="205"/>
      <c r="G1187" s="205"/>
    </row>
    <row r="1188" ht="15.75" customHeight="1">
      <c r="A1188" s="224"/>
      <c r="B1188" s="186"/>
      <c r="C1188" s="210"/>
      <c r="D1188" s="210"/>
      <c r="E1188" s="204"/>
      <c r="F1188" s="205"/>
      <c r="G1188" s="205"/>
    </row>
    <row r="1189" ht="15.75" customHeight="1">
      <c r="A1189" s="224"/>
      <c r="B1189" s="186"/>
      <c r="C1189" s="210"/>
      <c r="D1189" s="210"/>
      <c r="E1189" s="204"/>
      <c r="F1189" s="205"/>
      <c r="G1189" s="205"/>
    </row>
    <row r="1190" ht="15.75" customHeight="1">
      <c r="A1190" s="224"/>
      <c r="B1190" s="186"/>
      <c r="C1190" s="210"/>
      <c r="D1190" s="210"/>
      <c r="E1190" s="204"/>
      <c r="F1190" s="205"/>
      <c r="G1190" s="205"/>
    </row>
    <row r="1191" ht="15.75" customHeight="1">
      <c r="A1191" s="224"/>
      <c r="B1191" s="186"/>
      <c r="C1191" s="210"/>
      <c r="D1191" s="210"/>
      <c r="E1191" s="204"/>
      <c r="F1191" s="205"/>
      <c r="G1191" s="205"/>
    </row>
    <row r="1192" ht="15.75" customHeight="1">
      <c r="A1192" s="224"/>
      <c r="B1192" s="186"/>
      <c r="C1192" s="210"/>
      <c r="D1192" s="210"/>
      <c r="E1192" s="204"/>
      <c r="F1192" s="205"/>
      <c r="G1192" s="205"/>
    </row>
    <row r="1193" ht="15.75" customHeight="1">
      <c r="A1193" s="224"/>
      <c r="B1193" s="186"/>
      <c r="C1193" s="210"/>
      <c r="D1193" s="210"/>
      <c r="E1193" s="204"/>
      <c r="F1193" s="205"/>
      <c r="G1193" s="205"/>
    </row>
    <row r="1194" ht="15.75" customHeight="1">
      <c r="A1194" s="224"/>
      <c r="B1194" s="186"/>
      <c r="C1194" s="210"/>
      <c r="D1194" s="210"/>
      <c r="E1194" s="204"/>
      <c r="F1194" s="205"/>
      <c r="G1194" s="205"/>
    </row>
    <row r="1195" ht="15.75" customHeight="1">
      <c r="A1195" s="224"/>
      <c r="B1195" s="186"/>
      <c r="C1195" s="210"/>
      <c r="D1195" s="210"/>
      <c r="E1195" s="204"/>
      <c r="F1195" s="205"/>
      <c r="G1195" s="205"/>
    </row>
    <row r="1196" ht="15.75" customHeight="1">
      <c r="A1196" s="224"/>
      <c r="B1196" s="186"/>
      <c r="C1196" s="210"/>
      <c r="D1196" s="210"/>
      <c r="E1196" s="204"/>
      <c r="F1196" s="205"/>
      <c r="G1196" s="205"/>
    </row>
    <row r="1197" ht="15.75" customHeight="1">
      <c r="A1197" s="224"/>
      <c r="B1197" s="186"/>
      <c r="C1197" s="210"/>
      <c r="D1197" s="210"/>
      <c r="E1197" s="204"/>
      <c r="F1197" s="205"/>
      <c r="G1197" s="205"/>
    </row>
    <row r="1198" ht="15.75" customHeight="1">
      <c r="A1198" s="224"/>
      <c r="B1198" s="186"/>
      <c r="C1198" s="210"/>
      <c r="D1198" s="210"/>
      <c r="E1198" s="204"/>
      <c r="F1198" s="205"/>
      <c r="G1198" s="205"/>
    </row>
    <row r="1199" ht="15.75" customHeight="1">
      <c r="A1199" s="224"/>
      <c r="B1199" s="186"/>
      <c r="C1199" s="210"/>
      <c r="D1199" s="210"/>
      <c r="E1199" s="204"/>
      <c r="F1199" s="205"/>
      <c r="G1199" s="205"/>
    </row>
    <row r="1200" ht="15.75" customHeight="1">
      <c r="A1200" s="224"/>
      <c r="B1200" s="186"/>
      <c r="C1200" s="210"/>
      <c r="D1200" s="210"/>
      <c r="E1200" s="204"/>
      <c r="F1200" s="205"/>
      <c r="G1200" s="205"/>
    </row>
    <row r="1201" ht="15.75" customHeight="1">
      <c r="A1201" s="224"/>
      <c r="B1201" s="186"/>
      <c r="C1201" s="210"/>
      <c r="D1201" s="210"/>
      <c r="E1201" s="204"/>
      <c r="F1201" s="205"/>
      <c r="G1201" s="205"/>
    </row>
    <row r="1202" ht="15.75" customHeight="1">
      <c r="A1202" s="224"/>
      <c r="B1202" s="186"/>
      <c r="C1202" s="210"/>
      <c r="D1202" s="210"/>
      <c r="E1202" s="204"/>
      <c r="F1202" s="205"/>
      <c r="G1202" s="205"/>
    </row>
    <row r="1203" ht="15.75" customHeight="1">
      <c r="A1203" s="224"/>
      <c r="B1203" s="186"/>
      <c r="C1203" s="210"/>
      <c r="D1203" s="210"/>
      <c r="E1203" s="204"/>
      <c r="F1203" s="205"/>
      <c r="G1203" s="205"/>
    </row>
    <row r="1204" ht="15.75" customHeight="1">
      <c r="A1204" s="224"/>
      <c r="B1204" s="186"/>
      <c r="C1204" s="210"/>
      <c r="D1204" s="210"/>
      <c r="E1204" s="204"/>
      <c r="F1204" s="205"/>
      <c r="G1204" s="205"/>
    </row>
    <row r="1205" ht="15.75" customHeight="1">
      <c r="A1205" s="224"/>
      <c r="B1205" s="186"/>
      <c r="C1205" s="210"/>
      <c r="D1205" s="210"/>
      <c r="E1205" s="204"/>
      <c r="F1205" s="205"/>
      <c r="G1205" s="205"/>
    </row>
    <row r="1206" ht="15.75" customHeight="1">
      <c r="A1206" s="224"/>
      <c r="B1206" s="186"/>
      <c r="C1206" s="210"/>
      <c r="D1206" s="210"/>
      <c r="E1206" s="204"/>
      <c r="F1206" s="205"/>
      <c r="G1206" s="205"/>
    </row>
    <row r="1207" ht="15.75" customHeight="1">
      <c r="A1207" s="224"/>
      <c r="B1207" s="186"/>
      <c r="C1207" s="210"/>
      <c r="D1207" s="210"/>
      <c r="E1207" s="204"/>
      <c r="F1207" s="205"/>
      <c r="G1207" s="205"/>
    </row>
    <row r="1208" ht="15.75" customHeight="1">
      <c r="A1208" s="224"/>
      <c r="B1208" s="186"/>
      <c r="C1208" s="210"/>
      <c r="D1208" s="210"/>
      <c r="E1208" s="204"/>
      <c r="F1208" s="205"/>
      <c r="G1208" s="205"/>
    </row>
    <row r="1209" ht="15.75" customHeight="1">
      <c r="A1209" s="224"/>
      <c r="B1209" s="186"/>
      <c r="C1209" s="210"/>
      <c r="D1209" s="210"/>
      <c r="E1209" s="204"/>
      <c r="F1209" s="205"/>
      <c r="G1209" s="205"/>
    </row>
    <row r="1210" ht="15.75" customHeight="1">
      <c r="A1210" s="224"/>
      <c r="B1210" s="186"/>
      <c r="C1210" s="210"/>
      <c r="D1210" s="210"/>
      <c r="E1210" s="204"/>
      <c r="F1210" s="205"/>
      <c r="G1210" s="205"/>
    </row>
    <row r="1211" ht="15.75" customHeight="1">
      <c r="A1211" s="224"/>
      <c r="B1211" s="186"/>
      <c r="C1211" s="210"/>
      <c r="D1211" s="210"/>
      <c r="E1211" s="204"/>
      <c r="F1211" s="205"/>
      <c r="G1211" s="205"/>
    </row>
    <row r="1212" ht="15.75" customHeight="1">
      <c r="A1212" s="224"/>
      <c r="B1212" s="186"/>
      <c r="C1212" s="210"/>
      <c r="D1212" s="210"/>
      <c r="E1212" s="204"/>
      <c r="F1212" s="205"/>
      <c r="G1212" s="205"/>
    </row>
    <row r="1213" ht="15.75" customHeight="1">
      <c r="A1213" s="224"/>
      <c r="B1213" s="186"/>
      <c r="C1213" s="210"/>
      <c r="D1213" s="210"/>
      <c r="E1213" s="204"/>
      <c r="F1213" s="205"/>
      <c r="G1213" s="205"/>
    </row>
    <row r="1214" ht="15.75" customHeight="1">
      <c r="A1214" s="224"/>
      <c r="B1214" s="186"/>
      <c r="C1214" s="210"/>
      <c r="D1214" s="210"/>
      <c r="E1214" s="204"/>
      <c r="F1214" s="205"/>
      <c r="G1214" s="205"/>
    </row>
    <row r="1215" ht="15.75" customHeight="1">
      <c r="A1215" s="224"/>
      <c r="B1215" s="186"/>
      <c r="C1215" s="210"/>
      <c r="D1215" s="210"/>
      <c r="E1215" s="204"/>
      <c r="F1215" s="205"/>
      <c r="G1215" s="205"/>
    </row>
    <row r="1216" ht="15.75" customHeight="1">
      <c r="A1216" s="224"/>
      <c r="B1216" s="186"/>
      <c r="C1216" s="210"/>
      <c r="D1216" s="210"/>
      <c r="E1216" s="204"/>
      <c r="F1216" s="205"/>
      <c r="G1216" s="205"/>
    </row>
    <row r="1217" ht="15.75" customHeight="1">
      <c r="A1217" s="224"/>
      <c r="B1217" s="186"/>
      <c r="C1217" s="210"/>
      <c r="D1217" s="210"/>
      <c r="E1217" s="204"/>
      <c r="F1217" s="205"/>
      <c r="G1217" s="205"/>
    </row>
    <row r="1218" ht="15.75" customHeight="1">
      <c r="A1218" s="224"/>
      <c r="B1218" s="186"/>
      <c r="C1218" s="210"/>
      <c r="D1218" s="210"/>
      <c r="E1218" s="204"/>
      <c r="F1218" s="205"/>
      <c r="G1218" s="205"/>
    </row>
    <row r="1219" ht="15.75" customHeight="1">
      <c r="A1219" s="224"/>
      <c r="B1219" s="186"/>
      <c r="C1219" s="210"/>
      <c r="D1219" s="210"/>
      <c r="E1219" s="204"/>
      <c r="F1219" s="205"/>
      <c r="G1219" s="205"/>
    </row>
    <row r="1220" ht="15.75" customHeight="1">
      <c r="A1220" s="224"/>
      <c r="B1220" s="186"/>
      <c r="C1220" s="210"/>
      <c r="D1220" s="210"/>
      <c r="E1220" s="204"/>
      <c r="F1220" s="205"/>
      <c r="G1220" s="205"/>
    </row>
    <row r="1221" ht="15.75" customHeight="1">
      <c r="A1221" s="224"/>
      <c r="B1221" s="186"/>
      <c r="C1221" s="210"/>
      <c r="D1221" s="210"/>
      <c r="E1221" s="204"/>
      <c r="F1221" s="205"/>
      <c r="G1221" s="205"/>
    </row>
    <row r="1222" ht="15.75" customHeight="1">
      <c r="A1222" s="224"/>
      <c r="B1222" s="186"/>
      <c r="C1222" s="210"/>
      <c r="D1222" s="210"/>
      <c r="E1222" s="204"/>
      <c r="F1222" s="205"/>
      <c r="G1222" s="205"/>
    </row>
    <row r="1223" ht="15.75" customHeight="1">
      <c r="A1223" s="224"/>
      <c r="B1223" s="186"/>
      <c r="C1223" s="210"/>
      <c r="D1223" s="210"/>
      <c r="E1223" s="204"/>
      <c r="F1223" s="205"/>
      <c r="G1223" s="205"/>
    </row>
    <row r="1224" ht="15.75" customHeight="1">
      <c r="A1224" s="224"/>
      <c r="B1224" s="186"/>
      <c r="C1224" s="210"/>
      <c r="D1224" s="210"/>
      <c r="E1224" s="204"/>
      <c r="F1224" s="205"/>
      <c r="G1224" s="205"/>
    </row>
    <row r="1225" ht="15.75" customHeight="1">
      <c r="A1225" s="224"/>
      <c r="B1225" s="186"/>
      <c r="C1225" s="210"/>
      <c r="D1225" s="210"/>
      <c r="E1225" s="204"/>
      <c r="F1225" s="205"/>
      <c r="G1225" s="205"/>
    </row>
    <row r="1226" ht="15.75" customHeight="1">
      <c r="A1226" s="224"/>
      <c r="B1226" s="186"/>
      <c r="C1226" s="210"/>
      <c r="D1226" s="210"/>
      <c r="E1226" s="204"/>
      <c r="F1226" s="205"/>
      <c r="G1226" s="205"/>
    </row>
    <row r="1227" ht="15.75" customHeight="1">
      <c r="A1227" s="224"/>
      <c r="B1227" s="186"/>
      <c r="C1227" s="210"/>
      <c r="D1227" s="210"/>
      <c r="E1227" s="204"/>
      <c r="F1227" s="205"/>
      <c r="G1227" s="205"/>
    </row>
    <row r="1228" ht="15.75" customHeight="1">
      <c r="A1228" s="224"/>
      <c r="B1228" s="186"/>
      <c r="C1228" s="210"/>
      <c r="D1228" s="210"/>
      <c r="E1228" s="204"/>
      <c r="F1228" s="205"/>
      <c r="G1228" s="205"/>
    </row>
    <row r="1229" ht="15.75" customHeight="1">
      <c r="A1229" s="224"/>
      <c r="B1229" s="186"/>
      <c r="C1229" s="210"/>
      <c r="D1229" s="210"/>
      <c r="E1229" s="204"/>
      <c r="F1229" s="205"/>
      <c r="G1229" s="205"/>
    </row>
    <row r="1230" ht="15.75" customHeight="1">
      <c r="A1230" s="224"/>
      <c r="B1230" s="186"/>
      <c r="C1230" s="210"/>
      <c r="D1230" s="210"/>
      <c r="E1230" s="204"/>
      <c r="F1230" s="205"/>
      <c r="G1230" s="205"/>
    </row>
    <row r="1231" ht="15.75" customHeight="1">
      <c r="A1231" s="224"/>
      <c r="B1231" s="186"/>
      <c r="C1231" s="210"/>
      <c r="D1231" s="210"/>
      <c r="E1231" s="204"/>
      <c r="F1231" s="205"/>
      <c r="G1231" s="205"/>
    </row>
    <row r="1232" ht="15.75" customHeight="1">
      <c r="A1232" s="224"/>
      <c r="B1232" s="186"/>
      <c r="C1232" s="210"/>
      <c r="D1232" s="210"/>
      <c r="E1232" s="204"/>
      <c r="F1232" s="205"/>
      <c r="G1232" s="205"/>
    </row>
    <row r="1233" ht="15.75" customHeight="1">
      <c r="A1233" s="224"/>
      <c r="B1233" s="186"/>
      <c r="C1233" s="210"/>
      <c r="D1233" s="210"/>
      <c r="E1233" s="204"/>
      <c r="F1233" s="205"/>
      <c r="G1233" s="205"/>
    </row>
    <row r="1234" ht="15.75" customHeight="1">
      <c r="A1234" s="224"/>
      <c r="B1234" s="186"/>
      <c r="C1234" s="210"/>
      <c r="D1234" s="210"/>
      <c r="E1234" s="204"/>
      <c r="F1234" s="205"/>
      <c r="G1234" s="205"/>
    </row>
    <row r="1235" ht="15.75" customHeight="1">
      <c r="A1235" s="224"/>
      <c r="B1235" s="186"/>
      <c r="C1235" s="210"/>
      <c r="D1235" s="210"/>
      <c r="E1235" s="204"/>
      <c r="F1235" s="205"/>
      <c r="G1235" s="205"/>
    </row>
    <row r="1236" ht="15.75" customHeight="1">
      <c r="A1236" s="224"/>
      <c r="B1236" s="186"/>
      <c r="C1236" s="210"/>
      <c r="D1236" s="210"/>
      <c r="E1236" s="204"/>
      <c r="F1236" s="205"/>
      <c r="G1236" s="205"/>
    </row>
    <row r="1237" ht="15.75" customHeight="1">
      <c r="A1237" s="224"/>
      <c r="B1237" s="186"/>
      <c r="C1237" s="210"/>
      <c r="D1237" s="210"/>
      <c r="E1237" s="204"/>
      <c r="F1237" s="205"/>
      <c r="G1237" s="205"/>
    </row>
    <row r="1238" ht="15.75" customHeight="1">
      <c r="A1238" s="224"/>
      <c r="B1238" s="186"/>
      <c r="C1238" s="210"/>
      <c r="D1238" s="210"/>
      <c r="E1238" s="204"/>
      <c r="F1238" s="205"/>
      <c r="G1238" s="205"/>
    </row>
    <row r="1239" ht="15.75" customHeight="1">
      <c r="A1239" s="224"/>
      <c r="B1239" s="186"/>
      <c r="C1239" s="210"/>
      <c r="D1239" s="210"/>
      <c r="E1239" s="204"/>
      <c r="F1239" s="205"/>
      <c r="G1239" s="205"/>
    </row>
    <row r="1240" ht="15.75" customHeight="1">
      <c r="A1240" s="224"/>
      <c r="B1240" s="186"/>
      <c r="C1240" s="210"/>
      <c r="D1240" s="210"/>
      <c r="E1240" s="204"/>
      <c r="F1240" s="205"/>
      <c r="G1240" s="205"/>
    </row>
    <row r="1241" ht="15.75" customHeight="1">
      <c r="A1241" s="224"/>
      <c r="B1241" s="186"/>
      <c r="C1241" s="210"/>
      <c r="D1241" s="210"/>
      <c r="E1241" s="204"/>
      <c r="F1241" s="205"/>
      <c r="G1241" s="205"/>
    </row>
    <row r="1242" ht="15.75" customHeight="1">
      <c r="A1242" s="224"/>
      <c r="B1242" s="186"/>
      <c r="C1242" s="210"/>
      <c r="D1242" s="210"/>
      <c r="E1242" s="204"/>
      <c r="F1242" s="205"/>
      <c r="G1242" s="205"/>
    </row>
    <row r="1243" ht="15.75" customHeight="1">
      <c r="A1243" s="224"/>
      <c r="B1243" s="186"/>
      <c r="C1243" s="210"/>
      <c r="D1243" s="210"/>
      <c r="E1243" s="204"/>
      <c r="F1243" s="205"/>
      <c r="G1243" s="205"/>
    </row>
    <row r="1244" ht="15.75" customHeight="1">
      <c r="A1244" s="224"/>
      <c r="B1244" s="186"/>
      <c r="C1244" s="210"/>
      <c r="D1244" s="210"/>
      <c r="E1244" s="204"/>
      <c r="F1244" s="205"/>
      <c r="G1244" s="205"/>
    </row>
    <row r="1245" ht="15.75" customHeight="1">
      <c r="A1245" s="224"/>
      <c r="B1245" s="186"/>
      <c r="C1245" s="210"/>
      <c r="D1245" s="210"/>
      <c r="E1245" s="204"/>
      <c r="F1245" s="205"/>
      <c r="G1245" s="205"/>
    </row>
    <row r="1246" ht="15.75" customHeight="1">
      <c r="A1246" s="224"/>
      <c r="B1246" s="186"/>
      <c r="C1246" s="210"/>
      <c r="D1246" s="210"/>
      <c r="E1246" s="204"/>
      <c r="F1246" s="205"/>
      <c r="G1246" s="205"/>
    </row>
    <row r="1247" ht="15.75" customHeight="1">
      <c r="A1247" s="224"/>
      <c r="B1247" s="186"/>
      <c r="C1247" s="210"/>
      <c r="D1247" s="210"/>
      <c r="E1247" s="204"/>
      <c r="F1247" s="205"/>
      <c r="G1247" s="205"/>
    </row>
    <row r="1248" ht="15.75" customHeight="1">
      <c r="A1248" s="224"/>
      <c r="B1248" s="186"/>
      <c r="C1248" s="210"/>
      <c r="D1248" s="210"/>
      <c r="E1248" s="204"/>
      <c r="F1248" s="205"/>
      <c r="G1248" s="205"/>
    </row>
    <row r="1249" ht="15.75" customHeight="1">
      <c r="A1249" s="224"/>
      <c r="B1249" s="186"/>
      <c r="C1249" s="210"/>
      <c r="D1249" s="210"/>
      <c r="E1249" s="204"/>
      <c r="F1249" s="205"/>
      <c r="G1249" s="205"/>
    </row>
    <row r="1250" ht="15.75" customHeight="1">
      <c r="A1250" s="224"/>
      <c r="B1250" s="186"/>
      <c r="C1250" s="210"/>
      <c r="D1250" s="210"/>
      <c r="E1250" s="204"/>
      <c r="F1250" s="205"/>
      <c r="G1250" s="205"/>
    </row>
    <row r="1251" ht="15.75" customHeight="1">
      <c r="A1251" s="224"/>
      <c r="B1251" s="186"/>
      <c r="C1251" s="210"/>
      <c r="D1251" s="210"/>
      <c r="E1251" s="204"/>
      <c r="F1251" s="205"/>
      <c r="G1251" s="205"/>
    </row>
    <row r="1252" ht="15.75" customHeight="1">
      <c r="A1252" s="224"/>
      <c r="B1252" s="186"/>
      <c r="C1252" s="210"/>
      <c r="D1252" s="210"/>
      <c r="E1252" s="204"/>
      <c r="F1252" s="205"/>
      <c r="G1252" s="205"/>
    </row>
    <row r="1253" ht="15.75" customHeight="1">
      <c r="A1253" s="224"/>
      <c r="B1253" s="186"/>
      <c r="C1253" s="210"/>
      <c r="D1253" s="210"/>
      <c r="E1253" s="204"/>
      <c r="F1253" s="205"/>
      <c r="G1253" s="205"/>
    </row>
    <row r="1254" ht="15.75" customHeight="1">
      <c r="A1254" s="224"/>
      <c r="B1254" s="186"/>
      <c r="C1254" s="210"/>
      <c r="D1254" s="210"/>
      <c r="E1254" s="204"/>
      <c r="F1254" s="205"/>
      <c r="G1254" s="205"/>
    </row>
    <row r="1255" ht="15.75" customHeight="1">
      <c r="A1255" s="224"/>
      <c r="B1255" s="186"/>
      <c r="C1255" s="210"/>
      <c r="D1255" s="210"/>
      <c r="E1255" s="204"/>
      <c r="F1255" s="205"/>
      <c r="G1255" s="205"/>
    </row>
    <row r="1256" ht="15.75" customHeight="1">
      <c r="A1256" s="224"/>
      <c r="B1256" s="186"/>
      <c r="C1256" s="210"/>
      <c r="D1256" s="210"/>
      <c r="E1256" s="204"/>
      <c r="F1256" s="205"/>
      <c r="G1256" s="205"/>
    </row>
    <row r="1257" ht="15.75" customHeight="1">
      <c r="A1257" s="224"/>
      <c r="B1257" s="186"/>
      <c r="C1257" s="210"/>
      <c r="D1257" s="210"/>
      <c r="E1257" s="204"/>
      <c r="F1257" s="205"/>
      <c r="G1257" s="205"/>
    </row>
    <row r="1258" ht="15.75" customHeight="1">
      <c r="A1258" s="224"/>
      <c r="B1258" s="186"/>
      <c r="C1258" s="210"/>
      <c r="D1258" s="210"/>
      <c r="E1258" s="204"/>
      <c r="F1258" s="205"/>
      <c r="G1258" s="205"/>
    </row>
    <row r="1259" ht="15.75" customHeight="1">
      <c r="A1259" s="224"/>
      <c r="B1259" s="186"/>
      <c r="C1259" s="210"/>
      <c r="D1259" s="210"/>
      <c r="E1259" s="204"/>
      <c r="F1259" s="205"/>
      <c r="G1259" s="205"/>
    </row>
    <row r="1260" ht="15.75" customHeight="1">
      <c r="A1260" s="224"/>
      <c r="B1260" s="186"/>
      <c r="C1260" s="210"/>
      <c r="D1260" s="210"/>
      <c r="E1260" s="204"/>
      <c r="F1260" s="205"/>
      <c r="G1260" s="205"/>
    </row>
    <row r="1261" ht="15.75" customHeight="1">
      <c r="A1261" s="224"/>
      <c r="B1261" s="186"/>
      <c r="C1261" s="210"/>
      <c r="D1261" s="210"/>
      <c r="E1261" s="204"/>
      <c r="F1261" s="205"/>
      <c r="G1261" s="205"/>
    </row>
    <row r="1262" ht="15.75" customHeight="1">
      <c r="A1262" s="224"/>
      <c r="B1262" s="186"/>
      <c r="C1262" s="210"/>
      <c r="D1262" s="210"/>
      <c r="E1262" s="204"/>
      <c r="F1262" s="205"/>
      <c r="G1262" s="205"/>
    </row>
    <row r="1263" ht="15.75" customHeight="1">
      <c r="A1263" s="224"/>
      <c r="B1263" s="186"/>
      <c r="C1263" s="210"/>
      <c r="D1263" s="210"/>
      <c r="E1263" s="204"/>
      <c r="F1263" s="205"/>
      <c r="G1263" s="205"/>
    </row>
    <row r="1264" ht="15.75" customHeight="1">
      <c r="A1264" s="224"/>
      <c r="B1264" s="186"/>
      <c r="C1264" s="210"/>
      <c r="D1264" s="210"/>
      <c r="E1264" s="204"/>
      <c r="F1264" s="205"/>
      <c r="G1264" s="205"/>
    </row>
    <row r="1265" ht="15.75" customHeight="1">
      <c r="A1265" s="224"/>
      <c r="B1265" s="186"/>
      <c r="C1265" s="210"/>
      <c r="D1265" s="210"/>
      <c r="E1265" s="204"/>
      <c r="F1265" s="205"/>
      <c r="G1265" s="205"/>
    </row>
    <row r="1266" ht="15.75" customHeight="1">
      <c r="A1266" s="224"/>
      <c r="B1266" s="186"/>
      <c r="C1266" s="210"/>
      <c r="D1266" s="210"/>
      <c r="E1266" s="204"/>
      <c r="F1266" s="205"/>
      <c r="G1266" s="205"/>
    </row>
    <row r="1267" ht="15.75" customHeight="1">
      <c r="A1267" s="224"/>
      <c r="B1267" s="186"/>
      <c r="C1267" s="210"/>
      <c r="D1267" s="210"/>
      <c r="E1267" s="204"/>
      <c r="F1267" s="205"/>
      <c r="G1267" s="205"/>
    </row>
    <row r="1268" ht="15.75" customHeight="1">
      <c r="A1268" s="224"/>
      <c r="B1268" s="186"/>
      <c r="C1268" s="210"/>
      <c r="D1268" s="210"/>
      <c r="E1268" s="204"/>
      <c r="F1268" s="205"/>
      <c r="G1268" s="205"/>
    </row>
    <row r="1269" ht="15.75" customHeight="1">
      <c r="A1269" s="224"/>
      <c r="B1269" s="186"/>
      <c r="C1269" s="210"/>
      <c r="D1269" s="210"/>
      <c r="E1269" s="204"/>
      <c r="F1269" s="205"/>
      <c r="G1269" s="205"/>
    </row>
    <row r="1270" ht="15.75" customHeight="1">
      <c r="A1270" s="224"/>
      <c r="B1270" s="186"/>
      <c r="C1270" s="210"/>
      <c r="D1270" s="210"/>
      <c r="E1270" s="204"/>
      <c r="F1270" s="205"/>
      <c r="G1270" s="205"/>
    </row>
    <row r="1271" ht="15.75" customHeight="1">
      <c r="A1271" s="224"/>
      <c r="B1271" s="186"/>
      <c r="C1271" s="210"/>
      <c r="D1271" s="210"/>
      <c r="E1271" s="204"/>
      <c r="F1271" s="205"/>
      <c r="G1271" s="205"/>
    </row>
    <row r="1272" ht="15.75" customHeight="1">
      <c r="A1272" s="224"/>
      <c r="B1272" s="186"/>
      <c r="C1272" s="210"/>
      <c r="D1272" s="210"/>
      <c r="E1272" s="204"/>
      <c r="F1272" s="205"/>
      <c r="G1272" s="205"/>
    </row>
    <row r="1273" ht="15.75" customHeight="1">
      <c r="A1273" s="224"/>
      <c r="B1273" s="186"/>
      <c r="C1273" s="210"/>
      <c r="D1273" s="210"/>
      <c r="E1273" s="204"/>
      <c r="F1273" s="205"/>
      <c r="G1273" s="205"/>
    </row>
    <row r="1274" ht="15.75" customHeight="1">
      <c r="A1274" s="224"/>
      <c r="B1274" s="186"/>
      <c r="C1274" s="210"/>
      <c r="D1274" s="210"/>
      <c r="E1274" s="204"/>
      <c r="F1274" s="205"/>
      <c r="G1274" s="205"/>
    </row>
    <row r="1275" ht="15.75" customHeight="1">
      <c r="A1275" s="224"/>
      <c r="B1275" s="186"/>
      <c r="C1275" s="210"/>
      <c r="D1275" s="210"/>
      <c r="E1275" s="204"/>
      <c r="F1275" s="205"/>
      <c r="G1275" s="205"/>
    </row>
    <row r="1276" ht="15.75" customHeight="1">
      <c r="A1276" s="224"/>
      <c r="B1276" s="186"/>
      <c r="C1276" s="210"/>
      <c r="D1276" s="210"/>
      <c r="E1276" s="204"/>
      <c r="F1276" s="205"/>
      <c r="G1276" s="205"/>
    </row>
    <row r="1277" ht="15.75" customHeight="1">
      <c r="A1277" s="224"/>
      <c r="B1277" s="186"/>
      <c r="C1277" s="210"/>
      <c r="D1277" s="210"/>
      <c r="E1277" s="204"/>
      <c r="F1277" s="205"/>
      <c r="G1277" s="205"/>
    </row>
    <row r="1278" ht="15.75" customHeight="1">
      <c r="A1278" s="224"/>
      <c r="B1278" s="186"/>
      <c r="C1278" s="210"/>
      <c r="D1278" s="210"/>
      <c r="E1278" s="204"/>
      <c r="F1278" s="205"/>
      <c r="G1278" s="205"/>
    </row>
    <row r="1279" ht="15.75" customHeight="1">
      <c r="A1279" s="224"/>
      <c r="B1279" s="186"/>
      <c r="C1279" s="210"/>
      <c r="D1279" s="210"/>
      <c r="E1279" s="204"/>
      <c r="F1279" s="205"/>
      <c r="G1279" s="205"/>
    </row>
    <row r="1280" ht="15.75" customHeight="1">
      <c r="A1280" s="224"/>
      <c r="B1280" s="186"/>
      <c r="C1280" s="210"/>
      <c r="D1280" s="210"/>
      <c r="E1280" s="204"/>
      <c r="F1280" s="205"/>
      <c r="G1280" s="205"/>
    </row>
    <row r="1281" ht="15.75" customHeight="1">
      <c r="A1281" s="224"/>
      <c r="B1281" s="186"/>
      <c r="C1281" s="210"/>
      <c r="D1281" s="210"/>
      <c r="E1281" s="204"/>
      <c r="F1281" s="205"/>
      <c r="G1281" s="205"/>
    </row>
    <row r="1282" ht="15.75" customHeight="1">
      <c r="A1282" s="224"/>
      <c r="B1282" s="186"/>
      <c r="C1282" s="210"/>
      <c r="D1282" s="210"/>
      <c r="E1282" s="204"/>
      <c r="F1282" s="205"/>
      <c r="G1282" s="205"/>
    </row>
    <row r="1283" ht="15.75" customHeight="1">
      <c r="A1283" s="224"/>
      <c r="B1283" s="186"/>
      <c r="C1283" s="210"/>
      <c r="D1283" s="210"/>
      <c r="E1283" s="204"/>
      <c r="F1283" s="205"/>
      <c r="G1283" s="205"/>
    </row>
    <row r="1284" ht="15.75" customHeight="1">
      <c r="A1284" s="224"/>
      <c r="B1284" s="186"/>
      <c r="C1284" s="210"/>
      <c r="D1284" s="210"/>
      <c r="E1284" s="204"/>
      <c r="F1284" s="205"/>
      <c r="G1284" s="205"/>
    </row>
    <row r="1285" ht="15.75" customHeight="1">
      <c r="A1285" s="224"/>
      <c r="B1285" s="186"/>
      <c r="C1285" s="210"/>
      <c r="D1285" s="210"/>
      <c r="E1285" s="204"/>
      <c r="F1285" s="205"/>
      <c r="G1285" s="205"/>
    </row>
    <row r="1286" ht="15.75" customHeight="1">
      <c r="A1286" s="224"/>
      <c r="B1286" s="186"/>
      <c r="C1286" s="210"/>
      <c r="D1286" s="210"/>
      <c r="E1286" s="204"/>
      <c r="F1286" s="205"/>
      <c r="G1286" s="205"/>
    </row>
    <row r="1287" ht="15.75" customHeight="1">
      <c r="A1287" s="224"/>
      <c r="B1287" s="186"/>
      <c r="C1287" s="210"/>
      <c r="D1287" s="210"/>
      <c r="E1287" s="204"/>
      <c r="F1287" s="205"/>
      <c r="G1287" s="205"/>
    </row>
    <row r="1288" ht="15.75" customHeight="1">
      <c r="A1288" s="224"/>
      <c r="B1288" s="186"/>
      <c r="C1288" s="210"/>
      <c r="D1288" s="210"/>
      <c r="E1288" s="204"/>
      <c r="F1288" s="205"/>
      <c r="G1288" s="205"/>
    </row>
    <row r="1289" ht="15.75" customHeight="1">
      <c r="A1289" s="224"/>
      <c r="B1289" s="186"/>
      <c r="C1289" s="210"/>
      <c r="D1289" s="210"/>
      <c r="E1289" s="204"/>
      <c r="F1289" s="205"/>
      <c r="G1289" s="205"/>
    </row>
    <row r="1290" ht="15.75" customHeight="1">
      <c r="A1290" s="224"/>
      <c r="B1290" s="186"/>
      <c r="C1290" s="210"/>
      <c r="D1290" s="210"/>
      <c r="E1290" s="204"/>
      <c r="F1290" s="205"/>
      <c r="G1290" s="205"/>
    </row>
    <row r="1291" ht="15.75" customHeight="1">
      <c r="A1291" s="224"/>
      <c r="B1291" s="186"/>
      <c r="C1291" s="210"/>
      <c r="D1291" s="210"/>
      <c r="E1291" s="204"/>
      <c r="F1291" s="205"/>
      <c r="G1291" s="205"/>
    </row>
    <row r="1292" ht="15.75" customHeight="1">
      <c r="A1292" s="224"/>
      <c r="B1292" s="186"/>
      <c r="C1292" s="210"/>
      <c r="D1292" s="210"/>
      <c r="E1292" s="204"/>
      <c r="F1292" s="205"/>
      <c r="G1292" s="205"/>
    </row>
    <row r="1293" ht="15.75" customHeight="1">
      <c r="A1293" s="224"/>
      <c r="B1293" s="186"/>
      <c r="C1293" s="210"/>
      <c r="D1293" s="210"/>
      <c r="E1293" s="204"/>
      <c r="F1293" s="205"/>
      <c r="G1293" s="205"/>
    </row>
    <row r="1294" ht="15.75" customHeight="1">
      <c r="A1294" s="224"/>
      <c r="B1294" s="186"/>
      <c r="C1294" s="210"/>
      <c r="D1294" s="210"/>
      <c r="E1294" s="204"/>
      <c r="F1294" s="205"/>
      <c r="G1294" s="205"/>
    </row>
    <row r="1295" ht="15.75" customHeight="1">
      <c r="A1295" s="224"/>
      <c r="B1295" s="186"/>
      <c r="C1295" s="210"/>
      <c r="D1295" s="210"/>
      <c r="E1295" s="204"/>
      <c r="F1295" s="205"/>
      <c r="G1295" s="205"/>
    </row>
    <row r="1296" ht="15.75" customHeight="1">
      <c r="A1296" s="224"/>
      <c r="B1296" s="186"/>
      <c r="C1296" s="210"/>
      <c r="D1296" s="210"/>
      <c r="E1296" s="204"/>
      <c r="F1296" s="205"/>
      <c r="G1296" s="205"/>
    </row>
    <row r="1297" ht="15.75" customHeight="1">
      <c r="A1297" s="224"/>
      <c r="B1297" s="186"/>
      <c r="C1297" s="210"/>
      <c r="D1297" s="210"/>
      <c r="E1297" s="204"/>
      <c r="F1297" s="205"/>
      <c r="G1297" s="205"/>
    </row>
    <row r="1298" ht="15.75" customHeight="1">
      <c r="A1298" s="224"/>
      <c r="B1298" s="186"/>
      <c r="C1298" s="210"/>
      <c r="D1298" s="210"/>
      <c r="E1298" s="204"/>
      <c r="F1298" s="205"/>
      <c r="G1298" s="205"/>
    </row>
    <row r="1299" ht="15.75" customHeight="1">
      <c r="A1299" s="224"/>
      <c r="B1299" s="186"/>
      <c r="C1299" s="210"/>
      <c r="D1299" s="210"/>
      <c r="E1299" s="204"/>
      <c r="F1299" s="205"/>
      <c r="G1299" s="205"/>
    </row>
    <row r="1300" ht="15.75" customHeight="1">
      <c r="A1300" s="224"/>
      <c r="B1300" s="186"/>
      <c r="C1300" s="210"/>
      <c r="D1300" s="210"/>
      <c r="E1300" s="204"/>
      <c r="F1300" s="205"/>
      <c r="G1300" s="205"/>
    </row>
    <row r="1301" ht="15.75" customHeight="1">
      <c r="A1301" s="224"/>
      <c r="B1301" s="186"/>
      <c r="C1301" s="210"/>
      <c r="D1301" s="210"/>
      <c r="E1301" s="204"/>
      <c r="F1301" s="205"/>
      <c r="G1301" s="205"/>
    </row>
    <row r="1302" ht="15.75" customHeight="1">
      <c r="A1302" s="224"/>
      <c r="B1302" s="186"/>
      <c r="C1302" s="210"/>
      <c r="D1302" s="210"/>
      <c r="E1302" s="204"/>
      <c r="F1302" s="205"/>
      <c r="G1302" s="205"/>
    </row>
    <row r="1303" ht="15.75" customHeight="1">
      <c r="A1303" s="224"/>
      <c r="B1303" s="186"/>
      <c r="C1303" s="210"/>
      <c r="D1303" s="210"/>
      <c r="E1303" s="204"/>
      <c r="F1303" s="205"/>
      <c r="G1303" s="205"/>
    </row>
    <row r="1304" ht="15.75" customHeight="1">
      <c r="A1304" s="224"/>
      <c r="B1304" s="186"/>
      <c r="C1304" s="210"/>
      <c r="D1304" s="210"/>
      <c r="E1304" s="204"/>
      <c r="F1304" s="205"/>
      <c r="G1304" s="205"/>
    </row>
    <row r="1305" ht="15.75" customHeight="1">
      <c r="A1305" s="224"/>
      <c r="B1305" s="186"/>
      <c r="C1305" s="210"/>
      <c r="D1305" s="210"/>
      <c r="E1305" s="204"/>
      <c r="F1305" s="205"/>
      <c r="G1305" s="205"/>
    </row>
    <row r="1306" ht="15.75" customHeight="1">
      <c r="A1306" s="224"/>
      <c r="B1306" s="186"/>
      <c r="C1306" s="210"/>
      <c r="D1306" s="210"/>
      <c r="E1306" s="204"/>
      <c r="F1306" s="205"/>
      <c r="G1306" s="205"/>
    </row>
    <row r="1307" ht="15.75" customHeight="1">
      <c r="A1307" s="224"/>
      <c r="B1307" s="186"/>
      <c r="C1307" s="210"/>
      <c r="D1307" s="210"/>
      <c r="E1307" s="204"/>
      <c r="F1307" s="205"/>
      <c r="G1307" s="205"/>
    </row>
    <row r="1308" ht="15.75" customHeight="1">
      <c r="A1308" s="224"/>
      <c r="B1308" s="186"/>
      <c r="C1308" s="210"/>
      <c r="D1308" s="210"/>
      <c r="E1308" s="204"/>
      <c r="F1308" s="205"/>
      <c r="G1308" s="205"/>
    </row>
    <row r="1309" ht="15.75" customHeight="1">
      <c r="A1309" s="224"/>
      <c r="B1309" s="186"/>
      <c r="C1309" s="210"/>
      <c r="D1309" s="210"/>
      <c r="E1309" s="204"/>
      <c r="F1309" s="205"/>
      <c r="G1309" s="205"/>
    </row>
    <row r="1310" ht="15.75" customHeight="1">
      <c r="A1310" s="224"/>
      <c r="B1310" s="186"/>
      <c r="C1310" s="210"/>
      <c r="D1310" s="210"/>
      <c r="E1310" s="204"/>
      <c r="F1310" s="205"/>
      <c r="G1310" s="205"/>
    </row>
    <row r="1311" ht="15.75" customHeight="1">
      <c r="A1311" s="224"/>
      <c r="B1311" s="186"/>
      <c r="C1311" s="210"/>
      <c r="D1311" s="210"/>
      <c r="E1311" s="204"/>
      <c r="F1311" s="205"/>
      <c r="G1311" s="205"/>
    </row>
    <row r="1312" ht="15.75" customHeight="1">
      <c r="A1312" s="224"/>
      <c r="B1312" s="186"/>
      <c r="C1312" s="210"/>
      <c r="D1312" s="210"/>
      <c r="E1312" s="204"/>
      <c r="F1312" s="205"/>
      <c r="G1312" s="205"/>
    </row>
    <row r="1313" ht="15.75" customHeight="1">
      <c r="A1313" s="224"/>
      <c r="B1313" s="186"/>
      <c r="C1313" s="210"/>
      <c r="D1313" s="210"/>
      <c r="E1313" s="204"/>
      <c r="F1313" s="205"/>
      <c r="G1313" s="205"/>
    </row>
    <row r="1314" ht="15.75" customHeight="1">
      <c r="A1314" s="224"/>
      <c r="B1314" s="186"/>
      <c r="C1314" s="210"/>
      <c r="D1314" s="210"/>
      <c r="E1314" s="204"/>
      <c r="F1314" s="205"/>
      <c r="G1314" s="205"/>
    </row>
    <row r="1315" ht="15.75" customHeight="1">
      <c r="A1315" s="224"/>
      <c r="B1315" s="186"/>
      <c r="C1315" s="210"/>
      <c r="D1315" s="210"/>
      <c r="E1315" s="204"/>
      <c r="F1315" s="205"/>
      <c r="G1315" s="205"/>
    </row>
    <row r="1316" ht="15.75" customHeight="1">
      <c r="A1316" s="224"/>
      <c r="B1316" s="186"/>
      <c r="C1316" s="210"/>
      <c r="D1316" s="210"/>
      <c r="E1316" s="204"/>
      <c r="F1316" s="205"/>
      <c r="G1316" s="205"/>
    </row>
    <row r="1317" ht="15.75" customHeight="1">
      <c r="A1317" s="224"/>
      <c r="B1317" s="186"/>
      <c r="C1317" s="210"/>
      <c r="D1317" s="210"/>
      <c r="E1317" s="204"/>
      <c r="F1317" s="205"/>
      <c r="G1317" s="205"/>
    </row>
    <row r="1318" ht="15.75" customHeight="1">
      <c r="A1318" s="224"/>
      <c r="B1318" s="186"/>
      <c r="C1318" s="210"/>
      <c r="D1318" s="210"/>
      <c r="E1318" s="204"/>
      <c r="F1318" s="205"/>
      <c r="G1318" s="205"/>
    </row>
    <row r="1319" ht="15.75" customHeight="1">
      <c r="A1319" s="224"/>
      <c r="B1319" s="186"/>
      <c r="C1319" s="210"/>
      <c r="D1319" s="210"/>
      <c r="E1319" s="204"/>
      <c r="F1319" s="205"/>
      <c r="G1319" s="205"/>
    </row>
    <row r="1320" ht="15.75" customHeight="1">
      <c r="A1320" s="224"/>
      <c r="B1320" s="186"/>
      <c r="C1320" s="210"/>
      <c r="D1320" s="210"/>
      <c r="E1320" s="204"/>
      <c r="F1320" s="205"/>
      <c r="G1320" s="205"/>
    </row>
    <row r="1321" ht="15.75" customHeight="1">
      <c r="A1321" s="224"/>
      <c r="B1321" s="186"/>
      <c r="C1321" s="210"/>
      <c r="D1321" s="210"/>
      <c r="E1321" s="204"/>
      <c r="F1321" s="205"/>
      <c r="G1321" s="205"/>
    </row>
    <row r="1322" ht="15.75" customHeight="1">
      <c r="A1322" s="224"/>
      <c r="B1322" s="186"/>
      <c r="C1322" s="210"/>
      <c r="D1322" s="210"/>
      <c r="E1322" s="204"/>
      <c r="F1322" s="205"/>
      <c r="G1322" s="205"/>
    </row>
    <row r="1323" ht="15.75" customHeight="1">
      <c r="A1323" s="224"/>
      <c r="B1323" s="186"/>
      <c r="C1323" s="210"/>
      <c r="D1323" s="210"/>
      <c r="E1323" s="204"/>
      <c r="F1323" s="205"/>
      <c r="G1323" s="205"/>
    </row>
    <row r="1324" ht="15.75" customHeight="1">
      <c r="A1324" s="224"/>
      <c r="B1324" s="186"/>
      <c r="C1324" s="210"/>
      <c r="D1324" s="210"/>
      <c r="E1324" s="204"/>
      <c r="F1324" s="205"/>
      <c r="G1324" s="205"/>
    </row>
    <row r="1325" ht="15.75" customHeight="1">
      <c r="A1325" s="224"/>
      <c r="B1325" s="186"/>
      <c r="C1325" s="210"/>
      <c r="D1325" s="210"/>
      <c r="E1325" s="204"/>
      <c r="F1325" s="205"/>
      <c r="G1325" s="205"/>
    </row>
    <row r="1326" ht="15.75" customHeight="1">
      <c r="A1326" s="224"/>
      <c r="B1326" s="186"/>
      <c r="C1326" s="210"/>
      <c r="D1326" s="210"/>
      <c r="E1326" s="204"/>
      <c r="F1326" s="205"/>
      <c r="G1326" s="205"/>
    </row>
    <row r="1327" ht="15.75" customHeight="1">
      <c r="A1327" s="224"/>
      <c r="B1327" s="186"/>
      <c r="C1327" s="210"/>
      <c r="D1327" s="210"/>
      <c r="E1327" s="204"/>
      <c r="F1327" s="205"/>
      <c r="G1327" s="205"/>
    </row>
    <row r="1328" ht="15.75" customHeight="1">
      <c r="A1328" s="224"/>
      <c r="B1328" s="186"/>
      <c r="C1328" s="210"/>
      <c r="D1328" s="210"/>
      <c r="E1328" s="204"/>
      <c r="F1328" s="205"/>
      <c r="G1328" s="205"/>
    </row>
    <row r="1329" ht="15.75" customHeight="1">
      <c r="A1329" s="224"/>
      <c r="B1329" s="186"/>
      <c r="C1329" s="210"/>
      <c r="D1329" s="210"/>
      <c r="E1329" s="204"/>
      <c r="F1329" s="205"/>
      <c r="G1329" s="205"/>
    </row>
    <row r="1330" ht="15.75" customHeight="1">
      <c r="A1330" s="224"/>
      <c r="B1330" s="186"/>
      <c r="C1330" s="210"/>
      <c r="D1330" s="210"/>
      <c r="E1330" s="204"/>
      <c r="F1330" s="205"/>
      <c r="G1330" s="205"/>
    </row>
    <row r="1331" ht="15.75" customHeight="1">
      <c r="A1331" s="224"/>
      <c r="B1331" s="186"/>
      <c r="C1331" s="210"/>
      <c r="D1331" s="210"/>
      <c r="E1331" s="204"/>
      <c r="F1331" s="205"/>
      <c r="G1331" s="205"/>
    </row>
    <row r="1332" ht="15.75" customHeight="1">
      <c r="A1332" s="224"/>
      <c r="B1332" s="186"/>
      <c r="C1332" s="210"/>
      <c r="D1332" s="210"/>
      <c r="E1332" s="204"/>
      <c r="F1332" s="205"/>
      <c r="G1332" s="205"/>
    </row>
    <row r="1333" ht="15.75" customHeight="1">
      <c r="A1333" s="224"/>
      <c r="B1333" s="186"/>
      <c r="C1333" s="210"/>
      <c r="D1333" s="210"/>
      <c r="E1333" s="204"/>
      <c r="F1333" s="205"/>
      <c r="G1333" s="205"/>
    </row>
    <row r="1334" ht="15.75" customHeight="1">
      <c r="A1334" s="224"/>
      <c r="B1334" s="186"/>
      <c r="C1334" s="210"/>
      <c r="D1334" s="210"/>
      <c r="E1334" s="204"/>
      <c r="F1334" s="205"/>
      <c r="G1334" s="205"/>
    </row>
    <row r="1335" ht="15.75" customHeight="1">
      <c r="A1335" s="224"/>
      <c r="B1335" s="186"/>
      <c r="C1335" s="210"/>
      <c r="D1335" s="210"/>
      <c r="E1335" s="204"/>
      <c r="F1335" s="205"/>
      <c r="G1335" s="205"/>
    </row>
    <row r="1336" ht="15.75" customHeight="1">
      <c r="A1336" s="224"/>
      <c r="B1336" s="186"/>
      <c r="C1336" s="210"/>
      <c r="D1336" s="210"/>
      <c r="E1336" s="204"/>
      <c r="F1336" s="205"/>
      <c r="G1336" s="205"/>
    </row>
    <row r="1337" ht="15.75" customHeight="1">
      <c r="A1337" s="224"/>
      <c r="B1337" s="186"/>
      <c r="C1337" s="210"/>
      <c r="D1337" s="210"/>
      <c r="E1337" s="204"/>
      <c r="F1337" s="205"/>
      <c r="G1337" s="205"/>
    </row>
    <row r="1338" ht="15.75" customHeight="1">
      <c r="A1338" s="224"/>
      <c r="B1338" s="186"/>
      <c r="C1338" s="210"/>
      <c r="D1338" s="210"/>
      <c r="E1338" s="204"/>
      <c r="F1338" s="205"/>
      <c r="G1338" s="205"/>
    </row>
    <row r="1339" ht="15.75" customHeight="1">
      <c r="A1339" s="224"/>
      <c r="B1339" s="186"/>
      <c r="C1339" s="210"/>
      <c r="D1339" s="210"/>
      <c r="E1339" s="204"/>
      <c r="F1339" s="205"/>
      <c r="G1339" s="205"/>
    </row>
    <row r="1340" ht="15.75" customHeight="1">
      <c r="A1340" s="224"/>
      <c r="B1340" s="186"/>
      <c r="C1340" s="210"/>
      <c r="D1340" s="210"/>
      <c r="E1340" s="204"/>
      <c r="F1340" s="205"/>
      <c r="G1340" s="205"/>
    </row>
    <row r="1341" ht="15.75" customHeight="1">
      <c r="A1341" s="224"/>
      <c r="B1341" s="186"/>
      <c r="C1341" s="210"/>
      <c r="D1341" s="210"/>
      <c r="E1341" s="204"/>
      <c r="F1341" s="205"/>
      <c r="G1341" s="205"/>
    </row>
    <row r="1342" ht="15.75" customHeight="1">
      <c r="A1342" s="224"/>
      <c r="B1342" s="186"/>
      <c r="C1342" s="210"/>
      <c r="D1342" s="210"/>
      <c r="E1342" s="204"/>
      <c r="F1342" s="205"/>
      <c r="G1342" s="205"/>
    </row>
    <row r="1343" ht="15.75" customHeight="1">
      <c r="A1343" s="224"/>
      <c r="B1343" s="186"/>
      <c r="C1343" s="210"/>
      <c r="D1343" s="210"/>
      <c r="E1343" s="204"/>
      <c r="F1343" s="205"/>
      <c r="G1343" s="205"/>
    </row>
    <row r="1344" ht="15.75" customHeight="1">
      <c r="A1344" s="224"/>
      <c r="B1344" s="186"/>
      <c r="C1344" s="210"/>
      <c r="D1344" s="210"/>
      <c r="E1344" s="204"/>
      <c r="F1344" s="205"/>
      <c r="G1344" s="205"/>
    </row>
    <row r="1345" ht="15.75" customHeight="1">
      <c r="A1345" s="224"/>
      <c r="B1345" s="186"/>
      <c r="C1345" s="210"/>
      <c r="D1345" s="210"/>
      <c r="E1345" s="204"/>
      <c r="F1345" s="205"/>
      <c r="G1345" s="205"/>
    </row>
    <row r="1346" ht="15.75" customHeight="1">
      <c r="A1346" s="224"/>
      <c r="B1346" s="186"/>
      <c r="C1346" s="210"/>
      <c r="D1346" s="210"/>
      <c r="E1346" s="204"/>
      <c r="F1346" s="205"/>
      <c r="G1346" s="205"/>
    </row>
    <row r="1347" ht="15.75" customHeight="1">
      <c r="A1347" s="224"/>
      <c r="B1347" s="186"/>
      <c r="C1347" s="210"/>
      <c r="D1347" s="210"/>
      <c r="E1347" s="204"/>
      <c r="F1347" s="205"/>
      <c r="G1347" s="205"/>
    </row>
    <row r="1348" ht="15.75" customHeight="1">
      <c r="A1348" s="224"/>
      <c r="B1348" s="186"/>
      <c r="C1348" s="210"/>
      <c r="D1348" s="210"/>
      <c r="E1348" s="204"/>
      <c r="F1348" s="205"/>
      <c r="G1348" s="205"/>
    </row>
    <row r="1349" ht="15.75" customHeight="1">
      <c r="A1349" s="224"/>
      <c r="B1349" s="186"/>
      <c r="C1349" s="210"/>
      <c r="D1349" s="210"/>
      <c r="E1349" s="204"/>
      <c r="F1349" s="205"/>
      <c r="G1349" s="205"/>
    </row>
    <row r="1350" ht="15.75" customHeight="1">
      <c r="A1350" s="224"/>
      <c r="B1350" s="186"/>
      <c r="C1350" s="210"/>
      <c r="D1350" s="210"/>
      <c r="E1350" s="204"/>
      <c r="F1350" s="205"/>
      <c r="G1350" s="205"/>
    </row>
    <row r="1351" ht="15.75" customHeight="1">
      <c r="A1351" s="224"/>
      <c r="B1351" s="186"/>
      <c r="C1351" s="210"/>
      <c r="D1351" s="210"/>
      <c r="E1351" s="204"/>
      <c r="F1351" s="205"/>
      <c r="G1351" s="205"/>
    </row>
    <row r="1352" ht="15.75" customHeight="1">
      <c r="A1352" s="224"/>
      <c r="B1352" s="186"/>
      <c r="C1352" s="210"/>
      <c r="D1352" s="210"/>
      <c r="E1352" s="204"/>
      <c r="F1352" s="205"/>
      <c r="G1352" s="205"/>
    </row>
    <row r="1353" ht="15.75" customHeight="1">
      <c r="A1353" s="224"/>
      <c r="B1353" s="186"/>
      <c r="C1353" s="210"/>
      <c r="D1353" s="210"/>
      <c r="E1353" s="204"/>
      <c r="F1353" s="205"/>
      <c r="G1353" s="205"/>
    </row>
    <row r="1354" ht="15.75" customHeight="1">
      <c r="A1354" s="224"/>
      <c r="B1354" s="186"/>
      <c r="C1354" s="210"/>
      <c r="D1354" s="210"/>
      <c r="E1354" s="204"/>
      <c r="F1354" s="205"/>
      <c r="G1354" s="205"/>
    </row>
    <row r="1355" ht="15.75" customHeight="1">
      <c r="A1355" s="224"/>
      <c r="B1355" s="186"/>
      <c r="C1355" s="210"/>
      <c r="D1355" s="210"/>
      <c r="E1355" s="204"/>
      <c r="F1355" s="205"/>
      <c r="G1355" s="205"/>
    </row>
    <row r="1356" ht="15.75" customHeight="1">
      <c r="A1356" s="224"/>
      <c r="B1356" s="186"/>
      <c r="C1356" s="210"/>
      <c r="D1356" s="210"/>
      <c r="E1356" s="204"/>
      <c r="F1356" s="205"/>
      <c r="G1356" s="205"/>
    </row>
    <row r="1357" ht="15.75" customHeight="1">
      <c r="A1357" s="224"/>
      <c r="B1357" s="186"/>
      <c r="C1357" s="210"/>
      <c r="D1357" s="210"/>
      <c r="E1357" s="204"/>
      <c r="F1357" s="205"/>
      <c r="G1357" s="205"/>
    </row>
    <row r="1358" ht="15.75" customHeight="1">
      <c r="A1358" s="224"/>
      <c r="B1358" s="186"/>
      <c r="C1358" s="210"/>
      <c r="D1358" s="210"/>
      <c r="E1358" s="204"/>
      <c r="F1358" s="205"/>
      <c r="G1358" s="205"/>
    </row>
    <row r="1359" ht="15.75" customHeight="1">
      <c r="A1359" s="224"/>
      <c r="B1359" s="186"/>
      <c r="C1359" s="210"/>
      <c r="D1359" s="210"/>
      <c r="E1359" s="204"/>
      <c r="F1359" s="205"/>
      <c r="G1359" s="205"/>
    </row>
    <row r="1360" ht="15.75" customHeight="1">
      <c r="A1360" s="224"/>
      <c r="B1360" s="186"/>
      <c r="C1360" s="210"/>
      <c r="D1360" s="210"/>
      <c r="E1360" s="204"/>
      <c r="F1360" s="205"/>
      <c r="G1360" s="205"/>
    </row>
    <row r="1361" ht="15.75" customHeight="1">
      <c r="A1361" s="224"/>
      <c r="B1361" s="186"/>
      <c r="C1361" s="210"/>
      <c r="D1361" s="210"/>
      <c r="E1361" s="204"/>
      <c r="F1361" s="205"/>
      <c r="G1361" s="205"/>
    </row>
    <row r="1362" ht="15.75" customHeight="1">
      <c r="A1362" s="224"/>
      <c r="B1362" s="186"/>
      <c r="C1362" s="210"/>
      <c r="D1362" s="210"/>
      <c r="E1362" s="204"/>
      <c r="F1362" s="205"/>
      <c r="G1362" s="205"/>
    </row>
    <row r="1363" ht="15.75" customHeight="1">
      <c r="A1363" s="224"/>
      <c r="B1363" s="186"/>
      <c r="C1363" s="210"/>
      <c r="D1363" s="210"/>
      <c r="E1363" s="204"/>
      <c r="F1363" s="205"/>
      <c r="G1363" s="205"/>
    </row>
    <row r="1364" ht="15.75" customHeight="1">
      <c r="A1364" s="224"/>
      <c r="B1364" s="186"/>
      <c r="C1364" s="210"/>
      <c r="D1364" s="210"/>
      <c r="E1364" s="204"/>
      <c r="F1364" s="205"/>
      <c r="G1364" s="205"/>
    </row>
    <row r="1365" ht="15.75" customHeight="1">
      <c r="A1365" s="224"/>
      <c r="B1365" s="186"/>
      <c r="C1365" s="210"/>
      <c r="D1365" s="210"/>
      <c r="E1365" s="204"/>
      <c r="F1365" s="205"/>
      <c r="G1365" s="205"/>
    </row>
    <row r="1366" ht="15.75" customHeight="1">
      <c r="A1366" s="224"/>
      <c r="B1366" s="186"/>
      <c r="C1366" s="210"/>
      <c r="D1366" s="210"/>
      <c r="E1366" s="204"/>
      <c r="F1366" s="205"/>
      <c r="G1366" s="205"/>
    </row>
    <row r="1367" ht="15.75" customHeight="1">
      <c r="A1367" s="224"/>
      <c r="B1367" s="186"/>
      <c r="C1367" s="210"/>
      <c r="D1367" s="210"/>
      <c r="E1367" s="204"/>
      <c r="F1367" s="205"/>
      <c r="G1367" s="205"/>
    </row>
    <row r="1368" ht="15.75" customHeight="1">
      <c r="A1368" s="224"/>
      <c r="B1368" s="186"/>
      <c r="C1368" s="210"/>
      <c r="D1368" s="210"/>
      <c r="E1368" s="204"/>
      <c r="F1368" s="205"/>
      <c r="G1368" s="205"/>
    </row>
    <row r="1369" ht="15.75" customHeight="1">
      <c r="A1369" s="224"/>
      <c r="B1369" s="186"/>
      <c r="C1369" s="210"/>
      <c r="D1369" s="210"/>
      <c r="E1369" s="204"/>
      <c r="F1369" s="205"/>
      <c r="G1369" s="205"/>
    </row>
    <row r="1370" ht="15.75" customHeight="1">
      <c r="A1370" s="224"/>
      <c r="B1370" s="186"/>
      <c r="C1370" s="210"/>
      <c r="D1370" s="210"/>
      <c r="E1370" s="204"/>
      <c r="F1370" s="205"/>
      <c r="G1370" s="205"/>
    </row>
    <row r="1371" ht="15.75" customHeight="1">
      <c r="A1371" s="224"/>
      <c r="B1371" s="186"/>
      <c r="C1371" s="210"/>
      <c r="D1371" s="210"/>
      <c r="E1371" s="204"/>
      <c r="F1371" s="205"/>
      <c r="G1371" s="205"/>
    </row>
    <row r="1372" ht="15.75" customHeight="1">
      <c r="A1372" s="224"/>
      <c r="B1372" s="186"/>
      <c r="C1372" s="210"/>
      <c r="D1372" s="210"/>
      <c r="E1372" s="204"/>
      <c r="F1372" s="205"/>
      <c r="G1372" s="205"/>
    </row>
    <row r="1373" ht="15.75" customHeight="1">
      <c r="A1373" s="224"/>
      <c r="B1373" s="186"/>
      <c r="C1373" s="210"/>
      <c r="D1373" s="210"/>
      <c r="E1373" s="204"/>
      <c r="F1373" s="205"/>
      <c r="G1373" s="205"/>
    </row>
    <row r="1374" ht="15.75" customHeight="1">
      <c r="A1374" s="224"/>
      <c r="B1374" s="186"/>
      <c r="C1374" s="210"/>
      <c r="D1374" s="210"/>
      <c r="E1374" s="204"/>
      <c r="F1374" s="205"/>
      <c r="G1374" s="205"/>
    </row>
    <row r="1375" ht="15.75" customHeight="1">
      <c r="A1375" s="224"/>
      <c r="B1375" s="186"/>
      <c r="C1375" s="210"/>
      <c r="D1375" s="210"/>
      <c r="E1375" s="204"/>
      <c r="F1375" s="205"/>
      <c r="G1375" s="205"/>
    </row>
    <row r="1376" ht="15.75" customHeight="1">
      <c r="A1376" s="224"/>
      <c r="B1376" s="186"/>
      <c r="C1376" s="210"/>
      <c r="D1376" s="210"/>
      <c r="E1376" s="204"/>
      <c r="F1376" s="205"/>
      <c r="G1376" s="205"/>
    </row>
    <row r="1377" ht="15.75" customHeight="1">
      <c r="A1377" s="224"/>
      <c r="B1377" s="186"/>
      <c r="C1377" s="210"/>
      <c r="D1377" s="210"/>
      <c r="E1377" s="204"/>
      <c r="F1377" s="205"/>
      <c r="G1377" s="205"/>
    </row>
    <row r="1378" ht="15.75" customHeight="1">
      <c r="A1378" s="224"/>
      <c r="B1378" s="186"/>
      <c r="C1378" s="210"/>
      <c r="D1378" s="210"/>
      <c r="E1378" s="204"/>
      <c r="F1378" s="205"/>
      <c r="G1378" s="205"/>
    </row>
    <row r="1379" ht="15.75" customHeight="1">
      <c r="A1379" s="224"/>
      <c r="B1379" s="186"/>
      <c r="C1379" s="210"/>
      <c r="D1379" s="210"/>
      <c r="E1379" s="204"/>
      <c r="F1379" s="205"/>
      <c r="G1379" s="205"/>
    </row>
    <row r="1380" ht="15.75" customHeight="1">
      <c r="A1380" s="224"/>
      <c r="B1380" s="186"/>
      <c r="C1380" s="210"/>
      <c r="D1380" s="210"/>
      <c r="E1380" s="204"/>
      <c r="F1380" s="205"/>
      <c r="G1380" s="205"/>
    </row>
    <row r="1381" ht="15.75" customHeight="1">
      <c r="A1381" s="224"/>
      <c r="B1381" s="186"/>
      <c r="C1381" s="210"/>
      <c r="D1381" s="210"/>
      <c r="E1381" s="204"/>
      <c r="F1381" s="205"/>
      <c r="G1381" s="205"/>
    </row>
    <row r="1382" ht="15.75" customHeight="1">
      <c r="A1382" s="224"/>
      <c r="B1382" s="186"/>
      <c r="C1382" s="210"/>
      <c r="D1382" s="210"/>
      <c r="E1382" s="204"/>
      <c r="F1382" s="205"/>
      <c r="G1382" s="205"/>
    </row>
    <row r="1383" ht="15.75" customHeight="1">
      <c r="A1383" s="224"/>
      <c r="B1383" s="186"/>
      <c r="C1383" s="210"/>
      <c r="D1383" s="210"/>
      <c r="E1383" s="204"/>
      <c r="F1383" s="205"/>
      <c r="G1383" s="205"/>
    </row>
    <row r="1384" ht="15.75" customHeight="1">
      <c r="A1384" s="224"/>
      <c r="B1384" s="186"/>
      <c r="C1384" s="210"/>
      <c r="D1384" s="210"/>
      <c r="E1384" s="204"/>
      <c r="F1384" s="205"/>
      <c r="G1384" s="205"/>
    </row>
    <row r="1385" ht="15.75" customHeight="1">
      <c r="A1385" s="224"/>
      <c r="B1385" s="186"/>
      <c r="C1385" s="210"/>
      <c r="D1385" s="210"/>
      <c r="E1385" s="204"/>
      <c r="F1385" s="205"/>
      <c r="G1385" s="205"/>
    </row>
    <row r="1386" ht="15.75" customHeight="1">
      <c r="A1386" s="224"/>
      <c r="B1386" s="186"/>
      <c r="C1386" s="210"/>
      <c r="D1386" s="210"/>
      <c r="E1386" s="204"/>
      <c r="F1386" s="205"/>
      <c r="G1386" s="205"/>
    </row>
    <row r="1387" ht="15.75" customHeight="1">
      <c r="A1387" s="224"/>
      <c r="B1387" s="186"/>
      <c r="C1387" s="210"/>
      <c r="D1387" s="210"/>
      <c r="E1387" s="204"/>
      <c r="F1387" s="205"/>
      <c r="G1387" s="205"/>
    </row>
    <row r="1388" ht="15.75" customHeight="1">
      <c r="A1388" s="224"/>
      <c r="B1388" s="186"/>
      <c r="C1388" s="210"/>
      <c r="D1388" s="210"/>
      <c r="E1388" s="204"/>
      <c r="F1388" s="205"/>
      <c r="G1388" s="205"/>
    </row>
    <row r="1389" ht="15.75" customHeight="1">
      <c r="A1389" s="224"/>
      <c r="B1389" s="186"/>
      <c r="C1389" s="210"/>
      <c r="D1389" s="210"/>
      <c r="E1389" s="204"/>
      <c r="F1389" s="205"/>
      <c r="G1389" s="205"/>
    </row>
    <row r="1390" ht="15.75" customHeight="1">
      <c r="A1390" s="224"/>
      <c r="B1390" s="186"/>
      <c r="C1390" s="210"/>
      <c r="D1390" s="210"/>
      <c r="E1390" s="204"/>
      <c r="F1390" s="205"/>
      <c r="G1390" s="205"/>
    </row>
    <row r="1391" ht="15.75" customHeight="1">
      <c r="A1391" s="224"/>
      <c r="B1391" s="186"/>
      <c r="C1391" s="210"/>
      <c r="D1391" s="210"/>
      <c r="E1391" s="204"/>
      <c r="F1391" s="205"/>
      <c r="G1391" s="205"/>
    </row>
    <row r="1392" ht="15.75" customHeight="1">
      <c r="A1392" s="224"/>
      <c r="B1392" s="186"/>
      <c r="C1392" s="210"/>
      <c r="D1392" s="210"/>
      <c r="E1392" s="204"/>
      <c r="F1392" s="205"/>
      <c r="G1392" s="205"/>
    </row>
    <row r="1393" ht="15.75" customHeight="1">
      <c r="A1393" s="224"/>
      <c r="B1393" s="186"/>
      <c r="C1393" s="210"/>
      <c r="D1393" s="210"/>
      <c r="E1393" s="204"/>
      <c r="F1393" s="205"/>
      <c r="G1393" s="205"/>
    </row>
    <row r="1394" ht="15.75" customHeight="1">
      <c r="A1394" s="224"/>
      <c r="B1394" s="186"/>
      <c r="C1394" s="210"/>
      <c r="D1394" s="210"/>
      <c r="E1394" s="204"/>
      <c r="F1394" s="205"/>
      <c r="G1394" s="205"/>
    </row>
    <row r="1395" ht="15.75" customHeight="1">
      <c r="A1395" s="224"/>
      <c r="B1395" s="186"/>
      <c r="C1395" s="210"/>
      <c r="D1395" s="210"/>
      <c r="E1395" s="204"/>
      <c r="F1395" s="205"/>
      <c r="G1395" s="205"/>
    </row>
    <row r="1396" ht="15.75" customHeight="1">
      <c r="A1396" s="224"/>
      <c r="B1396" s="186"/>
      <c r="C1396" s="210"/>
      <c r="D1396" s="210"/>
      <c r="E1396" s="204"/>
      <c r="F1396" s="205"/>
      <c r="G1396" s="205"/>
    </row>
    <row r="1397" ht="15.75" customHeight="1">
      <c r="A1397" s="224"/>
      <c r="B1397" s="186"/>
      <c r="C1397" s="210"/>
      <c r="D1397" s="210"/>
      <c r="E1397" s="204"/>
      <c r="F1397" s="205"/>
      <c r="G1397" s="205"/>
    </row>
    <row r="1398" ht="15.75" customHeight="1">
      <c r="A1398" s="224"/>
      <c r="B1398" s="186"/>
      <c r="C1398" s="210"/>
      <c r="D1398" s="210"/>
      <c r="E1398" s="204"/>
      <c r="F1398" s="205"/>
      <c r="G1398" s="205"/>
    </row>
    <row r="1399" ht="15.75" customHeight="1">
      <c r="A1399" s="224"/>
      <c r="B1399" s="186"/>
      <c r="C1399" s="210"/>
      <c r="D1399" s="210"/>
      <c r="E1399" s="204"/>
      <c r="F1399" s="205"/>
      <c r="G1399" s="205"/>
    </row>
    <row r="1400" ht="15.75" customHeight="1">
      <c r="A1400" s="224"/>
      <c r="B1400" s="186"/>
      <c r="C1400" s="210"/>
      <c r="D1400" s="210"/>
      <c r="E1400" s="204"/>
      <c r="F1400" s="205"/>
      <c r="G1400" s="205"/>
    </row>
    <row r="1401" ht="15.75" customHeight="1">
      <c r="A1401" s="224"/>
      <c r="B1401" s="186"/>
      <c r="C1401" s="210"/>
      <c r="D1401" s="210"/>
      <c r="E1401" s="204"/>
      <c r="F1401" s="205"/>
      <c r="G1401" s="205"/>
    </row>
    <row r="1402" ht="15.75" customHeight="1">
      <c r="A1402" s="224"/>
      <c r="B1402" s="186"/>
      <c r="C1402" s="210"/>
      <c r="D1402" s="210"/>
      <c r="E1402" s="204"/>
      <c r="F1402" s="205"/>
      <c r="G1402" s="205"/>
    </row>
    <row r="1403" ht="15.75" customHeight="1">
      <c r="A1403" s="224"/>
      <c r="B1403" s="186"/>
      <c r="C1403" s="210"/>
      <c r="D1403" s="210"/>
      <c r="E1403" s="204"/>
      <c r="F1403" s="205"/>
      <c r="G1403" s="205"/>
    </row>
    <row r="1404" ht="15.75" customHeight="1">
      <c r="A1404" s="224"/>
      <c r="B1404" s="186"/>
      <c r="C1404" s="210"/>
      <c r="D1404" s="210"/>
      <c r="E1404" s="204"/>
      <c r="F1404" s="205"/>
      <c r="G1404" s="205"/>
    </row>
    <row r="1405" ht="15.75" customHeight="1">
      <c r="A1405" s="224"/>
      <c r="B1405" s="186"/>
      <c r="C1405" s="210"/>
      <c r="D1405" s="210"/>
      <c r="E1405" s="204"/>
      <c r="F1405" s="205"/>
      <c r="G1405" s="205"/>
    </row>
    <row r="1406" ht="15.75" customHeight="1">
      <c r="A1406" s="224"/>
      <c r="B1406" s="186"/>
      <c r="C1406" s="210"/>
      <c r="D1406" s="210"/>
      <c r="E1406" s="204"/>
      <c r="F1406" s="205"/>
      <c r="G1406" s="205"/>
    </row>
    <row r="1407" ht="15.75" customHeight="1">
      <c r="A1407" s="224"/>
      <c r="B1407" s="186"/>
      <c r="C1407" s="210"/>
      <c r="D1407" s="210"/>
      <c r="E1407" s="204"/>
      <c r="F1407" s="205"/>
      <c r="G1407" s="205"/>
    </row>
    <row r="1408" ht="15.75" customHeight="1">
      <c r="A1408" s="224"/>
      <c r="B1408" s="186"/>
      <c r="C1408" s="210"/>
      <c r="D1408" s="210"/>
      <c r="E1408" s="204"/>
      <c r="F1408" s="205"/>
      <c r="G1408" s="205"/>
    </row>
    <row r="1409" ht="15.75" customHeight="1">
      <c r="A1409" s="224"/>
      <c r="B1409" s="186"/>
      <c r="C1409" s="210"/>
      <c r="D1409" s="210"/>
      <c r="E1409" s="204"/>
      <c r="F1409" s="205"/>
      <c r="G1409" s="205"/>
    </row>
    <row r="1410" ht="15.75" customHeight="1">
      <c r="A1410" s="224"/>
      <c r="B1410" s="186"/>
      <c r="C1410" s="210"/>
      <c r="D1410" s="210"/>
      <c r="E1410" s="204"/>
      <c r="F1410" s="205"/>
      <c r="G1410" s="205"/>
    </row>
    <row r="1411" ht="15.75" customHeight="1">
      <c r="A1411" s="224"/>
      <c r="B1411" s="186"/>
      <c r="C1411" s="210"/>
      <c r="D1411" s="210"/>
      <c r="E1411" s="204"/>
      <c r="F1411" s="205"/>
      <c r="G1411" s="205"/>
    </row>
    <row r="1412" ht="15.75" customHeight="1">
      <c r="A1412" s="224"/>
      <c r="B1412" s="186"/>
      <c r="C1412" s="210"/>
      <c r="D1412" s="210"/>
      <c r="E1412" s="204"/>
      <c r="F1412" s="205"/>
      <c r="G1412" s="205"/>
    </row>
    <row r="1413" ht="15.75" customHeight="1">
      <c r="A1413" s="224"/>
      <c r="B1413" s="186"/>
      <c r="C1413" s="210"/>
      <c r="D1413" s="210"/>
      <c r="E1413" s="204"/>
      <c r="F1413" s="205"/>
      <c r="G1413" s="205"/>
    </row>
    <row r="1414" ht="15.75" customHeight="1">
      <c r="A1414" s="224"/>
      <c r="B1414" s="186"/>
      <c r="C1414" s="210"/>
      <c r="D1414" s="210"/>
      <c r="E1414" s="204"/>
      <c r="F1414" s="205"/>
      <c r="G1414" s="205"/>
    </row>
    <row r="1415" ht="15.75" customHeight="1">
      <c r="A1415" s="224"/>
      <c r="B1415" s="186"/>
      <c r="C1415" s="210"/>
      <c r="D1415" s="210"/>
      <c r="E1415" s="204"/>
      <c r="F1415" s="205"/>
      <c r="G1415" s="205"/>
    </row>
    <row r="1416" ht="15.75" customHeight="1">
      <c r="A1416" s="224"/>
      <c r="B1416" s="186"/>
      <c r="C1416" s="210"/>
      <c r="D1416" s="210"/>
      <c r="E1416" s="204"/>
      <c r="F1416" s="205"/>
      <c r="G1416" s="205"/>
    </row>
    <row r="1417" ht="15.75" customHeight="1">
      <c r="A1417" s="224"/>
      <c r="B1417" s="186"/>
      <c r="C1417" s="210"/>
      <c r="D1417" s="210"/>
      <c r="E1417" s="204"/>
      <c r="F1417" s="205"/>
      <c r="G1417" s="205"/>
    </row>
    <row r="1418" ht="15.75" customHeight="1">
      <c r="A1418" s="224"/>
      <c r="B1418" s="186"/>
      <c r="C1418" s="210"/>
      <c r="D1418" s="210"/>
      <c r="E1418" s="204"/>
      <c r="F1418" s="205"/>
      <c r="G1418" s="205"/>
    </row>
    <row r="1419" ht="15.75" customHeight="1">
      <c r="A1419" s="224"/>
      <c r="B1419" s="186"/>
      <c r="C1419" s="210"/>
      <c r="D1419" s="210"/>
      <c r="E1419" s="204"/>
      <c r="F1419" s="205"/>
      <c r="G1419" s="205"/>
    </row>
    <row r="1420" ht="15.75" customHeight="1">
      <c r="A1420" s="224"/>
      <c r="B1420" s="186"/>
      <c r="C1420" s="210"/>
      <c r="D1420" s="210"/>
      <c r="E1420" s="204"/>
      <c r="F1420" s="205"/>
      <c r="G1420" s="205"/>
    </row>
    <row r="1421" ht="15.75" customHeight="1">
      <c r="A1421" s="224"/>
      <c r="B1421" s="186"/>
      <c r="C1421" s="210"/>
      <c r="D1421" s="210"/>
      <c r="E1421" s="204"/>
      <c r="F1421" s="205"/>
      <c r="G1421" s="205"/>
    </row>
    <row r="1422" ht="15.75" customHeight="1">
      <c r="A1422" s="224"/>
      <c r="B1422" s="186"/>
      <c r="C1422" s="210"/>
      <c r="D1422" s="210"/>
      <c r="E1422" s="204"/>
      <c r="F1422" s="205"/>
      <c r="G1422" s="205"/>
    </row>
    <row r="1423" ht="15.75" customHeight="1">
      <c r="A1423" s="224"/>
      <c r="B1423" s="186"/>
      <c r="C1423" s="210"/>
      <c r="D1423" s="210"/>
      <c r="E1423" s="204"/>
      <c r="F1423" s="205"/>
      <c r="G1423" s="205"/>
    </row>
    <row r="1424" ht="15.75" customHeight="1">
      <c r="A1424" s="224"/>
      <c r="B1424" s="186"/>
      <c r="C1424" s="210"/>
      <c r="D1424" s="210"/>
      <c r="E1424" s="204"/>
      <c r="F1424" s="205"/>
      <c r="G1424" s="205"/>
    </row>
    <row r="1425" ht="15.75" customHeight="1">
      <c r="A1425" s="224"/>
      <c r="B1425" s="186"/>
      <c r="C1425" s="210"/>
      <c r="D1425" s="210"/>
      <c r="E1425" s="204"/>
      <c r="F1425" s="205"/>
      <c r="G1425" s="205"/>
    </row>
    <row r="1426" ht="15.75" customHeight="1">
      <c r="A1426" s="224"/>
      <c r="B1426" s="186"/>
      <c r="C1426" s="210"/>
      <c r="D1426" s="210"/>
      <c r="E1426" s="204"/>
      <c r="F1426" s="205"/>
      <c r="G1426" s="205"/>
    </row>
    <row r="1427" ht="15.75" customHeight="1">
      <c r="A1427" s="224"/>
      <c r="B1427" s="186"/>
      <c r="C1427" s="210"/>
      <c r="D1427" s="210"/>
      <c r="E1427" s="204"/>
      <c r="F1427" s="205"/>
      <c r="G1427" s="205"/>
    </row>
    <row r="1428" ht="15.75" customHeight="1">
      <c r="A1428" s="224"/>
      <c r="B1428" s="186"/>
      <c r="C1428" s="210"/>
      <c r="D1428" s="210"/>
      <c r="E1428" s="204"/>
      <c r="F1428" s="205"/>
      <c r="G1428" s="205"/>
    </row>
    <row r="1429" ht="15.75" customHeight="1">
      <c r="A1429" s="224"/>
      <c r="B1429" s="186"/>
      <c r="C1429" s="210"/>
      <c r="D1429" s="210"/>
      <c r="E1429" s="204"/>
      <c r="F1429" s="205"/>
      <c r="G1429" s="205"/>
    </row>
    <row r="1430" ht="15.75" customHeight="1">
      <c r="A1430" s="224"/>
      <c r="B1430" s="186"/>
      <c r="C1430" s="210"/>
      <c r="D1430" s="210"/>
      <c r="E1430" s="204"/>
      <c r="F1430" s="205"/>
      <c r="G1430" s="205"/>
    </row>
    <row r="1431" ht="15.75" customHeight="1">
      <c r="A1431" s="224"/>
      <c r="B1431" s="186"/>
      <c r="C1431" s="210"/>
      <c r="D1431" s="210"/>
      <c r="E1431" s="204"/>
      <c r="F1431" s="205"/>
      <c r="G1431" s="205"/>
    </row>
    <row r="1432" ht="15.75" customHeight="1">
      <c r="A1432" s="224"/>
      <c r="B1432" s="186"/>
      <c r="C1432" s="210"/>
      <c r="D1432" s="210"/>
      <c r="E1432" s="204"/>
      <c r="F1432" s="205"/>
      <c r="G1432" s="205"/>
    </row>
    <row r="1433" ht="15.75" customHeight="1">
      <c r="A1433" s="224"/>
      <c r="B1433" s="186"/>
      <c r="C1433" s="210"/>
      <c r="D1433" s="210"/>
      <c r="E1433" s="204"/>
      <c r="F1433" s="205"/>
      <c r="G1433" s="205"/>
    </row>
    <row r="1434" ht="15.75" customHeight="1">
      <c r="A1434" s="224"/>
      <c r="B1434" s="186"/>
      <c r="C1434" s="210"/>
      <c r="D1434" s="210"/>
      <c r="E1434" s="204"/>
      <c r="F1434" s="205"/>
      <c r="G1434" s="205"/>
    </row>
    <row r="1435" ht="15.75" customHeight="1">
      <c r="A1435" s="224"/>
      <c r="B1435" s="186"/>
      <c r="C1435" s="210"/>
      <c r="D1435" s="210"/>
      <c r="E1435" s="204"/>
      <c r="F1435" s="205"/>
      <c r="G1435" s="205"/>
    </row>
    <row r="1436" ht="15.75" customHeight="1">
      <c r="A1436" s="224"/>
      <c r="B1436" s="186"/>
      <c r="C1436" s="210"/>
      <c r="D1436" s="210"/>
      <c r="E1436" s="204"/>
      <c r="F1436" s="205"/>
      <c r="G1436" s="205"/>
    </row>
    <row r="1437" ht="15.75" customHeight="1">
      <c r="A1437" s="224"/>
      <c r="B1437" s="186"/>
      <c r="C1437" s="210"/>
      <c r="D1437" s="210"/>
      <c r="E1437" s="204"/>
      <c r="F1437" s="205"/>
      <c r="G1437" s="205"/>
    </row>
    <row r="1438" ht="15.75" customHeight="1">
      <c r="A1438" s="224"/>
      <c r="B1438" s="186"/>
      <c r="C1438" s="210"/>
      <c r="D1438" s="210"/>
      <c r="E1438" s="204"/>
      <c r="F1438" s="205"/>
      <c r="G1438" s="205"/>
    </row>
    <row r="1439" ht="15.75" customHeight="1">
      <c r="A1439" s="224"/>
      <c r="B1439" s="186"/>
      <c r="C1439" s="210"/>
      <c r="D1439" s="210"/>
      <c r="E1439" s="204"/>
      <c r="F1439" s="205"/>
      <c r="G1439" s="205"/>
    </row>
    <row r="1440" ht="15.75" customHeight="1">
      <c r="A1440" s="224"/>
      <c r="B1440" s="186"/>
      <c r="C1440" s="210"/>
      <c r="D1440" s="210"/>
      <c r="E1440" s="204"/>
      <c r="F1440" s="205"/>
      <c r="G1440" s="205"/>
    </row>
    <row r="1441" ht="15.75" customHeight="1">
      <c r="A1441" s="224"/>
      <c r="B1441" s="186"/>
      <c r="C1441" s="210"/>
      <c r="D1441" s="210"/>
      <c r="E1441" s="204"/>
      <c r="F1441" s="205"/>
      <c r="G1441" s="205"/>
    </row>
    <row r="1442" ht="15.75" customHeight="1">
      <c r="A1442" s="224"/>
      <c r="B1442" s="186"/>
      <c r="C1442" s="210"/>
      <c r="D1442" s="210"/>
      <c r="E1442" s="204"/>
      <c r="F1442" s="205"/>
      <c r="G1442" s="205"/>
    </row>
    <row r="1443" ht="15.75" customHeight="1">
      <c r="A1443" s="224"/>
      <c r="B1443" s="186"/>
      <c r="C1443" s="210"/>
      <c r="D1443" s="210"/>
      <c r="E1443" s="204"/>
      <c r="F1443" s="205"/>
      <c r="G1443" s="205"/>
    </row>
    <row r="1444" ht="15.75" customHeight="1">
      <c r="A1444" s="224"/>
      <c r="B1444" s="186"/>
      <c r="C1444" s="210"/>
      <c r="D1444" s="210"/>
      <c r="E1444" s="204"/>
      <c r="F1444" s="205"/>
      <c r="G1444" s="205"/>
    </row>
    <row r="1445" ht="15.75" customHeight="1">
      <c r="A1445" s="224"/>
      <c r="B1445" s="186"/>
      <c r="C1445" s="210"/>
      <c r="D1445" s="210"/>
      <c r="E1445" s="204"/>
      <c r="F1445" s="205"/>
      <c r="G1445" s="205"/>
    </row>
    <row r="1446" ht="15.75" customHeight="1">
      <c r="A1446" s="224"/>
      <c r="B1446" s="186"/>
      <c r="C1446" s="210"/>
      <c r="D1446" s="210"/>
      <c r="E1446" s="204"/>
      <c r="F1446" s="205"/>
      <c r="G1446" s="205"/>
    </row>
    <row r="1447" ht="15.75" customHeight="1">
      <c r="A1447" s="224"/>
      <c r="B1447" s="186"/>
      <c r="C1447" s="210"/>
      <c r="D1447" s="210"/>
      <c r="E1447" s="204"/>
      <c r="F1447" s="205"/>
      <c r="G1447" s="205"/>
    </row>
    <row r="1448" ht="15.75" customHeight="1">
      <c r="A1448" s="224"/>
      <c r="B1448" s="186"/>
      <c r="C1448" s="210"/>
      <c r="D1448" s="210"/>
      <c r="E1448" s="204"/>
      <c r="F1448" s="205"/>
      <c r="G1448" s="205"/>
    </row>
    <row r="1449" ht="15.75" customHeight="1">
      <c r="A1449" s="224"/>
      <c r="B1449" s="186"/>
      <c r="C1449" s="210"/>
      <c r="D1449" s="210"/>
      <c r="E1449" s="204"/>
      <c r="F1449" s="205"/>
      <c r="G1449" s="205"/>
    </row>
    <row r="1450" ht="15.75" customHeight="1">
      <c r="A1450" s="224"/>
      <c r="B1450" s="186"/>
      <c r="C1450" s="210"/>
      <c r="D1450" s="210"/>
      <c r="E1450" s="204"/>
      <c r="F1450" s="205"/>
      <c r="G1450" s="205"/>
    </row>
    <row r="1451" ht="15.75" customHeight="1">
      <c r="A1451" s="224"/>
      <c r="B1451" s="186"/>
      <c r="C1451" s="210"/>
      <c r="D1451" s="210"/>
      <c r="E1451" s="204"/>
      <c r="F1451" s="205"/>
      <c r="G1451" s="205"/>
    </row>
    <row r="1452" ht="15.75" customHeight="1">
      <c r="A1452" s="224"/>
      <c r="B1452" s="186"/>
      <c r="C1452" s="210"/>
      <c r="D1452" s="210"/>
      <c r="E1452" s="204"/>
      <c r="F1452" s="205"/>
      <c r="G1452" s="205"/>
    </row>
    <row r="1453" ht="15.75" customHeight="1">
      <c r="A1453" s="224"/>
      <c r="B1453" s="186"/>
      <c r="C1453" s="210"/>
      <c r="D1453" s="210"/>
      <c r="E1453" s="204"/>
      <c r="F1453" s="205"/>
      <c r="G1453" s="205"/>
    </row>
    <row r="1454" ht="15.75" customHeight="1">
      <c r="A1454" s="224"/>
      <c r="B1454" s="186"/>
      <c r="C1454" s="210"/>
      <c r="D1454" s="210"/>
      <c r="E1454" s="204"/>
      <c r="F1454" s="205"/>
      <c r="G1454" s="205"/>
    </row>
    <row r="1455" ht="15.75" customHeight="1">
      <c r="A1455" s="224"/>
      <c r="B1455" s="186"/>
      <c r="C1455" s="210"/>
      <c r="D1455" s="210"/>
      <c r="E1455" s="204"/>
      <c r="F1455" s="205"/>
      <c r="G1455" s="205"/>
    </row>
    <row r="1456" ht="15.75" customHeight="1">
      <c r="A1456" s="224"/>
      <c r="B1456" s="186"/>
      <c r="C1456" s="210"/>
      <c r="D1456" s="210"/>
      <c r="E1456" s="204"/>
      <c r="F1456" s="205"/>
      <c r="G1456" s="205"/>
    </row>
    <row r="1457" ht="15.75" customHeight="1">
      <c r="A1457" s="224"/>
      <c r="B1457" s="186"/>
      <c r="C1457" s="210"/>
      <c r="D1457" s="210"/>
      <c r="E1457" s="204"/>
      <c r="F1457" s="205"/>
      <c r="G1457" s="205"/>
    </row>
    <row r="1458" ht="15.75" customHeight="1">
      <c r="A1458" s="224"/>
      <c r="B1458" s="186"/>
      <c r="C1458" s="210"/>
      <c r="D1458" s="210"/>
      <c r="E1458" s="204"/>
      <c r="F1458" s="205"/>
      <c r="G1458" s="205"/>
    </row>
    <row r="1459" ht="15.75" customHeight="1">
      <c r="A1459" s="224"/>
      <c r="B1459" s="186"/>
      <c r="C1459" s="210"/>
      <c r="D1459" s="210"/>
      <c r="E1459" s="204"/>
      <c r="F1459" s="205"/>
      <c r="G1459" s="205"/>
    </row>
    <row r="1460" ht="15.75" customHeight="1">
      <c r="A1460" s="224"/>
      <c r="B1460" s="186"/>
      <c r="C1460" s="210"/>
      <c r="D1460" s="210"/>
      <c r="E1460" s="204"/>
      <c r="F1460" s="205"/>
      <c r="G1460" s="205"/>
    </row>
    <row r="1461" ht="15.75" customHeight="1">
      <c r="A1461" s="224"/>
      <c r="B1461" s="186"/>
      <c r="C1461" s="210"/>
      <c r="D1461" s="210"/>
      <c r="E1461" s="204"/>
      <c r="F1461" s="205"/>
      <c r="G1461" s="205"/>
    </row>
    <row r="1462" ht="15.75" customHeight="1">
      <c r="A1462" s="224"/>
      <c r="B1462" s="186"/>
      <c r="C1462" s="210"/>
      <c r="D1462" s="210"/>
      <c r="E1462" s="204"/>
      <c r="F1462" s="205"/>
      <c r="G1462" s="205"/>
    </row>
    <row r="1463" ht="15.75" customHeight="1">
      <c r="A1463" s="224"/>
      <c r="B1463" s="186"/>
      <c r="C1463" s="210"/>
      <c r="D1463" s="210"/>
      <c r="E1463" s="204"/>
      <c r="F1463" s="205"/>
      <c r="G1463" s="205"/>
    </row>
    <row r="1464" ht="15.75" customHeight="1">
      <c r="A1464" s="224"/>
      <c r="B1464" s="186"/>
      <c r="C1464" s="210"/>
      <c r="D1464" s="210"/>
      <c r="E1464" s="204"/>
      <c r="F1464" s="205"/>
      <c r="G1464" s="205"/>
    </row>
    <row r="1465" ht="15.75" customHeight="1">
      <c r="A1465" s="224"/>
      <c r="B1465" s="186"/>
      <c r="C1465" s="210"/>
      <c r="D1465" s="210"/>
      <c r="E1465" s="204"/>
      <c r="F1465" s="205"/>
      <c r="G1465" s="205"/>
    </row>
    <row r="1466" ht="15.75" customHeight="1">
      <c r="A1466" s="224"/>
      <c r="B1466" s="186"/>
      <c r="C1466" s="210"/>
      <c r="D1466" s="210"/>
      <c r="E1466" s="204"/>
      <c r="F1466" s="205"/>
      <c r="G1466" s="205"/>
    </row>
    <row r="1467" ht="15.75" customHeight="1">
      <c r="A1467" s="224"/>
      <c r="B1467" s="186"/>
      <c r="C1467" s="210"/>
      <c r="D1467" s="210"/>
      <c r="E1467" s="204"/>
      <c r="F1467" s="205"/>
      <c r="G1467" s="205"/>
    </row>
    <row r="1468" ht="15.75" customHeight="1">
      <c r="A1468" s="224"/>
      <c r="B1468" s="186"/>
      <c r="C1468" s="210"/>
      <c r="D1468" s="210"/>
      <c r="E1468" s="204"/>
      <c r="F1468" s="205"/>
      <c r="G1468" s="205"/>
    </row>
    <row r="1469" ht="15.75" customHeight="1">
      <c r="A1469" s="224"/>
      <c r="B1469" s="186"/>
      <c r="C1469" s="210"/>
      <c r="D1469" s="210"/>
      <c r="E1469" s="204"/>
      <c r="F1469" s="205"/>
      <c r="G1469" s="205"/>
    </row>
    <row r="1470" ht="15.75" customHeight="1">
      <c r="A1470" s="224"/>
      <c r="B1470" s="186"/>
      <c r="C1470" s="210"/>
      <c r="D1470" s="210"/>
      <c r="E1470" s="204"/>
      <c r="F1470" s="205"/>
      <c r="G1470" s="205"/>
    </row>
    <row r="1471" ht="15.75" customHeight="1">
      <c r="A1471" s="224"/>
      <c r="B1471" s="186"/>
      <c r="C1471" s="210"/>
      <c r="D1471" s="210"/>
      <c r="E1471" s="204"/>
      <c r="F1471" s="205"/>
      <c r="G1471" s="205"/>
    </row>
    <row r="1472" ht="15.75" customHeight="1">
      <c r="A1472" s="224"/>
      <c r="B1472" s="186"/>
      <c r="C1472" s="210"/>
      <c r="D1472" s="210"/>
      <c r="E1472" s="204"/>
      <c r="F1472" s="205"/>
      <c r="G1472" s="205"/>
    </row>
    <row r="1473" ht="15.75" customHeight="1">
      <c r="A1473" s="224"/>
      <c r="B1473" s="186"/>
      <c r="C1473" s="210"/>
      <c r="D1473" s="210"/>
      <c r="E1473" s="204"/>
      <c r="F1473" s="205"/>
      <c r="G1473" s="205"/>
    </row>
    <row r="1474" ht="15.75" customHeight="1">
      <c r="A1474" s="224"/>
      <c r="B1474" s="186"/>
      <c r="C1474" s="210"/>
      <c r="D1474" s="210"/>
      <c r="E1474" s="204"/>
      <c r="F1474" s="205"/>
      <c r="G1474" s="205"/>
    </row>
    <row r="1475" ht="15.75" customHeight="1">
      <c r="A1475" s="224"/>
      <c r="B1475" s="186"/>
      <c r="C1475" s="210"/>
      <c r="D1475" s="210"/>
      <c r="E1475" s="204"/>
      <c r="F1475" s="205"/>
      <c r="G1475" s="205"/>
    </row>
    <row r="1476" ht="15.75" customHeight="1">
      <c r="A1476" s="224"/>
      <c r="B1476" s="186"/>
      <c r="C1476" s="210"/>
      <c r="D1476" s="210"/>
      <c r="E1476" s="204"/>
      <c r="F1476" s="205"/>
      <c r="G1476" s="205"/>
    </row>
    <row r="1477" ht="15.75" customHeight="1">
      <c r="A1477" s="224"/>
      <c r="B1477" s="186"/>
      <c r="C1477" s="210"/>
      <c r="D1477" s="210"/>
      <c r="E1477" s="204"/>
      <c r="F1477" s="205"/>
      <c r="G1477" s="205"/>
    </row>
    <row r="1478" ht="15.75" customHeight="1">
      <c r="A1478" s="224"/>
      <c r="B1478" s="186"/>
      <c r="C1478" s="210"/>
      <c r="D1478" s="210"/>
      <c r="E1478" s="204"/>
      <c r="F1478" s="205"/>
      <c r="G1478" s="205"/>
    </row>
    <row r="1479" ht="15.75" customHeight="1">
      <c r="A1479" s="224"/>
      <c r="B1479" s="186"/>
      <c r="C1479" s="210"/>
      <c r="D1479" s="210"/>
      <c r="E1479" s="204"/>
      <c r="F1479" s="205"/>
      <c r="G1479" s="205"/>
    </row>
    <row r="1480" ht="15.75" customHeight="1">
      <c r="A1480" s="224"/>
      <c r="B1480" s="186"/>
      <c r="C1480" s="210"/>
      <c r="D1480" s="210"/>
      <c r="E1480" s="204"/>
      <c r="F1480" s="205"/>
      <c r="G1480" s="205"/>
    </row>
    <row r="1481" ht="15.75" customHeight="1">
      <c r="A1481" s="224"/>
      <c r="B1481" s="186"/>
      <c r="C1481" s="210"/>
      <c r="D1481" s="210"/>
      <c r="E1481" s="204"/>
      <c r="F1481" s="205"/>
      <c r="G1481" s="205"/>
    </row>
    <row r="1482" ht="15.75" customHeight="1">
      <c r="A1482" s="224"/>
      <c r="B1482" s="186"/>
      <c r="C1482" s="210"/>
      <c r="D1482" s="210"/>
      <c r="E1482" s="204"/>
      <c r="F1482" s="205"/>
      <c r="G1482" s="205"/>
    </row>
    <row r="1483" ht="15.75" customHeight="1">
      <c r="A1483" s="224"/>
      <c r="B1483" s="186"/>
      <c r="C1483" s="210"/>
      <c r="D1483" s="210"/>
      <c r="E1483" s="204"/>
      <c r="F1483" s="205"/>
      <c r="G1483" s="205"/>
    </row>
    <row r="1484" ht="15.75" customHeight="1">
      <c r="A1484" s="224"/>
      <c r="B1484" s="186"/>
      <c r="C1484" s="210"/>
      <c r="D1484" s="210"/>
      <c r="E1484" s="204"/>
      <c r="F1484" s="205"/>
      <c r="G1484" s="205"/>
    </row>
    <row r="1485" ht="15.75" customHeight="1">
      <c r="A1485" s="224"/>
      <c r="B1485" s="186"/>
      <c r="C1485" s="210"/>
      <c r="D1485" s="210"/>
      <c r="E1485" s="204"/>
      <c r="F1485" s="205"/>
      <c r="G1485" s="205"/>
    </row>
    <row r="1486" ht="15.75" customHeight="1">
      <c r="A1486" s="224"/>
      <c r="B1486" s="186"/>
      <c r="C1486" s="210"/>
      <c r="D1486" s="210"/>
      <c r="E1486" s="204"/>
      <c r="F1486" s="205"/>
      <c r="G1486" s="205"/>
    </row>
    <row r="1487" ht="15.75" customHeight="1">
      <c r="A1487" s="224"/>
      <c r="B1487" s="186"/>
      <c r="C1487" s="210"/>
      <c r="D1487" s="210"/>
      <c r="E1487" s="204"/>
      <c r="F1487" s="205"/>
      <c r="G1487" s="205"/>
    </row>
    <row r="1488" ht="15.75" customHeight="1">
      <c r="A1488" s="224"/>
      <c r="B1488" s="186"/>
      <c r="C1488" s="210"/>
      <c r="D1488" s="210"/>
      <c r="E1488" s="204"/>
      <c r="F1488" s="205"/>
      <c r="G1488" s="205"/>
    </row>
    <row r="1489" ht="15.75" customHeight="1">
      <c r="A1489" s="224"/>
      <c r="B1489" s="186"/>
      <c r="C1489" s="210"/>
      <c r="D1489" s="210"/>
      <c r="E1489" s="204"/>
      <c r="F1489" s="205"/>
      <c r="G1489" s="205"/>
    </row>
    <row r="1490" ht="15.75" customHeight="1">
      <c r="A1490" s="224"/>
      <c r="B1490" s="186"/>
      <c r="C1490" s="210"/>
      <c r="D1490" s="210"/>
      <c r="E1490" s="204"/>
      <c r="F1490" s="205"/>
      <c r="G1490" s="205"/>
    </row>
    <row r="1491" ht="15.75" customHeight="1">
      <c r="A1491" s="224"/>
      <c r="B1491" s="186"/>
      <c r="C1491" s="210"/>
      <c r="D1491" s="210"/>
      <c r="E1491" s="204"/>
      <c r="F1491" s="205"/>
      <c r="G1491" s="205"/>
    </row>
    <row r="1492" ht="15.75" customHeight="1">
      <c r="A1492" s="224"/>
      <c r="B1492" s="186"/>
      <c r="C1492" s="210"/>
      <c r="D1492" s="210"/>
      <c r="E1492" s="204"/>
      <c r="F1492" s="205"/>
      <c r="G1492" s="205"/>
    </row>
    <row r="1493" ht="15.75" customHeight="1">
      <c r="A1493" s="224"/>
      <c r="B1493" s="186"/>
      <c r="C1493" s="210"/>
      <c r="D1493" s="210"/>
      <c r="E1493" s="204"/>
      <c r="F1493" s="205"/>
      <c r="G1493" s="205"/>
    </row>
    <row r="1494" ht="15.75" customHeight="1">
      <c r="A1494" s="224"/>
      <c r="B1494" s="186"/>
      <c r="C1494" s="210"/>
      <c r="D1494" s="210"/>
      <c r="E1494" s="204"/>
      <c r="F1494" s="205"/>
      <c r="G1494" s="205"/>
    </row>
    <row r="1495" ht="15.75" customHeight="1">
      <c r="A1495" s="224"/>
      <c r="B1495" s="186"/>
      <c r="C1495" s="210"/>
      <c r="D1495" s="210"/>
      <c r="E1495" s="204"/>
      <c r="F1495" s="205"/>
      <c r="G1495" s="205"/>
    </row>
    <row r="1496" ht="15.75" customHeight="1">
      <c r="A1496" s="224"/>
      <c r="B1496" s="186"/>
      <c r="C1496" s="210"/>
      <c r="D1496" s="210"/>
      <c r="E1496" s="204"/>
      <c r="F1496" s="205"/>
      <c r="G1496" s="205"/>
    </row>
    <row r="1497" ht="15.75" customHeight="1">
      <c r="A1497" s="224"/>
      <c r="B1497" s="186"/>
      <c r="C1497" s="210"/>
      <c r="D1497" s="210"/>
      <c r="E1497" s="204"/>
      <c r="F1497" s="205"/>
      <c r="G1497" s="205"/>
    </row>
    <row r="1498" ht="15.75" customHeight="1">
      <c r="A1498" s="224"/>
      <c r="B1498" s="186"/>
      <c r="C1498" s="210"/>
      <c r="D1498" s="210"/>
      <c r="E1498" s="204"/>
      <c r="F1498" s="205"/>
      <c r="G1498" s="205"/>
    </row>
    <row r="1499" ht="15.75" customHeight="1">
      <c r="A1499" s="224"/>
      <c r="B1499" s="186"/>
      <c r="C1499" s="210"/>
      <c r="D1499" s="210"/>
      <c r="E1499" s="204"/>
      <c r="F1499" s="205"/>
      <c r="G1499" s="205"/>
    </row>
    <row r="1500" ht="15.75" customHeight="1">
      <c r="A1500" s="224"/>
      <c r="B1500" s="186"/>
      <c r="C1500" s="210"/>
      <c r="D1500" s="210"/>
      <c r="E1500" s="204"/>
      <c r="F1500" s="205"/>
      <c r="G1500" s="205"/>
    </row>
    <row r="1501" ht="15.75" customHeight="1">
      <c r="A1501" s="224"/>
      <c r="B1501" s="186"/>
      <c r="C1501" s="210"/>
      <c r="D1501" s="210"/>
      <c r="E1501" s="204"/>
      <c r="F1501" s="205"/>
      <c r="G1501" s="205"/>
    </row>
    <row r="1502" ht="15.75" customHeight="1">
      <c r="A1502" s="224"/>
      <c r="B1502" s="186"/>
      <c r="C1502" s="210"/>
      <c r="D1502" s="210"/>
      <c r="E1502" s="204"/>
      <c r="F1502" s="205"/>
      <c r="G1502" s="205"/>
    </row>
    <row r="1503" ht="15.75" customHeight="1">
      <c r="A1503" s="224"/>
      <c r="B1503" s="186"/>
      <c r="C1503" s="210"/>
      <c r="D1503" s="210"/>
      <c r="E1503" s="204"/>
      <c r="F1503" s="205"/>
      <c r="G1503" s="205"/>
    </row>
    <row r="1504" ht="15.75" customHeight="1">
      <c r="A1504" s="224"/>
      <c r="B1504" s="186"/>
      <c r="C1504" s="210"/>
      <c r="D1504" s="210"/>
      <c r="E1504" s="204"/>
      <c r="F1504" s="205"/>
      <c r="G1504" s="205"/>
    </row>
    <row r="1505" ht="15.75" customHeight="1">
      <c r="A1505" s="224"/>
      <c r="B1505" s="186"/>
      <c r="C1505" s="210"/>
      <c r="D1505" s="210"/>
      <c r="E1505" s="204"/>
      <c r="F1505" s="205"/>
      <c r="G1505" s="205"/>
    </row>
    <row r="1506" ht="15.75" customHeight="1">
      <c r="A1506" s="224"/>
      <c r="B1506" s="186"/>
      <c r="C1506" s="210"/>
      <c r="D1506" s="210"/>
      <c r="E1506" s="204"/>
      <c r="F1506" s="205"/>
      <c r="G1506" s="205"/>
    </row>
    <row r="1507" ht="15.75" customHeight="1">
      <c r="A1507" s="224"/>
      <c r="B1507" s="186"/>
      <c r="C1507" s="210"/>
      <c r="D1507" s="210"/>
      <c r="E1507" s="204"/>
      <c r="F1507" s="205"/>
      <c r="G1507" s="205"/>
    </row>
    <row r="1508" ht="15.75" customHeight="1">
      <c r="A1508" s="224"/>
      <c r="B1508" s="186"/>
      <c r="C1508" s="210"/>
      <c r="D1508" s="210"/>
      <c r="E1508" s="204"/>
      <c r="F1508" s="205"/>
      <c r="G1508" s="205"/>
    </row>
    <row r="1509" ht="15.75" customHeight="1">
      <c r="A1509" s="224"/>
      <c r="B1509" s="186"/>
      <c r="C1509" s="210"/>
      <c r="D1509" s="210"/>
      <c r="E1509" s="204"/>
      <c r="F1509" s="205"/>
      <c r="G1509" s="205"/>
    </row>
    <row r="1510" ht="15.75" customHeight="1">
      <c r="A1510" s="224"/>
      <c r="B1510" s="186"/>
      <c r="C1510" s="210"/>
      <c r="D1510" s="210"/>
      <c r="E1510" s="204"/>
      <c r="F1510" s="205"/>
      <c r="G1510" s="205"/>
    </row>
    <row r="1511" ht="15.75" customHeight="1">
      <c r="A1511" s="224"/>
      <c r="B1511" s="186"/>
      <c r="C1511" s="210"/>
      <c r="D1511" s="210"/>
      <c r="E1511" s="204"/>
      <c r="F1511" s="205"/>
      <c r="G1511" s="205"/>
    </row>
    <row r="1512" ht="15.75" customHeight="1">
      <c r="A1512" s="224"/>
      <c r="B1512" s="186"/>
      <c r="C1512" s="210"/>
      <c r="D1512" s="210"/>
      <c r="E1512" s="204"/>
      <c r="F1512" s="205"/>
      <c r="G1512" s="205"/>
    </row>
    <row r="1513" ht="15.75" customHeight="1">
      <c r="A1513" s="224"/>
      <c r="B1513" s="186"/>
      <c r="C1513" s="210"/>
      <c r="D1513" s="210"/>
      <c r="E1513" s="204"/>
      <c r="F1513" s="205"/>
      <c r="G1513" s="205"/>
    </row>
    <row r="1514" ht="15.75" customHeight="1">
      <c r="A1514" s="224"/>
      <c r="B1514" s="186"/>
      <c r="C1514" s="210"/>
      <c r="D1514" s="210"/>
      <c r="E1514" s="204"/>
      <c r="F1514" s="205"/>
      <c r="G1514" s="205"/>
    </row>
    <row r="1515" ht="15.75" customHeight="1">
      <c r="A1515" s="224"/>
      <c r="B1515" s="186"/>
      <c r="C1515" s="210"/>
      <c r="D1515" s="210"/>
      <c r="E1515" s="204"/>
      <c r="F1515" s="205"/>
      <c r="G1515" s="205"/>
    </row>
    <row r="1516" ht="15.75" customHeight="1">
      <c r="A1516" s="224"/>
      <c r="B1516" s="186"/>
      <c r="C1516" s="210"/>
      <c r="D1516" s="210"/>
      <c r="E1516" s="204"/>
      <c r="F1516" s="205"/>
      <c r="G1516" s="205"/>
    </row>
    <row r="1517" ht="15.75" customHeight="1">
      <c r="A1517" s="224"/>
      <c r="B1517" s="186"/>
      <c r="C1517" s="210"/>
      <c r="D1517" s="210"/>
      <c r="E1517" s="204"/>
      <c r="F1517" s="205"/>
      <c r="G1517" s="205"/>
    </row>
    <row r="1518" ht="15.75" customHeight="1">
      <c r="A1518" s="224"/>
      <c r="B1518" s="186"/>
      <c r="C1518" s="210"/>
      <c r="D1518" s="210"/>
      <c r="E1518" s="204"/>
      <c r="F1518" s="205"/>
      <c r="G1518" s="205"/>
    </row>
    <row r="1519" ht="15.75" customHeight="1">
      <c r="A1519" s="224"/>
      <c r="B1519" s="186"/>
      <c r="C1519" s="210"/>
      <c r="D1519" s="210"/>
      <c r="E1519" s="204"/>
      <c r="F1519" s="205"/>
      <c r="G1519" s="205"/>
    </row>
    <row r="1520" ht="15.75" customHeight="1">
      <c r="A1520" s="224"/>
      <c r="B1520" s="186"/>
      <c r="C1520" s="210"/>
      <c r="D1520" s="210"/>
      <c r="E1520" s="204"/>
      <c r="F1520" s="205"/>
      <c r="G1520" s="205"/>
    </row>
    <row r="1521" ht="15.75" customHeight="1">
      <c r="A1521" s="224"/>
      <c r="B1521" s="186"/>
      <c r="C1521" s="210"/>
      <c r="D1521" s="210"/>
      <c r="E1521" s="204"/>
      <c r="F1521" s="205"/>
      <c r="G1521" s="205"/>
    </row>
    <row r="1522" ht="15.75" customHeight="1">
      <c r="A1522" s="224"/>
      <c r="B1522" s="186"/>
      <c r="C1522" s="210"/>
      <c r="D1522" s="210"/>
      <c r="E1522" s="204"/>
      <c r="F1522" s="205"/>
      <c r="G1522" s="205"/>
    </row>
    <row r="1523" ht="15.75" customHeight="1">
      <c r="A1523" s="224"/>
      <c r="B1523" s="186"/>
      <c r="C1523" s="210"/>
      <c r="D1523" s="210"/>
      <c r="E1523" s="204"/>
      <c r="F1523" s="205"/>
      <c r="G1523" s="205"/>
    </row>
    <row r="1524" ht="15.75" customHeight="1">
      <c r="A1524" s="224"/>
      <c r="B1524" s="186"/>
      <c r="C1524" s="210"/>
      <c r="D1524" s="210"/>
      <c r="E1524" s="204"/>
      <c r="F1524" s="205"/>
      <c r="G1524" s="205"/>
    </row>
    <row r="1525" ht="15.75" customHeight="1">
      <c r="A1525" s="224"/>
      <c r="B1525" s="186"/>
      <c r="C1525" s="210"/>
      <c r="D1525" s="210"/>
      <c r="E1525" s="204"/>
      <c r="F1525" s="205"/>
      <c r="G1525" s="205"/>
    </row>
    <row r="1526" ht="15.75" customHeight="1">
      <c r="A1526" s="224"/>
      <c r="B1526" s="186"/>
      <c r="C1526" s="210"/>
      <c r="D1526" s="210"/>
      <c r="E1526" s="204"/>
      <c r="F1526" s="205"/>
      <c r="G1526" s="205"/>
    </row>
    <row r="1527" ht="15.75" customHeight="1">
      <c r="A1527" s="224"/>
      <c r="B1527" s="186"/>
      <c r="C1527" s="210"/>
      <c r="D1527" s="210"/>
      <c r="E1527" s="204"/>
      <c r="F1527" s="205"/>
      <c r="G1527" s="205"/>
    </row>
    <row r="1528" ht="15.75" customHeight="1">
      <c r="A1528" s="224"/>
      <c r="B1528" s="186"/>
      <c r="C1528" s="210"/>
      <c r="D1528" s="210"/>
      <c r="E1528" s="204"/>
      <c r="F1528" s="205"/>
      <c r="G1528" s="205"/>
    </row>
    <row r="1529" ht="15.75" customHeight="1">
      <c r="A1529" s="224"/>
      <c r="B1529" s="186"/>
      <c r="C1529" s="210"/>
      <c r="D1529" s="210"/>
      <c r="E1529" s="204"/>
      <c r="F1529" s="205"/>
      <c r="G1529" s="205"/>
    </row>
    <row r="1530" ht="15.75" customHeight="1">
      <c r="A1530" s="224"/>
      <c r="B1530" s="186"/>
      <c r="C1530" s="210"/>
      <c r="D1530" s="210"/>
      <c r="E1530" s="204"/>
      <c r="F1530" s="205"/>
      <c r="G1530" s="205"/>
    </row>
    <row r="1531" ht="15.75" customHeight="1">
      <c r="A1531" s="224"/>
      <c r="B1531" s="186"/>
      <c r="C1531" s="210"/>
      <c r="D1531" s="210"/>
      <c r="E1531" s="204"/>
      <c r="F1531" s="205"/>
      <c r="G1531" s="205"/>
    </row>
    <row r="1532" ht="15.75" customHeight="1">
      <c r="A1532" s="224"/>
      <c r="B1532" s="186"/>
      <c r="C1532" s="210"/>
      <c r="D1532" s="210"/>
      <c r="E1532" s="204"/>
      <c r="F1532" s="205"/>
      <c r="G1532" s="205"/>
    </row>
    <row r="1533" ht="15.75" customHeight="1">
      <c r="A1533" s="224"/>
      <c r="B1533" s="186"/>
      <c r="C1533" s="210"/>
      <c r="D1533" s="210"/>
      <c r="E1533" s="204"/>
      <c r="F1533" s="205"/>
      <c r="G1533" s="205"/>
    </row>
    <row r="1534" ht="15.75" customHeight="1">
      <c r="A1534" s="224"/>
      <c r="B1534" s="186"/>
      <c r="C1534" s="210"/>
      <c r="D1534" s="210"/>
      <c r="E1534" s="204"/>
      <c r="F1534" s="205"/>
      <c r="G1534" s="205"/>
    </row>
    <row r="1535" ht="15.75" customHeight="1">
      <c r="A1535" s="224"/>
      <c r="B1535" s="186"/>
      <c r="C1535" s="210"/>
      <c r="D1535" s="210"/>
      <c r="E1535" s="204"/>
      <c r="F1535" s="205"/>
      <c r="G1535" s="205"/>
    </row>
    <row r="1536" ht="15.75" customHeight="1">
      <c r="A1536" s="224"/>
      <c r="B1536" s="186"/>
      <c r="C1536" s="210"/>
      <c r="D1536" s="210"/>
      <c r="E1536" s="204"/>
      <c r="F1536" s="205"/>
      <c r="G1536" s="205"/>
    </row>
    <row r="1537" ht="15.75" customHeight="1">
      <c r="A1537" s="224"/>
      <c r="B1537" s="186"/>
      <c r="C1537" s="210"/>
      <c r="D1537" s="210"/>
      <c r="E1537" s="204"/>
      <c r="F1537" s="205"/>
      <c r="G1537" s="205"/>
    </row>
    <row r="1538" ht="15.75" customHeight="1">
      <c r="A1538" s="224"/>
      <c r="B1538" s="186"/>
      <c r="C1538" s="210"/>
      <c r="D1538" s="210"/>
      <c r="E1538" s="204"/>
      <c r="F1538" s="205"/>
      <c r="G1538" s="205"/>
    </row>
    <row r="1539" ht="15.75" customHeight="1">
      <c r="A1539" s="224"/>
      <c r="B1539" s="186"/>
      <c r="C1539" s="210"/>
      <c r="D1539" s="210"/>
      <c r="E1539" s="204"/>
      <c r="F1539" s="205"/>
      <c r="G1539" s="205"/>
    </row>
    <row r="1540" ht="15.75" customHeight="1">
      <c r="A1540" s="224"/>
      <c r="B1540" s="186"/>
      <c r="C1540" s="210"/>
      <c r="D1540" s="210"/>
      <c r="E1540" s="204"/>
      <c r="F1540" s="205"/>
      <c r="G1540" s="205"/>
    </row>
    <row r="1541" ht="15.75" customHeight="1">
      <c r="A1541" s="224"/>
      <c r="B1541" s="186"/>
      <c r="C1541" s="210"/>
      <c r="D1541" s="210"/>
      <c r="E1541" s="204"/>
      <c r="F1541" s="205"/>
      <c r="G1541" s="205"/>
    </row>
    <row r="1542" ht="15.75" customHeight="1">
      <c r="A1542" s="224"/>
      <c r="B1542" s="186"/>
      <c r="C1542" s="210"/>
      <c r="D1542" s="210"/>
      <c r="E1542" s="204"/>
      <c r="F1542" s="205"/>
      <c r="G1542" s="205"/>
    </row>
    <row r="1543" ht="15.75" customHeight="1">
      <c r="A1543" s="224"/>
      <c r="B1543" s="186"/>
      <c r="C1543" s="210"/>
      <c r="D1543" s="210"/>
      <c r="E1543" s="204"/>
      <c r="F1543" s="205"/>
      <c r="G1543" s="205"/>
    </row>
    <row r="1544" ht="15.75" customHeight="1">
      <c r="A1544" s="224"/>
      <c r="B1544" s="186"/>
      <c r="C1544" s="210"/>
      <c r="D1544" s="210"/>
      <c r="E1544" s="204"/>
      <c r="F1544" s="205"/>
      <c r="G1544" s="205"/>
    </row>
    <row r="1545" ht="15.75" customHeight="1">
      <c r="A1545" s="224"/>
      <c r="B1545" s="186"/>
      <c r="C1545" s="210"/>
      <c r="D1545" s="210"/>
      <c r="E1545" s="204"/>
      <c r="F1545" s="205"/>
      <c r="G1545" s="205"/>
    </row>
    <row r="1546" ht="15.75" customHeight="1">
      <c r="A1546" s="224"/>
      <c r="B1546" s="186"/>
      <c r="C1546" s="210"/>
      <c r="D1546" s="210"/>
      <c r="E1546" s="204"/>
      <c r="F1546" s="205"/>
      <c r="G1546" s="205"/>
    </row>
    <row r="1547" ht="15.75" customHeight="1">
      <c r="A1547" s="224"/>
      <c r="B1547" s="186"/>
      <c r="C1547" s="210"/>
      <c r="D1547" s="210"/>
      <c r="E1547" s="204"/>
      <c r="F1547" s="205"/>
      <c r="G1547" s="205"/>
    </row>
    <row r="1548" ht="15.75" customHeight="1">
      <c r="A1548" s="224"/>
      <c r="B1548" s="186"/>
      <c r="C1548" s="210"/>
      <c r="D1548" s="210"/>
      <c r="E1548" s="204"/>
      <c r="F1548" s="205"/>
      <c r="G1548" s="205"/>
    </row>
    <row r="1549" ht="15.75" customHeight="1">
      <c r="A1549" s="224"/>
      <c r="B1549" s="186"/>
      <c r="C1549" s="210"/>
      <c r="D1549" s="210"/>
      <c r="E1549" s="204"/>
      <c r="F1549" s="205"/>
      <c r="G1549" s="205"/>
    </row>
    <row r="1550" ht="15.75" customHeight="1">
      <c r="A1550" s="224"/>
      <c r="B1550" s="186"/>
      <c r="C1550" s="210"/>
      <c r="D1550" s="210"/>
      <c r="E1550" s="204"/>
      <c r="F1550" s="205"/>
      <c r="G1550" s="205"/>
    </row>
    <row r="1551" ht="15.75" customHeight="1">
      <c r="A1551" s="224"/>
      <c r="B1551" s="186"/>
      <c r="C1551" s="210"/>
      <c r="D1551" s="210"/>
      <c r="E1551" s="204"/>
      <c r="F1551" s="205"/>
      <c r="G1551" s="205"/>
    </row>
    <row r="1552" ht="15.75" customHeight="1">
      <c r="A1552" s="224"/>
      <c r="B1552" s="186"/>
      <c r="C1552" s="210"/>
      <c r="D1552" s="210"/>
      <c r="E1552" s="204"/>
      <c r="F1552" s="205"/>
      <c r="G1552" s="205"/>
    </row>
    <row r="1553" ht="15.75" customHeight="1">
      <c r="A1553" s="224"/>
      <c r="B1553" s="186"/>
      <c r="C1553" s="210"/>
      <c r="D1553" s="210"/>
      <c r="E1553" s="204"/>
      <c r="F1553" s="205"/>
      <c r="G1553" s="205"/>
    </row>
    <row r="1554" ht="15.75" customHeight="1">
      <c r="A1554" s="224"/>
      <c r="B1554" s="186"/>
      <c r="C1554" s="210"/>
      <c r="D1554" s="210"/>
      <c r="E1554" s="204"/>
      <c r="F1554" s="205"/>
      <c r="G1554" s="205"/>
    </row>
    <row r="1555" ht="15.75" customHeight="1">
      <c r="A1555" s="224"/>
      <c r="B1555" s="186"/>
      <c r="C1555" s="210"/>
      <c r="D1555" s="210"/>
      <c r="E1555" s="204"/>
      <c r="F1555" s="205"/>
      <c r="G1555" s="205"/>
    </row>
    <row r="1556" ht="15.75" customHeight="1">
      <c r="A1556" s="224"/>
      <c r="B1556" s="186"/>
      <c r="C1556" s="210"/>
      <c r="D1556" s="210"/>
      <c r="E1556" s="204"/>
      <c r="F1556" s="205"/>
      <c r="G1556" s="205"/>
    </row>
    <row r="1557" ht="15.75" customHeight="1">
      <c r="A1557" s="224"/>
      <c r="B1557" s="186"/>
      <c r="C1557" s="210"/>
      <c r="D1557" s="210"/>
      <c r="E1557" s="204"/>
      <c r="F1557" s="205"/>
      <c r="G1557" s="205"/>
    </row>
    <row r="1558" ht="15.75" customHeight="1">
      <c r="A1558" s="224"/>
      <c r="B1558" s="186"/>
      <c r="C1558" s="210"/>
      <c r="D1558" s="210"/>
      <c r="E1558" s="204"/>
      <c r="F1558" s="205"/>
      <c r="G1558" s="205"/>
    </row>
    <row r="1559" ht="15.75" customHeight="1">
      <c r="A1559" s="224"/>
      <c r="B1559" s="186"/>
      <c r="C1559" s="210"/>
      <c r="D1559" s="210"/>
      <c r="E1559" s="204"/>
      <c r="F1559" s="205"/>
      <c r="G1559" s="205"/>
    </row>
    <row r="1560" ht="15.75" customHeight="1">
      <c r="A1560" s="224"/>
      <c r="B1560" s="186"/>
      <c r="C1560" s="210"/>
      <c r="D1560" s="210"/>
      <c r="E1560" s="204"/>
      <c r="F1560" s="205"/>
      <c r="G1560" s="205"/>
    </row>
    <row r="1561" ht="15.75" customHeight="1">
      <c r="A1561" s="224"/>
      <c r="B1561" s="186"/>
      <c r="C1561" s="210"/>
      <c r="D1561" s="210"/>
      <c r="E1561" s="204"/>
      <c r="F1561" s="205"/>
      <c r="G1561" s="205"/>
    </row>
    <row r="1562" ht="15.75" customHeight="1">
      <c r="A1562" s="224"/>
      <c r="B1562" s="186"/>
      <c r="C1562" s="210"/>
      <c r="D1562" s="210"/>
      <c r="E1562" s="204"/>
      <c r="F1562" s="205"/>
      <c r="G1562" s="205"/>
    </row>
    <row r="1563" ht="15.75" customHeight="1">
      <c r="A1563" s="224"/>
      <c r="B1563" s="186"/>
      <c r="C1563" s="210"/>
      <c r="D1563" s="210"/>
      <c r="E1563" s="204"/>
      <c r="F1563" s="205"/>
      <c r="G1563" s="205"/>
    </row>
    <row r="1564" ht="15.75" customHeight="1">
      <c r="A1564" s="224"/>
      <c r="B1564" s="186"/>
      <c r="C1564" s="210"/>
      <c r="D1564" s="210"/>
      <c r="E1564" s="204"/>
      <c r="F1564" s="205"/>
      <c r="G1564" s="205"/>
    </row>
    <row r="1565" ht="15.75" customHeight="1">
      <c r="A1565" s="224"/>
      <c r="B1565" s="186"/>
      <c r="C1565" s="210"/>
      <c r="D1565" s="210"/>
      <c r="E1565" s="204"/>
      <c r="F1565" s="205"/>
      <c r="G1565" s="205"/>
    </row>
    <row r="1566" ht="15.75" customHeight="1">
      <c r="A1566" s="224"/>
      <c r="B1566" s="186"/>
      <c r="C1566" s="210"/>
      <c r="D1566" s="210"/>
      <c r="E1566" s="204"/>
      <c r="F1566" s="205"/>
      <c r="G1566" s="205"/>
    </row>
    <row r="1567" ht="15.75" customHeight="1">
      <c r="A1567" s="224"/>
      <c r="B1567" s="186"/>
      <c r="C1567" s="210"/>
      <c r="D1567" s="210"/>
      <c r="E1567" s="204"/>
      <c r="F1567" s="205"/>
      <c r="G1567" s="205"/>
    </row>
    <row r="1568" ht="15.75" customHeight="1">
      <c r="A1568" s="224"/>
      <c r="B1568" s="186"/>
      <c r="C1568" s="210"/>
      <c r="D1568" s="210"/>
      <c r="E1568" s="204"/>
      <c r="F1568" s="205"/>
      <c r="G1568" s="205"/>
    </row>
    <row r="1569" ht="15.75" customHeight="1">
      <c r="A1569" s="224"/>
      <c r="B1569" s="186"/>
      <c r="C1569" s="210"/>
      <c r="D1569" s="210"/>
      <c r="E1569" s="204"/>
      <c r="F1569" s="205"/>
      <c r="G1569" s="205"/>
    </row>
    <row r="1570" ht="15.75" customHeight="1">
      <c r="A1570" s="224"/>
      <c r="B1570" s="186"/>
      <c r="C1570" s="210"/>
      <c r="D1570" s="210"/>
      <c r="E1570" s="204"/>
      <c r="F1570" s="205"/>
      <c r="G1570" s="205"/>
    </row>
    <row r="1571" ht="15.75" customHeight="1">
      <c r="A1571" s="224"/>
      <c r="B1571" s="186"/>
      <c r="C1571" s="210"/>
      <c r="D1571" s="210"/>
      <c r="E1571" s="204"/>
      <c r="F1571" s="205"/>
      <c r="G1571" s="205"/>
    </row>
    <row r="1572" ht="15.75" customHeight="1">
      <c r="A1572" s="224"/>
      <c r="B1572" s="186"/>
      <c r="C1572" s="210"/>
      <c r="D1572" s="210"/>
      <c r="E1572" s="204"/>
      <c r="F1572" s="205"/>
      <c r="G1572" s="205"/>
    </row>
    <row r="1573" ht="15.75" customHeight="1">
      <c r="A1573" s="224"/>
      <c r="B1573" s="186"/>
      <c r="C1573" s="210"/>
      <c r="D1573" s="210"/>
      <c r="E1573" s="204"/>
      <c r="F1573" s="205"/>
      <c r="G1573" s="205"/>
    </row>
    <row r="1574" ht="15.75" customHeight="1">
      <c r="A1574" s="224"/>
      <c r="B1574" s="186"/>
      <c r="C1574" s="210"/>
      <c r="D1574" s="210"/>
      <c r="E1574" s="204"/>
      <c r="F1574" s="205"/>
      <c r="G1574" s="205"/>
    </row>
    <row r="1575" ht="15.75" customHeight="1">
      <c r="A1575" s="224"/>
      <c r="B1575" s="186"/>
      <c r="C1575" s="210"/>
      <c r="D1575" s="210"/>
      <c r="E1575" s="204"/>
      <c r="F1575" s="205"/>
      <c r="G1575" s="205"/>
    </row>
    <row r="1576" ht="15.75" customHeight="1">
      <c r="A1576" s="224"/>
      <c r="B1576" s="186"/>
      <c r="C1576" s="210"/>
      <c r="D1576" s="210"/>
      <c r="E1576" s="204"/>
      <c r="F1576" s="205"/>
      <c r="G1576" s="205"/>
    </row>
    <row r="1577" ht="15.75" customHeight="1">
      <c r="A1577" s="224"/>
      <c r="B1577" s="186"/>
      <c r="C1577" s="210"/>
      <c r="D1577" s="210"/>
      <c r="E1577" s="204"/>
      <c r="F1577" s="205"/>
      <c r="G1577" s="205"/>
    </row>
    <row r="1578" ht="15.75" customHeight="1">
      <c r="A1578" s="224"/>
      <c r="B1578" s="186"/>
      <c r="C1578" s="210"/>
      <c r="D1578" s="210"/>
      <c r="E1578" s="204"/>
      <c r="F1578" s="205"/>
      <c r="G1578" s="205"/>
    </row>
    <row r="1579" ht="15.75" customHeight="1">
      <c r="A1579" s="224"/>
      <c r="B1579" s="186"/>
      <c r="C1579" s="210"/>
      <c r="D1579" s="210"/>
      <c r="E1579" s="204"/>
      <c r="F1579" s="205"/>
      <c r="G1579" s="205"/>
    </row>
    <row r="1580" ht="15.75" customHeight="1">
      <c r="A1580" s="224"/>
      <c r="B1580" s="186"/>
      <c r="C1580" s="210"/>
      <c r="D1580" s="210"/>
      <c r="E1580" s="204"/>
      <c r="F1580" s="205"/>
      <c r="G1580" s="205"/>
    </row>
    <row r="1581" ht="15.75" customHeight="1">
      <c r="A1581" s="224"/>
      <c r="B1581" s="186"/>
      <c r="C1581" s="210"/>
      <c r="D1581" s="210"/>
      <c r="E1581" s="204"/>
      <c r="F1581" s="205"/>
      <c r="G1581" s="205"/>
    </row>
    <row r="1582" ht="15.75" customHeight="1">
      <c r="A1582" s="224"/>
      <c r="B1582" s="186"/>
      <c r="C1582" s="210"/>
      <c r="D1582" s="210"/>
      <c r="E1582" s="204"/>
      <c r="F1582" s="205"/>
      <c r="G1582" s="205"/>
    </row>
    <row r="1583" ht="15.75" customHeight="1">
      <c r="A1583" s="224"/>
      <c r="B1583" s="186"/>
      <c r="C1583" s="210"/>
      <c r="D1583" s="210"/>
      <c r="E1583" s="204"/>
      <c r="F1583" s="205"/>
      <c r="G1583" s="205"/>
    </row>
    <row r="1584" ht="15.75" customHeight="1">
      <c r="A1584" s="224"/>
      <c r="B1584" s="186"/>
      <c r="C1584" s="210"/>
      <c r="D1584" s="210"/>
      <c r="E1584" s="204"/>
      <c r="F1584" s="205"/>
      <c r="G1584" s="205"/>
    </row>
    <row r="1585" ht="15.75" customHeight="1">
      <c r="A1585" s="224"/>
      <c r="B1585" s="186"/>
      <c r="C1585" s="210"/>
      <c r="D1585" s="210"/>
      <c r="E1585" s="204"/>
      <c r="F1585" s="205"/>
      <c r="G1585" s="205"/>
    </row>
    <row r="1586" ht="15.75" customHeight="1">
      <c r="A1586" s="224"/>
      <c r="B1586" s="186"/>
      <c r="C1586" s="210"/>
      <c r="D1586" s="210"/>
      <c r="E1586" s="204"/>
      <c r="F1586" s="205"/>
      <c r="G1586" s="205"/>
    </row>
    <row r="1587" ht="15.75" customHeight="1">
      <c r="A1587" s="224"/>
      <c r="B1587" s="186"/>
      <c r="C1587" s="210"/>
      <c r="D1587" s="210"/>
      <c r="E1587" s="204"/>
      <c r="F1587" s="205"/>
      <c r="G1587" s="205"/>
    </row>
    <row r="1588" ht="15.75" customHeight="1">
      <c r="A1588" s="224"/>
      <c r="B1588" s="186"/>
      <c r="C1588" s="210"/>
      <c r="D1588" s="210"/>
      <c r="E1588" s="204"/>
      <c r="F1588" s="205"/>
      <c r="G1588" s="205"/>
    </row>
    <row r="1589" ht="15.75" customHeight="1">
      <c r="A1589" s="224"/>
      <c r="B1589" s="186"/>
      <c r="C1589" s="210"/>
      <c r="D1589" s="210"/>
      <c r="E1589" s="204"/>
      <c r="F1589" s="205"/>
      <c r="G1589" s="205"/>
    </row>
    <row r="1590" ht="15.75" customHeight="1">
      <c r="A1590" s="224"/>
      <c r="B1590" s="186"/>
      <c r="C1590" s="210"/>
      <c r="D1590" s="210"/>
      <c r="E1590" s="204"/>
      <c r="F1590" s="205"/>
      <c r="G1590" s="205"/>
    </row>
    <row r="1591" ht="15.75" customHeight="1">
      <c r="A1591" s="224"/>
      <c r="B1591" s="186"/>
      <c r="C1591" s="210"/>
      <c r="D1591" s="210"/>
      <c r="E1591" s="204"/>
      <c r="F1591" s="205"/>
      <c r="G1591" s="205"/>
    </row>
    <row r="1592" ht="15.75" customHeight="1">
      <c r="A1592" s="224"/>
      <c r="B1592" s="186"/>
      <c r="C1592" s="210"/>
      <c r="D1592" s="210"/>
      <c r="E1592" s="204"/>
      <c r="F1592" s="205"/>
      <c r="G1592" s="205"/>
    </row>
    <row r="1593" ht="15.75" customHeight="1">
      <c r="A1593" s="224"/>
      <c r="B1593" s="186"/>
      <c r="C1593" s="210"/>
      <c r="D1593" s="210"/>
      <c r="E1593" s="204"/>
      <c r="F1593" s="205"/>
      <c r="G1593" s="205"/>
    </row>
    <row r="1594" ht="15.75" customHeight="1">
      <c r="A1594" s="224"/>
      <c r="B1594" s="186"/>
      <c r="C1594" s="210"/>
      <c r="D1594" s="210"/>
      <c r="E1594" s="204"/>
      <c r="F1594" s="205"/>
      <c r="G1594" s="205"/>
    </row>
    <row r="1595" ht="15.75" customHeight="1">
      <c r="A1595" s="224"/>
      <c r="B1595" s="186"/>
      <c r="C1595" s="210"/>
      <c r="D1595" s="210"/>
      <c r="E1595" s="204"/>
      <c r="F1595" s="205"/>
      <c r="G1595" s="205"/>
    </row>
    <row r="1596" ht="15.75" customHeight="1">
      <c r="A1596" s="224"/>
      <c r="B1596" s="186"/>
      <c r="C1596" s="210"/>
      <c r="D1596" s="210"/>
      <c r="E1596" s="204"/>
      <c r="F1596" s="205"/>
      <c r="G1596" s="205"/>
    </row>
    <row r="1597" ht="15.75" customHeight="1">
      <c r="A1597" s="224"/>
      <c r="B1597" s="186"/>
      <c r="C1597" s="210"/>
      <c r="D1597" s="210"/>
      <c r="E1597" s="204"/>
      <c r="F1597" s="205"/>
      <c r="G1597" s="205"/>
    </row>
    <row r="1598" ht="15.75" customHeight="1">
      <c r="A1598" s="224"/>
      <c r="B1598" s="186"/>
      <c r="C1598" s="210"/>
      <c r="D1598" s="210"/>
      <c r="E1598" s="204"/>
      <c r="F1598" s="205"/>
      <c r="G1598" s="205"/>
    </row>
    <row r="1599" ht="15.75" customHeight="1">
      <c r="A1599" s="224"/>
      <c r="B1599" s="186"/>
      <c r="C1599" s="210"/>
      <c r="D1599" s="210"/>
      <c r="E1599" s="204"/>
      <c r="F1599" s="205"/>
      <c r="G1599" s="205"/>
    </row>
    <row r="1600" ht="15.75" customHeight="1">
      <c r="A1600" s="224"/>
      <c r="B1600" s="186"/>
      <c r="C1600" s="210"/>
      <c r="D1600" s="210"/>
      <c r="E1600" s="204"/>
      <c r="F1600" s="205"/>
      <c r="G1600" s="205"/>
    </row>
    <row r="1601" ht="15.75" customHeight="1">
      <c r="A1601" s="224"/>
      <c r="B1601" s="186"/>
      <c r="C1601" s="210"/>
      <c r="D1601" s="210"/>
      <c r="E1601" s="204"/>
      <c r="F1601" s="205"/>
      <c r="G1601" s="205"/>
    </row>
    <row r="1602" ht="15.75" customHeight="1">
      <c r="A1602" s="224"/>
      <c r="B1602" s="186"/>
      <c r="C1602" s="210"/>
      <c r="D1602" s="210"/>
      <c r="E1602" s="204"/>
      <c r="F1602" s="205"/>
      <c r="G1602" s="205"/>
    </row>
    <row r="1603" ht="15.75" customHeight="1">
      <c r="A1603" s="224"/>
      <c r="B1603" s="186"/>
      <c r="C1603" s="210"/>
      <c r="D1603" s="210"/>
      <c r="E1603" s="204"/>
      <c r="F1603" s="205"/>
      <c r="G1603" s="205"/>
    </row>
    <row r="1604" ht="15.75" customHeight="1">
      <c r="A1604" s="224"/>
      <c r="B1604" s="186"/>
      <c r="C1604" s="210"/>
      <c r="D1604" s="210"/>
      <c r="E1604" s="204"/>
      <c r="F1604" s="205"/>
      <c r="G1604" s="205"/>
    </row>
    <row r="1605" ht="15.75" customHeight="1">
      <c r="A1605" s="224"/>
      <c r="B1605" s="186"/>
      <c r="C1605" s="210"/>
      <c r="D1605" s="210"/>
      <c r="E1605" s="204"/>
      <c r="F1605" s="205"/>
      <c r="G1605" s="205"/>
    </row>
    <row r="1606" ht="15.75" customHeight="1">
      <c r="A1606" s="224"/>
      <c r="B1606" s="186"/>
      <c r="C1606" s="210"/>
      <c r="D1606" s="210"/>
      <c r="E1606" s="204"/>
      <c r="F1606" s="205"/>
      <c r="G1606" s="205"/>
    </row>
    <row r="1607" ht="15.75" customHeight="1">
      <c r="A1607" s="224"/>
      <c r="B1607" s="186"/>
      <c r="C1607" s="210"/>
      <c r="D1607" s="210"/>
      <c r="E1607" s="204"/>
      <c r="F1607" s="205"/>
      <c r="G1607" s="205"/>
    </row>
    <row r="1608" ht="15.75" customHeight="1">
      <c r="A1608" s="224"/>
      <c r="B1608" s="186"/>
      <c r="C1608" s="210"/>
      <c r="D1608" s="210"/>
      <c r="E1608" s="204"/>
      <c r="F1608" s="205"/>
      <c r="G1608" s="205"/>
    </row>
    <row r="1609" ht="15.75" customHeight="1">
      <c r="A1609" s="224"/>
      <c r="B1609" s="186"/>
      <c r="C1609" s="210"/>
      <c r="D1609" s="210"/>
      <c r="E1609" s="204"/>
      <c r="F1609" s="205"/>
      <c r="G1609" s="205"/>
    </row>
    <row r="1610" ht="15.75" customHeight="1">
      <c r="A1610" s="224"/>
      <c r="B1610" s="186"/>
      <c r="C1610" s="210"/>
      <c r="D1610" s="210"/>
      <c r="E1610" s="204"/>
      <c r="F1610" s="205"/>
      <c r="G1610" s="205"/>
    </row>
    <row r="1611" ht="15.75" customHeight="1">
      <c r="A1611" s="224"/>
      <c r="B1611" s="186"/>
      <c r="C1611" s="210"/>
      <c r="D1611" s="210"/>
      <c r="E1611" s="204"/>
      <c r="F1611" s="205"/>
      <c r="G1611" s="205"/>
    </row>
    <row r="1612" ht="15.75" customHeight="1">
      <c r="A1612" s="224"/>
      <c r="B1612" s="186"/>
      <c r="C1612" s="210"/>
      <c r="D1612" s="210"/>
      <c r="E1612" s="204"/>
      <c r="F1612" s="205"/>
      <c r="G1612" s="205"/>
    </row>
    <row r="1613" ht="15.75" customHeight="1">
      <c r="A1613" s="224"/>
      <c r="B1613" s="186"/>
      <c r="C1613" s="210"/>
      <c r="D1613" s="210"/>
      <c r="E1613" s="204"/>
      <c r="F1613" s="205"/>
      <c r="G1613" s="205"/>
    </row>
    <row r="1614" ht="15.75" customHeight="1">
      <c r="A1614" s="224"/>
      <c r="B1614" s="186"/>
      <c r="C1614" s="210"/>
      <c r="D1614" s="210"/>
      <c r="E1614" s="204"/>
      <c r="F1614" s="205"/>
      <c r="G1614" s="205"/>
    </row>
    <row r="1615" ht="15.75" customHeight="1">
      <c r="A1615" s="224"/>
      <c r="B1615" s="186"/>
      <c r="C1615" s="210"/>
      <c r="D1615" s="210"/>
      <c r="E1615" s="204"/>
      <c r="F1615" s="205"/>
      <c r="G1615" s="205"/>
    </row>
    <row r="1616" ht="15.75" customHeight="1">
      <c r="A1616" s="224"/>
      <c r="B1616" s="186"/>
      <c r="C1616" s="210"/>
      <c r="D1616" s="210"/>
      <c r="E1616" s="204"/>
      <c r="F1616" s="205"/>
      <c r="G1616" s="205"/>
    </row>
    <row r="1617" ht="15.75" customHeight="1">
      <c r="A1617" s="224"/>
      <c r="B1617" s="186"/>
      <c r="C1617" s="210"/>
      <c r="D1617" s="210"/>
      <c r="E1617" s="204"/>
      <c r="F1617" s="205"/>
      <c r="G1617" s="205"/>
    </row>
    <row r="1618" ht="15.75" customHeight="1">
      <c r="A1618" s="224"/>
      <c r="B1618" s="186"/>
      <c r="C1618" s="210"/>
      <c r="D1618" s="210"/>
      <c r="E1618" s="204"/>
      <c r="F1618" s="205"/>
      <c r="G1618" s="205"/>
    </row>
    <row r="1619" ht="15.75" customHeight="1">
      <c r="A1619" s="224"/>
      <c r="B1619" s="186"/>
      <c r="C1619" s="210"/>
      <c r="D1619" s="210"/>
      <c r="E1619" s="204"/>
      <c r="F1619" s="205"/>
      <c r="G1619" s="205"/>
    </row>
    <row r="1620" ht="15.75" customHeight="1">
      <c r="A1620" s="224"/>
      <c r="B1620" s="186"/>
      <c r="C1620" s="210"/>
      <c r="D1620" s="210"/>
      <c r="E1620" s="204"/>
      <c r="F1620" s="205"/>
      <c r="G1620" s="205"/>
    </row>
    <row r="1621" ht="15.75" customHeight="1">
      <c r="A1621" s="224"/>
      <c r="B1621" s="186"/>
      <c r="C1621" s="210"/>
      <c r="D1621" s="210"/>
      <c r="E1621" s="204"/>
      <c r="F1621" s="205"/>
      <c r="G1621" s="205"/>
    </row>
    <row r="1622" ht="15.75" customHeight="1">
      <c r="A1622" s="224"/>
      <c r="B1622" s="186"/>
      <c r="C1622" s="210"/>
      <c r="D1622" s="210"/>
      <c r="E1622" s="204"/>
      <c r="F1622" s="205"/>
      <c r="G1622" s="205"/>
    </row>
    <row r="1623" ht="15.75" customHeight="1">
      <c r="A1623" s="224"/>
      <c r="B1623" s="186"/>
      <c r="C1623" s="210"/>
      <c r="D1623" s="210"/>
      <c r="E1623" s="204"/>
      <c r="F1623" s="205"/>
      <c r="G1623" s="205"/>
    </row>
    <row r="1624" ht="15.75" customHeight="1">
      <c r="A1624" s="224"/>
      <c r="B1624" s="186"/>
      <c r="C1624" s="210"/>
      <c r="D1624" s="210"/>
      <c r="E1624" s="204"/>
      <c r="F1624" s="205"/>
      <c r="G1624" s="205"/>
    </row>
    <row r="1625" ht="15.75" customHeight="1">
      <c r="A1625" s="224"/>
      <c r="B1625" s="186"/>
      <c r="C1625" s="210"/>
      <c r="D1625" s="210"/>
      <c r="E1625" s="204"/>
      <c r="F1625" s="205"/>
      <c r="G1625" s="205"/>
    </row>
    <row r="1626" ht="15.75" customHeight="1">
      <c r="A1626" s="224"/>
      <c r="B1626" s="186"/>
      <c r="C1626" s="210"/>
      <c r="D1626" s="210"/>
      <c r="E1626" s="204"/>
      <c r="F1626" s="205"/>
      <c r="G1626" s="205"/>
    </row>
    <row r="1627" ht="15.75" customHeight="1">
      <c r="A1627" s="224"/>
      <c r="B1627" s="186"/>
      <c r="C1627" s="210"/>
      <c r="D1627" s="210"/>
      <c r="E1627" s="204"/>
      <c r="F1627" s="205"/>
      <c r="G1627" s="205"/>
    </row>
    <row r="1628" ht="15.75" customHeight="1">
      <c r="A1628" s="224"/>
      <c r="B1628" s="186"/>
      <c r="C1628" s="210"/>
      <c r="D1628" s="210"/>
      <c r="E1628" s="204"/>
      <c r="F1628" s="205"/>
      <c r="G1628" s="205"/>
    </row>
    <row r="1629" ht="15.75" customHeight="1">
      <c r="A1629" s="224"/>
      <c r="B1629" s="186"/>
      <c r="C1629" s="210"/>
      <c r="D1629" s="210"/>
      <c r="E1629" s="204"/>
      <c r="F1629" s="205"/>
      <c r="G1629" s="205"/>
    </row>
    <row r="1630" ht="15.75" customHeight="1">
      <c r="A1630" s="224"/>
      <c r="B1630" s="186"/>
      <c r="C1630" s="210"/>
      <c r="D1630" s="210"/>
      <c r="E1630" s="204"/>
      <c r="F1630" s="205"/>
      <c r="G1630" s="205"/>
    </row>
    <row r="1631" ht="15.75" customHeight="1">
      <c r="A1631" s="224"/>
      <c r="B1631" s="186"/>
      <c r="C1631" s="210"/>
      <c r="D1631" s="210"/>
      <c r="E1631" s="204"/>
      <c r="F1631" s="205"/>
      <c r="G1631" s="205"/>
    </row>
    <row r="1632" ht="15.75" customHeight="1">
      <c r="A1632" s="224"/>
      <c r="B1632" s="186"/>
      <c r="C1632" s="210"/>
      <c r="D1632" s="210"/>
      <c r="E1632" s="204"/>
      <c r="F1632" s="205"/>
      <c r="G1632" s="205"/>
    </row>
    <row r="1633" ht="15.75" customHeight="1">
      <c r="A1633" s="224"/>
      <c r="B1633" s="186"/>
      <c r="C1633" s="210"/>
      <c r="D1633" s="210"/>
      <c r="E1633" s="204"/>
      <c r="F1633" s="205"/>
      <c r="G1633" s="205"/>
    </row>
    <row r="1634" ht="15.75" customHeight="1">
      <c r="A1634" s="224"/>
      <c r="B1634" s="186"/>
      <c r="C1634" s="210"/>
      <c r="D1634" s="210"/>
      <c r="E1634" s="204"/>
      <c r="F1634" s="205"/>
      <c r="G1634" s="205"/>
    </row>
    <row r="1635" ht="15.75" customHeight="1">
      <c r="A1635" s="224"/>
      <c r="B1635" s="186"/>
      <c r="C1635" s="210"/>
      <c r="D1635" s="210"/>
      <c r="E1635" s="204"/>
      <c r="F1635" s="205"/>
      <c r="G1635" s="205"/>
    </row>
    <row r="1636" ht="15.75" customHeight="1">
      <c r="A1636" s="224"/>
      <c r="B1636" s="186"/>
      <c r="C1636" s="210"/>
      <c r="D1636" s="210"/>
      <c r="E1636" s="204"/>
      <c r="F1636" s="205"/>
      <c r="G1636" s="205"/>
    </row>
    <row r="1637" ht="15.75" customHeight="1">
      <c r="A1637" s="224"/>
      <c r="B1637" s="186"/>
      <c r="C1637" s="210"/>
      <c r="D1637" s="210"/>
      <c r="E1637" s="204"/>
      <c r="F1637" s="205"/>
      <c r="G1637" s="205"/>
    </row>
    <row r="1638" ht="15.75" customHeight="1">
      <c r="A1638" s="224"/>
      <c r="B1638" s="186"/>
      <c r="C1638" s="210"/>
      <c r="D1638" s="210"/>
      <c r="E1638" s="204"/>
      <c r="F1638" s="205"/>
      <c r="G1638" s="205"/>
    </row>
    <row r="1639" ht="15.75" customHeight="1">
      <c r="A1639" s="224"/>
      <c r="B1639" s="186"/>
      <c r="C1639" s="210"/>
      <c r="D1639" s="210"/>
      <c r="E1639" s="204"/>
      <c r="F1639" s="205"/>
      <c r="G1639" s="205"/>
    </row>
    <row r="1640" ht="15.75" customHeight="1">
      <c r="A1640" s="224"/>
      <c r="B1640" s="186"/>
      <c r="C1640" s="210"/>
      <c r="D1640" s="210"/>
      <c r="E1640" s="204"/>
      <c r="F1640" s="205"/>
      <c r="G1640" s="205"/>
    </row>
    <row r="1641" ht="15.75" customHeight="1">
      <c r="A1641" s="224"/>
      <c r="B1641" s="186"/>
      <c r="C1641" s="210"/>
      <c r="D1641" s="210"/>
      <c r="E1641" s="204"/>
      <c r="F1641" s="205"/>
      <c r="G1641" s="205"/>
    </row>
    <row r="1642" ht="15.75" customHeight="1">
      <c r="A1642" s="224"/>
      <c r="B1642" s="186"/>
      <c r="C1642" s="210"/>
      <c r="D1642" s="210"/>
      <c r="E1642" s="204"/>
      <c r="F1642" s="205"/>
      <c r="G1642" s="205"/>
    </row>
    <row r="1643" ht="15.75" customHeight="1">
      <c r="A1643" s="224"/>
      <c r="B1643" s="186"/>
      <c r="C1643" s="210"/>
      <c r="D1643" s="210"/>
      <c r="E1643" s="204"/>
      <c r="F1643" s="205"/>
      <c r="G1643" s="205"/>
    </row>
    <row r="1644" ht="15.75" customHeight="1">
      <c r="A1644" s="224"/>
      <c r="B1644" s="186"/>
      <c r="C1644" s="210"/>
      <c r="D1644" s="210"/>
      <c r="E1644" s="204"/>
      <c r="F1644" s="205"/>
      <c r="G1644" s="205"/>
    </row>
    <row r="1645" ht="15.75" customHeight="1">
      <c r="A1645" s="224"/>
      <c r="B1645" s="186"/>
      <c r="C1645" s="210"/>
      <c r="D1645" s="210"/>
      <c r="E1645" s="204"/>
      <c r="F1645" s="205"/>
      <c r="G1645" s="205"/>
    </row>
    <row r="1646" ht="15.75" customHeight="1">
      <c r="A1646" s="224"/>
      <c r="B1646" s="186"/>
      <c r="C1646" s="210"/>
      <c r="D1646" s="210"/>
      <c r="E1646" s="204"/>
      <c r="F1646" s="205"/>
      <c r="G1646" s="205"/>
    </row>
    <row r="1647" ht="15.75" customHeight="1">
      <c r="A1647" s="224"/>
      <c r="B1647" s="186"/>
      <c r="C1647" s="210"/>
      <c r="D1647" s="210"/>
      <c r="E1647" s="204"/>
      <c r="F1647" s="205"/>
      <c r="G1647" s="205"/>
    </row>
    <row r="1648" ht="15.75" customHeight="1">
      <c r="A1648" s="224"/>
      <c r="B1648" s="186"/>
      <c r="C1648" s="210"/>
      <c r="D1648" s="210"/>
      <c r="E1648" s="204"/>
      <c r="F1648" s="205"/>
      <c r="G1648" s="205"/>
    </row>
    <row r="1649" ht="15.75" customHeight="1">
      <c r="A1649" s="224"/>
      <c r="B1649" s="186"/>
      <c r="C1649" s="210"/>
      <c r="D1649" s="210"/>
      <c r="E1649" s="204"/>
      <c r="F1649" s="205"/>
      <c r="G1649" s="205"/>
    </row>
    <row r="1650" ht="15.75" customHeight="1">
      <c r="A1650" s="224"/>
      <c r="B1650" s="186"/>
      <c r="C1650" s="210"/>
      <c r="D1650" s="210"/>
      <c r="E1650" s="204"/>
      <c r="F1650" s="205"/>
      <c r="G1650" s="205"/>
    </row>
    <row r="1651" ht="15.75" customHeight="1">
      <c r="A1651" s="224"/>
      <c r="B1651" s="186"/>
      <c r="C1651" s="210"/>
      <c r="D1651" s="210"/>
      <c r="E1651" s="204"/>
      <c r="F1651" s="205"/>
      <c r="G1651" s="205"/>
    </row>
    <row r="1652" ht="15.75" customHeight="1">
      <c r="A1652" s="224"/>
      <c r="B1652" s="186"/>
      <c r="C1652" s="210"/>
      <c r="D1652" s="210"/>
      <c r="E1652" s="204"/>
      <c r="F1652" s="205"/>
      <c r="G1652" s="205"/>
    </row>
    <row r="1653" ht="15.75" customHeight="1">
      <c r="A1653" s="224"/>
      <c r="B1653" s="186"/>
      <c r="C1653" s="210"/>
      <c r="D1653" s="210"/>
      <c r="E1653" s="204"/>
      <c r="F1653" s="205"/>
      <c r="G1653" s="205"/>
    </row>
    <row r="1654" ht="15.75" customHeight="1">
      <c r="A1654" s="224"/>
      <c r="B1654" s="186"/>
      <c r="C1654" s="210"/>
      <c r="D1654" s="210"/>
      <c r="E1654" s="204"/>
      <c r="F1654" s="205"/>
      <c r="G1654" s="205"/>
    </row>
    <row r="1655" ht="15.75" customHeight="1">
      <c r="A1655" s="224"/>
      <c r="B1655" s="186"/>
      <c r="C1655" s="210"/>
      <c r="D1655" s="210"/>
      <c r="E1655" s="204"/>
      <c r="F1655" s="205"/>
      <c r="G1655" s="205"/>
    </row>
    <row r="1656" ht="15.75" customHeight="1">
      <c r="A1656" s="224"/>
      <c r="B1656" s="186"/>
      <c r="C1656" s="210"/>
      <c r="D1656" s="210"/>
      <c r="E1656" s="204"/>
      <c r="F1656" s="205"/>
      <c r="G1656" s="205"/>
    </row>
    <row r="1657" ht="15.75" customHeight="1">
      <c r="A1657" s="224"/>
      <c r="B1657" s="186"/>
      <c r="C1657" s="210"/>
      <c r="D1657" s="210"/>
      <c r="E1657" s="204"/>
      <c r="F1657" s="205"/>
      <c r="G1657" s="205"/>
    </row>
    <row r="1658" ht="15.75" customHeight="1">
      <c r="A1658" s="224"/>
      <c r="B1658" s="186"/>
      <c r="C1658" s="210"/>
      <c r="D1658" s="210"/>
      <c r="E1658" s="204"/>
      <c r="F1658" s="205"/>
      <c r="G1658" s="205"/>
    </row>
    <row r="1659" ht="15.75" customHeight="1">
      <c r="A1659" s="224"/>
      <c r="B1659" s="186"/>
      <c r="C1659" s="210"/>
      <c r="D1659" s="210"/>
      <c r="E1659" s="204"/>
      <c r="F1659" s="205"/>
      <c r="G1659" s="205"/>
    </row>
    <row r="1660" ht="15.75" customHeight="1">
      <c r="A1660" s="224"/>
      <c r="B1660" s="186"/>
      <c r="C1660" s="210"/>
      <c r="D1660" s="210"/>
      <c r="E1660" s="204"/>
      <c r="F1660" s="205"/>
      <c r="G1660" s="205"/>
    </row>
    <row r="1661" ht="15.75" customHeight="1">
      <c r="A1661" s="224"/>
      <c r="B1661" s="186"/>
      <c r="C1661" s="210"/>
      <c r="D1661" s="210"/>
      <c r="E1661" s="204"/>
      <c r="F1661" s="205"/>
      <c r="G1661" s="205"/>
    </row>
    <row r="1662" ht="15.75" customHeight="1">
      <c r="A1662" s="224"/>
      <c r="B1662" s="186"/>
      <c r="C1662" s="210"/>
      <c r="D1662" s="210"/>
      <c r="E1662" s="204"/>
      <c r="F1662" s="205"/>
      <c r="G1662" s="205"/>
    </row>
    <row r="1663" ht="15.75" customHeight="1">
      <c r="A1663" s="224"/>
      <c r="B1663" s="186"/>
      <c r="C1663" s="210"/>
      <c r="D1663" s="210"/>
      <c r="E1663" s="204"/>
      <c r="F1663" s="205"/>
      <c r="G1663" s="205"/>
    </row>
    <row r="1664" ht="15.75" customHeight="1">
      <c r="A1664" s="224"/>
      <c r="B1664" s="186"/>
      <c r="C1664" s="210"/>
      <c r="D1664" s="210"/>
      <c r="E1664" s="204"/>
      <c r="F1664" s="205"/>
      <c r="G1664" s="205"/>
    </row>
    <row r="1665" ht="15.75" customHeight="1">
      <c r="A1665" s="224"/>
      <c r="B1665" s="186"/>
      <c r="C1665" s="210"/>
      <c r="D1665" s="210"/>
      <c r="E1665" s="204"/>
      <c r="F1665" s="205"/>
      <c r="G1665" s="205"/>
    </row>
    <row r="1666" ht="15.75" customHeight="1">
      <c r="A1666" s="224"/>
      <c r="B1666" s="186"/>
      <c r="C1666" s="210"/>
      <c r="D1666" s="210"/>
      <c r="E1666" s="204"/>
      <c r="F1666" s="205"/>
      <c r="G1666" s="205"/>
    </row>
    <row r="1667" ht="15.75" customHeight="1">
      <c r="A1667" s="224"/>
      <c r="B1667" s="186"/>
      <c r="C1667" s="210"/>
      <c r="D1667" s="210"/>
      <c r="E1667" s="204"/>
      <c r="F1667" s="205"/>
      <c r="G1667" s="205"/>
    </row>
    <row r="1668" ht="15.75" customHeight="1">
      <c r="A1668" s="224"/>
      <c r="B1668" s="186"/>
      <c r="C1668" s="210"/>
      <c r="D1668" s="210"/>
      <c r="E1668" s="204"/>
      <c r="F1668" s="205"/>
      <c r="G1668" s="205"/>
    </row>
    <row r="1669" ht="15.75" customHeight="1">
      <c r="A1669" s="224"/>
      <c r="B1669" s="186"/>
      <c r="C1669" s="210"/>
      <c r="D1669" s="210"/>
      <c r="E1669" s="204"/>
      <c r="F1669" s="205"/>
      <c r="G1669" s="205"/>
    </row>
    <row r="1670" ht="15.75" customHeight="1">
      <c r="A1670" s="224"/>
      <c r="B1670" s="186"/>
      <c r="C1670" s="210"/>
      <c r="D1670" s="210"/>
      <c r="E1670" s="204"/>
      <c r="F1670" s="205"/>
      <c r="G1670" s="205"/>
    </row>
    <row r="1671" ht="15.75" customHeight="1">
      <c r="A1671" s="224"/>
      <c r="B1671" s="186"/>
      <c r="C1671" s="210"/>
      <c r="D1671" s="210"/>
      <c r="E1671" s="204"/>
      <c r="F1671" s="205"/>
      <c r="G1671" s="205"/>
    </row>
    <row r="1672" ht="15.75" customHeight="1">
      <c r="A1672" s="224"/>
      <c r="B1672" s="186"/>
      <c r="C1672" s="210"/>
      <c r="D1672" s="210"/>
      <c r="E1672" s="204"/>
      <c r="F1672" s="205"/>
      <c r="G1672" s="205"/>
    </row>
    <row r="1673" ht="15.75" customHeight="1">
      <c r="A1673" s="224"/>
      <c r="B1673" s="186"/>
      <c r="C1673" s="210"/>
      <c r="D1673" s="210"/>
      <c r="E1673" s="204"/>
      <c r="F1673" s="205"/>
      <c r="G1673" s="205"/>
    </row>
    <row r="1674" ht="15.75" customHeight="1">
      <c r="A1674" s="224"/>
      <c r="B1674" s="186"/>
      <c r="C1674" s="210"/>
      <c r="D1674" s="210"/>
      <c r="E1674" s="204"/>
      <c r="F1674" s="205"/>
      <c r="G1674" s="205"/>
    </row>
    <row r="1675" ht="15.75" customHeight="1">
      <c r="A1675" s="224"/>
      <c r="B1675" s="186"/>
      <c r="C1675" s="210"/>
      <c r="D1675" s="210"/>
      <c r="E1675" s="204"/>
      <c r="F1675" s="205"/>
      <c r="G1675" s="205"/>
    </row>
    <row r="1676" ht="15.75" customHeight="1">
      <c r="A1676" s="224"/>
      <c r="B1676" s="186"/>
      <c r="C1676" s="210"/>
      <c r="D1676" s="210"/>
      <c r="E1676" s="204"/>
      <c r="F1676" s="205"/>
      <c r="G1676" s="205"/>
    </row>
    <row r="1677" ht="15.75" customHeight="1">
      <c r="A1677" s="224"/>
      <c r="B1677" s="186"/>
      <c r="C1677" s="210"/>
      <c r="D1677" s="210"/>
      <c r="E1677" s="204"/>
      <c r="F1677" s="205"/>
      <c r="G1677" s="205"/>
    </row>
    <row r="1678" ht="15.75" customHeight="1">
      <c r="A1678" s="224"/>
      <c r="B1678" s="186"/>
      <c r="C1678" s="210"/>
      <c r="D1678" s="210"/>
      <c r="E1678" s="204"/>
      <c r="F1678" s="205"/>
      <c r="G1678" s="205"/>
    </row>
    <row r="1679" ht="15.75" customHeight="1">
      <c r="A1679" s="224"/>
      <c r="B1679" s="186"/>
      <c r="C1679" s="210"/>
      <c r="D1679" s="210"/>
      <c r="E1679" s="204"/>
      <c r="F1679" s="205"/>
      <c r="G1679" s="205"/>
    </row>
    <row r="1680" ht="15.75" customHeight="1">
      <c r="A1680" s="224"/>
      <c r="B1680" s="186"/>
      <c r="C1680" s="210"/>
      <c r="D1680" s="210"/>
      <c r="E1680" s="204"/>
      <c r="F1680" s="205"/>
      <c r="G1680" s="205"/>
    </row>
    <row r="1681" ht="15.75" customHeight="1">
      <c r="A1681" s="224"/>
      <c r="B1681" s="186"/>
      <c r="C1681" s="210"/>
      <c r="D1681" s="210"/>
      <c r="E1681" s="204"/>
      <c r="F1681" s="205"/>
      <c r="G1681" s="205"/>
    </row>
    <row r="1682" ht="15.75" customHeight="1">
      <c r="A1682" s="224"/>
      <c r="B1682" s="186"/>
      <c r="C1682" s="210"/>
      <c r="D1682" s="210"/>
      <c r="E1682" s="204"/>
      <c r="F1682" s="205"/>
      <c r="G1682" s="205"/>
    </row>
    <row r="1683" ht="15.75" customHeight="1">
      <c r="A1683" s="224"/>
      <c r="B1683" s="186"/>
      <c r="C1683" s="210"/>
      <c r="D1683" s="210"/>
      <c r="E1683" s="204"/>
      <c r="F1683" s="205"/>
      <c r="G1683" s="205"/>
    </row>
    <row r="1684" ht="15.75" customHeight="1">
      <c r="A1684" s="224"/>
      <c r="B1684" s="186"/>
      <c r="C1684" s="210"/>
      <c r="D1684" s="210"/>
      <c r="E1684" s="204"/>
      <c r="F1684" s="205"/>
      <c r="G1684" s="205"/>
    </row>
    <row r="1685" ht="15.75" customHeight="1">
      <c r="A1685" s="224"/>
      <c r="B1685" s="186"/>
      <c r="C1685" s="210"/>
      <c r="D1685" s="210"/>
      <c r="E1685" s="204"/>
      <c r="F1685" s="205"/>
      <c r="G1685" s="205"/>
    </row>
    <row r="1686" ht="15.75" customHeight="1">
      <c r="A1686" s="224"/>
      <c r="B1686" s="186"/>
      <c r="C1686" s="210"/>
      <c r="D1686" s="210"/>
      <c r="E1686" s="204"/>
      <c r="F1686" s="205"/>
      <c r="G1686" s="205"/>
    </row>
    <row r="1687" ht="15.75" customHeight="1">
      <c r="A1687" s="224"/>
      <c r="B1687" s="186"/>
      <c r="C1687" s="210"/>
      <c r="D1687" s="210"/>
      <c r="E1687" s="204"/>
      <c r="F1687" s="205"/>
      <c r="G1687" s="205"/>
    </row>
    <row r="1688" ht="15.75" customHeight="1">
      <c r="A1688" s="224"/>
      <c r="B1688" s="186"/>
      <c r="C1688" s="210"/>
      <c r="D1688" s="210"/>
      <c r="E1688" s="204"/>
      <c r="F1688" s="205"/>
      <c r="G1688" s="205"/>
    </row>
    <row r="1689" ht="15.75" customHeight="1">
      <c r="A1689" s="224"/>
      <c r="B1689" s="186"/>
      <c r="C1689" s="210"/>
      <c r="D1689" s="210"/>
      <c r="E1689" s="204"/>
      <c r="F1689" s="205"/>
      <c r="G1689" s="205"/>
    </row>
    <row r="1690" ht="15.75" customHeight="1">
      <c r="A1690" s="224"/>
      <c r="B1690" s="186"/>
      <c r="C1690" s="210"/>
      <c r="D1690" s="210"/>
      <c r="E1690" s="204"/>
      <c r="F1690" s="205"/>
      <c r="G1690" s="205"/>
    </row>
    <row r="1691" ht="15.75" customHeight="1">
      <c r="A1691" s="224"/>
      <c r="B1691" s="186"/>
      <c r="C1691" s="210"/>
      <c r="D1691" s="210"/>
      <c r="E1691" s="204"/>
      <c r="F1691" s="205"/>
      <c r="G1691" s="205"/>
    </row>
    <row r="1692" ht="15.75" customHeight="1">
      <c r="A1692" s="224"/>
      <c r="B1692" s="186"/>
      <c r="C1692" s="210"/>
      <c r="D1692" s="210"/>
      <c r="E1692" s="204"/>
      <c r="F1692" s="205"/>
      <c r="G1692" s="205"/>
    </row>
    <row r="1693" ht="15.75" customHeight="1">
      <c r="A1693" s="224"/>
      <c r="B1693" s="186"/>
      <c r="C1693" s="210"/>
      <c r="D1693" s="210"/>
      <c r="E1693" s="204"/>
      <c r="F1693" s="205"/>
      <c r="G1693" s="205"/>
    </row>
    <row r="1694" ht="15.75" customHeight="1">
      <c r="A1694" s="224"/>
      <c r="B1694" s="186"/>
      <c r="C1694" s="210"/>
      <c r="D1694" s="210"/>
      <c r="E1694" s="204"/>
      <c r="F1694" s="205"/>
      <c r="G1694" s="205"/>
    </row>
    <row r="1695" ht="15.75" customHeight="1">
      <c r="A1695" s="224"/>
      <c r="B1695" s="186"/>
      <c r="C1695" s="210"/>
      <c r="D1695" s="210"/>
      <c r="E1695" s="204"/>
      <c r="F1695" s="205"/>
      <c r="G1695" s="205"/>
    </row>
    <row r="1696" ht="15.75" customHeight="1">
      <c r="A1696" s="224"/>
      <c r="B1696" s="186"/>
      <c r="C1696" s="210"/>
      <c r="D1696" s="210"/>
      <c r="E1696" s="204"/>
      <c r="F1696" s="205"/>
      <c r="G1696" s="205"/>
    </row>
    <row r="1697" ht="15.75" customHeight="1">
      <c r="A1697" s="224"/>
      <c r="B1697" s="186"/>
      <c r="C1697" s="210"/>
      <c r="D1697" s="210"/>
      <c r="E1697" s="204"/>
      <c r="F1697" s="205"/>
      <c r="G1697" s="205"/>
    </row>
    <row r="1698" ht="15.75" customHeight="1">
      <c r="A1698" s="224"/>
      <c r="B1698" s="186"/>
      <c r="C1698" s="210"/>
      <c r="D1698" s="210"/>
      <c r="E1698" s="204"/>
      <c r="F1698" s="205"/>
      <c r="G1698" s="205"/>
    </row>
    <row r="1699" ht="15.75" customHeight="1">
      <c r="A1699" s="224"/>
      <c r="B1699" s="186"/>
      <c r="C1699" s="210"/>
      <c r="D1699" s="210"/>
      <c r="E1699" s="204"/>
      <c r="F1699" s="205"/>
      <c r="G1699" s="205"/>
    </row>
    <row r="1700" ht="15.75" customHeight="1">
      <c r="A1700" s="224"/>
      <c r="B1700" s="186"/>
      <c r="C1700" s="210"/>
      <c r="D1700" s="210"/>
      <c r="E1700" s="204"/>
      <c r="F1700" s="205"/>
      <c r="G1700" s="205"/>
    </row>
    <row r="1701" ht="15.75" customHeight="1">
      <c r="A1701" s="224"/>
      <c r="B1701" s="186"/>
      <c r="C1701" s="210"/>
      <c r="D1701" s="210"/>
      <c r="E1701" s="204"/>
      <c r="F1701" s="205"/>
      <c r="G1701" s="205"/>
    </row>
    <row r="1702" ht="15.75" customHeight="1">
      <c r="A1702" s="224"/>
      <c r="B1702" s="186"/>
      <c r="C1702" s="210"/>
      <c r="D1702" s="210"/>
      <c r="E1702" s="204"/>
      <c r="F1702" s="205"/>
      <c r="G1702" s="205"/>
    </row>
    <row r="1703" ht="15.75" customHeight="1">
      <c r="A1703" s="224"/>
      <c r="B1703" s="186"/>
      <c r="C1703" s="210"/>
      <c r="D1703" s="210"/>
      <c r="E1703" s="204"/>
      <c r="F1703" s="205"/>
      <c r="G1703" s="205"/>
    </row>
    <row r="1704" ht="15.75" customHeight="1">
      <c r="A1704" s="224"/>
      <c r="B1704" s="186"/>
      <c r="C1704" s="210"/>
      <c r="D1704" s="210"/>
      <c r="E1704" s="204"/>
      <c r="F1704" s="205"/>
      <c r="G1704" s="205"/>
    </row>
    <row r="1705" ht="15.75" customHeight="1">
      <c r="A1705" s="224"/>
      <c r="B1705" s="186"/>
      <c r="C1705" s="210"/>
      <c r="D1705" s="210"/>
      <c r="E1705" s="204"/>
      <c r="F1705" s="205"/>
      <c r="G1705" s="205"/>
    </row>
    <row r="1706" ht="15.75" customHeight="1">
      <c r="A1706" s="224"/>
      <c r="B1706" s="186"/>
      <c r="C1706" s="210"/>
      <c r="D1706" s="210"/>
      <c r="E1706" s="204"/>
      <c r="F1706" s="205"/>
      <c r="G1706" s="205"/>
    </row>
    <row r="1707" ht="15.75" customHeight="1">
      <c r="A1707" s="224"/>
      <c r="B1707" s="186"/>
      <c r="C1707" s="210"/>
      <c r="D1707" s="210"/>
      <c r="E1707" s="204"/>
      <c r="F1707" s="205"/>
      <c r="G1707" s="205"/>
    </row>
    <row r="1708" ht="15.75" customHeight="1">
      <c r="A1708" s="224"/>
      <c r="B1708" s="186"/>
      <c r="C1708" s="210"/>
      <c r="D1708" s="210"/>
      <c r="E1708" s="204"/>
      <c r="F1708" s="205"/>
      <c r="G1708" s="205"/>
    </row>
    <row r="1709" ht="15.75" customHeight="1">
      <c r="A1709" s="224"/>
      <c r="B1709" s="186"/>
      <c r="C1709" s="210"/>
      <c r="D1709" s="210"/>
      <c r="E1709" s="204"/>
      <c r="F1709" s="205"/>
      <c r="G1709" s="205"/>
    </row>
    <row r="1710" ht="15.75" customHeight="1">
      <c r="A1710" s="224"/>
      <c r="B1710" s="186"/>
      <c r="C1710" s="210"/>
      <c r="D1710" s="210"/>
      <c r="E1710" s="204"/>
      <c r="F1710" s="205"/>
      <c r="G1710" s="205"/>
    </row>
    <row r="1711" ht="15.75" customHeight="1">
      <c r="A1711" s="224"/>
      <c r="B1711" s="186"/>
      <c r="C1711" s="210"/>
      <c r="D1711" s="210"/>
      <c r="E1711" s="204"/>
      <c r="F1711" s="205"/>
      <c r="G1711" s="205"/>
    </row>
    <row r="1712" ht="15.75" customHeight="1">
      <c r="A1712" s="224"/>
      <c r="B1712" s="186"/>
      <c r="C1712" s="210"/>
      <c r="D1712" s="210"/>
      <c r="E1712" s="204"/>
      <c r="F1712" s="205"/>
      <c r="G1712" s="205"/>
    </row>
    <row r="1713" ht="15.75" customHeight="1">
      <c r="A1713" s="224"/>
      <c r="B1713" s="186"/>
      <c r="C1713" s="210"/>
      <c r="D1713" s="210"/>
      <c r="E1713" s="204"/>
      <c r="F1713" s="205"/>
      <c r="G1713" s="205"/>
    </row>
    <row r="1714" ht="15.75" customHeight="1">
      <c r="A1714" s="224"/>
      <c r="B1714" s="186"/>
      <c r="C1714" s="210"/>
      <c r="D1714" s="210"/>
      <c r="E1714" s="204"/>
      <c r="F1714" s="205"/>
      <c r="G1714" s="205"/>
    </row>
    <row r="1715" ht="15.75" customHeight="1">
      <c r="A1715" s="224"/>
      <c r="B1715" s="186"/>
      <c r="C1715" s="210"/>
      <c r="D1715" s="210"/>
      <c r="E1715" s="204"/>
      <c r="F1715" s="205"/>
      <c r="G1715" s="205"/>
    </row>
    <row r="1716" ht="15.75" customHeight="1">
      <c r="A1716" s="224"/>
      <c r="B1716" s="186"/>
      <c r="C1716" s="210"/>
      <c r="D1716" s="210"/>
      <c r="E1716" s="204"/>
      <c r="F1716" s="205"/>
      <c r="G1716" s="205"/>
    </row>
    <row r="1717" ht="15.75" customHeight="1">
      <c r="A1717" s="224"/>
      <c r="B1717" s="186"/>
      <c r="C1717" s="210"/>
      <c r="D1717" s="210"/>
      <c r="E1717" s="204"/>
      <c r="F1717" s="205"/>
      <c r="G1717" s="205"/>
    </row>
    <row r="1718" ht="15.75" customHeight="1">
      <c r="A1718" s="224"/>
      <c r="B1718" s="186"/>
      <c r="C1718" s="210"/>
      <c r="D1718" s="210"/>
      <c r="E1718" s="204"/>
      <c r="F1718" s="205"/>
      <c r="G1718" s="205"/>
    </row>
    <row r="1719" ht="15.75" customHeight="1">
      <c r="A1719" s="224"/>
      <c r="B1719" s="186"/>
      <c r="C1719" s="210"/>
      <c r="D1719" s="210"/>
      <c r="E1719" s="204"/>
      <c r="F1719" s="205"/>
      <c r="G1719" s="205"/>
    </row>
    <row r="1720" ht="15.75" customHeight="1">
      <c r="A1720" s="224"/>
      <c r="B1720" s="186"/>
      <c r="C1720" s="210"/>
      <c r="D1720" s="210"/>
      <c r="E1720" s="204"/>
      <c r="F1720" s="205"/>
      <c r="G1720" s="205"/>
    </row>
    <row r="1721" ht="15.75" customHeight="1">
      <c r="A1721" s="224"/>
      <c r="B1721" s="186"/>
      <c r="C1721" s="210"/>
      <c r="D1721" s="210"/>
      <c r="E1721" s="204"/>
      <c r="F1721" s="205"/>
      <c r="G1721" s="205"/>
    </row>
    <row r="1722" ht="15.75" customHeight="1">
      <c r="A1722" s="224"/>
      <c r="B1722" s="186"/>
      <c r="C1722" s="210"/>
      <c r="D1722" s="210"/>
      <c r="E1722" s="204"/>
      <c r="F1722" s="205"/>
      <c r="G1722" s="205"/>
    </row>
    <row r="1723" ht="15.75" customHeight="1">
      <c r="A1723" s="224"/>
      <c r="B1723" s="186"/>
      <c r="C1723" s="210"/>
      <c r="D1723" s="210"/>
      <c r="E1723" s="204"/>
      <c r="F1723" s="205"/>
      <c r="G1723" s="205"/>
    </row>
    <row r="1724" ht="15.75" customHeight="1">
      <c r="A1724" s="224"/>
      <c r="B1724" s="186"/>
      <c r="C1724" s="210"/>
      <c r="D1724" s="210"/>
      <c r="E1724" s="204"/>
      <c r="F1724" s="205"/>
      <c r="G1724" s="205"/>
    </row>
    <row r="1725" ht="15.75" customHeight="1">
      <c r="A1725" s="224"/>
      <c r="B1725" s="186"/>
      <c r="C1725" s="210"/>
      <c r="D1725" s="210"/>
      <c r="E1725" s="204"/>
      <c r="F1725" s="205"/>
      <c r="G1725" s="205"/>
    </row>
    <row r="1726" ht="15.75" customHeight="1">
      <c r="A1726" s="224"/>
      <c r="B1726" s="186"/>
      <c r="C1726" s="210"/>
      <c r="D1726" s="210"/>
      <c r="E1726" s="204"/>
      <c r="F1726" s="205"/>
      <c r="G1726" s="205"/>
    </row>
    <row r="1727" ht="15.75" customHeight="1">
      <c r="A1727" s="224"/>
      <c r="B1727" s="186"/>
      <c r="C1727" s="210"/>
      <c r="D1727" s="210"/>
      <c r="E1727" s="204"/>
      <c r="F1727" s="205"/>
      <c r="G1727" s="205"/>
    </row>
    <row r="1728" ht="15.75" customHeight="1">
      <c r="A1728" s="224"/>
      <c r="B1728" s="186"/>
      <c r="C1728" s="210"/>
      <c r="D1728" s="210"/>
      <c r="E1728" s="204"/>
      <c r="F1728" s="205"/>
      <c r="G1728" s="205"/>
    </row>
    <row r="1729" ht="15.75" customHeight="1">
      <c r="A1729" s="224"/>
      <c r="B1729" s="186"/>
      <c r="C1729" s="210"/>
      <c r="D1729" s="210"/>
      <c r="E1729" s="204"/>
      <c r="F1729" s="205"/>
      <c r="G1729" s="205"/>
    </row>
    <row r="1730" ht="15.75" customHeight="1">
      <c r="A1730" s="224"/>
      <c r="B1730" s="186"/>
      <c r="C1730" s="210"/>
      <c r="D1730" s="210"/>
      <c r="E1730" s="204"/>
      <c r="F1730" s="205"/>
      <c r="G1730" s="205"/>
    </row>
    <row r="1731" ht="15.75" customHeight="1">
      <c r="A1731" s="224"/>
      <c r="B1731" s="186"/>
      <c r="C1731" s="210"/>
      <c r="D1731" s="210"/>
      <c r="E1731" s="204"/>
      <c r="F1731" s="205"/>
      <c r="G1731" s="205"/>
    </row>
    <row r="1732" ht="15.75" customHeight="1">
      <c r="A1732" s="224"/>
      <c r="B1732" s="186"/>
      <c r="C1732" s="210"/>
      <c r="D1732" s="210"/>
      <c r="E1732" s="204"/>
      <c r="F1732" s="205"/>
      <c r="G1732" s="205"/>
    </row>
    <row r="1733" ht="15.75" customHeight="1">
      <c r="A1733" s="224"/>
      <c r="B1733" s="186"/>
      <c r="C1733" s="210"/>
      <c r="D1733" s="210"/>
      <c r="E1733" s="204"/>
      <c r="F1733" s="205"/>
      <c r="G1733" s="205"/>
    </row>
    <row r="1734" ht="15.75" customHeight="1">
      <c r="A1734" s="224"/>
      <c r="B1734" s="186"/>
      <c r="C1734" s="210"/>
      <c r="D1734" s="210"/>
      <c r="E1734" s="204"/>
      <c r="F1734" s="205"/>
      <c r="G1734" s="205"/>
    </row>
    <row r="1735" ht="15.75" customHeight="1">
      <c r="A1735" s="224"/>
      <c r="B1735" s="186"/>
      <c r="C1735" s="210"/>
      <c r="D1735" s="210"/>
      <c r="E1735" s="204"/>
      <c r="F1735" s="205"/>
      <c r="G1735" s="205"/>
    </row>
    <row r="1736" ht="15.75" customHeight="1">
      <c r="A1736" s="224"/>
      <c r="B1736" s="186"/>
      <c r="C1736" s="210"/>
      <c r="D1736" s="210"/>
      <c r="E1736" s="204"/>
      <c r="F1736" s="205"/>
      <c r="G1736" s="205"/>
    </row>
    <row r="1737" ht="15.75" customHeight="1">
      <c r="A1737" s="224"/>
      <c r="B1737" s="186"/>
      <c r="C1737" s="210"/>
      <c r="D1737" s="210"/>
      <c r="E1737" s="204"/>
      <c r="F1737" s="205"/>
      <c r="G1737" s="205"/>
    </row>
    <row r="1738" ht="15.75" customHeight="1">
      <c r="A1738" s="224"/>
      <c r="B1738" s="186"/>
      <c r="C1738" s="210"/>
      <c r="D1738" s="210"/>
      <c r="E1738" s="204"/>
      <c r="F1738" s="205"/>
      <c r="G1738" s="205"/>
    </row>
    <row r="1739" ht="15.75" customHeight="1">
      <c r="A1739" s="224"/>
      <c r="B1739" s="186"/>
      <c r="C1739" s="210"/>
      <c r="D1739" s="210"/>
      <c r="E1739" s="204"/>
      <c r="F1739" s="205"/>
      <c r="G1739" s="205"/>
    </row>
    <row r="1740" ht="15.75" customHeight="1">
      <c r="A1740" s="224"/>
      <c r="B1740" s="186"/>
      <c r="C1740" s="210"/>
      <c r="D1740" s="210"/>
      <c r="E1740" s="204"/>
      <c r="F1740" s="205"/>
      <c r="G1740" s="205"/>
    </row>
    <row r="1741" ht="15.75" customHeight="1">
      <c r="A1741" s="224"/>
      <c r="B1741" s="186"/>
      <c r="C1741" s="210"/>
      <c r="D1741" s="210"/>
      <c r="E1741" s="204"/>
      <c r="F1741" s="205"/>
      <c r="G1741" s="205"/>
    </row>
    <row r="1742" ht="15.75" customHeight="1">
      <c r="A1742" s="224"/>
      <c r="B1742" s="186"/>
      <c r="C1742" s="210"/>
      <c r="D1742" s="210"/>
      <c r="E1742" s="204"/>
      <c r="F1742" s="205"/>
      <c r="G1742" s="205"/>
    </row>
    <row r="1743" ht="15.75" customHeight="1">
      <c r="A1743" s="224"/>
      <c r="B1743" s="186"/>
      <c r="C1743" s="210"/>
      <c r="D1743" s="210"/>
      <c r="E1743" s="204"/>
      <c r="F1743" s="205"/>
      <c r="G1743" s="205"/>
    </row>
    <row r="1744" ht="15.75" customHeight="1">
      <c r="A1744" s="224"/>
      <c r="B1744" s="186"/>
      <c r="C1744" s="210"/>
      <c r="D1744" s="210"/>
      <c r="E1744" s="204"/>
      <c r="F1744" s="205"/>
      <c r="G1744" s="205"/>
    </row>
    <row r="1745" ht="15.75" customHeight="1">
      <c r="A1745" s="224"/>
      <c r="B1745" s="186"/>
      <c r="C1745" s="210"/>
      <c r="D1745" s="210"/>
      <c r="E1745" s="204"/>
      <c r="F1745" s="205"/>
      <c r="G1745" s="205"/>
    </row>
    <row r="1746" ht="15.75" customHeight="1">
      <c r="A1746" s="224"/>
      <c r="B1746" s="186"/>
      <c r="C1746" s="210"/>
      <c r="D1746" s="210"/>
      <c r="E1746" s="204"/>
      <c r="F1746" s="205"/>
      <c r="G1746" s="205"/>
    </row>
    <row r="1747" ht="15.75" customHeight="1">
      <c r="A1747" s="224"/>
      <c r="B1747" s="186"/>
      <c r="C1747" s="210"/>
      <c r="D1747" s="210"/>
      <c r="E1747" s="204"/>
      <c r="F1747" s="205"/>
      <c r="G1747" s="205"/>
    </row>
    <row r="1748" ht="15.75" customHeight="1">
      <c r="A1748" s="224"/>
      <c r="B1748" s="186"/>
      <c r="C1748" s="210"/>
      <c r="D1748" s="210"/>
      <c r="E1748" s="204"/>
      <c r="F1748" s="205"/>
      <c r="G1748" s="205"/>
    </row>
    <row r="1749" ht="15.75" customHeight="1">
      <c r="A1749" s="224"/>
      <c r="B1749" s="186"/>
      <c r="C1749" s="210"/>
      <c r="D1749" s="210"/>
      <c r="E1749" s="204"/>
      <c r="F1749" s="205"/>
      <c r="G1749" s="205"/>
    </row>
    <row r="1750" ht="15.75" customHeight="1">
      <c r="A1750" s="224"/>
      <c r="B1750" s="186"/>
      <c r="C1750" s="210"/>
      <c r="D1750" s="210"/>
      <c r="E1750" s="204"/>
      <c r="F1750" s="205"/>
      <c r="G1750" s="205"/>
    </row>
    <row r="1751" ht="15.75" customHeight="1">
      <c r="A1751" s="224"/>
      <c r="B1751" s="186"/>
      <c r="C1751" s="210"/>
      <c r="D1751" s="210"/>
      <c r="E1751" s="204"/>
      <c r="F1751" s="205"/>
      <c r="G1751" s="205"/>
    </row>
    <row r="1752" ht="15.75" customHeight="1">
      <c r="A1752" s="224"/>
      <c r="B1752" s="186"/>
      <c r="C1752" s="210"/>
      <c r="D1752" s="210"/>
      <c r="E1752" s="204"/>
      <c r="F1752" s="205"/>
      <c r="G1752" s="205"/>
    </row>
    <row r="1753" ht="15.75" customHeight="1">
      <c r="A1753" s="224"/>
      <c r="B1753" s="186"/>
      <c r="C1753" s="210"/>
      <c r="D1753" s="210"/>
      <c r="E1753" s="204"/>
      <c r="F1753" s="205"/>
      <c r="G1753" s="205"/>
    </row>
    <row r="1754" ht="15.75" customHeight="1">
      <c r="A1754" s="224"/>
      <c r="B1754" s="186"/>
      <c r="C1754" s="210"/>
      <c r="D1754" s="210"/>
      <c r="E1754" s="204"/>
      <c r="F1754" s="205"/>
      <c r="G1754" s="205"/>
    </row>
    <row r="1755" ht="15.75" customHeight="1">
      <c r="A1755" s="224"/>
      <c r="B1755" s="186"/>
      <c r="C1755" s="210"/>
      <c r="D1755" s="210"/>
      <c r="E1755" s="204"/>
      <c r="F1755" s="205"/>
      <c r="G1755" s="205"/>
    </row>
    <row r="1756" ht="15.75" customHeight="1">
      <c r="A1756" s="224"/>
      <c r="B1756" s="186"/>
      <c r="C1756" s="210"/>
      <c r="D1756" s="210"/>
      <c r="E1756" s="204"/>
      <c r="F1756" s="205"/>
      <c r="G1756" s="205"/>
    </row>
    <row r="1757" ht="15.75" customHeight="1">
      <c r="A1757" s="224"/>
      <c r="B1757" s="186"/>
      <c r="C1757" s="210"/>
      <c r="D1757" s="210"/>
      <c r="E1757" s="204"/>
      <c r="F1757" s="205"/>
      <c r="G1757" s="205"/>
    </row>
    <row r="1758" ht="15.75" customHeight="1">
      <c r="A1758" s="224"/>
      <c r="B1758" s="186"/>
      <c r="C1758" s="210"/>
      <c r="D1758" s="210"/>
      <c r="E1758" s="204"/>
      <c r="F1758" s="205"/>
      <c r="G1758" s="205"/>
    </row>
    <row r="1759" ht="15.75" customHeight="1">
      <c r="A1759" s="224"/>
      <c r="B1759" s="186"/>
      <c r="C1759" s="210"/>
      <c r="D1759" s="210"/>
      <c r="E1759" s="204"/>
      <c r="F1759" s="205"/>
      <c r="G1759" s="205"/>
    </row>
    <row r="1760" ht="15.75" customHeight="1">
      <c r="A1760" s="224"/>
      <c r="B1760" s="186"/>
      <c r="C1760" s="210"/>
      <c r="D1760" s="210"/>
      <c r="E1760" s="204"/>
      <c r="F1760" s="205"/>
      <c r="G1760" s="205"/>
    </row>
    <row r="1761" ht="15.75" customHeight="1">
      <c r="A1761" s="224"/>
      <c r="B1761" s="186"/>
      <c r="C1761" s="210"/>
      <c r="D1761" s="210"/>
      <c r="E1761" s="204"/>
      <c r="F1761" s="205"/>
      <c r="G1761" s="205"/>
    </row>
    <row r="1762" ht="15.75" customHeight="1">
      <c r="A1762" s="224"/>
      <c r="B1762" s="186"/>
      <c r="C1762" s="210"/>
      <c r="D1762" s="210"/>
      <c r="E1762" s="204"/>
      <c r="F1762" s="205"/>
      <c r="G1762" s="205"/>
    </row>
    <row r="1763" ht="15.75" customHeight="1">
      <c r="A1763" s="224"/>
      <c r="B1763" s="186"/>
      <c r="C1763" s="210"/>
      <c r="D1763" s="210"/>
      <c r="E1763" s="204"/>
      <c r="F1763" s="205"/>
      <c r="G1763" s="205"/>
    </row>
    <row r="1764" ht="15.75" customHeight="1">
      <c r="A1764" s="224"/>
      <c r="B1764" s="186"/>
      <c r="C1764" s="210"/>
      <c r="D1764" s="210"/>
      <c r="E1764" s="204"/>
      <c r="F1764" s="205"/>
      <c r="G1764" s="205"/>
    </row>
    <row r="1765" ht="15.75" customHeight="1">
      <c r="A1765" s="224"/>
      <c r="B1765" s="186"/>
      <c r="C1765" s="210"/>
      <c r="D1765" s="210"/>
      <c r="E1765" s="204"/>
      <c r="F1765" s="205"/>
      <c r="G1765" s="205"/>
    </row>
    <row r="1766" ht="15.75" customHeight="1">
      <c r="A1766" s="224"/>
      <c r="B1766" s="186"/>
      <c r="C1766" s="210"/>
      <c r="D1766" s="210"/>
      <c r="E1766" s="204"/>
      <c r="F1766" s="205"/>
      <c r="G1766" s="205"/>
    </row>
    <row r="1767" ht="15.75" customHeight="1">
      <c r="A1767" s="224"/>
      <c r="B1767" s="186"/>
      <c r="C1767" s="210"/>
      <c r="D1767" s="210"/>
      <c r="E1767" s="204"/>
      <c r="F1767" s="205"/>
      <c r="G1767" s="205"/>
    </row>
    <row r="1768" ht="15.75" customHeight="1">
      <c r="A1768" s="224"/>
      <c r="B1768" s="186"/>
      <c r="C1768" s="210"/>
      <c r="D1768" s="210"/>
      <c r="E1768" s="204"/>
      <c r="F1768" s="205"/>
      <c r="G1768" s="205"/>
    </row>
    <row r="1769" ht="15.75" customHeight="1">
      <c r="A1769" s="224"/>
      <c r="B1769" s="186"/>
      <c r="C1769" s="210"/>
      <c r="D1769" s="210"/>
      <c r="E1769" s="204"/>
      <c r="F1769" s="205"/>
      <c r="G1769" s="205"/>
    </row>
    <row r="1770" ht="15.75" customHeight="1">
      <c r="A1770" s="224"/>
      <c r="B1770" s="186"/>
      <c r="C1770" s="210"/>
      <c r="D1770" s="210"/>
      <c r="E1770" s="204"/>
      <c r="F1770" s="205"/>
      <c r="G1770" s="205"/>
    </row>
    <row r="1771" ht="15.75" customHeight="1">
      <c r="A1771" s="224"/>
      <c r="B1771" s="186"/>
      <c r="C1771" s="210"/>
      <c r="D1771" s="210"/>
      <c r="E1771" s="204"/>
      <c r="F1771" s="205"/>
      <c r="G1771" s="205"/>
    </row>
    <row r="1772" ht="15.75" customHeight="1">
      <c r="A1772" s="224"/>
      <c r="B1772" s="186"/>
      <c r="C1772" s="210"/>
      <c r="D1772" s="210"/>
      <c r="E1772" s="204"/>
      <c r="F1772" s="205"/>
      <c r="G1772" s="205"/>
    </row>
    <row r="1773" ht="15.75" customHeight="1">
      <c r="A1773" s="224"/>
      <c r="B1773" s="186"/>
      <c r="C1773" s="210"/>
      <c r="D1773" s="210"/>
      <c r="E1773" s="204"/>
      <c r="F1773" s="205"/>
      <c r="G1773" s="205"/>
    </row>
    <row r="1774" ht="15.75" customHeight="1">
      <c r="A1774" s="224"/>
      <c r="B1774" s="186"/>
      <c r="C1774" s="210"/>
      <c r="D1774" s="210"/>
      <c r="E1774" s="204"/>
      <c r="F1774" s="205"/>
      <c r="G1774" s="205"/>
    </row>
    <row r="1775" ht="15.75" customHeight="1">
      <c r="A1775" s="224"/>
      <c r="B1775" s="186"/>
      <c r="C1775" s="210"/>
      <c r="D1775" s="210"/>
      <c r="E1775" s="204"/>
      <c r="F1775" s="205"/>
      <c r="G1775" s="205"/>
    </row>
    <row r="1776" ht="15.75" customHeight="1">
      <c r="A1776" s="224"/>
      <c r="B1776" s="186"/>
      <c r="C1776" s="210"/>
      <c r="D1776" s="210"/>
      <c r="E1776" s="204"/>
      <c r="F1776" s="205"/>
      <c r="G1776" s="205"/>
    </row>
    <row r="1777" ht="15.75" customHeight="1">
      <c r="A1777" s="224"/>
      <c r="B1777" s="186"/>
      <c r="C1777" s="210"/>
      <c r="D1777" s="210"/>
      <c r="E1777" s="204"/>
      <c r="F1777" s="205"/>
      <c r="G1777" s="205"/>
    </row>
    <row r="1778" ht="15.75" customHeight="1">
      <c r="A1778" s="224"/>
      <c r="B1778" s="186"/>
      <c r="C1778" s="210"/>
      <c r="D1778" s="210"/>
      <c r="E1778" s="204"/>
      <c r="F1778" s="205"/>
      <c r="G1778" s="205"/>
    </row>
    <row r="1779" ht="15.75" customHeight="1">
      <c r="A1779" s="224"/>
      <c r="B1779" s="186"/>
      <c r="C1779" s="210"/>
      <c r="D1779" s="210"/>
      <c r="E1779" s="204"/>
      <c r="F1779" s="205"/>
      <c r="G1779" s="205"/>
    </row>
    <row r="1780" ht="15.75" customHeight="1">
      <c r="A1780" s="224"/>
      <c r="B1780" s="186"/>
      <c r="C1780" s="210"/>
      <c r="D1780" s="210"/>
      <c r="E1780" s="204"/>
      <c r="F1780" s="205"/>
      <c r="G1780" s="205"/>
    </row>
    <row r="1781" ht="15.75" customHeight="1">
      <c r="A1781" s="224"/>
      <c r="B1781" s="186"/>
      <c r="C1781" s="210"/>
      <c r="D1781" s="210"/>
      <c r="E1781" s="204"/>
      <c r="F1781" s="205"/>
      <c r="G1781" s="205"/>
    </row>
    <row r="1782" ht="15.75" customHeight="1">
      <c r="A1782" s="224"/>
      <c r="B1782" s="186"/>
      <c r="C1782" s="210"/>
      <c r="D1782" s="210"/>
      <c r="E1782" s="204"/>
      <c r="F1782" s="205"/>
      <c r="G1782" s="205"/>
    </row>
    <row r="1783" ht="15.75" customHeight="1">
      <c r="A1783" s="224"/>
      <c r="B1783" s="186"/>
      <c r="C1783" s="210"/>
      <c r="D1783" s="210"/>
      <c r="E1783" s="204"/>
      <c r="F1783" s="205"/>
      <c r="G1783" s="205"/>
    </row>
    <row r="1784" ht="15.75" customHeight="1">
      <c r="A1784" s="224"/>
      <c r="B1784" s="186"/>
      <c r="C1784" s="210"/>
      <c r="D1784" s="210"/>
      <c r="E1784" s="204"/>
      <c r="F1784" s="205"/>
      <c r="G1784" s="205"/>
    </row>
    <row r="1785" ht="15.75" customHeight="1">
      <c r="A1785" s="224"/>
      <c r="B1785" s="186"/>
      <c r="C1785" s="210"/>
      <c r="D1785" s="210"/>
      <c r="E1785" s="204"/>
      <c r="F1785" s="205"/>
      <c r="G1785" s="205"/>
    </row>
    <row r="1786" ht="15.75" customHeight="1">
      <c r="A1786" s="224"/>
      <c r="B1786" s="186"/>
      <c r="C1786" s="210"/>
      <c r="D1786" s="210"/>
      <c r="E1786" s="204"/>
      <c r="F1786" s="205"/>
      <c r="G1786" s="205"/>
    </row>
    <row r="1787" ht="15.75" customHeight="1">
      <c r="A1787" s="224"/>
      <c r="B1787" s="186"/>
      <c r="C1787" s="210"/>
      <c r="D1787" s="210"/>
      <c r="E1787" s="204"/>
      <c r="F1787" s="205"/>
      <c r="G1787" s="205"/>
    </row>
    <row r="1788" ht="15.75" customHeight="1">
      <c r="A1788" s="224"/>
      <c r="B1788" s="186"/>
      <c r="C1788" s="210"/>
      <c r="D1788" s="210"/>
      <c r="E1788" s="204"/>
      <c r="F1788" s="205"/>
      <c r="G1788" s="205"/>
    </row>
    <row r="1789" ht="15.75" customHeight="1">
      <c r="A1789" s="224"/>
      <c r="B1789" s="186"/>
      <c r="C1789" s="210"/>
      <c r="D1789" s="210"/>
      <c r="E1789" s="204"/>
      <c r="F1789" s="205"/>
      <c r="G1789" s="205"/>
    </row>
    <row r="1790" ht="15.75" customHeight="1">
      <c r="A1790" s="224"/>
      <c r="B1790" s="186"/>
      <c r="C1790" s="210"/>
      <c r="D1790" s="210"/>
      <c r="E1790" s="204"/>
      <c r="F1790" s="205"/>
      <c r="G1790" s="205"/>
    </row>
    <row r="1791" ht="15.75" customHeight="1">
      <c r="A1791" s="224"/>
      <c r="B1791" s="186"/>
      <c r="C1791" s="210"/>
      <c r="D1791" s="210"/>
      <c r="E1791" s="204"/>
      <c r="F1791" s="205"/>
      <c r="G1791" s="205"/>
    </row>
    <row r="1792" ht="15.75" customHeight="1">
      <c r="A1792" s="224"/>
      <c r="B1792" s="186"/>
      <c r="C1792" s="210"/>
      <c r="D1792" s="210"/>
      <c r="E1792" s="204"/>
      <c r="F1792" s="205"/>
      <c r="G1792" s="205"/>
    </row>
    <row r="1793" ht="15.75" customHeight="1">
      <c r="A1793" s="224"/>
      <c r="B1793" s="186"/>
      <c r="C1793" s="210"/>
      <c r="D1793" s="210"/>
      <c r="E1793" s="204"/>
      <c r="F1793" s="205"/>
      <c r="G1793" s="205"/>
    </row>
    <row r="1794" ht="15.75" customHeight="1">
      <c r="A1794" s="224"/>
      <c r="B1794" s="186"/>
      <c r="C1794" s="210"/>
      <c r="D1794" s="210"/>
      <c r="E1794" s="204"/>
      <c r="F1794" s="205"/>
      <c r="G1794" s="205"/>
    </row>
    <row r="1795" ht="15.75" customHeight="1">
      <c r="A1795" s="224"/>
      <c r="B1795" s="186"/>
      <c r="C1795" s="210"/>
      <c r="D1795" s="210"/>
      <c r="E1795" s="204"/>
      <c r="F1795" s="205"/>
      <c r="G1795" s="205"/>
    </row>
    <row r="1796" ht="15.75" customHeight="1">
      <c r="A1796" s="224"/>
      <c r="B1796" s="186"/>
      <c r="C1796" s="210"/>
      <c r="D1796" s="210"/>
      <c r="E1796" s="204"/>
      <c r="F1796" s="205"/>
      <c r="G1796" s="205"/>
    </row>
    <row r="1797" ht="15.75" customHeight="1">
      <c r="A1797" s="224"/>
      <c r="B1797" s="186"/>
      <c r="C1797" s="210"/>
      <c r="D1797" s="210"/>
      <c r="E1797" s="204"/>
      <c r="F1797" s="205"/>
      <c r="G1797" s="205"/>
    </row>
    <row r="1798" ht="15.75" customHeight="1">
      <c r="A1798" s="224"/>
      <c r="B1798" s="186"/>
      <c r="C1798" s="210"/>
      <c r="D1798" s="210"/>
      <c r="E1798" s="204"/>
      <c r="F1798" s="205"/>
      <c r="G1798" s="205"/>
    </row>
    <row r="1799" ht="15.75" customHeight="1">
      <c r="A1799" s="224"/>
      <c r="B1799" s="186"/>
      <c r="C1799" s="210"/>
      <c r="D1799" s="210"/>
      <c r="E1799" s="204"/>
      <c r="F1799" s="205"/>
      <c r="G1799" s="205"/>
    </row>
    <row r="1800" ht="15.75" customHeight="1">
      <c r="A1800" s="224"/>
      <c r="B1800" s="186"/>
      <c r="C1800" s="210"/>
      <c r="D1800" s="210"/>
      <c r="E1800" s="204"/>
      <c r="F1800" s="205"/>
      <c r="G1800" s="205"/>
    </row>
    <row r="1801" ht="15.75" customHeight="1">
      <c r="A1801" s="224"/>
      <c r="B1801" s="186"/>
      <c r="C1801" s="210"/>
      <c r="D1801" s="210"/>
      <c r="E1801" s="204"/>
      <c r="F1801" s="205"/>
      <c r="G1801" s="205"/>
    </row>
    <row r="1802" ht="15.75" customHeight="1">
      <c r="A1802" s="224"/>
      <c r="B1802" s="186"/>
      <c r="C1802" s="210"/>
      <c r="D1802" s="210"/>
      <c r="E1802" s="204"/>
      <c r="F1802" s="205"/>
      <c r="G1802" s="205"/>
    </row>
    <row r="1803" ht="15.75" customHeight="1">
      <c r="A1803" s="224"/>
      <c r="B1803" s="186"/>
      <c r="C1803" s="210"/>
      <c r="D1803" s="210"/>
      <c r="E1803" s="204"/>
      <c r="F1803" s="205"/>
      <c r="G1803" s="205"/>
    </row>
    <row r="1804" ht="15.75" customHeight="1">
      <c r="A1804" s="224"/>
      <c r="B1804" s="186"/>
      <c r="C1804" s="210"/>
      <c r="D1804" s="210"/>
      <c r="E1804" s="204"/>
      <c r="F1804" s="205"/>
      <c r="G1804" s="205"/>
    </row>
    <row r="1805" ht="15.75" customHeight="1">
      <c r="A1805" s="224"/>
      <c r="B1805" s="186"/>
      <c r="C1805" s="210"/>
      <c r="D1805" s="210"/>
      <c r="E1805" s="204"/>
      <c r="F1805" s="205"/>
      <c r="G1805" s="205"/>
    </row>
    <row r="1806" ht="15.75" customHeight="1">
      <c r="A1806" s="224"/>
      <c r="B1806" s="186"/>
      <c r="C1806" s="210"/>
      <c r="D1806" s="210"/>
      <c r="E1806" s="204"/>
      <c r="F1806" s="205"/>
      <c r="G1806" s="205"/>
    </row>
    <row r="1807" ht="15.75" customHeight="1">
      <c r="A1807" s="224"/>
      <c r="B1807" s="186"/>
      <c r="C1807" s="210"/>
      <c r="D1807" s="210"/>
      <c r="E1807" s="204"/>
      <c r="F1807" s="205"/>
      <c r="G1807" s="205"/>
    </row>
    <row r="1808" ht="15.75" customHeight="1">
      <c r="A1808" s="224"/>
      <c r="B1808" s="186"/>
      <c r="C1808" s="210"/>
      <c r="D1808" s="210"/>
      <c r="E1808" s="204"/>
      <c r="F1808" s="205"/>
      <c r="G1808" s="205"/>
    </row>
    <row r="1809" ht="15.75" customHeight="1">
      <c r="A1809" s="224"/>
      <c r="B1809" s="186"/>
      <c r="C1809" s="210"/>
      <c r="D1809" s="210"/>
      <c r="E1809" s="204"/>
      <c r="F1809" s="205"/>
      <c r="G1809" s="205"/>
    </row>
    <row r="1810" ht="15.75" customHeight="1">
      <c r="A1810" s="224"/>
      <c r="B1810" s="186"/>
      <c r="C1810" s="210"/>
      <c r="D1810" s="210"/>
      <c r="E1810" s="204"/>
      <c r="F1810" s="205"/>
      <c r="G1810" s="205"/>
    </row>
    <row r="1811" ht="15.75" customHeight="1">
      <c r="A1811" s="224"/>
      <c r="B1811" s="186"/>
      <c r="C1811" s="210"/>
      <c r="D1811" s="210"/>
      <c r="E1811" s="204"/>
      <c r="F1811" s="205"/>
      <c r="G1811" s="205"/>
    </row>
    <row r="1812" ht="15.75" customHeight="1">
      <c r="A1812" s="224"/>
      <c r="B1812" s="186"/>
      <c r="C1812" s="210"/>
      <c r="D1812" s="210"/>
      <c r="E1812" s="204"/>
      <c r="F1812" s="205"/>
      <c r="G1812" s="205"/>
    </row>
    <row r="1813" ht="15.75" customHeight="1">
      <c r="A1813" s="224"/>
      <c r="B1813" s="186"/>
      <c r="C1813" s="210"/>
      <c r="D1813" s="210"/>
      <c r="E1813" s="204"/>
      <c r="F1813" s="205"/>
      <c r="G1813" s="205"/>
    </row>
    <row r="1814" ht="15.75" customHeight="1">
      <c r="A1814" s="224"/>
      <c r="B1814" s="186"/>
      <c r="C1814" s="210"/>
      <c r="D1814" s="210"/>
      <c r="E1814" s="204"/>
      <c r="F1814" s="205"/>
      <c r="G1814" s="205"/>
    </row>
    <row r="1815" ht="15.75" customHeight="1">
      <c r="A1815" s="224"/>
      <c r="B1815" s="186"/>
      <c r="C1815" s="210"/>
      <c r="D1815" s="210"/>
      <c r="E1815" s="204"/>
      <c r="F1815" s="205"/>
      <c r="G1815" s="205"/>
    </row>
    <row r="1816" ht="15.75" customHeight="1">
      <c r="A1816" s="224"/>
      <c r="B1816" s="186"/>
      <c r="C1816" s="210"/>
      <c r="D1816" s="210"/>
      <c r="E1816" s="204"/>
      <c r="F1816" s="205"/>
      <c r="G1816" s="205"/>
    </row>
    <row r="1817" ht="15.75" customHeight="1">
      <c r="A1817" s="224"/>
      <c r="B1817" s="186"/>
      <c r="C1817" s="210"/>
      <c r="D1817" s="210"/>
      <c r="E1817" s="204"/>
      <c r="F1817" s="205"/>
      <c r="G1817" s="205"/>
    </row>
    <row r="1818" ht="15.75" customHeight="1">
      <c r="A1818" s="224"/>
      <c r="B1818" s="186"/>
      <c r="C1818" s="210"/>
      <c r="D1818" s="210"/>
      <c r="E1818" s="204"/>
      <c r="F1818" s="205"/>
      <c r="G1818" s="205"/>
    </row>
    <row r="1819" ht="15.75" customHeight="1">
      <c r="A1819" s="224"/>
      <c r="B1819" s="186"/>
      <c r="C1819" s="210"/>
      <c r="D1819" s="210"/>
      <c r="E1819" s="204"/>
      <c r="F1819" s="205"/>
      <c r="G1819" s="205"/>
    </row>
    <row r="1820" ht="15.75" customHeight="1">
      <c r="A1820" s="224"/>
      <c r="B1820" s="186"/>
      <c r="C1820" s="210"/>
      <c r="D1820" s="210"/>
      <c r="E1820" s="204"/>
      <c r="F1820" s="205"/>
      <c r="G1820" s="205"/>
    </row>
    <row r="1821" ht="15.75" customHeight="1">
      <c r="A1821" s="224"/>
      <c r="B1821" s="186"/>
      <c r="C1821" s="210"/>
      <c r="D1821" s="210"/>
      <c r="E1821" s="204"/>
      <c r="F1821" s="205"/>
      <c r="G1821" s="205"/>
    </row>
    <row r="1822" ht="15.75" customHeight="1">
      <c r="A1822" s="224"/>
      <c r="B1822" s="186"/>
      <c r="C1822" s="210"/>
      <c r="D1822" s="210"/>
      <c r="E1822" s="204"/>
      <c r="F1822" s="205"/>
      <c r="G1822" s="205"/>
    </row>
    <row r="1823" ht="15.75" customHeight="1">
      <c r="A1823" s="224"/>
      <c r="B1823" s="186"/>
      <c r="C1823" s="210"/>
      <c r="D1823" s="210"/>
      <c r="E1823" s="204"/>
      <c r="F1823" s="205"/>
      <c r="G1823" s="205"/>
    </row>
    <row r="1824" ht="15.75" customHeight="1">
      <c r="A1824" s="224"/>
      <c r="B1824" s="186"/>
      <c r="C1824" s="210"/>
      <c r="D1824" s="210"/>
      <c r="E1824" s="204"/>
      <c r="F1824" s="205"/>
      <c r="G1824" s="205"/>
    </row>
    <row r="1825" ht="15.75" customHeight="1">
      <c r="A1825" s="224"/>
      <c r="B1825" s="186"/>
      <c r="C1825" s="210"/>
      <c r="D1825" s="210"/>
      <c r="E1825" s="204"/>
      <c r="F1825" s="205"/>
      <c r="G1825" s="205"/>
    </row>
    <row r="1826" ht="15.75" customHeight="1">
      <c r="A1826" s="224"/>
      <c r="B1826" s="186"/>
      <c r="C1826" s="210"/>
      <c r="D1826" s="210"/>
      <c r="E1826" s="204"/>
      <c r="F1826" s="205"/>
      <c r="G1826" s="205"/>
    </row>
    <row r="1827" ht="15.75" customHeight="1">
      <c r="A1827" s="224"/>
      <c r="B1827" s="186"/>
      <c r="C1827" s="210"/>
      <c r="D1827" s="210"/>
      <c r="E1827" s="204"/>
      <c r="F1827" s="205"/>
      <c r="G1827" s="205"/>
    </row>
    <row r="1828" ht="15.75" customHeight="1">
      <c r="A1828" s="224"/>
      <c r="B1828" s="186"/>
      <c r="C1828" s="210"/>
      <c r="D1828" s="210"/>
      <c r="E1828" s="204"/>
      <c r="F1828" s="205"/>
      <c r="G1828" s="205"/>
    </row>
    <row r="1829" ht="15.75" customHeight="1">
      <c r="A1829" s="224"/>
      <c r="B1829" s="186"/>
      <c r="C1829" s="210"/>
      <c r="D1829" s="210"/>
      <c r="E1829" s="204"/>
      <c r="F1829" s="205"/>
      <c r="G1829" s="205"/>
    </row>
    <row r="1830" ht="15.75" customHeight="1">
      <c r="A1830" s="224"/>
      <c r="B1830" s="186"/>
      <c r="C1830" s="210"/>
      <c r="D1830" s="210"/>
      <c r="E1830" s="204"/>
      <c r="F1830" s="205"/>
      <c r="G1830" s="205"/>
    </row>
    <row r="1831" ht="15.75" customHeight="1">
      <c r="A1831" s="224"/>
      <c r="B1831" s="186"/>
      <c r="C1831" s="210"/>
      <c r="D1831" s="210"/>
      <c r="E1831" s="204"/>
      <c r="F1831" s="205"/>
      <c r="G1831" s="205"/>
    </row>
    <row r="1832" ht="15.75" customHeight="1">
      <c r="A1832" s="224"/>
      <c r="B1832" s="186"/>
      <c r="C1832" s="210"/>
      <c r="D1832" s="210"/>
      <c r="E1832" s="204"/>
      <c r="F1832" s="205"/>
      <c r="G1832" s="205"/>
    </row>
    <row r="1833" ht="15.75" customHeight="1">
      <c r="A1833" s="224"/>
      <c r="B1833" s="186"/>
      <c r="C1833" s="210"/>
      <c r="D1833" s="210"/>
      <c r="E1833" s="204"/>
      <c r="F1833" s="205"/>
      <c r="G1833" s="205"/>
    </row>
    <row r="1834" ht="15.75" customHeight="1">
      <c r="A1834" s="224"/>
      <c r="B1834" s="186"/>
      <c r="C1834" s="210"/>
      <c r="D1834" s="210"/>
      <c r="E1834" s="204"/>
      <c r="F1834" s="205"/>
      <c r="G1834" s="205"/>
    </row>
    <row r="1835" ht="15.75" customHeight="1">
      <c r="A1835" s="224"/>
      <c r="B1835" s="186"/>
      <c r="C1835" s="210"/>
      <c r="D1835" s="210"/>
      <c r="E1835" s="204"/>
      <c r="F1835" s="205"/>
      <c r="G1835" s="205"/>
    </row>
    <row r="1836" ht="15.75" customHeight="1">
      <c r="A1836" s="224"/>
      <c r="B1836" s="186"/>
      <c r="C1836" s="210"/>
      <c r="D1836" s="210"/>
      <c r="E1836" s="204"/>
      <c r="F1836" s="205"/>
      <c r="G1836" s="205"/>
    </row>
    <row r="1837" ht="15.75" customHeight="1">
      <c r="A1837" s="224"/>
      <c r="B1837" s="186"/>
      <c r="C1837" s="210"/>
      <c r="D1837" s="210"/>
      <c r="E1837" s="204"/>
      <c r="F1837" s="205"/>
      <c r="G1837" s="205"/>
    </row>
    <row r="1838" ht="15.75" customHeight="1">
      <c r="A1838" s="224"/>
      <c r="B1838" s="186"/>
      <c r="C1838" s="210"/>
      <c r="D1838" s="210"/>
      <c r="E1838" s="204"/>
      <c r="F1838" s="205"/>
      <c r="G1838" s="205"/>
    </row>
    <row r="1839" ht="15.75" customHeight="1">
      <c r="A1839" s="224"/>
      <c r="B1839" s="186"/>
      <c r="C1839" s="210"/>
      <c r="D1839" s="210"/>
      <c r="E1839" s="204"/>
      <c r="F1839" s="205"/>
      <c r="G1839" s="205"/>
    </row>
    <row r="1840" ht="15.75" customHeight="1">
      <c r="A1840" s="224"/>
      <c r="B1840" s="186"/>
      <c r="C1840" s="210"/>
      <c r="D1840" s="210"/>
      <c r="E1840" s="204"/>
      <c r="F1840" s="205"/>
      <c r="G1840" s="205"/>
    </row>
    <row r="1841" ht="15.75" customHeight="1">
      <c r="A1841" s="224"/>
      <c r="B1841" s="186"/>
      <c r="C1841" s="210"/>
      <c r="D1841" s="210"/>
      <c r="E1841" s="204"/>
      <c r="F1841" s="205"/>
      <c r="G1841" s="205"/>
    </row>
    <row r="1842" ht="15.75" customHeight="1">
      <c r="A1842" s="224"/>
      <c r="B1842" s="186"/>
      <c r="C1842" s="210"/>
      <c r="D1842" s="210"/>
      <c r="E1842" s="204"/>
      <c r="F1842" s="205"/>
      <c r="G1842" s="205"/>
    </row>
    <row r="1843" ht="15.75" customHeight="1">
      <c r="A1843" s="224"/>
      <c r="B1843" s="186"/>
      <c r="C1843" s="210"/>
      <c r="D1843" s="210"/>
      <c r="E1843" s="204"/>
      <c r="F1843" s="205"/>
      <c r="G1843" s="205"/>
    </row>
    <row r="1844" ht="15.75" customHeight="1">
      <c r="A1844" s="224"/>
      <c r="B1844" s="186"/>
      <c r="C1844" s="210"/>
      <c r="D1844" s="210"/>
      <c r="E1844" s="204"/>
      <c r="F1844" s="205"/>
      <c r="G1844" s="205"/>
    </row>
    <row r="1845" ht="15.75" customHeight="1">
      <c r="A1845" s="224"/>
      <c r="B1845" s="186"/>
      <c r="C1845" s="210"/>
      <c r="D1845" s="210"/>
      <c r="E1845" s="204"/>
      <c r="F1845" s="205"/>
      <c r="G1845" s="205"/>
    </row>
    <row r="1846" ht="15.75" customHeight="1">
      <c r="A1846" s="224"/>
      <c r="B1846" s="186"/>
      <c r="C1846" s="210"/>
      <c r="D1846" s="210"/>
      <c r="E1846" s="204"/>
      <c r="F1846" s="205"/>
      <c r="G1846" s="205"/>
    </row>
    <row r="1847" ht="15.75" customHeight="1">
      <c r="A1847" s="224"/>
      <c r="B1847" s="186"/>
      <c r="C1847" s="210"/>
      <c r="D1847" s="210"/>
      <c r="E1847" s="204"/>
      <c r="F1847" s="205"/>
      <c r="G1847" s="205"/>
    </row>
    <row r="1848" ht="15.75" customHeight="1">
      <c r="A1848" s="224"/>
      <c r="B1848" s="186"/>
      <c r="C1848" s="210"/>
      <c r="D1848" s="210"/>
      <c r="E1848" s="204"/>
      <c r="F1848" s="205"/>
      <c r="G1848" s="205"/>
    </row>
    <row r="1849" ht="15.75" customHeight="1">
      <c r="A1849" s="224"/>
      <c r="B1849" s="186"/>
      <c r="C1849" s="210"/>
      <c r="D1849" s="210"/>
      <c r="E1849" s="204"/>
      <c r="F1849" s="205"/>
      <c r="G1849" s="205"/>
    </row>
    <row r="1850" ht="15.75" customHeight="1">
      <c r="A1850" s="224"/>
      <c r="B1850" s="186"/>
      <c r="C1850" s="210"/>
      <c r="D1850" s="210"/>
      <c r="E1850" s="204"/>
      <c r="F1850" s="205"/>
      <c r="G1850" s="205"/>
    </row>
    <row r="1851" ht="15.75" customHeight="1">
      <c r="A1851" s="224"/>
      <c r="B1851" s="186"/>
      <c r="C1851" s="210"/>
      <c r="D1851" s="210"/>
      <c r="E1851" s="204"/>
      <c r="F1851" s="205"/>
      <c r="G1851" s="205"/>
    </row>
    <row r="1852" ht="15.75" customHeight="1">
      <c r="A1852" s="224"/>
      <c r="B1852" s="186"/>
      <c r="C1852" s="210"/>
      <c r="D1852" s="210"/>
      <c r="E1852" s="204"/>
      <c r="F1852" s="205"/>
      <c r="G1852" s="205"/>
    </row>
    <row r="1853" ht="15.75" customHeight="1">
      <c r="A1853" s="224"/>
      <c r="B1853" s="186"/>
      <c r="C1853" s="210"/>
      <c r="D1853" s="210"/>
      <c r="E1853" s="204"/>
      <c r="F1853" s="205"/>
      <c r="G1853" s="205"/>
    </row>
    <row r="1854" ht="15.75" customHeight="1">
      <c r="A1854" s="224"/>
      <c r="B1854" s="186"/>
      <c r="C1854" s="210"/>
      <c r="D1854" s="210"/>
      <c r="E1854" s="204"/>
      <c r="F1854" s="205"/>
      <c r="G1854" s="205"/>
    </row>
    <row r="1855" ht="15.75" customHeight="1">
      <c r="A1855" s="224"/>
      <c r="B1855" s="186"/>
      <c r="C1855" s="210"/>
      <c r="D1855" s="210"/>
      <c r="E1855" s="204"/>
      <c r="F1855" s="205"/>
      <c r="G1855" s="205"/>
    </row>
    <row r="1856" ht="15.75" customHeight="1">
      <c r="A1856" s="224"/>
      <c r="B1856" s="186"/>
      <c r="C1856" s="210"/>
      <c r="D1856" s="210"/>
      <c r="E1856" s="204"/>
      <c r="F1856" s="205"/>
      <c r="G1856" s="205"/>
    </row>
    <row r="1857" ht="15.75" customHeight="1">
      <c r="A1857" s="224"/>
      <c r="B1857" s="186"/>
      <c r="C1857" s="210"/>
      <c r="D1857" s="210"/>
      <c r="E1857" s="204"/>
      <c r="F1857" s="205"/>
      <c r="G1857" s="205"/>
    </row>
    <row r="1858" ht="15.75" customHeight="1">
      <c r="A1858" s="224"/>
      <c r="B1858" s="186"/>
      <c r="C1858" s="210"/>
      <c r="D1858" s="210"/>
      <c r="E1858" s="204"/>
      <c r="F1858" s="205"/>
      <c r="G1858" s="205"/>
    </row>
    <row r="1859" ht="15.75" customHeight="1">
      <c r="A1859" s="224"/>
      <c r="B1859" s="186"/>
      <c r="C1859" s="210"/>
      <c r="D1859" s="210"/>
      <c r="E1859" s="204"/>
      <c r="F1859" s="205"/>
      <c r="G1859" s="205"/>
    </row>
    <row r="1860" ht="15.75" customHeight="1">
      <c r="A1860" s="224"/>
      <c r="B1860" s="186"/>
      <c r="C1860" s="210"/>
      <c r="D1860" s="210"/>
      <c r="E1860" s="204"/>
      <c r="F1860" s="205"/>
      <c r="G1860" s="205"/>
    </row>
    <row r="1861" ht="15.75" customHeight="1">
      <c r="A1861" s="224"/>
      <c r="B1861" s="186"/>
      <c r="C1861" s="210"/>
      <c r="D1861" s="210"/>
      <c r="E1861" s="204"/>
      <c r="F1861" s="205"/>
      <c r="G1861" s="205"/>
    </row>
    <row r="1862" ht="15.75" customHeight="1">
      <c r="A1862" s="224"/>
      <c r="B1862" s="186"/>
      <c r="C1862" s="210"/>
      <c r="D1862" s="210"/>
      <c r="E1862" s="204"/>
      <c r="F1862" s="205"/>
      <c r="G1862" s="205"/>
    </row>
    <row r="1863" ht="15.75" customHeight="1">
      <c r="A1863" s="224"/>
      <c r="B1863" s="186"/>
      <c r="C1863" s="210"/>
      <c r="D1863" s="210"/>
      <c r="E1863" s="204"/>
      <c r="F1863" s="205"/>
      <c r="G1863" s="205"/>
    </row>
    <row r="1864" ht="15.75" customHeight="1">
      <c r="A1864" s="224"/>
      <c r="B1864" s="186"/>
      <c r="C1864" s="210"/>
      <c r="D1864" s="210"/>
      <c r="E1864" s="204"/>
      <c r="F1864" s="205"/>
      <c r="G1864" s="205"/>
    </row>
    <row r="1865" ht="15.75" customHeight="1">
      <c r="A1865" s="224"/>
      <c r="B1865" s="186"/>
      <c r="C1865" s="210"/>
      <c r="D1865" s="210"/>
      <c r="E1865" s="204"/>
      <c r="F1865" s="205"/>
      <c r="G1865" s="205"/>
    </row>
    <row r="1866" ht="15.75" customHeight="1">
      <c r="A1866" s="224"/>
      <c r="B1866" s="186"/>
      <c r="C1866" s="210"/>
      <c r="D1866" s="210"/>
      <c r="E1866" s="204"/>
      <c r="F1866" s="205"/>
      <c r="G1866" s="205"/>
    </row>
    <row r="1867" ht="15.75" customHeight="1">
      <c r="A1867" s="224"/>
      <c r="B1867" s="186"/>
      <c r="C1867" s="210"/>
      <c r="D1867" s="210"/>
      <c r="E1867" s="204"/>
      <c r="F1867" s="205"/>
      <c r="G1867" s="205"/>
    </row>
    <row r="1868" ht="15.75" customHeight="1">
      <c r="A1868" s="224"/>
      <c r="B1868" s="186"/>
      <c r="C1868" s="210"/>
      <c r="D1868" s="210"/>
      <c r="E1868" s="204"/>
      <c r="F1868" s="205"/>
      <c r="G1868" s="205"/>
    </row>
    <row r="1869" ht="15.75" customHeight="1">
      <c r="A1869" s="224"/>
      <c r="B1869" s="186"/>
      <c r="C1869" s="210"/>
      <c r="D1869" s="210"/>
      <c r="E1869" s="204"/>
      <c r="F1869" s="205"/>
      <c r="G1869" s="205"/>
    </row>
    <row r="1870" ht="15.75" customHeight="1">
      <c r="A1870" s="224"/>
      <c r="B1870" s="186"/>
      <c r="C1870" s="210"/>
      <c r="D1870" s="210"/>
      <c r="E1870" s="204"/>
      <c r="F1870" s="205"/>
      <c r="G1870" s="205"/>
    </row>
    <row r="1871" ht="15.75" customHeight="1">
      <c r="A1871" s="224"/>
      <c r="B1871" s="186"/>
      <c r="C1871" s="210"/>
      <c r="D1871" s="210"/>
      <c r="E1871" s="204"/>
      <c r="F1871" s="205"/>
      <c r="G1871" s="205"/>
    </row>
    <row r="1872" ht="15.75" customHeight="1">
      <c r="A1872" s="224"/>
      <c r="B1872" s="186"/>
      <c r="C1872" s="210"/>
      <c r="D1872" s="210"/>
      <c r="E1872" s="204"/>
      <c r="F1872" s="205"/>
      <c r="G1872" s="205"/>
    </row>
    <row r="1873" ht="15.75" customHeight="1">
      <c r="A1873" s="224"/>
      <c r="B1873" s="186"/>
      <c r="C1873" s="210"/>
      <c r="D1873" s="210"/>
      <c r="E1873" s="204"/>
      <c r="F1873" s="205"/>
      <c r="G1873" s="205"/>
    </row>
    <row r="1874" ht="15.75" customHeight="1">
      <c r="A1874" s="224"/>
      <c r="B1874" s="186"/>
      <c r="C1874" s="210"/>
      <c r="D1874" s="210"/>
      <c r="E1874" s="204"/>
      <c r="F1874" s="205"/>
      <c r="G1874" s="205"/>
    </row>
    <row r="1875" ht="15.75" customHeight="1">
      <c r="A1875" s="224"/>
      <c r="B1875" s="186"/>
      <c r="C1875" s="210"/>
      <c r="D1875" s="210"/>
      <c r="E1875" s="204"/>
      <c r="F1875" s="205"/>
      <c r="G1875" s="205"/>
    </row>
    <row r="1876" ht="15.75" customHeight="1">
      <c r="A1876" s="224"/>
      <c r="B1876" s="186"/>
      <c r="C1876" s="210"/>
      <c r="D1876" s="210"/>
      <c r="E1876" s="204"/>
      <c r="F1876" s="205"/>
      <c r="G1876" s="205"/>
    </row>
    <row r="1877" ht="15.75" customHeight="1">
      <c r="A1877" s="224"/>
      <c r="B1877" s="186"/>
      <c r="C1877" s="210"/>
      <c r="D1877" s="210"/>
      <c r="E1877" s="204"/>
      <c r="F1877" s="205"/>
      <c r="G1877" s="205"/>
    </row>
    <row r="1878" ht="15.75" customHeight="1">
      <c r="A1878" s="224"/>
      <c r="B1878" s="186"/>
      <c r="C1878" s="210"/>
      <c r="D1878" s="210"/>
      <c r="E1878" s="204"/>
      <c r="F1878" s="205"/>
      <c r="G1878" s="205"/>
    </row>
    <row r="1879" ht="15.75" customHeight="1">
      <c r="A1879" s="224"/>
      <c r="B1879" s="186"/>
      <c r="C1879" s="210"/>
      <c r="D1879" s="210"/>
      <c r="E1879" s="204"/>
      <c r="F1879" s="205"/>
      <c r="G1879" s="205"/>
    </row>
    <row r="1880" ht="15.75" customHeight="1">
      <c r="A1880" s="224"/>
      <c r="B1880" s="186"/>
      <c r="C1880" s="210"/>
      <c r="D1880" s="210"/>
      <c r="E1880" s="204"/>
      <c r="F1880" s="205"/>
      <c r="G1880" s="205"/>
    </row>
    <row r="1881" ht="15.75" customHeight="1">
      <c r="A1881" s="224"/>
      <c r="B1881" s="186"/>
      <c r="C1881" s="210"/>
      <c r="D1881" s="210"/>
      <c r="E1881" s="204"/>
      <c r="F1881" s="205"/>
      <c r="G1881" s="205"/>
    </row>
    <row r="1882" ht="15.75" customHeight="1">
      <c r="A1882" s="224"/>
      <c r="B1882" s="186"/>
      <c r="C1882" s="210"/>
      <c r="D1882" s="210"/>
      <c r="E1882" s="204"/>
      <c r="F1882" s="205"/>
      <c r="G1882" s="205"/>
    </row>
    <row r="1883" ht="15.75" customHeight="1">
      <c r="A1883" s="224"/>
      <c r="B1883" s="186"/>
      <c r="C1883" s="210"/>
      <c r="D1883" s="210"/>
      <c r="E1883" s="204"/>
      <c r="F1883" s="205"/>
      <c r="G1883" s="205"/>
    </row>
    <row r="1884" ht="15.75" customHeight="1">
      <c r="A1884" s="224"/>
      <c r="B1884" s="186"/>
      <c r="C1884" s="210"/>
      <c r="D1884" s="210"/>
      <c r="E1884" s="204"/>
      <c r="F1884" s="205"/>
      <c r="G1884" s="205"/>
    </row>
    <row r="1885" ht="15.75" customHeight="1">
      <c r="A1885" s="224"/>
      <c r="B1885" s="186"/>
      <c r="C1885" s="210"/>
      <c r="D1885" s="210"/>
      <c r="E1885" s="204"/>
      <c r="F1885" s="205"/>
      <c r="G1885" s="205"/>
    </row>
    <row r="1886" ht="15.75" customHeight="1">
      <c r="A1886" s="224"/>
      <c r="B1886" s="186"/>
      <c r="C1886" s="210"/>
      <c r="D1886" s="210"/>
      <c r="E1886" s="204"/>
      <c r="F1886" s="205"/>
      <c r="G1886" s="205"/>
    </row>
    <row r="1887" ht="15.75" customHeight="1">
      <c r="A1887" s="224"/>
      <c r="B1887" s="186"/>
      <c r="C1887" s="210"/>
      <c r="D1887" s="210"/>
      <c r="E1887" s="204"/>
      <c r="F1887" s="205"/>
      <c r="G1887" s="205"/>
    </row>
    <row r="1888" ht="15.75" customHeight="1">
      <c r="A1888" s="224"/>
      <c r="B1888" s="186"/>
      <c r="C1888" s="210"/>
      <c r="D1888" s="210"/>
      <c r="E1888" s="204"/>
      <c r="F1888" s="205"/>
      <c r="G1888" s="205"/>
    </row>
    <row r="1889" ht="15.75" customHeight="1">
      <c r="A1889" s="224"/>
      <c r="B1889" s="186"/>
      <c r="C1889" s="210"/>
      <c r="D1889" s="210"/>
      <c r="E1889" s="204"/>
      <c r="F1889" s="205"/>
      <c r="G1889" s="205"/>
    </row>
    <row r="1890" ht="15.75" customHeight="1">
      <c r="A1890" s="224"/>
      <c r="B1890" s="186"/>
      <c r="C1890" s="210"/>
      <c r="D1890" s="210"/>
      <c r="E1890" s="204"/>
      <c r="F1890" s="205"/>
      <c r="G1890" s="205"/>
    </row>
    <row r="1891" ht="15.75" customHeight="1">
      <c r="A1891" s="224"/>
      <c r="B1891" s="186"/>
      <c r="C1891" s="210"/>
      <c r="D1891" s="210"/>
      <c r="E1891" s="204"/>
      <c r="F1891" s="205"/>
      <c r="G1891" s="205"/>
    </row>
    <row r="1892" ht="15.75" customHeight="1">
      <c r="A1892" s="224"/>
      <c r="B1892" s="186"/>
      <c r="C1892" s="210"/>
      <c r="D1892" s="210"/>
      <c r="E1892" s="204"/>
      <c r="F1892" s="205"/>
      <c r="G1892" s="205"/>
    </row>
    <row r="1893" ht="15.75" customHeight="1">
      <c r="A1893" s="224"/>
      <c r="B1893" s="186"/>
      <c r="C1893" s="210"/>
      <c r="D1893" s="210"/>
      <c r="E1893" s="204"/>
      <c r="F1893" s="205"/>
      <c r="G1893" s="205"/>
    </row>
    <row r="1894" ht="15.75" customHeight="1">
      <c r="A1894" s="224"/>
      <c r="B1894" s="186"/>
      <c r="C1894" s="210"/>
      <c r="D1894" s="210"/>
      <c r="E1894" s="204"/>
      <c r="F1894" s="205"/>
      <c r="G1894" s="205"/>
    </row>
    <row r="1895" ht="15.75" customHeight="1">
      <c r="A1895" s="224"/>
      <c r="B1895" s="186"/>
      <c r="C1895" s="210"/>
      <c r="D1895" s="210"/>
      <c r="E1895" s="204"/>
      <c r="F1895" s="205"/>
      <c r="G1895" s="205"/>
    </row>
    <row r="1896" ht="15.75" customHeight="1">
      <c r="A1896" s="224"/>
      <c r="B1896" s="186"/>
      <c r="C1896" s="210"/>
      <c r="D1896" s="210"/>
      <c r="E1896" s="204"/>
      <c r="F1896" s="205"/>
      <c r="G1896" s="205"/>
    </row>
    <row r="1897" ht="15.75" customHeight="1">
      <c r="A1897" s="224"/>
      <c r="B1897" s="186"/>
      <c r="C1897" s="210"/>
      <c r="D1897" s="210"/>
      <c r="E1897" s="204"/>
      <c r="F1897" s="205"/>
      <c r="G1897" s="205"/>
    </row>
    <row r="1898" ht="15.75" customHeight="1">
      <c r="A1898" s="224"/>
      <c r="B1898" s="186"/>
      <c r="C1898" s="210"/>
      <c r="D1898" s="210"/>
      <c r="E1898" s="204"/>
      <c r="F1898" s="205"/>
      <c r="G1898" s="205"/>
    </row>
    <row r="1899" ht="15.75" customHeight="1">
      <c r="A1899" s="224"/>
      <c r="B1899" s="186"/>
      <c r="C1899" s="210"/>
      <c r="D1899" s="210"/>
      <c r="E1899" s="204"/>
      <c r="F1899" s="205"/>
      <c r="G1899" s="205"/>
    </row>
    <row r="1900" ht="15.75" customHeight="1">
      <c r="A1900" s="224"/>
      <c r="B1900" s="186"/>
      <c r="C1900" s="210"/>
      <c r="D1900" s="210"/>
      <c r="E1900" s="204"/>
      <c r="F1900" s="205"/>
      <c r="G1900" s="205"/>
    </row>
    <row r="1901" ht="15.75" customHeight="1">
      <c r="A1901" s="224"/>
      <c r="B1901" s="186"/>
      <c r="C1901" s="210"/>
      <c r="D1901" s="210"/>
      <c r="E1901" s="204"/>
      <c r="F1901" s="205"/>
      <c r="G1901" s="205"/>
    </row>
    <row r="1902" ht="15.75" customHeight="1">
      <c r="A1902" s="224"/>
      <c r="B1902" s="186"/>
      <c r="C1902" s="210"/>
      <c r="D1902" s="210"/>
      <c r="E1902" s="204"/>
      <c r="F1902" s="205"/>
      <c r="G1902" s="205"/>
    </row>
    <row r="1903" ht="15.75" customHeight="1">
      <c r="A1903" s="224"/>
      <c r="B1903" s="186"/>
      <c r="C1903" s="210"/>
      <c r="D1903" s="210"/>
      <c r="E1903" s="204"/>
      <c r="F1903" s="205"/>
      <c r="G1903" s="205"/>
    </row>
    <row r="1904" ht="15.75" customHeight="1">
      <c r="A1904" s="224"/>
      <c r="B1904" s="186"/>
      <c r="C1904" s="210"/>
      <c r="D1904" s="210"/>
      <c r="E1904" s="204"/>
      <c r="F1904" s="205"/>
      <c r="G1904" s="205"/>
    </row>
    <row r="1905" ht="15.75" customHeight="1">
      <c r="A1905" s="224"/>
      <c r="B1905" s="186"/>
      <c r="C1905" s="210"/>
      <c r="D1905" s="210"/>
      <c r="E1905" s="204"/>
      <c r="F1905" s="205"/>
      <c r="G1905" s="205"/>
    </row>
    <row r="1906" ht="15.75" customHeight="1">
      <c r="A1906" s="224"/>
      <c r="B1906" s="186"/>
      <c r="C1906" s="210"/>
      <c r="D1906" s="210"/>
      <c r="E1906" s="204"/>
      <c r="F1906" s="205"/>
      <c r="G1906" s="205"/>
    </row>
    <row r="1907" ht="15.75" customHeight="1">
      <c r="A1907" s="224"/>
      <c r="B1907" s="186"/>
      <c r="C1907" s="210"/>
      <c r="D1907" s="210"/>
      <c r="E1907" s="204"/>
      <c r="F1907" s="205"/>
      <c r="G1907" s="205"/>
    </row>
    <row r="1908" ht="15.75" customHeight="1">
      <c r="A1908" s="224"/>
      <c r="B1908" s="186"/>
      <c r="C1908" s="210"/>
      <c r="D1908" s="210"/>
      <c r="E1908" s="204"/>
      <c r="F1908" s="205"/>
      <c r="G1908" s="205"/>
    </row>
    <row r="1909" ht="15.75" customHeight="1">
      <c r="A1909" s="224"/>
      <c r="B1909" s="186"/>
      <c r="C1909" s="210"/>
      <c r="D1909" s="210"/>
      <c r="E1909" s="204"/>
      <c r="F1909" s="205"/>
      <c r="G1909" s="205"/>
    </row>
    <row r="1910" ht="15.75" customHeight="1">
      <c r="A1910" s="224"/>
      <c r="B1910" s="186"/>
      <c r="C1910" s="210"/>
      <c r="D1910" s="210"/>
      <c r="E1910" s="204"/>
      <c r="F1910" s="205"/>
      <c r="G1910" s="205"/>
    </row>
    <row r="1911" ht="15.75" customHeight="1">
      <c r="A1911" s="224"/>
      <c r="B1911" s="186"/>
      <c r="C1911" s="210"/>
      <c r="D1911" s="210"/>
      <c r="E1911" s="204"/>
      <c r="F1911" s="205"/>
      <c r="G1911" s="205"/>
    </row>
    <row r="1912" ht="15.75" customHeight="1">
      <c r="A1912" s="224"/>
      <c r="B1912" s="186"/>
      <c r="C1912" s="210"/>
      <c r="D1912" s="210"/>
      <c r="E1912" s="204"/>
      <c r="F1912" s="205"/>
      <c r="G1912" s="205"/>
    </row>
    <row r="1913" ht="15.75" customHeight="1">
      <c r="A1913" s="224"/>
      <c r="B1913" s="186"/>
      <c r="C1913" s="210"/>
      <c r="D1913" s="210"/>
      <c r="E1913" s="204"/>
      <c r="F1913" s="205"/>
      <c r="G1913" s="205"/>
    </row>
    <row r="1914" ht="15.75" customHeight="1">
      <c r="A1914" s="224"/>
      <c r="B1914" s="186"/>
      <c r="C1914" s="210"/>
      <c r="D1914" s="210"/>
      <c r="E1914" s="204"/>
      <c r="F1914" s="205"/>
      <c r="G1914" s="205"/>
    </row>
    <row r="1915" ht="15.75" customHeight="1">
      <c r="A1915" s="224"/>
      <c r="B1915" s="186"/>
      <c r="C1915" s="210"/>
      <c r="D1915" s="210"/>
      <c r="E1915" s="204"/>
      <c r="F1915" s="205"/>
      <c r="G1915" s="205"/>
    </row>
    <row r="1916" ht="15.75" customHeight="1">
      <c r="A1916" s="224"/>
      <c r="B1916" s="186"/>
      <c r="C1916" s="210"/>
      <c r="D1916" s="210"/>
      <c r="E1916" s="204"/>
      <c r="F1916" s="205"/>
      <c r="G1916" s="205"/>
    </row>
    <row r="1917" ht="15.75" customHeight="1">
      <c r="A1917" s="224"/>
      <c r="B1917" s="186"/>
      <c r="C1917" s="210"/>
      <c r="D1917" s="210"/>
      <c r="E1917" s="204"/>
      <c r="F1917" s="205"/>
      <c r="G1917" s="205"/>
    </row>
    <row r="1918" ht="15.75" customHeight="1">
      <c r="A1918" s="224"/>
      <c r="B1918" s="186"/>
      <c r="C1918" s="210"/>
      <c r="D1918" s="210"/>
      <c r="E1918" s="204"/>
      <c r="F1918" s="205"/>
      <c r="G1918" s="205"/>
    </row>
    <row r="1919" ht="15.75" customHeight="1">
      <c r="A1919" s="224"/>
      <c r="B1919" s="186"/>
      <c r="C1919" s="210"/>
      <c r="D1919" s="210"/>
      <c r="E1919" s="204"/>
      <c r="F1919" s="205"/>
      <c r="G1919" s="205"/>
    </row>
    <row r="1920" ht="15.75" customHeight="1">
      <c r="A1920" s="224"/>
      <c r="B1920" s="186"/>
      <c r="C1920" s="210"/>
      <c r="D1920" s="210"/>
      <c r="E1920" s="204"/>
      <c r="F1920" s="205"/>
      <c r="G1920" s="205"/>
    </row>
    <row r="1921" ht="15.75" customHeight="1">
      <c r="A1921" s="224"/>
      <c r="B1921" s="186"/>
      <c r="C1921" s="210"/>
      <c r="D1921" s="210"/>
      <c r="E1921" s="204"/>
      <c r="F1921" s="205"/>
      <c r="G1921" s="205"/>
    </row>
    <row r="1922" ht="15.75" customHeight="1">
      <c r="A1922" s="224"/>
      <c r="B1922" s="186"/>
      <c r="C1922" s="210"/>
      <c r="D1922" s="210"/>
      <c r="E1922" s="204"/>
      <c r="F1922" s="205"/>
      <c r="G1922" s="205"/>
    </row>
    <row r="1923" ht="15.75" customHeight="1">
      <c r="A1923" s="224"/>
      <c r="B1923" s="186"/>
      <c r="C1923" s="210"/>
      <c r="D1923" s="210"/>
      <c r="E1923" s="204"/>
      <c r="F1923" s="205"/>
      <c r="G1923" s="205"/>
    </row>
    <row r="1924" ht="15.75" customHeight="1">
      <c r="A1924" s="224"/>
      <c r="B1924" s="186"/>
      <c r="C1924" s="210"/>
      <c r="D1924" s="210"/>
      <c r="E1924" s="204"/>
      <c r="F1924" s="205"/>
      <c r="G1924" s="205"/>
    </row>
    <row r="1925" ht="15.75" customHeight="1">
      <c r="A1925" s="224"/>
      <c r="B1925" s="186"/>
      <c r="C1925" s="210"/>
      <c r="D1925" s="210"/>
      <c r="E1925" s="204"/>
      <c r="F1925" s="205"/>
      <c r="G1925" s="205"/>
    </row>
    <row r="1926" ht="15.75" customHeight="1">
      <c r="A1926" s="224"/>
      <c r="B1926" s="186"/>
      <c r="C1926" s="210"/>
      <c r="D1926" s="210"/>
      <c r="E1926" s="204"/>
      <c r="F1926" s="205"/>
      <c r="G1926" s="205"/>
    </row>
    <row r="1927" ht="15.75" customHeight="1">
      <c r="A1927" s="224"/>
      <c r="B1927" s="186"/>
      <c r="C1927" s="210"/>
      <c r="D1927" s="210"/>
      <c r="E1927" s="204"/>
      <c r="F1927" s="205"/>
      <c r="G1927" s="205"/>
    </row>
    <row r="1928" ht="15.75" customHeight="1">
      <c r="A1928" s="224"/>
      <c r="B1928" s="186"/>
      <c r="C1928" s="210"/>
      <c r="D1928" s="210"/>
      <c r="E1928" s="204"/>
      <c r="F1928" s="205"/>
      <c r="G1928" s="205"/>
    </row>
    <row r="1929" ht="15.75" customHeight="1">
      <c r="A1929" s="224"/>
      <c r="B1929" s="186"/>
      <c r="C1929" s="210"/>
      <c r="D1929" s="210"/>
      <c r="E1929" s="204"/>
      <c r="F1929" s="205"/>
      <c r="G1929" s="205"/>
    </row>
    <row r="1930" ht="15.75" customHeight="1">
      <c r="A1930" s="224"/>
      <c r="B1930" s="186"/>
      <c r="C1930" s="210"/>
      <c r="D1930" s="210"/>
      <c r="E1930" s="204"/>
      <c r="F1930" s="205"/>
      <c r="G1930" s="205"/>
    </row>
    <row r="1931" ht="15.75" customHeight="1">
      <c r="A1931" s="224"/>
      <c r="B1931" s="186"/>
      <c r="C1931" s="210"/>
      <c r="D1931" s="210"/>
      <c r="E1931" s="204"/>
      <c r="F1931" s="205"/>
      <c r="G1931" s="205"/>
    </row>
    <row r="1932" ht="15.75" customHeight="1">
      <c r="A1932" s="224"/>
      <c r="B1932" s="186"/>
      <c r="C1932" s="210"/>
      <c r="D1932" s="210"/>
      <c r="E1932" s="204"/>
      <c r="F1932" s="205"/>
      <c r="G1932" s="205"/>
    </row>
    <row r="1933" ht="15.75" customHeight="1">
      <c r="A1933" s="224"/>
      <c r="B1933" s="186"/>
      <c r="C1933" s="210"/>
      <c r="D1933" s="210"/>
      <c r="E1933" s="204"/>
      <c r="F1933" s="205"/>
      <c r="G1933" s="205"/>
    </row>
    <row r="1934" ht="15.75" customHeight="1">
      <c r="A1934" s="224"/>
      <c r="B1934" s="186"/>
      <c r="C1934" s="210"/>
      <c r="D1934" s="210"/>
      <c r="E1934" s="204"/>
      <c r="F1934" s="205"/>
      <c r="G1934" s="205"/>
    </row>
    <row r="1935" ht="15.75" customHeight="1">
      <c r="A1935" s="224"/>
      <c r="B1935" s="186"/>
      <c r="C1935" s="210"/>
      <c r="D1935" s="210"/>
      <c r="E1935" s="204"/>
      <c r="F1935" s="205"/>
      <c r="G1935" s="205"/>
    </row>
    <row r="1936" ht="15.75" customHeight="1">
      <c r="A1936" s="224"/>
      <c r="B1936" s="186"/>
      <c r="C1936" s="210"/>
      <c r="D1936" s="210"/>
      <c r="E1936" s="204"/>
      <c r="F1936" s="205"/>
      <c r="G1936" s="205"/>
    </row>
    <row r="1937" ht="15.75" customHeight="1">
      <c r="A1937" s="224"/>
      <c r="B1937" s="186"/>
      <c r="C1937" s="210"/>
      <c r="D1937" s="210"/>
      <c r="E1937" s="204"/>
      <c r="F1937" s="205"/>
      <c r="G1937" s="205"/>
    </row>
    <row r="1938" ht="15.75" customHeight="1">
      <c r="A1938" s="224"/>
      <c r="B1938" s="186"/>
      <c r="C1938" s="210"/>
      <c r="D1938" s="210"/>
      <c r="E1938" s="204"/>
      <c r="F1938" s="205"/>
      <c r="G1938" s="205"/>
    </row>
    <row r="1939" ht="15.75" customHeight="1">
      <c r="A1939" s="224"/>
      <c r="B1939" s="186"/>
      <c r="C1939" s="210"/>
      <c r="D1939" s="210"/>
      <c r="E1939" s="204"/>
      <c r="F1939" s="205"/>
      <c r="G1939" s="205"/>
    </row>
    <row r="1940" ht="15.75" customHeight="1">
      <c r="A1940" s="224"/>
      <c r="B1940" s="186"/>
      <c r="C1940" s="210"/>
      <c r="D1940" s="210"/>
      <c r="E1940" s="204"/>
      <c r="F1940" s="205"/>
      <c r="G1940" s="205"/>
    </row>
    <row r="1941" ht="15.75" customHeight="1">
      <c r="A1941" s="224"/>
      <c r="B1941" s="186"/>
      <c r="C1941" s="210"/>
      <c r="D1941" s="210"/>
      <c r="E1941" s="204"/>
      <c r="F1941" s="205"/>
      <c r="G1941" s="205"/>
    </row>
    <row r="1942" ht="15.75" customHeight="1">
      <c r="A1942" s="224"/>
      <c r="B1942" s="186"/>
      <c r="C1942" s="210"/>
      <c r="D1942" s="210"/>
      <c r="E1942" s="204"/>
      <c r="F1942" s="205"/>
      <c r="G1942" s="205"/>
    </row>
    <row r="1943" ht="15.75" customHeight="1">
      <c r="A1943" s="224"/>
      <c r="B1943" s="186"/>
      <c r="C1943" s="210"/>
      <c r="D1943" s="210"/>
      <c r="E1943" s="204"/>
      <c r="F1943" s="205"/>
      <c r="G1943" s="205"/>
    </row>
    <row r="1944" ht="15.75" customHeight="1">
      <c r="A1944" s="224"/>
      <c r="B1944" s="186"/>
      <c r="C1944" s="210"/>
      <c r="D1944" s="210"/>
      <c r="E1944" s="204"/>
      <c r="F1944" s="205"/>
      <c r="G1944" s="205"/>
    </row>
    <row r="1945" ht="15.75" customHeight="1">
      <c r="A1945" s="224"/>
      <c r="B1945" s="186"/>
      <c r="C1945" s="210"/>
      <c r="D1945" s="210"/>
      <c r="E1945" s="204"/>
      <c r="F1945" s="205"/>
      <c r="G1945" s="205"/>
    </row>
    <row r="1946" ht="15.75" customHeight="1">
      <c r="A1946" s="224"/>
      <c r="B1946" s="186"/>
      <c r="C1946" s="210"/>
      <c r="D1946" s="210"/>
      <c r="E1946" s="204"/>
      <c r="F1946" s="205"/>
      <c r="G1946" s="205"/>
    </row>
    <row r="1947" ht="15.75" customHeight="1">
      <c r="A1947" s="224"/>
      <c r="B1947" s="186"/>
      <c r="C1947" s="210"/>
      <c r="D1947" s="210"/>
      <c r="E1947" s="204"/>
      <c r="F1947" s="205"/>
      <c r="G1947" s="205"/>
    </row>
    <row r="1948" ht="15.75" customHeight="1">
      <c r="A1948" s="224"/>
      <c r="B1948" s="186"/>
      <c r="C1948" s="210"/>
      <c r="D1948" s="210"/>
      <c r="E1948" s="204"/>
      <c r="F1948" s="205"/>
      <c r="G1948" s="205"/>
    </row>
    <row r="1949" ht="15.75" customHeight="1">
      <c r="A1949" s="224"/>
      <c r="B1949" s="186"/>
      <c r="C1949" s="210"/>
      <c r="D1949" s="210"/>
      <c r="E1949" s="204"/>
      <c r="F1949" s="205"/>
      <c r="G1949" s="205"/>
    </row>
    <row r="1950" ht="15.75" customHeight="1">
      <c r="A1950" s="224"/>
      <c r="B1950" s="186"/>
      <c r="C1950" s="210"/>
      <c r="D1950" s="210"/>
      <c r="E1950" s="204"/>
      <c r="F1950" s="205"/>
      <c r="G1950" s="205"/>
    </row>
    <row r="1951" ht="15.75" customHeight="1">
      <c r="A1951" s="224"/>
      <c r="B1951" s="186"/>
      <c r="C1951" s="210"/>
      <c r="D1951" s="210"/>
      <c r="E1951" s="204"/>
      <c r="F1951" s="205"/>
      <c r="G1951" s="205"/>
    </row>
    <row r="1952" ht="15.75" customHeight="1">
      <c r="A1952" s="224"/>
      <c r="B1952" s="186"/>
      <c r="C1952" s="210"/>
      <c r="D1952" s="210"/>
      <c r="E1952" s="204"/>
      <c r="F1952" s="205"/>
      <c r="G1952" s="205"/>
    </row>
    <row r="1953" ht="15.75" customHeight="1">
      <c r="A1953" s="224"/>
      <c r="B1953" s="186"/>
      <c r="C1953" s="210"/>
      <c r="D1953" s="210"/>
      <c r="E1953" s="204"/>
      <c r="F1953" s="205"/>
      <c r="G1953" s="205"/>
    </row>
    <row r="1954" ht="15.75" customHeight="1">
      <c r="A1954" s="224"/>
      <c r="B1954" s="186"/>
      <c r="C1954" s="210"/>
      <c r="D1954" s="210"/>
      <c r="E1954" s="204"/>
      <c r="F1954" s="205"/>
      <c r="G1954" s="205"/>
    </row>
    <row r="1955" ht="15.75" customHeight="1">
      <c r="A1955" s="224"/>
      <c r="B1955" s="186"/>
      <c r="C1955" s="210"/>
      <c r="D1955" s="210"/>
      <c r="E1955" s="204"/>
      <c r="F1955" s="205"/>
      <c r="G1955" s="205"/>
    </row>
    <row r="1956" ht="15.75" customHeight="1">
      <c r="A1956" s="224"/>
      <c r="B1956" s="186"/>
      <c r="C1956" s="210"/>
      <c r="D1956" s="210"/>
      <c r="E1956" s="204"/>
      <c r="F1956" s="205"/>
      <c r="G1956" s="205"/>
    </row>
    <row r="1957" ht="15.75" customHeight="1">
      <c r="A1957" s="224"/>
      <c r="B1957" s="186"/>
      <c r="C1957" s="210"/>
      <c r="D1957" s="210"/>
      <c r="E1957" s="204"/>
      <c r="F1957" s="205"/>
      <c r="G1957" s="205"/>
    </row>
    <row r="1958" ht="15.75" customHeight="1">
      <c r="A1958" s="224"/>
      <c r="B1958" s="186"/>
      <c r="C1958" s="210"/>
      <c r="D1958" s="210"/>
      <c r="E1958" s="204"/>
      <c r="F1958" s="205"/>
      <c r="G1958" s="205"/>
    </row>
    <row r="1959" ht="15.75" customHeight="1">
      <c r="A1959" s="224"/>
      <c r="B1959" s="186"/>
      <c r="C1959" s="210"/>
      <c r="D1959" s="210"/>
      <c r="E1959" s="204"/>
      <c r="F1959" s="205"/>
      <c r="G1959" s="205"/>
    </row>
    <row r="1960" ht="15.75" customHeight="1">
      <c r="A1960" s="224"/>
      <c r="B1960" s="186"/>
      <c r="C1960" s="210"/>
      <c r="D1960" s="210"/>
      <c r="E1960" s="204"/>
      <c r="F1960" s="205"/>
      <c r="G1960" s="205"/>
    </row>
    <row r="1961" ht="15.75" customHeight="1">
      <c r="A1961" s="224"/>
      <c r="B1961" s="186"/>
      <c r="C1961" s="210"/>
      <c r="D1961" s="210"/>
      <c r="E1961" s="204"/>
      <c r="F1961" s="205"/>
      <c r="G1961" s="205"/>
    </row>
    <row r="1962" ht="15.75" customHeight="1">
      <c r="A1962" s="224"/>
      <c r="B1962" s="186"/>
      <c r="C1962" s="210"/>
      <c r="D1962" s="210"/>
      <c r="E1962" s="204"/>
      <c r="F1962" s="205"/>
      <c r="G1962" s="205"/>
    </row>
    <row r="1963" ht="15.75" customHeight="1">
      <c r="A1963" s="224"/>
      <c r="B1963" s="186"/>
      <c r="C1963" s="210"/>
      <c r="D1963" s="210"/>
      <c r="E1963" s="204"/>
      <c r="F1963" s="205"/>
      <c r="G1963" s="205"/>
    </row>
    <row r="1964" ht="15.75" customHeight="1">
      <c r="A1964" s="224"/>
      <c r="B1964" s="186"/>
      <c r="C1964" s="210"/>
      <c r="D1964" s="210"/>
      <c r="E1964" s="204"/>
      <c r="F1964" s="205"/>
      <c r="G1964" s="205"/>
    </row>
    <row r="1965" ht="15.75" customHeight="1">
      <c r="A1965" s="224"/>
      <c r="B1965" s="186"/>
      <c r="C1965" s="210"/>
      <c r="D1965" s="210"/>
      <c r="E1965" s="204"/>
      <c r="F1965" s="205"/>
      <c r="G1965" s="205"/>
    </row>
    <row r="1966" ht="15.75" customHeight="1">
      <c r="A1966" s="224"/>
      <c r="B1966" s="186"/>
      <c r="C1966" s="210"/>
      <c r="D1966" s="210"/>
      <c r="E1966" s="204"/>
      <c r="F1966" s="205"/>
      <c r="G1966" s="205"/>
    </row>
    <row r="1967" ht="15.75" customHeight="1">
      <c r="A1967" s="224"/>
      <c r="B1967" s="186"/>
      <c r="C1967" s="210"/>
      <c r="D1967" s="210"/>
      <c r="E1967" s="204"/>
      <c r="F1967" s="205"/>
      <c r="G1967" s="205"/>
    </row>
    <row r="1968" ht="15.75" customHeight="1">
      <c r="A1968" s="224"/>
      <c r="B1968" s="186"/>
      <c r="C1968" s="210"/>
      <c r="D1968" s="210"/>
      <c r="E1968" s="204"/>
      <c r="F1968" s="205"/>
      <c r="G1968" s="205"/>
    </row>
    <row r="1969" ht="15.75" customHeight="1">
      <c r="A1969" s="224"/>
      <c r="B1969" s="186"/>
      <c r="C1969" s="210"/>
      <c r="D1969" s="210"/>
      <c r="E1969" s="204"/>
      <c r="F1969" s="205"/>
      <c r="G1969" s="205"/>
    </row>
    <row r="1970" ht="15.75" customHeight="1">
      <c r="A1970" s="224"/>
      <c r="B1970" s="186"/>
      <c r="C1970" s="210"/>
      <c r="D1970" s="210"/>
      <c r="E1970" s="204"/>
      <c r="F1970" s="205"/>
      <c r="G1970" s="205"/>
    </row>
    <row r="1971" ht="15.75" customHeight="1">
      <c r="A1971" s="224"/>
      <c r="B1971" s="186"/>
      <c r="C1971" s="210"/>
      <c r="D1971" s="210"/>
      <c r="E1971" s="204"/>
      <c r="F1971" s="205"/>
      <c r="G1971" s="205"/>
    </row>
    <row r="1972" ht="15.75" customHeight="1">
      <c r="A1972" s="224"/>
      <c r="B1972" s="186"/>
      <c r="C1972" s="210"/>
      <c r="D1972" s="210"/>
      <c r="E1972" s="204"/>
      <c r="F1972" s="205"/>
      <c r="G1972" s="205"/>
    </row>
    <row r="1973" ht="15.75" customHeight="1">
      <c r="A1973" s="224"/>
      <c r="B1973" s="186"/>
      <c r="C1973" s="210"/>
      <c r="D1973" s="210"/>
      <c r="E1973" s="204"/>
      <c r="F1973" s="205"/>
      <c r="G1973" s="205"/>
    </row>
    <row r="1974" ht="15.75" customHeight="1">
      <c r="A1974" s="224"/>
      <c r="B1974" s="186"/>
      <c r="C1974" s="210"/>
      <c r="D1974" s="210"/>
      <c r="E1974" s="204"/>
      <c r="F1974" s="205"/>
      <c r="G1974" s="205"/>
    </row>
    <row r="1975" ht="15.75" customHeight="1">
      <c r="A1975" s="224"/>
      <c r="B1975" s="186"/>
      <c r="C1975" s="210"/>
      <c r="D1975" s="210"/>
      <c r="E1975" s="204"/>
      <c r="F1975" s="205"/>
      <c r="G1975" s="205"/>
    </row>
    <row r="1976" ht="15.75" customHeight="1">
      <c r="A1976" s="224"/>
      <c r="B1976" s="186"/>
      <c r="C1976" s="210"/>
      <c r="D1976" s="210"/>
      <c r="E1976" s="204"/>
      <c r="F1976" s="205"/>
      <c r="G1976" s="205"/>
    </row>
    <row r="1977" ht="15.75" customHeight="1">
      <c r="A1977" s="224"/>
      <c r="B1977" s="186"/>
      <c r="C1977" s="210"/>
      <c r="D1977" s="210"/>
      <c r="E1977" s="204"/>
      <c r="F1977" s="205"/>
      <c r="G1977" s="205"/>
    </row>
    <row r="1978" ht="15.75" customHeight="1">
      <c r="A1978" s="224"/>
      <c r="B1978" s="186"/>
      <c r="C1978" s="210"/>
      <c r="D1978" s="210"/>
      <c r="E1978" s="204"/>
      <c r="F1978" s="205"/>
      <c r="G1978" s="205"/>
    </row>
    <row r="1979" ht="15.75" customHeight="1">
      <c r="A1979" s="224"/>
      <c r="B1979" s="186"/>
      <c r="C1979" s="210"/>
      <c r="D1979" s="210"/>
      <c r="E1979" s="204"/>
      <c r="F1979" s="205"/>
      <c r="G1979" s="205"/>
    </row>
    <row r="1980" ht="15.75" customHeight="1">
      <c r="A1980" s="224"/>
      <c r="B1980" s="186"/>
      <c r="C1980" s="210"/>
      <c r="D1980" s="210"/>
      <c r="E1980" s="204"/>
      <c r="F1980" s="205"/>
      <c r="G1980" s="205"/>
    </row>
    <row r="1981" ht="15.75" customHeight="1">
      <c r="A1981" s="224"/>
      <c r="B1981" s="186"/>
      <c r="C1981" s="210"/>
      <c r="D1981" s="210"/>
      <c r="E1981" s="204"/>
      <c r="F1981" s="205"/>
      <c r="G1981" s="205"/>
    </row>
    <row r="1982" ht="15.75" customHeight="1">
      <c r="A1982" s="224"/>
      <c r="B1982" s="186"/>
      <c r="C1982" s="210"/>
      <c r="D1982" s="210"/>
      <c r="E1982" s="204"/>
      <c r="F1982" s="205"/>
      <c r="G1982" s="205"/>
    </row>
    <row r="1983" ht="15.75" customHeight="1">
      <c r="A1983" s="224"/>
      <c r="B1983" s="186"/>
      <c r="C1983" s="210"/>
      <c r="D1983" s="210"/>
      <c r="E1983" s="204"/>
      <c r="F1983" s="205"/>
      <c r="G1983" s="205"/>
    </row>
    <row r="1984" ht="15.75" customHeight="1">
      <c r="A1984" s="224"/>
      <c r="B1984" s="186"/>
      <c r="C1984" s="210"/>
      <c r="D1984" s="210"/>
      <c r="E1984" s="204"/>
      <c r="F1984" s="205"/>
      <c r="G1984" s="205"/>
    </row>
    <row r="1985" ht="15.75" customHeight="1">
      <c r="A1985" s="224"/>
      <c r="B1985" s="186"/>
      <c r="C1985" s="210"/>
      <c r="D1985" s="210"/>
      <c r="E1985" s="204"/>
      <c r="F1985" s="205"/>
      <c r="G1985" s="205"/>
    </row>
    <row r="1986" ht="15.75" customHeight="1">
      <c r="A1986" s="224"/>
      <c r="B1986" s="186"/>
      <c r="C1986" s="210"/>
      <c r="D1986" s="210"/>
      <c r="E1986" s="204"/>
      <c r="F1986" s="205"/>
      <c r="G1986" s="205"/>
    </row>
    <row r="1987" ht="15.75" customHeight="1">
      <c r="A1987" s="224"/>
      <c r="B1987" s="186"/>
      <c r="C1987" s="210"/>
      <c r="D1987" s="210"/>
      <c r="E1987" s="204"/>
      <c r="F1987" s="205"/>
      <c r="G1987" s="205"/>
    </row>
    <row r="1988" ht="15.75" customHeight="1">
      <c r="A1988" s="224"/>
      <c r="B1988" s="186"/>
      <c r="C1988" s="210"/>
      <c r="D1988" s="210"/>
      <c r="E1988" s="204"/>
      <c r="F1988" s="205"/>
      <c r="G1988" s="205"/>
    </row>
    <row r="1989" ht="15.75" customHeight="1">
      <c r="A1989" s="224"/>
      <c r="B1989" s="186"/>
      <c r="C1989" s="210"/>
      <c r="D1989" s="210"/>
      <c r="E1989" s="204"/>
      <c r="F1989" s="205"/>
      <c r="G1989" s="205"/>
    </row>
    <row r="1990" ht="15.75" customHeight="1">
      <c r="A1990" s="224"/>
      <c r="B1990" s="186"/>
      <c r="C1990" s="210"/>
      <c r="D1990" s="210"/>
      <c r="E1990" s="204"/>
      <c r="F1990" s="205"/>
      <c r="G1990" s="205"/>
    </row>
    <row r="1991" ht="15.75" customHeight="1">
      <c r="A1991" s="224"/>
      <c r="B1991" s="186"/>
      <c r="C1991" s="210"/>
      <c r="D1991" s="210"/>
      <c r="E1991" s="204"/>
      <c r="F1991" s="205"/>
      <c r="G1991" s="205"/>
    </row>
    <row r="1992" ht="15.75" customHeight="1">
      <c r="A1992" s="224"/>
      <c r="B1992" s="186"/>
      <c r="C1992" s="210"/>
      <c r="D1992" s="210"/>
      <c r="E1992" s="204"/>
      <c r="F1992" s="205"/>
      <c r="G1992" s="205"/>
    </row>
    <row r="1993" ht="15.75" customHeight="1">
      <c r="A1993" s="224"/>
      <c r="B1993" s="186"/>
      <c r="C1993" s="210"/>
      <c r="D1993" s="210"/>
      <c r="E1993" s="204"/>
      <c r="F1993" s="205"/>
      <c r="G1993" s="205"/>
    </row>
    <row r="1994" ht="15.75" customHeight="1">
      <c r="A1994" s="224"/>
      <c r="B1994" s="186"/>
      <c r="C1994" s="210"/>
      <c r="D1994" s="210"/>
      <c r="E1994" s="204"/>
      <c r="F1994" s="205"/>
      <c r="G1994" s="205"/>
    </row>
    <row r="1995" ht="15.75" customHeight="1">
      <c r="A1995" s="224"/>
      <c r="B1995" s="186"/>
      <c r="C1995" s="210"/>
      <c r="D1995" s="210"/>
      <c r="E1995" s="204"/>
      <c r="F1995" s="205"/>
      <c r="G1995" s="205"/>
    </row>
    <row r="1996" ht="15.75" customHeight="1">
      <c r="A1996" s="224"/>
      <c r="B1996" s="186"/>
      <c r="C1996" s="210"/>
      <c r="D1996" s="210"/>
      <c r="E1996" s="204"/>
      <c r="F1996" s="205"/>
      <c r="G1996" s="205"/>
    </row>
    <row r="1997" ht="15.75" customHeight="1">
      <c r="A1997" s="224"/>
      <c r="B1997" s="186"/>
      <c r="C1997" s="210"/>
      <c r="D1997" s="210"/>
      <c r="E1997" s="204"/>
      <c r="F1997" s="205"/>
      <c r="G1997" s="205"/>
    </row>
    <row r="1998" ht="15.75" customHeight="1">
      <c r="A1998" s="224"/>
      <c r="B1998" s="186"/>
      <c r="C1998" s="210"/>
      <c r="D1998" s="210"/>
      <c r="E1998" s="204"/>
      <c r="F1998" s="205"/>
      <c r="G1998" s="205"/>
    </row>
    <row r="1999" ht="15.75" customHeight="1">
      <c r="A1999" s="224"/>
      <c r="B1999" s="186"/>
      <c r="C1999" s="210"/>
      <c r="D1999" s="210"/>
      <c r="E1999" s="204"/>
      <c r="F1999" s="205"/>
      <c r="G1999" s="205"/>
    </row>
    <row r="2000" ht="15.75" customHeight="1">
      <c r="A2000" s="224"/>
      <c r="B2000" s="186"/>
      <c r="C2000" s="210"/>
      <c r="D2000" s="210"/>
      <c r="E2000" s="204"/>
      <c r="F2000" s="205"/>
      <c r="G2000" s="205"/>
    </row>
    <row r="2001" ht="15.75" customHeight="1">
      <c r="A2001" s="224"/>
      <c r="B2001" s="186"/>
      <c r="C2001" s="210"/>
      <c r="D2001" s="210"/>
      <c r="E2001" s="204"/>
      <c r="F2001" s="205"/>
      <c r="G2001" s="205"/>
    </row>
    <row r="2002" ht="15.75" customHeight="1">
      <c r="A2002" s="224"/>
      <c r="B2002" s="186"/>
      <c r="C2002" s="210"/>
      <c r="D2002" s="210"/>
      <c r="E2002" s="204"/>
      <c r="F2002" s="205"/>
      <c r="G2002" s="205"/>
    </row>
    <row r="2003" ht="15.75" customHeight="1">
      <c r="A2003" s="224"/>
      <c r="B2003" s="186"/>
      <c r="C2003" s="210"/>
      <c r="D2003" s="210"/>
      <c r="E2003" s="204"/>
      <c r="F2003" s="205"/>
      <c r="G2003" s="205"/>
    </row>
    <row r="2004" ht="15.75" customHeight="1">
      <c r="A2004" s="224"/>
      <c r="B2004" s="186"/>
      <c r="C2004" s="210"/>
      <c r="D2004" s="210"/>
      <c r="E2004" s="204"/>
      <c r="F2004" s="205"/>
      <c r="G2004" s="205"/>
    </row>
    <row r="2005" ht="15.75" customHeight="1">
      <c r="A2005" s="224"/>
      <c r="B2005" s="186"/>
      <c r="C2005" s="210"/>
      <c r="D2005" s="210"/>
      <c r="E2005" s="204"/>
      <c r="F2005" s="205"/>
      <c r="G2005" s="205"/>
    </row>
    <row r="2006" ht="15.75" customHeight="1">
      <c r="A2006" s="224"/>
      <c r="B2006" s="186"/>
      <c r="C2006" s="210"/>
      <c r="D2006" s="210"/>
      <c r="E2006" s="204"/>
      <c r="F2006" s="205"/>
      <c r="G2006" s="205"/>
    </row>
    <row r="2007" ht="15.75" customHeight="1">
      <c r="A2007" s="224"/>
      <c r="B2007" s="186"/>
      <c r="C2007" s="210"/>
      <c r="D2007" s="210"/>
      <c r="E2007" s="204"/>
      <c r="F2007" s="205"/>
      <c r="G2007" s="205"/>
    </row>
    <row r="2008" ht="15.75" customHeight="1">
      <c r="A2008" s="224"/>
      <c r="B2008" s="186"/>
      <c r="C2008" s="210"/>
      <c r="D2008" s="210"/>
      <c r="E2008" s="204"/>
      <c r="F2008" s="205"/>
      <c r="G2008" s="205"/>
    </row>
    <row r="2009" ht="15.75" customHeight="1">
      <c r="A2009" s="224"/>
      <c r="B2009" s="186"/>
      <c r="C2009" s="210"/>
      <c r="D2009" s="210"/>
      <c r="E2009" s="204"/>
      <c r="F2009" s="205"/>
      <c r="G2009" s="205"/>
    </row>
    <row r="2010" ht="15.75" customHeight="1">
      <c r="A2010" s="224"/>
      <c r="B2010" s="186"/>
      <c r="C2010" s="210"/>
      <c r="D2010" s="210"/>
      <c r="E2010" s="204"/>
      <c r="F2010" s="205"/>
      <c r="G2010" s="205"/>
    </row>
    <row r="2011" ht="15.75" customHeight="1">
      <c r="A2011" s="224"/>
      <c r="B2011" s="186"/>
      <c r="C2011" s="210"/>
      <c r="D2011" s="210"/>
      <c r="E2011" s="204"/>
      <c r="F2011" s="205"/>
      <c r="G2011" s="205"/>
    </row>
    <row r="2012" ht="15.75" customHeight="1">
      <c r="A2012" s="224"/>
      <c r="B2012" s="186"/>
      <c r="C2012" s="210"/>
      <c r="D2012" s="210"/>
      <c r="E2012" s="204"/>
      <c r="F2012" s="205"/>
      <c r="G2012" s="205"/>
    </row>
    <row r="2013" ht="15.75" customHeight="1">
      <c r="A2013" s="224"/>
      <c r="B2013" s="186"/>
      <c r="C2013" s="210"/>
      <c r="D2013" s="210"/>
      <c r="E2013" s="204"/>
      <c r="F2013" s="205"/>
      <c r="G2013" s="205"/>
    </row>
    <row r="2014" ht="15.75" customHeight="1">
      <c r="A2014" s="224"/>
      <c r="B2014" s="186"/>
      <c r="C2014" s="210"/>
      <c r="D2014" s="210"/>
      <c r="E2014" s="204"/>
      <c r="F2014" s="205"/>
      <c r="G2014" s="205"/>
    </row>
    <row r="2015" ht="15.75" customHeight="1">
      <c r="A2015" s="224"/>
      <c r="B2015" s="186"/>
      <c r="C2015" s="210"/>
      <c r="D2015" s="210"/>
      <c r="E2015" s="204"/>
      <c r="F2015" s="205"/>
      <c r="G2015" s="205"/>
    </row>
    <row r="2016" ht="15.75" customHeight="1">
      <c r="A2016" s="224"/>
      <c r="B2016" s="186"/>
      <c r="C2016" s="210"/>
      <c r="D2016" s="210"/>
      <c r="E2016" s="204"/>
      <c r="F2016" s="205"/>
      <c r="G2016" s="205"/>
    </row>
    <row r="2017" ht="15.75" customHeight="1">
      <c r="A2017" s="224"/>
      <c r="B2017" s="186"/>
      <c r="C2017" s="210"/>
      <c r="D2017" s="210"/>
      <c r="E2017" s="204"/>
      <c r="F2017" s="205"/>
      <c r="G2017" s="205"/>
    </row>
    <row r="2018" ht="15.75" customHeight="1">
      <c r="A2018" s="224"/>
      <c r="B2018" s="186"/>
      <c r="C2018" s="210"/>
      <c r="D2018" s="210"/>
      <c r="E2018" s="204"/>
      <c r="F2018" s="205"/>
      <c r="G2018" s="205"/>
    </row>
    <row r="2019" ht="15.75" customHeight="1">
      <c r="A2019" s="224"/>
      <c r="B2019" s="186"/>
      <c r="C2019" s="210"/>
      <c r="D2019" s="210"/>
      <c r="E2019" s="204"/>
      <c r="F2019" s="205"/>
      <c r="G2019" s="205"/>
    </row>
    <row r="2020" ht="15.75" customHeight="1">
      <c r="A2020" s="224"/>
      <c r="B2020" s="186"/>
      <c r="C2020" s="210"/>
      <c r="D2020" s="210"/>
      <c r="E2020" s="204"/>
      <c r="F2020" s="205"/>
      <c r="G2020" s="205"/>
    </row>
    <row r="2021" ht="15.75" customHeight="1">
      <c r="A2021" s="224"/>
      <c r="B2021" s="186"/>
      <c r="C2021" s="210"/>
      <c r="D2021" s="210"/>
      <c r="E2021" s="204"/>
      <c r="F2021" s="205"/>
      <c r="G2021" s="205"/>
    </row>
    <row r="2022" ht="15.75" customHeight="1">
      <c r="A2022" s="224"/>
      <c r="B2022" s="186"/>
      <c r="C2022" s="210"/>
      <c r="D2022" s="210"/>
      <c r="E2022" s="204"/>
      <c r="F2022" s="205"/>
      <c r="G2022" s="205"/>
    </row>
    <row r="2023" ht="15.75" customHeight="1">
      <c r="A2023" s="224"/>
      <c r="B2023" s="186"/>
      <c r="C2023" s="210"/>
      <c r="D2023" s="210"/>
      <c r="E2023" s="204"/>
      <c r="F2023" s="205"/>
      <c r="G2023" s="205"/>
    </row>
  </sheetData>
  <autoFilter ref="$A$1:$G$2023"/>
  <hyperlinks>
    <hyperlink r:id="rId1" ref="B20"/>
    <hyperlink r:id="rId2" ref="B21"/>
    <hyperlink r:id="rId3" location=":~:text=The%20UAE%2Dbased%20brand%20looking,and%20analytics%20for%20their%20operations." ref="B22"/>
    <hyperlink r:id="rId4" ref="B23"/>
  </hyperlinks>
  <printOptions gridLines="1" horizontalCentered="1"/>
  <pageMargins bottom="0.75" footer="0.0" header="0.0" left="0.7" right="0.7" top="0.75"/>
  <pageSetup fitToHeight="0" cellComments="atEnd" orientation="landscape" pageOrder="overThenDown"/>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2" width="40.11"/>
    <col customWidth="1" min="3" max="3" width="10.11"/>
    <col customWidth="1" min="4" max="6" width="13.44"/>
    <col customWidth="1" min="7" max="7" width="46.78"/>
    <col customWidth="1" min="8" max="10" width="14.56"/>
    <col customWidth="1" min="11" max="26" width="13.44"/>
  </cols>
  <sheetData>
    <row r="1">
      <c r="A1" s="233" t="s">
        <v>287</v>
      </c>
      <c r="B1" s="233" t="s">
        <v>288</v>
      </c>
      <c r="C1" s="233" t="s">
        <v>289</v>
      </c>
      <c r="D1" s="233" t="s">
        <v>290</v>
      </c>
      <c r="E1" s="233" t="s">
        <v>291</v>
      </c>
      <c r="F1" s="233" t="s">
        <v>292</v>
      </c>
      <c r="G1" s="233" t="s">
        <v>293</v>
      </c>
      <c r="H1" s="233" t="s">
        <v>294</v>
      </c>
      <c r="I1" s="233" t="s">
        <v>295</v>
      </c>
      <c r="J1" s="233" t="s">
        <v>296</v>
      </c>
    </row>
    <row r="2">
      <c r="A2" s="234" t="s">
        <v>178</v>
      </c>
      <c r="B2" s="234" t="s">
        <v>298</v>
      </c>
      <c r="C2" s="234" t="s">
        <v>298</v>
      </c>
      <c r="D2" s="234" t="s">
        <v>298</v>
      </c>
      <c r="E2" s="234" t="s">
        <v>298</v>
      </c>
      <c r="F2" s="234" t="s">
        <v>298</v>
      </c>
      <c r="G2" s="234" t="s">
        <v>298</v>
      </c>
      <c r="H2" s="234" t="s">
        <v>298</v>
      </c>
      <c r="I2" s="234" t="s">
        <v>298</v>
      </c>
      <c r="J2" s="234" t="s">
        <v>298</v>
      </c>
    </row>
    <row r="3">
      <c r="A3" s="234" t="s">
        <v>7611</v>
      </c>
      <c r="B3" s="234" t="s">
        <v>298</v>
      </c>
      <c r="C3" s="234" t="s">
        <v>298</v>
      </c>
      <c r="D3" s="234" t="s">
        <v>298</v>
      </c>
      <c r="E3" s="234" t="s">
        <v>298</v>
      </c>
      <c r="F3" s="234" t="s">
        <v>298</v>
      </c>
      <c r="G3" s="234" t="s">
        <v>298</v>
      </c>
      <c r="H3" s="234" t="s">
        <v>298</v>
      </c>
      <c r="I3" s="234" t="s">
        <v>298</v>
      </c>
      <c r="J3" s="234" t="s">
        <v>298</v>
      </c>
    </row>
    <row r="4">
      <c r="A4" s="234" t="s">
        <v>144</v>
      </c>
      <c r="B4" s="234" t="s">
        <v>298</v>
      </c>
      <c r="C4" s="234" t="s">
        <v>298</v>
      </c>
      <c r="D4" s="234" t="s">
        <v>298</v>
      </c>
      <c r="E4" s="234" t="s">
        <v>298</v>
      </c>
      <c r="F4" s="234" t="s">
        <v>298</v>
      </c>
      <c r="G4" s="234" t="s">
        <v>298</v>
      </c>
      <c r="H4" s="234" t="s">
        <v>298</v>
      </c>
      <c r="I4" s="234" t="s">
        <v>298</v>
      </c>
      <c r="J4" s="234" t="s">
        <v>298</v>
      </c>
    </row>
    <row r="5">
      <c r="A5" s="234" t="s">
        <v>7612</v>
      </c>
      <c r="B5" s="234" t="s">
        <v>298</v>
      </c>
      <c r="C5" s="234" t="s">
        <v>298</v>
      </c>
      <c r="D5" s="234" t="s">
        <v>298</v>
      </c>
      <c r="E5" s="234" t="s">
        <v>298</v>
      </c>
      <c r="F5" s="234" t="s">
        <v>298</v>
      </c>
      <c r="G5" s="234" t="s">
        <v>298</v>
      </c>
      <c r="H5" s="234" t="s">
        <v>298</v>
      </c>
      <c r="I5" s="234" t="s">
        <v>298</v>
      </c>
      <c r="J5" s="234" t="s">
        <v>298</v>
      </c>
    </row>
    <row r="6">
      <c r="A6" s="235" t="s">
        <v>3635</v>
      </c>
      <c r="B6" s="234" t="s">
        <v>3636</v>
      </c>
      <c r="C6" s="234" t="s">
        <v>303</v>
      </c>
      <c r="D6" s="234" t="s">
        <v>7616</v>
      </c>
      <c r="E6" s="234" t="s">
        <v>615</v>
      </c>
      <c r="F6" s="234" t="s">
        <v>306</v>
      </c>
      <c r="G6" s="234"/>
      <c r="H6" s="234">
        <v>5.0</v>
      </c>
      <c r="I6" s="234">
        <v>0.0</v>
      </c>
      <c r="J6" s="234">
        <v>1.0</v>
      </c>
    </row>
    <row r="7">
      <c r="A7" s="235" t="s">
        <v>3639</v>
      </c>
      <c r="B7" s="234" t="s">
        <v>3641</v>
      </c>
      <c r="C7" s="234" t="s">
        <v>303</v>
      </c>
      <c r="D7" s="234" t="s">
        <v>7616</v>
      </c>
      <c r="E7" s="234" t="s">
        <v>7621</v>
      </c>
      <c r="F7" s="234" t="s">
        <v>306</v>
      </c>
      <c r="G7" s="234" t="s">
        <v>1029</v>
      </c>
      <c r="H7" s="234">
        <v>5.0</v>
      </c>
      <c r="I7" s="234">
        <v>0.0</v>
      </c>
      <c r="J7" s="234">
        <v>1.4</v>
      </c>
    </row>
    <row r="8">
      <c r="A8" s="235" t="s">
        <v>3900</v>
      </c>
      <c r="B8" s="234" t="s">
        <v>3901</v>
      </c>
      <c r="C8" s="234" t="s">
        <v>303</v>
      </c>
      <c r="D8" s="234" t="s">
        <v>7616</v>
      </c>
      <c r="E8" s="234" t="s">
        <v>615</v>
      </c>
      <c r="F8" s="234" t="s">
        <v>306</v>
      </c>
      <c r="G8" s="234" t="s">
        <v>3902</v>
      </c>
      <c r="H8" s="234">
        <v>4.0</v>
      </c>
      <c r="I8" s="234">
        <v>0.0</v>
      </c>
      <c r="J8" s="234">
        <v>1.0</v>
      </c>
    </row>
    <row r="9">
      <c r="A9" s="235" t="s">
        <v>4051</v>
      </c>
      <c r="B9" s="234" t="s">
        <v>4052</v>
      </c>
      <c r="C9" s="234" t="s">
        <v>303</v>
      </c>
      <c r="D9" s="234" t="s">
        <v>7616</v>
      </c>
      <c r="E9" s="234" t="s">
        <v>615</v>
      </c>
      <c r="F9" s="234" t="s">
        <v>306</v>
      </c>
      <c r="G9" s="234" t="s">
        <v>4053</v>
      </c>
      <c r="H9" s="234">
        <v>3.0</v>
      </c>
      <c r="I9" s="234">
        <v>0.0</v>
      </c>
      <c r="J9" s="234">
        <v>1.33</v>
      </c>
    </row>
    <row r="10">
      <c r="A10" s="235" t="s">
        <v>4054</v>
      </c>
      <c r="B10" s="234" t="s">
        <v>4055</v>
      </c>
      <c r="C10" s="234" t="s">
        <v>303</v>
      </c>
      <c r="D10" s="234" t="s">
        <v>7616</v>
      </c>
      <c r="E10" s="234" t="s">
        <v>615</v>
      </c>
      <c r="F10" s="234" t="s">
        <v>306</v>
      </c>
      <c r="G10" s="234" t="s">
        <v>4056</v>
      </c>
      <c r="H10" s="234">
        <v>3.0</v>
      </c>
      <c r="I10" s="234">
        <v>0.0</v>
      </c>
      <c r="J10" s="234">
        <v>1.33</v>
      </c>
    </row>
    <row r="11">
      <c r="A11" s="235" t="s">
        <v>4057</v>
      </c>
      <c r="B11" s="234" t="s">
        <v>4058</v>
      </c>
      <c r="C11" s="234" t="s">
        <v>303</v>
      </c>
      <c r="D11" s="234" t="s">
        <v>7616</v>
      </c>
      <c r="E11" s="234" t="s">
        <v>326</v>
      </c>
      <c r="F11" s="234" t="s">
        <v>306</v>
      </c>
      <c r="G11" s="234" t="s">
        <v>4059</v>
      </c>
      <c r="H11" s="234">
        <v>3.0</v>
      </c>
      <c r="I11" s="234">
        <v>0.0</v>
      </c>
      <c r="J11" s="234">
        <v>1.0</v>
      </c>
    </row>
    <row r="12">
      <c r="A12" s="235" t="s">
        <v>4380</v>
      </c>
      <c r="B12" s="234" t="s">
        <v>4381</v>
      </c>
      <c r="C12" s="234" t="s">
        <v>303</v>
      </c>
      <c r="D12" s="234" t="s">
        <v>7616</v>
      </c>
      <c r="E12" s="234" t="s">
        <v>615</v>
      </c>
      <c r="F12" s="234" t="s">
        <v>306</v>
      </c>
      <c r="G12" s="234" t="s">
        <v>4382</v>
      </c>
      <c r="H12" s="234">
        <v>2.0</v>
      </c>
      <c r="I12" s="234">
        <v>0.0</v>
      </c>
      <c r="J12" s="234">
        <v>1.0</v>
      </c>
    </row>
    <row r="13">
      <c r="A13" s="235" t="s">
        <v>7640</v>
      </c>
      <c r="B13" s="234" t="s">
        <v>7641</v>
      </c>
      <c r="C13" s="234" t="s">
        <v>303</v>
      </c>
      <c r="D13" s="234" t="s">
        <v>7616</v>
      </c>
      <c r="E13" s="234" t="s">
        <v>7621</v>
      </c>
      <c r="F13" s="234" t="s">
        <v>306</v>
      </c>
      <c r="G13" s="234" t="s">
        <v>1029</v>
      </c>
      <c r="H13" s="234">
        <v>2.0</v>
      </c>
      <c r="I13" s="234">
        <v>0.0</v>
      </c>
      <c r="J13" s="234">
        <v>1.0</v>
      </c>
    </row>
    <row r="14">
      <c r="A14" s="235" t="s">
        <v>5553</v>
      </c>
      <c r="B14" s="234" t="s">
        <v>5554</v>
      </c>
      <c r="C14" s="234" t="s">
        <v>303</v>
      </c>
      <c r="D14" s="234" t="s">
        <v>7616</v>
      </c>
      <c r="E14" s="234" t="s">
        <v>615</v>
      </c>
      <c r="F14" s="234" t="s">
        <v>306</v>
      </c>
      <c r="G14" s="234" t="s">
        <v>5555</v>
      </c>
      <c r="H14" s="234">
        <v>1.0</v>
      </c>
      <c r="I14" s="234">
        <v>0.0</v>
      </c>
      <c r="J14" s="234">
        <v>1.0</v>
      </c>
    </row>
    <row r="15">
      <c r="A15" s="235" t="s">
        <v>5556</v>
      </c>
      <c r="B15" s="234" t="s">
        <v>5557</v>
      </c>
      <c r="C15" s="234" t="s">
        <v>303</v>
      </c>
      <c r="D15" s="234" t="s">
        <v>7616</v>
      </c>
      <c r="E15" s="234" t="s">
        <v>615</v>
      </c>
      <c r="F15" s="234" t="s">
        <v>306</v>
      </c>
      <c r="G15" s="234"/>
      <c r="H15" s="234">
        <v>1.0</v>
      </c>
      <c r="I15" s="234">
        <v>0.0</v>
      </c>
      <c r="J15" s="234">
        <v>1.0</v>
      </c>
    </row>
    <row r="16">
      <c r="A16" s="235" t="s">
        <v>7647</v>
      </c>
      <c r="B16" s="234" t="s">
        <v>7650</v>
      </c>
      <c r="C16" s="234" t="s">
        <v>303</v>
      </c>
      <c r="D16" s="234" t="s">
        <v>7616</v>
      </c>
      <c r="E16" s="234" t="s">
        <v>615</v>
      </c>
      <c r="F16" s="234" t="s">
        <v>306</v>
      </c>
      <c r="G16" s="234"/>
      <c r="H16" s="234">
        <v>1.0</v>
      </c>
      <c r="I16" s="234">
        <v>0.0</v>
      </c>
      <c r="J16" s="234">
        <v>1.0</v>
      </c>
    </row>
    <row r="17">
      <c r="A17" s="235" t="s">
        <v>5558</v>
      </c>
      <c r="B17" s="234" t="s">
        <v>5559</v>
      </c>
      <c r="C17" s="234" t="s">
        <v>303</v>
      </c>
      <c r="D17" s="234" t="s">
        <v>7616</v>
      </c>
      <c r="E17" s="234" t="s">
        <v>7656</v>
      </c>
      <c r="F17" s="234" t="s">
        <v>306</v>
      </c>
      <c r="G17" s="234" t="s">
        <v>376</v>
      </c>
      <c r="H17" s="234">
        <v>1.0</v>
      </c>
      <c r="I17" s="234">
        <v>0.0</v>
      </c>
      <c r="J17" s="234">
        <v>1.0</v>
      </c>
    </row>
    <row r="18">
      <c r="A18" s="235" t="s">
        <v>5560</v>
      </c>
      <c r="B18" s="234" t="s">
        <v>5561</v>
      </c>
      <c r="C18" s="234" t="s">
        <v>303</v>
      </c>
      <c r="D18" s="234" t="s">
        <v>7616</v>
      </c>
      <c r="E18" s="234" t="s">
        <v>615</v>
      </c>
      <c r="F18" s="234" t="s">
        <v>306</v>
      </c>
      <c r="G18" s="234" t="s">
        <v>5562</v>
      </c>
      <c r="H18" s="234">
        <v>1.0</v>
      </c>
      <c r="I18" s="234">
        <v>0.0</v>
      </c>
      <c r="J18" s="234">
        <v>2.0</v>
      </c>
    </row>
    <row r="19">
      <c r="A19" s="235" t="s">
        <v>5563</v>
      </c>
      <c r="B19" s="234" t="s">
        <v>5564</v>
      </c>
      <c r="C19" s="234" t="s">
        <v>303</v>
      </c>
      <c r="D19" s="234" t="s">
        <v>7616</v>
      </c>
      <c r="E19" s="234" t="s">
        <v>615</v>
      </c>
      <c r="F19" s="234" t="s">
        <v>306</v>
      </c>
      <c r="G19" s="234" t="s">
        <v>5565</v>
      </c>
      <c r="H19" s="234">
        <v>1.0</v>
      </c>
      <c r="I19" s="234">
        <v>0.0</v>
      </c>
      <c r="J19" s="234">
        <v>1.0</v>
      </c>
    </row>
    <row r="20">
      <c r="A20" s="235" t="s">
        <v>7664</v>
      </c>
      <c r="B20" s="234" t="s">
        <v>7667</v>
      </c>
      <c r="C20" s="234" t="s">
        <v>303</v>
      </c>
      <c r="D20" s="234" t="s">
        <v>7616</v>
      </c>
      <c r="E20" s="234" t="s">
        <v>7668</v>
      </c>
      <c r="F20" s="234" t="s">
        <v>306</v>
      </c>
      <c r="G20" s="234" t="s">
        <v>1029</v>
      </c>
      <c r="H20" s="234">
        <v>1.0</v>
      </c>
      <c r="I20" s="234">
        <v>0.0</v>
      </c>
      <c r="J20" s="234">
        <v>1.0</v>
      </c>
    </row>
    <row r="21">
      <c r="A21" s="235" t="s">
        <v>5566</v>
      </c>
      <c r="B21" s="234" t="s">
        <v>5567</v>
      </c>
      <c r="C21" s="234" t="s">
        <v>303</v>
      </c>
      <c r="D21" s="234" t="s">
        <v>7616</v>
      </c>
      <c r="E21" s="234" t="s">
        <v>615</v>
      </c>
      <c r="F21" s="234" t="s">
        <v>306</v>
      </c>
      <c r="G21" s="234"/>
      <c r="H21" s="234">
        <v>1.0</v>
      </c>
      <c r="I21" s="234">
        <v>0.0</v>
      </c>
      <c r="J21" s="234">
        <v>1.0</v>
      </c>
    </row>
    <row r="22">
      <c r="A22" s="235" t="s">
        <v>7669</v>
      </c>
      <c r="B22" s="234" t="s">
        <v>7673</v>
      </c>
      <c r="C22" s="234" t="s">
        <v>303</v>
      </c>
      <c r="D22" s="234" t="s">
        <v>7616</v>
      </c>
      <c r="E22" s="234" t="s">
        <v>7668</v>
      </c>
      <c r="F22" s="234" t="s">
        <v>306</v>
      </c>
      <c r="G22" s="234" t="s">
        <v>5850</v>
      </c>
      <c r="H22" s="234">
        <v>1.0</v>
      </c>
      <c r="I22" s="234">
        <v>0.0</v>
      </c>
      <c r="J22" s="234">
        <v>1.0</v>
      </c>
    </row>
    <row r="23">
      <c r="A23" s="235" t="s">
        <v>5568</v>
      </c>
      <c r="B23" s="234" t="s">
        <v>5569</v>
      </c>
      <c r="C23" s="234" t="s">
        <v>303</v>
      </c>
      <c r="D23" s="234" t="s">
        <v>7616</v>
      </c>
      <c r="E23" s="234" t="s">
        <v>326</v>
      </c>
      <c r="F23" s="234" t="s">
        <v>306</v>
      </c>
      <c r="G23" s="234" t="s">
        <v>1029</v>
      </c>
      <c r="H23" s="234">
        <v>1.0</v>
      </c>
      <c r="I23" s="234">
        <v>0.0</v>
      </c>
      <c r="J23" s="234">
        <v>1.0</v>
      </c>
    </row>
    <row r="24">
      <c r="A24" s="235" t="s">
        <v>7677</v>
      </c>
      <c r="B24" s="234" t="s">
        <v>7679</v>
      </c>
      <c r="C24" s="234" t="s">
        <v>303</v>
      </c>
      <c r="D24" s="234" t="s">
        <v>7616</v>
      </c>
      <c r="E24" s="234" t="s">
        <v>7668</v>
      </c>
      <c r="F24" s="234" t="s">
        <v>306</v>
      </c>
      <c r="G24" s="234" t="s">
        <v>2778</v>
      </c>
      <c r="H24" s="234">
        <v>1.0</v>
      </c>
      <c r="I24" s="234">
        <v>0.0</v>
      </c>
      <c r="J24" s="234">
        <v>1.0</v>
      </c>
    </row>
    <row r="25">
      <c r="A25" s="235" t="s">
        <v>7681</v>
      </c>
      <c r="B25" s="234" t="s">
        <v>7683</v>
      </c>
      <c r="C25" s="234" t="s">
        <v>303</v>
      </c>
      <c r="D25" s="234" t="s">
        <v>7616</v>
      </c>
      <c r="E25" s="234" t="s">
        <v>7668</v>
      </c>
      <c r="F25" s="234" t="s">
        <v>306</v>
      </c>
      <c r="G25" s="234" t="s">
        <v>7684</v>
      </c>
      <c r="H25" s="234">
        <v>1.0</v>
      </c>
      <c r="I25" s="234">
        <v>0.0</v>
      </c>
      <c r="J25" s="234">
        <v>1.0</v>
      </c>
    </row>
    <row r="26">
      <c r="A26" s="235" t="s">
        <v>5570</v>
      </c>
      <c r="B26" s="234" t="s">
        <v>5571</v>
      </c>
      <c r="C26" s="234" t="s">
        <v>303</v>
      </c>
      <c r="D26" s="234" t="s">
        <v>7616</v>
      </c>
      <c r="E26" s="234" t="s">
        <v>7668</v>
      </c>
      <c r="F26" s="234" t="s">
        <v>306</v>
      </c>
      <c r="G26" s="234"/>
      <c r="H26" s="234">
        <v>1.0</v>
      </c>
      <c r="I26" s="234">
        <v>0.0</v>
      </c>
      <c r="J26" s="234">
        <v>1.0</v>
      </c>
    </row>
    <row r="27">
      <c r="A27" s="235" t="s">
        <v>5572</v>
      </c>
      <c r="B27" s="234" t="s">
        <v>5573</v>
      </c>
      <c r="C27" s="234" t="s">
        <v>303</v>
      </c>
      <c r="D27" s="234" t="s">
        <v>7616</v>
      </c>
      <c r="E27" s="234" t="s">
        <v>7668</v>
      </c>
      <c r="F27" s="234" t="s">
        <v>306</v>
      </c>
      <c r="G27" s="234" t="s">
        <v>376</v>
      </c>
      <c r="H27" s="234">
        <v>1.0</v>
      </c>
      <c r="I27" s="234">
        <v>0.0</v>
      </c>
      <c r="J27" s="234">
        <v>1.0</v>
      </c>
    </row>
    <row r="28">
      <c r="A28" s="235" t="s">
        <v>5574</v>
      </c>
      <c r="B28" s="234" t="s">
        <v>5575</v>
      </c>
      <c r="C28" s="234" t="s">
        <v>303</v>
      </c>
      <c r="D28" s="234" t="s">
        <v>7616</v>
      </c>
      <c r="E28" s="234" t="s">
        <v>615</v>
      </c>
      <c r="F28" s="234" t="s">
        <v>306</v>
      </c>
      <c r="G28" s="234" t="s">
        <v>5576</v>
      </c>
      <c r="H28" s="234">
        <v>1.0</v>
      </c>
      <c r="I28" s="234">
        <v>0.0</v>
      </c>
      <c r="J28" s="234">
        <v>1.0</v>
      </c>
    </row>
    <row r="29">
      <c r="A29" s="235" t="s">
        <v>7699</v>
      </c>
      <c r="B29" s="234" t="s">
        <v>7702</v>
      </c>
      <c r="C29" s="234" t="s">
        <v>303</v>
      </c>
      <c r="D29" s="234" t="s">
        <v>7616</v>
      </c>
      <c r="E29" s="234" t="s">
        <v>7668</v>
      </c>
      <c r="F29" s="234" t="s">
        <v>306</v>
      </c>
      <c r="G29" s="234" t="s">
        <v>7705</v>
      </c>
      <c r="H29" s="234">
        <v>1.0</v>
      </c>
      <c r="I29" s="234">
        <v>0.0</v>
      </c>
      <c r="J29" s="234">
        <v>1.0</v>
      </c>
    </row>
    <row r="30">
      <c r="A30" s="235" t="s">
        <v>5895</v>
      </c>
      <c r="B30" s="234" t="s">
        <v>5896</v>
      </c>
      <c r="C30" s="234" t="s">
        <v>576</v>
      </c>
      <c r="D30" s="234" t="s">
        <v>7616</v>
      </c>
      <c r="E30" s="234" t="s">
        <v>615</v>
      </c>
      <c r="F30" s="234" t="s">
        <v>306</v>
      </c>
      <c r="G30" s="234" t="s">
        <v>760</v>
      </c>
      <c r="H30" s="234">
        <v>12.0</v>
      </c>
      <c r="I30" s="234">
        <v>0.01</v>
      </c>
      <c r="J30" s="234">
        <v>0.92</v>
      </c>
    </row>
    <row r="31" ht="15.75" customHeight="1">
      <c r="A31" s="235" t="s">
        <v>6449</v>
      </c>
      <c r="B31" s="234" t="s">
        <v>6450</v>
      </c>
      <c r="C31" s="234" t="s">
        <v>576</v>
      </c>
      <c r="D31" s="234" t="s">
        <v>7616</v>
      </c>
      <c r="E31" s="234" t="s">
        <v>615</v>
      </c>
      <c r="F31" s="234" t="s">
        <v>306</v>
      </c>
      <c r="G31" s="234" t="s">
        <v>5823</v>
      </c>
      <c r="H31" s="234">
        <v>2.0</v>
      </c>
      <c r="I31" s="234">
        <v>0.0</v>
      </c>
      <c r="J31" s="234">
        <v>2.0</v>
      </c>
    </row>
    <row r="32" ht="15.75" customHeight="1">
      <c r="A32" s="235" t="s">
        <v>6451</v>
      </c>
      <c r="B32" s="234" t="s">
        <v>6452</v>
      </c>
      <c r="C32" s="234" t="s">
        <v>576</v>
      </c>
      <c r="D32" s="234" t="s">
        <v>7616</v>
      </c>
      <c r="E32" s="234" t="s">
        <v>7668</v>
      </c>
      <c r="F32" s="234" t="s">
        <v>306</v>
      </c>
      <c r="G32" s="234" t="s">
        <v>6453</v>
      </c>
      <c r="H32" s="234">
        <v>2.0</v>
      </c>
      <c r="I32" s="234">
        <v>0.0</v>
      </c>
      <c r="J32" s="234">
        <v>1.5</v>
      </c>
    </row>
    <row r="33" ht="15.75" customHeight="1">
      <c r="A33" s="235" t="s">
        <v>6841</v>
      </c>
      <c r="B33" s="234" t="s">
        <v>6842</v>
      </c>
      <c r="C33" s="234" t="s">
        <v>576</v>
      </c>
      <c r="D33" s="234" t="s">
        <v>7616</v>
      </c>
      <c r="E33" s="234" t="s">
        <v>615</v>
      </c>
      <c r="F33" s="234" t="s">
        <v>306</v>
      </c>
      <c r="G33" s="234" t="s">
        <v>6843</v>
      </c>
      <c r="H33" s="234">
        <v>1.0</v>
      </c>
      <c r="I33" s="234">
        <v>0.0</v>
      </c>
      <c r="J33" s="234">
        <v>1.0</v>
      </c>
    </row>
    <row r="34" ht="15.75" customHeight="1">
      <c r="A34" s="235" t="s">
        <v>7723</v>
      </c>
      <c r="B34" s="234" t="s">
        <v>7725</v>
      </c>
      <c r="C34" s="234" t="s">
        <v>576</v>
      </c>
      <c r="D34" s="234" t="s">
        <v>7616</v>
      </c>
      <c r="E34" s="234" t="s">
        <v>7668</v>
      </c>
      <c r="F34" s="234" t="s">
        <v>306</v>
      </c>
      <c r="G34" s="234" t="s">
        <v>7726</v>
      </c>
      <c r="H34" s="234">
        <v>1.0</v>
      </c>
      <c r="I34" s="234">
        <v>0.0</v>
      </c>
      <c r="J34" s="234">
        <v>1.0</v>
      </c>
    </row>
    <row r="35" ht="15.75" customHeight="1">
      <c r="A35" s="235" t="s">
        <v>6844</v>
      </c>
      <c r="B35" s="234" t="s">
        <v>6845</v>
      </c>
      <c r="C35" s="234" t="s">
        <v>576</v>
      </c>
      <c r="D35" s="234" t="s">
        <v>7616</v>
      </c>
      <c r="E35" s="234" t="s">
        <v>615</v>
      </c>
      <c r="F35" s="234" t="s">
        <v>306</v>
      </c>
      <c r="G35" s="234" t="s">
        <v>6049</v>
      </c>
      <c r="H35" s="234">
        <v>1.0</v>
      </c>
      <c r="I35" s="234">
        <v>0.0</v>
      </c>
      <c r="J35" s="234">
        <v>0.0</v>
      </c>
    </row>
    <row r="36" ht="15.75" customHeight="1">
      <c r="A36" s="235" t="s">
        <v>7677</v>
      </c>
      <c r="B36" s="234" t="s">
        <v>7679</v>
      </c>
      <c r="C36" s="234" t="s">
        <v>576</v>
      </c>
      <c r="D36" s="234" t="s">
        <v>7616</v>
      </c>
      <c r="E36" s="234" t="s">
        <v>7668</v>
      </c>
      <c r="F36" s="234" t="s">
        <v>306</v>
      </c>
      <c r="G36" s="234" t="s">
        <v>5847</v>
      </c>
      <c r="H36" s="234">
        <v>1.0</v>
      </c>
      <c r="I36" s="234">
        <v>0.0</v>
      </c>
      <c r="J36" s="234">
        <v>1.0</v>
      </c>
    </row>
    <row r="37" ht="15.75" customHeight="1">
      <c r="A37" s="235" t="s">
        <v>4054</v>
      </c>
      <c r="B37" s="234" t="s">
        <v>4055</v>
      </c>
      <c r="C37" s="234" t="s">
        <v>576</v>
      </c>
      <c r="D37" s="234" t="s">
        <v>7616</v>
      </c>
      <c r="E37" s="234" t="s">
        <v>615</v>
      </c>
      <c r="F37" s="234" t="s">
        <v>306</v>
      </c>
      <c r="G37" s="234"/>
      <c r="H37" s="234">
        <v>1.0</v>
      </c>
      <c r="I37" s="234">
        <v>0.0</v>
      </c>
      <c r="J37" s="234">
        <v>2.0</v>
      </c>
    </row>
    <row r="38" ht="15.75" customHeight="1">
      <c r="A38" s="235" t="s">
        <v>7586</v>
      </c>
      <c r="B38" s="234" t="s">
        <v>7587</v>
      </c>
      <c r="C38" s="234" t="s">
        <v>311</v>
      </c>
      <c r="D38" s="234" t="s">
        <v>7616</v>
      </c>
      <c r="E38" s="234" t="s">
        <v>615</v>
      </c>
      <c r="F38" s="234" t="s">
        <v>306</v>
      </c>
      <c r="G38" s="234" t="s">
        <v>7378</v>
      </c>
      <c r="H38" s="234">
        <v>3.0</v>
      </c>
      <c r="I38" s="234">
        <v>0.0</v>
      </c>
      <c r="J38" s="234">
        <v>1.0</v>
      </c>
    </row>
    <row r="39" ht="15.75" customHeight="1">
      <c r="A39" s="235" t="s">
        <v>7588</v>
      </c>
      <c r="B39" s="234" t="s">
        <v>4055</v>
      </c>
      <c r="C39" s="234" t="s">
        <v>311</v>
      </c>
      <c r="D39" s="234" t="s">
        <v>7616</v>
      </c>
      <c r="E39" s="234" t="s">
        <v>615</v>
      </c>
      <c r="F39" s="234" t="s">
        <v>306</v>
      </c>
      <c r="G39" s="234" t="s">
        <v>7589</v>
      </c>
      <c r="H39" s="234">
        <v>3.0</v>
      </c>
      <c r="I39" s="234">
        <v>0.0</v>
      </c>
      <c r="J39" s="234">
        <v>1.0</v>
      </c>
    </row>
    <row r="40" ht="15.75" customHeight="1">
      <c r="A40" s="235" t="s">
        <v>7727</v>
      </c>
      <c r="B40" s="234" t="s">
        <v>7728</v>
      </c>
      <c r="C40" s="234" t="s">
        <v>311</v>
      </c>
      <c r="D40" s="234" t="s">
        <v>7616</v>
      </c>
      <c r="E40" s="234" t="s">
        <v>7668</v>
      </c>
      <c r="F40" s="234" t="s">
        <v>306</v>
      </c>
      <c r="G40" s="234" t="s">
        <v>7729</v>
      </c>
      <c r="H40" s="234">
        <v>1.0</v>
      </c>
      <c r="I40" s="234">
        <v>0.0</v>
      </c>
      <c r="J40" s="234">
        <v>2.0</v>
      </c>
    </row>
    <row r="41" ht="15.75" customHeight="1">
      <c r="A41" s="235" t="s">
        <v>7730</v>
      </c>
      <c r="B41" s="234" t="s">
        <v>7731</v>
      </c>
      <c r="C41" s="234" t="s">
        <v>311</v>
      </c>
      <c r="D41" s="234" t="s">
        <v>7616</v>
      </c>
      <c r="E41" s="234" t="s">
        <v>7668</v>
      </c>
      <c r="F41" s="234" t="s">
        <v>306</v>
      </c>
      <c r="G41" s="234" t="s">
        <v>7732</v>
      </c>
      <c r="H41" s="234">
        <v>1.0</v>
      </c>
      <c r="I41" s="234">
        <v>0.0</v>
      </c>
      <c r="J41" s="234">
        <v>0.0</v>
      </c>
    </row>
    <row r="42" ht="15.75" customHeight="1">
      <c r="A42" s="235" t="s">
        <v>4380</v>
      </c>
      <c r="B42" s="234" t="s">
        <v>4381</v>
      </c>
      <c r="C42" s="234" t="s">
        <v>311</v>
      </c>
      <c r="D42" s="234" t="s">
        <v>7616</v>
      </c>
      <c r="E42" s="234" t="s">
        <v>615</v>
      </c>
      <c r="F42" s="234" t="s">
        <v>306</v>
      </c>
      <c r="G42" s="234" t="s">
        <v>1201</v>
      </c>
      <c r="H42" s="234">
        <v>1.0</v>
      </c>
      <c r="I42" s="234">
        <v>0.0</v>
      </c>
      <c r="J42" s="234">
        <v>1.0</v>
      </c>
    </row>
    <row r="43" ht="15.75" customHeight="1">
      <c r="A43" s="235" t="s">
        <v>7733</v>
      </c>
      <c r="B43" s="234" t="s">
        <v>7734</v>
      </c>
      <c r="C43" s="234" t="s">
        <v>311</v>
      </c>
      <c r="D43" s="234" t="s">
        <v>7616</v>
      </c>
      <c r="E43" s="234" t="s">
        <v>7656</v>
      </c>
      <c r="F43" s="234" t="s">
        <v>306</v>
      </c>
      <c r="G43" s="234" t="s">
        <v>7735</v>
      </c>
      <c r="H43" s="234">
        <v>1.0</v>
      </c>
      <c r="I43" s="234">
        <v>0.0</v>
      </c>
      <c r="J43" s="234">
        <v>1.0</v>
      </c>
    </row>
    <row r="44" ht="15.75" customHeight="1">
      <c r="A44" s="235" t="s">
        <v>7640</v>
      </c>
      <c r="B44" s="234" t="s">
        <v>7641</v>
      </c>
      <c r="C44" s="234" t="s">
        <v>311</v>
      </c>
      <c r="D44" s="234" t="s">
        <v>7616</v>
      </c>
      <c r="E44" s="234" t="s">
        <v>7621</v>
      </c>
      <c r="F44" s="234" t="s">
        <v>306</v>
      </c>
      <c r="G44" s="234" t="s">
        <v>7736</v>
      </c>
      <c r="H44" s="234">
        <v>1.0</v>
      </c>
      <c r="I44" s="234">
        <v>0.0</v>
      </c>
      <c r="J44" s="234">
        <v>1.0</v>
      </c>
    </row>
    <row r="45" ht="15.75" customHeight="1">
      <c r="A45" s="235" t="s">
        <v>7737</v>
      </c>
      <c r="B45" s="234" t="s">
        <v>7738</v>
      </c>
      <c r="C45" s="234" t="s">
        <v>311</v>
      </c>
      <c r="D45" s="234" t="s">
        <v>7616</v>
      </c>
      <c r="E45" s="234" t="s">
        <v>7668</v>
      </c>
      <c r="F45" s="234" t="s">
        <v>306</v>
      </c>
      <c r="G45" s="234" t="s">
        <v>7739</v>
      </c>
      <c r="H45" s="234">
        <v>1.0</v>
      </c>
      <c r="I45" s="234">
        <v>0.0</v>
      </c>
      <c r="J45" s="234">
        <v>0.0</v>
      </c>
    </row>
    <row r="46" ht="15.75" customHeight="1">
      <c r="A46" s="235" t="s">
        <v>7740</v>
      </c>
      <c r="B46" s="234" t="s">
        <v>7741</v>
      </c>
      <c r="C46" s="234" t="s">
        <v>311</v>
      </c>
      <c r="D46" s="234" t="s">
        <v>7616</v>
      </c>
      <c r="E46" s="234" t="s">
        <v>7656</v>
      </c>
      <c r="F46" s="234" t="s">
        <v>306</v>
      </c>
      <c r="G46" s="234"/>
      <c r="H46" s="234">
        <v>1.0</v>
      </c>
      <c r="I46" s="234">
        <v>0.0</v>
      </c>
      <c r="J46" s="234">
        <v>1.0</v>
      </c>
    </row>
    <row r="47" ht="15.75" customHeight="1">
      <c r="A47" s="235" t="s">
        <v>7742</v>
      </c>
      <c r="B47" s="234" t="s">
        <v>7743</v>
      </c>
      <c r="C47" s="234" t="s">
        <v>311</v>
      </c>
      <c r="D47" s="234" t="s">
        <v>7616</v>
      </c>
      <c r="E47" s="234" t="s">
        <v>615</v>
      </c>
      <c r="F47" s="234" t="s">
        <v>306</v>
      </c>
      <c r="G47" s="234" t="s">
        <v>7744</v>
      </c>
      <c r="H47" s="234">
        <v>1.0</v>
      </c>
      <c r="I47" s="234">
        <v>0.0</v>
      </c>
      <c r="J47" s="234">
        <v>1.0</v>
      </c>
    </row>
    <row r="48" ht="15.75" customHeight="1">
      <c r="A48" s="235" t="s">
        <v>7745</v>
      </c>
      <c r="B48" s="236" t="s">
        <v>7746</v>
      </c>
      <c r="C48" s="236" t="s">
        <v>315</v>
      </c>
      <c r="D48" s="237" t="s">
        <v>7616</v>
      </c>
      <c r="E48" s="236" t="s">
        <v>615</v>
      </c>
      <c r="F48" s="236" t="s">
        <v>306</v>
      </c>
      <c r="G48" s="236" t="s">
        <v>760</v>
      </c>
      <c r="H48" s="236">
        <v>12.0</v>
      </c>
      <c r="I48" s="234">
        <v>0.02</v>
      </c>
      <c r="J48" s="234">
        <v>0.68</v>
      </c>
    </row>
    <row r="49" ht="15.75" customHeight="1">
      <c r="A49" s="235" t="s">
        <v>7747</v>
      </c>
      <c r="B49" s="236" t="s">
        <v>7748</v>
      </c>
      <c r="C49" s="236" t="s">
        <v>315</v>
      </c>
      <c r="D49" s="237" t="s">
        <v>7749</v>
      </c>
      <c r="E49" s="236" t="s">
        <v>615</v>
      </c>
      <c r="F49" s="236" t="s">
        <v>306</v>
      </c>
      <c r="G49" s="236" t="s">
        <v>3710</v>
      </c>
      <c r="H49" s="236">
        <v>11.0</v>
      </c>
      <c r="I49" s="234">
        <v>0.01</v>
      </c>
      <c r="J49" s="234">
        <v>1.09</v>
      </c>
    </row>
    <row r="50" ht="15.75" customHeight="1">
      <c r="A50" s="235" t="s">
        <v>7750</v>
      </c>
      <c r="B50" s="236" t="s">
        <v>298</v>
      </c>
      <c r="C50" s="236" t="s">
        <v>315</v>
      </c>
      <c r="D50" s="237" t="s">
        <v>7616</v>
      </c>
      <c r="E50" s="236" t="s">
        <v>7656</v>
      </c>
      <c r="F50" s="236" t="s">
        <v>306</v>
      </c>
      <c r="G50" s="236" t="s">
        <v>7751</v>
      </c>
      <c r="H50" s="236">
        <v>9.0</v>
      </c>
      <c r="I50" s="234">
        <v>0.01</v>
      </c>
      <c r="J50" s="234">
        <v>1.13</v>
      </c>
    </row>
    <row r="51" ht="15.75" customHeight="1">
      <c r="A51" s="235" t="s">
        <v>7752</v>
      </c>
      <c r="B51" s="236" t="s">
        <v>7753</v>
      </c>
      <c r="C51" s="236" t="s">
        <v>315</v>
      </c>
      <c r="D51" s="237" t="s">
        <v>7616</v>
      </c>
      <c r="E51" s="236" t="s">
        <v>615</v>
      </c>
      <c r="F51" s="236" t="s">
        <v>306</v>
      </c>
      <c r="G51" s="236" t="s">
        <v>7754</v>
      </c>
      <c r="H51" s="236">
        <v>3.0</v>
      </c>
      <c r="I51" s="234">
        <v>0.01</v>
      </c>
      <c r="J51" s="234">
        <v>1.0</v>
      </c>
    </row>
    <row r="52" ht="15.75" customHeight="1">
      <c r="A52" s="235" t="s">
        <v>7755</v>
      </c>
      <c r="B52" s="236" t="s">
        <v>7756</v>
      </c>
      <c r="C52" s="236" t="s">
        <v>315</v>
      </c>
      <c r="D52" s="237" t="s">
        <v>7616</v>
      </c>
      <c r="E52" s="236" t="s">
        <v>7668</v>
      </c>
      <c r="F52" s="236" t="s">
        <v>306</v>
      </c>
      <c r="G52" s="236" t="s">
        <v>298</v>
      </c>
      <c r="H52" s="236">
        <v>1.0</v>
      </c>
      <c r="I52" s="234">
        <v>0.0</v>
      </c>
      <c r="J52" s="234">
        <v>7.5</v>
      </c>
    </row>
    <row r="53" ht="15.75" customHeight="1">
      <c r="A53" s="235" t="s">
        <v>7757</v>
      </c>
      <c r="B53" s="234" t="s">
        <v>7758</v>
      </c>
      <c r="C53" s="234" t="s">
        <v>321</v>
      </c>
      <c r="D53" s="234" t="s">
        <v>7616</v>
      </c>
      <c r="E53" s="234" t="s">
        <v>615</v>
      </c>
      <c r="F53" s="234" t="s">
        <v>306</v>
      </c>
      <c r="G53" s="234" t="s">
        <v>2250</v>
      </c>
      <c r="H53" s="234">
        <v>19.0</v>
      </c>
      <c r="I53" s="234">
        <v>0.02</v>
      </c>
      <c r="J53" s="234">
        <v>0.68</v>
      </c>
    </row>
    <row r="54" ht="15.75" customHeight="1">
      <c r="A54" s="235" t="s">
        <v>7759</v>
      </c>
      <c r="B54" s="234" t="s">
        <v>7760</v>
      </c>
      <c r="C54" s="234" t="s">
        <v>321</v>
      </c>
      <c r="D54" s="234" t="s">
        <v>7616</v>
      </c>
      <c r="E54" s="234" t="s">
        <v>615</v>
      </c>
      <c r="F54" s="234" t="s">
        <v>306</v>
      </c>
      <c r="G54" s="234" t="s">
        <v>2547</v>
      </c>
      <c r="H54" s="234">
        <v>11.0</v>
      </c>
      <c r="I54" s="234">
        <v>0.01</v>
      </c>
      <c r="J54" s="234">
        <v>1.09</v>
      </c>
    </row>
    <row r="55" ht="15.75" customHeight="1">
      <c r="A55" s="235" t="s">
        <v>7761</v>
      </c>
      <c r="B55" s="234" t="s">
        <v>7762</v>
      </c>
      <c r="C55" s="234" t="s">
        <v>321</v>
      </c>
      <c r="D55" s="234" t="s">
        <v>7616</v>
      </c>
      <c r="E55" s="234" t="s">
        <v>615</v>
      </c>
      <c r="F55" s="234" t="s">
        <v>306</v>
      </c>
      <c r="G55" s="234" t="s">
        <v>7763</v>
      </c>
      <c r="H55" s="234">
        <v>8.0</v>
      </c>
      <c r="I55" s="234">
        <v>0.01</v>
      </c>
      <c r="J55" s="234">
        <v>1.13</v>
      </c>
    </row>
    <row r="56" ht="15.75" customHeight="1">
      <c r="A56" s="235" t="s">
        <v>7764</v>
      </c>
      <c r="B56" s="234" t="s">
        <v>7765</v>
      </c>
      <c r="C56" s="234" t="s">
        <v>321</v>
      </c>
      <c r="D56" s="234" t="s">
        <v>7616</v>
      </c>
      <c r="E56" s="234" t="s">
        <v>7621</v>
      </c>
      <c r="F56" s="234" t="s">
        <v>306</v>
      </c>
      <c r="G56" s="234"/>
      <c r="H56" s="234">
        <v>5.0</v>
      </c>
      <c r="I56" s="234">
        <v>0.01</v>
      </c>
      <c r="J56" s="234">
        <v>1.0</v>
      </c>
    </row>
    <row r="57" ht="15.75" customHeight="1">
      <c r="A57" s="235" t="s">
        <v>7766</v>
      </c>
      <c r="B57" s="234" t="s">
        <v>7767</v>
      </c>
      <c r="C57" s="234" t="s">
        <v>321</v>
      </c>
      <c r="D57" s="234" t="s">
        <v>7616</v>
      </c>
      <c r="E57" s="234" t="s">
        <v>615</v>
      </c>
      <c r="F57" s="234" t="s">
        <v>306</v>
      </c>
      <c r="G57" s="234"/>
      <c r="H57" s="234">
        <v>4.0</v>
      </c>
      <c r="I57" s="234">
        <v>0.0</v>
      </c>
      <c r="J57" s="234">
        <v>7.5</v>
      </c>
    </row>
    <row r="58" ht="15.75" customHeight="1">
      <c r="A58" s="235" t="s">
        <v>7768</v>
      </c>
      <c r="B58" s="234" t="s">
        <v>7769</v>
      </c>
      <c r="C58" s="234" t="s">
        <v>321</v>
      </c>
      <c r="D58" s="234" t="s">
        <v>7616</v>
      </c>
      <c r="E58" s="234" t="s">
        <v>7668</v>
      </c>
      <c r="F58" s="234" t="s">
        <v>306</v>
      </c>
      <c r="G58" s="234"/>
      <c r="H58" s="234">
        <v>4.0</v>
      </c>
      <c r="I58" s="234">
        <v>0.0</v>
      </c>
      <c r="J58" s="234">
        <v>0.0</v>
      </c>
    </row>
    <row r="59" ht="15.75" customHeight="1">
      <c r="A59" s="235" t="s">
        <v>7770</v>
      </c>
      <c r="B59" s="234" t="s">
        <v>7771</v>
      </c>
      <c r="C59" s="234" t="s">
        <v>321</v>
      </c>
      <c r="D59" s="234" t="s">
        <v>7616</v>
      </c>
      <c r="E59" s="234" t="s">
        <v>615</v>
      </c>
      <c r="F59" s="234" t="s">
        <v>306</v>
      </c>
      <c r="G59" s="234"/>
      <c r="H59" s="234">
        <v>3.0</v>
      </c>
      <c r="I59" s="234">
        <v>0.0</v>
      </c>
      <c r="J59" s="234">
        <v>1.0</v>
      </c>
    </row>
    <row r="60" ht="15.75" customHeight="1">
      <c r="A60" s="235" t="s">
        <v>7772</v>
      </c>
      <c r="B60" s="234" t="s">
        <v>7773</v>
      </c>
      <c r="C60" s="234" t="s">
        <v>321</v>
      </c>
      <c r="D60" s="234" t="s">
        <v>7616</v>
      </c>
      <c r="E60" s="234" t="s">
        <v>615</v>
      </c>
      <c r="F60" s="234" t="s">
        <v>306</v>
      </c>
      <c r="G60" s="234" t="s">
        <v>7484</v>
      </c>
      <c r="H60" s="234">
        <v>1.0</v>
      </c>
      <c r="I60" s="234">
        <v>0.0</v>
      </c>
      <c r="J60" s="234">
        <v>1.0</v>
      </c>
    </row>
    <row r="61" ht="15.75" customHeight="1">
      <c r="A61" s="235" t="s">
        <v>7774</v>
      </c>
      <c r="B61" s="234" t="s">
        <v>7775</v>
      </c>
      <c r="C61" s="234" t="s">
        <v>321</v>
      </c>
      <c r="D61" s="234" t="s">
        <v>7616</v>
      </c>
      <c r="E61" s="234" t="s">
        <v>615</v>
      </c>
      <c r="F61" s="234" t="s">
        <v>306</v>
      </c>
      <c r="G61" s="234"/>
      <c r="H61" s="234">
        <v>1.0</v>
      </c>
      <c r="I61" s="234">
        <v>0.0</v>
      </c>
      <c r="J61" s="234">
        <v>1.0</v>
      </c>
    </row>
    <row r="62" ht="15.75" customHeight="1">
      <c r="A62" s="235" t="s">
        <v>7776</v>
      </c>
      <c r="B62" s="234" t="s">
        <v>7777</v>
      </c>
      <c r="C62" s="234" t="s">
        <v>321</v>
      </c>
      <c r="D62" s="234" t="s">
        <v>7616</v>
      </c>
      <c r="E62" s="234" t="s">
        <v>7656</v>
      </c>
      <c r="F62" s="234" t="s">
        <v>306</v>
      </c>
      <c r="G62" s="234" t="s">
        <v>7778</v>
      </c>
      <c r="H62" s="234">
        <v>1.0</v>
      </c>
      <c r="I62" s="234">
        <v>0.0</v>
      </c>
      <c r="J62" s="234">
        <v>1.0</v>
      </c>
    </row>
    <row r="63" ht="15.75" customHeight="1">
      <c r="A63" s="235" t="s">
        <v>7779</v>
      </c>
      <c r="B63" s="234" t="s">
        <v>7667</v>
      </c>
      <c r="C63" s="234" t="s">
        <v>321</v>
      </c>
      <c r="D63" s="234" t="s">
        <v>7616</v>
      </c>
      <c r="E63" s="234" t="s">
        <v>7668</v>
      </c>
      <c r="F63" s="234" t="s">
        <v>306</v>
      </c>
      <c r="G63" s="234" t="s">
        <v>1029</v>
      </c>
      <c r="H63" s="234">
        <v>1.0</v>
      </c>
      <c r="I63" s="234">
        <v>0.0</v>
      </c>
      <c r="J63" s="234">
        <v>1.0</v>
      </c>
    </row>
    <row r="64" ht="15.75" customHeight="1">
      <c r="A64" s="235" t="s">
        <v>7780</v>
      </c>
      <c r="B64" s="234" t="s">
        <v>5567</v>
      </c>
      <c r="C64" s="234" t="s">
        <v>321</v>
      </c>
      <c r="D64" s="234" t="s">
        <v>7616</v>
      </c>
      <c r="E64" s="234" t="s">
        <v>615</v>
      </c>
      <c r="F64" s="234" t="s">
        <v>306</v>
      </c>
      <c r="G64" s="234"/>
      <c r="H64" s="234">
        <v>1.0</v>
      </c>
      <c r="I64" s="234">
        <v>0.0</v>
      </c>
      <c r="J64" s="234">
        <v>1.0</v>
      </c>
    </row>
    <row r="65" ht="15.75" customHeight="1">
      <c r="A65" s="235" t="s">
        <v>7781</v>
      </c>
      <c r="B65" s="234" t="s">
        <v>7782</v>
      </c>
      <c r="C65" s="234" t="s">
        <v>321</v>
      </c>
      <c r="D65" s="234" t="s">
        <v>7616</v>
      </c>
      <c r="E65" s="234" t="s">
        <v>7621</v>
      </c>
      <c r="F65" s="234" t="s">
        <v>306</v>
      </c>
      <c r="G65" s="234"/>
      <c r="H65" s="234">
        <v>1.0</v>
      </c>
      <c r="I65" s="234">
        <v>0.0</v>
      </c>
      <c r="J65" s="234">
        <v>1.0</v>
      </c>
    </row>
    <row r="66" ht="15.75" customHeight="1">
      <c r="A66" s="235" t="s">
        <v>7783</v>
      </c>
      <c r="B66" s="234" t="s">
        <v>7679</v>
      </c>
      <c r="C66" s="234" t="s">
        <v>321</v>
      </c>
      <c r="D66" s="234" t="s">
        <v>7616</v>
      </c>
      <c r="E66" s="234" t="s">
        <v>7668</v>
      </c>
      <c r="F66" s="234" t="s">
        <v>306</v>
      </c>
      <c r="G66" s="234" t="s">
        <v>2778</v>
      </c>
      <c r="H66" s="234">
        <v>1.0</v>
      </c>
      <c r="I66" s="234">
        <v>0.0</v>
      </c>
      <c r="J66" s="234">
        <v>1.0</v>
      </c>
    </row>
    <row r="67" ht="15.75" customHeight="1">
      <c r="A67" s="235" t="s">
        <v>7640</v>
      </c>
      <c r="B67" s="234" t="s">
        <v>7641</v>
      </c>
      <c r="C67" s="234" t="s">
        <v>321</v>
      </c>
      <c r="D67" s="234" t="s">
        <v>7616</v>
      </c>
      <c r="E67" s="234" t="s">
        <v>7621</v>
      </c>
      <c r="F67" s="234" t="s">
        <v>306</v>
      </c>
      <c r="G67" s="234" t="s">
        <v>1029</v>
      </c>
      <c r="H67" s="234">
        <v>1.0</v>
      </c>
      <c r="I67" s="234">
        <v>0.0</v>
      </c>
      <c r="J67" s="234">
        <v>2.0</v>
      </c>
    </row>
    <row r="68" ht="15.75" customHeight="1">
      <c r="A68" s="235" t="s">
        <v>7784</v>
      </c>
      <c r="B68" s="234" t="s">
        <v>7785</v>
      </c>
      <c r="C68" s="234" t="s">
        <v>321</v>
      </c>
      <c r="D68" s="234" t="s">
        <v>7616</v>
      </c>
      <c r="E68" s="234" t="s">
        <v>7668</v>
      </c>
      <c r="F68" s="234" t="s">
        <v>306</v>
      </c>
      <c r="G68" s="234" t="s">
        <v>7786</v>
      </c>
      <c r="H68" s="234">
        <v>1.0</v>
      </c>
      <c r="I68" s="234">
        <v>0.0</v>
      </c>
      <c r="J68" s="234">
        <v>1.0</v>
      </c>
    </row>
    <row r="69" ht="15.75" customHeight="1">
      <c r="A69" s="234" t="s">
        <v>298</v>
      </c>
      <c r="B69" s="234" t="s">
        <v>298</v>
      </c>
      <c r="C69" s="234" t="s">
        <v>298</v>
      </c>
      <c r="D69" s="234" t="s">
        <v>298</v>
      </c>
      <c r="E69" s="234" t="s">
        <v>298</v>
      </c>
      <c r="F69" s="234" t="s">
        <v>298</v>
      </c>
      <c r="G69" s="234" t="s">
        <v>298</v>
      </c>
      <c r="H69" s="234" t="s">
        <v>298</v>
      </c>
      <c r="I69" s="234" t="s">
        <v>298</v>
      </c>
      <c r="J69" s="234" t="s">
        <v>298</v>
      </c>
    </row>
    <row r="70" ht="15.75" customHeight="1">
      <c r="A70" s="234" t="s">
        <v>7787</v>
      </c>
      <c r="B70" s="234" t="s">
        <v>298</v>
      </c>
      <c r="C70" s="234" t="s">
        <v>298</v>
      </c>
      <c r="D70" s="234" t="s">
        <v>298</v>
      </c>
      <c r="E70" s="234" t="s">
        <v>298</v>
      </c>
      <c r="F70" s="234" t="s">
        <v>298</v>
      </c>
      <c r="G70" s="234" t="s">
        <v>298</v>
      </c>
      <c r="H70" s="234" t="s">
        <v>298</v>
      </c>
      <c r="I70" s="234" t="s">
        <v>298</v>
      </c>
      <c r="J70" s="234" t="s">
        <v>298</v>
      </c>
    </row>
    <row r="71" ht="15.75" customHeight="1">
      <c r="A71" s="234" t="s">
        <v>7611</v>
      </c>
      <c r="B71" s="234" t="s">
        <v>298</v>
      </c>
      <c r="C71" s="234" t="s">
        <v>298</v>
      </c>
      <c r="D71" s="234" t="s">
        <v>298</v>
      </c>
      <c r="E71" s="234" t="s">
        <v>298</v>
      </c>
      <c r="F71" s="234" t="s">
        <v>298</v>
      </c>
      <c r="G71" s="234" t="s">
        <v>298</v>
      </c>
      <c r="H71" s="234" t="s">
        <v>298</v>
      </c>
      <c r="I71" s="234" t="s">
        <v>298</v>
      </c>
      <c r="J71" s="234" t="s">
        <v>298</v>
      </c>
    </row>
    <row r="72" ht="15.75" customHeight="1">
      <c r="A72" s="234" t="s">
        <v>144</v>
      </c>
      <c r="B72" s="234" t="s">
        <v>298</v>
      </c>
      <c r="C72" s="234" t="s">
        <v>298</v>
      </c>
      <c r="D72" s="234" t="s">
        <v>298</v>
      </c>
      <c r="E72" s="234" t="s">
        <v>298</v>
      </c>
      <c r="F72" s="234" t="s">
        <v>298</v>
      </c>
      <c r="G72" s="234" t="s">
        <v>298</v>
      </c>
      <c r="H72" s="234" t="s">
        <v>298</v>
      </c>
      <c r="I72" s="234" t="s">
        <v>298</v>
      </c>
      <c r="J72" s="234" t="s">
        <v>298</v>
      </c>
    </row>
    <row r="73">
      <c r="A73" s="234" t="s">
        <v>7612</v>
      </c>
      <c r="B73" s="234" t="s">
        <v>298</v>
      </c>
      <c r="C73" s="234" t="s">
        <v>298</v>
      </c>
      <c r="D73" s="234" t="s">
        <v>298</v>
      </c>
      <c r="E73" s="234" t="s">
        <v>298</v>
      </c>
      <c r="F73" s="234" t="s">
        <v>298</v>
      </c>
      <c r="G73" s="234" t="s">
        <v>298</v>
      </c>
      <c r="H73" s="234" t="s">
        <v>298</v>
      </c>
      <c r="I73" s="234" t="s">
        <v>298</v>
      </c>
      <c r="J73" s="234" t="s">
        <v>298</v>
      </c>
    </row>
    <row r="74">
      <c r="A74" s="235" t="s">
        <v>7788</v>
      </c>
      <c r="B74" s="234" t="s">
        <v>7789</v>
      </c>
      <c r="C74" s="234" t="s">
        <v>303</v>
      </c>
      <c r="D74" s="234" t="s">
        <v>7790</v>
      </c>
      <c r="E74" s="234" t="s">
        <v>7791</v>
      </c>
      <c r="F74" s="234" t="s">
        <v>306</v>
      </c>
      <c r="G74" s="234" t="s">
        <v>7792</v>
      </c>
      <c r="H74" s="234">
        <v>11.0</v>
      </c>
      <c r="I74" s="234">
        <v>0.01</v>
      </c>
      <c r="J74" s="234">
        <v>1.73</v>
      </c>
    </row>
    <row r="75" ht="15.75" customHeight="1">
      <c r="A75" s="235" t="s">
        <v>2852</v>
      </c>
      <c r="B75" s="234" t="s">
        <v>2853</v>
      </c>
      <c r="C75" s="234" t="s">
        <v>303</v>
      </c>
      <c r="D75" s="234" t="s">
        <v>7790</v>
      </c>
      <c r="E75" s="234" t="s">
        <v>7791</v>
      </c>
      <c r="F75" s="234" t="s">
        <v>306</v>
      </c>
      <c r="G75" s="234" t="s">
        <v>2854</v>
      </c>
      <c r="H75" s="234">
        <v>11.0</v>
      </c>
      <c r="I75" s="234">
        <v>0.01</v>
      </c>
      <c r="J75" s="234">
        <v>3.0</v>
      </c>
    </row>
    <row r="76">
      <c r="A76" s="235" t="s">
        <v>2955</v>
      </c>
      <c r="B76" s="234" t="s">
        <v>2956</v>
      </c>
      <c r="C76" s="234" t="s">
        <v>303</v>
      </c>
      <c r="D76" s="234" t="s">
        <v>7790</v>
      </c>
      <c r="E76" s="234" t="s">
        <v>7791</v>
      </c>
      <c r="F76" s="234" t="s">
        <v>306</v>
      </c>
      <c r="G76" s="234" t="s">
        <v>2957</v>
      </c>
      <c r="H76" s="234">
        <v>10.0</v>
      </c>
      <c r="I76" s="234">
        <v>0.01</v>
      </c>
      <c r="J76" s="234">
        <v>1.2</v>
      </c>
    </row>
    <row r="77" ht="15.75" customHeight="1">
      <c r="A77" s="235" t="s">
        <v>2960</v>
      </c>
      <c r="B77" s="234" t="s">
        <v>2961</v>
      </c>
      <c r="C77" s="234" t="s">
        <v>303</v>
      </c>
      <c r="D77" s="234" t="s">
        <v>7790</v>
      </c>
      <c r="E77" s="234" t="s">
        <v>7791</v>
      </c>
      <c r="F77" s="234" t="s">
        <v>306</v>
      </c>
      <c r="G77" s="234" t="s">
        <v>2965</v>
      </c>
      <c r="H77" s="234">
        <v>10.0</v>
      </c>
      <c r="I77" s="234">
        <v>0.01</v>
      </c>
      <c r="J77" s="234">
        <v>1.4</v>
      </c>
    </row>
    <row r="78" ht="15.75" customHeight="1">
      <c r="A78" s="235" t="s">
        <v>3187</v>
      </c>
      <c r="B78" s="234" t="s">
        <v>3189</v>
      </c>
      <c r="C78" s="234" t="s">
        <v>303</v>
      </c>
      <c r="D78" s="234" t="s">
        <v>7790</v>
      </c>
      <c r="E78" s="234" t="s">
        <v>7791</v>
      </c>
      <c r="F78" s="234" t="s">
        <v>306</v>
      </c>
      <c r="G78" s="234" t="s">
        <v>3190</v>
      </c>
      <c r="H78" s="234">
        <v>8.0</v>
      </c>
      <c r="I78" s="234">
        <v>0.01</v>
      </c>
      <c r="J78" s="234">
        <v>3.63</v>
      </c>
    </row>
    <row r="79" ht="15.75" customHeight="1">
      <c r="A79" s="235" t="s">
        <v>3289</v>
      </c>
      <c r="B79" s="234" t="s">
        <v>3291</v>
      </c>
      <c r="C79" s="234" t="s">
        <v>303</v>
      </c>
      <c r="D79" s="234" t="s">
        <v>7790</v>
      </c>
      <c r="E79" s="234" t="s">
        <v>7791</v>
      </c>
      <c r="F79" s="234" t="s">
        <v>306</v>
      </c>
      <c r="G79" s="234" t="s">
        <v>3292</v>
      </c>
      <c r="H79" s="234">
        <v>7.0</v>
      </c>
      <c r="I79" s="234">
        <v>0.01</v>
      </c>
      <c r="J79" s="234">
        <v>1.43</v>
      </c>
    </row>
    <row r="80">
      <c r="A80" s="235" t="s">
        <v>7793</v>
      </c>
      <c r="B80" s="234" t="s">
        <v>7794</v>
      </c>
      <c r="C80" s="234" t="s">
        <v>303</v>
      </c>
      <c r="D80" s="234" t="s">
        <v>7790</v>
      </c>
      <c r="E80" s="234" t="s">
        <v>7791</v>
      </c>
      <c r="F80" s="234" t="s">
        <v>306</v>
      </c>
      <c r="G80" s="234" t="s">
        <v>7795</v>
      </c>
      <c r="H80" s="234">
        <v>7.0</v>
      </c>
      <c r="I80" s="234">
        <v>0.01</v>
      </c>
      <c r="J80" s="234">
        <v>2.0</v>
      </c>
    </row>
    <row r="81">
      <c r="A81" s="235" t="s">
        <v>3295</v>
      </c>
      <c r="B81" s="234" t="s">
        <v>3296</v>
      </c>
      <c r="C81" s="234" t="s">
        <v>303</v>
      </c>
      <c r="D81" s="234" t="s">
        <v>7790</v>
      </c>
      <c r="E81" s="234" t="s">
        <v>7791</v>
      </c>
      <c r="F81" s="234" t="s">
        <v>306</v>
      </c>
      <c r="G81" s="234" t="s">
        <v>3298</v>
      </c>
      <c r="H81" s="234">
        <v>7.0</v>
      </c>
      <c r="I81" s="234">
        <v>0.01</v>
      </c>
      <c r="J81" s="234">
        <v>1.14</v>
      </c>
    </row>
    <row r="82" ht="15.75" customHeight="1">
      <c r="A82" s="235" t="s">
        <v>3434</v>
      </c>
      <c r="B82" s="234" t="s">
        <v>3437</v>
      </c>
      <c r="C82" s="234" t="s">
        <v>303</v>
      </c>
      <c r="D82" s="234" t="s">
        <v>7790</v>
      </c>
      <c r="E82" s="234" t="s">
        <v>7791</v>
      </c>
      <c r="F82" s="234" t="s">
        <v>306</v>
      </c>
      <c r="G82" s="234" t="s">
        <v>3438</v>
      </c>
      <c r="H82" s="234">
        <v>6.0</v>
      </c>
      <c r="I82" s="234">
        <v>0.01</v>
      </c>
      <c r="J82" s="234">
        <v>1.17</v>
      </c>
    </row>
    <row r="83">
      <c r="A83" s="235" t="s">
        <v>3581</v>
      </c>
      <c r="B83" s="234" t="s">
        <v>3582</v>
      </c>
      <c r="C83" s="234" t="s">
        <v>303</v>
      </c>
      <c r="D83" s="234" t="s">
        <v>7790</v>
      </c>
      <c r="E83" s="234" t="s">
        <v>7791</v>
      </c>
      <c r="F83" s="234" t="s">
        <v>306</v>
      </c>
      <c r="G83" s="234" t="s">
        <v>3583</v>
      </c>
      <c r="H83" s="234">
        <v>5.0</v>
      </c>
      <c r="I83" s="234">
        <v>0.0</v>
      </c>
      <c r="J83" s="234">
        <v>2.8</v>
      </c>
    </row>
    <row r="84" ht="15.75" customHeight="1">
      <c r="A84" s="235" t="s">
        <v>7796</v>
      </c>
      <c r="B84" s="234" t="s">
        <v>7797</v>
      </c>
      <c r="C84" s="234" t="s">
        <v>303</v>
      </c>
      <c r="D84" s="234" t="s">
        <v>7790</v>
      </c>
      <c r="E84" s="234" t="s">
        <v>7791</v>
      </c>
      <c r="F84" s="234" t="s">
        <v>306</v>
      </c>
      <c r="G84" s="234" t="s">
        <v>7798</v>
      </c>
      <c r="H84" s="234">
        <v>5.0</v>
      </c>
      <c r="I84" s="234">
        <v>0.0</v>
      </c>
      <c r="J84" s="234">
        <v>1.0</v>
      </c>
    </row>
    <row r="85" ht="15.75" customHeight="1">
      <c r="A85" s="235" t="s">
        <v>3761</v>
      </c>
      <c r="B85" s="234" t="s">
        <v>3762</v>
      </c>
      <c r="C85" s="234" t="s">
        <v>303</v>
      </c>
      <c r="D85" s="234" t="s">
        <v>7790</v>
      </c>
      <c r="E85" s="234" t="s">
        <v>7791</v>
      </c>
      <c r="F85" s="234" t="s">
        <v>306</v>
      </c>
      <c r="G85" s="234" t="s">
        <v>3763</v>
      </c>
      <c r="H85" s="234">
        <v>4.0</v>
      </c>
      <c r="I85" s="234">
        <v>0.0</v>
      </c>
      <c r="J85" s="234">
        <v>1.25</v>
      </c>
    </row>
    <row r="86">
      <c r="A86" s="235" t="s">
        <v>4281</v>
      </c>
      <c r="B86" s="234" t="s">
        <v>4282</v>
      </c>
      <c r="C86" s="234" t="s">
        <v>303</v>
      </c>
      <c r="D86" s="234" t="s">
        <v>7790</v>
      </c>
      <c r="E86" s="234" t="s">
        <v>7791</v>
      </c>
      <c r="F86" s="234" t="s">
        <v>306</v>
      </c>
      <c r="G86" s="234" t="s">
        <v>4283</v>
      </c>
      <c r="H86" s="234">
        <v>2.0</v>
      </c>
      <c r="I86" s="234">
        <v>0.0</v>
      </c>
      <c r="J86" s="234">
        <v>2.0</v>
      </c>
    </row>
    <row r="87">
      <c r="A87" s="234" t="s">
        <v>7799</v>
      </c>
      <c r="B87" s="234" t="s">
        <v>7800</v>
      </c>
      <c r="C87" s="234" t="s">
        <v>303</v>
      </c>
      <c r="D87" s="234" t="s">
        <v>7790</v>
      </c>
      <c r="E87" s="234" t="s">
        <v>7791</v>
      </c>
      <c r="F87" s="234" t="s">
        <v>306</v>
      </c>
      <c r="G87" s="234" t="s">
        <v>380</v>
      </c>
      <c r="H87" s="234">
        <v>2.0</v>
      </c>
      <c r="I87" s="234">
        <v>0.0</v>
      </c>
      <c r="J87" s="234">
        <v>1.5</v>
      </c>
    </row>
    <row r="88" ht="15.75" customHeight="1">
      <c r="A88" s="235" t="s">
        <v>7801</v>
      </c>
      <c r="B88" s="234" t="s">
        <v>7802</v>
      </c>
      <c r="C88" s="234" t="s">
        <v>303</v>
      </c>
      <c r="D88" s="234" t="s">
        <v>7790</v>
      </c>
      <c r="E88" s="234" t="s">
        <v>7791</v>
      </c>
      <c r="F88" s="234" t="s">
        <v>306</v>
      </c>
      <c r="G88" s="234" t="s">
        <v>7803</v>
      </c>
      <c r="H88" s="234">
        <v>2.0</v>
      </c>
      <c r="I88" s="234">
        <v>0.0</v>
      </c>
      <c r="J88" s="234">
        <v>1.0</v>
      </c>
    </row>
    <row r="89">
      <c r="A89" s="235" t="s">
        <v>4284</v>
      </c>
      <c r="B89" s="234" t="s">
        <v>4285</v>
      </c>
      <c r="C89" s="234" t="s">
        <v>303</v>
      </c>
      <c r="D89" s="234" t="s">
        <v>7790</v>
      </c>
      <c r="E89" s="234" t="s">
        <v>7791</v>
      </c>
      <c r="F89" s="234" t="s">
        <v>306</v>
      </c>
      <c r="G89" s="234" t="s">
        <v>4286</v>
      </c>
      <c r="H89" s="234">
        <v>2.0</v>
      </c>
      <c r="I89" s="234">
        <v>0.0</v>
      </c>
      <c r="J89" s="234">
        <v>1.0</v>
      </c>
    </row>
    <row r="90" ht="15.75" customHeight="1">
      <c r="A90" s="235" t="s">
        <v>4287</v>
      </c>
      <c r="B90" s="234" t="s">
        <v>4288</v>
      </c>
      <c r="C90" s="234" t="s">
        <v>303</v>
      </c>
      <c r="D90" s="234" t="s">
        <v>7790</v>
      </c>
      <c r="E90" s="234" t="s">
        <v>7791</v>
      </c>
      <c r="F90" s="234" t="s">
        <v>306</v>
      </c>
      <c r="G90" s="234" t="s">
        <v>4289</v>
      </c>
      <c r="H90" s="234">
        <v>2.0</v>
      </c>
      <c r="I90" s="234">
        <v>0.0</v>
      </c>
      <c r="J90" s="234">
        <v>1.0</v>
      </c>
    </row>
    <row r="91" ht="15.75" customHeight="1">
      <c r="A91" s="235" t="s">
        <v>4290</v>
      </c>
      <c r="B91" s="234" t="s">
        <v>4291</v>
      </c>
      <c r="C91" s="234" t="s">
        <v>303</v>
      </c>
      <c r="D91" s="234" t="s">
        <v>7790</v>
      </c>
      <c r="E91" s="234" t="s">
        <v>7791</v>
      </c>
      <c r="F91" s="234" t="s">
        <v>306</v>
      </c>
      <c r="G91" s="234" t="s">
        <v>4292</v>
      </c>
      <c r="H91" s="234">
        <v>2.0</v>
      </c>
      <c r="I91" s="234">
        <v>0.0</v>
      </c>
      <c r="J91" s="234">
        <v>2.0</v>
      </c>
    </row>
    <row r="92" ht="15.75" customHeight="1">
      <c r="A92" s="235" t="s">
        <v>7804</v>
      </c>
      <c r="B92" s="234" t="s">
        <v>7805</v>
      </c>
      <c r="C92" s="234" t="s">
        <v>303</v>
      </c>
      <c r="D92" s="234" t="s">
        <v>7790</v>
      </c>
      <c r="E92" s="234" t="s">
        <v>7791</v>
      </c>
      <c r="F92" s="234" t="s">
        <v>306</v>
      </c>
      <c r="G92" s="234" t="s">
        <v>7751</v>
      </c>
      <c r="H92" s="234">
        <v>1.0</v>
      </c>
      <c r="I92" s="234">
        <v>0.0</v>
      </c>
      <c r="J92" s="234">
        <v>0.0</v>
      </c>
    </row>
    <row r="93" ht="15.75" customHeight="1">
      <c r="A93" s="235" t="s">
        <v>7806</v>
      </c>
      <c r="B93" s="234" t="s">
        <v>7807</v>
      </c>
      <c r="C93" s="234" t="s">
        <v>303</v>
      </c>
      <c r="D93" s="234" t="s">
        <v>7790</v>
      </c>
      <c r="E93" s="234" t="s">
        <v>7791</v>
      </c>
      <c r="F93" s="234" t="s">
        <v>306</v>
      </c>
      <c r="G93" s="234" t="s">
        <v>7808</v>
      </c>
      <c r="H93" s="234">
        <v>1.0</v>
      </c>
      <c r="I93" s="234">
        <v>0.0</v>
      </c>
      <c r="J93" s="234">
        <v>2.0</v>
      </c>
    </row>
    <row r="94">
      <c r="A94" s="235" t="s">
        <v>7809</v>
      </c>
      <c r="B94" s="234" t="s">
        <v>7810</v>
      </c>
      <c r="C94" s="234" t="s">
        <v>303</v>
      </c>
      <c r="D94" s="234" t="s">
        <v>7790</v>
      </c>
      <c r="E94" s="234" t="s">
        <v>7791</v>
      </c>
      <c r="F94" s="234" t="s">
        <v>306</v>
      </c>
      <c r="G94" s="234"/>
      <c r="H94" s="234">
        <v>1.0</v>
      </c>
      <c r="I94" s="234">
        <v>0.0</v>
      </c>
      <c r="J94" s="234">
        <v>1.0</v>
      </c>
    </row>
    <row r="95">
      <c r="A95" s="235" t="s">
        <v>7811</v>
      </c>
      <c r="B95" s="234" t="s">
        <v>7812</v>
      </c>
      <c r="C95" s="234" t="s">
        <v>303</v>
      </c>
      <c r="D95" s="234" t="s">
        <v>7790</v>
      </c>
      <c r="E95" s="234" t="s">
        <v>7791</v>
      </c>
      <c r="F95" s="234" t="s">
        <v>306</v>
      </c>
      <c r="G95" s="234" t="s">
        <v>3216</v>
      </c>
      <c r="H95" s="234">
        <v>1.0</v>
      </c>
      <c r="I95" s="234">
        <v>0.0</v>
      </c>
      <c r="J95" s="234">
        <v>2.0</v>
      </c>
    </row>
    <row r="96">
      <c r="A96" s="235" t="s">
        <v>7813</v>
      </c>
      <c r="B96" s="234" t="s">
        <v>7814</v>
      </c>
      <c r="C96" s="234" t="s">
        <v>303</v>
      </c>
      <c r="D96" s="234" t="s">
        <v>7790</v>
      </c>
      <c r="E96" s="234" t="s">
        <v>7791</v>
      </c>
      <c r="F96" s="234" t="s">
        <v>306</v>
      </c>
      <c r="G96" s="234" t="s">
        <v>7815</v>
      </c>
      <c r="H96" s="234">
        <v>1.0</v>
      </c>
      <c r="I96" s="234">
        <v>0.0</v>
      </c>
      <c r="J96" s="234">
        <v>2.0</v>
      </c>
    </row>
    <row r="97">
      <c r="A97" s="235" t="s">
        <v>7816</v>
      </c>
      <c r="B97" s="234" t="s">
        <v>7817</v>
      </c>
      <c r="C97" s="234" t="s">
        <v>303</v>
      </c>
      <c r="D97" s="234" t="s">
        <v>7790</v>
      </c>
      <c r="E97" s="234" t="s">
        <v>7791</v>
      </c>
      <c r="F97" s="234" t="s">
        <v>306</v>
      </c>
      <c r="G97" s="234" t="s">
        <v>7818</v>
      </c>
      <c r="H97" s="234">
        <v>1.0</v>
      </c>
      <c r="I97" s="234">
        <v>0.0</v>
      </c>
      <c r="J97" s="234">
        <v>3.0</v>
      </c>
    </row>
    <row r="98">
      <c r="A98" s="235" t="s">
        <v>5252</v>
      </c>
      <c r="B98" s="234" t="s">
        <v>5253</v>
      </c>
      <c r="C98" s="234" t="s">
        <v>303</v>
      </c>
      <c r="D98" s="234" t="s">
        <v>7790</v>
      </c>
      <c r="E98" s="234" t="s">
        <v>7791</v>
      </c>
      <c r="F98" s="234" t="s">
        <v>306</v>
      </c>
      <c r="G98" s="234"/>
      <c r="H98" s="234">
        <v>1.0</v>
      </c>
      <c r="I98" s="234">
        <v>0.0</v>
      </c>
      <c r="J98" s="234">
        <v>1.0</v>
      </c>
    </row>
    <row r="99" ht="15.75" customHeight="1">
      <c r="A99" s="235" t="s">
        <v>7819</v>
      </c>
      <c r="B99" s="234" t="s">
        <v>7820</v>
      </c>
      <c r="C99" s="234" t="s">
        <v>303</v>
      </c>
      <c r="D99" s="234" t="s">
        <v>7790</v>
      </c>
      <c r="E99" s="234" t="s">
        <v>7791</v>
      </c>
      <c r="F99" s="234" t="s">
        <v>306</v>
      </c>
      <c r="G99" s="234"/>
      <c r="H99" s="234">
        <v>1.0</v>
      </c>
      <c r="I99" s="234">
        <v>0.0</v>
      </c>
      <c r="J99" s="234">
        <v>0.0</v>
      </c>
    </row>
    <row r="100" ht="15.75" customHeight="1">
      <c r="A100" s="235" t="s">
        <v>5255</v>
      </c>
      <c r="B100" s="234" t="s">
        <v>5256</v>
      </c>
      <c r="C100" s="234" t="s">
        <v>303</v>
      </c>
      <c r="D100" s="234" t="s">
        <v>7790</v>
      </c>
      <c r="E100" s="234" t="s">
        <v>7791</v>
      </c>
      <c r="F100" s="234" t="s">
        <v>306</v>
      </c>
      <c r="G100" s="234" t="s">
        <v>5257</v>
      </c>
      <c r="H100" s="234">
        <v>1.0</v>
      </c>
      <c r="I100" s="234">
        <v>0.0</v>
      </c>
      <c r="J100" s="234">
        <v>1.0</v>
      </c>
    </row>
    <row r="101" ht="15.75" customHeight="1">
      <c r="A101" s="235" t="s">
        <v>5258</v>
      </c>
      <c r="B101" s="234" t="s">
        <v>5260</v>
      </c>
      <c r="C101" s="234" t="s">
        <v>303</v>
      </c>
      <c r="D101" s="234" t="s">
        <v>7790</v>
      </c>
      <c r="E101" s="234" t="s">
        <v>7791</v>
      </c>
      <c r="F101" s="234" t="s">
        <v>306</v>
      </c>
      <c r="G101" s="234" t="s">
        <v>5261</v>
      </c>
      <c r="H101" s="234">
        <v>1.0</v>
      </c>
      <c r="I101" s="234">
        <v>0.0</v>
      </c>
      <c r="J101" s="234">
        <v>1.0</v>
      </c>
    </row>
    <row r="102" ht="15.75" customHeight="1">
      <c r="A102" s="235" t="s">
        <v>5264</v>
      </c>
      <c r="B102" s="234" t="s">
        <v>5265</v>
      </c>
      <c r="C102" s="234" t="s">
        <v>303</v>
      </c>
      <c r="D102" s="234" t="s">
        <v>7790</v>
      </c>
      <c r="E102" s="234" t="s">
        <v>7791</v>
      </c>
      <c r="F102" s="234" t="s">
        <v>306</v>
      </c>
      <c r="G102" s="234" t="s">
        <v>569</v>
      </c>
      <c r="H102" s="234">
        <v>1.0</v>
      </c>
      <c r="I102" s="234">
        <v>0.0</v>
      </c>
      <c r="J102" s="234">
        <v>2.0</v>
      </c>
    </row>
    <row r="103">
      <c r="A103" s="235" t="s">
        <v>5267</v>
      </c>
      <c r="B103" s="234" t="s">
        <v>5268</v>
      </c>
      <c r="C103" s="234" t="s">
        <v>303</v>
      </c>
      <c r="D103" s="234" t="s">
        <v>7790</v>
      </c>
      <c r="E103" s="234" t="s">
        <v>7791</v>
      </c>
      <c r="F103" s="234" t="s">
        <v>306</v>
      </c>
      <c r="G103" s="234" t="s">
        <v>4292</v>
      </c>
      <c r="H103" s="234">
        <v>1.0</v>
      </c>
      <c r="I103" s="234">
        <v>0.0</v>
      </c>
      <c r="J103" s="234">
        <v>2.0</v>
      </c>
    </row>
    <row r="104">
      <c r="A104" s="235" t="s">
        <v>5269</v>
      </c>
      <c r="B104" s="234" t="s">
        <v>5270</v>
      </c>
      <c r="C104" s="234" t="s">
        <v>303</v>
      </c>
      <c r="D104" s="234" t="s">
        <v>7790</v>
      </c>
      <c r="E104" s="234" t="s">
        <v>7791</v>
      </c>
      <c r="F104" s="234" t="s">
        <v>306</v>
      </c>
      <c r="G104" s="234" t="s">
        <v>5271</v>
      </c>
      <c r="H104" s="234">
        <v>1.0</v>
      </c>
      <c r="I104" s="234">
        <v>0.0</v>
      </c>
      <c r="J104" s="234">
        <v>1.0</v>
      </c>
    </row>
    <row r="105" ht="15.75" customHeight="1">
      <c r="A105" s="235" t="s">
        <v>5645</v>
      </c>
      <c r="B105" s="234" t="s">
        <v>5646</v>
      </c>
      <c r="C105" s="234" t="s">
        <v>576</v>
      </c>
      <c r="D105" s="234" t="s">
        <v>7790</v>
      </c>
      <c r="E105" s="234" t="s">
        <v>7791</v>
      </c>
      <c r="F105" s="234" t="s">
        <v>306</v>
      </c>
      <c r="G105" s="234" t="s">
        <v>5647</v>
      </c>
      <c r="H105" s="234">
        <v>34.0</v>
      </c>
      <c r="I105" s="234">
        <v>0.04</v>
      </c>
      <c r="J105" s="234">
        <v>2.21</v>
      </c>
    </row>
    <row r="106">
      <c r="A106" s="235" t="s">
        <v>3761</v>
      </c>
      <c r="B106" s="234" t="s">
        <v>3762</v>
      </c>
      <c r="C106" s="234" t="s">
        <v>576</v>
      </c>
      <c r="D106" s="234" t="s">
        <v>7790</v>
      </c>
      <c r="E106" s="234" t="s">
        <v>7791</v>
      </c>
      <c r="F106" s="234" t="s">
        <v>306</v>
      </c>
      <c r="G106" s="234" t="s">
        <v>1687</v>
      </c>
      <c r="H106" s="234">
        <v>15.0</v>
      </c>
      <c r="I106" s="234">
        <v>0.02</v>
      </c>
      <c r="J106" s="234">
        <v>1.33</v>
      </c>
    </row>
    <row r="107" ht="15.75" customHeight="1">
      <c r="A107" s="235" t="s">
        <v>7793</v>
      </c>
      <c r="B107" s="234" t="s">
        <v>7794</v>
      </c>
      <c r="C107" s="234" t="s">
        <v>576</v>
      </c>
      <c r="D107" s="234" t="s">
        <v>7790</v>
      </c>
      <c r="E107" s="234" t="s">
        <v>7791</v>
      </c>
      <c r="F107" s="234" t="s">
        <v>306</v>
      </c>
      <c r="G107" s="234" t="s">
        <v>7821</v>
      </c>
      <c r="H107" s="234">
        <v>9.0</v>
      </c>
      <c r="I107" s="234">
        <v>0.01</v>
      </c>
      <c r="J107" s="234">
        <v>1.78</v>
      </c>
    </row>
    <row r="108" ht="15.75" customHeight="1">
      <c r="A108" s="235" t="s">
        <v>2960</v>
      </c>
      <c r="B108" s="234" t="s">
        <v>2961</v>
      </c>
      <c r="C108" s="234" t="s">
        <v>576</v>
      </c>
      <c r="D108" s="234" t="s">
        <v>7790</v>
      </c>
      <c r="E108" s="234" t="s">
        <v>7791</v>
      </c>
      <c r="F108" s="234" t="s">
        <v>306</v>
      </c>
      <c r="G108" s="234" t="s">
        <v>6124</v>
      </c>
      <c r="H108" s="234">
        <v>5.0</v>
      </c>
      <c r="I108" s="234">
        <v>0.01</v>
      </c>
      <c r="J108" s="234">
        <v>1.0</v>
      </c>
    </row>
    <row r="109">
      <c r="A109" s="235" t="s">
        <v>7822</v>
      </c>
      <c r="B109" s="234" t="s">
        <v>7823</v>
      </c>
      <c r="C109" s="234" t="s">
        <v>576</v>
      </c>
      <c r="D109" s="234" t="s">
        <v>7790</v>
      </c>
      <c r="E109" s="234" t="s">
        <v>7791</v>
      </c>
      <c r="F109" s="234" t="s">
        <v>306</v>
      </c>
      <c r="G109" s="234" t="s">
        <v>7824</v>
      </c>
      <c r="H109" s="234">
        <v>4.0</v>
      </c>
      <c r="I109" s="234">
        <v>0.0</v>
      </c>
      <c r="J109" s="234">
        <v>0.75</v>
      </c>
    </row>
    <row r="110">
      <c r="A110" s="235" t="s">
        <v>7825</v>
      </c>
      <c r="B110" s="234" t="s">
        <v>7826</v>
      </c>
      <c r="C110" s="234" t="s">
        <v>576</v>
      </c>
      <c r="D110" s="234" t="s">
        <v>7790</v>
      </c>
      <c r="E110" s="234" t="s">
        <v>7791</v>
      </c>
      <c r="F110" s="234" t="s">
        <v>306</v>
      </c>
      <c r="G110" s="234" t="s">
        <v>3411</v>
      </c>
      <c r="H110" s="234">
        <v>3.0</v>
      </c>
      <c r="I110" s="234">
        <v>0.0</v>
      </c>
      <c r="J110" s="234">
        <v>1.67</v>
      </c>
    </row>
    <row r="111">
      <c r="A111" s="235" t="s">
        <v>7827</v>
      </c>
      <c r="B111" s="234" t="s">
        <v>7828</v>
      </c>
      <c r="C111" s="234" t="s">
        <v>576</v>
      </c>
      <c r="D111" s="234" t="s">
        <v>7790</v>
      </c>
      <c r="E111" s="234" t="s">
        <v>7791</v>
      </c>
      <c r="F111" s="234" t="s">
        <v>306</v>
      </c>
      <c r="G111" s="234" t="s">
        <v>3162</v>
      </c>
      <c r="H111" s="234">
        <v>2.0</v>
      </c>
      <c r="I111" s="234">
        <v>0.0</v>
      </c>
      <c r="J111" s="234">
        <v>2.0</v>
      </c>
    </row>
    <row r="112">
      <c r="A112" s="235" t="s">
        <v>6403</v>
      </c>
      <c r="B112" s="234" t="s">
        <v>6404</v>
      </c>
      <c r="C112" s="234" t="s">
        <v>576</v>
      </c>
      <c r="D112" s="234" t="s">
        <v>7790</v>
      </c>
      <c r="E112" s="234" t="s">
        <v>7791</v>
      </c>
      <c r="F112" s="234" t="s">
        <v>306</v>
      </c>
      <c r="G112" s="234" t="s">
        <v>1029</v>
      </c>
      <c r="H112" s="234">
        <v>2.0</v>
      </c>
      <c r="I112" s="234">
        <v>0.0</v>
      </c>
      <c r="J112" s="234">
        <v>2.0</v>
      </c>
    </row>
    <row r="113" ht="15.75" customHeight="1">
      <c r="A113" s="235" t="s">
        <v>6722</v>
      </c>
      <c r="B113" s="234" t="s">
        <v>6723</v>
      </c>
      <c r="C113" s="234" t="s">
        <v>576</v>
      </c>
      <c r="D113" s="234" t="s">
        <v>7790</v>
      </c>
      <c r="E113" s="234" t="s">
        <v>7791</v>
      </c>
      <c r="F113" s="234" t="s">
        <v>306</v>
      </c>
      <c r="G113" s="234" t="s">
        <v>6724</v>
      </c>
      <c r="H113" s="234">
        <v>1.0</v>
      </c>
      <c r="I113" s="234">
        <v>0.0</v>
      </c>
      <c r="J113" s="234">
        <v>0.0</v>
      </c>
    </row>
    <row r="114">
      <c r="A114" s="235" t="s">
        <v>6725</v>
      </c>
      <c r="B114" s="234" t="s">
        <v>6726</v>
      </c>
      <c r="C114" s="234" t="s">
        <v>576</v>
      </c>
      <c r="D114" s="234" t="s">
        <v>7790</v>
      </c>
      <c r="E114" s="234" t="s">
        <v>7791</v>
      </c>
      <c r="F114" s="234" t="s">
        <v>306</v>
      </c>
      <c r="G114" s="234" t="s">
        <v>1029</v>
      </c>
      <c r="H114" s="234">
        <v>1.0</v>
      </c>
      <c r="I114" s="234">
        <v>0.0</v>
      </c>
      <c r="J114" s="234">
        <v>0.0</v>
      </c>
    </row>
    <row r="115" ht="15.75" customHeight="1">
      <c r="A115" s="235" t="s">
        <v>6727</v>
      </c>
      <c r="B115" s="234" t="s">
        <v>6728</v>
      </c>
      <c r="C115" s="234" t="s">
        <v>576</v>
      </c>
      <c r="D115" s="234" t="s">
        <v>7790</v>
      </c>
      <c r="E115" s="234" t="s">
        <v>7791</v>
      </c>
      <c r="F115" s="234" t="s">
        <v>306</v>
      </c>
      <c r="G115" s="234" t="s">
        <v>6729</v>
      </c>
      <c r="H115" s="234">
        <v>1.0</v>
      </c>
      <c r="I115" s="234">
        <v>0.0</v>
      </c>
      <c r="J115" s="234">
        <v>2.0</v>
      </c>
    </row>
    <row r="116" ht="15.75" customHeight="1">
      <c r="A116" s="235" t="s">
        <v>6730</v>
      </c>
      <c r="B116" s="234" t="s">
        <v>6731</v>
      </c>
      <c r="C116" s="234" t="s">
        <v>576</v>
      </c>
      <c r="D116" s="234" t="s">
        <v>7790</v>
      </c>
      <c r="E116" s="234" t="s">
        <v>7791</v>
      </c>
      <c r="F116" s="234" t="s">
        <v>306</v>
      </c>
      <c r="G116" s="234" t="s">
        <v>6732</v>
      </c>
      <c r="H116" s="234">
        <v>1.0</v>
      </c>
      <c r="I116" s="234">
        <v>0.0</v>
      </c>
      <c r="J116" s="234">
        <v>1.0</v>
      </c>
    </row>
    <row r="117" ht="15.75" customHeight="1">
      <c r="A117" s="235" t="s">
        <v>6733</v>
      </c>
      <c r="B117" s="234" t="s">
        <v>6734</v>
      </c>
      <c r="C117" s="234" t="s">
        <v>576</v>
      </c>
      <c r="D117" s="234" t="s">
        <v>7790</v>
      </c>
      <c r="E117" s="234" t="s">
        <v>7791</v>
      </c>
      <c r="F117" s="234" t="s">
        <v>306</v>
      </c>
      <c r="G117" s="234" t="s">
        <v>6735</v>
      </c>
      <c r="H117" s="234">
        <v>1.0</v>
      </c>
      <c r="I117" s="234">
        <v>0.0</v>
      </c>
      <c r="J117" s="234">
        <v>1.0</v>
      </c>
    </row>
    <row r="118" ht="15.75" customHeight="1">
      <c r="A118" s="235" t="s">
        <v>7829</v>
      </c>
      <c r="B118" s="234" t="s">
        <v>7830</v>
      </c>
      <c r="C118" s="234" t="s">
        <v>576</v>
      </c>
      <c r="D118" s="234" t="s">
        <v>7790</v>
      </c>
      <c r="E118" s="234" t="s">
        <v>7791</v>
      </c>
      <c r="F118" s="234" t="s">
        <v>306</v>
      </c>
      <c r="G118" s="234"/>
      <c r="H118" s="234">
        <v>1.0</v>
      </c>
      <c r="I118" s="234">
        <v>0.0</v>
      </c>
      <c r="J118" s="234">
        <v>1.0</v>
      </c>
    </row>
    <row r="119" ht="15.75" customHeight="1">
      <c r="A119" s="235" t="s">
        <v>7831</v>
      </c>
      <c r="B119" s="234" t="s">
        <v>7832</v>
      </c>
      <c r="C119" s="234" t="s">
        <v>576</v>
      </c>
      <c r="D119" s="234" t="s">
        <v>7790</v>
      </c>
      <c r="E119" s="234" t="s">
        <v>7791</v>
      </c>
      <c r="F119" s="234" t="s">
        <v>306</v>
      </c>
      <c r="G119" s="234"/>
      <c r="H119" s="234">
        <v>1.0</v>
      </c>
      <c r="I119" s="234">
        <v>0.0</v>
      </c>
      <c r="J119" s="234">
        <v>2.0</v>
      </c>
    </row>
    <row r="120" ht="15.75" customHeight="1">
      <c r="A120" s="235" t="s">
        <v>7833</v>
      </c>
      <c r="B120" s="234" t="s">
        <v>7800</v>
      </c>
      <c r="C120" s="234" t="s">
        <v>576</v>
      </c>
      <c r="D120" s="234" t="s">
        <v>7790</v>
      </c>
      <c r="E120" s="234" t="s">
        <v>7791</v>
      </c>
      <c r="F120" s="234" t="s">
        <v>306</v>
      </c>
      <c r="G120" s="234" t="s">
        <v>7834</v>
      </c>
      <c r="H120" s="234">
        <v>1.0</v>
      </c>
      <c r="I120" s="234">
        <v>0.0</v>
      </c>
      <c r="J120" s="234">
        <v>2.0</v>
      </c>
    </row>
    <row r="121" ht="15.75" customHeight="1">
      <c r="A121" s="235" t="s">
        <v>7788</v>
      </c>
      <c r="B121" s="234" t="s">
        <v>7789</v>
      </c>
      <c r="C121" s="234" t="s">
        <v>576</v>
      </c>
      <c r="D121" s="234" t="s">
        <v>7790</v>
      </c>
      <c r="E121" s="234" t="s">
        <v>7791</v>
      </c>
      <c r="F121" s="234" t="s">
        <v>306</v>
      </c>
      <c r="G121" s="234" t="s">
        <v>2096</v>
      </c>
      <c r="H121" s="234">
        <v>1.0</v>
      </c>
      <c r="I121" s="234">
        <v>0.0</v>
      </c>
      <c r="J121" s="234">
        <v>1.0</v>
      </c>
    </row>
    <row r="122" ht="15.75" customHeight="1">
      <c r="A122" s="235" t="s">
        <v>7835</v>
      </c>
      <c r="B122" s="234" t="s">
        <v>7836</v>
      </c>
      <c r="C122" s="234" t="s">
        <v>576</v>
      </c>
      <c r="D122" s="234" t="s">
        <v>7790</v>
      </c>
      <c r="E122" s="234" t="s">
        <v>7791</v>
      </c>
      <c r="F122" s="234" t="s">
        <v>306</v>
      </c>
      <c r="G122" s="234" t="s">
        <v>7837</v>
      </c>
      <c r="H122" s="234">
        <v>1.0</v>
      </c>
      <c r="I122" s="234">
        <v>0.0</v>
      </c>
      <c r="J122" s="234">
        <v>2.0</v>
      </c>
    </row>
    <row r="123" ht="15.75" customHeight="1">
      <c r="A123" s="235" t="s">
        <v>7110</v>
      </c>
      <c r="B123" s="234" t="s">
        <v>7111</v>
      </c>
      <c r="C123" s="234" t="s">
        <v>311</v>
      </c>
      <c r="D123" s="234" t="s">
        <v>7790</v>
      </c>
      <c r="E123" s="234" t="s">
        <v>7791</v>
      </c>
      <c r="F123" s="234" t="s">
        <v>306</v>
      </c>
      <c r="G123" s="234" t="s">
        <v>7112</v>
      </c>
      <c r="H123" s="234">
        <v>14.0</v>
      </c>
      <c r="I123" s="234">
        <v>0.01</v>
      </c>
      <c r="J123" s="234">
        <v>1.21</v>
      </c>
    </row>
    <row r="124" ht="15.75" customHeight="1">
      <c r="A124" s="235" t="s">
        <v>3761</v>
      </c>
      <c r="B124" s="234" t="s">
        <v>3762</v>
      </c>
      <c r="C124" s="234" t="s">
        <v>311</v>
      </c>
      <c r="D124" s="234" t="s">
        <v>7790</v>
      </c>
      <c r="E124" s="234" t="s">
        <v>7791</v>
      </c>
      <c r="F124" s="234" t="s">
        <v>306</v>
      </c>
      <c r="G124" s="234" t="s">
        <v>7307</v>
      </c>
      <c r="H124" s="234">
        <v>8.0</v>
      </c>
      <c r="I124" s="234">
        <v>0.01</v>
      </c>
      <c r="J124" s="234">
        <v>2.0</v>
      </c>
    </row>
    <row r="125" ht="15.75" customHeight="1">
      <c r="A125" s="235" t="s">
        <v>7308</v>
      </c>
      <c r="B125" s="234" t="s">
        <v>7309</v>
      </c>
      <c r="C125" s="234" t="s">
        <v>311</v>
      </c>
      <c r="D125" s="234" t="s">
        <v>7790</v>
      </c>
      <c r="E125" s="234" t="s">
        <v>7791</v>
      </c>
      <c r="F125" s="234" t="s">
        <v>306</v>
      </c>
      <c r="G125" s="234" t="s">
        <v>7310</v>
      </c>
      <c r="H125" s="234">
        <v>8.0</v>
      </c>
      <c r="I125" s="234">
        <v>0.01</v>
      </c>
      <c r="J125" s="234">
        <v>1.88</v>
      </c>
    </row>
    <row r="126" ht="15.75" customHeight="1">
      <c r="A126" s="235" t="s">
        <v>7788</v>
      </c>
      <c r="B126" s="234" t="s">
        <v>7789</v>
      </c>
      <c r="C126" s="234" t="s">
        <v>311</v>
      </c>
      <c r="D126" s="234" t="s">
        <v>7790</v>
      </c>
      <c r="E126" s="234" t="s">
        <v>7791</v>
      </c>
      <c r="F126" s="234" t="s">
        <v>306</v>
      </c>
      <c r="G126" s="234" t="s">
        <v>7839</v>
      </c>
      <c r="H126" s="234">
        <v>7.0</v>
      </c>
      <c r="I126" s="234">
        <v>0.01</v>
      </c>
      <c r="J126" s="234">
        <v>2.29</v>
      </c>
    </row>
    <row r="127" ht="15.75" customHeight="1">
      <c r="A127" s="235" t="s">
        <v>7344</v>
      </c>
      <c r="B127" s="234" t="s">
        <v>7345</v>
      </c>
      <c r="C127" s="234" t="s">
        <v>311</v>
      </c>
      <c r="D127" s="234" t="s">
        <v>7790</v>
      </c>
      <c r="E127" s="234" t="s">
        <v>7791</v>
      </c>
      <c r="F127" s="234" t="s">
        <v>306</v>
      </c>
      <c r="G127" s="234"/>
      <c r="H127" s="234">
        <v>7.0</v>
      </c>
      <c r="I127" s="234">
        <v>0.01</v>
      </c>
      <c r="J127" s="234">
        <v>2.14</v>
      </c>
    </row>
    <row r="128" ht="15.75" customHeight="1">
      <c r="A128" s="235" t="s">
        <v>7373</v>
      </c>
      <c r="B128" s="234" t="s">
        <v>7374</v>
      </c>
      <c r="C128" s="234" t="s">
        <v>311</v>
      </c>
      <c r="D128" s="234" t="s">
        <v>7790</v>
      </c>
      <c r="E128" s="234" t="s">
        <v>7791</v>
      </c>
      <c r="F128" s="234" t="s">
        <v>306</v>
      </c>
      <c r="G128" s="234" t="s">
        <v>7375</v>
      </c>
      <c r="H128" s="234">
        <v>6.0</v>
      </c>
      <c r="I128" s="234">
        <v>0.01</v>
      </c>
      <c r="J128" s="234">
        <v>1.0</v>
      </c>
    </row>
    <row r="129" ht="15.75" customHeight="1">
      <c r="A129" s="235" t="s">
        <v>7833</v>
      </c>
      <c r="B129" s="234" t="s">
        <v>7800</v>
      </c>
      <c r="C129" s="234" t="s">
        <v>311</v>
      </c>
      <c r="D129" s="234" t="s">
        <v>7790</v>
      </c>
      <c r="E129" s="234" t="s">
        <v>7791</v>
      </c>
      <c r="F129" s="234" t="s">
        <v>306</v>
      </c>
      <c r="G129" s="234" t="s">
        <v>7844</v>
      </c>
      <c r="H129" s="234">
        <v>4.0</v>
      </c>
      <c r="I129" s="234">
        <v>0.0</v>
      </c>
      <c r="J129" s="234">
        <v>1.75</v>
      </c>
    </row>
    <row r="130" ht="15.75" customHeight="1">
      <c r="A130" s="235" t="s">
        <v>7477</v>
      </c>
      <c r="B130" s="234" t="s">
        <v>7478</v>
      </c>
      <c r="C130" s="234" t="s">
        <v>311</v>
      </c>
      <c r="D130" s="234" t="s">
        <v>7790</v>
      </c>
      <c r="E130" s="234" t="s">
        <v>7791</v>
      </c>
      <c r="F130" s="234" t="s">
        <v>306</v>
      </c>
      <c r="G130" s="234" t="s">
        <v>7479</v>
      </c>
      <c r="H130" s="234">
        <v>4.0</v>
      </c>
      <c r="I130" s="234">
        <v>0.0</v>
      </c>
      <c r="J130" s="234">
        <v>1.5</v>
      </c>
    </row>
    <row r="131" ht="15.75" customHeight="1">
      <c r="A131" s="235" t="s">
        <v>7793</v>
      </c>
      <c r="B131" s="234" t="s">
        <v>7794</v>
      </c>
      <c r="C131" s="234" t="s">
        <v>311</v>
      </c>
      <c r="D131" s="234" t="s">
        <v>7790</v>
      </c>
      <c r="E131" s="234" t="s">
        <v>7791</v>
      </c>
      <c r="F131" s="234" t="s">
        <v>306</v>
      </c>
      <c r="G131" s="234" t="s">
        <v>7850</v>
      </c>
      <c r="H131" s="234">
        <v>4.0</v>
      </c>
      <c r="I131" s="234">
        <v>0.0</v>
      </c>
      <c r="J131" s="234">
        <v>1.75</v>
      </c>
    </row>
    <row r="132" ht="15.75" customHeight="1">
      <c r="A132" s="234" t="s">
        <v>7840</v>
      </c>
      <c r="B132" s="234" t="s">
        <v>3296</v>
      </c>
      <c r="C132" s="234" t="s">
        <v>311</v>
      </c>
      <c r="D132" s="234" t="s">
        <v>7790</v>
      </c>
      <c r="E132" s="234" t="s">
        <v>7791</v>
      </c>
      <c r="F132" s="234" t="s">
        <v>306</v>
      </c>
      <c r="G132" s="234" t="s">
        <v>7841</v>
      </c>
      <c r="H132" s="234">
        <v>2.0</v>
      </c>
      <c r="I132" s="234">
        <v>0.0</v>
      </c>
      <c r="J132" s="234">
        <v>1.0</v>
      </c>
    </row>
    <row r="133" ht="15.75" customHeight="1">
      <c r="A133" s="235" t="s">
        <v>7855</v>
      </c>
      <c r="B133" s="234" t="s">
        <v>7857</v>
      </c>
      <c r="C133" s="234" t="s">
        <v>311</v>
      </c>
      <c r="D133" s="234" t="s">
        <v>7790</v>
      </c>
      <c r="E133" s="234" t="s">
        <v>7791</v>
      </c>
      <c r="F133" s="234" t="s">
        <v>306</v>
      </c>
      <c r="G133" s="234" t="s">
        <v>7859</v>
      </c>
      <c r="H133" s="234">
        <v>1.0</v>
      </c>
      <c r="I133" s="234">
        <v>0.0</v>
      </c>
      <c r="J133" s="234">
        <v>2.0</v>
      </c>
    </row>
    <row r="134" ht="15.75" customHeight="1">
      <c r="A134" s="235" t="s">
        <v>7811</v>
      </c>
      <c r="B134" s="234" t="s">
        <v>7812</v>
      </c>
      <c r="C134" s="234" t="s">
        <v>311</v>
      </c>
      <c r="D134" s="234" t="s">
        <v>7790</v>
      </c>
      <c r="E134" s="234" t="s">
        <v>7791</v>
      </c>
      <c r="F134" s="234" t="s">
        <v>306</v>
      </c>
      <c r="G134" s="234" t="s">
        <v>7862</v>
      </c>
      <c r="H134" s="234">
        <v>1.0</v>
      </c>
      <c r="I134" s="234">
        <v>0.0</v>
      </c>
      <c r="J134" s="234">
        <v>2.0</v>
      </c>
    </row>
    <row r="135" ht="15.75" customHeight="1">
      <c r="A135" s="235" t="s">
        <v>7863</v>
      </c>
      <c r="B135" s="234" t="s">
        <v>7867</v>
      </c>
      <c r="C135" s="234" t="s">
        <v>311</v>
      </c>
      <c r="D135" s="234" t="s">
        <v>7790</v>
      </c>
      <c r="E135" s="234" t="s">
        <v>7791</v>
      </c>
      <c r="F135" s="234" t="s">
        <v>306</v>
      </c>
      <c r="G135" s="234" t="s">
        <v>7870</v>
      </c>
      <c r="H135" s="234">
        <v>1.0</v>
      </c>
      <c r="I135" s="234">
        <v>0.0</v>
      </c>
      <c r="J135" s="234">
        <v>3.0</v>
      </c>
    </row>
    <row r="136" ht="15.75" customHeight="1">
      <c r="A136" s="235" t="s">
        <v>6403</v>
      </c>
      <c r="B136" s="234" t="s">
        <v>6404</v>
      </c>
      <c r="C136" s="234" t="s">
        <v>311</v>
      </c>
      <c r="D136" s="234" t="s">
        <v>7790</v>
      </c>
      <c r="E136" s="234" t="s">
        <v>7791</v>
      </c>
      <c r="F136" s="234" t="s">
        <v>306</v>
      </c>
      <c r="G136" s="234" t="s">
        <v>1029</v>
      </c>
      <c r="H136" s="234">
        <v>1.0</v>
      </c>
      <c r="I136" s="234">
        <v>0.0</v>
      </c>
      <c r="J136" s="234">
        <v>2.0</v>
      </c>
    </row>
    <row r="137" ht="15.75" customHeight="1">
      <c r="A137" s="235" t="s">
        <v>7872</v>
      </c>
      <c r="B137" s="234" t="s">
        <v>7873</v>
      </c>
      <c r="C137" s="234" t="s">
        <v>311</v>
      </c>
      <c r="D137" s="234" t="s">
        <v>7790</v>
      </c>
      <c r="E137" s="234" t="s">
        <v>7791</v>
      </c>
      <c r="F137" s="234" t="s">
        <v>306</v>
      </c>
      <c r="G137" s="234" t="s">
        <v>7875</v>
      </c>
      <c r="H137" s="234">
        <v>1.0</v>
      </c>
      <c r="I137" s="234">
        <v>0.0</v>
      </c>
      <c r="J137" s="234">
        <v>0.0</v>
      </c>
    </row>
    <row r="138" ht="15.75" customHeight="1">
      <c r="A138" s="235" t="s">
        <v>7878</v>
      </c>
      <c r="B138" s="234" t="s">
        <v>7880</v>
      </c>
      <c r="C138" s="234" t="s">
        <v>311</v>
      </c>
      <c r="D138" s="234" t="s">
        <v>7790</v>
      </c>
      <c r="E138" s="234" t="s">
        <v>7791</v>
      </c>
      <c r="F138" s="234" t="s">
        <v>306</v>
      </c>
      <c r="G138" s="234"/>
      <c r="H138" s="234">
        <v>1.0</v>
      </c>
      <c r="I138" s="234">
        <v>0.0</v>
      </c>
      <c r="J138" s="234">
        <v>2.0</v>
      </c>
    </row>
    <row r="139" ht="15.75" customHeight="1">
      <c r="A139" s="235" t="s">
        <v>7884</v>
      </c>
      <c r="B139" s="234" t="s">
        <v>7887</v>
      </c>
      <c r="C139" s="234" t="s">
        <v>311</v>
      </c>
      <c r="D139" s="234" t="s">
        <v>7790</v>
      </c>
      <c r="E139" s="234" t="s">
        <v>7791</v>
      </c>
      <c r="F139" s="234" t="s">
        <v>306</v>
      </c>
      <c r="G139" s="234" t="s">
        <v>7875</v>
      </c>
      <c r="H139" s="234">
        <v>1.0</v>
      </c>
      <c r="I139" s="234">
        <v>0.0</v>
      </c>
      <c r="J139" s="234">
        <v>2.0</v>
      </c>
    </row>
    <row r="140" ht="15.75" customHeight="1">
      <c r="A140" s="235" t="s">
        <v>2960</v>
      </c>
      <c r="B140" s="234" t="s">
        <v>2961</v>
      </c>
      <c r="C140" s="234" t="s">
        <v>311</v>
      </c>
      <c r="D140" s="234" t="s">
        <v>7790</v>
      </c>
      <c r="E140" s="234" t="s">
        <v>7791</v>
      </c>
      <c r="F140" s="234" t="s">
        <v>306</v>
      </c>
      <c r="G140" s="234" t="s">
        <v>7891</v>
      </c>
      <c r="H140" s="234">
        <v>1.0</v>
      </c>
      <c r="I140" s="234">
        <v>0.0</v>
      </c>
      <c r="J140" s="234">
        <v>1.0</v>
      </c>
    </row>
    <row r="141" ht="15.75" customHeight="1">
      <c r="A141" s="235" t="s">
        <v>7893</v>
      </c>
      <c r="B141" s="234" t="s">
        <v>7896</v>
      </c>
      <c r="C141" s="234" t="s">
        <v>311</v>
      </c>
      <c r="D141" s="234" t="s">
        <v>7790</v>
      </c>
      <c r="E141" s="234" t="s">
        <v>7791</v>
      </c>
      <c r="F141" s="234" t="s">
        <v>306</v>
      </c>
      <c r="G141" s="234"/>
      <c r="H141" s="234">
        <v>1.0</v>
      </c>
      <c r="I141" s="234">
        <v>0.0</v>
      </c>
      <c r="J141" s="234">
        <v>1.0</v>
      </c>
    </row>
    <row r="142" ht="15.75" customHeight="1">
      <c r="A142" s="235" t="s">
        <v>4287</v>
      </c>
      <c r="B142" s="234" t="s">
        <v>4288</v>
      </c>
      <c r="C142" s="234" t="s">
        <v>311</v>
      </c>
      <c r="D142" s="234" t="s">
        <v>7790</v>
      </c>
      <c r="E142" s="234" t="s">
        <v>7791</v>
      </c>
      <c r="F142" s="234" t="s">
        <v>306</v>
      </c>
      <c r="G142" s="234" t="s">
        <v>877</v>
      </c>
      <c r="H142" s="234">
        <v>1.0</v>
      </c>
      <c r="I142" s="234">
        <v>0.0</v>
      </c>
      <c r="J142" s="234">
        <v>2.0</v>
      </c>
    </row>
    <row r="143" ht="15.75" customHeight="1">
      <c r="A143" s="235" t="s">
        <v>7902</v>
      </c>
      <c r="B143" s="236" t="s">
        <v>7904</v>
      </c>
      <c r="C143" s="236" t="s">
        <v>315</v>
      </c>
      <c r="D143" s="237" t="s">
        <v>7790</v>
      </c>
      <c r="E143" s="236" t="s">
        <v>7791</v>
      </c>
      <c r="F143" s="236" t="s">
        <v>306</v>
      </c>
      <c r="G143" s="236" t="s">
        <v>7908</v>
      </c>
      <c r="H143" s="236">
        <v>35.0</v>
      </c>
      <c r="I143" s="234">
        <v>0.04</v>
      </c>
      <c r="J143" s="234">
        <v>1.97</v>
      </c>
    </row>
    <row r="144" ht="15.75" customHeight="1">
      <c r="A144" s="235" t="s">
        <v>7909</v>
      </c>
      <c r="B144" s="236" t="s">
        <v>7913</v>
      </c>
      <c r="C144" s="236" t="s">
        <v>315</v>
      </c>
      <c r="D144" s="237" t="s">
        <v>7790</v>
      </c>
      <c r="E144" s="236" t="s">
        <v>7791</v>
      </c>
      <c r="F144" s="236" t="s">
        <v>306</v>
      </c>
      <c r="G144" s="236" t="s">
        <v>7915</v>
      </c>
      <c r="H144" s="236">
        <v>7.0</v>
      </c>
      <c r="I144" s="234">
        <v>0.01</v>
      </c>
      <c r="J144" s="234">
        <v>1.88</v>
      </c>
    </row>
    <row r="145" ht="15.75" customHeight="1">
      <c r="A145" s="235" t="s">
        <v>7916</v>
      </c>
      <c r="B145" s="236" t="s">
        <v>7919</v>
      </c>
      <c r="C145" s="236" t="s">
        <v>315</v>
      </c>
      <c r="D145" s="237" t="s">
        <v>7790</v>
      </c>
      <c r="E145" s="236" t="s">
        <v>7791</v>
      </c>
      <c r="F145" s="236" t="s">
        <v>306</v>
      </c>
      <c r="G145" s="236" t="s">
        <v>1977</v>
      </c>
      <c r="H145" s="236">
        <v>4.0</v>
      </c>
      <c r="I145" s="234">
        <v>0.01</v>
      </c>
      <c r="J145" s="234">
        <v>3.0</v>
      </c>
    </row>
    <row r="146" ht="15.75" customHeight="1">
      <c r="A146" s="235" t="s">
        <v>3761</v>
      </c>
      <c r="B146" s="236" t="s">
        <v>3762</v>
      </c>
      <c r="C146" s="236" t="s">
        <v>315</v>
      </c>
      <c r="D146" s="237" t="s">
        <v>7790</v>
      </c>
      <c r="E146" s="236" t="s">
        <v>7791</v>
      </c>
      <c r="F146" s="236" t="s">
        <v>306</v>
      </c>
      <c r="G146" s="236" t="s">
        <v>7923</v>
      </c>
      <c r="H146" s="236">
        <v>4.0</v>
      </c>
      <c r="I146" s="234">
        <v>0.0</v>
      </c>
      <c r="J146" s="234">
        <v>1.5</v>
      </c>
    </row>
    <row r="147" ht="15.75" customHeight="1">
      <c r="A147" s="235" t="s">
        <v>7793</v>
      </c>
      <c r="B147" s="236" t="s">
        <v>7794</v>
      </c>
      <c r="C147" s="236" t="s">
        <v>315</v>
      </c>
      <c r="D147" s="237" t="s">
        <v>7790</v>
      </c>
      <c r="E147" s="236" t="s">
        <v>7791</v>
      </c>
      <c r="F147" s="236" t="s">
        <v>306</v>
      </c>
      <c r="G147" s="236" t="s">
        <v>3808</v>
      </c>
      <c r="H147" s="236">
        <v>3.0</v>
      </c>
      <c r="I147" s="234">
        <v>0.0</v>
      </c>
      <c r="J147" s="234">
        <v>2.0</v>
      </c>
    </row>
    <row r="148" ht="15.75" customHeight="1">
      <c r="A148" s="235" t="s">
        <v>7928</v>
      </c>
      <c r="B148" s="236" t="s">
        <v>7930</v>
      </c>
      <c r="C148" s="236" t="s">
        <v>315</v>
      </c>
      <c r="D148" s="237" t="s">
        <v>7790</v>
      </c>
      <c r="E148" s="236" t="s">
        <v>7791</v>
      </c>
      <c r="F148" s="236" t="s">
        <v>306</v>
      </c>
      <c r="G148" s="236" t="s">
        <v>298</v>
      </c>
      <c r="H148" s="236">
        <v>2.0</v>
      </c>
      <c r="I148" s="234">
        <v>0.0</v>
      </c>
      <c r="J148" s="234">
        <v>1.67</v>
      </c>
    </row>
    <row r="149" ht="15.75" customHeight="1">
      <c r="A149" s="235" t="s">
        <v>7933</v>
      </c>
      <c r="B149" s="236" t="s">
        <v>7936</v>
      </c>
      <c r="C149" s="236" t="s">
        <v>315</v>
      </c>
      <c r="D149" s="237" t="s">
        <v>7790</v>
      </c>
      <c r="E149" s="236" t="s">
        <v>7791</v>
      </c>
      <c r="F149" s="236" t="s">
        <v>306</v>
      </c>
      <c r="G149" s="236" t="s">
        <v>298</v>
      </c>
      <c r="H149" s="236">
        <v>2.0</v>
      </c>
      <c r="I149" s="234">
        <v>0.0</v>
      </c>
      <c r="J149" s="234">
        <v>1.67</v>
      </c>
    </row>
    <row r="150" ht="15.75" customHeight="1">
      <c r="A150" s="235" t="s">
        <v>6403</v>
      </c>
      <c r="B150" s="236" t="s">
        <v>6404</v>
      </c>
      <c r="C150" s="236" t="s">
        <v>315</v>
      </c>
      <c r="D150" s="237" t="s">
        <v>7790</v>
      </c>
      <c r="E150" s="236" t="s">
        <v>7791</v>
      </c>
      <c r="F150" s="236" t="s">
        <v>306</v>
      </c>
      <c r="G150" s="236" t="s">
        <v>1029</v>
      </c>
      <c r="H150" s="236">
        <v>2.0</v>
      </c>
      <c r="I150" s="234">
        <v>0.0</v>
      </c>
      <c r="J150" s="234">
        <v>2.5</v>
      </c>
    </row>
    <row r="151" ht="15.75" customHeight="1">
      <c r="A151" s="235" t="s">
        <v>7833</v>
      </c>
      <c r="B151" s="236" t="s">
        <v>7800</v>
      </c>
      <c r="C151" s="236" t="s">
        <v>315</v>
      </c>
      <c r="D151" s="237" t="s">
        <v>7790</v>
      </c>
      <c r="E151" s="236" t="s">
        <v>7791</v>
      </c>
      <c r="F151" s="236" t="s">
        <v>306</v>
      </c>
      <c r="G151" s="236" t="s">
        <v>380</v>
      </c>
      <c r="H151" s="236">
        <v>1.0</v>
      </c>
      <c r="I151" s="234">
        <v>0.0</v>
      </c>
      <c r="J151" s="234">
        <v>1.5</v>
      </c>
    </row>
    <row r="152" ht="15.75" customHeight="1">
      <c r="A152" s="235" t="s">
        <v>7941</v>
      </c>
      <c r="B152" s="236" t="s">
        <v>3296</v>
      </c>
      <c r="C152" s="236" t="s">
        <v>315</v>
      </c>
      <c r="D152" s="237" t="s">
        <v>7790</v>
      </c>
      <c r="E152" s="236" t="s">
        <v>7791</v>
      </c>
      <c r="F152" s="236" t="s">
        <v>306</v>
      </c>
      <c r="G152" s="236" t="s">
        <v>7942</v>
      </c>
      <c r="H152" s="236">
        <v>1.0</v>
      </c>
      <c r="I152" s="234">
        <v>0.0</v>
      </c>
      <c r="J152" s="234">
        <v>2.0</v>
      </c>
    </row>
    <row r="153" ht="15.75" customHeight="1">
      <c r="A153" s="235" t="s">
        <v>7943</v>
      </c>
      <c r="B153" s="236" t="s">
        <v>7946</v>
      </c>
      <c r="C153" s="236" t="s">
        <v>315</v>
      </c>
      <c r="D153" s="237" t="s">
        <v>7790</v>
      </c>
      <c r="E153" s="236" t="s">
        <v>7791</v>
      </c>
      <c r="F153" s="236" t="s">
        <v>616</v>
      </c>
      <c r="G153" s="236" t="s">
        <v>7950</v>
      </c>
      <c r="H153" s="236">
        <v>1.0</v>
      </c>
      <c r="I153" s="234">
        <v>0.0</v>
      </c>
      <c r="J153" s="234">
        <v>3.0</v>
      </c>
    </row>
    <row r="154" ht="15.75" customHeight="1">
      <c r="A154" s="235" t="s">
        <v>7951</v>
      </c>
      <c r="B154" s="236" t="s">
        <v>7953</v>
      </c>
      <c r="C154" s="236" t="s">
        <v>315</v>
      </c>
      <c r="D154" s="237" t="s">
        <v>7790</v>
      </c>
      <c r="E154" s="236" t="s">
        <v>7791</v>
      </c>
      <c r="F154" s="236" t="s">
        <v>306</v>
      </c>
      <c r="G154" s="236" t="s">
        <v>7955</v>
      </c>
      <c r="H154" s="236">
        <v>1.0</v>
      </c>
      <c r="I154" s="234">
        <v>0.0</v>
      </c>
      <c r="J154" s="234">
        <v>2.0</v>
      </c>
    </row>
    <row r="155" ht="15.75" customHeight="1">
      <c r="A155" s="235" t="s">
        <v>7958</v>
      </c>
      <c r="B155" s="234" t="s">
        <v>7960</v>
      </c>
      <c r="C155" s="234" t="s">
        <v>321</v>
      </c>
      <c r="D155" s="234" t="s">
        <v>7790</v>
      </c>
      <c r="E155" s="234" t="s">
        <v>7791</v>
      </c>
      <c r="F155" s="234" t="s">
        <v>306</v>
      </c>
      <c r="G155" s="234" t="s">
        <v>7962</v>
      </c>
      <c r="H155" s="234">
        <v>34.0</v>
      </c>
      <c r="I155" s="234">
        <v>0.04</v>
      </c>
      <c r="J155" s="234">
        <v>1.97</v>
      </c>
    </row>
    <row r="156" ht="15.75" customHeight="1">
      <c r="A156" s="235" t="s">
        <v>3761</v>
      </c>
      <c r="B156" s="234" t="s">
        <v>3762</v>
      </c>
      <c r="C156" s="234" t="s">
        <v>321</v>
      </c>
      <c r="D156" s="234" t="s">
        <v>7790</v>
      </c>
      <c r="E156" s="234" t="s">
        <v>7791</v>
      </c>
      <c r="F156" s="234" t="s">
        <v>306</v>
      </c>
      <c r="G156" s="234" t="s">
        <v>7923</v>
      </c>
      <c r="H156" s="234">
        <v>8.0</v>
      </c>
      <c r="I156" s="234">
        <v>0.01</v>
      </c>
      <c r="J156" s="234">
        <v>1.88</v>
      </c>
    </row>
    <row r="157" ht="15.75" customHeight="1">
      <c r="A157" s="235" t="s">
        <v>7963</v>
      </c>
      <c r="B157" s="234" t="s">
        <v>7967</v>
      </c>
      <c r="C157" s="234" t="s">
        <v>321</v>
      </c>
      <c r="D157" s="234" t="s">
        <v>7790</v>
      </c>
      <c r="E157" s="234" t="s">
        <v>7791</v>
      </c>
      <c r="F157" s="234" t="s">
        <v>306</v>
      </c>
      <c r="G157" s="234" t="s">
        <v>7969</v>
      </c>
      <c r="H157" s="234">
        <v>7.0</v>
      </c>
      <c r="I157" s="234">
        <v>0.01</v>
      </c>
      <c r="J157" s="234">
        <v>3.0</v>
      </c>
    </row>
    <row r="158" ht="15.75" customHeight="1">
      <c r="A158" s="235" t="s">
        <v>7793</v>
      </c>
      <c r="B158" s="234" t="s">
        <v>7794</v>
      </c>
      <c r="C158" s="234" t="s">
        <v>321</v>
      </c>
      <c r="D158" s="234" t="s">
        <v>7790</v>
      </c>
      <c r="E158" s="234" t="s">
        <v>7791</v>
      </c>
      <c r="F158" s="234" t="s">
        <v>306</v>
      </c>
      <c r="G158" s="234" t="s">
        <v>7795</v>
      </c>
      <c r="H158" s="234">
        <v>4.0</v>
      </c>
      <c r="I158" s="234">
        <v>0.0</v>
      </c>
      <c r="J158" s="234">
        <v>1.5</v>
      </c>
    </row>
    <row r="159" ht="15.75" customHeight="1">
      <c r="A159" s="235" t="s">
        <v>5252</v>
      </c>
      <c r="B159" s="234" t="s">
        <v>5253</v>
      </c>
      <c r="C159" s="234" t="s">
        <v>321</v>
      </c>
      <c r="D159" s="234" t="s">
        <v>7790</v>
      </c>
      <c r="E159" s="234" t="s">
        <v>7791</v>
      </c>
      <c r="F159" s="234" t="s">
        <v>306</v>
      </c>
      <c r="G159" s="234" t="s">
        <v>2250</v>
      </c>
      <c r="H159" s="234">
        <v>3.0</v>
      </c>
      <c r="I159" s="234">
        <v>0.0</v>
      </c>
      <c r="J159" s="234">
        <v>2.0</v>
      </c>
    </row>
    <row r="160" ht="15.75" customHeight="1">
      <c r="A160" s="235" t="s">
        <v>7825</v>
      </c>
      <c r="B160" s="234" t="s">
        <v>7826</v>
      </c>
      <c r="C160" s="234" t="s">
        <v>321</v>
      </c>
      <c r="D160" s="234" t="s">
        <v>7790</v>
      </c>
      <c r="E160" s="234" t="s">
        <v>7791</v>
      </c>
      <c r="F160" s="234" t="s">
        <v>306</v>
      </c>
      <c r="G160" s="234" t="s">
        <v>7979</v>
      </c>
      <c r="H160" s="234">
        <v>3.0</v>
      </c>
      <c r="I160" s="234">
        <v>0.0</v>
      </c>
      <c r="J160" s="234">
        <v>1.67</v>
      </c>
    </row>
    <row r="161" ht="15.75" customHeight="1">
      <c r="A161" s="235" t="s">
        <v>7980</v>
      </c>
      <c r="B161" s="234" t="s">
        <v>7983</v>
      </c>
      <c r="C161" s="234" t="s">
        <v>321</v>
      </c>
      <c r="D161" s="234" t="s">
        <v>7790</v>
      </c>
      <c r="E161" s="234" t="s">
        <v>7791</v>
      </c>
      <c r="F161" s="234" t="s">
        <v>306</v>
      </c>
      <c r="G161" s="234"/>
      <c r="H161" s="234">
        <v>3.0</v>
      </c>
      <c r="I161" s="234">
        <v>0.0</v>
      </c>
      <c r="J161" s="234">
        <v>1.67</v>
      </c>
    </row>
    <row r="162" ht="15.75" customHeight="1">
      <c r="A162" s="235" t="s">
        <v>7987</v>
      </c>
      <c r="B162" s="234"/>
      <c r="C162" s="234" t="s">
        <v>321</v>
      </c>
      <c r="D162" s="234" t="s">
        <v>7790</v>
      </c>
      <c r="E162" s="234" t="s">
        <v>7791</v>
      </c>
      <c r="F162" s="234" t="s">
        <v>306</v>
      </c>
      <c r="G162" s="234" t="s">
        <v>7751</v>
      </c>
      <c r="H162" s="234">
        <v>2.0</v>
      </c>
      <c r="I162" s="234">
        <v>0.0</v>
      </c>
      <c r="J162" s="234">
        <v>2.5</v>
      </c>
    </row>
    <row r="163" ht="15.75" customHeight="1">
      <c r="A163" s="235" t="s">
        <v>7477</v>
      </c>
      <c r="B163" s="234" t="s">
        <v>7478</v>
      </c>
      <c r="C163" s="234" t="s">
        <v>321</v>
      </c>
      <c r="D163" s="234" t="s">
        <v>7790</v>
      </c>
      <c r="E163" s="234" t="s">
        <v>7791</v>
      </c>
      <c r="F163" s="234" t="s">
        <v>306</v>
      </c>
      <c r="G163" s="234" t="s">
        <v>7479</v>
      </c>
      <c r="H163" s="234">
        <v>2.0</v>
      </c>
      <c r="I163" s="234">
        <v>0.0</v>
      </c>
      <c r="J163" s="234">
        <v>1.5</v>
      </c>
    </row>
    <row r="164" ht="15.75" customHeight="1">
      <c r="A164" s="235" t="s">
        <v>6403</v>
      </c>
      <c r="B164" s="234" t="s">
        <v>6404</v>
      </c>
      <c r="C164" s="234" t="s">
        <v>321</v>
      </c>
      <c r="D164" s="234" t="s">
        <v>7790</v>
      </c>
      <c r="E164" s="234" t="s">
        <v>7791</v>
      </c>
      <c r="F164" s="234" t="s">
        <v>306</v>
      </c>
      <c r="G164" s="234" t="s">
        <v>1029</v>
      </c>
      <c r="H164" s="234">
        <v>2.0</v>
      </c>
      <c r="I164" s="234">
        <v>0.0</v>
      </c>
      <c r="J164" s="234">
        <v>2.0</v>
      </c>
    </row>
    <row r="165" ht="15.75" customHeight="1">
      <c r="A165" s="235" t="s">
        <v>7831</v>
      </c>
      <c r="B165" s="234" t="s">
        <v>7832</v>
      </c>
      <c r="C165" s="234" t="s">
        <v>321</v>
      </c>
      <c r="D165" s="234" t="s">
        <v>7790</v>
      </c>
      <c r="E165" s="234" t="s">
        <v>7791</v>
      </c>
      <c r="F165" s="234" t="s">
        <v>306</v>
      </c>
      <c r="G165" s="234"/>
      <c r="H165" s="234">
        <v>1.0</v>
      </c>
      <c r="I165" s="234">
        <v>0.0</v>
      </c>
      <c r="J165" s="234">
        <v>3.0</v>
      </c>
    </row>
    <row r="166" ht="15.75" customHeight="1">
      <c r="A166" s="235" t="s">
        <v>7994</v>
      </c>
      <c r="B166" s="234" t="s">
        <v>7995</v>
      </c>
      <c r="C166" s="234" t="s">
        <v>321</v>
      </c>
      <c r="D166" s="234" t="s">
        <v>7790</v>
      </c>
      <c r="E166" s="234" t="s">
        <v>7791</v>
      </c>
      <c r="F166" s="234" t="s">
        <v>306</v>
      </c>
      <c r="G166" s="234" t="s">
        <v>7997</v>
      </c>
      <c r="H166" s="234">
        <v>1.0</v>
      </c>
      <c r="I166" s="234">
        <v>0.0</v>
      </c>
      <c r="J166" s="234">
        <v>2.0</v>
      </c>
    </row>
    <row r="167" ht="15.75" customHeight="1">
      <c r="A167" s="235" t="s">
        <v>7833</v>
      </c>
      <c r="B167" s="234" t="s">
        <v>7800</v>
      </c>
      <c r="C167" s="234" t="s">
        <v>321</v>
      </c>
      <c r="D167" s="234" t="s">
        <v>7790</v>
      </c>
      <c r="E167" s="234" t="s">
        <v>7791</v>
      </c>
      <c r="F167" s="234" t="s">
        <v>306</v>
      </c>
      <c r="G167" s="234" t="s">
        <v>380</v>
      </c>
      <c r="H167" s="234">
        <v>1.0</v>
      </c>
      <c r="I167" s="234">
        <v>0.0</v>
      </c>
      <c r="J167" s="234">
        <v>2.0</v>
      </c>
    </row>
    <row r="168" ht="15.75" customHeight="1">
      <c r="A168" s="235" t="s">
        <v>8001</v>
      </c>
      <c r="B168" s="234" t="s">
        <v>8005</v>
      </c>
      <c r="C168" s="234" t="s">
        <v>321</v>
      </c>
      <c r="D168" s="234" t="s">
        <v>7790</v>
      </c>
      <c r="E168" s="234" t="s">
        <v>7791</v>
      </c>
      <c r="F168" s="234" t="s">
        <v>306</v>
      </c>
      <c r="G168" s="234" t="s">
        <v>8007</v>
      </c>
      <c r="H168" s="234">
        <v>1.0</v>
      </c>
      <c r="I168" s="234">
        <v>0.0</v>
      </c>
      <c r="J168" s="234">
        <v>2.0</v>
      </c>
    </row>
    <row r="169" ht="15.75" customHeight="1">
      <c r="A169" s="235" t="s">
        <v>8008</v>
      </c>
      <c r="B169" s="234" t="s">
        <v>8009</v>
      </c>
      <c r="C169" s="234" t="s">
        <v>321</v>
      </c>
      <c r="D169" s="234" t="s">
        <v>7790</v>
      </c>
      <c r="E169" s="234" t="s">
        <v>7791</v>
      </c>
      <c r="F169" s="234" t="s">
        <v>306</v>
      </c>
      <c r="G169" s="234" t="s">
        <v>2242</v>
      </c>
      <c r="H169" s="234">
        <v>1.0</v>
      </c>
      <c r="I169" s="234">
        <v>0.0</v>
      </c>
      <c r="J169" s="234">
        <v>1.0</v>
      </c>
    </row>
    <row r="170" ht="15.75" customHeight="1">
      <c r="A170" s="235" t="s">
        <v>8011</v>
      </c>
      <c r="B170" s="234" t="s">
        <v>8014</v>
      </c>
      <c r="C170" s="234" t="s">
        <v>321</v>
      </c>
      <c r="D170" s="234" t="s">
        <v>7790</v>
      </c>
      <c r="E170" s="234" t="s">
        <v>7791</v>
      </c>
      <c r="F170" s="234" t="s">
        <v>306</v>
      </c>
      <c r="G170" s="234" t="s">
        <v>8017</v>
      </c>
      <c r="H170" s="234">
        <v>1.0</v>
      </c>
      <c r="I170" s="234">
        <v>0.0</v>
      </c>
      <c r="J170" s="234">
        <v>1.0</v>
      </c>
    </row>
    <row r="171" ht="15.75" customHeight="1">
      <c r="A171" s="235" t="s">
        <v>8018</v>
      </c>
      <c r="B171" s="234" t="s">
        <v>8022</v>
      </c>
      <c r="C171" s="234" t="s">
        <v>321</v>
      </c>
      <c r="D171" s="234" t="s">
        <v>7790</v>
      </c>
      <c r="E171" s="234" t="s">
        <v>7791</v>
      </c>
      <c r="F171" s="234" t="s">
        <v>306</v>
      </c>
      <c r="G171" s="234" t="s">
        <v>1029</v>
      </c>
      <c r="H171" s="234">
        <v>1.0</v>
      </c>
      <c r="I171" s="234">
        <v>0.0</v>
      </c>
      <c r="J171" s="234">
        <v>2.0</v>
      </c>
    </row>
    <row r="172" ht="15.75" customHeight="1">
      <c r="A172" s="235" t="s">
        <v>7941</v>
      </c>
      <c r="B172" s="234" t="s">
        <v>3296</v>
      </c>
      <c r="C172" s="234" t="s">
        <v>321</v>
      </c>
      <c r="D172" s="234" t="s">
        <v>7790</v>
      </c>
      <c r="E172" s="234" t="s">
        <v>7791</v>
      </c>
      <c r="F172" s="234" t="s">
        <v>306</v>
      </c>
      <c r="G172" s="234" t="s">
        <v>8025</v>
      </c>
      <c r="H172" s="234">
        <v>1.0</v>
      </c>
      <c r="I172" s="234">
        <v>0.0</v>
      </c>
      <c r="J172" s="234">
        <v>1.0</v>
      </c>
    </row>
    <row r="173" ht="15.75" customHeight="1">
      <c r="A173" s="235" t="s">
        <v>7796</v>
      </c>
      <c r="B173" s="234" t="s">
        <v>7797</v>
      </c>
      <c r="C173" s="234" t="s">
        <v>321</v>
      </c>
      <c r="D173" s="234" t="s">
        <v>7790</v>
      </c>
      <c r="E173" s="234" t="s">
        <v>7791</v>
      </c>
      <c r="F173" s="234" t="s">
        <v>306</v>
      </c>
      <c r="G173" s="234" t="s">
        <v>8026</v>
      </c>
      <c r="H173" s="234">
        <v>1.0</v>
      </c>
      <c r="I173" s="234">
        <v>0.0</v>
      </c>
      <c r="J173" s="234">
        <v>0.0</v>
      </c>
    </row>
    <row r="174" ht="15.75" customHeight="1">
      <c r="A174" s="235" t="s">
        <v>8028</v>
      </c>
      <c r="B174" s="234" t="s">
        <v>8031</v>
      </c>
      <c r="C174" s="234" t="s">
        <v>321</v>
      </c>
      <c r="D174" s="234" t="s">
        <v>7790</v>
      </c>
      <c r="E174" s="234" t="s">
        <v>7791</v>
      </c>
      <c r="F174" s="234" t="s">
        <v>306</v>
      </c>
      <c r="G174" s="234" t="s">
        <v>8032</v>
      </c>
      <c r="H174" s="234">
        <v>1.0</v>
      </c>
      <c r="I174" s="234">
        <v>0.0</v>
      </c>
      <c r="J174" s="234">
        <v>1.0</v>
      </c>
    </row>
    <row r="175">
      <c r="A175" s="234" t="s">
        <v>298</v>
      </c>
      <c r="B175" s="234" t="s">
        <v>298</v>
      </c>
      <c r="C175" s="234" t="s">
        <v>298</v>
      </c>
      <c r="D175" s="234" t="s">
        <v>298</v>
      </c>
      <c r="E175" s="234" t="s">
        <v>298</v>
      </c>
      <c r="F175" s="234" t="s">
        <v>298</v>
      </c>
      <c r="G175" s="234" t="s">
        <v>298</v>
      </c>
      <c r="H175" s="234" t="s">
        <v>298</v>
      </c>
      <c r="I175" s="234" t="s">
        <v>298</v>
      </c>
      <c r="J175" s="234" t="s">
        <v>298</v>
      </c>
    </row>
    <row r="176">
      <c r="A176" s="234" t="s">
        <v>8033</v>
      </c>
      <c r="B176" s="234" t="s">
        <v>298</v>
      </c>
      <c r="C176" s="234" t="s">
        <v>298</v>
      </c>
      <c r="D176" s="234" t="s">
        <v>298</v>
      </c>
      <c r="E176" s="234" t="s">
        <v>298</v>
      </c>
      <c r="F176" s="234" t="s">
        <v>298</v>
      </c>
      <c r="G176" s="234" t="s">
        <v>298</v>
      </c>
      <c r="H176" s="234" t="s">
        <v>298</v>
      </c>
      <c r="I176" s="234" t="s">
        <v>298</v>
      </c>
      <c r="J176" s="234" t="s">
        <v>298</v>
      </c>
    </row>
    <row r="177" ht="15.75" customHeight="1">
      <c r="A177" s="234" t="s">
        <v>7611</v>
      </c>
      <c r="B177" s="234" t="s">
        <v>298</v>
      </c>
      <c r="C177" s="234" t="s">
        <v>298</v>
      </c>
      <c r="D177" s="234" t="s">
        <v>298</v>
      </c>
      <c r="E177" s="234" t="s">
        <v>298</v>
      </c>
      <c r="F177" s="234" t="s">
        <v>298</v>
      </c>
      <c r="G177" s="234" t="s">
        <v>298</v>
      </c>
      <c r="H177" s="234" t="s">
        <v>298</v>
      </c>
      <c r="I177" s="234" t="s">
        <v>298</v>
      </c>
      <c r="J177" s="234" t="s">
        <v>298</v>
      </c>
    </row>
    <row r="178">
      <c r="A178" s="234" t="s">
        <v>144</v>
      </c>
      <c r="B178" s="234" t="s">
        <v>298</v>
      </c>
      <c r="C178" s="234" t="s">
        <v>298</v>
      </c>
      <c r="D178" s="234" t="s">
        <v>298</v>
      </c>
      <c r="E178" s="234" t="s">
        <v>298</v>
      </c>
      <c r="F178" s="234" t="s">
        <v>298</v>
      </c>
      <c r="G178" s="234" t="s">
        <v>298</v>
      </c>
      <c r="H178" s="234" t="s">
        <v>298</v>
      </c>
      <c r="I178" s="234" t="s">
        <v>298</v>
      </c>
      <c r="J178" s="234" t="s">
        <v>298</v>
      </c>
    </row>
    <row r="179" ht="15.75" customHeight="1">
      <c r="A179" s="234" t="s">
        <v>7612</v>
      </c>
      <c r="B179" s="234" t="s">
        <v>298</v>
      </c>
      <c r="C179" s="234" t="s">
        <v>298</v>
      </c>
      <c r="D179" s="234" t="s">
        <v>298</v>
      </c>
      <c r="E179" s="234" t="s">
        <v>298</v>
      </c>
      <c r="F179" s="234" t="s">
        <v>298</v>
      </c>
      <c r="G179" s="234" t="s">
        <v>298</v>
      </c>
      <c r="H179" s="234" t="s">
        <v>298</v>
      </c>
      <c r="I179" s="234" t="s">
        <v>298</v>
      </c>
      <c r="J179" s="234" t="s">
        <v>298</v>
      </c>
    </row>
    <row r="180" ht="15.75" customHeight="1">
      <c r="A180" s="235" t="s">
        <v>8040</v>
      </c>
      <c r="B180" s="234"/>
      <c r="C180" s="234" t="s">
        <v>303</v>
      </c>
      <c r="D180" s="234" t="s">
        <v>8041</v>
      </c>
      <c r="E180" s="234" t="s">
        <v>7656</v>
      </c>
      <c r="F180" s="234" t="s">
        <v>306</v>
      </c>
      <c r="G180" s="234" t="s">
        <v>7751</v>
      </c>
      <c r="H180" s="234">
        <v>4.0</v>
      </c>
      <c r="I180" s="234">
        <v>0.0</v>
      </c>
      <c r="J180" s="234">
        <v>1.25</v>
      </c>
    </row>
    <row r="181" ht="15.75" customHeight="1">
      <c r="A181" s="235" t="s">
        <v>8044</v>
      </c>
      <c r="B181" s="234" t="s">
        <v>8045</v>
      </c>
      <c r="C181" s="234" t="s">
        <v>303</v>
      </c>
      <c r="D181" s="234" t="s">
        <v>8041</v>
      </c>
      <c r="E181" s="234" t="s">
        <v>7791</v>
      </c>
      <c r="F181" s="234" t="s">
        <v>306</v>
      </c>
      <c r="G181" s="234" t="s">
        <v>8046</v>
      </c>
      <c r="H181" s="234">
        <v>1.0</v>
      </c>
      <c r="I181" s="234">
        <v>0.0</v>
      </c>
      <c r="J181" s="234">
        <v>1.0</v>
      </c>
    </row>
    <row r="182" ht="15.75" customHeight="1">
      <c r="A182" s="235" t="s">
        <v>8047</v>
      </c>
      <c r="B182" s="234"/>
      <c r="C182" s="234" t="s">
        <v>303</v>
      </c>
      <c r="D182" s="234" t="s">
        <v>8041</v>
      </c>
      <c r="E182" s="234" t="s">
        <v>7656</v>
      </c>
      <c r="F182" s="234" t="s">
        <v>306</v>
      </c>
      <c r="G182" s="234" t="s">
        <v>7751</v>
      </c>
      <c r="H182" s="234">
        <v>1.0</v>
      </c>
      <c r="I182" s="234">
        <v>0.0</v>
      </c>
      <c r="J182" s="234">
        <v>1.0</v>
      </c>
    </row>
    <row r="183" ht="15.75" customHeight="1">
      <c r="A183" s="238" t="s">
        <v>144</v>
      </c>
      <c r="B183" s="234"/>
      <c r="C183" s="234"/>
      <c r="D183" s="234"/>
      <c r="E183" s="234"/>
      <c r="F183" s="234"/>
      <c r="G183" s="234"/>
      <c r="H183" s="234"/>
      <c r="I183" s="234">
        <v>0.0</v>
      </c>
      <c r="J183" s="234">
        <v>1.0</v>
      </c>
    </row>
    <row r="184" ht="15.75" customHeight="1">
      <c r="A184" s="235" t="s">
        <v>8048</v>
      </c>
      <c r="B184" s="234"/>
      <c r="C184" s="234" t="s">
        <v>321</v>
      </c>
      <c r="D184" s="234" t="s">
        <v>8041</v>
      </c>
      <c r="E184" s="234" t="s">
        <v>7791</v>
      </c>
      <c r="F184" s="234" t="s">
        <v>306</v>
      </c>
      <c r="G184" s="234" t="s">
        <v>8050</v>
      </c>
      <c r="H184" s="234">
        <v>1.0</v>
      </c>
      <c r="I184" s="234">
        <v>0.0</v>
      </c>
      <c r="J184" s="234">
        <v>1.0</v>
      </c>
    </row>
    <row r="185" ht="15.75" customHeight="1">
      <c r="A185" s="234" t="s">
        <v>298</v>
      </c>
      <c r="B185" s="234" t="s">
        <v>298</v>
      </c>
      <c r="C185" s="234" t="s">
        <v>298</v>
      </c>
      <c r="D185" s="234" t="s">
        <v>298</v>
      </c>
      <c r="E185" s="234" t="s">
        <v>298</v>
      </c>
      <c r="F185" s="234" t="s">
        <v>298</v>
      </c>
      <c r="G185" s="234" t="s">
        <v>298</v>
      </c>
      <c r="H185" s="234" t="s">
        <v>298</v>
      </c>
      <c r="I185" s="234" t="s">
        <v>298</v>
      </c>
      <c r="J185" s="234" t="s">
        <v>298</v>
      </c>
    </row>
    <row r="186" ht="15.75" customHeight="1">
      <c r="A186" s="234" t="s">
        <v>1606</v>
      </c>
      <c r="B186" s="234" t="s">
        <v>298</v>
      </c>
      <c r="C186" s="234" t="s">
        <v>298</v>
      </c>
      <c r="D186" s="234" t="s">
        <v>298</v>
      </c>
      <c r="E186" s="234" t="s">
        <v>298</v>
      </c>
      <c r="F186" s="234" t="s">
        <v>298</v>
      </c>
      <c r="G186" s="234" t="s">
        <v>298</v>
      </c>
      <c r="H186" s="234" t="s">
        <v>298</v>
      </c>
      <c r="I186" s="234" t="s">
        <v>298</v>
      </c>
      <c r="J186" s="234" t="s">
        <v>298</v>
      </c>
    </row>
    <row r="187" ht="15.75" customHeight="1">
      <c r="A187" s="234" t="s">
        <v>7611</v>
      </c>
      <c r="B187" s="234" t="s">
        <v>298</v>
      </c>
      <c r="C187" s="234" t="s">
        <v>298</v>
      </c>
      <c r="D187" s="234" t="s">
        <v>298</v>
      </c>
      <c r="E187" s="234" t="s">
        <v>298</v>
      </c>
      <c r="F187" s="234" t="s">
        <v>298</v>
      </c>
      <c r="G187" s="234" t="s">
        <v>298</v>
      </c>
      <c r="H187" s="234" t="s">
        <v>298</v>
      </c>
      <c r="I187" s="234" t="s">
        <v>298</v>
      </c>
      <c r="J187" s="234" t="s">
        <v>298</v>
      </c>
    </row>
    <row r="188" ht="15.75" customHeight="1">
      <c r="A188" s="234" t="s">
        <v>144</v>
      </c>
      <c r="B188" s="234" t="s">
        <v>298</v>
      </c>
      <c r="C188" s="234" t="s">
        <v>298</v>
      </c>
      <c r="D188" s="234" t="s">
        <v>298</v>
      </c>
      <c r="E188" s="234" t="s">
        <v>298</v>
      </c>
      <c r="F188" s="234" t="s">
        <v>298</v>
      </c>
      <c r="G188" s="234" t="s">
        <v>298</v>
      </c>
      <c r="H188" s="234" t="s">
        <v>298</v>
      </c>
      <c r="I188" s="234" t="s">
        <v>298</v>
      </c>
      <c r="J188" s="234" t="s">
        <v>298</v>
      </c>
    </row>
    <row r="189" ht="15.75" customHeight="1">
      <c r="A189" s="234" t="s">
        <v>7612</v>
      </c>
      <c r="B189" s="234" t="s">
        <v>298</v>
      </c>
      <c r="C189" s="234" t="s">
        <v>298</v>
      </c>
      <c r="D189" s="234" t="s">
        <v>298</v>
      </c>
      <c r="E189" s="234" t="s">
        <v>298</v>
      </c>
      <c r="F189" s="234" t="s">
        <v>298</v>
      </c>
      <c r="G189" s="234" t="s">
        <v>298</v>
      </c>
      <c r="H189" s="234" t="s">
        <v>298</v>
      </c>
      <c r="I189" s="234" t="s">
        <v>298</v>
      </c>
      <c r="J189" s="234" t="s">
        <v>298</v>
      </c>
    </row>
    <row r="190" ht="15.75" customHeight="1">
      <c r="A190" s="235" t="s">
        <v>5059</v>
      </c>
      <c r="B190" s="234" t="s">
        <v>5060</v>
      </c>
      <c r="C190" s="234" t="s">
        <v>303</v>
      </c>
      <c r="D190" s="234" t="s">
        <v>8066</v>
      </c>
      <c r="E190" s="234" t="s">
        <v>615</v>
      </c>
      <c r="F190" s="234" t="s">
        <v>306</v>
      </c>
      <c r="G190" s="234" t="s">
        <v>5061</v>
      </c>
      <c r="H190" s="234">
        <v>1.0</v>
      </c>
      <c r="I190" s="234">
        <v>0.0</v>
      </c>
      <c r="J190" s="234">
        <v>0.0</v>
      </c>
    </row>
    <row r="191" ht="15.75" customHeight="1">
      <c r="A191" s="235" t="s">
        <v>8067</v>
      </c>
      <c r="B191" s="234" t="s">
        <v>8069</v>
      </c>
      <c r="C191" s="234" t="s">
        <v>303</v>
      </c>
      <c r="D191" s="234" t="s">
        <v>8066</v>
      </c>
      <c r="E191" s="234" t="s">
        <v>326</v>
      </c>
      <c r="F191" s="234" t="s">
        <v>306</v>
      </c>
      <c r="G191" s="234"/>
      <c r="H191" s="234">
        <v>1.0</v>
      </c>
      <c r="I191" s="234">
        <v>0.0</v>
      </c>
      <c r="J191" s="234">
        <v>1.0</v>
      </c>
    </row>
    <row r="192" ht="15.75" customHeight="1">
      <c r="A192" s="235" t="s">
        <v>5871</v>
      </c>
      <c r="B192" s="234" t="s">
        <v>5872</v>
      </c>
      <c r="C192" s="234" t="s">
        <v>576</v>
      </c>
      <c r="D192" s="234" t="s">
        <v>8066</v>
      </c>
      <c r="E192" s="234" t="s">
        <v>615</v>
      </c>
      <c r="F192" s="234" t="s">
        <v>306</v>
      </c>
      <c r="G192" s="234" t="s">
        <v>1101</v>
      </c>
      <c r="H192" s="234">
        <v>12.0</v>
      </c>
      <c r="I192" s="234">
        <v>0.01</v>
      </c>
      <c r="J192" s="234">
        <v>0.08</v>
      </c>
    </row>
    <row r="193" ht="15.75" customHeight="1">
      <c r="A193" s="237" t="s">
        <v>8080</v>
      </c>
      <c r="B193" s="236" t="s">
        <v>8083</v>
      </c>
      <c r="C193" s="236" t="s">
        <v>315</v>
      </c>
      <c r="D193" s="237" t="s">
        <v>8066</v>
      </c>
      <c r="E193" s="236" t="s">
        <v>615</v>
      </c>
      <c r="F193" s="236" t="s">
        <v>306</v>
      </c>
      <c r="G193" s="236" t="s">
        <v>8087</v>
      </c>
      <c r="H193" s="236">
        <v>5.0</v>
      </c>
      <c r="I193" s="234" t="s">
        <v>298</v>
      </c>
      <c r="J193" s="234" t="s">
        <v>298</v>
      </c>
    </row>
    <row r="194" ht="15.75" customHeight="1">
      <c r="A194" s="234" t="s">
        <v>8088</v>
      </c>
      <c r="B194" s="234" t="s">
        <v>298</v>
      </c>
      <c r="C194" s="234" t="s">
        <v>298</v>
      </c>
      <c r="D194" s="234" t="s">
        <v>298</v>
      </c>
      <c r="E194" s="234" t="s">
        <v>298</v>
      </c>
      <c r="F194" s="234" t="s">
        <v>298</v>
      </c>
      <c r="G194" s="234" t="s">
        <v>298</v>
      </c>
      <c r="H194" s="234" t="s">
        <v>298</v>
      </c>
      <c r="I194" s="234" t="s">
        <v>298</v>
      </c>
      <c r="J194" s="234" t="s">
        <v>298</v>
      </c>
    </row>
    <row r="195" ht="15.75" customHeight="1">
      <c r="A195" s="234" t="s">
        <v>7611</v>
      </c>
      <c r="B195" s="234" t="s">
        <v>298</v>
      </c>
      <c r="C195" s="234" t="s">
        <v>298</v>
      </c>
      <c r="D195" s="234" t="s">
        <v>298</v>
      </c>
      <c r="E195" s="234" t="s">
        <v>298</v>
      </c>
      <c r="F195" s="234" t="s">
        <v>298</v>
      </c>
      <c r="G195" s="234" t="s">
        <v>298</v>
      </c>
      <c r="H195" s="234" t="s">
        <v>298</v>
      </c>
      <c r="I195" s="234" t="s">
        <v>298</v>
      </c>
      <c r="J195" s="234" t="s">
        <v>298</v>
      </c>
    </row>
    <row r="196" ht="15.75" customHeight="1">
      <c r="A196" s="234" t="s">
        <v>144</v>
      </c>
      <c r="B196" s="234" t="s">
        <v>298</v>
      </c>
      <c r="C196" s="234" t="s">
        <v>298</v>
      </c>
      <c r="D196" s="234" t="s">
        <v>298</v>
      </c>
      <c r="E196" s="234" t="s">
        <v>298</v>
      </c>
      <c r="F196" s="234" t="s">
        <v>298</v>
      </c>
      <c r="G196" s="234" t="s">
        <v>298</v>
      </c>
      <c r="H196" s="234" t="s">
        <v>298</v>
      </c>
      <c r="I196" s="234" t="s">
        <v>298</v>
      </c>
      <c r="J196" s="234" t="s">
        <v>298</v>
      </c>
    </row>
    <row r="197" ht="15.75" customHeight="1">
      <c r="A197" s="234" t="s">
        <v>7612</v>
      </c>
      <c r="B197" s="234" t="s">
        <v>298</v>
      </c>
      <c r="C197" s="234" t="s">
        <v>298</v>
      </c>
      <c r="D197" s="234" t="s">
        <v>298</v>
      </c>
      <c r="E197" s="234" t="s">
        <v>298</v>
      </c>
      <c r="F197" s="234" t="s">
        <v>298</v>
      </c>
      <c r="G197" s="234" t="s">
        <v>298</v>
      </c>
      <c r="H197" s="234" t="s">
        <v>298</v>
      </c>
      <c r="I197" s="234" t="s">
        <v>298</v>
      </c>
      <c r="J197" s="234" t="s">
        <v>298</v>
      </c>
    </row>
    <row r="198" ht="15.75" customHeight="1">
      <c r="A198" s="234" t="s">
        <v>144</v>
      </c>
      <c r="B198" s="234" t="s">
        <v>298</v>
      </c>
      <c r="C198" s="234" t="s">
        <v>298</v>
      </c>
      <c r="D198" s="234" t="s">
        <v>298</v>
      </c>
      <c r="E198" s="234" t="s">
        <v>298</v>
      </c>
      <c r="F198" s="234" t="s">
        <v>298</v>
      </c>
      <c r="G198" s="234" t="s">
        <v>298</v>
      </c>
      <c r="H198" s="234" t="s">
        <v>298</v>
      </c>
      <c r="I198" s="234" t="s">
        <v>298</v>
      </c>
      <c r="J198" s="234" t="s">
        <v>298</v>
      </c>
    </row>
    <row r="199" ht="15.75" customHeight="1">
      <c r="A199" s="234" t="s">
        <v>298</v>
      </c>
      <c r="B199" s="234" t="s">
        <v>298</v>
      </c>
      <c r="C199" s="234" t="s">
        <v>298</v>
      </c>
      <c r="D199" s="234" t="s">
        <v>298</v>
      </c>
      <c r="E199" s="234" t="s">
        <v>298</v>
      </c>
      <c r="F199" s="234" t="s">
        <v>298</v>
      </c>
      <c r="G199" s="234" t="s">
        <v>298</v>
      </c>
      <c r="H199" s="234" t="s">
        <v>298</v>
      </c>
      <c r="I199" s="234" t="s">
        <v>298</v>
      </c>
      <c r="J199" s="234" t="s">
        <v>298</v>
      </c>
    </row>
    <row r="200" ht="15.75" customHeight="1">
      <c r="A200" s="234" t="s">
        <v>205</v>
      </c>
      <c r="B200" s="234" t="s">
        <v>298</v>
      </c>
      <c r="C200" s="234" t="s">
        <v>298</v>
      </c>
      <c r="D200" s="234" t="s">
        <v>298</v>
      </c>
      <c r="E200" s="234" t="s">
        <v>298</v>
      </c>
      <c r="F200" s="234" t="s">
        <v>298</v>
      </c>
      <c r="G200" s="234" t="s">
        <v>298</v>
      </c>
      <c r="H200" s="234" t="s">
        <v>298</v>
      </c>
      <c r="I200" s="234" t="s">
        <v>298</v>
      </c>
      <c r="J200" s="234" t="s">
        <v>298</v>
      </c>
    </row>
    <row r="201" ht="15.75" customHeight="1">
      <c r="A201" s="234" t="s">
        <v>7611</v>
      </c>
      <c r="B201" s="234" t="s">
        <v>298</v>
      </c>
      <c r="C201" s="234" t="s">
        <v>298</v>
      </c>
      <c r="D201" s="234" t="s">
        <v>298</v>
      </c>
      <c r="E201" s="234" t="s">
        <v>298</v>
      </c>
      <c r="F201" s="234" t="s">
        <v>298</v>
      </c>
      <c r="G201" s="234" t="s">
        <v>298</v>
      </c>
      <c r="H201" s="234" t="s">
        <v>298</v>
      </c>
      <c r="I201" s="234" t="s">
        <v>298</v>
      </c>
      <c r="J201" s="234" t="s">
        <v>298</v>
      </c>
    </row>
    <row r="202" ht="15.75" customHeight="1">
      <c r="A202" s="234" t="s">
        <v>144</v>
      </c>
      <c r="B202" s="234" t="s">
        <v>298</v>
      </c>
      <c r="C202" s="234" t="s">
        <v>298</v>
      </c>
      <c r="D202" s="234" t="s">
        <v>298</v>
      </c>
      <c r="E202" s="234" t="s">
        <v>298</v>
      </c>
      <c r="F202" s="234" t="s">
        <v>298</v>
      </c>
      <c r="G202" s="234" t="s">
        <v>298</v>
      </c>
      <c r="H202" s="234" t="s">
        <v>298</v>
      </c>
      <c r="I202" s="234" t="s">
        <v>298</v>
      </c>
      <c r="J202" s="234" t="s">
        <v>298</v>
      </c>
    </row>
    <row r="203" ht="15.75" customHeight="1">
      <c r="A203" s="234" t="s">
        <v>7612</v>
      </c>
      <c r="B203" s="234" t="s">
        <v>298</v>
      </c>
      <c r="C203" s="234" t="s">
        <v>298</v>
      </c>
      <c r="D203" s="234" t="s">
        <v>298</v>
      </c>
      <c r="E203" s="234" t="s">
        <v>298</v>
      </c>
      <c r="F203" s="234" t="s">
        <v>298</v>
      </c>
      <c r="G203" s="234" t="s">
        <v>298</v>
      </c>
      <c r="H203" s="234" t="s">
        <v>298</v>
      </c>
      <c r="I203" s="234" t="s">
        <v>298</v>
      </c>
      <c r="J203" s="234" t="s">
        <v>298</v>
      </c>
    </row>
    <row r="204" ht="15.75" customHeight="1">
      <c r="A204" s="235" t="s">
        <v>8097</v>
      </c>
      <c r="B204" s="234"/>
      <c r="C204" s="234" t="s">
        <v>303</v>
      </c>
      <c r="D204" s="234" t="s">
        <v>8101</v>
      </c>
      <c r="E204" s="234" t="s">
        <v>7656</v>
      </c>
      <c r="F204" s="234" t="s">
        <v>306</v>
      </c>
      <c r="G204" s="234" t="s">
        <v>8103</v>
      </c>
      <c r="H204" s="234">
        <v>1.0</v>
      </c>
      <c r="I204" s="234">
        <v>0.0</v>
      </c>
      <c r="J204" s="234">
        <v>1.0</v>
      </c>
    </row>
    <row r="205" ht="15.75" customHeight="1">
      <c r="A205" s="235" t="s">
        <v>8106</v>
      </c>
      <c r="B205" s="234" t="s">
        <v>205</v>
      </c>
      <c r="C205" s="234" t="s">
        <v>303</v>
      </c>
      <c r="D205" s="234" t="s">
        <v>8101</v>
      </c>
      <c r="E205" s="234" t="s">
        <v>2</v>
      </c>
      <c r="F205" s="234" t="s">
        <v>306</v>
      </c>
      <c r="G205" s="234"/>
      <c r="H205" s="234">
        <v>1.0</v>
      </c>
      <c r="I205" s="234">
        <v>0.0</v>
      </c>
      <c r="J205" s="234">
        <v>1.0</v>
      </c>
    </row>
    <row r="206" ht="15.75" customHeight="1">
      <c r="A206" s="235" t="s">
        <v>8110</v>
      </c>
      <c r="B206" s="234" t="s">
        <v>8111</v>
      </c>
      <c r="C206" s="234" t="s">
        <v>576</v>
      </c>
      <c r="D206" s="234" t="s">
        <v>8101</v>
      </c>
      <c r="E206" s="234" t="s">
        <v>7668</v>
      </c>
      <c r="F206" s="234" t="s">
        <v>306</v>
      </c>
      <c r="G206" s="234" t="s">
        <v>8114</v>
      </c>
      <c r="H206" s="234">
        <v>1.0</v>
      </c>
      <c r="I206" s="234">
        <v>0.0</v>
      </c>
      <c r="J206" s="234">
        <v>1.0</v>
      </c>
    </row>
    <row r="207" ht="15.75" customHeight="1">
      <c r="A207" s="235" t="s">
        <v>8116</v>
      </c>
      <c r="B207" s="234"/>
      <c r="C207" s="234" t="s">
        <v>576</v>
      </c>
      <c r="D207" s="234" t="s">
        <v>8101</v>
      </c>
      <c r="E207" s="234" t="s">
        <v>7656</v>
      </c>
      <c r="F207" s="234" t="s">
        <v>306</v>
      </c>
      <c r="G207" s="234" t="s">
        <v>7751</v>
      </c>
      <c r="H207" s="234">
        <v>1.0</v>
      </c>
      <c r="I207" s="234">
        <v>0.0</v>
      </c>
      <c r="J207" s="234">
        <v>1.0</v>
      </c>
    </row>
    <row r="208" ht="15.75" customHeight="1">
      <c r="A208" s="235" t="s">
        <v>8121</v>
      </c>
      <c r="B208" s="234" t="s">
        <v>205</v>
      </c>
      <c r="C208" s="234" t="s">
        <v>576</v>
      </c>
      <c r="D208" s="234" t="s">
        <v>8101</v>
      </c>
      <c r="E208" s="234" t="s">
        <v>7656</v>
      </c>
      <c r="F208" s="234" t="s">
        <v>306</v>
      </c>
      <c r="G208" s="234"/>
      <c r="H208" s="234">
        <v>1.0</v>
      </c>
      <c r="I208" s="234">
        <v>0.0</v>
      </c>
      <c r="J208" s="234">
        <v>1.0</v>
      </c>
    </row>
    <row r="209" ht="15.75" customHeight="1">
      <c r="A209" s="235" t="s">
        <v>8126</v>
      </c>
      <c r="B209" s="236" t="s">
        <v>8129</v>
      </c>
      <c r="C209" s="236" t="s">
        <v>315</v>
      </c>
      <c r="D209" s="237" t="s">
        <v>2163</v>
      </c>
      <c r="E209" s="236" t="s">
        <v>615</v>
      </c>
      <c r="F209" s="236" t="s">
        <v>306</v>
      </c>
      <c r="G209" s="236" t="s">
        <v>8130</v>
      </c>
      <c r="H209" s="236">
        <v>1.0</v>
      </c>
      <c r="I209" s="234">
        <v>0.0</v>
      </c>
      <c r="J209" s="234">
        <v>1.0</v>
      </c>
    </row>
    <row r="210" ht="15.75" customHeight="1">
      <c r="A210" s="235" t="s">
        <v>8132</v>
      </c>
      <c r="B210" s="234"/>
      <c r="C210" s="234" t="s">
        <v>321</v>
      </c>
      <c r="D210" s="234" t="s">
        <v>8101</v>
      </c>
      <c r="E210" s="234" t="s">
        <v>7656</v>
      </c>
      <c r="F210" s="234" t="s">
        <v>306</v>
      </c>
      <c r="G210" s="234" t="s">
        <v>7751</v>
      </c>
      <c r="H210" s="234">
        <v>1.0</v>
      </c>
      <c r="I210" s="234">
        <v>0.0</v>
      </c>
      <c r="J210" s="234">
        <v>1.0</v>
      </c>
    </row>
    <row r="211" ht="15.75" customHeight="1">
      <c r="A211" s="234" t="s">
        <v>298</v>
      </c>
      <c r="B211" s="234" t="s">
        <v>298</v>
      </c>
      <c r="C211" s="234" t="s">
        <v>298</v>
      </c>
      <c r="D211" s="234" t="s">
        <v>298</v>
      </c>
      <c r="E211" s="234" t="s">
        <v>298</v>
      </c>
      <c r="F211" s="234" t="s">
        <v>298</v>
      </c>
      <c r="G211" s="234" t="s">
        <v>298</v>
      </c>
      <c r="H211" s="234" t="s">
        <v>298</v>
      </c>
      <c r="I211" s="234" t="s">
        <v>298</v>
      </c>
      <c r="J211" s="234" t="s">
        <v>298</v>
      </c>
    </row>
    <row r="212" ht="15.75" customHeight="1">
      <c r="A212" s="234" t="s">
        <v>198</v>
      </c>
      <c r="B212" s="234" t="s">
        <v>298</v>
      </c>
      <c r="C212" s="234" t="s">
        <v>298</v>
      </c>
      <c r="D212" s="234" t="s">
        <v>298</v>
      </c>
      <c r="E212" s="234" t="s">
        <v>298</v>
      </c>
      <c r="F212" s="234" t="s">
        <v>298</v>
      </c>
      <c r="G212" s="234" t="s">
        <v>298</v>
      </c>
      <c r="H212" s="234" t="s">
        <v>298</v>
      </c>
      <c r="I212" s="234" t="s">
        <v>298</v>
      </c>
      <c r="J212" s="234" t="s">
        <v>298</v>
      </c>
    </row>
    <row r="213" ht="15.75" customHeight="1">
      <c r="A213" s="234" t="s">
        <v>7611</v>
      </c>
      <c r="B213" s="234" t="s">
        <v>298</v>
      </c>
      <c r="C213" s="234" t="s">
        <v>298</v>
      </c>
      <c r="D213" s="234" t="s">
        <v>298</v>
      </c>
      <c r="E213" s="234" t="s">
        <v>298</v>
      </c>
      <c r="F213" s="234" t="s">
        <v>298</v>
      </c>
      <c r="G213" s="234" t="s">
        <v>298</v>
      </c>
      <c r="H213" s="234" t="s">
        <v>298</v>
      </c>
      <c r="I213" s="234" t="s">
        <v>298</v>
      </c>
      <c r="J213" s="234" t="s">
        <v>298</v>
      </c>
    </row>
    <row r="214" ht="15.75" customHeight="1">
      <c r="A214" s="235" t="s">
        <v>8143</v>
      </c>
      <c r="B214" s="234" t="s">
        <v>8147</v>
      </c>
      <c r="C214" s="234" t="s">
        <v>576</v>
      </c>
      <c r="D214" s="234" t="s">
        <v>8148</v>
      </c>
      <c r="E214" s="234" t="s">
        <v>2</v>
      </c>
      <c r="F214" s="234" t="s">
        <v>616</v>
      </c>
      <c r="G214" s="234" t="s">
        <v>8149</v>
      </c>
      <c r="H214" s="234">
        <v>2.0</v>
      </c>
      <c r="I214" s="234">
        <v>0.0</v>
      </c>
      <c r="J214" s="234">
        <v>1.0</v>
      </c>
    </row>
    <row r="215" ht="15.75" customHeight="1">
      <c r="A215" s="234" t="s">
        <v>7612</v>
      </c>
      <c r="B215" s="234" t="s">
        <v>298</v>
      </c>
      <c r="C215" s="234" t="s">
        <v>298</v>
      </c>
      <c r="D215" s="234" t="s">
        <v>298</v>
      </c>
      <c r="E215" s="234" t="s">
        <v>298</v>
      </c>
      <c r="F215" s="234" t="s">
        <v>298</v>
      </c>
      <c r="G215" s="234" t="s">
        <v>298</v>
      </c>
      <c r="H215" s="234" t="s">
        <v>298</v>
      </c>
      <c r="I215" s="234" t="s">
        <v>298</v>
      </c>
      <c r="J215" s="234" t="s">
        <v>298</v>
      </c>
    </row>
    <row r="216" ht="15.75" customHeight="1">
      <c r="A216" s="235" t="s">
        <v>2264</v>
      </c>
      <c r="B216" s="234" t="s">
        <v>2265</v>
      </c>
      <c r="C216" s="234" t="s">
        <v>303</v>
      </c>
      <c r="D216" s="234" t="s">
        <v>8148</v>
      </c>
      <c r="E216" s="234" t="s">
        <v>615</v>
      </c>
      <c r="F216" s="234" t="s">
        <v>306</v>
      </c>
      <c r="G216" s="234" t="s">
        <v>641</v>
      </c>
      <c r="H216" s="234">
        <v>36.0</v>
      </c>
      <c r="I216" s="234">
        <v>0.04</v>
      </c>
      <c r="J216" s="234">
        <v>1.22</v>
      </c>
    </row>
    <row r="217" ht="15.75" customHeight="1">
      <c r="A217" s="235" t="s">
        <v>2302</v>
      </c>
      <c r="B217" s="234" t="s">
        <v>2303</v>
      </c>
      <c r="C217" s="234" t="s">
        <v>303</v>
      </c>
      <c r="D217" s="234" t="s">
        <v>8148</v>
      </c>
      <c r="E217" s="234" t="s">
        <v>615</v>
      </c>
      <c r="F217" s="234" t="s">
        <v>306</v>
      </c>
      <c r="G217" s="234" t="s">
        <v>2304</v>
      </c>
      <c r="H217" s="234">
        <v>27.0</v>
      </c>
      <c r="I217" s="234">
        <v>0.03</v>
      </c>
      <c r="J217" s="234">
        <v>2.15</v>
      </c>
    </row>
    <row r="218" ht="15.75" customHeight="1">
      <c r="A218" s="235" t="s">
        <v>3736</v>
      </c>
      <c r="B218" s="234" t="s">
        <v>3737</v>
      </c>
      <c r="C218" s="234" t="s">
        <v>303</v>
      </c>
      <c r="D218" s="234" t="s">
        <v>8148</v>
      </c>
      <c r="E218" s="234" t="s">
        <v>615</v>
      </c>
      <c r="F218" s="234" t="s">
        <v>306</v>
      </c>
      <c r="G218" s="234" t="s">
        <v>3738</v>
      </c>
      <c r="H218" s="234">
        <v>4.0</v>
      </c>
      <c r="I218" s="234">
        <v>0.0</v>
      </c>
      <c r="J218" s="234">
        <v>0.0</v>
      </c>
    </row>
    <row r="219" ht="15.75" customHeight="1">
      <c r="A219" s="235" t="s">
        <v>8165</v>
      </c>
      <c r="B219" s="234" t="s">
        <v>8167</v>
      </c>
      <c r="C219" s="234" t="s">
        <v>303</v>
      </c>
      <c r="D219" s="234" t="s">
        <v>8148</v>
      </c>
      <c r="E219" s="234" t="s">
        <v>2</v>
      </c>
      <c r="F219" s="234" t="s">
        <v>306</v>
      </c>
      <c r="G219" s="234" t="s">
        <v>8168</v>
      </c>
      <c r="H219" s="234">
        <v>2.0</v>
      </c>
      <c r="I219" s="234">
        <v>0.0</v>
      </c>
      <c r="J219" s="234">
        <v>1.5</v>
      </c>
    </row>
    <row r="220" ht="15.75" customHeight="1">
      <c r="A220" s="235" t="s">
        <v>8169</v>
      </c>
      <c r="B220" s="234" t="s">
        <v>8170</v>
      </c>
      <c r="C220" s="234" t="s">
        <v>303</v>
      </c>
      <c r="D220" s="234" t="s">
        <v>8148</v>
      </c>
      <c r="E220" s="234" t="s">
        <v>7656</v>
      </c>
      <c r="F220" s="234" t="s">
        <v>306</v>
      </c>
      <c r="G220" s="234" t="s">
        <v>8171</v>
      </c>
      <c r="H220" s="234">
        <v>1.0</v>
      </c>
      <c r="I220" s="234">
        <v>0.0</v>
      </c>
      <c r="J220" s="234">
        <v>1.0</v>
      </c>
    </row>
    <row r="221" ht="15.75" customHeight="1">
      <c r="A221" s="235" t="s">
        <v>8172</v>
      </c>
      <c r="B221" s="234" t="s">
        <v>8173</v>
      </c>
      <c r="C221" s="234" t="s">
        <v>303</v>
      </c>
      <c r="D221" s="234" t="s">
        <v>8148</v>
      </c>
      <c r="E221" s="234" t="s">
        <v>2</v>
      </c>
      <c r="F221" s="234" t="s">
        <v>306</v>
      </c>
      <c r="G221" s="234" t="s">
        <v>8174</v>
      </c>
      <c r="H221" s="234">
        <v>1.0</v>
      </c>
      <c r="I221" s="234">
        <v>0.0</v>
      </c>
      <c r="J221" s="234">
        <v>1.0</v>
      </c>
    </row>
    <row r="222" ht="15.75" customHeight="1">
      <c r="A222" s="235" t="s">
        <v>8175</v>
      </c>
      <c r="B222" s="234" t="s">
        <v>8176</v>
      </c>
      <c r="C222" s="234" t="s">
        <v>303</v>
      </c>
      <c r="D222" s="234" t="s">
        <v>8148</v>
      </c>
      <c r="E222" s="234" t="s">
        <v>2</v>
      </c>
      <c r="F222" s="234" t="s">
        <v>306</v>
      </c>
      <c r="G222" s="234" t="s">
        <v>8178</v>
      </c>
      <c r="H222" s="234">
        <v>1.0</v>
      </c>
      <c r="I222" s="234">
        <v>0.0</v>
      </c>
      <c r="J222" s="234">
        <v>1.0</v>
      </c>
    </row>
    <row r="223" ht="15.75" customHeight="1">
      <c r="A223" s="235" t="s">
        <v>8181</v>
      </c>
      <c r="B223" s="234" t="s">
        <v>8183</v>
      </c>
      <c r="C223" s="234" t="s">
        <v>303</v>
      </c>
      <c r="D223" s="234" t="s">
        <v>8148</v>
      </c>
      <c r="E223" s="234" t="s">
        <v>2</v>
      </c>
      <c r="F223" s="234" t="s">
        <v>306</v>
      </c>
      <c r="G223" s="234" t="s">
        <v>8186</v>
      </c>
      <c r="H223" s="234">
        <v>1.0</v>
      </c>
      <c r="I223" s="234">
        <v>0.0</v>
      </c>
      <c r="J223" s="234">
        <v>1.0</v>
      </c>
    </row>
    <row r="224" ht="15.75" customHeight="1">
      <c r="A224" s="235" t="s">
        <v>8187</v>
      </c>
      <c r="B224" s="234" t="s">
        <v>8191</v>
      </c>
      <c r="C224" s="234" t="s">
        <v>303</v>
      </c>
      <c r="D224" s="234" t="s">
        <v>8148</v>
      </c>
      <c r="E224" s="234" t="s">
        <v>7791</v>
      </c>
      <c r="F224" s="234" t="s">
        <v>306</v>
      </c>
      <c r="G224" s="234" t="s">
        <v>8192</v>
      </c>
      <c r="H224" s="234">
        <v>1.0</v>
      </c>
      <c r="I224" s="234">
        <v>0.0</v>
      </c>
      <c r="J224" s="234">
        <v>0.0</v>
      </c>
    </row>
    <row r="225" ht="15.75" customHeight="1">
      <c r="A225" s="235" t="s">
        <v>4991</v>
      </c>
      <c r="B225" s="234" t="s">
        <v>4992</v>
      </c>
      <c r="C225" s="234" t="s">
        <v>303</v>
      </c>
      <c r="D225" s="234" t="s">
        <v>8148</v>
      </c>
      <c r="E225" s="234" t="s">
        <v>7791</v>
      </c>
      <c r="F225" s="234" t="s">
        <v>306</v>
      </c>
      <c r="G225" s="234" t="s">
        <v>4993</v>
      </c>
      <c r="H225" s="234">
        <v>1.0</v>
      </c>
      <c r="I225" s="234">
        <v>0.0</v>
      </c>
      <c r="J225" s="234">
        <v>0.0</v>
      </c>
    </row>
    <row r="226" ht="15.75" customHeight="1">
      <c r="A226" s="235" t="s">
        <v>4994</v>
      </c>
      <c r="B226" s="234" t="s">
        <v>4995</v>
      </c>
      <c r="C226" s="234" t="s">
        <v>303</v>
      </c>
      <c r="D226" s="234" t="s">
        <v>8148</v>
      </c>
      <c r="E226" s="234" t="s">
        <v>615</v>
      </c>
      <c r="F226" s="234" t="s">
        <v>306</v>
      </c>
      <c r="G226" s="234" t="s">
        <v>4996</v>
      </c>
      <c r="H226" s="234">
        <v>1.0</v>
      </c>
      <c r="I226" s="234">
        <v>0.0</v>
      </c>
      <c r="J226" s="234">
        <v>0.0</v>
      </c>
    </row>
    <row r="227" ht="15.75" customHeight="1">
      <c r="A227" s="235" t="s">
        <v>4997</v>
      </c>
      <c r="B227" s="234" t="s">
        <v>4998</v>
      </c>
      <c r="C227" s="234" t="s">
        <v>303</v>
      </c>
      <c r="D227" s="234" t="s">
        <v>8148</v>
      </c>
      <c r="E227" s="234" t="s">
        <v>615</v>
      </c>
      <c r="F227" s="234" t="s">
        <v>306</v>
      </c>
      <c r="G227" s="234" t="s">
        <v>4999</v>
      </c>
      <c r="H227" s="234">
        <v>1.0</v>
      </c>
      <c r="I227" s="234">
        <v>0.0</v>
      </c>
      <c r="J227" s="234">
        <v>1.0</v>
      </c>
    </row>
    <row r="228" ht="15.75" customHeight="1">
      <c r="A228" s="235" t="s">
        <v>5000</v>
      </c>
      <c r="B228" s="234" t="s">
        <v>5001</v>
      </c>
      <c r="C228" s="234" t="s">
        <v>303</v>
      </c>
      <c r="D228" s="234" t="s">
        <v>8148</v>
      </c>
      <c r="E228" s="234" t="s">
        <v>615</v>
      </c>
      <c r="F228" s="234" t="s">
        <v>306</v>
      </c>
      <c r="G228" s="234" t="s">
        <v>5002</v>
      </c>
      <c r="H228" s="234">
        <v>1.0</v>
      </c>
      <c r="I228" s="234">
        <v>0.0</v>
      </c>
      <c r="J228" s="234">
        <v>1.0</v>
      </c>
    </row>
    <row r="229" ht="15.75" customHeight="1">
      <c r="A229" s="235" t="s">
        <v>8193</v>
      </c>
      <c r="B229" s="234" t="s">
        <v>8194</v>
      </c>
      <c r="C229" s="234" t="s">
        <v>303</v>
      </c>
      <c r="D229" s="234" t="s">
        <v>8148</v>
      </c>
      <c r="E229" s="234" t="s">
        <v>7668</v>
      </c>
      <c r="F229" s="234" t="s">
        <v>306</v>
      </c>
      <c r="G229" s="234" t="s">
        <v>8195</v>
      </c>
      <c r="H229" s="234">
        <v>1.0</v>
      </c>
      <c r="I229" s="234">
        <v>0.0</v>
      </c>
      <c r="J229" s="234">
        <v>0.0</v>
      </c>
    </row>
    <row r="230" ht="15.75" customHeight="1">
      <c r="A230" s="235" t="s">
        <v>5983</v>
      </c>
      <c r="B230" s="234" t="s">
        <v>5984</v>
      </c>
      <c r="C230" s="234" t="s">
        <v>576</v>
      </c>
      <c r="D230" s="234" t="s">
        <v>8148</v>
      </c>
      <c r="E230" s="234" t="s">
        <v>615</v>
      </c>
      <c r="F230" s="234" t="s">
        <v>306</v>
      </c>
      <c r="G230" s="234"/>
      <c r="H230" s="234">
        <v>8.0</v>
      </c>
      <c r="I230" s="234">
        <v>0.01</v>
      </c>
      <c r="J230" s="234">
        <v>0.0</v>
      </c>
    </row>
    <row r="231" ht="15.75" customHeight="1">
      <c r="A231" s="235" t="s">
        <v>6055</v>
      </c>
      <c r="B231" s="234" t="s">
        <v>6056</v>
      </c>
      <c r="C231" s="234" t="s">
        <v>576</v>
      </c>
      <c r="D231" s="234" t="s">
        <v>8148</v>
      </c>
      <c r="E231" s="234" t="s">
        <v>615</v>
      </c>
      <c r="F231" s="234" t="s">
        <v>306</v>
      </c>
      <c r="G231" s="234" t="s">
        <v>6057</v>
      </c>
      <c r="H231" s="234">
        <v>6.0</v>
      </c>
      <c r="I231" s="234">
        <v>0.01</v>
      </c>
      <c r="J231" s="234">
        <v>0.17</v>
      </c>
    </row>
    <row r="232" ht="15.75" customHeight="1">
      <c r="A232" s="235" t="s">
        <v>6114</v>
      </c>
      <c r="B232" s="234" t="s">
        <v>6115</v>
      </c>
      <c r="C232" s="234" t="s">
        <v>576</v>
      </c>
      <c r="D232" s="234" t="s">
        <v>8148</v>
      </c>
      <c r="E232" s="234" t="s">
        <v>615</v>
      </c>
      <c r="F232" s="234" t="s">
        <v>306</v>
      </c>
      <c r="G232" s="234" t="s">
        <v>6116</v>
      </c>
      <c r="H232" s="234">
        <v>5.0</v>
      </c>
      <c r="I232" s="234">
        <v>0.01</v>
      </c>
      <c r="J232" s="234">
        <v>1.0</v>
      </c>
    </row>
    <row r="233" ht="15.75" customHeight="1">
      <c r="A233" s="235" t="s">
        <v>8196</v>
      </c>
      <c r="B233" s="234" t="s">
        <v>8197</v>
      </c>
      <c r="C233" s="234" t="s">
        <v>576</v>
      </c>
      <c r="D233" s="234" t="s">
        <v>8148</v>
      </c>
      <c r="E233" s="234" t="s">
        <v>2</v>
      </c>
      <c r="F233" s="234" t="s">
        <v>306</v>
      </c>
      <c r="G233" s="234" t="s">
        <v>8198</v>
      </c>
      <c r="H233" s="234">
        <v>2.0</v>
      </c>
      <c r="I233" s="234">
        <v>0.0</v>
      </c>
      <c r="J233" s="234">
        <v>1.0</v>
      </c>
    </row>
    <row r="234" ht="15.75" customHeight="1">
      <c r="A234" s="235" t="s">
        <v>8199</v>
      </c>
      <c r="B234" s="234" t="s">
        <v>8200</v>
      </c>
      <c r="C234" s="234" t="s">
        <v>576</v>
      </c>
      <c r="D234" s="234" t="s">
        <v>8148</v>
      </c>
      <c r="E234" s="234" t="s">
        <v>2</v>
      </c>
      <c r="F234" s="234" t="s">
        <v>306</v>
      </c>
      <c r="G234" s="234" t="s">
        <v>8201</v>
      </c>
      <c r="H234" s="234">
        <v>2.0</v>
      </c>
      <c r="I234" s="234">
        <v>0.0</v>
      </c>
      <c r="J234" s="234">
        <v>1.5</v>
      </c>
    </row>
    <row r="235" ht="15.75" customHeight="1">
      <c r="A235" s="235" t="s">
        <v>6396</v>
      </c>
      <c r="B235" s="234" t="s">
        <v>5981</v>
      </c>
      <c r="C235" s="234" t="s">
        <v>576</v>
      </c>
      <c r="D235" s="234" t="s">
        <v>8148</v>
      </c>
      <c r="E235" s="234" t="s">
        <v>615</v>
      </c>
      <c r="F235" s="234" t="s">
        <v>306</v>
      </c>
      <c r="G235" s="234" t="s">
        <v>6397</v>
      </c>
      <c r="H235" s="234">
        <v>2.0</v>
      </c>
      <c r="I235" s="234">
        <v>0.0</v>
      </c>
      <c r="J235" s="234">
        <v>1.0</v>
      </c>
    </row>
    <row r="236" ht="15.75" customHeight="1">
      <c r="A236" s="235" t="s">
        <v>8202</v>
      </c>
      <c r="B236" s="234" t="s">
        <v>8203</v>
      </c>
      <c r="C236" s="234" t="s">
        <v>576</v>
      </c>
      <c r="D236" s="234" t="s">
        <v>8148</v>
      </c>
      <c r="E236" s="234" t="s">
        <v>2</v>
      </c>
      <c r="F236" s="234" t="s">
        <v>306</v>
      </c>
      <c r="G236" s="234" t="s">
        <v>8204</v>
      </c>
      <c r="H236" s="234">
        <v>1.0</v>
      </c>
      <c r="I236" s="234">
        <v>0.0</v>
      </c>
      <c r="J236" s="234">
        <v>1.0</v>
      </c>
    </row>
    <row r="237" ht="15.75" customHeight="1">
      <c r="A237" s="235" t="s">
        <v>8205</v>
      </c>
      <c r="B237" s="234" t="s">
        <v>8206</v>
      </c>
      <c r="C237" s="234" t="s">
        <v>576</v>
      </c>
      <c r="D237" s="234" t="s">
        <v>8148</v>
      </c>
      <c r="E237" s="234" t="s">
        <v>2</v>
      </c>
      <c r="F237" s="234" t="s">
        <v>306</v>
      </c>
      <c r="G237" s="234" t="s">
        <v>8207</v>
      </c>
      <c r="H237" s="234">
        <v>1.0</v>
      </c>
      <c r="I237" s="234">
        <v>0.0</v>
      </c>
      <c r="J237" s="234">
        <v>2.0</v>
      </c>
    </row>
    <row r="238" ht="15.75" customHeight="1">
      <c r="A238" s="235" t="s">
        <v>8208</v>
      </c>
      <c r="B238" s="234" t="s">
        <v>8209</v>
      </c>
      <c r="C238" s="234" t="s">
        <v>576</v>
      </c>
      <c r="D238" s="234" t="s">
        <v>8148</v>
      </c>
      <c r="E238" s="234" t="s">
        <v>2</v>
      </c>
      <c r="F238" s="234" t="s">
        <v>306</v>
      </c>
      <c r="G238" s="234" t="s">
        <v>8210</v>
      </c>
      <c r="H238" s="234">
        <v>1.0</v>
      </c>
      <c r="I238" s="234">
        <v>0.0</v>
      </c>
      <c r="J238" s="234">
        <v>1.0</v>
      </c>
    </row>
    <row r="239" ht="15.75" customHeight="1">
      <c r="A239" s="235" t="s">
        <v>8211</v>
      </c>
      <c r="B239" s="234" t="s">
        <v>8212</v>
      </c>
      <c r="C239" s="234" t="s">
        <v>576</v>
      </c>
      <c r="D239" s="234" t="s">
        <v>8148</v>
      </c>
      <c r="E239" s="234" t="s">
        <v>2</v>
      </c>
      <c r="F239" s="234" t="s">
        <v>306</v>
      </c>
      <c r="G239" s="234" t="s">
        <v>8213</v>
      </c>
      <c r="H239" s="234">
        <v>1.0</v>
      </c>
      <c r="I239" s="234">
        <v>0.0</v>
      </c>
      <c r="J239" s="234">
        <v>1.0</v>
      </c>
    </row>
    <row r="240" ht="15.75" customHeight="1">
      <c r="A240" s="235" t="s">
        <v>8214</v>
      </c>
      <c r="B240" s="234" t="s">
        <v>8216</v>
      </c>
      <c r="C240" s="234" t="s">
        <v>576</v>
      </c>
      <c r="D240" s="234" t="s">
        <v>8148</v>
      </c>
      <c r="E240" s="234" t="s">
        <v>2</v>
      </c>
      <c r="F240" s="234" t="s">
        <v>306</v>
      </c>
      <c r="G240" s="234" t="s">
        <v>8217</v>
      </c>
      <c r="H240" s="234">
        <v>1.0</v>
      </c>
      <c r="I240" s="234">
        <v>0.0</v>
      </c>
      <c r="J240" s="234">
        <v>1.0</v>
      </c>
    </row>
    <row r="241" ht="15.75" customHeight="1">
      <c r="A241" s="235" t="s">
        <v>8220</v>
      </c>
      <c r="B241" s="234" t="s">
        <v>8221</v>
      </c>
      <c r="C241" s="234" t="s">
        <v>576</v>
      </c>
      <c r="D241" s="234" t="s">
        <v>8148</v>
      </c>
      <c r="E241" s="234" t="s">
        <v>7656</v>
      </c>
      <c r="F241" s="234" t="s">
        <v>306</v>
      </c>
      <c r="G241" s="234"/>
      <c r="H241" s="234">
        <v>1.0</v>
      </c>
      <c r="I241" s="234">
        <v>0.0</v>
      </c>
      <c r="J241" s="234">
        <v>1.0</v>
      </c>
    </row>
    <row r="242" ht="15.75" customHeight="1">
      <c r="A242" s="235" t="s">
        <v>8225</v>
      </c>
      <c r="B242" s="234" t="s">
        <v>8228</v>
      </c>
      <c r="C242" s="234" t="s">
        <v>576</v>
      </c>
      <c r="D242" s="234" t="s">
        <v>8148</v>
      </c>
      <c r="E242" s="234" t="s">
        <v>2</v>
      </c>
      <c r="F242" s="234" t="s">
        <v>306</v>
      </c>
      <c r="G242" s="234" t="s">
        <v>8229</v>
      </c>
      <c r="H242" s="234">
        <v>1.0</v>
      </c>
      <c r="I242" s="234">
        <v>0.0</v>
      </c>
      <c r="J242" s="234">
        <v>1.0</v>
      </c>
    </row>
    <row r="243" ht="15.75" customHeight="1">
      <c r="A243" s="235" t="s">
        <v>8230</v>
      </c>
      <c r="B243" s="234" t="s">
        <v>8233</v>
      </c>
      <c r="C243" s="234" t="s">
        <v>576</v>
      </c>
      <c r="D243" s="234" t="s">
        <v>8148</v>
      </c>
      <c r="E243" s="234" t="s">
        <v>2</v>
      </c>
      <c r="F243" s="234" t="s">
        <v>306</v>
      </c>
      <c r="G243" s="234" t="s">
        <v>8234</v>
      </c>
      <c r="H243" s="234">
        <v>1.0</v>
      </c>
      <c r="I243" s="234">
        <v>0.0</v>
      </c>
      <c r="J243" s="234">
        <v>1.0</v>
      </c>
    </row>
    <row r="244" ht="15.75" customHeight="1">
      <c r="A244" s="235" t="s">
        <v>8235</v>
      </c>
      <c r="B244" s="234" t="s">
        <v>8238</v>
      </c>
      <c r="C244" s="234" t="s">
        <v>576</v>
      </c>
      <c r="D244" s="234" t="s">
        <v>8148</v>
      </c>
      <c r="E244" s="234" t="s">
        <v>2</v>
      </c>
      <c r="F244" s="234" t="s">
        <v>306</v>
      </c>
      <c r="G244" s="234" t="s">
        <v>8239</v>
      </c>
      <c r="H244" s="234">
        <v>1.0</v>
      </c>
      <c r="I244" s="234">
        <v>0.0</v>
      </c>
      <c r="J244" s="234">
        <v>1.0</v>
      </c>
    </row>
    <row r="245" ht="15.75" customHeight="1">
      <c r="A245" s="235" t="s">
        <v>8240</v>
      </c>
      <c r="B245" s="234" t="s">
        <v>8241</v>
      </c>
      <c r="C245" s="234" t="s">
        <v>576</v>
      </c>
      <c r="D245" s="234" t="s">
        <v>8148</v>
      </c>
      <c r="E245" s="234" t="s">
        <v>2</v>
      </c>
      <c r="F245" s="234" t="s">
        <v>306</v>
      </c>
      <c r="G245" s="234" t="s">
        <v>8242</v>
      </c>
      <c r="H245" s="234">
        <v>1.0</v>
      </c>
      <c r="I245" s="234">
        <v>0.0</v>
      </c>
      <c r="J245" s="234">
        <v>0.0</v>
      </c>
    </row>
    <row r="246" ht="15.75" customHeight="1">
      <c r="A246" s="235" t="s">
        <v>8243</v>
      </c>
      <c r="B246" s="234" t="s">
        <v>8244</v>
      </c>
      <c r="C246" s="234" t="s">
        <v>576</v>
      </c>
      <c r="D246" s="234" t="s">
        <v>8148</v>
      </c>
      <c r="E246" s="234" t="s">
        <v>2</v>
      </c>
      <c r="F246" s="234" t="s">
        <v>306</v>
      </c>
      <c r="G246" s="234" t="s">
        <v>8245</v>
      </c>
      <c r="H246" s="234">
        <v>1.0</v>
      </c>
      <c r="I246" s="234">
        <v>0.0</v>
      </c>
      <c r="J246" s="234">
        <v>1.0</v>
      </c>
    </row>
    <row r="247" ht="15.75" customHeight="1">
      <c r="A247" s="235" t="s">
        <v>7154</v>
      </c>
      <c r="B247" s="234" t="s">
        <v>7155</v>
      </c>
      <c r="C247" s="234" t="s">
        <v>311</v>
      </c>
      <c r="D247" s="234" t="s">
        <v>8148</v>
      </c>
      <c r="E247" s="234" t="s">
        <v>615</v>
      </c>
      <c r="F247" s="234" t="s">
        <v>306</v>
      </c>
      <c r="G247" s="234"/>
      <c r="H247" s="234">
        <v>12.0</v>
      </c>
      <c r="I247" s="234">
        <v>0.01</v>
      </c>
      <c r="J247" s="234">
        <v>0.08</v>
      </c>
    </row>
    <row r="248" ht="15.75" customHeight="1">
      <c r="A248" s="235" t="s">
        <v>8246</v>
      </c>
      <c r="B248" s="234" t="s">
        <v>8247</v>
      </c>
      <c r="C248" s="234" t="s">
        <v>311</v>
      </c>
      <c r="D248" s="234" t="s">
        <v>8148</v>
      </c>
      <c r="E248" s="234" t="s">
        <v>2</v>
      </c>
      <c r="F248" s="234" t="s">
        <v>306</v>
      </c>
      <c r="G248" s="234"/>
      <c r="H248" s="234">
        <v>2.0</v>
      </c>
      <c r="I248" s="234">
        <v>0.0</v>
      </c>
      <c r="J248" s="234">
        <v>1.0</v>
      </c>
    </row>
    <row r="249" ht="15.75" customHeight="1">
      <c r="A249" s="235" t="s">
        <v>8251</v>
      </c>
      <c r="B249" s="234" t="s">
        <v>8254</v>
      </c>
      <c r="C249" s="234" t="s">
        <v>311</v>
      </c>
      <c r="D249" s="234" t="s">
        <v>8148</v>
      </c>
      <c r="E249" s="234" t="s">
        <v>2</v>
      </c>
      <c r="F249" s="234" t="s">
        <v>306</v>
      </c>
      <c r="G249" s="234" t="s">
        <v>3658</v>
      </c>
      <c r="H249" s="234">
        <v>2.0</v>
      </c>
      <c r="I249" s="234">
        <v>0.0</v>
      </c>
      <c r="J249" s="234">
        <v>1.0</v>
      </c>
    </row>
    <row r="250" ht="15.75" customHeight="1">
      <c r="A250" s="235" t="s">
        <v>8193</v>
      </c>
      <c r="B250" s="234" t="s">
        <v>8194</v>
      </c>
      <c r="C250" s="234" t="s">
        <v>311</v>
      </c>
      <c r="D250" s="234" t="s">
        <v>8148</v>
      </c>
      <c r="E250" s="234" t="s">
        <v>7668</v>
      </c>
      <c r="F250" s="234" t="s">
        <v>306</v>
      </c>
      <c r="G250" s="234" t="s">
        <v>8195</v>
      </c>
      <c r="H250" s="234">
        <v>1.0</v>
      </c>
      <c r="I250" s="234">
        <v>0.0</v>
      </c>
      <c r="J250" s="234">
        <v>0.0</v>
      </c>
    </row>
    <row r="251" ht="15.75" customHeight="1">
      <c r="A251" s="235" t="s">
        <v>8256</v>
      </c>
      <c r="B251" s="234" t="s">
        <v>8258</v>
      </c>
      <c r="C251" s="234" t="s">
        <v>311</v>
      </c>
      <c r="D251" s="234" t="s">
        <v>8148</v>
      </c>
      <c r="E251" s="234" t="s">
        <v>615</v>
      </c>
      <c r="F251" s="234" t="s">
        <v>306</v>
      </c>
      <c r="G251" s="234" t="s">
        <v>2070</v>
      </c>
      <c r="H251" s="234">
        <v>1.0</v>
      </c>
      <c r="I251" s="234">
        <v>0.0</v>
      </c>
      <c r="J251" s="234">
        <v>0.0</v>
      </c>
    </row>
    <row r="252" ht="15.75" customHeight="1">
      <c r="A252" s="235" t="s">
        <v>8259</v>
      </c>
      <c r="B252" s="234" t="s">
        <v>8260</v>
      </c>
      <c r="C252" s="234" t="s">
        <v>311</v>
      </c>
      <c r="D252" s="234" t="s">
        <v>8148</v>
      </c>
      <c r="E252" s="234" t="s">
        <v>2</v>
      </c>
      <c r="F252" s="234" t="s">
        <v>306</v>
      </c>
      <c r="G252" s="234" t="s">
        <v>8262</v>
      </c>
      <c r="H252" s="234">
        <v>1.0</v>
      </c>
      <c r="I252" s="234">
        <v>0.0</v>
      </c>
      <c r="J252" s="234">
        <v>0.0</v>
      </c>
    </row>
    <row r="253" ht="15.75" customHeight="1">
      <c r="A253" s="235" t="s">
        <v>8263</v>
      </c>
      <c r="B253" s="234" t="s">
        <v>8176</v>
      </c>
      <c r="C253" s="234" t="s">
        <v>311</v>
      </c>
      <c r="D253" s="234" t="s">
        <v>8148</v>
      </c>
      <c r="E253" s="234" t="s">
        <v>2</v>
      </c>
      <c r="F253" s="234" t="s">
        <v>306</v>
      </c>
      <c r="G253" s="234" t="s">
        <v>8267</v>
      </c>
      <c r="H253" s="234">
        <v>1.0</v>
      </c>
      <c r="I253" s="234">
        <v>0.0</v>
      </c>
      <c r="J253" s="234">
        <v>1.0</v>
      </c>
    </row>
    <row r="254" ht="15.75" customHeight="1">
      <c r="A254" s="235" t="s">
        <v>8269</v>
      </c>
      <c r="B254" s="234"/>
      <c r="C254" s="234" t="s">
        <v>311</v>
      </c>
      <c r="D254" s="234" t="s">
        <v>8148</v>
      </c>
      <c r="E254" s="234" t="s">
        <v>7656</v>
      </c>
      <c r="F254" s="234" t="s">
        <v>306</v>
      </c>
      <c r="G254" s="234" t="s">
        <v>7751</v>
      </c>
      <c r="H254" s="234">
        <v>1.0</v>
      </c>
      <c r="I254" s="234">
        <v>0.0</v>
      </c>
      <c r="J254" s="234">
        <v>1.0</v>
      </c>
    </row>
    <row r="255" ht="15.75" customHeight="1">
      <c r="A255" s="235" t="s">
        <v>8272</v>
      </c>
      <c r="B255" s="236" t="s">
        <v>8274</v>
      </c>
      <c r="C255" s="236" t="s">
        <v>315</v>
      </c>
      <c r="D255" s="237" t="s">
        <v>8148</v>
      </c>
      <c r="E255" s="236" t="s">
        <v>615</v>
      </c>
      <c r="F255" s="236" t="s">
        <v>306</v>
      </c>
      <c r="G255" s="236" t="s">
        <v>8276</v>
      </c>
      <c r="H255" s="236">
        <v>14.0</v>
      </c>
      <c r="I255" s="234">
        <v>0.01</v>
      </c>
      <c r="J255" s="234">
        <v>1.0</v>
      </c>
    </row>
    <row r="256" ht="15.75" customHeight="1">
      <c r="A256" s="235" t="s">
        <v>8277</v>
      </c>
      <c r="B256" s="236" t="s">
        <v>8279</v>
      </c>
      <c r="C256" s="236" t="s">
        <v>315</v>
      </c>
      <c r="D256" s="237" t="s">
        <v>8148</v>
      </c>
      <c r="E256" s="236" t="s">
        <v>615</v>
      </c>
      <c r="F256" s="236" t="s">
        <v>306</v>
      </c>
      <c r="G256" s="236" t="s">
        <v>799</v>
      </c>
      <c r="H256" s="236">
        <v>11.0</v>
      </c>
      <c r="I256" s="234">
        <v>0.0</v>
      </c>
      <c r="J256" s="234">
        <v>1.25</v>
      </c>
    </row>
    <row r="257" ht="15.75" customHeight="1">
      <c r="A257" s="235" t="s">
        <v>7747</v>
      </c>
      <c r="B257" s="236" t="s">
        <v>7748</v>
      </c>
      <c r="C257" s="236" t="s">
        <v>315</v>
      </c>
      <c r="D257" s="237" t="s">
        <v>7749</v>
      </c>
      <c r="E257" s="236" t="s">
        <v>615</v>
      </c>
      <c r="F257" s="236" t="s">
        <v>306</v>
      </c>
      <c r="G257" s="236" t="s">
        <v>3710</v>
      </c>
      <c r="H257" s="236">
        <v>11.0</v>
      </c>
      <c r="I257" s="234">
        <v>0.0</v>
      </c>
      <c r="J257" s="234">
        <v>1.33</v>
      </c>
    </row>
    <row r="258" ht="15.75" customHeight="1">
      <c r="A258" s="235" t="s">
        <v>8285</v>
      </c>
      <c r="B258" s="236" t="s">
        <v>8288</v>
      </c>
      <c r="C258" s="236" t="s">
        <v>315</v>
      </c>
      <c r="D258" s="237" t="s">
        <v>8148</v>
      </c>
      <c r="E258" s="236" t="s">
        <v>7791</v>
      </c>
      <c r="F258" s="236" t="s">
        <v>306</v>
      </c>
      <c r="G258" s="236" t="s">
        <v>8289</v>
      </c>
      <c r="H258" s="236">
        <v>6.0</v>
      </c>
      <c r="I258" s="234">
        <v>0.0</v>
      </c>
      <c r="J258" s="234">
        <v>1.0</v>
      </c>
    </row>
    <row r="259" ht="15.75" customHeight="1">
      <c r="A259" s="235" t="s">
        <v>8292</v>
      </c>
      <c r="B259" s="236" t="s">
        <v>8294</v>
      </c>
      <c r="C259" s="236" t="s">
        <v>315</v>
      </c>
      <c r="D259" s="237" t="s">
        <v>8148</v>
      </c>
      <c r="E259" s="236" t="s">
        <v>615</v>
      </c>
      <c r="F259" s="236" t="s">
        <v>306</v>
      </c>
      <c r="G259" s="236" t="s">
        <v>8296</v>
      </c>
      <c r="H259" s="236">
        <v>2.0</v>
      </c>
      <c r="I259" s="234">
        <v>0.0</v>
      </c>
      <c r="J259" s="234">
        <v>1.0</v>
      </c>
    </row>
    <row r="260" ht="15.75" customHeight="1">
      <c r="A260" s="235" t="s">
        <v>8297</v>
      </c>
      <c r="B260" s="236" t="s">
        <v>8301</v>
      </c>
      <c r="C260" s="236" t="s">
        <v>315</v>
      </c>
      <c r="D260" s="237" t="s">
        <v>8148</v>
      </c>
      <c r="E260" s="236" t="s">
        <v>615</v>
      </c>
      <c r="F260" s="236" t="s">
        <v>306</v>
      </c>
      <c r="G260" s="236" t="s">
        <v>8302</v>
      </c>
      <c r="H260" s="236">
        <v>2.0</v>
      </c>
      <c r="I260" s="234">
        <v>0.0</v>
      </c>
      <c r="J260" s="234">
        <v>1.0</v>
      </c>
    </row>
    <row r="261" ht="15.75" customHeight="1">
      <c r="A261" s="235" t="s">
        <v>8306</v>
      </c>
      <c r="B261" s="236" t="s">
        <v>8307</v>
      </c>
      <c r="C261" s="236" t="s">
        <v>315</v>
      </c>
      <c r="D261" s="237" t="s">
        <v>8148</v>
      </c>
      <c r="E261" s="236" t="s">
        <v>2</v>
      </c>
      <c r="F261" s="236" t="s">
        <v>616</v>
      </c>
      <c r="G261" s="236" t="s">
        <v>8309</v>
      </c>
      <c r="H261" s="236">
        <v>1.0</v>
      </c>
      <c r="I261" s="234">
        <v>0.0</v>
      </c>
      <c r="J261" s="234">
        <v>1.0</v>
      </c>
    </row>
    <row r="262" ht="15.75" customHeight="1">
      <c r="A262" s="235" t="s">
        <v>8310</v>
      </c>
      <c r="B262" s="236" t="s">
        <v>8314</v>
      </c>
      <c r="C262" s="236" t="s">
        <v>315</v>
      </c>
      <c r="D262" s="237" t="s">
        <v>8148</v>
      </c>
      <c r="E262" s="236" t="s">
        <v>2</v>
      </c>
      <c r="F262" s="236" t="s">
        <v>306</v>
      </c>
      <c r="G262" s="236" t="s">
        <v>8315</v>
      </c>
      <c r="H262" s="236">
        <v>1.0</v>
      </c>
      <c r="I262" s="234">
        <v>0.0</v>
      </c>
      <c r="J262" s="234">
        <v>1.0</v>
      </c>
    </row>
    <row r="263" ht="15.75" customHeight="1">
      <c r="A263" s="235" t="s">
        <v>8316</v>
      </c>
      <c r="B263" s="236" t="s">
        <v>8317</v>
      </c>
      <c r="C263" s="236" t="s">
        <v>315</v>
      </c>
      <c r="D263" s="237" t="s">
        <v>8148</v>
      </c>
      <c r="E263" s="236" t="s">
        <v>2</v>
      </c>
      <c r="F263" s="236" t="s">
        <v>306</v>
      </c>
      <c r="G263" s="236" t="s">
        <v>8319</v>
      </c>
      <c r="H263" s="236">
        <v>1.0</v>
      </c>
      <c r="I263" s="234">
        <v>0.0</v>
      </c>
      <c r="J263" s="234">
        <v>1.0</v>
      </c>
    </row>
    <row r="264" ht="15.75" customHeight="1">
      <c r="A264" s="235" t="s">
        <v>8321</v>
      </c>
      <c r="B264" s="236" t="s">
        <v>8322</v>
      </c>
      <c r="C264" s="236" t="s">
        <v>315</v>
      </c>
      <c r="D264" s="237" t="s">
        <v>8148</v>
      </c>
      <c r="E264" s="236" t="s">
        <v>7656</v>
      </c>
      <c r="F264" s="236" t="s">
        <v>306</v>
      </c>
      <c r="G264" s="236" t="s">
        <v>298</v>
      </c>
      <c r="H264" s="236">
        <v>1.0</v>
      </c>
      <c r="I264" s="234">
        <v>0.0</v>
      </c>
      <c r="J264" s="234">
        <v>1.0</v>
      </c>
    </row>
    <row r="265" ht="15.75" customHeight="1">
      <c r="A265" s="235" t="s">
        <v>8325</v>
      </c>
      <c r="B265" s="236" t="s">
        <v>8327</v>
      </c>
      <c r="C265" s="236" t="s">
        <v>315</v>
      </c>
      <c r="D265" s="237" t="s">
        <v>8148</v>
      </c>
      <c r="E265" s="236" t="s">
        <v>2</v>
      </c>
      <c r="F265" s="236" t="s">
        <v>306</v>
      </c>
      <c r="G265" s="236" t="s">
        <v>8329</v>
      </c>
      <c r="H265" s="236">
        <v>1.0</v>
      </c>
      <c r="I265" s="234">
        <v>0.0</v>
      </c>
      <c r="J265" s="234">
        <v>1.0</v>
      </c>
    </row>
    <row r="266" ht="15.75" customHeight="1">
      <c r="A266" s="235" t="s">
        <v>8331</v>
      </c>
      <c r="B266" s="236" t="s">
        <v>8332</v>
      </c>
      <c r="C266" s="236" t="s">
        <v>315</v>
      </c>
      <c r="D266" s="237" t="s">
        <v>8148</v>
      </c>
      <c r="E266" s="236" t="s">
        <v>7656</v>
      </c>
      <c r="F266" s="236" t="s">
        <v>306</v>
      </c>
      <c r="G266" s="236" t="s">
        <v>1965</v>
      </c>
      <c r="H266" s="236">
        <v>1.0</v>
      </c>
      <c r="I266" s="234">
        <v>0.0</v>
      </c>
      <c r="J266" s="234">
        <v>1.0</v>
      </c>
    </row>
    <row r="267" ht="15.75" customHeight="1">
      <c r="A267" s="235" t="s">
        <v>8334</v>
      </c>
      <c r="B267" s="236" t="s">
        <v>8337</v>
      </c>
      <c r="C267" s="236" t="s">
        <v>315</v>
      </c>
      <c r="D267" s="237" t="s">
        <v>8148</v>
      </c>
      <c r="E267" s="236" t="s">
        <v>2</v>
      </c>
      <c r="F267" s="236" t="s">
        <v>306</v>
      </c>
      <c r="G267" s="236" t="s">
        <v>8338</v>
      </c>
      <c r="H267" s="236">
        <v>1.0</v>
      </c>
      <c r="I267" s="234">
        <v>0.0</v>
      </c>
      <c r="J267" s="234">
        <v>1.0</v>
      </c>
    </row>
    <row r="268" ht="15.75" customHeight="1">
      <c r="A268" s="235" t="s">
        <v>8340</v>
      </c>
      <c r="B268" s="236" t="s">
        <v>8343</v>
      </c>
      <c r="C268" s="236" t="s">
        <v>315</v>
      </c>
      <c r="D268" s="237" t="s">
        <v>8148</v>
      </c>
      <c r="E268" s="236" t="s">
        <v>2</v>
      </c>
      <c r="F268" s="236" t="s">
        <v>306</v>
      </c>
      <c r="G268" s="236" t="s">
        <v>8345</v>
      </c>
      <c r="H268" s="236">
        <v>1.0</v>
      </c>
      <c r="I268" s="234">
        <v>0.0</v>
      </c>
      <c r="J268" s="234">
        <v>1.0</v>
      </c>
    </row>
    <row r="269" ht="15.75" customHeight="1">
      <c r="A269" s="235" t="s">
        <v>8346</v>
      </c>
      <c r="B269" s="236" t="s">
        <v>8350</v>
      </c>
      <c r="C269" s="236" t="s">
        <v>315</v>
      </c>
      <c r="D269" s="237" t="s">
        <v>8148</v>
      </c>
      <c r="E269" s="236" t="s">
        <v>2</v>
      </c>
      <c r="F269" s="236" t="s">
        <v>306</v>
      </c>
      <c r="G269" s="236" t="s">
        <v>8351</v>
      </c>
      <c r="H269" s="236">
        <v>1.0</v>
      </c>
      <c r="I269" s="234">
        <v>0.0</v>
      </c>
      <c r="J269" s="234">
        <v>1.0</v>
      </c>
    </row>
    <row r="270" ht="15.75" customHeight="1">
      <c r="A270" s="235" t="s">
        <v>8352</v>
      </c>
      <c r="B270" s="236" t="s">
        <v>8353</v>
      </c>
      <c r="C270" s="236" t="s">
        <v>315</v>
      </c>
      <c r="D270" s="237" t="s">
        <v>8148</v>
      </c>
      <c r="E270" s="236" t="s">
        <v>2765</v>
      </c>
      <c r="F270" s="236" t="s">
        <v>306</v>
      </c>
      <c r="G270" s="236" t="s">
        <v>8354</v>
      </c>
      <c r="H270" s="236">
        <v>1.0</v>
      </c>
      <c r="I270" s="234">
        <v>0.0</v>
      </c>
      <c r="J270" s="234">
        <v>1.0</v>
      </c>
    </row>
    <row r="271" ht="15.75" customHeight="1">
      <c r="A271" s="235" t="s">
        <v>8355</v>
      </c>
      <c r="B271" s="236" t="s">
        <v>8357</v>
      </c>
      <c r="C271" s="236" t="s">
        <v>315</v>
      </c>
      <c r="D271" s="237" t="s">
        <v>8148</v>
      </c>
      <c r="E271" s="236" t="s">
        <v>7656</v>
      </c>
      <c r="F271" s="236" t="s">
        <v>306</v>
      </c>
      <c r="G271" s="236" t="s">
        <v>8359</v>
      </c>
      <c r="H271" s="236">
        <v>1.0</v>
      </c>
      <c r="I271" s="234">
        <v>0.0</v>
      </c>
      <c r="J271" s="234">
        <v>1.0</v>
      </c>
    </row>
    <row r="272" ht="15.75" customHeight="1">
      <c r="A272" s="235" t="s">
        <v>8362</v>
      </c>
      <c r="B272" s="236" t="s">
        <v>8363</v>
      </c>
      <c r="C272" s="236" t="s">
        <v>315</v>
      </c>
      <c r="D272" s="237" t="s">
        <v>8148</v>
      </c>
      <c r="E272" s="236" t="s">
        <v>615</v>
      </c>
      <c r="F272" s="236" t="s">
        <v>306</v>
      </c>
      <c r="G272" s="236" t="s">
        <v>8365</v>
      </c>
      <c r="H272" s="236">
        <v>1.0</v>
      </c>
      <c r="I272" s="234">
        <v>0.0</v>
      </c>
      <c r="J272" s="234">
        <v>0.0</v>
      </c>
    </row>
    <row r="273" ht="15.75" customHeight="1">
      <c r="A273" s="235" t="s">
        <v>8366</v>
      </c>
      <c r="B273" s="236" t="s">
        <v>8370</v>
      </c>
      <c r="C273" s="236" t="s">
        <v>315</v>
      </c>
      <c r="D273" s="237" t="s">
        <v>8148</v>
      </c>
      <c r="E273" s="236" t="s">
        <v>615</v>
      </c>
      <c r="F273" s="236" t="s">
        <v>306</v>
      </c>
      <c r="G273" s="236" t="s">
        <v>8371</v>
      </c>
      <c r="H273" s="236">
        <v>1.0</v>
      </c>
      <c r="I273" s="234">
        <v>0.0</v>
      </c>
      <c r="J273" s="234">
        <v>0.0</v>
      </c>
    </row>
    <row r="274" ht="15.75" customHeight="1">
      <c r="A274" s="235" t="s">
        <v>8193</v>
      </c>
      <c r="B274" s="236" t="s">
        <v>8194</v>
      </c>
      <c r="C274" s="236" t="s">
        <v>315</v>
      </c>
      <c r="D274" s="237" t="s">
        <v>8148</v>
      </c>
      <c r="E274" s="236" t="s">
        <v>7668</v>
      </c>
      <c r="F274" s="236" t="s">
        <v>306</v>
      </c>
      <c r="G274" s="236" t="s">
        <v>8372</v>
      </c>
      <c r="H274" s="236">
        <v>1.0</v>
      </c>
      <c r="I274" s="234">
        <v>0.0</v>
      </c>
      <c r="J274" s="234">
        <v>1.0</v>
      </c>
    </row>
    <row r="275" ht="15.75" customHeight="1">
      <c r="A275" s="235" t="s">
        <v>8373</v>
      </c>
      <c r="B275" s="236" t="s">
        <v>8375</v>
      </c>
      <c r="C275" s="236" t="s">
        <v>315</v>
      </c>
      <c r="D275" s="237" t="s">
        <v>8148</v>
      </c>
      <c r="E275" s="236" t="s">
        <v>615</v>
      </c>
      <c r="F275" s="236" t="s">
        <v>306</v>
      </c>
      <c r="G275" s="236" t="s">
        <v>2070</v>
      </c>
      <c r="H275" s="236">
        <v>1.0</v>
      </c>
      <c r="I275" s="234">
        <v>0.0</v>
      </c>
      <c r="J275" s="234">
        <v>0.0</v>
      </c>
    </row>
    <row r="276" ht="15.75" customHeight="1">
      <c r="A276" s="235" t="s">
        <v>2264</v>
      </c>
      <c r="B276" s="236" t="s">
        <v>2265</v>
      </c>
      <c r="C276" s="236" t="s">
        <v>315</v>
      </c>
      <c r="D276" s="237" t="s">
        <v>8148</v>
      </c>
      <c r="E276" s="236" t="s">
        <v>615</v>
      </c>
      <c r="F276" s="236" t="s">
        <v>306</v>
      </c>
      <c r="G276" s="236" t="s">
        <v>8379</v>
      </c>
      <c r="H276" s="236">
        <v>1.0</v>
      </c>
      <c r="I276" s="234">
        <v>0.0</v>
      </c>
      <c r="J276" s="234">
        <v>1.0</v>
      </c>
    </row>
    <row r="277" ht="15.75" customHeight="1">
      <c r="A277" s="235" t="s">
        <v>8380</v>
      </c>
      <c r="B277" s="236" t="s">
        <v>8382</v>
      </c>
      <c r="C277" s="236" t="s">
        <v>315</v>
      </c>
      <c r="D277" s="237" t="s">
        <v>8148</v>
      </c>
      <c r="E277" s="236" t="s">
        <v>615</v>
      </c>
      <c r="F277" s="236" t="s">
        <v>306</v>
      </c>
      <c r="G277" s="236" t="s">
        <v>8384</v>
      </c>
      <c r="H277" s="236">
        <v>1.0</v>
      </c>
      <c r="I277" s="234">
        <v>0.0</v>
      </c>
      <c r="J277" s="234">
        <v>1.0</v>
      </c>
    </row>
    <row r="278" ht="15.75" customHeight="1">
      <c r="A278" s="235" t="s">
        <v>8385</v>
      </c>
      <c r="B278" s="234" t="s">
        <v>8387</v>
      </c>
      <c r="C278" s="234" t="s">
        <v>321</v>
      </c>
      <c r="D278" s="234" t="s">
        <v>8148</v>
      </c>
      <c r="E278" s="234" t="s">
        <v>2</v>
      </c>
      <c r="F278" s="234" t="s">
        <v>306</v>
      </c>
      <c r="G278" s="234" t="s">
        <v>8388</v>
      </c>
      <c r="H278" s="234">
        <v>6.0</v>
      </c>
      <c r="I278" s="234">
        <v>0.01</v>
      </c>
      <c r="J278" s="234">
        <v>1.0</v>
      </c>
    </row>
    <row r="279" ht="15.75" customHeight="1">
      <c r="A279" s="235" t="s">
        <v>8391</v>
      </c>
      <c r="B279" s="234" t="s">
        <v>8392</v>
      </c>
      <c r="C279" s="234" t="s">
        <v>321</v>
      </c>
      <c r="D279" s="234" t="s">
        <v>8148</v>
      </c>
      <c r="E279" s="234" t="s">
        <v>2</v>
      </c>
      <c r="F279" s="234" t="s">
        <v>306</v>
      </c>
      <c r="G279" s="234" t="s">
        <v>8394</v>
      </c>
      <c r="H279" s="234">
        <v>4.0</v>
      </c>
      <c r="I279" s="234">
        <v>0.0</v>
      </c>
      <c r="J279" s="234">
        <v>1.25</v>
      </c>
    </row>
    <row r="280" ht="15.75" customHeight="1">
      <c r="A280" s="235" t="s">
        <v>8395</v>
      </c>
      <c r="B280" s="234" t="s">
        <v>8396</v>
      </c>
      <c r="C280" s="234" t="s">
        <v>321</v>
      </c>
      <c r="D280" s="234" t="s">
        <v>8148</v>
      </c>
      <c r="E280" s="234" t="s">
        <v>2</v>
      </c>
      <c r="F280" s="234" t="s">
        <v>306</v>
      </c>
      <c r="G280" s="234" t="s">
        <v>8397</v>
      </c>
      <c r="H280" s="234">
        <v>3.0</v>
      </c>
      <c r="I280" s="234">
        <v>0.0</v>
      </c>
      <c r="J280" s="234">
        <v>1.33</v>
      </c>
    </row>
    <row r="281" ht="15.75" customHeight="1">
      <c r="A281" s="235" t="s">
        <v>8398</v>
      </c>
      <c r="B281" s="234" t="s">
        <v>8399</v>
      </c>
      <c r="C281" s="234" t="s">
        <v>321</v>
      </c>
      <c r="D281" s="234" t="s">
        <v>8148</v>
      </c>
      <c r="E281" s="234" t="s">
        <v>2</v>
      </c>
      <c r="F281" s="234" t="s">
        <v>306</v>
      </c>
      <c r="G281" s="234" t="s">
        <v>8401</v>
      </c>
      <c r="H281" s="234">
        <v>2.0</v>
      </c>
      <c r="I281" s="234">
        <v>0.0</v>
      </c>
      <c r="J281" s="234">
        <v>1.0</v>
      </c>
    </row>
    <row r="282" ht="15.75" customHeight="1">
      <c r="A282" s="235" t="s">
        <v>8402</v>
      </c>
      <c r="B282" s="234" t="s">
        <v>8404</v>
      </c>
      <c r="C282" s="234" t="s">
        <v>321</v>
      </c>
      <c r="D282" s="234" t="s">
        <v>8148</v>
      </c>
      <c r="E282" s="234" t="s">
        <v>2</v>
      </c>
      <c r="F282" s="234" t="s">
        <v>306</v>
      </c>
      <c r="G282" s="234" t="s">
        <v>8405</v>
      </c>
      <c r="H282" s="234">
        <v>2.0</v>
      </c>
      <c r="I282" s="234">
        <v>0.0</v>
      </c>
      <c r="J282" s="234">
        <v>1.0</v>
      </c>
    </row>
    <row r="283" ht="15.75" customHeight="1">
      <c r="A283" s="235" t="s">
        <v>8407</v>
      </c>
      <c r="B283" s="234" t="s">
        <v>8409</v>
      </c>
      <c r="C283" s="234" t="s">
        <v>321</v>
      </c>
      <c r="D283" s="234" t="s">
        <v>8148</v>
      </c>
      <c r="E283" s="234" t="s">
        <v>7791</v>
      </c>
      <c r="F283" s="234" t="s">
        <v>306</v>
      </c>
      <c r="G283" s="234"/>
      <c r="H283" s="234">
        <v>2.0</v>
      </c>
      <c r="I283" s="234">
        <v>0.0</v>
      </c>
      <c r="J283" s="234">
        <v>1.0</v>
      </c>
    </row>
    <row r="284" ht="15.75" customHeight="1">
      <c r="A284" s="235" t="s">
        <v>8412</v>
      </c>
      <c r="B284" s="234" t="s">
        <v>8413</v>
      </c>
      <c r="C284" s="234" t="s">
        <v>321</v>
      </c>
      <c r="D284" s="234" t="s">
        <v>8148</v>
      </c>
      <c r="E284" s="234" t="s">
        <v>2</v>
      </c>
      <c r="F284" s="234" t="s">
        <v>306</v>
      </c>
      <c r="G284" s="234" t="s">
        <v>8414</v>
      </c>
      <c r="H284" s="234">
        <v>1.0</v>
      </c>
      <c r="I284" s="234">
        <v>0.0</v>
      </c>
      <c r="J284" s="234">
        <v>1.0</v>
      </c>
    </row>
    <row r="285" ht="15.75" customHeight="1">
      <c r="A285" s="235" t="s">
        <v>8415</v>
      </c>
      <c r="B285" s="234" t="s">
        <v>8418</v>
      </c>
      <c r="C285" s="234" t="s">
        <v>321</v>
      </c>
      <c r="D285" s="234" t="s">
        <v>8148</v>
      </c>
      <c r="E285" s="234" t="s">
        <v>2</v>
      </c>
      <c r="F285" s="234" t="s">
        <v>306</v>
      </c>
      <c r="G285" s="234" t="s">
        <v>8419</v>
      </c>
      <c r="H285" s="234">
        <v>1.0</v>
      </c>
      <c r="I285" s="234">
        <v>0.0</v>
      </c>
      <c r="J285" s="234">
        <v>1.0</v>
      </c>
    </row>
    <row r="286" ht="15.75" customHeight="1">
      <c r="A286" s="235" t="s">
        <v>8421</v>
      </c>
      <c r="B286" s="234" t="s">
        <v>8424</v>
      </c>
      <c r="C286" s="234" t="s">
        <v>321</v>
      </c>
      <c r="D286" s="234" t="s">
        <v>8148</v>
      </c>
      <c r="E286" s="234" t="s">
        <v>2</v>
      </c>
      <c r="F286" s="234" t="s">
        <v>306</v>
      </c>
      <c r="G286" s="234" t="s">
        <v>8425</v>
      </c>
      <c r="H286" s="234">
        <v>1.0</v>
      </c>
      <c r="I286" s="234">
        <v>0.0</v>
      </c>
      <c r="J286" s="234">
        <v>1.0</v>
      </c>
    </row>
    <row r="287" ht="15.75" customHeight="1">
      <c r="A287" s="235" t="s">
        <v>8427</v>
      </c>
      <c r="B287" s="234" t="s">
        <v>8430</v>
      </c>
      <c r="C287" s="234" t="s">
        <v>321</v>
      </c>
      <c r="D287" s="234" t="s">
        <v>8148</v>
      </c>
      <c r="E287" s="234" t="s">
        <v>2</v>
      </c>
      <c r="F287" s="234" t="s">
        <v>306</v>
      </c>
      <c r="G287" s="234" t="s">
        <v>8432</v>
      </c>
      <c r="H287" s="234">
        <v>1.0</v>
      </c>
      <c r="I287" s="234">
        <v>0.0</v>
      </c>
      <c r="J287" s="234">
        <v>1.0</v>
      </c>
    </row>
    <row r="288" ht="15.75" customHeight="1">
      <c r="A288" s="235" t="s">
        <v>8435</v>
      </c>
      <c r="B288" s="234" t="s">
        <v>8437</v>
      </c>
      <c r="C288" s="234" t="s">
        <v>321</v>
      </c>
      <c r="D288" s="234" t="s">
        <v>8148</v>
      </c>
      <c r="E288" s="234" t="s">
        <v>2</v>
      </c>
      <c r="F288" s="234" t="s">
        <v>306</v>
      </c>
      <c r="G288" s="234" t="s">
        <v>8439</v>
      </c>
      <c r="H288" s="234">
        <v>1.0</v>
      </c>
      <c r="I288" s="234">
        <v>0.0</v>
      </c>
      <c r="J288" s="234">
        <v>1.0</v>
      </c>
    </row>
    <row r="289" ht="15.75" customHeight="1">
      <c r="A289" s="235" t="s">
        <v>8442</v>
      </c>
      <c r="B289" s="234"/>
      <c r="C289" s="234" t="s">
        <v>321</v>
      </c>
      <c r="D289" s="234" t="s">
        <v>8148</v>
      </c>
      <c r="E289" s="234" t="s">
        <v>7656</v>
      </c>
      <c r="F289" s="234" t="s">
        <v>306</v>
      </c>
      <c r="G289" s="234" t="s">
        <v>7751</v>
      </c>
      <c r="H289" s="234">
        <v>1.0</v>
      </c>
      <c r="I289" s="234">
        <v>0.0</v>
      </c>
      <c r="J289" s="234">
        <v>1.0</v>
      </c>
    </row>
    <row r="290" ht="15.75" customHeight="1">
      <c r="A290" s="235" t="s">
        <v>8444</v>
      </c>
      <c r="B290" s="234" t="s">
        <v>8445</v>
      </c>
      <c r="C290" s="234" t="s">
        <v>321</v>
      </c>
      <c r="D290" s="234" t="s">
        <v>8148</v>
      </c>
      <c r="E290" s="234" t="s">
        <v>7656</v>
      </c>
      <c r="F290" s="234" t="s">
        <v>306</v>
      </c>
      <c r="G290" s="234" t="s">
        <v>8446</v>
      </c>
      <c r="H290" s="234">
        <v>1.0</v>
      </c>
      <c r="I290" s="234">
        <v>0.0</v>
      </c>
      <c r="J290" s="234">
        <v>1.0</v>
      </c>
    </row>
    <row r="291" ht="15.75" customHeight="1">
      <c r="A291" s="235" t="s">
        <v>8448</v>
      </c>
      <c r="B291" s="234" t="s">
        <v>8449</v>
      </c>
      <c r="C291" s="234" t="s">
        <v>321</v>
      </c>
      <c r="D291" s="234" t="s">
        <v>8148</v>
      </c>
      <c r="E291" s="234" t="s">
        <v>2</v>
      </c>
      <c r="F291" s="234" t="s">
        <v>306</v>
      </c>
      <c r="G291" s="234" t="s">
        <v>8450</v>
      </c>
      <c r="H291" s="234">
        <v>1.0</v>
      </c>
      <c r="I291" s="234">
        <v>0.0</v>
      </c>
      <c r="J291" s="234">
        <v>1.0</v>
      </c>
    </row>
    <row r="292" ht="15.75" customHeight="1">
      <c r="A292" s="235" t="s">
        <v>8453</v>
      </c>
      <c r="B292" s="234" t="s">
        <v>8455</v>
      </c>
      <c r="C292" s="234" t="s">
        <v>321</v>
      </c>
      <c r="D292" s="234" t="s">
        <v>8148</v>
      </c>
      <c r="E292" s="234" t="s">
        <v>7791</v>
      </c>
      <c r="F292" s="234" t="s">
        <v>306</v>
      </c>
      <c r="G292" s="234" t="s">
        <v>8457</v>
      </c>
      <c r="H292" s="234">
        <v>1.0</v>
      </c>
      <c r="I292" s="234">
        <v>0.0</v>
      </c>
      <c r="J292" s="234">
        <v>1.0</v>
      </c>
    </row>
    <row r="293" ht="15.75" customHeight="1">
      <c r="A293" s="235" t="s">
        <v>8458</v>
      </c>
      <c r="B293" s="234" t="s">
        <v>8461</v>
      </c>
      <c r="C293" s="234" t="s">
        <v>321</v>
      </c>
      <c r="D293" s="234" t="s">
        <v>8148</v>
      </c>
      <c r="E293" s="234" t="s">
        <v>7791</v>
      </c>
      <c r="F293" s="234" t="s">
        <v>306</v>
      </c>
      <c r="G293" s="234" t="s">
        <v>8464</v>
      </c>
      <c r="H293" s="234">
        <v>1.0</v>
      </c>
      <c r="I293" s="234">
        <v>0.0</v>
      </c>
      <c r="J293" s="234">
        <v>1.0</v>
      </c>
    </row>
    <row r="294" ht="15.75" customHeight="1">
      <c r="A294" s="235" t="s">
        <v>8465</v>
      </c>
      <c r="B294" s="234" t="s">
        <v>8469</v>
      </c>
      <c r="C294" s="234" t="s">
        <v>321</v>
      </c>
      <c r="D294" s="234" t="s">
        <v>8148</v>
      </c>
      <c r="E294" s="234" t="s">
        <v>7791</v>
      </c>
      <c r="F294" s="234" t="s">
        <v>306</v>
      </c>
      <c r="G294" s="234" t="s">
        <v>8473</v>
      </c>
      <c r="H294" s="234">
        <v>1.0</v>
      </c>
      <c r="I294" s="234">
        <v>0.0</v>
      </c>
      <c r="J294" s="234">
        <v>1.0</v>
      </c>
    </row>
    <row r="295" ht="15.75" customHeight="1">
      <c r="A295" s="235" t="s">
        <v>8474</v>
      </c>
      <c r="B295" s="234" t="s">
        <v>8476</v>
      </c>
      <c r="C295" s="234" t="s">
        <v>321</v>
      </c>
      <c r="D295" s="234" t="s">
        <v>8148</v>
      </c>
      <c r="E295" s="234" t="s">
        <v>7791</v>
      </c>
      <c r="F295" s="234" t="s">
        <v>306</v>
      </c>
      <c r="G295" s="234" t="s">
        <v>8478</v>
      </c>
      <c r="H295" s="234">
        <v>1.0</v>
      </c>
      <c r="I295" s="234">
        <v>0.0</v>
      </c>
      <c r="J295" s="234">
        <v>0.0</v>
      </c>
    </row>
    <row r="296" ht="15.75" customHeight="1">
      <c r="A296" s="235" t="s">
        <v>8193</v>
      </c>
      <c r="B296" s="234" t="s">
        <v>8194</v>
      </c>
      <c r="C296" s="234" t="s">
        <v>321</v>
      </c>
      <c r="D296" s="234" t="s">
        <v>8148</v>
      </c>
      <c r="E296" s="234" t="s">
        <v>7668</v>
      </c>
      <c r="F296" s="234" t="s">
        <v>306</v>
      </c>
      <c r="G296" s="234" t="s">
        <v>8195</v>
      </c>
      <c r="H296" s="234">
        <v>1.0</v>
      </c>
      <c r="I296" s="234">
        <v>0.0</v>
      </c>
      <c r="J296" s="234">
        <v>0.0</v>
      </c>
    </row>
    <row r="297" ht="15.75" customHeight="1">
      <c r="A297" s="235" t="s">
        <v>8483</v>
      </c>
      <c r="B297" s="234" t="s">
        <v>8484</v>
      </c>
      <c r="C297" s="234" t="s">
        <v>321</v>
      </c>
      <c r="D297" s="234" t="s">
        <v>8148</v>
      </c>
      <c r="E297" s="234" t="s">
        <v>615</v>
      </c>
      <c r="F297" s="234" t="s">
        <v>306</v>
      </c>
      <c r="G297" s="234" t="s">
        <v>8486</v>
      </c>
      <c r="H297" s="234">
        <v>1.0</v>
      </c>
      <c r="I297" s="234">
        <v>0.0</v>
      </c>
      <c r="J297" s="234">
        <v>1.0</v>
      </c>
    </row>
    <row r="298" ht="15.75" customHeight="1">
      <c r="A298" s="235" t="s">
        <v>8489</v>
      </c>
      <c r="B298" s="234" t="s">
        <v>8493</v>
      </c>
      <c r="C298" s="234" t="s">
        <v>321</v>
      </c>
      <c r="D298" s="234" t="s">
        <v>8148</v>
      </c>
      <c r="E298" s="234" t="s">
        <v>615</v>
      </c>
      <c r="F298" s="234" t="s">
        <v>306</v>
      </c>
      <c r="G298" s="234" t="s">
        <v>8494</v>
      </c>
      <c r="H298" s="234">
        <v>1.0</v>
      </c>
      <c r="I298" s="234">
        <v>0.0</v>
      </c>
      <c r="J298" s="234">
        <v>0.0</v>
      </c>
    </row>
    <row r="299" ht="15.75" customHeight="1">
      <c r="A299" s="235" t="s">
        <v>8496</v>
      </c>
      <c r="B299" s="234" t="s">
        <v>8499</v>
      </c>
      <c r="C299" s="234" t="s">
        <v>321</v>
      </c>
      <c r="D299" s="234" t="s">
        <v>8148</v>
      </c>
      <c r="E299" s="234" t="s">
        <v>7668</v>
      </c>
      <c r="F299" s="234" t="s">
        <v>306</v>
      </c>
      <c r="G299" s="234" t="s">
        <v>380</v>
      </c>
      <c r="H299" s="234">
        <v>1.0</v>
      </c>
      <c r="I299" s="234">
        <v>0.0</v>
      </c>
      <c r="J299" s="234">
        <v>1.0</v>
      </c>
    </row>
    <row r="300" ht="15.75" customHeight="1">
      <c r="A300" s="235" t="s">
        <v>8503</v>
      </c>
      <c r="B300" s="234" t="s">
        <v>8504</v>
      </c>
      <c r="C300" s="234" t="s">
        <v>321</v>
      </c>
      <c r="D300" s="234" t="s">
        <v>8148</v>
      </c>
      <c r="E300" s="234" t="s">
        <v>7621</v>
      </c>
      <c r="F300" s="234" t="s">
        <v>306</v>
      </c>
      <c r="G300" s="234" t="s">
        <v>8507</v>
      </c>
      <c r="H300" s="234">
        <v>1.0</v>
      </c>
      <c r="I300" s="234">
        <v>0.0</v>
      </c>
      <c r="J300" s="234">
        <v>1.0</v>
      </c>
    </row>
    <row r="301" ht="15.75" customHeight="1">
      <c r="A301" s="234"/>
      <c r="B301" s="234"/>
      <c r="C301" s="234"/>
      <c r="D301" s="234"/>
      <c r="E301" s="234"/>
      <c r="F301" s="234"/>
      <c r="G301" s="234"/>
      <c r="H301" s="234"/>
      <c r="I301" s="234"/>
      <c r="J301" s="234"/>
    </row>
    <row r="302" ht="15.75" customHeight="1">
      <c r="A302" s="234"/>
      <c r="B302" s="234"/>
      <c r="C302" s="234"/>
      <c r="D302" s="234"/>
      <c r="E302" s="234"/>
      <c r="F302" s="234"/>
      <c r="G302" s="234"/>
      <c r="H302" s="234"/>
      <c r="I302" s="234"/>
      <c r="J302" s="234"/>
    </row>
    <row r="303" ht="15.75" customHeight="1">
      <c r="A303" s="234"/>
      <c r="B303" s="234"/>
      <c r="C303" s="234"/>
      <c r="D303" s="234"/>
      <c r="E303" s="234"/>
      <c r="F303" s="234"/>
      <c r="G303" s="234"/>
      <c r="H303" s="234"/>
      <c r="I303" s="234"/>
      <c r="J303" s="234"/>
    </row>
    <row r="304" ht="15.75" customHeight="1">
      <c r="A304" s="234"/>
      <c r="B304" s="234"/>
      <c r="C304" s="234"/>
      <c r="D304" s="234"/>
      <c r="E304" s="234"/>
      <c r="F304" s="234"/>
      <c r="G304" s="234"/>
      <c r="H304" s="234"/>
      <c r="I304" s="234"/>
      <c r="J304" s="234"/>
    </row>
    <row r="305" ht="15.75" customHeight="1">
      <c r="A305" s="234"/>
      <c r="B305" s="234"/>
      <c r="C305" s="234"/>
      <c r="D305" s="234"/>
      <c r="E305" s="234"/>
      <c r="F305" s="234"/>
      <c r="G305" s="234"/>
      <c r="H305" s="234"/>
      <c r="I305" s="234"/>
      <c r="J305" s="234"/>
    </row>
    <row r="306" ht="15.75" customHeight="1">
      <c r="A306" s="234"/>
      <c r="B306" s="234"/>
      <c r="C306" s="234"/>
      <c r="D306" s="234"/>
      <c r="E306" s="234"/>
      <c r="F306" s="234"/>
      <c r="G306" s="234"/>
      <c r="H306" s="234"/>
      <c r="I306" s="234"/>
      <c r="J306" s="234"/>
    </row>
    <row r="307" ht="15.75" customHeight="1">
      <c r="A307" s="234"/>
      <c r="B307" s="234"/>
      <c r="C307" s="234"/>
      <c r="D307" s="234"/>
      <c r="E307" s="234"/>
      <c r="F307" s="234"/>
      <c r="G307" s="234"/>
      <c r="H307" s="234"/>
      <c r="I307" s="234"/>
      <c r="J307" s="234"/>
    </row>
    <row r="308" ht="15.75" customHeight="1">
      <c r="A308" s="234"/>
      <c r="B308" s="234"/>
      <c r="C308" s="234"/>
      <c r="D308" s="234"/>
      <c r="E308" s="234"/>
      <c r="F308" s="234"/>
      <c r="G308" s="234"/>
      <c r="H308" s="234"/>
      <c r="I308" s="234"/>
      <c r="J308" s="234"/>
    </row>
    <row r="309" ht="15.75" customHeight="1">
      <c r="A309" s="234"/>
      <c r="B309" s="234"/>
      <c r="C309" s="234"/>
      <c r="D309" s="234"/>
      <c r="E309" s="234"/>
      <c r="F309" s="234"/>
      <c r="G309" s="234"/>
      <c r="H309" s="234"/>
      <c r="I309" s="234"/>
      <c r="J309" s="234"/>
    </row>
    <row r="310" ht="15.75" customHeight="1">
      <c r="A310" s="234"/>
      <c r="B310" s="234"/>
      <c r="C310" s="234"/>
      <c r="D310" s="234"/>
      <c r="E310" s="234"/>
      <c r="F310" s="234"/>
      <c r="G310" s="234"/>
      <c r="H310" s="234"/>
      <c r="I310" s="234"/>
      <c r="J310" s="234"/>
    </row>
    <row r="311" ht="15.75" customHeight="1">
      <c r="A311" s="234"/>
      <c r="B311" s="234"/>
      <c r="C311" s="234"/>
      <c r="D311" s="234"/>
      <c r="E311" s="234"/>
      <c r="F311" s="234"/>
      <c r="G311" s="234"/>
      <c r="H311" s="234"/>
      <c r="I311" s="234"/>
      <c r="J311" s="234"/>
    </row>
    <row r="312" ht="15.75" customHeight="1">
      <c r="A312" s="234"/>
      <c r="B312" s="234"/>
      <c r="C312" s="234"/>
      <c r="D312" s="234"/>
      <c r="E312" s="234"/>
      <c r="F312" s="234"/>
      <c r="G312" s="234"/>
      <c r="H312" s="234"/>
      <c r="I312" s="234"/>
      <c r="J312" s="234"/>
    </row>
    <row r="313" ht="15.75" customHeight="1">
      <c r="A313" s="234"/>
      <c r="B313" s="234"/>
      <c r="C313" s="234"/>
      <c r="D313" s="234"/>
      <c r="E313" s="234"/>
      <c r="F313" s="234"/>
      <c r="G313" s="234"/>
      <c r="H313" s="234"/>
      <c r="I313" s="234"/>
      <c r="J313" s="234"/>
    </row>
    <row r="314" ht="15.75" customHeight="1">
      <c r="A314" s="234"/>
      <c r="B314" s="234"/>
      <c r="C314" s="234"/>
      <c r="D314" s="234"/>
      <c r="E314" s="234"/>
      <c r="F314" s="234"/>
      <c r="G314" s="234"/>
      <c r="H314" s="234"/>
      <c r="I314" s="234"/>
      <c r="J314" s="234"/>
    </row>
    <row r="315" ht="15.75" customHeight="1">
      <c r="A315" s="234"/>
      <c r="B315" s="234"/>
      <c r="C315" s="234"/>
      <c r="D315" s="234"/>
      <c r="E315" s="234"/>
      <c r="F315" s="234"/>
      <c r="G315" s="234"/>
      <c r="H315" s="234"/>
      <c r="I315" s="234"/>
      <c r="J315" s="234"/>
    </row>
    <row r="316" ht="15.75" customHeight="1">
      <c r="A316" s="234"/>
      <c r="B316" s="234"/>
      <c r="C316" s="234"/>
      <c r="D316" s="234"/>
      <c r="E316" s="234"/>
      <c r="F316" s="234"/>
      <c r="G316" s="234"/>
      <c r="H316" s="234"/>
      <c r="I316" s="234"/>
      <c r="J316" s="234"/>
    </row>
    <row r="317" ht="15.75" customHeight="1">
      <c r="A317" s="234"/>
      <c r="B317" s="234"/>
      <c r="C317" s="234"/>
      <c r="D317" s="234"/>
      <c r="E317" s="234"/>
      <c r="F317" s="234"/>
      <c r="G317" s="234"/>
      <c r="H317" s="234"/>
      <c r="I317" s="234"/>
      <c r="J317" s="234"/>
    </row>
    <row r="318" ht="15.75" customHeight="1">
      <c r="A318" s="234"/>
      <c r="B318" s="234"/>
      <c r="C318" s="234"/>
      <c r="D318" s="234"/>
      <c r="E318" s="234"/>
      <c r="F318" s="234"/>
      <c r="G318" s="234"/>
      <c r="H318" s="234"/>
      <c r="I318" s="234"/>
      <c r="J318" s="234"/>
    </row>
    <row r="319" ht="15.75" customHeight="1">
      <c r="A319" s="234"/>
      <c r="B319" s="234"/>
      <c r="C319" s="234"/>
      <c r="D319" s="234"/>
      <c r="E319" s="234"/>
      <c r="F319" s="234"/>
      <c r="G319" s="234"/>
      <c r="H319" s="234"/>
      <c r="I319" s="234"/>
      <c r="J319" s="234"/>
    </row>
    <row r="320" ht="15.75" customHeight="1">
      <c r="A320" s="234"/>
      <c r="B320" s="234"/>
      <c r="C320" s="234"/>
      <c r="D320" s="234"/>
      <c r="E320" s="234"/>
      <c r="F320" s="234"/>
      <c r="G320" s="234"/>
      <c r="H320" s="234"/>
      <c r="I320" s="234"/>
      <c r="J320" s="234"/>
    </row>
    <row r="321" ht="15.75" customHeight="1">
      <c r="A321" s="234"/>
      <c r="B321" s="234"/>
      <c r="C321" s="234"/>
      <c r="D321" s="234"/>
      <c r="E321" s="234"/>
      <c r="F321" s="234"/>
      <c r="G321" s="234"/>
      <c r="H321" s="234"/>
      <c r="I321" s="234"/>
      <c r="J321" s="234"/>
    </row>
    <row r="322" ht="15.75" customHeight="1">
      <c r="A322" s="234"/>
      <c r="B322" s="234"/>
      <c r="C322" s="234"/>
      <c r="D322" s="234"/>
      <c r="E322" s="234"/>
      <c r="F322" s="234"/>
      <c r="G322" s="234"/>
      <c r="H322" s="234"/>
      <c r="I322" s="234"/>
      <c r="J322" s="234"/>
    </row>
    <row r="323" ht="15.75" customHeight="1">
      <c r="A323" s="234"/>
      <c r="B323" s="234"/>
      <c r="C323" s="234"/>
      <c r="D323" s="234"/>
      <c r="E323" s="234"/>
      <c r="F323" s="234"/>
      <c r="G323" s="234"/>
      <c r="H323" s="234"/>
      <c r="I323" s="234"/>
      <c r="J323" s="234"/>
    </row>
    <row r="324" ht="15.75" customHeight="1">
      <c r="A324" s="234"/>
      <c r="B324" s="234"/>
      <c r="C324" s="234"/>
      <c r="D324" s="234"/>
      <c r="E324" s="234"/>
      <c r="F324" s="234"/>
      <c r="G324" s="234"/>
      <c r="H324" s="234"/>
      <c r="I324" s="234"/>
      <c r="J324" s="234"/>
    </row>
    <row r="325" ht="15.75" customHeight="1">
      <c r="A325" s="234"/>
      <c r="B325" s="234"/>
      <c r="C325" s="234"/>
      <c r="D325" s="234"/>
      <c r="E325" s="234"/>
      <c r="F325" s="234"/>
      <c r="G325" s="234"/>
      <c r="H325" s="234"/>
      <c r="I325" s="234"/>
      <c r="J325" s="234"/>
    </row>
    <row r="326" ht="15.75" customHeight="1">
      <c r="A326" s="234"/>
      <c r="B326" s="234"/>
      <c r="C326" s="234"/>
      <c r="D326" s="234"/>
      <c r="E326" s="234"/>
      <c r="F326" s="234"/>
      <c r="G326" s="234"/>
      <c r="H326" s="234"/>
      <c r="I326" s="234"/>
      <c r="J326" s="234"/>
    </row>
    <row r="327" ht="15.75" customHeight="1">
      <c r="A327" s="234"/>
      <c r="B327" s="234"/>
      <c r="C327" s="234"/>
      <c r="D327" s="234"/>
      <c r="E327" s="234"/>
      <c r="F327" s="234"/>
      <c r="G327" s="234"/>
      <c r="H327" s="234"/>
      <c r="I327" s="234"/>
      <c r="J327" s="234"/>
    </row>
    <row r="328" ht="15.75" customHeight="1">
      <c r="A328" s="234"/>
      <c r="B328" s="234"/>
      <c r="C328" s="234"/>
      <c r="D328" s="234"/>
      <c r="E328" s="234"/>
      <c r="F328" s="234"/>
      <c r="G328" s="234"/>
      <c r="H328" s="234"/>
      <c r="I328" s="234"/>
      <c r="J328" s="234"/>
    </row>
    <row r="329" ht="15.75" customHeight="1">
      <c r="A329" s="234"/>
      <c r="B329" s="234"/>
      <c r="C329" s="234"/>
      <c r="D329" s="234"/>
      <c r="E329" s="234"/>
      <c r="F329" s="234"/>
      <c r="G329" s="234"/>
      <c r="H329" s="234"/>
      <c r="I329" s="234"/>
      <c r="J329" s="234"/>
    </row>
    <row r="330" ht="15.75" customHeight="1">
      <c r="A330" s="234"/>
      <c r="B330" s="234"/>
      <c r="C330" s="234"/>
      <c r="D330" s="234"/>
      <c r="E330" s="234"/>
      <c r="F330" s="234"/>
      <c r="G330" s="234"/>
      <c r="H330" s="234"/>
      <c r="I330" s="234"/>
      <c r="J330" s="234"/>
    </row>
    <row r="331" ht="15.75" customHeight="1">
      <c r="A331" s="234"/>
      <c r="B331" s="234"/>
      <c r="C331" s="234"/>
      <c r="D331" s="234"/>
      <c r="E331" s="234"/>
      <c r="F331" s="234"/>
      <c r="G331" s="234"/>
      <c r="H331" s="234"/>
      <c r="I331" s="234"/>
      <c r="J331" s="234"/>
    </row>
    <row r="332" ht="15.75" customHeight="1">
      <c r="A332" s="234"/>
      <c r="B332" s="234"/>
      <c r="C332" s="234"/>
      <c r="D332" s="234"/>
      <c r="E332" s="234"/>
      <c r="F332" s="234"/>
      <c r="G332" s="234"/>
      <c r="H332" s="234"/>
      <c r="I332" s="234"/>
      <c r="J332" s="234"/>
    </row>
    <row r="333" ht="15.75" customHeight="1">
      <c r="A333" s="234"/>
      <c r="B333" s="234"/>
      <c r="C333" s="234"/>
      <c r="D333" s="234"/>
      <c r="E333" s="234"/>
      <c r="F333" s="234"/>
      <c r="G333" s="234"/>
      <c r="H333" s="234"/>
      <c r="I333" s="234"/>
      <c r="J333" s="234"/>
    </row>
    <row r="334" ht="15.75" customHeight="1">
      <c r="A334" s="234"/>
      <c r="B334" s="234"/>
      <c r="C334" s="234"/>
      <c r="D334" s="234"/>
      <c r="E334" s="234"/>
      <c r="F334" s="234"/>
      <c r="G334" s="234"/>
      <c r="H334" s="234"/>
      <c r="I334" s="234"/>
      <c r="J334" s="234"/>
    </row>
    <row r="335" ht="15.75" customHeight="1">
      <c r="A335" s="234"/>
      <c r="B335" s="234"/>
      <c r="C335" s="234"/>
      <c r="D335" s="234"/>
      <c r="E335" s="234"/>
      <c r="F335" s="234"/>
      <c r="G335" s="234"/>
      <c r="H335" s="234"/>
      <c r="I335" s="234"/>
      <c r="J335" s="234"/>
    </row>
    <row r="336" ht="15.75" customHeight="1">
      <c r="A336" s="234"/>
      <c r="B336" s="234"/>
      <c r="C336" s="234"/>
      <c r="D336" s="234"/>
      <c r="E336" s="234"/>
      <c r="F336" s="234"/>
      <c r="G336" s="234"/>
      <c r="H336" s="234"/>
      <c r="I336" s="234"/>
      <c r="J336" s="234"/>
    </row>
    <row r="337" ht="15.75" customHeight="1">
      <c r="A337" s="234"/>
      <c r="B337" s="234"/>
      <c r="C337" s="234"/>
      <c r="D337" s="234"/>
      <c r="E337" s="234"/>
      <c r="F337" s="234"/>
      <c r="G337" s="234"/>
      <c r="H337" s="234"/>
      <c r="I337" s="234"/>
      <c r="J337" s="234"/>
    </row>
    <row r="338" ht="15.75" customHeight="1">
      <c r="A338" s="234"/>
      <c r="B338" s="234"/>
      <c r="C338" s="234"/>
      <c r="D338" s="234"/>
      <c r="E338" s="234"/>
      <c r="F338" s="234"/>
      <c r="G338" s="234"/>
      <c r="H338" s="234"/>
      <c r="I338" s="234"/>
      <c r="J338" s="234"/>
    </row>
    <row r="339" ht="15.75" customHeight="1">
      <c r="A339" s="234"/>
      <c r="B339" s="234"/>
      <c r="C339" s="234"/>
      <c r="D339" s="234"/>
      <c r="E339" s="234"/>
      <c r="F339" s="234"/>
      <c r="G339" s="234"/>
      <c r="H339" s="234"/>
      <c r="I339" s="234"/>
      <c r="J339" s="234"/>
    </row>
    <row r="340" ht="15.75" customHeight="1">
      <c r="A340" s="234"/>
      <c r="B340" s="234"/>
      <c r="C340" s="234"/>
      <c r="D340" s="234"/>
      <c r="E340" s="234"/>
      <c r="F340" s="234"/>
      <c r="G340" s="234"/>
      <c r="H340" s="234"/>
      <c r="I340" s="234"/>
      <c r="J340" s="234"/>
    </row>
    <row r="341" ht="15.75" customHeight="1">
      <c r="A341" s="234"/>
      <c r="B341" s="234"/>
      <c r="C341" s="234"/>
      <c r="D341" s="234"/>
      <c r="E341" s="234"/>
      <c r="F341" s="234"/>
      <c r="G341" s="234"/>
      <c r="H341" s="234"/>
      <c r="I341" s="234"/>
      <c r="J341" s="234"/>
    </row>
    <row r="342" ht="15.75" customHeight="1">
      <c r="A342" s="234"/>
      <c r="B342" s="234"/>
      <c r="C342" s="234"/>
      <c r="D342" s="234"/>
      <c r="E342" s="234"/>
      <c r="F342" s="234"/>
      <c r="G342" s="234"/>
      <c r="H342" s="234"/>
      <c r="I342" s="234"/>
      <c r="J342" s="234"/>
    </row>
    <row r="343" ht="15.75" customHeight="1">
      <c r="A343" s="234"/>
      <c r="B343" s="234"/>
      <c r="C343" s="234"/>
      <c r="D343" s="234"/>
      <c r="E343" s="234"/>
      <c r="F343" s="234"/>
      <c r="G343" s="234"/>
      <c r="H343" s="234"/>
      <c r="I343" s="234"/>
      <c r="J343" s="234"/>
    </row>
    <row r="344" ht="15.75" customHeight="1">
      <c r="A344" s="234"/>
      <c r="B344" s="234"/>
      <c r="C344" s="234"/>
      <c r="D344" s="234"/>
      <c r="E344" s="234"/>
      <c r="F344" s="234"/>
      <c r="G344" s="234"/>
      <c r="H344" s="234"/>
      <c r="I344" s="234"/>
      <c r="J344" s="234"/>
    </row>
    <row r="345" ht="15.75" customHeight="1">
      <c r="A345" s="234"/>
      <c r="B345" s="234"/>
      <c r="C345" s="234"/>
      <c r="D345" s="234"/>
      <c r="E345" s="234"/>
      <c r="F345" s="234"/>
      <c r="G345" s="234"/>
      <c r="H345" s="234"/>
      <c r="I345" s="234"/>
      <c r="J345" s="234"/>
    </row>
    <row r="346" ht="15.75" customHeight="1">
      <c r="A346" s="234"/>
      <c r="B346" s="234"/>
      <c r="C346" s="234"/>
      <c r="D346" s="234"/>
      <c r="E346" s="234"/>
      <c r="F346" s="234"/>
      <c r="G346" s="234"/>
      <c r="H346" s="234"/>
      <c r="I346" s="234"/>
      <c r="J346" s="234"/>
    </row>
    <row r="347" ht="15.75" customHeight="1">
      <c r="A347" s="234"/>
      <c r="B347" s="234"/>
      <c r="C347" s="234"/>
      <c r="D347" s="234"/>
      <c r="E347" s="234"/>
      <c r="F347" s="234"/>
      <c r="G347" s="234"/>
      <c r="H347" s="234"/>
      <c r="I347" s="234"/>
      <c r="J347" s="234"/>
    </row>
    <row r="348" ht="15.75" customHeight="1">
      <c r="A348" s="234"/>
      <c r="B348" s="234"/>
      <c r="C348" s="234"/>
      <c r="D348" s="234"/>
      <c r="E348" s="234"/>
      <c r="F348" s="234"/>
      <c r="G348" s="234"/>
      <c r="H348" s="234"/>
      <c r="I348" s="234"/>
      <c r="J348" s="234"/>
    </row>
    <row r="349" ht="15.75" customHeight="1">
      <c r="A349" s="234"/>
      <c r="B349" s="234"/>
      <c r="C349" s="234"/>
      <c r="D349" s="234"/>
      <c r="E349" s="234"/>
      <c r="F349" s="234"/>
      <c r="G349" s="234"/>
      <c r="H349" s="234"/>
      <c r="I349" s="234"/>
      <c r="J349" s="234"/>
    </row>
    <row r="350" ht="15.75" customHeight="1">
      <c r="A350" s="234"/>
      <c r="B350" s="234"/>
      <c r="C350" s="234"/>
      <c r="D350" s="234"/>
      <c r="E350" s="234"/>
      <c r="F350" s="234"/>
      <c r="G350" s="234"/>
      <c r="H350" s="234"/>
      <c r="I350" s="234"/>
      <c r="J350" s="234"/>
    </row>
    <row r="351" ht="15.75" customHeight="1">
      <c r="A351" s="234"/>
      <c r="B351" s="234"/>
      <c r="C351" s="234"/>
      <c r="D351" s="234"/>
      <c r="E351" s="234"/>
      <c r="F351" s="234"/>
      <c r="G351" s="234"/>
      <c r="H351" s="234"/>
      <c r="I351" s="234"/>
      <c r="J351" s="234"/>
    </row>
    <row r="352" ht="15.75" customHeight="1">
      <c r="A352" s="234"/>
      <c r="B352" s="234"/>
      <c r="C352" s="234"/>
      <c r="D352" s="234"/>
      <c r="E352" s="234"/>
      <c r="F352" s="234"/>
      <c r="G352" s="234"/>
      <c r="H352" s="234"/>
      <c r="I352" s="234"/>
      <c r="J352" s="234"/>
    </row>
    <row r="353" ht="15.75" customHeight="1">
      <c r="A353" s="234"/>
      <c r="B353" s="234"/>
      <c r="C353" s="234"/>
      <c r="D353" s="234"/>
      <c r="E353" s="234"/>
      <c r="F353" s="234"/>
      <c r="G353" s="234"/>
      <c r="H353" s="234"/>
      <c r="I353" s="234"/>
      <c r="J353" s="234"/>
    </row>
    <row r="354" ht="15.75" customHeight="1">
      <c r="A354" s="234"/>
      <c r="B354" s="234"/>
      <c r="C354" s="234"/>
      <c r="D354" s="234"/>
      <c r="E354" s="234"/>
      <c r="F354" s="234"/>
      <c r="G354" s="234"/>
      <c r="H354" s="234"/>
      <c r="I354" s="234"/>
      <c r="J354" s="234"/>
    </row>
    <row r="355" ht="15.75" customHeight="1">
      <c r="A355" s="234"/>
      <c r="B355" s="234"/>
      <c r="C355" s="234"/>
      <c r="D355" s="234"/>
      <c r="E355" s="234"/>
      <c r="F355" s="234"/>
      <c r="G355" s="234"/>
      <c r="H355" s="234"/>
      <c r="I355" s="234"/>
      <c r="J355" s="234"/>
    </row>
    <row r="356" ht="15.75" customHeight="1">
      <c r="A356" s="234"/>
      <c r="B356" s="234"/>
      <c r="C356" s="234"/>
      <c r="D356" s="234"/>
      <c r="E356" s="234"/>
      <c r="F356" s="234"/>
      <c r="G356" s="234"/>
      <c r="H356" s="234"/>
      <c r="I356" s="234"/>
      <c r="J356" s="234"/>
    </row>
    <row r="357" ht="15.75" customHeight="1">
      <c r="A357" s="234"/>
      <c r="B357" s="234"/>
      <c r="C357" s="234"/>
      <c r="D357" s="234"/>
      <c r="E357" s="234"/>
      <c r="F357" s="234"/>
      <c r="G357" s="234"/>
      <c r="H357" s="234"/>
      <c r="I357" s="234"/>
      <c r="J357" s="234"/>
    </row>
    <row r="358" ht="15.75" customHeight="1">
      <c r="A358" s="234"/>
      <c r="B358" s="234"/>
      <c r="C358" s="234"/>
      <c r="D358" s="234"/>
      <c r="E358" s="234"/>
      <c r="F358" s="234"/>
      <c r="G358" s="234"/>
      <c r="H358" s="234"/>
      <c r="I358" s="234"/>
      <c r="J358" s="234"/>
    </row>
    <row r="359" ht="15.75" customHeight="1">
      <c r="A359" s="234"/>
      <c r="B359" s="234"/>
      <c r="C359" s="234"/>
      <c r="D359" s="234"/>
      <c r="E359" s="234"/>
      <c r="F359" s="234"/>
      <c r="G359" s="234"/>
      <c r="H359" s="234"/>
      <c r="I359" s="234"/>
      <c r="J359" s="234"/>
    </row>
    <row r="360" ht="15.75" customHeight="1">
      <c r="A360" s="234"/>
      <c r="B360" s="234"/>
      <c r="C360" s="234"/>
      <c r="D360" s="234"/>
      <c r="E360" s="234"/>
      <c r="F360" s="234"/>
      <c r="G360" s="234"/>
      <c r="H360" s="234"/>
      <c r="I360" s="234"/>
      <c r="J360" s="234"/>
    </row>
    <row r="361" ht="15.75" customHeight="1">
      <c r="A361" s="234"/>
      <c r="B361" s="234"/>
      <c r="C361" s="234"/>
      <c r="D361" s="234"/>
      <c r="E361" s="234"/>
      <c r="F361" s="234"/>
      <c r="G361" s="234"/>
      <c r="H361" s="234"/>
      <c r="I361" s="234"/>
      <c r="J361" s="234"/>
    </row>
    <row r="362" ht="15.75" customHeight="1">
      <c r="A362" s="234"/>
      <c r="B362" s="234"/>
      <c r="C362" s="234"/>
      <c r="D362" s="234"/>
      <c r="E362" s="234"/>
      <c r="F362" s="234"/>
      <c r="G362" s="234"/>
      <c r="H362" s="234"/>
      <c r="I362" s="234"/>
      <c r="J362" s="234"/>
    </row>
    <row r="363" ht="15.75" customHeight="1">
      <c r="A363" s="234"/>
      <c r="B363" s="234"/>
      <c r="C363" s="234"/>
      <c r="D363" s="234"/>
      <c r="E363" s="234"/>
      <c r="F363" s="234"/>
      <c r="G363" s="234"/>
      <c r="H363" s="234"/>
      <c r="I363" s="234"/>
      <c r="J363" s="234"/>
    </row>
    <row r="364" ht="15.75" customHeight="1">
      <c r="A364" s="234"/>
      <c r="B364" s="234"/>
      <c r="C364" s="234"/>
      <c r="D364" s="234"/>
      <c r="E364" s="234"/>
      <c r="F364" s="234"/>
      <c r="G364" s="234"/>
      <c r="H364" s="234"/>
      <c r="I364" s="234"/>
      <c r="J364" s="234"/>
    </row>
    <row r="365" ht="15.75" customHeight="1">
      <c r="A365" s="234"/>
      <c r="B365" s="234"/>
      <c r="C365" s="234"/>
      <c r="D365" s="234"/>
      <c r="E365" s="234"/>
      <c r="F365" s="234"/>
      <c r="G365" s="234"/>
      <c r="H365" s="234"/>
      <c r="I365" s="234"/>
      <c r="J365" s="234"/>
    </row>
    <row r="366" ht="15.75" customHeight="1">
      <c r="A366" s="234"/>
      <c r="B366" s="234"/>
      <c r="C366" s="234"/>
      <c r="D366" s="234"/>
      <c r="E366" s="234"/>
      <c r="F366" s="234"/>
      <c r="G366" s="234"/>
      <c r="H366" s="234"/>
      <c r="I366" s="234"/>
      <c r="J366" s="234"/>
    </row>
    <row r="367" ht="15.75" customHeight="1">
      <c r="A367" s="234"/>
      <c r="B367" s="234"/>
      <c r="C367" s="234"/>
      <c r="D367" s="234"/>
      <c r="E367" s="234"/>
      <c r="F367" s="234"/>
      <c r="G367" s="234"/>
      <c r="H367" s="234"/>
      <c r="I367" s="234"/>
      <c r="J367" s="234"/>
    </row>
    <row r="368" ht="15.75" customHeight="1">
      <c r="A368" s="234"/>
      <c r="B368" s="234"/>
      <c r="C368" s="234"/>
      <c r="D368" s="234"/>
      <c r="E368" s="234"/>
      <c r="F368" s="234"/>
      <c r="G368" s="234"/>
      <c r="H368" s="234"/>
      <c r="I368" s="234"/>
      <c r="J368" s="234"/>
    </row>
    <row r="369" ht="15.75" customHeight="1">
      <c r="A369" s="234"/>
      <c r="B369" s="234"/>
      <c r="C369" s="234"/>
      <c r="D369" s="234"/>
      <c r="E369" s="234"/>
      <c r="F369" s="234"/>
      <c r="G369" s="234"/>
      <c r="H369" s="234"/>
      <c r="I369" s="234"/>
      <c r="J369" s="234"/>
    </row>
    <row r="370" ht="15.75" customHeight="1">
      <c r="A370" s="234"/>
      <c r="B370" s="234"/>
      <c r="C370" s="234"/>
      <c r="D370" s="234"/>
      <c r="E370" s="234"/>
      <c r="F370" s="234"/>
      <c r="G370" s="234"/>
      <c r="H370" s="234"/>
      <c r="I370" s="234"/>
      <c r="J370" s="234"/>
    </row>
    <row r="371" ht="15.75" customHeight="1">
      <c r="A371" s="234"/>
      <c r="B371" s="234"/>
      <c r="C371" s="234"/>
      <c r="D371" s="234"/>
      <c r="E371" s="234"/>
      <c r="F371" s="234"/>
      <c r="G371" s="234"/>
      <c r="H371" s="234"/>
      <c r="I371" s="234"/>
      <c r="J371" s="234"/>
    </row>
    <row r="372" ht="15.75" customHeight="1">
      <c r="A372" s="234"/>
      <c r="B372" s="234"/>
      <c r="C372" s="234"/>
      <c r="D372" s="234"/>
      <c r="E372" s="234"/>
      <c r="F372" s="234"/>
      <c r="G372" s="234"/>
      <c r="H372" s="234"/>
      <c r="I372" s="234"/>
      <c r="J372" s="234"/>
    </row>
    <row r="373" ht="15.75" customHeight="1">
      <c r="A373" s="234"/>
      <c r="B373" s="234"/>
      <c r="C373" s="234"/>
      <c r="D373" s="234"/>
      <c r="E373" s="234"/>
      <c r="F373" s="234"/>
      <c r="G373" s="234"/>
      <c r="H373" s="234"/>
      <c r="I373" s="234"/>
      <c r="J373" s="234"/>
    </row>
    <row r="374" ht="15.75" customHeight="1">
      <c r="A374" s="234"/>
      <c r="B374" s="234"/>
      <c r="C374" s="234"/>
      <c r="D374" s="234"/>
      <c r="E374" s="234"/>
      <c r="F374" s="234"/>
      <c r="G374" s="234"/>
      <c r="H374" s="234"/>
      <c r="I374" s="234"/>
      <c r="J374" s="234"/>
    </row>
    <row r="375" ht="15.75" customHeight="1">
      <c r="A375" s="234"/>
      <c r="B375" s="234"/>
      <c r="C375" s="234"/>
      <c r="D375" s="234"/>
      <c r="E375" s="234"/>
      <c r="F375" s="234"/>
      <c r="G375" s="234"/>
      <c r="H375" s="234"/>
      <c r="I375" s="234"/>
      <c r="J375" s="234"/>
    </row>
    <row r="376" ht="15.75" customHeight="1">
      <c r="A376" s="234"/>
      <c r="B376" s="234"/>
      <c r="C376" s="234"/>
      <c r="D376" s="234"/>
      <c r="E376" s="234"/>
      <c r="F376" s="234"/>
      <c r="G376" s="234"/>
      <c r="H376" s="234"/>
      <c r="I376" s="234"/>
      <c r="J376" s="234"/>
    </row>
    <row r="377" ht="15.75" customHeight="1">
      <c r="A377" s="234"/>
      <c r="B377" s="234"/>
      <c r="C377" s="234"/>
      <c r="D377" s="234"/>
      <c r="E377" s="234"/>
      <c r="F377" s="234"/>
      <c r="G377" s="234"/>
      <c r="H377" s="234"/>
      <c r="I377" s="234"/>
      <c r="J377" s="234"/>
    </row>
    <row r="378" ht="15.75" customHeight="1">
      <c r="A378" s="234"/>
      <c r="B378" s="234"/>
      <c r="C378" s="234"/>
      <c r="D378" s="234"/>
      <c r="E378" s="234"/>
      <c r="F378" s="234"/>
      <c r="G378" s="234"/>
      <c r="H378" s="234"/>
      <c r="I378" s="234"/>
      <c r="J378" s="234"/>
    </row>
    <row r="379" ht="15.75" customHeight="1">
      <c r="A379" s="234"/>
      <c r="B379" s="234"/>
      <c r="C379" s="234"/>
      <c r="D379" s="234"/>
      <c r="E379" s="234"/>
      <c r="F379" s="234"/>
      <c r="G379" s="234"/>
      <c r="H379" s="234"/>
      <c r="I379" s="234"/>
      <c r="J379" s="234"/>
    </row>
    <row r="380" ht="15.75" customHeight="1">
      <c r="A380" s="234"/>
      <c r="B380" s="234"/>
      <c r="C380" s="234"/>
      <c r="D380" s="234"/>
      <c r="E380" s="234"/>
      <c r="F380" s="234"/>
      <c r="G380" s="234"/>
      <c r="H380" s="234"/>
      <c r="I380" s="234"/>
      <c r="J380" s="234"/>
    </row>
    <row r="381" ht="15.75" customHeight="1">
      <c r="A381" s="234"/>
      <c r="B381" s="234"/>
      <c r="C381" s="234"/>
      <c r="D381" s="234"/>
      <c r="E381" s="234"/>
      <c r="F381" s="234"/>
      <c r="G381" s="234"/>
      <c r="H381" s="234"/>
      <c r="I381" s="234"/>
      <c r="J381" s="234"/>
    </row>
    <row r="382" ht="15.75" customHeight="1">
      <c r="A382" s="234"/>
      <c r="B382" s="234"/>
      <c r="C382" s="234"/>
      <c r="D382" s="234"/>
      <c r="E382" s="234"/>
      <c r="F382" s="234"/>
      <c r="G382" s="234"/>
      <c r="H382" s="234"/>
      <c r="I382" s="234"/>
      <c r="J382" s="234"/>
    </row>
    <row r="383" ht="15.75" customHeight="1">
      <c r="A383" s="234"/>
      <c r="B383" s="234"/>
      <c r="C383" s="234"/>
      <c r="D383" s="234"/>
      <c r="E383" s="234"/>
      <c r="F383" s="234"/>
      <c r="G383" s="234"/>
      <c r="H383" s="234"/>
      <c r="I383" s="234"/>
      <c r="J383" s="234"/>
    </row>
    <row r="384" ht="15.75" customHeight="1">
      <c r="A384" s="234"/>
      <c r="B384" s="234"/>
      <c r="C384" s="234"/>
      <c r="D384" s="234"/>
      <c r="E384" s="234"/>
      <c r="F384" s="234"/>
      <c r="G384" s="234"/>
      <c r="H384" s="234"/>
      <c r="I384" s="234"/>
      <c r="J384" s="234"/>
    </row>
    <row r="385" ht="15.75" customHeight="1">
      <c r="A385" s="234"/>
      <c r="B385" s="234"/>
      <c r="C385" s="234"/>
      <c r="D385" s="234"/>
      <c r="E385" s="234"/>
      <c r="F385" s="234"/>
      <c r="G385" s="234"/>
      <c r="H385" s="234"/>
      <c r="I385" s="234"/>
      <c r="J385" s="234"/>
    </row>
    <row r="386" ht="15.75" customHeight="1">
      <c r="A386" s="234"/>
      <c r="B386" s="234"/>
      <c r="C386" s="234"/>
      <c r="D386" s="234"/>
      <c r="E386" s="234"/>
      <c r="F386" s="234"/>
      <c r="G386" s="234"/>
      <c r="H386" s="234"/>
      <c r="I386" s="234"/>
      <c r="J386" s="234"/>
    </row>
    <row r="387" ht="15.75" customHeight="1">
      <c r="A387" s="234"/>
      <c r="B387" s="234"/>
      <c r="C387" s="234"/>
      <c r="D387" s="234"/>
      <c r="E387" s="234"/>
      <c r="F387" s="234"/>
      <c r="G387" s="234"/>
      <c r="H387" s="234"/>
      <c r="I387" s="234"/>
      <c r="J387" s="234"/>
    </row>
    <row r="388" ht="15.75" customHeight="1">
      <c r="A388" s="234"/>
      <c r="B388" s="234"/>
      <c r="C388" s="234"/>
      <c r="D388" s="234"/>
      <c r="E388" s="234"/>
      <c r="F388" s="234"/>
      <c r="G388" s="234"/>
      <c r="H388" s="234"/>
      <c r="I388" s="234"/>
      <c r="J388" s="234"/>
    </row>
    <row r="389" ht="15.75" customHeight="1">
      <c r="A389" s="234"/>
      <c r="B389" s="234"/>
      <c r="C389" s="234"/>
      <c r="D389" s="234"/>
      <c r="E389" s="234"/>
      <c r="F389" s="234"/>
      <c r="G389" s="234"/>
      <c r="H389" s="234"/>
      <c r="I389" s="234"/>
      <c r="J389" s="234"/>
    </row>
    <row r="390" ht="15.75" customHeight="1">
      <c r="A390" s="234"/>
      <c r="B390" s="234"/>
      <c r="C390" s="234"/>
      <c r="D390" s="234"/>
      <c r="E390" s="234"/>
      <c r="F390" s="234"/>
      <c r="G390" s="234"/>
      <c r="H390" s="234"/>
      <c r="I390" s="234"/>
      <c r="J390" s="234"/>
    </row>
    <row r="391" ht="15.75" customHeight="1">
      <c r="A391" s="234"/>
      <c r="B391" s="234"/>
      <c r="C391" s="234"/>
      <c r="D391" s="234"/>
      <c r="E391" s="234"/>
      <c r="F391" s="234"/>
      <c r="G391" s="234"/>
      <c r="H391" s="234"/>
      <c r="I391" s="234"/>
      <c r="J391" s="234"/>
    </row>
    <row r="392" ht="15.75" customHeight="1">
      <c r="A392" s="234"/>
      <c r="B392" s="234"/>
      <c r="C392" s="234"/>
      <c r="D392" s="234"/>
      <c r="E392" s="234"/>
      <c r="F392" s="234"/>
      <c r="G392" s="234"/>
      <c r="H392" s="234"/>
      <c r="I392" s="234"/>
      <c r="J392" s="234"/>
    </row>
    <row r="393" ht="15.75" customHeight="1">
      <c r="A393" s="234"/>
      <c r="B393" s="234"/>
      <c r="C393" s="234"/>
      <c r="D393" s="234"/>
      <c r="E393" s="234"/>
      <c r="F393" s="234"/>
      <c r="G393" s="234"/>
      <c r="H393" s="234"/>
      <c r="I393" s="234"/>
      <c r="J393" s="234"/>
    </row>
    <row r="394" ht="15.75" customHeight="1">
      <c r="A394" s="234"/>
      <c r="B394" s="234"/>
      <c r="C394" s="234"/>
      <c r="D394" s="234"/>
      <c r="E394" s="234"/>
      <c r="F394" s="234"/>
      <c r="G394" s="234"/>
      <c r="H394" s="234"/>
      <c r="I394" s="234"/>
      <c r="J394" s="234"/>
    </row>
    <row r="395" ht="15.75" customHeight="1">
      <c r="A395" s="234"/>
      <c r="B395" s="234"/>
      <c r="C395" s="234"/>
      <c r="D395" s="234"/>
      <c r="E395" s="234"/>
      <c r="F395" s="234"/>
      <c r="G395" s="234"/>
      <c r="H395" s="234"/>
      <c r="I395" s="234"/>
      <c r="J395" s="234"/>
    </row>
    <row r="396" ht="15.75" customHeight="1">
      <c r="A396" s="234"/>
      <c r="B396" s="234"/>
      <c r="C396" s="234"/>
      <c r="D396" s="234"/>
      <c r="E396" s="234"/>
      <c r="F396" s="234"/>
      <c r="G396" s="234"/>
      <c r="H396" s="234"/>
      <c r="I396" s="234"/>
      <c r="J396" s="234"/>
    </row>
    <row r="397" ht="15.75" customHeight="1">
      <c r="A397" s="234"/>
      <c r="B397" s="234"/>
      <c r="C397" s="234"/>
      <c r="D397" s="234"/>
      <c r="E397" s="234"/>
      <c r="F397" s="234"/>
      <c r="G397" s="234"/>
      <c r="H397" s="234"/>
      <c r="I397" s="234"/>
      <c r="J397" s="234"/>
    </row>
    <row r="398" ht="15.75" customHeight="1">
      <c r="A398" s="234"/>
      <c r="B398" s="234"/>
      <c r="C398" s="234"/>
      <c r="D398" s="234"/>
      <c r="E398" s="234"/>
      <c r="F398" s="234"/>
      <c r="G398" s="234"/>
      <c r="H398" s="234"/>
      <c r="I398" s="234"/>
      <c r="J398" s="234"/>
    </row>
    <row r="399" ht="15.75" customHeight="1">
      <c r="A399" s="234"/>
      <c r="B399" s="234"/>
      <c r="C399" s="234"/>
      <c r="D399" s="234"/>
      <c r="E399" s="234"/>
      <c r="F399" s="234"/>
      <c r="G399" s="234"/>
      <c r="H399" s="234"/>
      <c r="I399" s="234"/>
      <c r="J399" s="234"/>
    </row>
    <row r="400" ht="15.75" customHeight="1">
      <c r="A400" s="234"/>
      <c r="B400" s="234"/>
      <c r="C400" s="234"/>
      <c r="D400" s="234"/>
      <c r="E400" s="234"/>
      <c r="F400" s="234"/>
      <c r="G400" s="234"/>
      <c r="H400" s="234"/>
      <c r="I400" s="234"/>
      <c r="J400" s="234"/>
    </row>
    <row r="401" ht="15.75" customHeight="1">
      <c r="A401" s="234"/>
      <c r="B401" s="234"/>
      <c r="C401" s="234"/>
      <c r="D401" s="234"/>
      <c r="E401" s="234"/>
      <c r="F401" s="234"/>
      <c r="G401" s="234"/>
      <c r="H401" s="234"/>
      <c r="I401" s="234"/>
      <c r="J401" s="234"/>
    </row>
    <row r="402" ht="15.75" customHeight="1">
      <c r="A402" s="234"/>
      <c r="B402" s="234"/>
      <c r="C402" s="234"/>
      <c r="D402" s="234"/>
      <c r="E402" s="234"/>
      <c r="F402" s="234"/>
      <c r="G402" s="234"/>
      <c r="H402" s="234"/>
      <c r="I402" s="234"/>
      <c r="J402" s="234"/>
    </row>
    <row r="403" ht="15.75" customHeight="1">
      <c r="A403" s="234"/>
      <c r="B403" s="234"/>
      <c r="C403" s="234"/>
      <c r="D403" s="234"/>
      <c r="E403" s="234"/>
      <c r="F403" s="234"/>
      <c r="G403" s="234"/>
      <c r="H403" s="234"/>
      <c r="I403" s="234"/>
      <c r="J403" s="234"/>
    </row>
    <row r="404" ht="15.75" customHeight="1">
      <c r="A404" s="234"/>
      <c r="B404" s="234"/>
      <c r="C404" s="234"/>
      <c r="D404" s="234"/>
      <c r="E404" s="234"/>
      <c r="F404" s="234"/>
      <c r="G404" s="234"/>
      <c r="H404" s="234"/>
      <c r="I404" s="234"/>
      <c r="J404" s="234"/>
    </row>
    <row r="405" ht="15.75" customHeight="1">
      <c r="A405" s="234"/>
      <c r="B405" s="234"/>
      <c r="C405" s="234"/>
      <c r="D405" s="234"/>
      <c r="E405" s="234"/>
      <c r="F405" s="234"/>
      <c r="G405" s="234"/>
      <c r="H405" s="234"/>
      <c r="I405" s="234"/>
      <c r="J405" s="234"/>
    </row>
    <row r="406" ht="15.75" customHeight="1">
      <c r="A406" s="234"/>
      <c r="B406" s="234"/>
      <c r="C406" s="234"/>
      <c r="D406" s="234"/>
      <c r="E406" s="234"/>
      <c r="F406" s="234"/>
      <c r="G406" s="234"/>
      <c r="H406" s="234"/>
      <c r="I406" s="234"/>
      <c r="J406" s="234"/>
    </row>
    <row r="407" ht="15.75" customHeight="1">
      <c r="A407" s="234"/>
      <c r="B407" s="234"/>
      <c r="C407" s="234"/>
      <c r="D407" s="234"/>
      <c r="E407" s="234"/>
      <c r="F407" s="234"/>
      <c r="G407" s="234"/>
      <c r="H407" s="234"/>
      <c r="I407" s="234"/>
      <c r="J407" s="234"/>
    </row>
    <row r="408" ht="15.75" customHeight="1">
      <c r="A408" s="234"/>
      <c r="B408" s="234"/>
      <c r="C408" s="234"/>
      <c r="D408" s="234"/>
      <c r="E408" s="234"/>
      <c r="F408" s="234"/>
      <c r="G408" s="234"/>
      <c r="H408" s="234"/>
      <c r="I408" s="234"/>
      <c r="J408" s="234"/>
    </row>
    <row r="409" ht="15.75" customHeight="1">
      <c r="A409" s="234"/>
      <c r="B409" s="234"/>
      <c r="C409" s="234"/>
      <c r="D409" s="234"/>
      <c r="E409" s="234"/>
      <c r="F409" s="234"/>
      <c r="G409" s="234"/>
      <c r="H409" s="234"/>
      <c r="I409" s="234"/>
      <c r="J409" s="234"/>
    </row>
    <row r="410" ht="15.75" customHeight="1">
      <c r="A410" s="234"/>
      <c r="B410" s="234"/>
      <c r="C410" s="234"/>
      <c r="D410" s="234"/>
      <c r="E410" s="234"/>
      <c r="F410" s="234"/>
      <c r="G410" s="234"/>
      <c r="H410" s="234"/>
      <c r="I410" s="234"/>
      <c r="J410" s="234"/>
    </row>
    <row r="411" ht="15.75" customHeight="1">
      <c r="A411" s="234"/>
      <c r="B411" s="234"/>
      <c r="C411" s="234"/>
      <c r="D411" s="234"/>
      <c r="E411" s="234"/>
      <c r="F411" s="234"/>
      <c r="G411" s="234"/>
      <c r="H411" s="234"/>
      <c r="I411" s="234"/>
      <c r="J411" s="234"/>
    </row>
    <row r="412" ht="15.75" customHeight="1">
      <c r="A412" s="234"/>
      <c r="B412" s="234"/>
      <c r="C412" s="234"/>
      <c r="D412" s="234"/>
      <c r="E412" s="234"/>
      <c r="F412" s="234"/>
      <c r="G412" s="234"/>
      <c r="H412" s="234"/>
      <c r="I412" s="234"/>
      <c r="J412" s="234"/>
    </row>
    <row r="413" ht="15.75" customHeight="1">
      <c r="A413" s="234"/>
      <c r="B413" s="234"/>
      <c r="C413" s="234"/>
      <c r="D413" s="234"/>
      <c r="E413" s="234"/>
      <c r="F413" s="234"/>
      <c r="G413" s="234"/>
      <c r="H413" s="234"/>
      <c r="I413" s="234"/>
      <c r="J413" s="234"/>
    </row>
    <row r="414" ht="15.75" customHeight="1">
      <c r="A414" s="234"/>
      <c r="B414" s="234"/>
      <c r="C414" s="234"/>
      <c r="D414" s="234"/>
      <c r="E414" s="234"/>
      <c r="F414" s="234"/>
      <c r="G414" s="234"/>
      <c r="H414" s="234"/>
      <c r="I414" s="234"/>
      <c r="J414" s="234"/>
    </row>
    <row r="415" ht="15.75" customHeight="1">
      <c r="A415" s="234"/>
      <c r="B415" s="234"/>
      <c r="C415" s="234"/>
      <c r="D415" s="234"/>
      <c r="E415" s="234"/>
      <c r="F415" s="234"/>
      <c r="G415" s="234"/>
      <c r="H415" s="234"/>
      <c r="I415" s="234"/>
      <c r="J415" s="234"/>
    </row>
    <row r="416" ht="15.75" customHeight="1">
      <c r="A416" s="234"/>
      <c r="B416" s="234"/>
      <c r="C416" s="234"/>
      <c r="D416" s="234"/>
      <c r="E416" s="234"/>
      <c r="F416" s="234"/>
      <c r="G416" s="234"/>
      <c r="H416" s="234"/>
      <c r="I416" s="234"/>
      <c r="J416" s="234"/>
    </row>
    <row r="417" ht="15.75" customHeight="1">
      <c r="A417" s="234"/>
      <c r="B417" s="234"/>
      <c r="C417" s="234"/>
      <c r="D417" s="234"/>
      <c r="E417" s="234"/>
      <c r="F417" s="234"/>
      <c r="G417" s="234"/>
      <c r="H417" s="234"/>
      <c r="I417" s="234"/>
      <c r="J417" s="234"/>
    </row>
    <row r="418" ht="15.75" customHeight="1">
      <c r="A418" s="234"/>
      <c r="B418" s="234"/>
      <c r="C418" s="234"/>
      <c r="D418" s="234"/>
      <c r="E418" s="234"/>
      <c r="F418" s="234"/>
      <c r="G418" s="234"/>
      <c r="H418" s="234"/>
      <c r="I418" s="234"/>
      <c r="J418" s="234"/>
    </row>
    <row r="419" ht="15.75" customHeight="1">
      <c r="A419" s="234"/>
      <c r="B419" s="234"/>
      <c r="C419" s="234"/>
      <c r="D419" s="234"/>
      <c r="E419" s="234"/>
      <c r="F419" s="234"/>
      <c r="G419" s="234"/>
      <c r="H419" s="234"/>
      <c r="I419" s="234"/>
      <c r="J419" s="234"/>
    </row>
    <row r="420" ht="15.75" customHeight="1">
      <c r="A420" s="234"/>
      <c r="B420" s="234"/>
      <c r="C420" s="234"/>
      <c r="D420" s="234"/>
      <c r="E420" s="234"/>
      <c r="F420" s="234"/>
      <c r="G420" s="234"/>
      <c r="H420" s="234"/>
      <c r="I420" s="234"/>
      <c r="J420" s="234"/>
    </row>
    <row r="421" ht="15.75" customHeight="1">
      <c r="A421" s="234"/>
      <c r="B421" s="234"/>
      <c r="C421" s="234"/>
      <c r="D421" s="234"/>
      <c r="E421" s="234"/>
      <c r="F421" s="234"/>
      <c r="G421" s="234"/>
      <c r="H421" s="234"/>
      <c r="I421" s="234"/>
      <c r="J421" s="234"/>
    </row>
    <row r="422" ht="15.75" customHeight="1">
      <c r="A422" s="234"/>
      <c r="B422" s="234"/>
      <c r="C422" s="234"/>
      <c r="D422" s="234"/>
      <c r="E422" s="234"/>
      <c r="F422" s="234"/>
      <c r="G422" s="234"/>
      <c r="H422" s="234"/>
      <c r="I422" s="234"/>
      <c r="J422" s="234"/>
    </row>
    <row r="423" ht="15.75" customHeight="1">
      <c r="A423" s="234"/>
      <c r="B423" s="234"/>
      <c r="C423" s="234"/>
      <c r="D423" s="234"/>
      <c r="E423" s="234"/>
      <c r="F423" s="234"/>
      <c r="G423" s="234"/>
      <c r="H423" s="234"/>
      <c r="I423" s="234"/>
      <c r="J423" s="234"/>
    </row>
    <row r="424" ht="15.75" customHeight="1">
      <c r="A424" s="234"/>
      <c r="B424" s="234"/>
      <c r="C424" s="234"/>
      <c r="D424" s="234"/>
      <c r="E424" s="234"/>
      <c r="F424" s="234"/>
      <c r="G424" s="234"/>
      <c r="H424" s="234"/>
      <c r="I424" s="234"/>
      <c r="J424" s="234"/>
    </row>
    <row r="425" ht="15.75" customHeight="1">
      <c r="A425" s="234"/>
      <c r="B425" s="234"/>
      <c r="C425" s="234"/>
      <c r="D425" s="234"/>
      <c r="E425" s="234"/>
      <c r="F425" s="234"/>
      <c r="G425" s="234"/>
      <c r="H425" s="234"/>
      <c r="I425" s="234"/>
      <c r="J425" s="234"/>
    </row>
    <row r="426" ht="15.75" customHeight="1">
      <c r="A426" s="234"/>
      <c r="B426" s="234"/>
      <c r="C426" s="234"/>
      <c r="D426" s="234"/>
      <c r="E426" s="234"/>
      <c r="F426" s="234"/>
      <c r="G426" s="234"/>
      <c r="H426" s="234"/>
      <c r="I426" s="234"/>
      <c r="J426" s="234"/>
    </row>
    <row r="427" ht="15.75" customHeight="1">
      <c r="A427" s="234"/>
      <c r="B427" s="234"/>
      <c r="C427" s="234"/>
      <c r="D427" s="234"/>
      <c r="E427" s="234"/>
      <c r="F427" s="234"/>
      <c r="G427" s="234"/>
      <c r="H427" s="234"/>
      <c r="I427" s="234"/>
      <c r="J427" s="234"/>
    </row>
    <row r="428" ht="15.75" customHeight="1">
      <c r="A428" s="234"/>
      <c r="B428" s="234"/>
      <c r="C428" s="234"/>
      <c r="D428" s="234"/>
      <c r="E428" s="234"/>
      <c r="F428" s="234"/>
      <c r="G428" s="234"/>
      <c r="H428" s="234"/>
      <c r="I428" s="234"/>
      <c r="J428" s="234"/>
    </row>
    <row r="429" ht="15.75" customHeight="1">
      <c r="A429" s="234"/>
      <c r="B429" s="234"/>
      <c r="C429" s="234"/>
      <c r="D429" s="234"/>
      <c r="E429" s="234"/>
      <c r="F429" s="234"/>
      <c r="G429" s="234"/>
      <c r="H429" s="234"/>
      <c r="I429" s="234"/>
      <c r="J429" s="234"/>
    </row>
    <row r="430" ht="15.75" customHeight="1">
      <c r="A430" s="234"/>
      <c r="B430" s="234"/>
      <c r="C430" s="234"/>
      <c r="D430" s="234"/>
      <c r="E430" s="234"/>
      <c r="F430" s="234"/>
      <c r="G430" s="234"/>
      <c r="H430" s="234"/>
      <c r="I430" s="234"/>
      <c r="J430" s="234"/>
    </row>
    <row r="431" ht="15.75" customHeight="1">
      <c r="A431" s="234"/>
      <c r="B431" s="234"/>
      <c r="C431" s="234"/>
      <c r="D431" s="234"/>
      <c r="E431" s="234"/>
      <c r="F431" s="234"/>
      <c r="G431" s="234"/>
      <c r="H431" s="234"/>
      <c r="I431" s="234"/>
      <c r="J431" s="234"/>
    </row>
    <row r="432" ht="15.75" customHeight="1">
      <c r="A432" s="234"/>
      <c r="B432" s="234"/>
      <c r="C432" s="234"/>
      <c r="D432" s="234"/>
      <c r="E432" s="234"/>
      <c r="F432" s="234"/>
      <c r="G432" s="234"/>
      <c r="H432" s="234"/>
      <c r="I432" s="234"/>
      <c r="J432" s="234"/>
    </row>
    <row r="433" ht="15.75" customHeight="1">
      <c r="A433" s="234"/>
      <c r="B433" s="234"/>
      <c r="C433" s="234"/>
      <c r="D433" s="234"/>
      <c r="E433" s="234"/>
      <c r="F433" s="234"/>
      <c r="G433" s="234"/>
      <c r="H433" s="234"/>
      <c r="I433" s="234"/>
      <c r="J433" s="234"/>
    </row>
    <row r="434" ht="15.75" customHeight="1">
      <c r="A434" s="234"/>
      <c r="B434" s="234"/>
      <c r="C434" s="234"/>
      <c r="D434" s="234"/>
      <c r="E434" s="234"/>
      <c r="F434" s="234"/>
      <c r="G434" s="234"/>
      <c r="H434" s="234"/>
      <c r="I434" s="234"/>
      <c r="J434" s="234"/>
    </row>
    <row r="435" ht="15.75" customHeight="1">
      <c r="A435" s="234"/>
      <c r="B435" s="234"/>
      <c r="C435" s="234"/>
      <c r="D435" s="234"/>
      <c r="E435" s="234"/>
      <c r="F435" s="234"/>
      <c r="G435" s="234"/>
      <c r="H435" s="234"/>
      <c r="I435" s="234"/>
      <c r="J435" s="234"/>
    </row>
    <row r="436" ht="15.75" customHeight="1">
      <c r="A436" s="234"/>
      <c r="B436" s="234"/>
      <c r="C436" s="234"/>
      <c r="D436" s="234"/>
      <c r="E436" s="234"/>
      <c r="F436" s="234"/>
      <c r="G436" s="234"/>
      <c r="H436" s="234"/>
      <c r="I436" s="234"/>
      <c r="J436" s="234"/>
    </row>
    <row r="437" ht="15.75" customHeight="1">
      <c r="A437" s="234"/>
      <c r="B437" s="234"/>
      <c r="C437" s="234"/>
      <c r="D437" s="234"/>
      <c r="E437" s="234"/>
      <c r="F437" s="234"/>
      <c r="G437" s="234"/>
      <c r="H437" s="234"/>
      <c r="I437" s="234"/>
      <c r="J437" s="234"/>
    </row>
    <row r="438" ht="15.75" customHeight="1">
      <c r="A438" s="234"/>
      <c r="B438" s="234"/>
      <c r="C438" s="234"/>
      <c r="D438" s="234"/>
      <c r="E438" s="234"/>
      <c r="F438" s="234"/>
      <c r="G438" s="234"/>
      <c r="H438" s="234"/>
      <c r="I438" s="234"/>
      <c r="J438" s="234"/>
    </row>
    <row r="439" ht="15.75" customHeight="1">
      <c r="A439" s="234"/>
      <c r="B439" s="234"/>
      <c r="C439" s="234"/>
      <c r="D439" s="234"/>
      <c r="E439" s="234"/>
      <c r="F439" s="234"/>
      <c r="G439" s="234"/>
      <c r="H439" s="234"/>
      <c r="I439" s="234"/>
      <c r="J439" s="234"/>
    </row>
    <row r="440" ht="15.75" customHeight="1">
      <c r="A440" s="234"/>
      <c r="B440" s="234"/>
      <c r="C440" s="234"/>
      <c r="D440" s="234"/>
      <c r="E440" s="234"/>
      <c r="F440" s="234"/>
      <c r="G440" s="234"/>
      <c r="H440" s="234"/>
      <c r="I440" s="234"/>
      <c r="J440" s="234"/>
    </row>
    <row r="441" ht="15.75" customHeight="1">
      <c r="A441" s="234"/>
      <c r="B441" s="234"/>
      <c r="C441" s="234"/>
      <c r="D441" s="234"/>
      <c r="E441" s="234"/>
      <c r="F441" s="234"/>
      <c r="G441" s="234"/>
      <c r="H441" s="234"/>
      <c r="I441" s="234"/>
      <c r="J441" s="234"/>
    </row>
    <row r="442" ht="15.75" customHeight="1">
      <c r="A442" s="234"/>
      <c r="B442" s="234"/>
      <c r="C442" s="234"/>
      <c r="D442" s="234"/>
      <c r="E442" s="234"/>
      <c r="F442" s="234"/>
      <c r="G442" s="234"/>
      <c r="H442" s="234"/>
      <c r="I442" s="234"/>
      <c r="J442" s="234"/>
    </row>
    <row r="443" ht="15.75" customHeight="1">
      <c r="A443" s="234"/>
      <c r="B443" s="234"/>
      <c r="C443" s="234"/>
      <c r="D443" s="234"/>
      <c r="E443" s="234"/>
      <c r="F443" s="234"/>
      <c r="G443" s="234"/>
      <c r="H443" s="234"/>
      <c r="I443" s="234"/>
      <c r="J443" s="234"/>
    </row>
    <row r="444" ht="15.75" customHeight="1">
      <c r="A444" s="234"/>
      <c r="B444" s="234"/>
      <c r="C444" s="234"/>
      <c r="D444" s="234"/>
      <c r="E444" s="234"/>
      <c r="F444" s="234"/>
      <c r="G444" s="234"/>
      <c r="H444" s="234"/>
      <c r="I444" s="234"/>
      <c r="J444" s="234"/>
    </row>
    <row r="445" ht="15.75" customHeight="1">
      <c r="A445" s="234"/>
      <c r="B445" s="234"/>
      <c r="C445" s="234"/>
      <c r="D445" s="234"/>
      <c r="E445" s="234"/>
      <c r="F445" s="234"/>
      <c r="G445" s="234"/>
      <c r="H445" s="234"/>
      <c r="I445" s="234"/>
      <c r="J445" s="234"/>
    </row>
    <row r="446" ht="15.75" customHeight="1">
      <c r="A446" s="234"/>
      <c r="B446" s="234"/>
      <c r="C446" s="234"/>
      <c r="D446" s="234"/>
      <c r="E446" s="234"/>
      <c r="F446" s="234"/>
      <c r="G446" s="234"/>
      <c r="H446" s="234"/>
      <c r="I446" s="234"/>
      <c r="J446" s="234"/>
    </row>
    <row r="447" ht="15.75" customHeight="1">
      <c r="A447" s="234"/>
      <c r="B447" s="234"/>
      <c r="C447" s="234"/>
      <c r="D447" s="234"/>
      <c r="E447" s="234"/>
      <c r="F447" s="234"/>
      <c r="G447" s="234"/>
      <c r="H447" s="234"/>
      <c r="I447" s="234"/>
      <c r="J447" s="234"/>
    </row>
    <row r="448" ht="15.75" customHeight="1">
      <c r="A448" s="234"/>
      <c r="B448" s="234"/>
      <c r="C448" s="234"/>
      <c r="D448" s="234"/>
      <c r="E448" s="234"/>
      <c r="F448" s="234"/>
      <c r="G448" s="234"/>
      <c r="H448" s="234"/>
      <c r="I448" s="234"/>
      <c r="J448" s="234"/>
    </row>
    <row r="449" ht="15.75" customHeight="1">
      <c r="A449" s="234"/>
      <c r="B449" s="234"/>
      <c r="C449" s="234"/>
      <c r="D449" s="234"/>
      <c r="E449" s="234"/>
      <c r="F449" s="234"/>
      <c r="G449" s="234"/>
      <c r="H449" s="234"/>
      <c r="I449" s="234"/>
      <c r="J449" s="234"/>
    </row>
    <row r="450" ht="15.75" customHeight="1">
      <c r="A450" s="234"/>
      <c r="B450" s="234"/>
      <c r="C450" s="234"/>
      <c r="D450" s="234"/>
      <c r="E450" s="234"/>
      <c r="F450" s="234"/>
      <c r="G450" s="234"/>
      <c r="H450" s="234"/>
      <c r="I450" s="234"/>
      <c r="J450" s="234"/>
    </row>
    <row r="451" ht="15.75" customHeight="1">
      <c r="A451" s="234"/>
      <c r="B451" s="234"/>
      <c r="C451" s="234"/>
      <c r="D451" s="234"/>
      <c r="E451" s="234"/>
      <c r="F451" s="234"/>
      <c r="G451" s="234"/>
      <c r="H451" s="234"/>
      <c r="I451" s="234"/>
      <c r="J451" s="234"/>
    </row>
    <row r="452" ht="15.75" customHeight="1">
      <c r="A452" s="234"/>
      <c r="B452" s="234"/>
      <c r="C452" s="234"/>
      <c r="D452" s="234"/>
      <c r="E452" s="234"/>
      <c r="F452" s="234"/>
      <c r="G452" s="234"/>
      <c r="H452" s="234"/>
      <c r="I452" s="234"/>
      <c r="J452" s="234"/>
    </row>
    <row r="453" ht="15.75" customHeight="1">
      <c r="A453" s="234"/>
      <c r="B453" s="234"/>
      <c r="C453" s="234"/>
      <c r="D453" s="234"/>
      <c r="E453" s="234"/>
      <c r="F453" s="234"/>
      <c r="G453" s="234"/>
      <c r="H453" s="234"/>
      <c r="I453" s="234"/>
      <c r="J453" s="234"/>
    </row>
    <row r="454" ht="15.75" customHeight="1">
      <c r="A454" s="234"/>
      <c r="B454" s="234"/>
      <c r="C454" s="234"/>
      <c r="D454" s="234"/>
      <c r="E454" s="234"/>
      <c r="F454" s="234"/>
      <c r="G454" s="234"/>
      <c r="H454" s="234"/>
      <c r="I454" s="234"/>
      <c r="J454" s="234"/>
    </row>
    <row r="455" ht="15.75" customHeight="1">
      <c r="A455" s="234"/>
      <c r="B455" s="234"/>
      <c r="C455" s="234"/>
      <c r="D455" s="234"/>
      <c r="E455" s="234"/>
      <c r="F455" s="234"/>
      <c r="G455" s="234"/>
      <c r="H455" s="234"/>
      <c r="I455" s="234"/>
      <c r="J455" s="234"/>
    </row>
    <row r="456" ht="15.75" customHeight="1">
      <c r="A456" s="234"/>
      <c r="B456" s="234"/>
      <c r="C456" s="234"/>
      <c r="D456" s="234"/>
      <c r="E456" s="234"/>
      <c r="F456" s="234"/>
      <c r="G456" s="234"/>
      <c r="H456" s="234"/>
      <c r="I456" s="234"/>
      <c r="J456" s="234"/>
    </row>
    <row r="457" ht="15.75" customHeight="1">
      <c r="A457" s="234"/>
      <c r="B457" s="234"/>
      <c r="C457" s="234"/>
      <c r="D457" s="234"/>
      <c r="E457" s="234"/>
      <c r="F457" s="234"/>
      <c r="G457" s="234"/>
      <c r="H457" s="234"/>
      <c r="I457" s="234"/>
      <c r="J457" s="234"/>
    </row>
    <row r="458" ht="15.75" customHeight="1">
      <c r="A458" s="234"/>
      <c r="B458" s="234"/>
      <c r="C458" s="234"/>
      <c r="D458" s="234"/>
      <c r="E458" s="234"/>
      <c r="F458" s="234"/>
      <c r="G458" s="234"/>
      <c r="H458" s="234"/>
      <c r="I458" s="234"/>
      <c r="J458" s="234"/>
    </row>
    <row r="459" ht="15.75" customHeight="1">
      <c r="A459" s="234"/>
      <c r="B459" s="234"/>
      <c r="C459" s="234"/>
      <c r="D459" s="234"/>
      <c r="E459" s="234"/>
      <c r="F459" s="234"/>
      <c r="G459" s="234"/>
      <c r="H459" s="234"/>
      <c r="I459" s="234"/>
      <c r="J459" s="234"/>
    </row>
    <row r="460" ht="15.75" customHeight="1">
      <c r="A460" s="234"/>
      <c r="B460" s="234"/>
      <c r="C460" s="234"/>
      <c r="D460" s="234"/>
      <c r="E460" s="234"/>
      <c r="F460" s="234"/>
      <c r="G460" s="234"/>
      <c r="H460" s="234"/>
      <c r="I460" s="234"/>
      <c r="J460" s="234"/>
    </row>
    <row r="461" ht="15.75" customHeight="1">
      <c r="A461" s="234"/>
      <c r="B461" s="234"/>
      <c r="C461" s="234"/>
      <c r="D461" s="234"/>
      <c r="E461" s="234"/>
      <c r="F461" s="234"/>
      <c r="G461" s="234"/>
      <c r="H461" s="234"/>
      <c r="I461" s="234"/>
      <c r="J461" s="234"/>
    </row>
    <row r="462" ht="15.75" customHeight="1">
      <c r="A462" s="234"/>
      <c r="B462" s="234"/>
      <c r="C462" s="234"/>
      <c r="D462" s="234"/>
      <c r="E462" s="234"/>
      <c r="F462" s="234"/>
      <c r="G462" s="234"/>
      <c r="H462" s="234"/>
      <c r="I462" s="234"/>
      <c r="J462" s="234"/>
    </row>
    <row r="463" ht="15.75" customHeight="1">
      <c r="A463" s="234"/>
      <c r="B463" s="234"/>
      <c r="C463" s="234"/>
      <c r="D463" s="234"/>
      <c r="E463" s="234"/>
      <c r="F463" s="234"/>
      <c r="G463" s="234"/>
      <c r="H463" s="234"/>
      <c r="I463" s="234"/>
      <c r="J463" s="234"/>
    </row>
    <row r="464" ht="15.75" customHeight="1">
      <c r="A464" s="234"/>
      <c r="B464" s="234"/>
      <c r="C464" s="234"/>
      <c r="D464" s="234"/>
      <c r="E464" s="234"/>
      <c r="F464" s="234"/>
      <c r="G464" s="234"/>
      <c r="H464" s="234"/>
      <c r="I464" s="234"/>
      <c r="J464" s="234"/>
    </row>
    <row r="465" ht="15.75" customHeight="1">
      <c r="A465" s="234"/>
      <c r="B465" s="234"/>
      <c r="C465" s="234"/>
      <c r="D465" s="234"/>
      <c r="E465" s="234"/>
      <c r="F465" s="234"/>
      <c r="G465" s="234"/>
      <c r="H465" s="234"/>
      <c r="I465" s="234"/>
      <c r="J465" s="234"/>
    </row>
    <row r="466" ht="15.75" customHeight="1">
      <c r="A466" s="234"/>
      <c r="B466" s="234"/>
      <c r="C466" s="234"/>
      <c r="D466" s="234"/>
      <c r="E466" s="234"/>
      <c r="F466" s="234"/>
      <c r="G466" s="234"/>
      <c r="H466" s="234"/>
      <c r="I466" s="234"/>
      <c r="J466" s="234"/>
    </row>
    <row r="467" ht="15.75" customHeight="1">
      <c r="A467" s="234"/>
      <c r="B467" s="234"/>
      <c r="C467" s="234"/>
      <c r="D467" s="234"/>
      <c r="E467" s="234"/>
      <c r="F467" s="234"/>
      <c r="G467" s="234"/>
      <c r="H467" s="234"/>
      <c r="I467" s="234"/>
      <c r="J467" s="234"/>
    </row>
    <row r="468" ht="15.75" customHeight="1">
      <c r="A468" s="234"/>
      <c r="B468" s="234"/>
      <c r="C468" s="234"/>
      <c r="D468" s="234"/>
      <c r="E468" s="234"/>
      <c r="F468" s="234"/>
      <c r="G468" s="234"/>
      <c r="H468" s="234"/>
      <c r="I468" s="234"/>
      <c r="J468" s="234"/>
    </row>
    <row r="469" ht="15.75" customHeight="1">
      <c r="A469" s="234"/>
      <c r="B469" s="234"/>
      <c r="C469" s="234"/>
      <c r="D469" s="234"/>
      <c r="E469" s="234"/>
      <c r="F469" s="234"/>
      <c r="G469" s="234"/>
      <c r="H469" s="234"/>
      <c r="I469" s="234"/>
      <c r="J469" s="234"/>
    </row>
    <row r="470" ht="15.75" customHeight="1">
      <c r="A470" s="234"/>
      <c r="B470" s="234"/>
      <c r="C470" s="234"/>
      <c r="D470" s="234"/>
      <c r="E470" s="234"/>
      <c r="F470" s="234"/>
      <c r="G470" s="234"/>
      <c r="H470" s="234"/>
      <c r="I470" s="234"/>
      <c r="J470" s="234"/>
    </row>
    <row r="471" ht="15.75" customHeight="1">
      <c r="A471" s="234"/>
      <c r="B471" s="234"/>
      <c r="C471" s="234"/>
      <c r="D471" s="234"/>
      <c r="E471" s="234"/>
      <c r="F471" s="234"/>
      <c r="G471" s="234"/>
      <c r="H471" s="234"/>
      <c r="I471" s="234"/>
      <c r="J471" s="234"/>
    </row>
    <row r="472" ht="15.75" customHeight="1">
      <c r="A472" s="234"/>
      <c r="B472" s="234"/>
      <c r="C472" s="234"/>
      <c r="D472" s="234"/>
      <c r="E472" s="234"/>
      <c r="F472" s="234"/>
      <c r="G472" s="234"/>
      <c r="H472" s="234"/>
      <c r="I472" s="234"/>
      <c r="J472" s="234"/>
    </row>
    <row r="473" ht="15.75" customHeight="1">
      <c r="A473" s="234"/>
      <c r="B473" s="234"/>
      <c r="C473" s="234"/>
      <c r="D473" s="234"/>
      <c r="E473" s="234"/>
      <c r="F473" s="234"/>
      <c r="G473" s="234"/>
      <c r="H473" s="234"/>
      <c r="I473" s="234"/>
      <c r="J473" s="234"/>
    </row>
    <row r="474" ht="15.75" customHeight="1">
      <c r="A474" s="234"/>
      <c r="B474" s="234"/>
      <c r="C474" s="234"/>
      <c r="D474" s="234"/>
      <c r="E474" s="234"/>
      <c r="F474" s="234"/>
      <c r="G474" s="234"/>
      <c r="H474" s="234"/>
      <c r="I474" s="234"/>
      <c r="J474" s="234"/>
    </row>
    <row r="475" ht="15.75" customHeight="1">
      <c r="A475" s="234"/>
      <c r="B475" s="234"/>
      <c r="C475" s="234"/>
      <c r="D475" s="234"/>
      <c r="E475" s="234"/>
      <c r="F475" s="234"/>
      <c r="G475" s="234"/>
      <c r="H475" s="234"/>
      <c r="I475" s="234"/>
      <c r="J475" s="234"/>
    </row>
    <row r="476" ht="15.75" customHeight="1">
      <c r="A476" s="234"/>
      <c r="B476" s="234"/>
      <c r="C476" s="234"/>
      <c r="D476" s="234"/>
      <c r="E476" s="234"/>
      <c r="F476" s="234"/>
      <c r="G476" s="234"/>
      <c r="H476" s="234"/>
      <c r="I476" s="234"/>
      <c r="J476" s="234"/>
    </row>
    <row r="477" ht="15.75" customHeight="1">
      <c r="A477" s="234"/>
      <c r="B477" s="234"/>
      <c r="C477" s="234"/>
      <c r="D477" s="234"/>
      <c r="E477" s="234"/>
      <c r="F477" s="234"/>
      <c r="G477" s="234"/>
      <c r="H477" s="234"/>
      <c r="I477" s="234"/>
      <c r="J477" s="234"/>
    </row>
    <row r="478" ht="15.75" customHeight="1">
      <c r="A478" s="234"/>
      <c r="B478" s="234"/>
      <c r="C478" s="234"/>
      <c r="D478" s="234"/>
      <c r="E478" s="234"/>
      <c r="F478" s="234"/>
      <c r="G478" s="234"/>
      <c r="H478" s="234"/>
      <c r="I478" s="234"/>
      <c r="J478" s="234"/>
    </row>
    <row r="479" ht="15.75" customHeight="1">
      <c r="A479" s="234"/>
      <c r="B479" s="234"/>
      <c r="C479" s="234"/>
      <c r="D479" s="234"/>
      <c r="E479" s="234"/>
      <c r="F479" s="234"/>
      <c r="G479" s="234"/>
      <c r="H479" s="234"/>
      <c r="I479" s="234"/>
      <c r="J479" s="234"/>
    </row>
    <row r="480" ht="15.75" customHeight="1">
      <c r="A480" s="234"/>
      <c r="B480" s="234"/>
      <c r="C480" s="234"/>
      <c r="D480" s="234"/>
      <c r="E480" s="234"/>
      <c r="F480" s="234"/>
      <c r="G480" s="234"/>
      <c r="H480" s="234"/>
      <c r="I480" s="234"/>
      <c r="J480" s="234"/>
    </row>
    <row r="481" ht="15.75" customHeight="1">
      <c r="A481" s="234"/>
      <c r="B481" s="234"/>
      <c r="C481" s="234"/>
      <c r="D481" s="234"/>
      <c r="E481" s="234"/>
      <c r="F481" s="234"/>
      <c r="G481" s="234"/>
      <c r="H481" s="234"/>
      <c r="I481" s="234"/>
      <c r="J481" s="234"/>
    </row>
    <row r="482" ht="15.75" customHeight="1">
      <c r="A482" s="234"/>
      <c r="B482" s="234"/>
      <c r="C482" s="234"/>
      <c r="D482" s="234"/>
      <c r="E482" s="234"/>
      <c r="F482" s="234"/>
      <c r="G482" s="234"/>
      <c r="H482" s="234"/>
      <c r="I482" s="234"/>
      <c r="J482" s="234"/>
    </row>
    <row r="483" ht="15.75" customHeight="1">
      <c r="A483" s="234"/>
      <c r="B483" s="234"/>
      <c r="C483" s="234"/>
      <c r="D483" s="234"/>
      <c r="E483" s="234"/>
      <c r="F483" s="234"/>
      <c r="G483" s="234"/>
      <c r="H483" s="234"/>
      <c r="I483" s="234"/>
      <c r="J483" s="234"/>
    </row>
    <row r="484" ht="15.75" customHeight="1">
      <c r="A484" s="234"/>
      <c r="B484" s="234"/>
      <c r="C484" s="234"/>
      <c r="D484" s="234"/>
      <c r="E484" s="234"/>
      <c r="F484" s="234"/>
      <c r="G484" s="234"/>
      <c r="H484" s="234"/>
      <c r="I484" s="234"/>
      <c r="J484" s="234"/>
    </row>
    <row r="485" ht="15.75" customHeight="1">
      <c r="A485" s="234"/>
      <c r="B485" s="234"/>
      <c r="C485" s="234"/>
      <c r="D485" s="234"/>
      <c r="E485" s="234"/>
      <c r="F485" s="234"/>
      <c r="G485" s="234"/>
      <c r="H485" s="234"/>
      <c r="I485" s="234"/>
      <c r="J485" s="234"/>
    </row>
    <row r="486" ht="15.75" customHeight="1">
      <c r="A486" s="234"/>
      <c r="B486" s="234"/>
      <c r="C486" s="234"/>
      <c r="D486" s="234"/>
      <c r="E486" s="234"/>
      <c r="F486" s="234"/>
      <c r="G486" s="234"/>
      <c r="H486" s="234"/>
      <c r="I486" s="234"/>
      <c r="J486" s="234"/>
    </row>
    <row r="487" ht="15.75" customHeight="1">
      <c r="A487" s="234"/>
      <c r="B487" s="234"/>
      <c r="C487" s="234"/>
      <c r="D487" s="234"/>
      <c r="E487" s="234"/>
      <c r="F487" s="234"/>
      <c r="G487" s="234"/>
      <c r="H487" s="234"/>
      <c r="I487" s="234"/>
      <c r="J487" s="234"/>
    </row>
    <row r="488" ht="15.75" customHeight="1">
      <c r="A488" s="234"/>
      <c r="B488" s="234"/>
      <c r="C488" s="234"/>
      <c r="D488" s="234"/>
      <c r="E488" s="234"/>
      <c r="F488" s="234"/>
      <c r="G488" s="234"/>
      <c r="H488" s="234"/>
      <c r="I488" s="234"/>
      <c r="J488" s="234"/>
    </row>
    <row r="489" ht="15.75" customHeight="1">
      <c r="A489" s="234"/>
      <c r="B489" s="234"/>
      <c r="C489" s="234"/>
      <c r="D489" s="234"/>
      <c r="E489" s="234"/>
      <c r="F489" s="234"/>
      <c r="G489" s="234"/>
      <c r="H489" s="234"/>
      <c r="I489" s="234"/>
      <c r="J489" s="234"/>
    </row>
    <row r="490" ht="15.75" customHeight="1">
      <c r="A490" s="234"/>
      <c r="B490" s="234"/>
      <c r="C490" s="234"/>
      <c r="D490" s="234"/>
      <c r="E490" s="234"/>
      <c r="F490" s="234"/>
      <c r="G490" s="234"/>
      <c r="H490" s="234"/>
      <c r="I490" s="234"/>
      <c r="J490" s="234"/>
    </row>
    <row r="491" ht="15.75" customHeight="1">
      <c r="A491" s="234"/>
      <c r="B491" s="234"/>
      <c r="C491" s="234"/>
      <c r="D491" s="234"/>
      <c r="E491" s="234"/>
      <c r="F491" s="234"/>
      <c r="G491" s="234"/>
      <c r="H491" s="234"/>
      <c r="I491" s="234"/>
      <c r="J491" s="234"/>
    </row>
    <row r="492" ht="15.75" customHeight="1">
      <c r="A492" s="234"/>
      <c r="B492" s="234"/>
      <c r="C492" s="234"/>
      <c r="D492" s="234"/>
      <c r="E492" s="234"/>
      <c r="F492" s="234"/>
      <c r="G492" s="234"/>
      <c r="H492" s="234"/>
      <c r="I492" s="234"/>
      <c r="J492" s="234"/>
    </row>
    <row r="493" ht="15.75" customHeight="1">
      <c r="A493" s="234"/>
      <c r="B493" s="234"/>
      <c r="C493" s="234"/>
      <c r="D493" s="234"/>
      <c r="E493" s="234"/>
      <c r="F493" s="234"/>
      <c r="G493" s="234"/>
      <c r="H493" s="234"/>
      <c r="I493" s="234"/>
      <c r="J493" s="234"/>
    </row>
    <row r="494" ht="15.75" customHeight="1">
      <c r="A494" s="234"/>
      <c r="B494" s="234"/>
      <c r="C494" s="234"/>
      <c r="D494" s="234"/>
      <c r="E494" s="234"/>
      <c r="F494" s="234"/>
      <c r="G494" s="234"/>
      <c r="H494" s="234"/>
      <c r="I494" s="234"/>
      <c r="J494" s="234"/>
    </row>
    <row r="495" ht="15.75" customHeight="1">
      <c r="A495" s="234"/>
      <c r="B495" s="234"/>
      <c r="C495" s="234"/>
      <c r="D495" s="234"/>
      <c r="E495" s="234"/>
      <c r="F495" s="234"/>
      <c r="G495" s="234"/>
      <c r="H495" s="234"/>
      <c r="I495" s="234"/>
      <c r="J495" s="234"/>
    </row>
    <row r="496" ht="15.75" customHeight="1">
      <c r="A496" s="234"/>
      <c r="B496" s="234"/>
      <c r="C496" s="234"/>
      <c r="D496" s="234"/>
      <c r="E496" s="234"/>
      <c r="F496" s="234"/>
      <c r="G496" s="234"/>
      <c r="H496" s="234"/>
      <c r="I496" s="234"/>
      <c r="J496" s="234"/>
    </row>
    <row r="497" ht="15.75" customHeight="1">
      <c r="A497" s="234"/>
      <c r="B497" s="234"/>
      <c r="C497" s="234"/>
      <c r="D497" s="234"/>
      <c r="E497" s="234"/>
      <c r="F497" s="234"/>
      <c r="G497" s="234"/>
      <c r="H497" s="234"/>
      <c r="I497" s="234"/>
      <c r="J497" s="234"/>
    </row>
    <row r="498" ht="15.75" customHeight="1">
      <c r="A498" s="234"/>
      <c r="B498" s="234"/>
      <c r="C498" s="234"/>
      <c r="D498" s="234"/>
      <c r="E498" s="234"/>
      <c r="F498" s="234"/>
      <c r="G498" s="234"/>
      <c r="H498" s="234"/>
      <c r="I498" s="234"/>
      <c r="J498" s="234"/>
    </row>
    <row r="499" ht="15.75" customHeight="1">
      <c r="A499" s="234"/>
      <c r="B499" s="234"/>
      <c r="C499" s="234"/>
      <c r="D499" s="234"/>
      <c r="E499" s="234"/>
      <c r="F499" s="234"/>
      <c r="G499" s="234"/>
      <c r="H499" s="234"/>
      <c r="I499" s="234"/>
      <c r="J499" s="234"/>
    </row>
    <row r="500" ht="15.75" customHeight="1">
      <c r="A500" s="234"/>
      <c r="B500" s="234"/>
      <c r="C500" s="234"/>
      <c r="D500" s="234"/>
      <c r="E500" s="234"/>
      <c r="F500" s="234"/>
      <c r="G500" s="234"/>
      <c r="H500" s="234"/>
      <c r="I500" s="234"/>
      <c r="J500" s="234"/>
    </row>
    <row r="501" ht="15.75" customHeight="1">
      <c r="A501" s="234"/>
      <c r="B501" s="234"/>
      <c r="C501" s="234"/>
      <c r="D501" s="234"/>
      <c r="E501" s="234"/>
      <c r="F501" s="234"/>
      <c r="G501" s="234"/>
      <c r="H501" s="234"/>
      <c r="I501" s="234"/>
      <c r="J501" s="234"/>
    </row>
    <row r="502" ht="15.75" customHeight="1">
      <c r="A502" s="234"/>
      <c r="B502" s="234"/>
      <c r="C502" s="234"/>
      <c r="D502" s="234"/>
      <c r="E502" s="234"/>
      <c r="F502" s="234"/>
      <c r="G502" s="234"/>
      <c r="H502" s="234"/>
      <c r="I502" s="234"/>
      <c r="J502" s="234"/>
    </row>
    <row r="503" ht="15.75" customHeight="1">
      <c r="A503" s="234"/>
      <c r="B503" s="234"/>
      <c r="C503" s="234"/>
      <c r="D503" s="234"/>
      <c r="E503" s="234"/>
      <c r="F503" s="234"/>
      <c r="G503" s="234"/>
      <c r="H503" s="234"/>
      <c r="I503" s="234"/>
      <c r="J503" s="234"/>
    </row>
    <row r="504" ht="15.75" customHeight="1">
      <c r="A504" s="234"/>
      <c r="B504" s="234"/>
      <c r="C504" s="234"/>
      <c r="D504" s="234"/>
      <c r="E504" s="234"/>
      <c r="F504" s="234"/>
      <c r="G504" s="234"/>
      <c r="H504" s="234"/>
      <c r="I504" s="234"/>
      <c r="J504" s="234"/>
    </row>
    <row r="505" ht="15.75" customHeight="1">
      <c r="A505" s="234"/>
      <c r="B505" s="234"/>
      <c r="C505" s="234"/>
      <c r="D505" s="234"/>
      <c r="E505" s="234"/>
      <c r="F505" s="234"/>
      <c r="G505" s="234"/>
      <c r="H505" s="234"/>
      <c r="I505" s="234"/>
      <c r="J505" s="234"/>
    </row>
    <row r="506" ht="15.75" customHeight="1">
      <c r="A506" s="234"/>
      <c r="B506" s="234"/>
      <c r="C506" s="234"/>
      <c r="D506" s="234"/>
      <c r="E506" s="234"/>
      <c r="F506" s="234"/>
      <c r="G506" s="234"/>
      <c r="H506" s="234"/>
      <c r="I506" s="234"/>
      <c r="J506" s="234"/>
    </row>
    <row r="507" ht="15.75" customHeight="1">
      <c r="A507" s="234"/>
      <c r="B507" s="234"/>
      <c r="C507" s="234"/>
      <c r="D507" s="234"/>
      <c r="E507" s="234"/>
      <c r="F507" s="234"/>
      <c r="G507" s="234"/>
      <c r="H507" s="234"/>
      <c r="I507" s="234"/>
      <c r="J507" s="234"/>
    </row>
    <row r="508" ht="15.75" customHeight="1">
      <c r="A508" s="234"/>
      <c r="B508" s="234"/>
      <c r="C508" s="234"/>
      <c r="D508" s="234"/>
      <c r="E508" s="234"/>
      <c r="F508" s="234"/>
      <c r="G508" s="234"/>
      <c r="H508" s="234"/>
      <c r="I508" s="234"/>
      <c r="J508" s="234"/>
    </row>
    <row r="509" ht="15.75" customHeight="1">
      <c r="A509" s="234"/>
      <c r="B509" s="234"/>
      <c r="C509" s="234"/>
      <c r="D509" s="234"/>
      <c r="E509" s="234"/>
      <c r="F509" s="234"/>
      <c r="G509" s="234"/>
      <c r="H509" s="234"/>
      <c r="I509" s="234"/>
      <c r="J509" s="234"/>
    </row>
    <row r="510" ht="15.75" customHeight="1">
      <c r="A510" s="234"/>
      <c r="B510" s="234"/>
      <c r="C510" s="234"/>
      <c r="D510" s="234"/>
      <c r="E510" s="234"/>
      <c r="F510" s="234"/>
      <c r="G510" s="234"/>
      <c r="H510" s="234"/>
      <c r="I510" s="234"/>
      <c r="J510" s="234"/>
    </row>
    <row r="511" ht="15.75" customHeight="1">
      <c r="A511" s="234"/>
      <c r="B511" s="234"/>
      <c r="C511" s="234"/>
      <c r="D511" s="234"/>
      <c r="E511" s="234"/>
      <c r="F511" s="234"/>
      <c r="G511" s="234"/>
      <c r="H511" s="234"/>
      <c r="I511" s="234"/>
      <c r="J511" s="234"/>
    </row>
    <row r="512" ht="15.75" customHeight="1">
      <c r="A512" s="234"/>
      <c r="B512" s="234"/>
      <c r="C512" s="234"/>
      <c r="D512" s="234"/>
      <c r="E512" s="234"/>
      <c r="F512" s="234"/>
      <c r="G512" s="234"/>
      <c r="H512" s="234"/>
      <c r="I512" s="234"/>
      <c r="J512" s="234"/>
    </row>
    <row r="513" ht="15.75" customHeight="1">
      <c r="A513" s="234"/>
      <c r="B513" s="234"/>
      <c r="C513" s="234"/>
      <c r="D513" s="234"/>
      <c r="E513" s="234"/>
      <c r="F513" s="234"/>
      <c r="G513" s="234"/>
      <c r="H513" s="234"/>
      <c r="I513" s="234"/>
      <c r="J513" s="234"/>
    </row>
    <row r="514" ht="15.75" customHeight="1">
      <c r="A514" s="234"/>
      <c r="B514" s="234"/>
      <c r="C514" s="234"/>
      <c r="D514" s="234"/>
      <c r="E514" s="234"/>
      <c r="F514" s="234"/>
      <c r="G514" s="234"/>
      <c r="H514" s="234"/>
      <c r="I514" s="234"/>
      <c r="J514" s="234"/>
    </row>
    <row r="515" ht="15.75" customHeight="1">
      <c r="A515" s="234"/>
      <c r="B515" s="234"/>
      <c r="C515" s="234"/>
      <c r="D515" s="234"/>
      <c r="E515" s="234"/>
      <c r="F515" s="234"/>
      <c r="G515" s="234"/>
      <c r="H515" s="234"/>
      <c r="I515" s="234"/>
      <c r="J515" s="234"/>
    </row>
    <row r="516" ht="15.75" customHeight="1">
      <c r="A516" s="234"/>
      <c r="B516" s="234"/>
      <c r="C516" s="234"/>
      <c r="D516" s="234"/>
      <c r="E516" s="234"/>
      <c r="F516" s="234"/>
      <c r="G516" s="234"/>
      <c r="H516" s="234"/>
      <c r="I516" s="234"/>
      <c r="J516" s="234"/>
    </row>
    <row r="517" ht="15.75" customHeight="1">
      <c r="A517" s="234"/>
      <c r="B517" s="234"/>
      <c r="C517" s="234"/>
      <c r="D517" s="234"/>
      <c r="E517" s="234"/>
      <c r="F517" s="234"/>
      <c r="G517" s="234"/>
      <c r="H517" s="234"/>
      <c r="I517" s="234"/>
      <c r="J517" s="234"/>
    </row>
    <row r="518" ht="15.75" customHeight="1">
      <c r="A518" s="234"/>
      <c r="B518" s="234"/>
      <c r="C518" s="234"/>
      <c r="D518" s="234"/>
      <c r="E518" s="234"/>
      <c r="F518" s="234"/>
      <c r="G518" s="234"/>
      <c r="H518" s="234"/>
      <c r="I518" s="234"/>
      <c r="J518" s="234"/>
    </row>
    <row r="519" ht="15.75" customHeight="1">
      <c r="A519" s="234"/>
      <c r="B519" s="234"/>
      <c r="C519" s="234"/>
      <c r="D519" s="234"/>
      <c r="E519" s="234"/>
      <c r="F519" s="234"/>
      <c r="G519" s="234"/>
      <c r="H519" s="234"/>
      <c r="I519" s="234"/>
      <c r="J519" s="234"/>
    </row>
    <row r="520" ht="15.75" customHeight="1">
      <c r="A520" s="234"/>
      <c r="B520" s="234"/>
      <c r="C520" s="234"/>
      <c r="D520" s="234"/>
      <c r="E520" s="234"/>
      <c r="F520" s="234"/>
      <c r="G520" s="234"/>
      <c r="H520" s="234"/>
      <c r="I520" s="234"/>
      <c r="J520" s="234"/>
    </row>
    <row r="521" ht="15.75" customHeight="1">
      <c r="A521" s="234"/>
      <c r="B521" s="234"/>
      <c r="C521" s="234"/>
      <c r="D521" s="234"/>
      <c r="E521" s="234"/>
      <c r="F521" s="234"/>
      <c r="G521" s="234"/>
      <c r="H521" s="234"/>
      <c r="I521" s="234"/>
      <c r="J521" s="234"/>
    </row>
    <row r="522" ht="15.75" customHeight="1">
      <c r="A522" s="234"/>
      <c r="B522" s="234"/>
      <c r="C522" s="234"/>
      <c r="D522" s="234"/>
      <c r="E522" s="234"/>
      <c r="F522" s="234"/>
      <c r="G522" s="234"/>
      <c r="H522" s="234"/>
      <c r="I522" s="234"/>
      <c r="J522" s="234"/>
    </row>
    <row r="523" ht="15.75" customHeight="1">
      <c r="A523" s="234"/>
      <c r="B523" s="234"/>
      <c r="C523" s="234"/>
      <c r="D523" s="234"/>
      <c r="E523" s="234"/>
      <c r="F523" s="234"/>
      <c r="G523" s="234"/>
      <c r="H523" s="234"/>
      <c r="I523" s="234"/>
      <c r="J523" s="234"/>
    </row>
    <row r="524" ht="15.75" customHeight="1">
      <c r="A524" s="234"/>
      <c r="B524" s="234"/>
      <c r="C524" s="234"/>
      <c r="D524" s="234"/>
      <c r="E524" s="234"/>
      <c r="F524" s="234"/>
      <c r="G524" s="234"/>
      <c r="H524" s="234"/>
      <c r="I524" s="234"/>
      <c r="J524" s="234"/>
    </row>
    <row r="525" ht="15.75" customHeight="1">
      <c r="A525" s="234"/>
      <c r="B525" s="234"/>
      <c r="C525" s="234"/>
      <c r="D525" s="234"/>
      <c r="E525" s="234"/>
      <c r="F525" s="234"/>
      <c r="G525" s="234"/>
      <c r="H525" s="234"/>
      <c r="I525" s="234"/>
      <c r="J525" s="234"/>
    </row>
    <row r="526" ht="15.75" customHeight="1">
      <c r="A526" s="234"/>
      <c r="B526" s="234"/>
      <c r="C526" s="234"/>
      <c r="D526" s="234"/>
      <c r="E526" s="234"/>
      <c r="F526" s="234"/>
      <c r="G526" s="234"/>
      <c r="H526" s="234"/>
      <c r="I526" s="234"/>
      <c r="J526" s="234"/>
    </row>
    <row r="527" ht="15.75" customHeight="1">
      <c r="A527" s="234"/>
      <c r="B527" s="234"/>
      <c r="C527" s="234"/>
      <c r="D527" s="234"/>
      <c r="E527" s="234"/>
      <c r="F527" s="234"/>
      <c r="G527" s="234"/>
      <c r="H527" s="234"/>
      <c r="I527" s="234"/>
      <c r="J527" s="234"/>
    </row>
    <row r="528" ht="15.75" customHeight="1">
      <c r="A528" s="234"/>
      <c r="B528" s="234"/>
      <c r="C528" s="234"/>
      <c r="D528" s="234"/>
      <c r="E528" s="234"/>
      <c r="F528" s="234"/>
      <c r="G528" s="234"/>
      <c r="H528" s="234"/>
      <c r="I528" s="234"/>
      <c r="J528" s="234"/>
    </row>
    <row r="529" ht="15.75" customHeight="1">
      <c r="A529" s="234"/>
      <c r="B529" s="234"/>
      <c r="C529" s="234"/>
      <c r="D529" s="234"/>
      <c r="E529" s="234"/>
      <c r="F529" s="234"/>
      <c r="G529" s="234"/>
      <c r="H529" s="234"/>
      <c r="I529" s="234"/>
      <c r="J529" s="234"/>
    </row>
    <row r="530" ht="15.75" customHeight="1">
      <c r="A530" s="234"/>
      <c r="B530" s="234"/>
      <c r="C530" s="234"/>
      <c r="D530" s="234"/>
      <c r="E530" s="234"/>
      <c r="F530" s="234"/>
      <c r="G530" s="234"/>
      <c r="H530" s="234"/>
      <c r="I530" s="234"/>
      <c r="J530" s="234"/>
    </row>
    <row r="531" ht="15.75" customHeight="1">
      <c r="A531" s="234"/>
      <c r="B531" s="234"/>
      <c r="C531" s="234"/>
      <c r="D531" s="234"/>
      <c r="E531" s="234"/>
      <c r="F531" s="234"/>
      <c r="G531" s="234"/>
      <c r="H531" s="234"/>
      <c r="I531" s="234"/>
      <c r="J531" s="234"/>
    </row>
    <row r="532" ht="15.75" customHeight="1">
      <c r="A532" s="234"/>
      <c r="B532" s="234"/>
      <c r="C532" s="234"/>
      <c r="D532" s="234"/>
      <c r="E532" s="234"/>
      <c r="F532" s="234"/>
      <c r="G532" s="234"/>
      <c r="H532" s="234"/>
      <c r="I532" s="234"/>
      <c r="J532" s="234"/>
    </row>
    <row r="533" ht="15.75" customHeight="1">
      <c r="A533" s="234"/>
      <c r="B533" s="234"/>
      <c r="C533" s="234"/>
      <c r="D533" s="234"/>
      <c r="E533" s="234"/>
      <c r="F533" s="234"/>
      <c r="G533" s="234"/>
      <c r="H533" s="234"/>
      <c r="I533" s="234"/>
      <c r="J533" s="234"/>
    </row>
    <row r="534" ht="15.75" customHeight="1">
      <c r="A534" s="234"/>
      <c r="B534" s="234"/>
      <c r="C534" s="234"/>
      <c r="D534" s="234"/>
      <c r="E534" s="234"/>
      <c r="F534" s="234"/>
      <c r="G534" s="234"/>
      <c r="H534" s="234"/>
      <c r="I534" s="234"/>
      <c r="J534" s="234"/>
    </row>
    <row r="535" ht="15.75" customHeight="1">
      <c r="A535" s="234"/>
      <c r="B535" s="234"/>
      <c r="C535" s="234"/>
      <c r="D535" s="234"/>
      <c r="E535" s="234"/>
      <c r="F535" s="234"/>
      <c r="G535" s="234"/>
      <c r="H535" s="234"/>
      <c r="I535" s="234"/>
      <c r="J535" s="234"/>
    </row>
    <row r="536" ht="15.75" customHeight="1">
      <c r="A536" s="234"/>
      <c r="B536" s="234"/>
      <c r="C536" s="234"/>
      <c r="D536" s="234"/>
      <c r="E536" s="234"/>
      <c r="F536" s="234"/>
      <c r="G536" s="234"/>
      <c r="H536" s="234"/>
      <c r="I536" s="234"/>
      <c r="J536" s="234"/>
    </row>
    <row r="537" ht="15.75" customHeight="1">
      <c r="A537" s="234"/>
      <c r="B537" s="234"/>
      <c r="C537" s="234"/>
      <c r="D537" s="234"/>
      <c r="E537" s="234"/>
      <c r="F537" s="234"/>
      <c r="G537" s="234"/>
      <c r="H537" s="234"/>
      <c r="I537" s="234"/>
      <c r="J537" s="234"/>
    </row>
    <row r="538" ht="15.75" customHeight="1">
      <c r="A538" s="234"/>
      <c r="B538" s="234"/>
      <c r="C538" s="234"/>
      <c r="D538" s="234"/>
      <c r="E538" s="234"/>
      <c r="F538" s="234"/>
      <c r="G538" s="234"/>
      <c r="H538" s="234"/>
      <c r="I538" s="234"/>
      <c r="J538" s="234"/>
    </row>
    <row r="539" ht="15.75" customHeight="1">
      <c r="A539" s="234"/>
      <c r="B539" s="234"/>
      <c r="C539" s="234"/>
      <c r="D539" s="234"/>
      <c r="E539" s="234"/>
      <c r="F539" s="234"/>
      <c r="G539" s="234"/>
      <c r="H539" s="234"/>
      <c r="I539" s="234"/>
      <c r="J539" s="234"/>
    </row>
    <row r="540" ht="15.75" customHeight="1">
      <c r="A540" s="234"/>
      <c r="B540" s="234"/>
      <c r="C540" s="234"/>
      <c r="D540" s="234"/>
      <c r="E540" s="234"/>
      <c r="F540" s="234"/>
      <c r="G540" s="234"/>
      <c r="H540" s="234"/>
      <c r="I540" s="234"/>
      <c r="J540" s="234"/>
    </row>
    <row r="541" ht="15.75" customHeight="1">
      <c r="A541" s="234"/>
      <c r="B541" s="234"/>
      <c r="C541" s="234"/>
      <c r="D541" s="234"/>
      <c r="E541" s="234"/>
      <c r="F541" s="234"/>
      <c r="G541" s="234"/>
      <c r="H541" s="234"/>
      <c r="I541" s="234"/>
      <c r="J541" s="234"/>
    </row>
    <row r="542" ht="15.75" customHeight="1">
      <c r="A542" s="234"/>
      <c r="B542" s="234"/>
      <c r="C542" s="234"/>
      <c r="D542" s="234"/>
      <c r="E542" s="234"/>
      <c r="F542" s="234"/>
      <c r="G542" s="234"/>
      <c r="H542" s="234"/>
      <c r="I542" s="234"/>
      <c r="J542" s="234"/>
    </row>
    <row r="543" ht="15.75" customHeight="1">
      <c r="A543" s="234"/>
      <c r="B543" s="234"/>
      <c r="C543" s="234"/>
      <c r="D543" s="234"/>
      <c r="E543" s="234"/>
      <c r="F543" s="234"/>
      <c r="G543" s="234"/>
      <c r="H543" s="234"/>
      <c r="I543" s="234"/>
      <c r="J543" s="234"/>
    </row>
    <row r="544" ht="15.75" customHeight="1">
      <c r="A544" s="234"/>
      <c r="B544" s="234"/>
      <c r="C544" s="234"/>
      <c r="D544" s="234"/>
      <c r="E544" s="234"/>
      <c r="F544" s="234"/>
      <c r="G544" s="234"/>
      <c r="H544" s="234"/>
      <c r="I544" s="234"/>
      <c r="J544" s="234"/>
    </row>
    <row r="545" ht="15.75" customHeight="1">
      <c r="A545" s="234"/>
      <c r="B545" s="234"/>
      <c r="C545" s="234"/>
      <c r="D545" s="234"/>
      <c r="E545" s="234"/>
      <c r="F545" s="234"/>
      <c r="G545" s="234"/>
      <c r="H545" s="234"/>
      <c r="I545" s="234"/>
      <c r="J545" s="234"/>
    </row>
    <row r="546" ht="15.75" customHeight="1">
      <c r="A546" s="234"/>
      <c r="B546" s="234"/>
      <c r="C546" s="234"/>
      <c r="D546" s="234"/>
      <c r="E546" s="234"/>
      <c r="F546" s="234"/>
      <c r="G546" s="234"/>
      <c r="H546" s="234"/>
      <c r="I546" s="234"/>
      <c r="J546" s="234"/>
    </row>
    <row r="547" ht="15.75" customHeight="1">
      <c r="A547" s="234"/>
      <c r="B547" s="234"/>
      <c r="C547" s="234"/>
      <c r="D547" s="234"/>
      <c r="E547" s="234"/>
      <c r="F547" s="234"/>
      <c r="G547" s="234"/>
      <c r="H547" s="234"/>
      <c r="I547" s="234"/>
      <c r="J547" s="234"/>
    </row>
    <row r="548" ht="15.75" customHeight="1">
      <c r="A548" s="234"/>
      <c r="B548" s="234"/>
      <c r="C548" s="234"/>
      <c r="D548" s="234"/>
      <c r="E548" s="234"/>
      <c r="F548" s="234"/>
      <c r="G548" s="234"/>
      <c r="H548" s="234"/>
      <c r="I548" s="234"/>
      <c r="J548" s="234"/>
    </row>
    <row r="549" ht="15.75" customHeight="1">
      <c r="A549" s="234"/>
      <c r="B549" s="234"/>
      <c r="C549" s="234"/>
      <c r="D549" s="234"/>
      <c r="E549" s="234"/>
      <c r="F549" s="234"/>
      <c r="G549" s="234"/>
      <c r="H549" s="234"/>
      <c r="I549" s="234"/>
      <c r="J549" s="234"/>
    </row>
    <row r="550" ht="15.75" customHeight="1">
      <c r="A550" s="234"/>
      <c r="B550" s="234"/>
      <c r="C550" s="234"/>
      <c r="D550" s="234"/>
      <c r="E550" s="234"/>
      <c r="F550" s="234"/>
      <c r="G550" s="234"/>
      <c r="H550" s="234"/>
      <c r="I550" s="234"/>
      <c r="J550" s="234"/>
    </row>
    <row r="551" ht="15.75" customHeight="1">
      <c r="A551" s="234"/>
      <c r="B551" s="234"/>
      <c r="C551" s="234"/>
      <c r="D551" s="234"/>
      <c r="E551" s="234"/>
      <c r="F551" s="234"/>
      <c r="G551" s="234"/>
      <c r="H551" s="234"/>
      <c r="I551" s="234"/>
      <c r="J551" s="234"/>
    </row>
    <row r="552" ht="15.75" customHeight="1">
      <c r="A552" s="234"/>
      <c r="B552" s="234"/>
      <c r="C552" s="234"/>
      <c r="D552" s="234"/>
      <c r="E552" s="234"/>
      <c r="F552" s="234"/>
      <c r="G552" s="234"/>
      <c r="H552" s="234"/>
      <c r="I552" s="234"/>
      <c r="J552" s="234"/>
    </row>
    <row r="553" ht="15.75" customHeight="1">
      <c r="A553" s="234"/>
      <c r="B553" s="234"/>
      <c r="C553" s="234"/>
      <c r="D553" s="234"/>
      <c r="E553" s="234"/>
      <c r="F553" s="234"/>
      <c r="G553" s="234"/>
      <c r="H553" s="234"/>
      <c r="I553" s="234"/>
      <c r="J553" s="234"/>
    </row>
    <row r="554" ht="15.75" customHeight="1">
      <c r="A554" s="234"/>
      <c r="B554" s="234"/>
      <c r="C554" s="234"/>
      <c r="D554" s="234"/>
      <c r="E554" s="234"/>
      <c r="F554" s="234"/>
      <c r="G554" s="234"/>
      <c r="H554" s="234"/>
      <c r="I554" s="234"/>
      <c r="J554" s="234"/>
    </row>
    <row r="555" ht="15.75" customHeight="1">
      <c r="A555" s="234"/>
      <c r="B555" s="234"/>
      <c r="C555" s="234"/>
      <c r="D555" s="234"/>
      <c r="E555" s="234"/>
      <c r="F555" s="234"/>
      <c r="G555" s="234"/>
      <c r="H555" s="234"/>
      <c r="I555" s="234"/>
      <c r="J555" s="234"/>
    </row>
    <row r="556" ht="15.75" customHeight="1">
      <c r="A556" s="234"/>
      <c r="B556" s="234"/>
      <c r="C556" s="234"/>
      <c r="D556" s="234"/>
      <c r="E556" s="234"/>
      <c r="F556" s="234"/>
      <c r="G556" s="234"/>
      <c r="H556" s="234"/>
      <c r="I556" s="234"/>
      <c r="J556" s="234"/>
    </row>
    <row r="557" ht="15.75" customHeight="1">
      <c r="A557" s="234"/>
      <c r="B557" s="234"/>
      <c r="C557" s="234"/>
      <c r="D557" s="234"/>
      <c r="E557" s="234"/>
      <c r="F557" s="234"/>
      <c r="G557" s="234"/>
      <c r="H557" s="234"/>
      <c r="I557" s="234"/>
      <c r="J557" s="234"/>
    </row>
    <row r="558" ht="15.75" customHeight="1">
      <c r="A558" s="234"/>
      <c r="B558" s="234"/>
      <c r="C558" s="234"/>
      <c r="D558" s="234"/>
      <c r="E558" s="234"/>
      <c r="F558" s="234"/>
      <c r="G558" s="234"/>
      <c r="H558" s="234"/>
      <c r="I558" s="234"/>
      <c r="J558" s="234"/>
    </row>
    <row r="559" ht="15.75" customHeight="1">
      <c r="A559" s="234"/>
      <c r="B559" s="234"/>
      <c r="C559" s="234"/>
      <c r="D559" s="234"/>
      <c r="E559" s="234"/>
      <c r="F559" s="234"/>
      <c r="G559" s="234"/>
      <c r="H559" s="234"/>
      <c r="I559" s="234"/>
      <c r="J559" s="234"/>
    </row>
    <row r="560" ht="15.75" customHeight="1">
      <c r="A560" s="234"/>
      <c r="B560" s="234"/>
      <c r="C560" s="234"/>
      <c r="D560" s="234"/>
      <c r="E560" s="234"/>
      <c r="F560" s="234"/>
      <c r="G560" s="234"/>
      <c r="H560" s="234"/>
      <c r="I560" s="234"/>
      <c r="J560" s="234"/>
    </row>
    <row r="561" ht="15.75" customHeight="1">
      <c r="A561" s="234"/>
      <c r="B561" s="234"/>
      <c r="C561" s="234"/>
      <c r="D561" s="234"/>
      <c r="E561" s="234"/>
      <c r="F561" s="234"/>
      <c r="G561" s="234"/>
      <c r="H561" s="234"/>
      <c r="I561" s="234"/>
      <c r="J561" s="234"/>
    </row>
    <row r="562" ht="15.75" customHeight="1">
      <c r="A562" s="234"/>
      <c r="B562" s="234"/>
      <c r="C562" s="234"/>
      <c r="D562" s="234"/>
      <c r="E562" s="234"/>
      <c r="F562" s="234"/>
      <c r="G562" s="234"/>
      <c r="H562" s="234"/>
      <c r="I562" s="234"/>
      <c r="J562" s="234"/>
    </row>
    <row r="563" ht="15.75" customHeight="1">
      <c r="A563" s="234"/>
      <c r="B563" s="234"/>
      <c r="C563" s="234"/>
      <c r="D563" s="234"/>
      <c r="E563" s="234"/>
      <c r="F563" s="234"/>
      <c r="G563" s="234"/>
      <c r="H563" s="234"/>
      <c r="I563" s="234"/>
      <c r="J563" s="234"/>
    </row>
    <row r="564" ht="15.75" customHeight="1">
      <c r="A564" s="234"/>
      <c r="B564" s="234"/>
      <c r="C564" s="234"/>
      <c r="D564" s="234"/>
      <c r="E564" s="234"/>
      <c r="F564" s="234"/>
      <c r="G564" s="234"/>
      <c r="H564" s="234"/>
      <c r="I564" s="234"/>
      <c r="J564" s="234"/>
    </row>
    <row r="565" ht="15.75" customHeight="1">
      <c r="A565" s="234"/>
      <c r="B565" s="234"/>
      <c r="C565" s="234"/>
      <c r="D565" s="234"/>
      <c r="E565" s="234"/>
      <c r="F565" s="234"/>
      <c r="G565" s="234"/>
      <c r="H565" s="234"/>
      <c r="I565" s="234"/>
      <c r="J565" s="234"/>
    </row>
    <row r="566" ht="15.75" customHeight="1">
      <c r="A566" s="234"/>
      <c r="B566" s="234"/>
      <c r="C566" s="234"/>
      <c r="D566" s="234"/>
      <c r="E566" s="234"/>
      <c r="F566" s="234"/>
      <c r="G566" s="234"/>
      <c r="H566" s="234"/>
      <c r="I566" s="234"/>
      <c r="J566" s="234"/>
    </row>
    <row r="567" ht="15.75" customHeight="1">
      <c r="A567" s="234"/>
      <c r="B567" s="234"/>
      <c r="C567" s="234"/>
      <c r="D567" s="234"/>
      <c r="E567" s="234"/>
      <c r="F567" s="234"/>
      <c r="G567" s="234"/>
      <c r="H567" s="234"/>
      <c r="I567" s="234"/>
      <c r="J567" s="234"/>
    </row>
    <row r="568" ht="15.75" customHeight="1">
      <c r="A568" s="234"/>
      <c r="B568" s="234"/>
      <c r="C568" s="234"/>
      <c r="D568" s="234"/>
      <c r="E568" s="234"/>
      <c r="F568" s="234"/>
      <c r="G568" s="234"/>
      <c r="H568" s="234"/>
      <c r="I568" s="234"/>
      <c r="J568" s="234"/>
    </row>
    <row r="569" ht="15.75" customHeight="1">
      <c r="A569" s="234"/>
      <c r="B569" s="234"/>
      <c r="C569" s="234"/>
      <c r="D569" s="234"/>
      <c r="E569" s="234"/>
      <c r="F569" s="234"/>
      <c r="G569" s="234"/>
      <c r="H569" s="234"/>
      <c r="I569" s="234"/>
      <c r="J569" s="234"/>
    </row>
    <row r="570" ht="15.75" customHeight="1">
      <c r="A570" s="234"/>
      <c r="B570" s="234"/>
      <c r="C570" s="234"/>
      <c r="D570" s="234"/>
      <c r="E570" s="234"/>
      <c r="F570" s="234"/>
      <c r="G570" s="234"/>
      <c r="H570" s="234"/>
      <c r="I570" s="234"/>
      <c r="J570" s="234"/>
    </row>
    <row r="571" ht="15.75" customHeight="1">
      <c r="A571" s="234"/>
      <c r="B571" s="234"/>
      <c r="C571" s="234"/>
      <c r="D571" s="234"/>
      <c r="E571" s="234"/>
      <c r="F571" s="234"/>
      <c r="G571" s="234"/>
      <c r="H571" s="234"/>
      <c r="I571" s="234"/>
      <c r="J571" s="234"/>
    </row>
    <row r="572" ht="15.75" customHeight="1">
      <c r="A572" s="234"/>
      <c r="B572" s="234"/>
      <c r="C572" s="234"/>
      <c r="D572" s="234"/>
      <c r="E572" s="234"/>
      <c r="F572" s="234"/>
      <c r="G572" s="234"/>
      <c r="H572" s="234"/>
      <c r="I572" s="234"/>
      <c r="J572" s="234"/>
    </row>
    <row r="573" ht="15.75" customHeight="1">
      <c r="A573" s="234"/>
      <c r="B573" s="234"/>
      <c r="C573" s="234"/>
      <c r="D573" s="234"/>
      <c r="E573" s="234"/>
      <c r="F573" s="234"/>
      <c r="G573" s="234"/>
      <c r="H573" s="234"/>
      <c r="I573" s="234"/>
      <c r="J573" s="234"/>
    </row>
    <row r="574" ht="15.75" customHeight="1">
      <c r="A574" s="234"/>
      <c r="B574" s="234"/>
      <c r="C574" s="234"/>
      <c r="D574" s="234"/>
      <c r="E574" s="234"/>
      <c r="F574" s="234"/>
      <c r="G574" s="234"/>
      <c r="H574" s="234"/>
      <c r="I574" s="234"/>
      <c r="J574" s="234"/>
    </row>
    <row r="575" ht="15.75" customHeight="1">
      <c r="A575" s="234"/>
      <c r="B575" s="234"/>
      <c r="C575" s="234"/>
      <c r="D575" s="234"/>
      <c r="E575" s="234"/>
      <c r="F575" s="234"/>
      <c r="G575" s="234"/>
      <c r="H575" s="234"/>
      <c r="I575" s="234"/>
      <c r="J575" s="234"/>
    </row>
    <row r="576" ht="15.75" customHeight="1">
      <c r="A576" s="234"/>
      <c r="B576" s="234"/>
      <c r="C576" s="234"/>
      <c r="D576" s="234"/>
      <c r="E576" s="234"/>
      <c r="F576" s="234"/>
      <c r="G576" s="234"/>
      <c r="H576" s="234"/>
      <c r="I576" s="234"/>
      <c r="J576" s="234"/>
    </row>
    <row r="577" ht="15.75" customHeight="1">
      <c r="A577" s="234"/>
      <c r="B577" s="234"/>
      <c r="C577" s="234"/>
      <c r="D577" s="234"/>
      <c r="E577" s="234"/>
      <c r="F577" s="234"/>
      <c r="G577" s="234"/>
      <c r="H577" s="234"/>
      <c r="I577" s="234"/>
      <c r="J577" s="234"/>
    </row>
    <row r="578" ht="15.75" customHeight="1">
      <c r="A578" s="234"/>
      <c r="B578" s="234"/>
      <c r="C578" s="234"/>
      <c r="D578" s="234"/>
      <c r="E578" s="234"/>
      <c r="F578" s="234"/>
      <c r="G578" s="234"/>
      <c r="H578" s="234"/>
      <c r="I578" s="234"/>
      <c r="J578" s="234"/>
    </row>
    <row r="579" ht="15.75" customHeight="1">
      <c r="A579" s="234"/>
      <c r="B579" s="234"/>
      <c r="C579" s="234"/>
      <c r="D579" s="234"/>
      <c r="E579" s="234"/>
      <c r="F579" s="234"/>
      <c r="G579" s="234"/>
      <c r="H579" s="234"/>
      <c r="I579" s="234"/>
      <c r="J579" s="234"/>
    </row>
    <row r="580" ht="15.75" customHeight="1">
      <c r="A580" s="234"/>
      <c r="B580" s="234"/>
      <c r="C580" s="234"/>
      <c r="D580" s="234"/>
      <c r="E580" s="234"/>
      <c r="F580" s="234"/>
      <c r="G580" s="234"/>
      <c r="H580" s="234"/>
      <c r="I580" s="234"/>
      <c r="J580" s="234"/>
    </row>
    <row r="581" ht="15.75" customHeight="1">
      <c r="A581" s="234"/>
      <c r="B581" s="234"/>
      <c r="C581" s="234"/>
      <c r="D581" s="234"/>
      <c r="E581" s="234"/>
      <c r="F581" s="234"/>
      <c r="G581" s="234"/>
      <c r="H581" s="234"/>
      <c r="I581" s="234"/>
      <c r="J581" s="234"/>
    </row>
    <row r="582" ht="15.75" customHeight="1">
      <c r="A582" s="234"/>
      <c r="B582" s="234"/>
      <c r="C582" s="234"/>
      <c r="D582" s="234"/>
      <c r="E582" s="234"/>
      <c r="F582" s="234"/>
      <c r="G582" s="234"/>
      <c r="H582" s="234"/>
      <c r="I582" s="234"/>
      <c r="J582" s="234"/>
    </row>
    <row r="583" ht="15.75" customHeight="1">
      <c r="A583" s="234"/>
      <c r="B583" s="234"/>
      <c r="C583" s="234"/>
      <c r="D583" s="234"/>
      <c r="E583" s="234"/>
      <c r="F583" s="234"/>
      <c r="G583" s="234"/>
      <c r="H583" s="234"/>
      <c r="I583" s="234"/>
      <c r="J583" s="234"/>
    </row>
    <row r="584" ht="15.75" customHeight="1">
      <c r="A584" s="234"/>
      <c r="B584" s="234"/>
      <c r="C584" s="234"/>
      <c r="D584" s="234"/>
      <c r="E584" s="234"/>
      <c r="F584" s="234"/>
      <c r="G584" s="234"/>
      <c r="H584" s="234"/>
      <c r="I584" s="234"/>
      <c r="J584" s="234"/>
    </row>
    <row r="585" ht="15.75" customHeight="1">
      <c r="A585" s="234"/>
      <c r="B585" s="234"/>
      <c r="C585" s="234"/>
      <c r="D585" s="234"/>
      <c r="E585" s="234"/>
      <c r="F585" s="234"/>
      <c r="G585" s="234"/>
      <c r="H585" s="234"/>
      <c r="I585" s="234"/>
      <c r="J585" s="234"/>
    </row>
    <row r="586" ht="15.75" customHeight="1">
      <c r="A586" s="234"/>
      <c r="B586" s="234"/>
      <c r="C586" s="234"/>
      <c r="D586" s="234"/>
      <c r="E586" s="234"/>
      <c r="F586" s="234"/>
      <c r="G586" s="234"/>
      <c r="H586" s="234"/>
      <c r="I586" s="234"/>
      <c r="J586" s="234"/>
    </row>
    <row r="587" ht="15.75" customHeight="1">
      <c r="A587" s="234"/>
      <c r="B587" s="234"/>
      <c r="C587" s="234"/>
      <c r="D587" s="234"/>
      <c r="E587" s="234"/>
      <c r="F587" s="234"/>
      <c r="G587" s="234"/>
      <c r="H587" s="234"/>
      <c r="I587" s="234"/>
      <c r="J587" s="234"/>
    </row>
    <row r="588" ht="15.75" customHeight="1">
      <c r="A588" s="234"/>
      <c r="B588" s="234"/>
      <c r="C588" s="234"/>
      <c r="D588" s="234"/>
      <c r="E588" s="234"/>
      <c r="F588" s="234"/>
      <c r="G588" s="234"/>
      <c r="H588" s="234"/>
      <c r="I588" s="234"/>
      <c r="J588" s="234"/>
    </row>
    <row r="589" ht="15.75" customHeight="1">
      <c r="A589" s="234"/>
      <c r="B589" s="234"/>
      <c r="C589" s="234"/>
      <c r="D589" s="234"/>
      <c r="E589" s="234"/>
      <c r="F589" s="234"/>
      <c r="G589" s="234"/>
      <c r="H589" s="234"/>
      <c r="I589" s="234"/>
      <c r="J589" s="234"/>
    </row>
    <row r="590" ht="15.75" customHeight="1">
      <c r="A590" s="234"/>
      <c r="B590" s="234"/>
      <c r="C590" s="234"/>
      <c r="D590" s="234"/>
      <c r="E590" s="234"/>
      <c r="F590" s="234"/>
      <c r="G590" s="234"/>
      <c r="H590" s="234"/>
      <c r="I590" s="234"/>
      <c r="J590" s="234"/>
    </row>
    <row r="591" ht="15.75" customHeight="1">
      <c r="A591" s="234"/>
      <c r="B591" s="234"/>
      <c r="C591" s="234"/>
      <c r="D591" s="234"/>
      <c r="E591" s="234"/>
      <c r="F591" s="234"/>
      <c r="G591" s="234"/>
      <c r="H591" s="234"/>
      <c r="I591" s="234"/>
      <c r="J591" s="234"/>
    </row>
    <row r="592" ht="15.75" customHeight="1">
      <c r="A592" s="234"/>
      <c r="B592" s="234"/>
      <c r="C592" s="234"/>
      <c r="D592" s="234"/>
      <c r="E592" s="234"/>
      <c r="F592" s="234"/>
      <c r="G592" s="234"/>
      <c r="H592" s="234"/>
      <c r="I592" s="234"/>
      <c r="J592" s="234"/>
    </row>
    <row r="593" ht="15.75" customHeight="1">
      <c r="A593" s="234"/>
      <c r="B593" s="234"/>
      <c r="C593" s="234"/>
      <c r="D593" s="234"/>
      <c r="E593" s="234"/>
      <c r="F593" s="234"/>
      <c r="G593" s="234"/>
      <c r="H593" s="234"/>
      <c r="I593" s="234"/>
      <c r="J593" s="234"/>
    </row>
    <row r="594" ht="15.75" customHeight="1">
      <c r="A594" s="234"/>
      <c r="B594" s="234"/>
      <c r="C594" s="234"/>
      <c r="D594" s="234"/>
      <c r="E594" s="234"/>
      <c r="F594" s="234"/>
      <c r="G594" s="234"/>
      <c r="H594" s="234"/>
      <c r="I594" s="234"/>
      <c r="J594" s="234"/>
    </row>
    <row r="595" ht="15.75" customHeight="1">
      <c r="A595" s="234"/>
      <c r="B595" s="234"/>
      <c r="C595" s="234"/>
      <c r="D595" s="234"/>
      <c r="E595" s="234"/>
      <c r="F595" s="234"/>
      <c r="G595" s="234"/>
      <c r="H595" s="234"/>
      <c r="I595" s="234"/>
      <c r="J595" s="234"/>
    </row>
    <row r="596" ht="15.75" customHeight="1">
      <c r="A596" s="234"/>
      <c r="B596" s="234"/>
      <c r="C596" s="234"/>
      <c r="D596" s="234"/>
      <c r="E596" s="234"/>
      <c r="F596" s="234"/>
      <c r="G596" s="234"/>
      <c r="H596" s="234"/>
      <c r="I596" s="234"/>
      <c r="J596" s="234"/>
    </row>
    <row r="597" ht="15.75" customHeight="1">
      <c r="A597" s="234"/>
      <c r="B597" s="234"/>
      <c r="C597" s="234"/>
      <c r="D597" s="234"/>
      <c r="E597" s="234"/>
      <c r="F597" s="234"/>
      <c r="G597" s="234"/>
      <c r="H597" s="234"/>
      <c r="I597" s="234"/>
      <c r="J597" s="234"/>
    </row>
    <row r="598" ht="15.75" customHeight="1">
      <c r="A598" s="234"/>
      <c r="B598" s="234"/>
      <c r="C598" s="234"/>
      <c r="D598" s="234"/>
      <c r="E598" s="234"/>
      <c r="F598" s="234"/>
      <c r="G598" s="234"/>
      <c r="H598" s="234"/>
      <c r="I598" s="234"/>
      <c r="J598" s="234"/>
    </row>
    <row r="599" ht="15.75" customHeight="1">
      <c r="A599" s="234"/>
      <c r="B599" s="234"/>
      <c r="C599" s="234"/>
      <c r="D599" s="234"/>
      <c r="E599" s="234"/>
      <c r="F599" s="234"/>
      <c r="G599" s="234"/>
      <c r="H599" s="234"/>
      <c r="I599" s="234"/>
      <c r="J599" s="234"/>
    </row>
    <row r="600" ht="15.75" customHeight="1">
      <c r="A600" s="234"/>
      <c r="B600" s="234"/>
      <c r="C600" s="234"/>
      <c r="D600" s="234"/>
      <c r="E600" s="234"/>
      <c r="F600" s="234"/>
      <c r="G600" s="234"/>
      <c r="H600" s="234"/>
      <c r="I600" s="234"/>
      <c r="J600" s="234"/>
    </row>
    <row r="601" ht="15.75" customHeight="1">
      <c r="A601" s="234"/>
      <c r="B601" s="234"/>
      <c r="C601" s="234"/>
      <c r="D601" s="234"/>
      <c r="E601" s="234"/>
      <c r="F601" s="234"/>
      <c r="G601" s="234"/>
      <c r="H601" s="234"/>
      <c r="I601" s="234"/>
      <c r="J601" s="234"/>
    </row>
    <row r="602" ht="15.75" customHeight="1">
      <c r="A602" s="234"/>
      <c r="B602" s="234"/>
      <c r="C602" s="234"/>
      <c r="D602" s="234"/>
      <c r="E602" s="234"/>
      <c r="F602" s="234"/>
      <c r="G602" s="234"/>
      <c r="H602" s="234"/>
      <c r="I602" s="234"/>
      <c r="J602" s="234"/>
    </row>
    <row r="603" ht="15.75" customHeight="1">
      <c r="A603" s="234"/>
      <c r="B603" s="234"/>
      <c r="C603" s="234"/>
      <c r="D603" s="234"/>
      <c r="E603" s="234"/>
      <c r="F603" s="234"/>
      <c r="G603" s="234"/>
      <c r="H603" s="234"/>
      <c r="I603" s="234"/>
      <c r="J603" s="234"/>
    </row>
    <row r="604" ht="15.75" customHeight="1">
      <c r="A604" s="234"/>
      <c r="B604" s="234"/>
      <c r="C604" s="234"/>
      <c r="D604" s="234"/>
      <c r="E604" s="234"/>
      <c r="F604" s="234"/>
      <c r="G604" s="234"/>
      <c r="H604" s="234"/>
      <c r="I604" s="234"/>
      <c r="J604" s="234"/>
    </row>
    <row r="605" ht="15.75" customHeight="1">
      <c r="A605" s="234"/>
      <c r="B605" s="234"/>
      <c r="C605" s="234"/>
      <c r="D605" s="234"/>
      <c r="E605" s="234"/>
      <c r="F605" s="234"/>
      <c r="G605" s="234"/>
      <c r="H605" s="234"/>
      <c r="I605" s="234"/>
      <c r="J605" s="234"/>
    </row>
    <row r="606" ht="15.75" customHeight="1">
      <c r="A606" s="234"/>
      <c r="B606" s="234"/>
      <c r="C606" s="234"/>
      <c r="D606" s="234"/>
      <c r="E606" s="234"/>
      <c r="F606" s="234"/>
      <c r="G606" s="234"/>
      <c r="H606" s="234"/>
      <c r="I606" s="234"/>
      <c r="J606" s="234"/>
    </row>
    <row r="607" ht="15.75" customHeight="1">
      <c r="A607" s="234"/>
      <c r="B607" s="234"/>
      <c r="C607" s="234"/>
      <c r="D607" s="234"/>
      <c r="E607" s="234"/>
      <c r="F607" s="234"/>
      <c r="G607" s="234"/>
      <c r="H607" s="234"/>
      <c r="I607" s="234"/>
      <c r="J607" s="234"/>
    </row>
    <row r="608" ht="15.75" customHeight="1">
      <c r="A608" s="234"/>
      <c r="B608" s="234"/>
      <c r="C608" s="234"/>
      <c r="D608" s="234"/>
      <c r="E608" s="234"/>
      <c r="F608" s="234"/>
      <c r="G608" s="234"/>
      <c r="H608" s="234"/>
      <c r="I608" s="234"/>
      <c r="J608" s="234"/>
    </row>
    <row r="609" ht="15.75" customHeight="1">
      <c r="A609" s="234"/>
      <c r="B609" s="234"/>
      <c r="C609" s="234"/>
      <c r="D609" s="234"/>
      <c r="E609" s="234"/>
      <c r="F609" s="234"/>
      <c r="G609" s="234"/>
      <c r="H609" s="234"/>
      <c r="I609" s="234"/>
      <c r="J609" s="234"/>
    </row>
    <row r="610" ht="15.75" customHeight="1">
      <c r="A610" s="234"/>
      <c r="B610" s="234"/>
      <c r="C610" s="234"/>
      <c r="D610" s="234"/>
      <c r="E610" s="234"/>
      <c r="F610" s="234"/>
      <c r="G610" s="234"/>
      <c r="H610" s="234"/>
      <c r="I610" s="234"/>
      <c r="J610" s="234"/>
    </row>
    <row r="611" ht="15.75" customHeight="1">
      <c r="A611" s="234"/>
      <c r="B611" s="234"/>
      <c r="C611" s="234"/>
      <c r="D611" s="234"/>
      <c r="E611" s="234"/>
      <c r="F611" s="234"/>
      <c r="G611" s="234"/>
      <c r="H611" s="234"/>
      <c r="I611" s="234"/>
      <c r="J611" s="234"/>
    </row>
    <row r="612" ht="15.75" customHeight="1">
      <c r="A612" s="234"/>
      <c r="B612" s="234"/>
      <c r="C612" s="234"/>
      <c r="D612" s="234"/>
      <c r="E612" s="234"/>
      <c r="F612" s="234"/>
      <c r="G612" s="234"/>
      <c r="H612" s="234"/>
      <c r="I612" s="234"/>
      <c r="J612" s="234"/>
    </row>
    <row r="613" ht="15.75" customHeight="1">
      <c r="A613" s="234"/>
      <c r="B613" s="234"/>
      <c r="C613" s="234"/>
      <c r="D613" s="234"/>
      <c r="E613" s="234"/>
      <c r="F613" s="234"/>
      <c r="G613" s="234"/>
      <c r="H613" s="234"/>
      <c r="I613" s="234"/>
      <c r="J613" s="234"/>
    </row>
    <row r="614" ht="15.75" customHeight="1">
      <c r="A614" s="234"/>
      <c r="B614" s="234"/>
      <c r="C614" s="234"/>
      <c r="D614" s="234"/>
      <c r="E614" s="234"/>
      <c r="F614" s="234"/>
      <c r="G614" s="234"/>
      <c r="H614" s="234"/>
      <c r="I614" s="234"/>
      <c r="J614" s="234"/>
    </row>
    <row r="615" ht="15.75" customHeight="1">
      <c r="A615" s="234"/>
      <c r="B615" s="234"/>
      <c r="C615" s="234"/>
      <c r="D615" s="234"/>
      <c r="E615" s="234"/>
      <c r="F615" s="234"/>
      <c r="G615" s="234"/>
      <c r="H615" s="234"/>
      <c r="I615" s="234"/>
      <c r="J615" s="234"/>
    </row>
    <row r="616" ht="15.75" customHeight="1">
      <c r="A616" s="234"/>
      <c r="B616" s="234"/>
      <c r="C616" s="234"/>
      <c r="D616" s="234"/>
      <c r="E616" s="234"/>
      <c r="F616" s="234"/>
      <c r="G616" s="234"/>
      <c r="H616" s="234"/>
      <c r="I616" s="234"/>
      <c r="J616" s="234"/>
    </row>
    <row r="617" ht="15.75" customHeight="1">
      <c r="A617" s="234"/>
      <c r="B617" s="234"/>
      <c r="C617" s="234"/>
      <c r="D617" s="234"/>
      <c r="E617" s="234"/>
      <c r="F617" s="234"/>
      <c r="G617" s="234"/>
      <c r="H617" s="234"/>
      <c r="I617" s="234"/>
      <c r="J617" s="234"/>
    </row>
    <row r="618" ht="15.75" customHeight="1">
      <c r="A618" s="234"/>
      <c r="B618" s="234"/>
      <c r="C618" s="234"/>
      <c r="D618" s="234"/>
      <c r="E618" s="234"/>
      <c r="F618" s="234"/>
      <c r="G618" s="234"/>
      <c r="H618" s="234"/>
      <c r="I618" s="234"/>
      <c r="J618" s="234"/>
    </row>
    <row r="619" ht="15.75" customHeight="1">
      <c r="A619" s="234"/>
      <c r="B619" s="234"/>
      <c r="C619" s="234"/>
      <c r="D619" s="234"/>
      <c r="E619" s="234"/>
      <c r="F619" s="234"/>
      <c r="G619" s="234"/>
      <c r="H619" s="234"/>
      <c r="I619" s="234"/>
      <c r="J619" s="234"/>
    </row>
    <row r="620" ht="15.75" customHeight="1">
      <c r="A620" s="234"/>
      <c r="B620" s="234"/>
      <c r="C620" s="234"/>
      <c r="D620" s="234"/>
      <c r="E620" s="234"/>
      <c r="F620" s="234"/>
      <c r="G620" s="234"/>
      <c r="H620" s="234"/>
      <c r="I620" s="234"/>
      <c r="J620" s="234"/>
    </row>
    <row r="621" ht="15.75" customHeight="1">
      <c r="A621" s="234"/>
      <c r="B621" s="234"/>
      <c r="C621" s="234"/>
      <c r="D621" s="234"/>
      <c r="E621" s="234"/>
      <c r="F621" s="234"/>
      <c r="G621" s="234"/>
      <c r="H621" s="234"/>
      <c r="I621" s="234"/>
      <c r="J621" s="234"/>
    </row>
    <row r="622" ht="15.75" customHeight="1">
      <c r="A622" s="234"/>
      <c r="B622" s="234"/>
      <c r="C622" s="234"/>
      <c r="D622" s="234"/>
      <c r="E622" s="234"/>
      <c r="F622" s="234"/>
      <c r="G622" s="234"/>
      <c r="H622" s="234"/>
      <c r="I622" s="234"/>
      <c r="J622" s="234"/>
    </row>
    <row r="623" ht="15.75" customHeight="1">
      <c r="A623" s="234"/>
      <c r="B623" s="234"/>
      <c r="C623" s="234"/>
      <c r="D623" s="234"/>
      <c r="E623" s="234"/>
      <c r="F623" s="234"/>
      <c r="G623" s="234"/>
      <c r="H623" s="234"/>
      <c r="I623" s="234"/>
      <c r="J623" s="234"/>
    </row>
    <row r="624" ht="15.75" customHeight="1">
      <c r="A624" s="234"/>
      <c r="B624" s="234"/>
      <c r="C624" s="234"/>
      <c r="D624" s="234"/>
      <c r="E624" s="234"/>
      <c r="F624" s="234"/>
      <c r="G624" s="234"/>
      <c r="H624" s="234"/>
      <c r="I624" s="234"/>
      <c r="J624" s="234"/>
    </row>
    <row r="625" ht="15.75" customHeight="1">
      <c r="A625" s="234"/>
      <c r="B625" s="234"/>
      <c r="C625" s="234"/>
      <c r="D625" s="234"/>
      <c r="E625" s="234"/>
      <c r="F625" s="234"/>
      <c r="G625" s="234"/>
      <c r="H625" s="234"/>
      <c r="I625" s="234"/>
      <c r="J625" s="234"/>
    </row>
    <row r="626" ht="15.75" customHeight="1">
      <c r="A626" s="234"/>
      <c r="B626" s="234"/>
      <c r="C626" s="234"/>
      <c r="D626" s="234"/>
      <c r="E626" s="234"/>
      <c r="F626" s="234"/>
      <c r="G626" s="234"/>
      <c r="H626" s="234"/>
      <c r="I626" s="234"/>
      <c r="J626" s="234"/>
    </row>
    <row r="627" ht="15.75" customHeight="1">
      <c r="A627" s="234"/>
      <c r="B627" s="234"/>
      <c r="C627" s="234"/>
      <c r="D627" s="234"/>
      <c r="E627" s="234"/>
      <c r="F627" s="234"/>
      <c r="G627" s="234"/>
      <c r="H627" s="234"/>
      <c r="I627" s="234"/>
      <c r="J627" s="234"/>
    </row>
    <row r="628" ht="15.75" customHeight="1">
      <c r="A628" s="234"/>
      <c r="B628" s="234"/>
      <c r="C628" s="234"/>
      <c r="D628" s="234"/>
      <c r="E628" s="234"/>
      <c r="F628" s="234"/>
      <c r="G628" s="234"/>
      <c r="H628" s="234"/>
      <c r="I628" s="234"/>
      <c r="J628" s="234"/>
    </row>
    <row r="629" ht="15.75" customHeight="1">
      <c r="A629" s="234"/>
      <c r="B629" s="234"/>
      <c r="C629" s="234"/>
      <c r="D629" s="234"/>
      <c r="E629" s="234"/>
      <c r="F629" s="234"/>
      <c r="G629" s="234"/>
      <c r="H629" s="234"/>
      <c r="I629" s="234"/>
      <c r="J629" s="234"/>
    </row>
    <row r="630" ht="15.75" customHeight="1">
      <c r="A630" s="234"/>
      <c r="B630" s="234"/>
      <c r="C630" s="234"/>
      <c r="D630" s="234"/>
      <c r="E630" s="234"/>
      <c r="F630" s="234"/>
      <c r="G630" s="234"/>
      <c r="H630" s="234"/>
      <c r="I630" s="234"/>
      <c r="J630" s="234"/>
    </row>
    <row r="631" ht="15.75" customHeight="1">
      <c r="A631" s="234"/>
      <c r="B631" s="234"/>
      <c r="C631" s="234"/>
      <c r="D631" s="234"/>
      <c r="E631" s="234"/>
      <c r="F631" s="234"/>
      <c r="G631" s="234"/>
      <c r="H631" s="234"/>
      <c r="I631" s="234"/>
      <c r="J631" s="234"/>
    </row>
    <row r="632" ht="15.75" customHeight="1">
      <c r="A632" s="234"/>
      <c r="B632" s="234"/>
      <c r="C632" s="234"/>
      <c r="D632" s="234"/>
      <c r="E632" s="234"/>
      <c r="F632" s="234"/>
      <c r="G632" s="234"/>
      <c r="H632" s="234"/>
      <c r="I632" s="234"/>
      <c r="J632" s="234"/>
    </row>
    <row r="633" ht="15.75" customHeight="1">
      <c r="A633" s="234"/>
      <c r="B633" s="234"/>
      <c r="C633" s="234"/>
      <c r="D633" s="234"/>
      <c r="E633" s="234"/>
      <c r="F633" s="234"/>
      <c r="G633" s="234"/>
      <c r="H633" s="234"/>
      <c r="I633" s="234"/>
      <c r="J633" s="234"/>
    </row>
    <row r="634" ht="15.75" customHeight="1">
      <c r="A634" s="234"/>
      <c r="B634" s="234"/>
      <c r="C634" s="234"/>
      <c r="D634" s="234"/>
      <c r="E634" s="234"/>
      <c r="F634" s="234"/>
      <c r="G634" s="234"/>
      <c r="H634" s="234"/>
      <c r="I634" s="234"/>
      <c r="J634" s="234"/>
    </row>
    <row r="635" ht="15.75" customHeight="1">
      <c r="A635" s="234"/>
      <c r="B635" s="234"/>
      <c r="C635" s="234"/>
      <c r="D635" s="234"/>
      <c r="E635" s="234"/>
      <c r="F635" s="234"/>
      <c r="G635" s="234"/>
      <c r="H635" s="234"/>
      <c r="I635" s="234"/>
      <c r="J635" s="234"/>
    </row>
    <row r="636" ht="15.75" customHeight="1">
      <c r="A636" s="234"/>
      <c r="B636" s="234"/>
      <c r="C636" s="234"/>
      <c r="D636" s="234"/>
      <c r="E636" s="234"/>
      <c r="F636" s="234"/>
      <c r="G636" s="234"/>
      <c r="H636" s="234"/>
      <c r="I636" s="234"/>
      <c r="J636" s="234"/>
    </row>
    <row r="637" ht="15.75" customHeight="1">
      <c r="A637" s="234"/>
      <c r="B637" s="234"/>
      <c r="C637" s="234"/>
      <c r="D637" s="234"/>
      <c r="E637" s="234"/>
      <c r="F637" s="234"/>
      <c r="G637" s="234"/>
      <c r="H637" s="234"/>
      <c r="I637" s="234"/>
      <c r="J637" s="234"/>
    </row>
    <row r="638" ht="15.75" customHeight="1">
      <c r="A638" s="234"/>
      <c r="B638" s="234"/>
      <c r="C638" s="234"/>
      <c r="D638" s="234"/>
      <c r="E638" s="234"/>
      <c r="F638" s="234"/>
      <c r="G638" s="234"/>
      <c r="H638" s="234"/>
      <c r="I638" s="234"/>
      <c r="J638" s="234"/>
    </row>
    <row r="639" ht="15.75" customHeight="1">
      <c r="A639" s="234"/>
      <c r="B639" s="234"/>
      <c r="C639" s="234"/>
      <c r="D639" s="234"/>
      <c r="E639" s="234"/>
      <c r="F639" s="234"/>
      <c r="G639" s="234"/>
      <c r="H639" s="234"/>
      <c r="I639" s="234"/>
      <c r="J639" s="234"/>
    </row>
    <row r="640" ht="15.75" customHeight="1">
      <c r="A640" s="234"/>
      <c r="B640" s="234"/>
      <c r="C640" s="234"/>
      <c r="D640" s="234"/>
      <c r="E640" s="234"/>
      <c r="F640" s="234"/>
      <c r="G640" s="234"/>
      <c r="H640" s="234"/>
      <c r="I640" s="234"/>
      <c r="J640" s="234"/>
    </row>
    <row r="641" ht="15.75" customHeight="1">
      <c r="A641" s="234"/>
      <c r="B641" s="234"/>
      <c r="C641" s="234"/>
      <c r="D641" s="234"/>
      <c r="E641" s="234"/>
      <c r="F641" s="234"/>
      <c r="G641" s="234"/>
      <c r="H641" s="234"/>
      <c r="I641" s="234"/>
      <c r="J641" s="234"/>
    </row>
    <row r="642" ht="15.75" customHeight="1">
      <c r="A642" s="234"/>
      <c r="B642" s="234"/>
      <c r="C642" s="234"/>
      <c r="D642" s="234"/>
      <c r="E642" s="234"/>
      <c r="F642" s="234"/>
      <c r="G642" s="234"/>
      <c r="H642" s="234"/>
      <c r="I642" s="234"/>
      <c r="J642" s="234"/>
    </row>
    <row r="643" ht="15.75" customHeight="1">
      <c r="A643" s="234"/>
      <c r="B643" s="234"/>
      <c r="C643" s="234"/>
      <c r="D643" s="234"/>
      <c r="E643" s="234"/>
      <c r="F643" s="234"/>
      <c r="G643" s="234"/>
      <c r="H643" s="234"/>
      <c r="I643" s="234"/>
      <c r="J643" s="234"/>
    </row>
    <row r="644" ht="15.75" customHeight="1">
      <c r="A644" s="234"/>
      <c r="B644" s="234"/>
      <c r="C644" s="234"/>
      <c r="D644" s="234"/>
      <c r="E644" s="234"/>
      <c r="F644" s="234"/>
      <c r="G644" s="234"/>
      <c r="H644" s="234"/>
      <c r="I644" s="234"/>
      <c r="J644" s="234"/>
    </row>
    <row r="645" ht="15.75" customHeight="1">
      <c r="A645" s="234"/>
      <c r="B645" s="234"/>
      <c r="C645" s="234"/>
      <c r="D645" s="234"/>
      <c r="E645" s="234"/>
      <c r="F645" s="234"/>
      <c r="G645" s="234"/>
      <c r="H645" s="234"/>
      <c r="I645" s="234"/>
      <c r="J645" s="234"/>
    </row>
    <row r="646" ht="15.75" customHeight="1">
      <c r="A646" s="234"/>
      <c r="B646" s="234"/>
      <c r="C646" s="234"/>
      <c r="D646" s="234"/>
      <c r="E646" s="234"/>
      <c r="F646" s="234"/>
      <c r="G646" s="234"/>
      <c r="H646" s="234"/>
      <c r="I646" s="234"/>
      <c r="J646" s="234"/>
    </row>
    <row r="647" ht="15.75" customHeight="1">
      <c r="A647" s="234"/>
      <c r="B647" s="234"/>
      <c r="C647" s="234"/>
      <c r="D647" s="234"/>
      <c r="E647" s="234"/>
      <c r="F647" s="234"/>
      <c r="G647" s="234"/>
      <c r="H647" s="234"/>
      <c r="I647" s="234"/>
      <c r="J647" s="234"/>
    </row>
    <row r="648" ht="15.75" customHeight="1">
      <c r="A648" s="234"/>
      <c r="B648" s="234"/>
      <c r="C648" s="234"/>
      <c r="D648" s="234"/>
      <c r="E648" s="234"/>
      <c r="F648" s="234"/>
      <c r="G648" s="234"/>
      <c r="H648" s="234"/>
      <c r="I648" s="234"/>
      <c r="J648" s="234"/>
    </row>
    <row r="649" ht="15.75" customHeight="1">
      <c r="A649" s="234"/>
      <c r="B649" s="234"/>
      <c r="C649" s="234"/>
      <c r="D649" s="234"/>
      <c r="E649" s="234"/>
      <c r="F649" s="234"/>
      <c r="G649" s="234"/>
      <c r="H649" s="234"/>
      <c r="I649" s="234"/>
      <c r="J649" s="234"/>
    </row>
    <row r="650" ht="15.75" customHeight="1">
      <c r="A650" s="234"/>
      <c r="B650" s="234"/>
      <c r="C650" s="234"/>
      <c r="D650" s="234"/>
      <c r="E650" s="234"/>
      <c r="F650" s="234"/>
      <c r="G650" s="234"/>
      <c r="H650" s="234"/>
      <c r="I650" s="234"/>
      <c r="J650" s="234"/>
    </row>
    <row r="651" ht="15.75" customHeight="1">
      <c r="A651" s="234"/>
      <c r="B651" s="234"/>
      <c r="C651" s="234"/>
      <c r="D651" s="234"/>
      <c r="E651" s="234"/>
      <c r="F651" s="234"/>
      <c r="G651" s="234"/>
      <c r="H651" s="234"/>
      <c r="I651" s="234"/>
      <c r="J651" s="234"/>
    </row>
    <row r="652" ht="15.75" customHeight="1">
      <c r="A652" s="234"/>
      <c r="B652" s="234"/>
      <c r="C652" s="234"/>
      <c r="D652" s="234"/>
      <c r="E652" s="234"/>
      <c r="F652" s="234"/>
      <c r="G652" s="234"/>
      <c r="H652" s="234"/>
      <c r="I652" s="234"/>
      <c r="J652" s="234"/>
    </row>
    <row r="653" ht="15.75" customHeight="1">
      <c r="A653" s="234"/>
      <c r="B653" s="234"/>
      <c r="C653" s="234"/>
      <c r="D653" s="234"/>
      <c r="E653" s="234"/>
      <c r="F653" s="234"/>
      <c r="G653" s="234"/>
      <c r="H653" s="234"/>
      <c r="I653" s="234"/>
      <c r="J653" s="234"/>
    </row>
    <row r="654" ht="15.75" customHeight="1">
      <c r="A654" s="234"/>
      <c r="B654" s="234"/>
      <c r="C654" s="234"/>
      <c r="D654" s="234"/>
      <c r="E654" s="234"/>
      <c r="F654" s="234"/>
      <c r="G654" s="234"/>
      <c r="H654" s="234"/>
      <c r="I654" s="234"/>
      <c r="J654" s="234"/>
    </row>
    <row r="655" ht="15.75" customHeight="1">
      <c r="A655" s="234"/>
      <c r="B655" s="234"/>
      <c r="C655" s="234"/>
      <c r="D655" s="234"/>
      <c r="E655" s="234"/>
      <c r="F655" s="234"/>
      <c r="G655" s="234"/>
      <c r="H655" s="234"/>
      <c r="I655" s="234"/>
      <c r="J655" s="234"/>
    </row>
    <row r="656" ht="15.75" customHeight="1">
      <c r="A656" s="234"/>
      <c r="B656" s="234"/>
      <c r="C656" s="234"/>
      <c r="D656" s="234"/>
      <c r="E656" s="234"/>
      <c r="F656" s="234"/>
      <c r="G656" s="234"/>
      <c r="H656" s="234"/>
      <c r="I656" s="234"/>
      <c r="J656" s="234"/>
    </row>
    <row r="657" ht="15.75" customHeight="1">
      <c r="A657" s="234"/>
      <c r="B657" s="234"/>
      <c r="C657" s="234"/>
      <c r="D657" s="234"/>
      <c r="E657" s="234"/>
      <c r="F657" s="234"/>
      <c r="G657" s="234"/>
      <c r="H657" s="234"/>
      <c r="I657" s="234"/>
      <c r="J657" s="234"/>
    </row>
    <row r="658" ht="15.75" customHeight="1">
      <c r="A658" s="234"/>
      <c r="B658" s="234"/>
      <c r="C658" s="234"/>
      <c r="D658" s="234"/>
      <c r="E658" s="234"/>
      <c r="F658" s="234"/>
      <c r="G658" s="234"/>
      <c r="H658" s="234"/>
      <c r="I658" s="234"/>
      <c r="J658" s="234"/>
    </row>
    <row r="659" ht="15.75" customHeight="1">
      <c r="A659" s="234"/>
      <c r="B659" s="234"/>
      <c r="C659" s="234"/>
      <c r="D659" s="234"/>
      <c r="E659" s="234"/>
      <c r="F659" s="234"/>
      <c r="G659" s="234"/>
      <c r="H659" s="234"/>
      <c r="I659" s="234"/>
      <c r="J659" s="234"/>
    </row>
    <row r="660" ht="15.75" customHeight="1">
      <c r="A660" s="234"/>
      <c r="B660" s="234"/>
      <c r="C660" s="234"/>
      <c r="D660" s="234"/>
      <c r="E660" s="234"/>
      <c r="F660" s="234"/>
      <c r="G660" s="234"/>
      <c r="H660" s="234"/>
      <c r="I660" s="234"/>
      <c r="J660" s="234"/>
    </row>
    <row r="661" ht="15.75" customHeight="1">
      <c r="A661" s="234"/>
      <c r="B661" s="234"/>
      <c r="C661" s="234"/>
      <c r="D661" s="234"/>
      <c r="E661" s="234"/>
      <c r="F661" s="234"/>
      <c r="G661" s="234"/>
      <c r="H661" s="234"/>
      <c r="I661" s="234"/>
      <c r="J661" s="234"/>
    </row>
    <row r="662" ht="15.75" customHeight="1">
      <c r="A662" s="234"/>
      <c r="B662" s="234"/>
      <c r="C662" s="234"/>
      <c r="D662" s="234"/>
      <c r="E662" s="234"/>
      <c r="F662" s="234"/>
      <c r="G662" s="234"/>
      <c r="H662" s="234"/>
      <c r="I662" s="234"/>
      <c r="J662" s="234"/>
    </row>
    <row r="663" ht="15.75" customHeight="1">
      <c r="A663" s="234"/>
      <c r="B663" s="234"/>
      <c r="C663" s="234"/>
      <c r="D663" s="234"/>
      <c r="E663" s="234"/>
      <c r="F663" s="234"/>
      <c r="G663" s="234"/>
      <c r="H663" s="234"/>
      <c r="I663" s="234"/>
      <c r="J663" s="234"/>
    </row>
    <row r="664" ht="15.75" customHeight="1">
      <c r="A664" s="234"/>
      <c r="B664" s="234"/>
      <c r="C664" s="234"/>
      <c r="D664" s="234"/>
      <c r="E664" s="234"/>
      <c r="F664" s="234"/>
      <c r="G664" s="234"/>
      <c r="H664" s="234"/>
      <c r="I664" s="234"/>
      <c r="J664" s="234"/>
    </row>
    <row r="665" ht="15.75" customHeight="1">
      <c r="A665" s="234"/>
      <c r="B665" s="234"/>
      <c r="C665" s="234"/>
      <c r="D665" s="234"/>
      <c r="E665" s="234"/>
      <c r="F665" s="234"/>
      <c r="G665" s="234"/>
      <c r="H665" s="234"/>
      <c r="I665" s="234"/>
      <c r="J665" s="234"/>
    </row>
    <row r="666" ht="15.75" customHeight="1">
      <c r="A666" s="234"/>
      <c r="B666" s="234"/>
      <c r="C666" s="234"/>
      <c r="D666" s="234"/>
      <c r="E666" s="234"/>
      <c r="F666" s="234"/>
      <c r="G666" s="234"/>
      <c r="H666" s="234"/>
      <c r="I666" s="234"/>
      <c r="J666" s="234"/>
    </row>
    <row r="667" ht="15.75" customHeight="1">
      <c r="A667" s="234"/>
      <c r="B667" s="234"/>
      <c r="C667" s="234"/>
      <c r="D667" s="234"/>
      <c r="E667" s="234"/>
      <c r="F667" s="234"/>
      <c r="G667" s="234"/>
      <c r="H667" s="234"/>
      <c r="I667" s="234"/>
      <c r="J667" s="234"/>
    </row>
    <row r="668" ht="15.75" customHeight="1">
      <c r="A668" s="234"/>
      <c r="B668" s="234"/>
      <c r="C668" s="234"/>
      <c r="D668" s="234"/>
      <c r="E668" s="234"/>
      <c r="F668" s="234"/>
      <c r="G668" s="234"/>
      <c r="H668" s="234"/>
      <c r="I668" s="234"/>
      <c r="J668" s="234"/>
    </row>
    <row r="669" ht="15.75" customHeight="1">
      <c r="A669" s="234"/>
      <c r="B669" s="234"/>
      <c r="C669" s="234"/>
      <c r="D669" s="234"/>
      <c r="E669" s="234"/>
      <c r="F669" s="234"/>
      <c r="G669" s="234"/>
      <c r="H669" s="234"/>
      <c r="I669" s="234"/>
      <c r="J669" s="234"/>
    </row>
    <row r="670" ht="15.75" customHeight="1">
      <c r="A670" s="234"/>
      <c r="B670" s="234"/>
      <c r="C670" s="234"/>
      <c r="D670" s="234"/>
      <c r="E670" s="234"/>
      <c r="F670" s="234"/>
      <c r="G670" s="234"/>
      <c r="H670" s="234"/>
      <c r="I670" s="234"/>
      <c r="J670" s="234"/>
    </row>
    <row r="671" ht="15.75" customHeight="1">
      <c r="A671" s="234"/>
      <c r="B671" s="234"/>
      <c r="C671" s="234"/>
      <c r="D671" s="234"/>
      <c r="E671" s="234"/>
      <c r="F671" s="234"/>
      <c r="G671" s="234"/>
      <c r="H671" s="234"/>
      <c r="I671" s="234"/>
      <c r="J671" s="234"/>
    </row>
    <row r="672" ht="15.75" customHeight="1">
      <c r="A672" s="234"/>
      <c r="B672" s="234"/>
      <c r="C672" s="234"/>
      <c r="D672" s="234"/>
      <c r="E672" s="234"/>
      <c r="F672" s="234"/>
      <c r="G672" s="234"/>
      <c r="H672" s="234"/>
      <c r="I672" s="234"/>
      <c r="J672" s="234"/>
    </row>
    <row r="673" ht="15.75" customHeight="1">
      <c r="A673" s="234"/>
      <c r="B673" s="234"/>
      <c r="C673" s="234"/>
      <c r="D673" s="234"/>
      <c r="E673" s="234"/>
      <c r="F673" s="234"/>
      <c r="G673" s="234"/>
      <c r="H673" s="234"/>
      <c r="I673" s="234"/>
      <c r="J673" s="234"/>
    </row>
    <row r="674" ht="15.75" customHeight="1">
      <c r="A674" s="234"/>
      <c r="B674" s="234"/>
      <c r="C674" s="234"/>
      <c r="D674" s="234"/>
      <c r="E674" s="234"/>
      <c r="F674" s="234"/>
      <c r="G674" s="234"/>
      <c r="H674" s="234"/>
      <c r="I674" s="234"/>
      <c r="J674" s="234"/>
    </row>
    <row r="675" ht="15.75" customHeight="1">
      <c r="A675" s="234"/>
      <c r="B675" s="234"/>
      <c r="C675" s="234"/>
      <c r="D675" s="234"/>
      <c r="E675" s="234"/>
      <c r="F675" s="234"/>
      <c r="G675" s="234"/>
      <c r="H675" s="234"/>
      <c r="I675" s="234"/>
      <c r="J675" s="234"/>
    </row>
    <row r="676" ht="15.75" customHeight="1">
      <c r="A676" s="234"/>
      <c r="B676" s="234"/>
      <c r="C676" s="234"/>
      <c r="D676" s="234"/>
      <c r="E676" s="234"/>
      <c r="F676" s="234"/>
      <c r="G676" s="234"/>
      <c r="H676" s="234"/>
      <c r="I676" s="234"/>
      <c r="J676" s="234"/>
    </row>
    <row r="677" ht="15.75" customHeight="1">
      <c r="A677" s="234"/>
      <c r="B677" s="234"/>
      <c r="C677" s="234"/>
      <c r="D677" s="234"/>
      <c r="E677" s="234"/>
      <c r="F677" s="234"/>
      <c r="G677" s="234"/>
      <c r="H677" s="234"/>
      <c r="I677" s="234"/>
      <c r="J677" s="234"/>
    </row>
    <row r="678" ht="15.75" customHeight="1">
      <c r="A678" s="234"/>
      <c r="B678" s="234"/>
      <c r="C678" s="234"/>
      <c r="D678" s="234"/>
      <c r="E678" s="234"/>
      <c r="F678" s="234"/>
      <c r="G678" s="234"/>
      <c r="H678" s="234"/>
      <c r="I678" s="234"/>
      <c r="J678" s="234"/>
    </row>
    <row r="679" ht="15.75" customHeight="1">
      <c r="A679" s="234"/>
      <c r="B679" s="234"/>
      <c r="C679" s="234"/>
      <c r="D679" s="234"/>
      <c r="E679" s="234"/>
      <c r="F679" s="234"/>
      <c r="G679" s="234"/>
      <c r="H679" s="234"/>
      <c r="I679" s="234"/>
      <c r="J679" s="234"/>
    </row>
    <row r="680" ht="15.75" customHeight="1">
      <c r="A680" s="234"/>
      <c r="B680" s="234"/>
      <c r="C680" s="234"/>
      <c r="D680" s="234"/>
      <c r="E680" s="234"/>
      <c r="F680" s="234"/>
      <c r="G680" s="234"/>
      <c r="H680" s="234"/>
      <c r="I680" s="234"/>
      <c r="J680" s="234"/>
    </row>
    <row r="681" ht="15.75" customHeight="1">
      <c r="A681" s="234"/>
      <c r="B681" s="234"/>
      <c r="C681" s="234"/>
      <c r="D681" s="234"/>
      <c r="E681" s="234"/>
      <c r="F681" s="234"/>
      <c r="G681" s="234"/>
      <c r="H681" s="234"/>
      <c r="I681" s="234"/>
      <c r="J681" s="234"/>
    </row>
    <row r="682" ht="15.75" customHeight="1">
      <c r="A682" s="234"/>
      <c r="B682" s="234"/>
      <c r="C682" s="234"/>
      <c r="D682" s="234"/>
      <c r="E682" s="234"/>
      <c r="F682" s="234"/>
      <c r="G682" s="234"/>
      <c r="H682" s="234"/>
      <c r="I682" s="234"/>
      <c r="J682" s="234"/>
    </row>
    <row r="683" ht="15.75" customHeight="1">
      <c r="A683" s="234"/>
      <c r="B683" s="234"/>
      <c r="C683" s="234"/>
      <c r="D683" s="234"/>
      <c r="E683" s="234"/>
      <c r="F683" s="234"/>
      <c r="G683" s="234"/>
      <c r="H683" s="234"/>
      <c r="I683" s="234"/>
      <c r="J683" s="234"/>
    </row>
    <row r="684" ht="15.75" customHeight="1">
      <c r="A684" s="234"/>
      <c r="B684" s="234"/>
      <c r="C684" s="234"/>
      <c r="D684" s="234"/>
      <c r="E684" s="234"/>
      <c r="F684" s="234"/>
      <c r="G684" s="234"/>
      <c r="H684" s="234"/>
      <c r="I684" s="234"/>
      <c r="J684" s="234"/>
    </row>
    <row r="685" ht="15.75" customHeight="1">
      <c r="A685" s="234"/>
      <c r="B685" s="234"/>
      <c r="C685" s="234"/>
      <c r="D685" s="234"/>
      <c r="E685" s="234"/>
      <c r="F685" s="234"/>
      <c r="G685" s="234"/>
      <c r="H685" s="234"/>
      <c r="I685" s="234"/>
      <c r="J685" s="234"/>
    </row>
    <row r="686" ht="15.75" customHeight="1">
      <c r="A686" s="234"/>
      <c r="B686" s="234"/>
      <c r="C686" s="234"/>
      <c r="D686" s="234"/>
      <c r="E686" s="234"/>
      <c r="F686" s="234"/>
      <c r="G686" s="234"/>
      <c r="H686" s="234"/>
      <c r="I686" s="234"/>
      <c r="J686" s="234"/>
    </row>
    <row r="687" ht="15.75" customHeight="1">
      <c r="A687" s="234"/>
      <c r="B687" s="234"/>
      <c r="C687" s="234"/>
      <c r="D687" s="234"/>
      <c r="E687" s="234"/>
      <c r="F687" s="234"/>
      <c r="G687" s="234"/>
      <c r="H687" s="234"/>
      <c r="I687" s="234"/>
      <c r="J687" s="234"/>
    </row>
    <row r="688" ht="15.75" customHeight="1">
      <c r="A688" s="234"/>
      <c r="B688" s="234"/>
      <c r="C688" s="234"/>
      <c r="D688" s="234"/>
      <c r="E688" s="234"/>
      <c r="F688" s="234"/>
      <c r="G688" s="234"/>
      <c r="H688" s="234"/>
      <c r="I688" s="234"/>
      <c r="J688" s="234"/>
    </row>
    <row r="689" ht="15.75" customHeight="1">
      <c r="A689" s="234"/>
      <c r="B689" s="234"/>
      <c r="C689" s="234"/>
      <c r="D689" s="234"/>
      <c r="E689" s="234"/>
      <c r="F689" s="234"/>
      <c r="G689" s="234"/>
      <c r="H689" s="234"/>
      <c r="I689" s="234"/>
      <c r="J689" s="234"/>
    </row>
    <row r="690" ht="15.75" customHeight="1">
      <c r="A690" s="234"/>
      <c r="B690" s="234"/>
      <c r="C690" s="234"/>
      <c r="D690" s="234"/>
      <c r="E690" s="234"/>
      <c r="F690" s="234"/>
      <c r="G690" s="234"/>
      <c r="H690" s="234"/>
      <c r="I690" s="234"/>
      <c r="J690" s="234"/>
    </row>
    <row r="691" ht="15.75" customHeight="1">
      <c r="A691" s="234"/>
      <c r="B691" s="234"/>
      <c r="C691" s="234"/>
      <c r="D691" s="234"/>
      <c r="E691" s="234"/>
      <c r="F691" s="234"/>
      <c r="G691" s="234"/>
      <c r="H691" s="234"/>
      <c r="I691" s="234"/>
      <c r="J691" s="234"/>
    </row>
    <row r="692" ht="15.75" customHeight="1">
      <c r="A692" s="234"/>
      <c r="B692" s="234"/>
      <c r="C692" s="234"/>
      <c r="D692" s="234"/>
      <c r="E692" s="234"/>
      <c r="F692" s="234"/>
      <c r="G692" s="234"/>
      <c r="H692" s="234"/>
      <c r="I692" s="234"/>
      <c r="J692" s="234"/>
    </row>
    <row r="693" ht="15.75" customHeight="1">
      <c r="A693" s="234"/>
      <c r="B693" s="234"/>
      <c r="C693" s="234"/>
      <c r="D693" s="234"/>
      <c r="E693" s="234"/>
      <c r="F693" s="234"/>
      <c r="G693" s="234"/>
      <c r="H693" s="234"/>
      <c r="I693" s="234"/>
      <c r="J693" s="234"/>
    </row>
    <row r="694" ht="15.75" customHeight="1">
      <c r="A694" s="234"/>
      <c r="B694" s="234"/>
      <c r="C694" s="234"/>
      <c r="D694" s="234"/>
      <c r="E694" s="234"/>
      <c r="F694" s="234"/>
      <c r="G694" s="234"/>
      <c r="H694" s="234"/>
      <c r="I694" s="234"/>
      <c r="J694" s="234"/>
    </row>
    <row r="695" ht="15.75" customHeight="1">
      <c r="A695" s="234"/>
      <c r="B695" s="234"/>
      <c r="C695" s="234"/>
      <c r="D695" s="234"/>
      <c r="E695" s="234"/>
      <c r="F695" s="234"/>
      <c r="G695" s="234"/>
      <c r="H695" s="234"/>
      <c r="I695" s="234"/>
      <c r="J695" s="234"/>
    </row>
    <row r="696" ht="15.75" customHeight="1">
      <c r="A696" s="234"/>
      <c r="B696" s="234"/>
      <c r="C696" s="234"/>
      <c r="D696" s="234"/>
      <c r="E696" s="234"/>
      <c r="F696" s="234"/>
      <c r="G696" s="234"/>
      <c r="H696" s="234"/>
      <c r="I696" s="234"/>
      <c r="J696" s="234"/>
    </row>
    <row r="697" ht="15.75" customHeight="1">
      <c r="A697" s="234"/>
      <c r="B697" s="234"/>
      <c r="C697" s="234"/>
      <c r="D697" s="234"/>
      <c r="E697" s="234"/>
      <c r="F697" s="234"/>
      <c r="G697" s="234"/>
      <c r="H697" s="234"/>
      <c r="I697" s="234"/>
      <c r="J697" s="234"/>
    </row>
    <row r="698" ht="15.75" customHeight="1">
      <c r="A698" s="234"/>
      <c r="B698" s="234"/>
      <c r="C698" s="234"/>
      <c r="D698" s="234"/>
      <c r="E698" s="234"/>
      <c r="F698" s="234"/>
      <c r="G698" s="234"/>
      <c r="H698" s="234"/>
      <c r="I698" s="234"/>
      <c r="J698" s="234"/>
    </row>
    <row r="699" ht="15.75" customHeight="1">
      <c r="A699" s="234"/>
      <c r="B699" s="234"/>
      <c r="C699" s="234"/>
      <c r="D699" s="234"/>
      <c r="E699" s="234"/>
      <c r="F699" s="234"/>
      <c r="G699" s="234"/>
      <c r="H699" s="234"/>
      <c r="I699" s="234"/>
      <c r="J699" s="234"/>
    </row>
    <row r="700" ht="15.75" customHeight="1">
      <c r="A700" s="234"/>
      <c r="B700" s="234"/>
      <c r="C700" s="234"/>
      <c r="D700" s="234"/>
      <c r="E700" s="234"/>
      <c r="F700" s="234"/>
      <c r="G700" s="234"/>
      <c r="H700" s="234"/>
      <c r="I700" s="234"/>
      <c r="J700" s="234"/>
    </row>
    <row r="701" ht="15.75" customHeight="1">
      <c r="A701" s="234"/>
      <c r="B701" s="234"/>
      <c r="C701" s="234"/>
      <c r="D701" s="234"/>
      <c r="E701" s="234"/>
      <c r="F701" s="234"/>
      <c r="G701" s="234"/>
      <c r="H701" s="234"/>
      <c r="I701" s="234"/>
      <c r="J701" s="234"/>
    </row>
    <row r="702" ht="15.75" customHeight="1">
      <c r="A702" s="234"/>
      <c r="B702" s="234"/>
      <c r="C702" s="234"/>
      <c r="D702" s="234"/>
      <c r="E702" s="234"/>
      <c r="F702" s="234"/>
      <c r="G702" s="234"/>
      <c r="H702" s="234"/>
      <c r="I702" s="234"/>
      <c r="J702" s="234"/>
    </row>
    <row r="703" ht="15.75" customHeight="1">
      <c r="A703" s="234"/>
      <c r="B703" s="234"/>
      <c r="C703" s="234"/>
      <c r="D703" s="234"/>
      <c r="E703" s="234"/>
      <c r="F703" s="234"/>
      <c r="G703" s="234"/>
      <c r="H703" s="234"/>
      <c r="I703" s="234"/>
      <c r="J703" s="234"/>
    </row>
    <row r="704" ht="15.75" customHeight="1">
      <c r="A704" s="234"/>
      <c r="B704" s="234"/>
      <c r="C704" s="234"/>
      <c r="D704" s="234"/>
      <c r="E704" s="234"/>
      <c r="F704" s="234"/>
      <c r="G704" s="234"/>
      <c r="H704" s="234"/>
      <c r="I704" s="234"/>
      <c r="J704" s="234"/>
    </row>
    <row r="705" ht="15.75" customHeight="1">
      <c r="A705" s="234"/>
      <c r="B705" s="234"/>
      <c r="C705" s="234"/>
      <c r="D705" s="234"/>
      <c r="E705" s="234"/>
      <c r="F705" s="234"/>
      <c r="G705" s="234"/>
      <c r="H705" s="234"/>
      <c r="I705" s="234"/>
      <c r="J705" s="234"/>
    </row>
    <row r="706" ht="15.75" customHeight="1">
      <c r="A706" s="234"/>
      <c r="B706" s="234"/>
      <c r="C706" s="234"/>
      <c r="D706" s="234"/>
      <c r="E706" s="234"/>
      <c r="F706" s="234"/>
      <c r="G706" s="234"/>
      <c r="H706" s="234"/>
      <c r="I706" s="234"/>
      <c r="J706" s="234"/>
    </row>
    <row r="707" ht="15.75" customHeight="1">
      <c r="A707" s="234"/>
      <c r="B707" s="234"/>
      <c r="C707" s="234"/>
      <c r="D707" s="234"/>
      <c r="E707" s="234"/>
      <c r="F707" s="234"/>
      <c r="G707" s="234"/>
      <c r="H707" s="234"/>
      <c r="I707" s="234"/>
      <c r="J707" s="234"/>
    </row>
    <row r="708" ht="15.75" customHeight="1">
      <c r="A708" s="234"/>
      <c r="B708" s="234"/>
      <c r="C708" s="234"/>
      <c r="D708" s="234"/>
      <c r="E708" s="234"/>
      <c r="F708" s="234"/>
      <c r="G708" s="234"/>
      <c r="H708" s="234"/>
      <c r="I708" s="234"/>
      <c r="J708" s="234"/>
    </row>
    <row r="709" ht="15.75" customHeight="1">
      <c r="A709" s="234"/>
      <c r="B709" s="234"/>
      <c r="C709" s="234"/>
      <c r="D709" s="234"/>
      <c r="E709" s="234"/>
      <c r="F709" s="234"/>
      <c r="G709" s="234"/>
      <c r="H709" s="234"/>
      <c r="I709" s="234"/>
      <c r="J709" s="234"/>
    </row>
    <row r="710" ht="15.75" customHeight="1">
      <c r="A710" s="234"/>
      <c r="B710" s="234"/>
      <c r="C710" s="234"/>
      <c r="D710" s="234"/>
      <c r="E710" s="234"/>
      <c r="F710" s="234"/>
      <c r="G710" s="234"/>
      <c r="H710" s="234"/>
      <c r="I710" s="234"/>
      <c r="J710" s="234"/>
    </row>
    <row r="711" ht="15.75" customHeight="1">
      <c r="A711" s="234"/>
      <c r="B711" s="234"/>
      <c r="C711" s="234"/>
      <c r="D711" s="234"/>
      <c r="E711" s="234"/>
      <c r="F711" s="234"/>
      <c r="G711" s="234"/>
      <c r="H711" s="234"/>
      <c r="I711" s="234"/>
      <c r="J711" s="234"/>
    </row>
    <row r="712" ht="15.75" customHeight="1">
      <c r="A712" s="234"/>
      <c r="B712" s="234"/>
      <c r="C712" s="234"/>
      <c r="D712" s="234"/>
      <c r="E712" s="234"/>
      <c r="F712" s="234"/>
      <c r="G712" s="234"/>
      <c r="H712" s="234"/>
      <c r="I712" s="234"/>
      <c r="J712" s="234"/>
    </row>
    <row r="713" ht="15.75" customHeight="1">
      <c r="A713" s="234"/>
      <c r="B713" s="234"/>
      <c r="C713" s="234"/>
      <c r="D713" s="234"/>
      <c r="E713" s="234"/>
      <c r="F713" s="234"/>
      <c r="G713" s="234"/>
      <c r="H713" s="234"/>
      <c r="I713" s="234"/>
      <c r="J713" s="234"/>
    </row>
    <row r="714" ht="15.75" customHeight="1">
      <c r="A714" s="234"/>
      <c r="B714" s="234"/>
      <c r="C714" s="234"/>
      <c r="D714" s="234"/>
      <c r="E714" s="234"/>
      <c r="F714" s="234"/>
      <c r="G714" s="234"/>
      <c r="H714" s="234"/>
      <c r="I714" s="234"/>
      <c r="J714" s="234"/>
    </row>
    <row r="715" ht="15.75" customHeight="1">
      <c r="A715" s="234"/>
      <c r="B715" s="234"/>
      <c r="C715" s="234"/>
      <c r="D715" s="234"/>
      <c r="E715" s="234"/>
      <c r="F715" s="234"/>
      <c r="G715" s="234"/>
      <c r="H715" s="234"/>
      <c r="I715" s="234"/>
      <c r="J715" s="234"/>
    </row>
    <row r="716" ht="15.75" customHeight="1">
      <c r="A716" s="234"/>
      <c r="B716" s="234"/>
      <c r="C716" s="234"/>
      <c r="D716" s="234"/>
      <c r="E716" s="234"/>
      <c r="F716" s="234"/>
      <c r="G716" s="234"/>
      <c r="H716" s="234"/>
      <c r="I716" s="234"/>
      <c r="J716" s="234"/>
    </row>
    <row r="717" ht="15.75" customHeight="1">
      <c r="A717" s="234"/>
      <c r="B717" s="234"/>
      <c r="C717" s="234"/>
      <c r="D717" s="234"/>
      <c r="E717" s="234"/>
      <c r="F717" s="234"/>
      <c r="G717" s="234"/>
      <c r="H717" s="234"/>
      <c r="I717" s="234"/>
      <c r="J717" s="234"/>
    </row>
    <row r="718" ht="15.75" customHeight="1">
      <c r="A718" s="234"/>
      <c r="B718" s="234"/>
      <c r="C718" s="234"/>
      <c r="D718" s="234"/>
      <c r="E718" s="234"/>
      <c r="F718" s="234"/>
      <c r="G718" s="234"/>
      <c r="H718" s="234"/>
      <c r="I718" s="234"/>
      <c r="J718" s="234"/>
    </row>
    <row r="719" ht="15.75" customHeight="1">
      <c r="A719" s="234"/>
      <c r="B719" s="234"/>
      <c r="C719" s="234"/>
      <c r="D719" s="234"/>
      <c r="E719" s="234"/>
      <c r="F719" s="234"/>
      <c r="G719" s="234"/>
      <c r="H719" s="234"/>
      <c r="I719" s="234"/>
      <c r="J719" s="234"/>
    </row>
    <row r="720" ht="15.75" customHeight="1">
      <c r="A720" s="234"/>
      <c r="B720" s="234"/>
      <c r="C720" s="234"/>
      <c r="D720" s="234"/>
      <c r="E720" s="234"/>
      <c r="F720" s="234"/>
      <c r="G720" s="234"/>
      <c r="H720" s="234"/>
      <c r="I720" s="234"/>
      <c r="J720" s="234"/>
    </row>
    <row r="721" ht="15.75" customHeight="1">
      <c r="A721" s="234"/>
      <c r="B721" s="234"/>
      <c r="C721" s="234"/>
      <c r="D721" s="234"/>
      <c r="E721" s="234"/>
      <c r="F721" s="234"/>
      <c r="G721" s="234"/>
      <c r="H721" s="234"/>
      <c r="I721" s="234"/>
      <c r="J721" s="234"/>
    </row>
    <row r="722" ht="15.75" customHeight="1">
      <c r="A722" s="234"/>
      <c r="B722" s="234"/>
      <c r="C722" s="234"/>
      <c r="D722" s="234"/>
      <c r="E722" s="234"/>
      <c r="F722" s="234"/>
      <c r="G722" s="234"/>
      <c r="H722" s="234"/>
      <c r="I722" s="234"/>
      <c r="J722" s="234"/>
    </row>
    <row r="723" ht="15.75" customHeight="1">
      <c r="A723" s="234"/>
      <c r="B723" s="234"/>
      <c r="C723" s="234"/>
      <c r="D723" s="234"/>
      <c r="E723" s="234"/>
      <c r="F723" s="234"/>
      <c r="G723" s="234"/>
      <c r="H723" s="234"/>
      <c r="I723" s="234"/>
      <c r="J723" s="234"/>
    </row>
    <row r="724" ht="15.75" customHeight="1">
      <c r="A724" s="234"/>
      <c r="B724" s="234"/>
      <c r="C724" s="234"/>
      <c r="D724" s="234"/>
      <c r="E724" s="234"/>
      <c r="F724" s="234"/>
      <c r="G724" s="234"/>
      <c r="H724" s="234"/>
      <c r="I724" s="234"/>
      <c r="J724" s="234"/>
    </row>
    <row r="725" ht="15.75" customHeight="1">
      <c r="A725" s="234"/>
      <c r="B725" s="234"/>
      <c r="C725" s="234"/>
      <c r="D725" s="234"/>
      <c r="E725" s="234"/>
      <c r="F725" s="234"/>
      <c r="G725" s="234"/>
      <c r="H725" s="234"/>
      <c r="I725" s="234"/>
      <c r="J725" s="234"/>
    </row>
    <row r="726" ht="15.75" customHeight="1">
      <c r="A726" s="234"/>
      <c r="B726" s="234"/>
      <c r="C726" s="234"/>
      <c r="D726" s="234"/>
      <c r="E726" s="234"/>
      <c r="F726" s="234"/>
      <c r="G726" s="234"/>
      <c r="H726" s="234"/>
      <c r="I726" s="234"/>
      <c r="J726" s="234"/>
    </row>
    <row r="727" ht="15.75" customHeight="1">
      <c r="A727" s="234"/>
      <c r="B727" s="234"/>
      <c r="C727" s="234"/>
      <c r="D727" s="234"/>
      <c r="E727" s="234"/>
      <c r="F727" s="234"/>
      <c r="G727" s="234"/>
      <c r="H727" s="234"/>
      <c r="I727" s="234"/>
      <c r="J727" s="234"/>
    </row>
    <row r="728" ht="15.75" customHeight="1">
      <c r="A728" s="234"/>
      <c r="B728" s="234"/>
      <c r="C728" s="234"/>
      <c r="D728" s="234"/>
      <c r="E728" s="234"/>
      <c r="F728" s="234"/>
      <c r="G728" s="234"/>
      <c r="H728" s="234"/>
      <c r="I728" s="234"/>
      <c r="J728" s="234"/>
    </row>
    <row r="729" ht="15.75" customHeight="1">
      <c r="A729" s="234"/>
      <c r="B729" s="234"/>
      <c r="C729" s="234"/>
      <c r="D729" s="234"/>
      <c r="E729" s="234"/>
      <c r="F729" s="234"/>
      <c r="G729" s="234"/>
      <c r="H729" s="234"/>
      <c r="I729" s="234"/>
      <c r="J729" s="234"/>
    </row>
    <row r="730" ht="15.75" customHeight="1">
      <c r="A730" s="234"/>
      <c r="B730" s="234"/>
      <c r="C730" s="234"/>
      <c r="D730" s="234"/>
      <c r="E730" s="234"/>
      <c r="F730" s="234"/>
      <c r="G730" s="234"/>
      <c r="H730" s="234"/>
      <c r="I730" s="234"/>
      <c r="J730" s="234"/>
    </row>
    <row r="731" ht="15.75" customHeight="1">
      <c r="A731" s="234"/>
      <c r="B731" s="234"/>
      <c r="C731" s="234"/>
      <c r="D731" s="234"/>
      <c r="E731" s="234"/>
      <c r="F731" s="234"/>
      <c r="G731" s="234"/>
      <c r="H731" s="234"/>
      <c r="I731" s="234"/>
      <c r="J731" s="234"/>
    </row>
    <row r="732" ht="15.75" customHeight="1">
      <c r="A732" s="234"/>
      <c r="B732" s="234"/>
      <c r="C732" s="234"/>
      <c r="D732" s="234"/>
      <c r="E732" s="234"/>
      <c r="F732" s="234"/>
      <c r="G732" s="234"/>
      <c r="H732" s="234"/>
      <c r="I732" s="234"/>
      <c r="J732" s="234"/>
    </row>
    <row r="733" ht="15.75" customHeight="1">
      <c r="A733" s="234"/>
      <c r="B733" s="234"/>
      <c r="C733" s="234"/>
      <c r="D733" s="234"/>
      <c r="E733" s="234"/>
      <c r="F733" s="234"/>
      <c r="G733" s="234"/>
      <c r="H733" s="234"/>
      <c r="I733" s="234"/>
      <c r="J733" s="234"/>
    </row>
    <row r="734" ht="15.75" customHeight="1">
      <c r="A734" s="234"/>
      <c r="B734" s="234"/>
      <c r="C734" s="234"/>
      <c r="D734" s="234"/>
      <c r="E734" s="234"/>
      <c r="F734" s="234"/>
      <c r="G734" s="234"/>
      <c r="H734" s="234"/>
      <c r="I734" s="234"/>
      <c r="J734" s="234"/>
    </row>
    <row r="735" ht="15.75" customHeight="1">
      <c r="A735" s="234"/>
      <c r="B735" s="234"/>
      <c r="C735" s="234"/>
      <c r="D735" s="234"/>
      <c r="E735" s="234"/>
      <c r="F735" s="234"/>
      <c r="G735" s="234"/>
      <c r="H735" s="234"/>
      <c r="I735" s="234"/>
      <c r="J735" s="234"/>
    </row>
    <row r="736" ht="15.75" customHeight="1">
      <c r="A736" s="234"/>
      <c r="B736" s="234"/>
      <c r="C736" s="234"/>
      <c r="D736" s="234"/>
      <c r="E736" s="234"/>
      <c r="F736" s="234"/>
      <c r="G736" s="234"/>
      <c r="H736" s="234"/>
      <c r="I736" s="234"/>
      <c r="J736" s="234"/>
    </row>
    <row r="737" ht="15.75" customHeight="1">
      <c r="A737" s="234"/>
      <c r="B737" s="234"/>
      <c r="C737" s="234"/>
      <c r="D737" s="234"/>
      <c r="E737" s="234"/>
      <c r="F737" s="234"/>
      <c r="G737" s="234"/>
      <c r="H737" s="234"/>
      <c r="I737" s="234"/>
      <c r="J737" s="234"/>
    </row>
    <row r="738" ht="15.75" customHeight="1">
      <c r="A738" s="234"/>
      <c r="B738" s="234"/>
      <c r="C738" s="234"/>
      <c r="D738" s="234"/>
      <c r="E738" s="234"/>
      <c r="F738" s="234"/>
      <c r="G738" s="234"/>
      <c r="H738" s="234"/>
      <c r="I738" s="234"/>
      <c r="J738" s="234"/>
    </row>
    <row r="739" ht="15.75" customHeight="1">
      <c r="A739" s="234"/>
      <c r="B739" s="234"/>
      <c r="C739" s="234"/>
      <c r="D739" s="234"/>
      <c r="E739" s="234"/>
      <c r="F739" s="234"/>
      <c r="G739" s="234"/>
      <c r="H739" s="234"/>
      <c r="I739" s="234"/>
      <c r="J739" s="234"/>
    </row>
    <row r="740" ht="15.75" customHeight="1">
      <c r="A740" s="234"/>
      <c r="B740" s="234"/>
      <c r="C740" s="234"/>
      <c r="D740" s="234"/>
      <c r="E740" s="234"/>
      <c r="F740" s="234"/>
      <c r="G740" s="234"/>
      <c r="H740" s="234"/>
      <c r="I740" s="234"/>
      <c r="J740" s="234"/>
    </row>
    <row r="741" ht="15.75" customHeight="1">
      <c r="A741" s="234"/>
      <c r="B741" s="234"/>
      <c r="C741" s="234"/>
      <c r="D741" s="234"/>
      <c r="E741" s="234"/>
      <c r="F741" s="234"/>
      <c r="G741" s="234"/>
      <c r="H741" s="234"/>
      <c r="I741" s="234"/>
      <c r="J741" s="234"/>
    </row>
    <row r="742" ht="15.75" customHeight="1">
      <c r="A742" s="234"/>
      <c r="B742" s="234"/>
      <c r="C742" s="234"/>
      <c r="D742" s="234"/>
      <c r="E742" s="234"/>
      <c r="F742" s="234"/>
      <c r="G742" s="234"/>
      <c r="H742" s="234"/>
      <c r="I742" s="234"/>
      <c r="J742" s="234"/>
    </row>
    <row r="743" ht="15.75" customHeight="1">
      <c r="A743" s="234"/>
      <c r="B743" s="234"/>
      <c r="C743" s="234"/>
      <c r="D743" s="234"/>
      <c r="E743" s="234"/>
      <c r="F743" s="234"/>
      <c r="G743" s="234"/>
      <c r="H743" s="234"/>
      <c r="I743" s="234"/>
      <c r="J743" s="234"/>
    </row>
    <row r="744" ht="15.75" customHeight="1">
      <c r="A744" s="234"/>
      <c r="B744" s="234"/>
      <c r="C744" s="234"/>
      <c r="D744" s="234"/>
      <c r="E744" s="234"/>
      <c r="F744" s="234"/>
      <c r="G744" s="234"/>
      <c r="H744" s="234"/>
      <c r="I744" s="234"/>
      <c r="J744" s="234"/>
    </row>
    <row r="745" ht="15.75" customHeight="1">
      <c r="A745" s="234"/>
      <c r="B745" s="234"/>
      <c r="C745" s="234"/>
      <c r="D745" s="234"/>
      <c r="E745" s="234"/>
      <c r="F745" s="234"/>
      <c r="G745" s="234"/>
      <c r="H745" s="234"/>
      <c r="I745" s="234"/>
      <c r="J745" s="234"/>
    </row>
    <row r="746" ht="15.75" customHeight="1">
      <c r="A746" s="234"/>
      <c r="B746" s="234"/>
      <c r="C746" s="234"/>
      <c r="D746" s="234"/>
      <c r="E746" s="234"/>
      <c r="F746" s="234"/>
      <c r="G746" s="234"/>
      <c r="H746" s="234"/>
      <c r="I746" s="234"/>
      <c r="J746" s="234"/>
    </row>
    <row r="747" ht="15.75" customHeight="1">
      <c r="A747" s="234"/>
      <c r="B747" s="234"/>
      <c r="C747" s="234"/>
      <c r="D747" s="234"/>
      <c r="E747" s="234"/>
      <c r="F747" s="234"/>
      <c r="G747" s="234"/>
      <c r="H747" s="234"/>
      <c r="I747" s="234"/>
      <c r="J747" s="234"/>
    </row>
    <row r="748" ht="15.75" customHeight="1">
      <c r="A748" s="234"/>
      <c r="B748" s="234"/>
      <c r="C748" s="234"/>
      <c r="D748" s="234"/>
      <c r="E748" s="234"/>
      <c r="F748" s="234"/>
      <c r="G748" s="234"/>
      <c r="H748" s="234"/>
      <c r="I748" s="234"/>
      <c r="J748" s="234"/>
    </row>
    <row r="749" ht="15.75" customHeight="1">
      <c r="A749" s="234"/>
      <c r="B749" s="234"/>
      <c r="C749" s="234"/>
      <c r="D749" s="234"/>
      <c r="E749" s="234"/>
      <c r="F749" s="234"/>
      <c r="G749" s="234"/>
      <c r="H749" s="234"/>
      <c r="I749" s="234"/>
      <c r="J749" s="234"/>
    </row>
    <row r="750" ht="15.75" customHeight="1">
      <c r="A750" s="234"/>
      <c r="B750" s="234"/>
      <c r="C750" s="234"/>
      <c r="D750" s="234"/>
      <c r="E750" s="234"/>
      <c r="F750" s="234"/>
      <c r="G750" s="234"/>
      <c r="H750" s="234"/>
      <c r="I750" s="234"/>
      <c r="J750" s="234"/>
    </row>
    <row r="751" ht="15.75" customHeight="1">
      <c r="A751" s="234"/>
      <c r="B751" s="234"/>
      <c r="C751" s="234"/>
      <c r="D751" s="234"/>
      <c r="E751" s="234"/>
      <c r="F751" s="234"/>
      <c r="G751" s="234"/>
      <c r="H751" s="234"/>
      <c r="I751" s="234"/>
      <c r="J751" s="234"/>
    </row>
    <row r="752" ht="15.75" customHeight="1">
      <c r="A752" s="234"/>
      <c r="B752" s="234"/>
      <c r="C752" s="234"/>
      <c r="D752" s="234"/>
      <c r="E752" s="234"/>
      <c r="F752" s="234"/>
      <c r="G752" s="234"/>
      <c r="H752" s="234"/>
      <c r="I752" s="234"/>
      <c r="J752" s="234"/>
    </row>
    <row r="753" ht="15.75" customHeight="1">
      <c r="A753" s="234"/>
      <c r="B753" s="234"/>
      <c r="C753" s="234"/>
      <c r="D753" s="234"/>
      <c r="E753" s="234"/>
      <c r="F753" s="234"/>
      <c r="G753" s="234"/>
      <c r="H753" s="234"/>
      <c r="I753" s="234"/>
      <c r="J753" s="234"/>
    </row>
    <row r="754" ht="15.75" customHeight="1">
      <c r="A754" s="234"/>
      <c r="B754" s="234"/>
      <c r="C754" s="234"/>
      <c r="D754" s="234"/>
      <c r="E754" s="234"/>
      <c r="F754" s="234"/>
      <c r="G754" s="234"/>
      <c r="H754" s="234"/>
      <c r="I754" s="234"/>
      <c r="J754" s="234"/>
    </row>
    <row r="755" ht="15.75" customHeight="1">
      <c r="A755" s="234"/>
      <c r="B755" s="234"/>
      <c r="C755" s="234"/>
      <c r="D755" s="234"/>
      <c r="E755" s="234"/>
      <c r="F755" s="234"/>
      <c r="G755" s="234"/>
      <c r="H755" s="234"/>
      <c r="I755" s="234"/>
      <c r="J755" s="234"/>
    </row>
    <row r="756" ht="15.75" customHeight="1">
      <c r="A756" s="234"/>
      <c r="B756" s="234"/>
      <c r="C756" s="234"/>
      <c r="D756" s="234"/>
      <c r="E756" s="234"/>
      <c r="F756" s="234"/>
      <c r="G756" s="234"/>
      <c r="H756" s="234"/>
      <c r="I756" s="234"/>
      <c r="J756" s="234"/>
    </row>
    <row r="757" ht="15.75" customHeight="1">
      <c r="A757" s="234"/>
      <c r="B757" s="234"/>
      <c r="C757" s="234"/>
      <c r="D757" s="234"/>
      <c r="E757" s="234"/>
      <c r="F757" s="234"/>
      <c r="G757" s="234"/>
      <c r="H757" s="234"/>
      <c r="I757" s="234"/>
      <c r="J757" s="234"/>
    </row>
    <row r="758" ht="15.75" customHeight="1">
      <c r="A758" s="234"/>
      <c r="B758" s="234"/>
      <c r="C758" s="234"/>
      <c r="D758" s="234"/>
      <c r="E758" s="234"/>
      <c r="F758" s="234"/>
      <c r="G758" s="234"/>
      <c r="H758" s="234"/>
      <c r="I758" s="234"/>
      <c r="J758" s="234"/>
    </row>
    <row r="759" ht="15.75" customHeight="1">
      <c r="A759" s="234"/>
      <c r="B759" s="234"/>
      <c r="C759" s="234"/>
      <c r="D759" s="234"/>
      <c r="E759" s="234"/>
      <c r="F759" s="234"/>
      <c r="G759" s="234"/>
      <c r="H759" s="234"/>
      <c r="I759" s="234"/>
      <c r="J759" s="234"/>
    </row>
    <row r="760" ht="15.75" customHeight="1">
      <c r="A760" s="234"/>
      <c r="B760" s="234"/>
      <c r="C760" s="234"/>
      <c r="D760" s="234"/>
      <c r="E760" s="234"/>
      <c r="F760" s="234"/>
      <c r="G760" s="234"/>
      <c r="H760" s="234"/>
      <c r="I760" s="234"/>
      <c r="J760" s="234"/>
    </row>
    <row r="761" ht="15.75" customHeight="1">
      <c r="A761" s="234"/>
      <c r="B761" s="234"/>
      <c r="C761" s="234"/>
      <c r="D761" s="234"/>
      <c r="E761" s="234"/>
      <c r="F761" s="234"/>
      <c r="G761" s="234"/>
      <c r="H761" s="234"/>
      <c r="I761" s="234"/>
      <c r="J761" s="234"/>
    </row>
    <row r="762" ht="15.75" customHeight="1">
      <c r="A762" s="234"/>
      <c r="B762" s="234"/>
      <c r="C762" s="234"/>
      <c r="D762" s="234"/>
      <c r="E762" s="234"/>
      <c r="F762" s="234"/>
      <c r="G762" s="234"/>
      <c r="H762" s="234"/>
      <c r="I762" s="234"/>
      <c r="J762" s="234"/>
    </row>
    <row r="763" ht="15.75" customHeight="1">
      <c r="A763" s="234"/>
      <c r="B763" s="234"/>
      <c r="C763" s="234"/>
      <c r="D763" s="234"/>
      <c r="E763" s="234"/>
      <c r="F763" s="234"/>
      <c r="G763" s="234"/>
      <c r="H763" s="234"/>
      <c r="I763" s="234"/>
      <c r="J763" s="234"/>
    </row>
    <row r="764" ht="15.75" customHeight="1">
      <c r="A764" s="234"/>
      <c r="B764" s="234"/>
      <c r="C764" s="234"/>
      <c r="D764" s="234"/>
      <c r="E764" s="234"/>
      <c r="F764" s="234"/>
      <c r="G764" s="234"/>
      <c r="H764" s="234"/>
      <c r="I764" s="234"/>
      <c r="J764" s="234"/>
    </row>
    <row r="765" ht="15.75" customHeight="1">
      <c r="A765" s="234"/>
      <c r="B765" s="234"/>
      <c r="C765" s="234"/>
      <c r="D765" s="234"/>
      <c r="E765" s="234"/>
      <c r="F765" s="234"/>
      <c r="G765" s="234"/>
      <c r="H765" s="234"/>
      <c r="I765" s="234"/>
      <c r="J765" s="234"/>
    </row>
    <row r="766" ht="15.75" customHeight="1">
      <c r="A766" s="234"/>
      <c r="B766" s="234"/>
      <c r="C766" s="234"/>
      <c r="D766" s="234"/>
      <c r="E766" s="234"/>
      <c r="F766" s="234"/>
      <c r="G766" s="234"/>
      <c r="H766" s="234"/>
      <c r="I766" s="234"/>
      <c r="J766" s="234"/>
    </row>
    <row r="767" ht="15.75" customHeight="1">
      <c r="A767" s="234"/>
      <c r="B767" s="234"/>
      <c r="C767" s="234"/>
      <c r="D767" s="234"/>
      <c r="E767" s="234"/>
      <c r="F767" s="234"/>
      <c r="G767" s="234"/>
      <c r="H767" s="234"/>
      <c r="I767" s="234"/>
      <c r="J767" s="234"/>
    </row>
    <row r="768" ht="15.75" customHeight="1">
      <c r="A768" s="234"/>
      <c r="B768" s="234"/>
      <c r="C768" s="234"/>
      <c r="D768" s="234"/>
      <c r="E768" s="234"/>
      <c r="F768" s="234"/>
      <c r="G768" s="234"/>
      <c r="H768" s="234"/>
      <c r="I768" s="234"/>
      <c r="J768" s="234"/>
    </row>
    <row r="769" ht="15.75" customHeight="1">
      <c r="A769" s="234"/>
      <c r="B769" s="234"/>
      <c r="C769" s="234"/>
      <c r="D769" s="234"/>
      <c r="E769" s="234"/>
      <c r="F769" s="234"/>
      <c r="G769" s="234"/>
      <c r="H769" s="234"/>
      <c r="I769" s="234"/>
      <c r="J769" s="234"/>
    </row>
    <row r="770" ht="15.75" customHeight="1">
      <c r="A770" s="234"/>
      <c r="B770" s="234"/>
      <c r="C770" s="234"/>
      <c r="D770" s="234"/>
      <c r="E770" s="234"/>
      <c r="F770" s="234"/>
      <c r="G770" s="234"/>
      <c r="H770" s="234"/>
      <c r="I770" s="234"/>
      <c r="J770" s="234"/>
    </row>
    <row r="771" ht="15.75" customHeight="1">
      <c r="A771" s="234"/>
      <c r="B771" s="234"/>
      <c r="C771" s="234"/>
      <c r="D771" s="234"/>
      <c r="E771" s="234"/>
      <c r="F771" s="234"/>
      <c r="G771" s="234"/>
      <c r="H771" s="234"/>
      <c r="I771" s="234"/>
      <c r="J771" s="234"/>
    </row>
    <row r="772" ht="15.75" customHeight="1">
      <c r="A772" s="234"/>
      <c r="B772" s="234"/>
      <c r="C772" s="234"/>
      <c r="D772" s="234"/>
      <c r="E772" s="234"/>
      <c r="F772" s="234"/>
      <c r="G772" s="234"/>
      <c r="H772" s="234"/>
      <c r="I772" s="234"/>
      <c r="J772" s="234"/>
    </row>
    <row r="773" ht="15.75" customHeight="1">
      <c r="A773" s="234"/>
      <c r="B773" s="234"/>
      <c r="C773" s="234"/>
      <c r="D773" s="234"/>
      <c r="E773" s="234"/>
      <c r="F773" s="234"/>
      <c r="G773" s="234"/>
      <c r="H773" s="234"/>
      <c r="I773" s="234"/>
      <c r="J773" s="234"/>
    </row>
    <row r="774" ht="15.75" customHeight="1">
      <c r="A774" s="234"/>
      <c r="B774" s="234"/>
      <c r="C774" s="234"/>
      <c r="D774" s="234"/>
      <c r="E774" s="234"/>
      <c r="F774" s="234"/>
      <c r="G774" s="234"/>
      <c r="H774" s="234"/>
      <c r="I774" s="234"/>
      <c r="J774" s="234"/>
    </row>
    <row r="775" ht="15.75" customHeight="1">
      <c r="A775" s="234"/>
      <c r="B775" s="234"/>
      <c r="C775" s="234"/>
      <c r="D775" s="234"/>
      <c r="E775" s="234"/>
      <c r="F775" s="234"/>
      <c r="G775" s="234"/>
      <c r="H775" s="234"/>
      <c r="I775" s="234"/>
      <c r="J775" s="234"/>
    </row>
    <row r="776" ht="15.75" customHeight="1">
      <c r="A776" s="234"/>
      <c r="B776" s="234"/>
      <c r="C776" s="234"/>
      <c r="D776" s="234"/>
      <c r="E776" s="234"/>
      <c r="F776" s="234"/>
      <c r="G776" s="234"/>
      <c r="H776" s="234"/>
      <c r="I776" s="234"/>
      <c r="J776" s="234"/>
    </row>
    <row r="777" ht="15.75" customHeight="1">
      <c r="A777" s="234"/>
      <c r="B777" s="234"/>
      <c r="C777" s="234"/>
      <c r="D777" s="234"/>
      <c r="E777" s="234"/>
      <c r="F777" s="234"/>
      <c r="G777" s="234"/>
      <c r="H777" s="234"/>
      <c r="I777" s="234"/>
      <c r="J777" s="234"/>
    </row>
    <row r="778" ht="15.75" customHeight="1">
      <c r="A778" s="234"/>
      <c r="B778" s="234"/>
      <c r="C778" s="234"/>
      <c r="D778" s="234"/>
      <c r="E778" s="234"/>
      <c r="F778" s="234"/>
      <c r="G778" s="234"/>
      <c r="H778" s="234"/>
      <c r="I778" s="234"/>
      <c r="J778" s="234"/>
    </row>
    <row r="779" ht="15.75" customHeight="1">
      <c r="A779" s="234"/>
      <c r="B779" s="234"/>
      <c r="C779" s="234"/>
      <c r="D779" s="234"/>
      <c r="E779" s="234"/>
      <c r="F779" s="234"/>
      <c r="G779" s="234"/>
      <c r="H779" s="234"/>
      <c r="I779" s="234"/>
      <c r="J779" s="234"/>
    </row>
    <row r="780" ht="15.75" customHeight="1">
      <c r="A780" s="234"/>
      <c r="B780" s="234"/>
      <c r="C780" s="234"/>
      <c r="D780" s="234"/>
      <c r="E780" s="234"/>
      <c r="F780" s="234"/>
      <c r="G780" s="234"/>
      <c r="H780" s="234"/>
      <c r="I780" s="234"/>
      <c r="J780" s="234"/>
    </row>
    <row r="781" ht="15.75" customHeight="1">
      <c r="A781" s="234"/>
      <c r="B781" s="234"/>
      <c r="C781" s="234"/>
      <c r="D781" s="234"/>
      <c r="E781" s="234"/>
      <c r="F781" s="234"/>
      <c r="G781" s="234"/>
      <c r="H781" s="234"/>
      <c r="I781" s="234"/>
      <c r="J781" s="234"/>
    </row>
    <row r="782" ht="15.75" customHeight="1">
      <c r="A782" s="234"/>
      <c r="B782" s="234"/>
      <c r="C782" s="234"/>
      <c r="D782" s="234"/>
      <c r="E782" s="234"/>
      <c r="F782" s="234"/>
      <c r="G782" s="234"/>
      <c r="H782" s="234"/>
      <c r="I782" s="234"/>
      <c r="J782" s="234"/>
    </row>
    <row r="783" ht="15.75" customHeight="1">
      <c r="A783" s="234"/>
      <c r="B783" s="234"/>
      <c r="C783" s="234"/>
      <c r="D783" s="234"/>
      <c r="E783" s="234"/>
      <c r="F783" s="234"/>
      <c r="G783" s="234"/>
      <c r="H783" s="234"/>
      <c r="I783" s="234"/>
      <c r="J783" s="234"/>
    </row>
    <row r="784" ht="15.75" customHeight="1">
      <c r="A784" s="234"/>
      <c r="B784" s="234"/>
      <c r="C784" s="234"/>
      <c r="D784" s="234"/>
      <c r="E784" s="234"/>
      <c r="F784" s="234"/>
      <c r="G784" s="234"/>
      <c r="H784" s="234"/>
      <c r="I784" s="234"/>
      <c r="J784" s="234"/>
    </row>
    <row r="785" ht="15.75" customHeight="1">
      <c r="A785" s="234"/>
      <c r="B785" s="234"/>
      <c r="C785" s="234"/>
      <c r="D785" s="234"/>
      <c r="E785" s="234"/>
      <c r="F785" s="234"/>
      <c r="G785" s="234"/>
      <c r="H785" s="234"/>
      <c r="I785" s="234"/>
      <c r="J785" s="234"/>
    </row>
    <row r="786" ht="15.75" customHeight="1">
      <c r="A786" s="234"/>
      <c r="B786" s="234"/>
      <c r="C786" s="234"/>
      <c r="D786" s="234"/>
      <c r="E786" s="234"/>
      <c r="F786" s="234"/>
      <c r="G786" s="234"/>
      <c r="H786" s="234"/>
      <c r="I786" s="234"/>
      <c r="J786" s="234"/>
    </row>
    <row r="787" ht="15.75" customHeight="1">
      <c r="A787" s="234"/>
      <c r="B787" s="234"/>
      <c r="C787" s="234"/>
      <c r="D787" s="234"/>
      <c r="E787" s="234"/>
      <c r="F787" s="234"/>
      <c r="G787" s="234"/>
      <c r="H787" s="234"/>
      <c r="I787" s="234"/>
      <c r="J787" s="234"/>
    </row>
    <row r="788" ht="15.75" customHeight="1">
      <c r="A788" s="234"/>
      <c r="B788" s="234"/>
      <c r="C788" s="234"/>
      <c r="D788" s="234"/>
      <c r="E788" s="234"/>
      <c r="F788" s="234"/>
      <c r="G788" s="234"/>
      <c r="H788" s="234"/>
      <c r="I788" s="234"/>
      <c r="J788" s="234"/>
    </row>
    <row r="789" ht="15.75" customHeight="1">
      <c r="A789" s="234"/>
      <c r="B789" s="234"/>
      <c r="C789" s="234"/>
      <c r="D789" s="234"/>
      <c r="E789" s="234"/>
      <c r="F789" s="234"/>
      <c r="G789" s="234"/>
      <c r="H789" s="234"/>
      <c r="I789" s="234"/>
      <c r="J789" s="234"/>
    </row>
    <row r="790" ht="15.75" customHeight="1">
      <c r="A790" s="234"/>
      <c r="B790" s="234"/>
      <c r="C790" s="234"/>
      <c r="D790" s="234"/>
      <c r="E790" s="234"/>
      <c r="F790" s="234"/>
      <c r="G790" s="234"/>
      <c r="H790" s="234"/>
      <c r="I790" s="234"/>
      <c r="J790" s="234"/>
    </row>
    <row r="791" ht="15.75" customHeight="1">
      <c r="A791" s="234"/>
      <c r="B791" s="234"/>
      <c r="C791" s="234"/>
      <c r="D791" s="234"/>
      <c r="E791" s="234"/>
      <c r="F791" s="234"/>
      <c r="G791" s="234"/>
      <c r="H791" s="234"/>
      <c r="I791" s="234"/>
      <c r="J791" s="234"/>
    </row>
    <row r="792" ht="15.75" customHeight="1">
      <c r="A792" s="234"/>
      <c r="B792" s="234"/>
      <c r="C792" s="234"/>
      <c r="D792" s="234"/>
      <c r="E792" s="234"/>
      <c r="F792" s="234"/>
      <c r="G792" s="234"/>
      <c r="H792" s="234"/>
      <c r="I792" s="234"/>
      <c r="J792" s="234"/>
    </row>
    <row r="793" ht="15.75" customHeight="1">
      <c r="A793" s="234"/>
      <c r="B793" s="234"/>
      <c r="C793" s="234"/>
      <c r="D793" s="234"/>
      <c r="E793" s="234"/>
      <c r="F793" s="234"/>
      <c r="G793" s="234"/>
      <c r="H793" s="234"/>
      <c r="I793" s="234"/>
      <c r="J793" s="234"/>
    </row>
    <row r="794" ht="15.75" customHeight="1">
      <c r="A794" s="234"/>
      <c r="B794" s="234"/>
      <c r="C794" s="234"/>
      <c r="D794" s="234"/>
      <c r="E794" s="234"/>
      <c r="F794" s="234"/>
      <c r="G794" s="234"/>
      <c r="H794" s="234"/>
      <c r="I794" s="234"/>
      <c r="J794" s="234"/>
    </row>
    <row r="795" ht="15.75" customHeight="1">
      <c r="A795" s="234"/>
      <c r="B795" s="234"/>
      <c r="C795" s="234"/>
      <c r="D795" s="234"/>
      <c r="E795" s="234"/>
      <c r="F795" s="234"/>
      <c r="G795" s="234"/>
      <c r="H795" s="234"/>
      <c r="I795" s="234"/>
      <c r="J795" s="234"/>
    </row>
    <row r="796" ht="15.75" customHeight="1">
      <c r="A796" s="234"/>
      <c r="B796" s="234"/>
      <c r="C796" s="234"/>
      <c r="D796" s="234"/>
      <c r="E796" s="234"/>
      <c r="F796" s="234"/>
      <c r="G796" s="234"/>
      <c r="H796" s="234"/>
      <c r="I796" s="234"/>
      <c r="J796" s="234"/>
    </row>
    <row r="797" ht="15.75" customHeight="1">
      <c r="A797" s="234"/>
      <c r="B797" s="234"/>
      <c r="C797" s="234"/>
      <c r="D797" s="234"/>
      <c r="E797" s="234"/>
      <c r="F797" s="234"/>
      <c r="G797" s="234"/>
      <c r="H797" s="234"/>
      <c r="I797" s="234"/>
      <c r="J797" s="234"/>
    </row>
    <row r="798" ht="15.75" customHeight="1">
      <c r="A798" s="234"/>
      <c r="B798" s="234"/>
      <c r="C798" s="234"/>
      <c r="D798" s="234"/>
      <c r="E798" s="234"/>
      <c r="F798" s="234"/>
      <c r="G798" s="234"/>
      <c r="H798" s="234"/>
      <c r="I798" s="234"/>
      <c r="J798" s="234"/>
    </row>
    <row r="799" ht="15.75" customHeight="1">
      <c r="A799" s="234"/>
      <c r="B799" s="234"/>
      <c r="C799" s="234"/>
      <c r="D799" s="234"/>
      <c r="E799" s="234"/>
      <c r="F799" s="234"/>
      <c r="G799" s="234"/>
      <c r="H799" s="234"/>
      <c r="I799" s="234"/>
      <c r="J799" s="234"/>
    </row>
    <row r="800" ht="15.75" customHeight="1">
      <c r="A800" s="234"/>
      <c r="B800" s="234"/>
      <c r="C800" s="234"/>
      <c r="D800" s="234"/>
      <c r="E800" s="234"/>
      <c r="F800" s="234"/>
      <c r="G800" s="234"/>
      <c r="H800" s="234"/>
      <c r="I800" s="234"/>
      <c r="J800" s="234"/>
    </row>
    <row r="801" ht="15.75" customHeight="1">
      <c r="A801" s="234"/>
      <c r="B801" s="234"/>
      <c r="C801" s="234"/>
      <c r="D801" s="234"/>
      <c r="E801" s="234"/>
      <c r="F801" s="234"/>
      <c r="G801" s="234"/>
      <c r="H801" s="234"/>
      <c r="I801" s="234"/>
      <c r="J801" s="234"/>
    </row>
    <row r="802" ht="15.75" customHeight="1">
      <c r="A802" s="234"/>
      <c r="B802" s="234"/>
      <c r="C802" s="234"/>
      <c r="D802" s="234"/>
      <c r="E802" s="234"/>
      <c r="F802" s="234"/>
      <c r="G802" s="234"/>
      <c r="H802" s="234"/>
      <c r="I802" s="234"/>
      <c r="J802" s="234"/>
    </row>
    <row r="803" ht="15.75" customHeight="1">
      <c r="A803" s="234"/>
      <c r="B803" s="234"/>
      <c r="C803" s="234"/>
      <c r="D803" s="234"/>
      <c r="E803" s="234"/>
      <c r="F803" s="234"/>
      <c r="G803" s="234"/>
      <c r="H803" s="234"/>
      <c r="I803" s="234"/>
      <c r="J803" s="234"/>
    </row>
    <row r="804" ht="15.75" customHeight="1">
      <c r="A804" s="234"/>
      <c r="B804" s="234"/>
      <c r="C804" s="234"/>
      <c r="D804" s="234"/>
      <c r="E804" s="234"/>
      <c r="F804" s="234"/>
      <c r="G804" s="234"/>
      <c r="H804" s="234"/>
      <c r="I804" s="234"/>
      <c r="J804" s="234"/>
    </row>
    <row r="805" ht="15.75" customHeight="1">
      <c r="A805" s="234"/>
      <c r="B805" s="234"/>
      <c r="C805" s="234"/>
      <c r="D805" s="234"/>
      <c r="E805" s="234"/>
      <c r="F805" s="234"/>
      <c r="G805" s="234"/>
      <c r="H805" s="234"/>
      <c r="I805" s="234"/>
      <c r="J805" s="234"/>
    </row>
    <row r="806" ht="15.75" customHeight="1">
      <c r="A806" s="234"/>
      <c r="B806" s="234"/>
      <c r="C806" s="234"/>
      <c r="D806" s="234"/>
      <c r="E806" s="234"/>
      <c r="F806" s="234"/>
      <c r="G806" s="234"/>
      <c r="H806" s="234"/>
      <c r="I806" s="234"/>
      <c r="J806" s="234"/>
    </row>
    <row r="807" ht="15.75" customHeight="1">
      <c r="A807" s="234"/>
      <c r="B807" s="234"/>
      <c r="C807" s="234"/>
      <c r="D807" s="234"/>
      <c r="E807" s="234"/>
      <c r="F807" s="234"/>
      <c r="G807" s="234"/>
      <c r="H807" s="234"/>
      <c r="I807" s="234"/>
      <c r="J807" s="234"/>
    </row>
    <row r="808" ht="15.75" customHeight="1">
      <c r="A808" s="234"/>
      <c r="B808" s="234"/>
      <c r="C808" s="234"/>
      <c r="D808" s="234"/>
      <c r="E808" s="234"/>
      <c r="F808" s="234"/>
      <c r="G808" s="234"/>
      <c r="H808" s="234"/>
      <c r="I808" s="234"/>
      <c r="J808" s="234"/>
    </row>
    <row r="809" ht="15.75" customHeight="1">
      <c r="A809" s="234"/>
      <c r="B809" s="234"/>
      <c r="C809" s="234"/>
      <c r="D809" s="234"/>
      <c r="E809" s="234"/>
      <c r="F809" s="234"/>
      <c r="G809" s="234"/>
      <c r="H809" s="234"/>
      <c r="I809" s="234"/>
      <c r="J809" s="234"/>
    </row>
    <row r="810" ht="15.75" customHeight="1">
      <c r="A810" s="234"/>
      <c r="B810" s="234"/>
      <c r="C810" s="234"/>
      <c r="D810" s="234"/>
      <c r="E810" s="234"/>
      <c r="F810" s="234"/>
      <c r="G810" s="234"/>
      <c r="H810" s="234"/>
      <c r="I810" s="234"/>
      <c r="J810" s="234"/>
    </row>
    <row r="811" ht="15.75" customHeight="1">
      <c r="A811" s="234"/>
      <c r="B811" s="234"/>
      <c r="C811" s="234"/>
      <c r="D811" s="234"/>
      <c r="E811" s="234"/>
      <c r="F811" s="234"/>
      <c r="G811" s="234"/>
      <c r="H811" s="234"/>
      <c r="I811" s="234"/>
      <c r="J811" s="234"/>
    </row>
    <row r="812" ht="15.75" customHeight="1">
      <c r="A812" s="234"/>
      <c r="B812" s="234"/>
      <c r="C812" s="234"/>
      <c r="D812" s="234"/>
      <c r="E812" s="234"/>
      <c r="F812" s="234"/>
      <c r="G812" s="234"/>
      <c r="H812" s="234"/>
      <c r="I812" s="234"/>
      <c r="J812" s="234"/>
    </row>
    <row r="813" ht="15.75" customHeight="1">
      <c r="A813" s="234"/>
      <c r="B813" s="234"/>
      <c r="C813" s="234"/>
      <c r="D813" s="234"/>
      <c r="E813" s="234"/>
      <c r="F813" s="234"/>
      <c r="G813" s="234"/>
      <c r="H813" s="234"/>
      <c r="I813" s="234"/>
      <c r="J813" s="234"/>
    </row>
    <row r="814" ht="15.75" customHeight="1">
      <c r="A814" s="234"/>
      <c r="B814" s="234"/>
      <c r="C814" s="234"/>
      <c r="D814" s="234"/>
      <c r="E814" s="234"/>
      <c r="F814" s="234"/>
      <c r="G814" s="234"/>
      <c r="H814" s="234"/>
      <c r="I814" s="234"/>
      <c r="J814" s="234"/>
    </row>
    <row r="815" ht="15.75" customHeight="1">
      <c r="A815" s="234"/>
      <c r="B815" s="234"/>
      <c r="C815" s="234"/>
      <c r="D815" s="234"/>
      <c r="E815" s="234"/>
      <c r="F815" s="234"/>
      <c r="G815" s="234"/>
      <c r="H815" s="234"/>
      <c r="I815" s="234"/>
      <c r="J815" s="234"/>
    </row>
    <row r="816" ht="15.75" customHeight="1">
      <c r="A816" s="234"/>
      <c r="B816" s="234"/>
      <c r="C816" s="234"/>
      <c r="D816" s="234"/>
      <c r="E816" s="234"/>
      <c r="F816" s="234"/>
      <c r="G816" s="234"/>
      <c r="H816" s="234"/>
      <c r="I816" s="234"/>
      <c r="J816" s="234"/>
    </row>
    <row r="817" ht="15.75" customHeight="1">
      <c r="A817" s="234"/>
      <c r="B817" s="234"/>
      <c r="C817" s="234"/>
      <c r="D817" s="234"/>
      <c r="E817" s="234"/>
      <c r="F817" s="234"/>
      <c r="G817" s="234"/>
      <c r="H817" s="234"/>
      <c r="I817" s="234"/>
      <c r="J817" s="234"/>
    </row>
    <row r="818" ht="15.75" customHeight="1">
      <c r="A818" s="234"/>
      <c r="B818" s="234"/>
      <c r="C818" s="234"/>
      <c r="D818" s="234"/>
      <c r="E818" s="234"/>
      <c r="F818" s="234"/>
      <c r="G818" s="234"/>
      <c r="H818" s="234"/>
      <c r="I818" s="234"/>
      <c r="J818" s="234"/>
    </row>
    <row r="819" ht="15.75" customHeight="1">
      <c r="A819" s="234"/>
      <c r="B819" s="234"/>
      <c r="C819" s="234"/>
      <c r="D819" s="234"/>
      <c r="E819" s="234"/>
      <c r="F819" s="234"/>
      <c r="G819" s="234"/>
      <c r="H819" s="234"/>
      <c r="I819" s="234"/>
      <c r="J819" s="234"/>
    </row>
    <row r="820" ht="15.75" customHeight="1">
      <c r="A820" s="234"/>
      <c r="B820" s="234"/>
      <c r="C820" s="234"/>
      <c r="D820" s="234"/>
      <c r="E820" s="234"/>
      <c r="F820" s="234"/>
      <c r="G820" s="234"/>
      <c r="H820" s="234"/>
      <c r="I820" s="234"/>
      <c r="J820" s="234"/>
    </row>
    <row r="821" ht="15.75" customHeight="1">
      <c r="A821" s="234"/>
      <c r="B821" s="234"/>
      <c r="C821" s="234"/>
      <c r="D821" s="234"/>
      <c r="E821" s="234"/>
      <c r="F821" s="234"/>
      <c r="G821" s="234"/>
      <c r="H821" s="234"/>
      <c r="I821" s="234"/>
      <c r="J821" s="234"/>
    </row>
    <row r="822" ht="15.75" customHeight="1">
      <c r="A822" s="234"/>
      <c r="B822" s="234"/>
      <c r="C822" s="234"/>
      <c r="D822" s="234"/>
      <c r="E822" s="234"/>
      <c r="F822" s="234"/>
      <c r="G822" s="234"/>
      <c r="H822" s="234"/>
      <c r="I822" s="234"/>
      <c r="J822" s="234"/>
    </row>
    <row r="823" ht="15.75" customHeight="1">
      <c r="A823" s="234"/>
      <c r="B823" s="234"/>
      <c r="C823" s="234"/>
      <c r="D823" s="234"/>
      <c r="E823" s="234"/>
      <c r="F823" s="234"/>
      <c r="G823" s="234"/>
      <c r="H823" s="234"/>
      <c r="I823" s="234"/>
      <c r="J823" s="234"/>
    </row>
    <row r="824" ht="15.75" customHeight="1">
      <c r="A824" s="234"/>
      <c r="B824" s="234"/>
      <c r="C824" s="234"/>
      <c r="D824" s="234"/>
      <c r="E824" s="234"/>
      <c r="F824" s="234"/>
      <c r="G824" s="234"/>
      <c r="H824" s="234"/>
      <c r="I824" s="234"/>
      <c r="J824" s="234"/>
    </row>
    <row r="825" ht="15.75" customHeight="1">
      <c r="A825" s="234"/>
      <c r="B825" s="234"/>
      <c r="C825" s="234"/>
      <c r="D825" s="234"/>
      <c r="E825" s="234"/>
      <c r="F825" s="234"/>
      <c r="G825" s="234"/>
      <c r="H825" s="234"/>
      <c r="I825" s="234"/>
      <c r="J825" s="234"/>
    </row>
    <row r="826" ht="15.75" customHeight="1">
      <c r="A826" s="234"/>
      <c r="B826" s="234"/>
      <c r="C826" s="234"/>
      <c r="D826" s="234"/>
      <c r="E826" s="234"/>
      <c r="F826" s="234"/>
      <c r="G826" s="234"/>
      <c r="H826" s="234"/>
      <c r="I826" s="234"/>
      <c r="J826" s="234"/>
    </row>
    <row r="827" ht="15.75" customHeight="1">
      <c r="A827" s="234"/>
      <c r="B827" s="234"/>
      <c r="C827" s="234"/>
      <c r="D827" s="234"/>
      <c r="E827" s="234"/>
      <c r="F827" s="234"/>
      <c r="G827" s="234"/>
      <c r="H827" s="234"/>
      <c r="I827" s="234"/>
      <c r="J827" s="234"/>
    </row>
    <row r="828" ht="15.75" customHeight="1">
      <c r="A828" s="234"/>
      <c r="B828" s="234"/>
      <c r="C828" s="234"/>
      <c r="D828" s="234"/>
      <c r="E828" s="234"/>
      <c r="F828" s="234"/>
      <c r="G828" s="234"/>
      <c r="H828" s="234"/>
      <c r="I828" s="234"/>
      <c r="J828" s="234"/>
    </row>
    <row r="829" ht="15.75" customHeight="1">
      <c r="A829" s="234"/>
      <c r="B829" s="234"/>
      <c r="C829" s="234"/>
      <c r="D829" s="234"/>
      <c r="E829" s="234"/>
      <c r="F829" s="234"/>
      <c r="G829" s="234"/>
      <c r="H829" s="234"/>
      <c r="I829" s="234"/>
      <c r="J829" s="234"/>
    </row>
    <row r="830" ht="15.75" customHeight="1">
      <c r="A830" s="234"/>
      <c r="B830" s="234"/>
      <c r="C830" s="234"/>
      <c r="D830" s="234"/>
      <c r="E830" s="234"/>
      <c r="F830" s="234"/>
      <c r="G830" s="234"/>
      <c r="H830" s="234"/>
      <c r="I830" s="234"/>
      <c r="J830" s="234"/>
    </row>
    <row r="831" ht="15.75" customHeight="1">
      <c r="A831" s="234"/>
      <c r="B831" s="234"/>
      <c r="C831" s="234"/>
      <c r="D831" s="234"/>
      <c r="E831" s="234"/>
      <c r="F831" s="234"/>
      <c r="G831" s="234"/>
      <c r="H831" s="234"/>
      <c r="I831" s="234"/>
      <c r="J831" s="234"/>
    </row>
    <row r="832" ht="15.75" customHeight="1">
      <c r="A832" s="234"/>
      <c r="B832" s="234"/>
      <c r="C832" s="234"/>
      <c r="D832" s="234"/>
      <c r="E832" s="234"/>
      <c r="F832" s="234"/>
      <c r="G832" s="234"/>
      <c r="H832" s="234"/>
      <c r="I832" s="234"/>
      <c r="J832" s="234"/>
    </row>
    <row r="833" ht="15.75" customHeight="1">
      <c r="A833" s="234"/>
      <c r="B833" s="234"/>
      <c r="C833" s="234"/>
      <c r="D833" s="234"/>
      <c r="E833" s="234"/>
      <c r="F833" s="234"/>
      <c r="G833" s="234"/>
      <c r="H833" s="234"/>
      <c r="I833" s="234"/>
      <c r="J833" s="234"/>
    </row>
    <row r="834" ht="15.75" customHeight="1">
      <c r="A834" s="234"/>
      <c r="B834" s="234"/>
      <c r="C834" s="234"/>
      <c r="D834" s="234"/>
      <c r="E834" s="234"/>
      <c r="F834" s="234"/>
      <c r="G834" s="234"/>
      <c r="H834" s="234"/>
      <c r="I834" s="234"/>
      <c r="J834" s="234"/>
    </row>
    <row r="835" ht="15.75" customHeight="1">
      <c r="A835" s="234"/>
      <c r="B835" s="234"/>
      <c r="C835" s="234"/>
      <c r="D835" s="234"/>
      <c r="E835" s="234"/>
      <c r="F835" s="234"/>
      <c r="G835" s="234"/>
      <c r="H835" s="234"/>
      <c r="I835" s="234"/>
      <c r="J835" s="234"/>
    </row>
    <row r="836" ht="15.75" customHeight="1">
      <c r="A836" s="234"/>
      <c r="B836" s="234"/>
      <c r="C836" s="234"/>
      <c r="D836" s="234"/>
      <c r="E836" s="234"/>
      <c r="F836" s="234"/>
      <c r="G836" s="234"/>
      <c r="H836" s="234"/>
      <c r="I836" s="234"/>
      <c r="J836" s="234"/>
    </row>
    <row r="837" ht="15.75" customHeight="1">
      <c r="A837" s="234"/>
      <c r="B837" s="234"/>
      <c r="C837" s="234"/>
      <c r="D837" s="234"/>
      <c r="E837" s="234"/>
      <c r="F837" s="234"/>
      <c r="G837" s="234"/>
      <c r="H837" s="234"/>
      <c r="I837" s="234"/>
      <c r="J837" s="234"/>
    </row>
    <row r="838" ht="15.75" customHeight="1">
      <c r="A838" s="234"/>
      <c r="B838" s="234"/>
      <c r="C838" s="234"/>
      <c r="D838" s="234"/>
      <c r="E838" s="234"/>
      <c r="F838" s="234"/>
      <c r="G838" s="234"/>
      <c r="H838" s="234"/>
      <c r="I838" s="234"/>
      <c r="J838" s="234"/>
    </row>
    <row r="839" ht="15.75" customHeight="1">
      <c r="A839" s="234"/>
      <c r="B839" s="234"/>
      <c r="C839" s="234"/>
      <c r="D839" s="234"/>
      <c r="E839" s="234"/>
      <c r="F839" s="234"/>
      <c r="G839" s="234"/>
      <c r="H839" s="234"/>
      <c r="I839" s="234"/>
      <c r="J839" s="234"/>
    </row>
    <row r="840" ht="15.75" customHeight="1">
      <c r="A840" s="234"/>
      <c r="B840" s="234"/>
      <c r="C840" s="234"/>
      <c r="D840" s="234"/>
      <c r="E840" s="234"/>
      <c r="F840" s="234"/>
      <c r="G840" s="234"/>
      <c r="H840" s="234"/>
      <c r="I840" s="234"/>
      <c r="J840" s="234"/>
    </row>
    <row r="841" ht="15.75" customHeight="1">
      <c r="A841" s="234"/>
      <c r="B841" s="234"/>
      <c r="C841" s="234"/>
      <c r="D841" s="234"/>
      <c r="E841" s="234"/>
      <c r="F841" s="234"/>
      <c r="G841" s="234"/>
      <c r="H841" s="234"/>
      <c r="I841" s="234"/>
      <c r="J841" s="234"/>
    </row>
    <row r="842" ht="15.75" customHeight="1">
      <c r="A842" s="234"/>
      <c r="B842" s="234"/>
      <c r="C842" s="234"/>
      <c r="D842" s="234"/>
      <c r="E842" s="234"/>
      <c r="F842" s="234"/>
      <c r="G842" s="234"/>
      <c r="H842" s="234"/>
      <c r="I842" s="234"/>
      <c r="J842" s="234"/>
    </row>
    <row r="843" ht="15.75" customHeight="1">
      <c r="A843" s="234"/>
      <c r="B843" s="234"/>
      <c r="C843" s="234"/>
      <c r="D843" s="234"/>
      <c r="E843" s="234"/>
      <c r="F843" s="234"/>
      <c r="G843" s="234"/>
      <c r="H843" s="234"/>
      <c r="I843" s="234"/>
      <c r="J843" s="234"/>
    </row>
    <row r="844" ht="15.75" customHeight="1">
      <c r="A844" s="234"/>
      <c r="B844" s="234"/>
      <c r="C844" s="234"/>
      <c r="D844" s="234"/>
      <c r="E844" s="234"/>
      <c r="F844" s="234"/>
      <c r="G844" s="234"/>
      <c r="H844" s="234"/>
      <c r="I844" s="234"/>
      <c r="J844" s="234"/>
    </row>
    <row r="845" ht="15.75" customHeight="1">
      <c r="A845" s="234"/>
      <c r="B845" s="234"/>
      <c r="C845" s="234"/>
      <c r="D845" s="234"/>
      <c r="E845" s="234"/>
      <c r="F845" s="234"/>
      <c r="G845" s="234"/>
      <c r="H845" s="234"/>
      <c r="I845" s="234"/>
      <c r="J845" s="234"/>
    </row>
    <row r="846" ht="15.75" customHeight="1">
      <c r="A846" s="234"/>
      <c r="B846" s="234"/>
      <c r="C846" s="234"/>
      <c r="D846" s="234"/>
      <c r="E846" s="234"/>
      <c r="F846" s="234"/>
      <c r="G846" s="234"/>
      <c r="H846" s="234"/>
      <c r="I846" s="234"/>
      <c r="J846" s="234"/>
    </row>
    <row r="847" ht="15.75" customHeight="1">
      <c r="A847" s="234"/>
      <c r="B847" s="234"/>
      <c r="C847" s="234"/>
      <c r="D847" s="234"/>
      <c r="E847" s="234"/>
      <c r="F847" s="234"/>
      <c r="G847" s="234"/>
      <c r="H847" s="234"/>
      <c r="I847" s="234"/>
      <c r="J847" s="234"/>
    </row>
    <row r="848" ht="15.75" customHeight="1">
      <c r="A848" s="234"/>
      <c r="B848" s="234"/>
      <c r="C848" s="234"/>
      <c r="D848" s="234"/>
      <c r="E848" s="234"/>
      <c r="F848" s="234"/>
      <c r="G848" s="234"/>
      <c r="H848" s="234"/>
      <c r="I848" s="234"/>
      <c r="J848" s="234"/>
    </row>
    <row r="849" ht="15.75" customHeight="1">
      <c r="A849" s="234"/>
      <c r="B849" s="234"/>
      <c r="C849" s="234"/>
      <c r="D849" s="234"/>
      <c r="E849" s="234"/>
      <c r="F849" s="234"/>
      <c r="G849" s="234"/>
      <c r="H849" s="234"/>
      <c r="I849" s="234"/>
      <c r="J849" s="234"/>
    </row>
    <row r="850" ht="15.75" customHeight="1">
      <c r="A850" s="234"/>
      <c r="B850" s="234"/>
      <c r="C850" s="234"/>
      <c r="D850" s="234"/>
      <c r="E850" s="234"/>
      <c r="F850" s="234"/>
      <c r="G850" s="234"/>
      <c r="H850" s="234"/>
      <c r="I850" s="234"/>
      <c r="J850" s="234"/>
    </row>
    <row r="851" ht="15.75" customHeight="1">
      <c r="A851" s="234"/>
      <c r="B851" s="234"/>
      <c r="C851" s="234"/>
      <c r="D851" s="234"/>
      <c r="E851" s="234"/>
      <c r="F851" s="234"/>
      <c r="G851" s="234"/>
      <c r="H851" s="234"/>
      <c r="I851" s="234"/>
      <c r="J851" s="234"/>
    </row>
    <row r="852" ht="15.75" customHeight="1">
      <c r="A852" s="234"/>
      <c r="B852" s="234"/>
      <c r="C852" s="234"/>
      <c r="D852" s="234"/>
      <c r="E852" s="234"/>
      <c r="F852" s="234"/>
      <c r="G852" s="234"/>
      <c r="H852" s="234"/>
      <c r="I852" s="234"/>
      <c r="J852" s="234"/>
    </row>
    <row r="853" ht="15.75" customHeight="1">
      <c r="A853" s="234"/>
      <c r="B853" s="234"/>
      <c r="C853" s="234"/>
      <c r="D853" s="234"/>
      <c r="E853" s="234"/>
      <c r="F853" s="234"/>
      <c r="G853" s="234"/>
      <c r="H853" s="234"/>
      <c r="I853" s="234"/>
      <c r="J853" s="234"/>
    </row>
    <row r="854" ht="15.75" customHeight="1">
      <c r="A854" s="234"/>
      <c r="B854" s="234"/>
      <c r="C854" s="234"/>
      <c r="D854" s="234"/>
      <c r="E854" s="234"/>
      <c r="F854" s="234"/>
      <c r="G854" s="234"/>
      <c r="H854" s="234"/>
      <c r="I854" s="234"/>
      <c r="J854" s="234"/>
    </row>
    <row r="855" ht="15.75" customHeight="1">
      <c r="A855" s="234"/>
      <c r="B855" s="234"/>
      <c r="C855" s="234"/>
      <c r="D855" s="234"/>
      <c r="E855" s="234"/>
      <c r="F855" s="234"/>
      <c r="G855" s="234"/>
      <c r="H855" s="234"/>
      <c r="I855" s="234"/>
      <c r="J855" s="234"/>
    </row>
    <row r="856" ht="15.75" customHeight="1">
      <c r="A856" s="234"/>
      <c r="B856" s="234"/>
      <c r="C856" s="234"/>
      <c r="D856" s="234"/>
      <c r="E856" s="234"/>
      <c r="F856" s="234"/>
      <c r="G856" s="234"/>
      <c r="H856" s="234"/>
      <c r="I856" s="234"/>
      <c r="J856" s="234"/>
    </row>
    <row r="857" ht="15.75" customHeight="1">
      <c r="A857" s="234"/>
      <c r="B857" s="234"/>
      <c r="C857" s="234"/>
      <c r="D857" s="234"/>
      <c r="E857" s="234"/>
      <c r="F857" s="234"/>
      <c r="G857" s="234"/>
      <c r="H857" s="234"/>
      <c r="I857" s="234"/>
      <c r="J857" s="234"/>
    </row>
    <row r="858" ht="15.75" customHeight="1">
      <c r="A858" s="234"/>
      <c r="B858" s="234"/>
      <c r="C858" s="234"/>
      <c r="D858" s="234"/>
      <c r="E858" s="234"/>
      <c r="F858" s="234"/>
      <c r="G858" s="234"/>
      <c r="H858" s="234"/>
      <c r="I858" s="234"/>
      <c r="J858" s="234"/>
    </row>
    <row r="859" ht="15.75" customHeight="1">
      <c r="A859" s="234"/>
      <c r="B859" s="234"/>
      <c r="C859" s="234"/>
      <c r="D859" s="234"/>
      <c r="E859" s="234"/>
      <c r="F859" s="234"/>
      <c r="G859" s="234"/>
      <c r="H859" s="234"/>
      <c r="I859" s="234"/>
      <c r="J859" s="234"/>
    </row>
    <row r="860" ht="15.75" customHeight="1">
      <c r="A860" s="234"/>
      <c r="B860" s="234"/>
      <c r="C860" s="234"/>
      <c r="D860" s="234"/>
      <c r="E860" s="234"/>
      <c r="F860" s="234"/>
      <c r="G860" s="234"/>
      <c r="H860" s="234"/>
      <c r="I860" s="234"/>
      <c r="J860" s="234"/>
    </row>
    <row r="861" ht="15.75" customHeight="1">
      <c r="A861" s="234"/>
      <c r="B861" s="234"/>
      <c r="C861" s="234"/>
      <c r="D861" s="234"/>
      <c r="E861" s="234"/>
      <c r="F861" s="234"/>
      <c r="G861" s="234"/>
      <c r="H861" s="234"/>
      <c r="I861" s="234"/>
      <c r="J861" s="234"/>
    </row>
    <row r="862" ht="15.75" customHeight="1">
      <c r="A862" s="234"/>
      <c r="B862" s="234"/>
      <c r="C862" s="234"/>
      <c r="D862" s="234"/>
      <c r="E862" s="234"/>
      <c r="F862" s="234"/>
      <c r="G862" s="234"/>
      <c r="H862" s="234"/>
      <c r="I862" s="234"/>
      <c r="J862" s="234"/>
    </row>
    <row r="863" ht="15.75" customHeight="1">
      <c r="A863" s="234"/>
      <c r="B863" s="234"/>
      <c r="C863" s="234"/>
      <c r="D863" s="234"/>
      <c r="E863" s="234"/>
      <c r="F863" s="234"/>
      <c r="G863" s="234"/>
      <c r="H863" s="234"/>
      <c r="I863" s="234"/>
      <c r="J863" s="234"/>
    </row>
    <row r="864" ht="15.75" customHeight="1">
      <c r="A864" s="234"/>
      <c r="B864" s="234"/>
      <c r="C864" s="234"/>
      <c r="D864" s="234"/>
      <c r="E864" s="234"/>
      <c r="F864" s="234"/>
      <c r="G864" s="234"/>
      <c r="H864" s="234"/>
      <c r="I864" s="234"/>
      <c r="J864" s="234"/>
    </row>
    <row r="865" ht="15.75" customHeight="1">
      <c r="A865" s="234"/>
      <c r="B865" s="234"/>
      <c r="C865" s="234"/>
      <c r="D865" s="234"/>
      <c r="E865" s="234"/>
      <c r="F865" s="234"/>
      <c r="G865" s="234"/>
      <c r="H865" s="234"/>
      <c r="I865" s="234"/>
      <c r="J865" s="234"/>
    </row>
    <row r="866" ht="15.75" customHeight="1">
      <c r="A866" s="234"/>
      <c r="B866" s="234"/>
      <c r="C866" s="234"/>
      <c r="D866" s="234"/>
      <c r="E866" s="234"/>
      <c r="F866" s="234"/>
      <c r="G866" s="234"/>
      <c r="H866" s="234"/>
      <c r="I866" s="234"/>
      <c r="J866" s="234"/>
    </row>
    <row r="867" ht="15.75" customHeight="1">
      <c r="A867" s="234"/>
      <c r="B867" s="234"/>
      <c r="C867" s="234"/>
      <c r="D867" s="234"/>
      <c r="E867" s="234"/>
      <c r="F867" s="234"/>
      <c r="G867" s="234"/>
      <c r="H867" s="234"/>
      <c r="I867" s="234"/>
      <c r="J867" s="234"/>
    </row>
    <row r="868" ht="15.75" customHeight="1">
      <c r="A868" s="234"/>
      <c r="B868" s="234"/>
      <c r="C868" s="234"/>
      <c r="D868" s="234"/>
      <c r="E868" s="234"/>
      <c r="F868" s="234"/>
      <c r="G868" s="234"/>
      <c r="H868" s="234"/>
      <c r="I868" s="234"/>
      <c r="J868" s="234"/>
    </row>
    <row r="869" ht="15.75" customHeight="1">
      <c r="A869" s="234"/>
      <c r="B869" s="234"/>
      <c r="C869" s="234"/>
      <c r="D869" s="234"/>
      <c r="E869" s="234"/>
      <c r="F869" s="234"/>
      <c r="G869" s="234"/>
      <c r="H869" s="234"/>
      <c r="I869" s="234"/>
      <c r="J869" s="234"/>
    </row>
    <row r="870" ht="15.75" customHeight="1">
      <c r="A870" s="234"/>
      <c r="B870" s="234"/>
      <c r="C870" s="234"/>
      <c r="D870" s="234"/>
      <c r="E870" s="234"/>
      <c r="F870" s="234"/>
      <c r="G870" s="234"/>
      <c r="H870" s="234"/>
      <c r="I870" s="234"/>
      <c r="J870" s="234"/>
    </row>
    <row r="871" ht="15.75" customHeight="1">
      <c r="A871" s="234"/>
      <c r="B871" s="234"/>
      <c r="C871" s="234"/>
      <c r="D871" s="234"/>
      <c r="E871" s="234"/>
      <c r="F871" s="234"/>
      <c r="G871" s="234"/>
      <c r="H871" s="234"/>
      <c r="I871" s="234"/>
      <c r="J871" s="234"/>
    </row>
    <row r="872" ht="15.75" customHeight="1">
      <c r="A872" s="234"/>
      <c r="B872" s="234"/>
      <c r="C872" s="234"/>
      <c r="D872" s="234"/>
      <c r="E872" s="234"/>
      <c r="F872" s="234"/>
      <c r="G872" s="234"/>
      <c r="H872" s="234"/>
      <c r="I872" s="234"/>
      <c r="J872" s="234"/>
    </row>
    <row r="873" ht="15.75" customHeight="1">
      <c r="A873" s="234"/>
      <c r="B873" s="234"/>
      <c r="C873" s="234"/>
      <c r="D873" s="234"/>
      <c r="E873" s="234"/>
      <c r="F873" s="234"/>
      <c r="G873" s="234"/>
      <c r="H873" s="234"/>
      <c r="I873" s="234"/>
      <c r="J873" s="234"/>
    </row>
    <row r="874" ht="15.75" customHeight="1">
      <c r="A874" s="234"/>
      <c r="B874" s="234"/>
      <c r="C874" s="234"/>
      <c r="D874" s="234"/>
      <c r="E874" s="234"/>
      <c r="F874" s="234"/>
      <c r="G874" s="234"/>
      <c r="H874" s="234"/>
      <c r="I874" s="234"/>
      <c r="J874" s="234"/>
    </row>
    <row r="875" ht="15.75" customHeight="1">
      <c r="A875" s="234"/>
      <c r="B875" s="234"/>
      <c r="C875" s="234"/>
      <c r="D875" s="234"/>
      <c r="E875" s="234"/>
      <c r="F875" s="234"/>
      <c r="G875" s="234"/>
      <c r="H875" s="234"/>
      <c r="I875" s="234"/>
      <c r="J875" s="234"/>
    </row>
    <row r="876" ht="15.75" customHeight="1">
      <c r="A876" s="234"/>
      <c r="B876" s="234"/>
      <c r="C876" s="234"/>
      <c r="D876" s="234"/>
      <c r="E876" s="234"/>
      <c r="F876" s="234"/>
      <c r="G876" s="234"/>
      <c r="H876" s="234"/>
      <c r="I876" s="234"/>
      <c r="J876" s="234"/>
    </row>
    <row r="877" ht="15.75" customHeight="1">
      <c r="A877" s="234"/>
      <c r="B877" s="234"/>
      <c r="C877" s="234"/>
      <c r="D877" s="234"/>
      <c r="E877" s="234"/>
      <c r="F877" s="234"/>
      <c r="G877" s="234"/>
      <c r="H877" s="234"/>
      <c r="I877" s="234"/>
      <c r="J877" s="234"/>
    </row>
    <row r="878" ht="15.75" customHeight="1">
      <c r="A878" s="234"/>
      <c r="B878" s="234"/>
      <c r="C878" s="234"/>
      <c r="D878" s="234"/>
      <c r="E878" s="234"/>
      <c r="F878" s="234"/>
      <c r="G878" s="234"/>
      <c r="H878" s="234"/>
      <c r="I878" s="234"/>
      <c r="J878" s="234"/>
    </row>
    <row r="879" ht="15.75" customHeight="1">
      <c r="A879" s="234"/>
      <c r="B879" s="234"/>
      <c r="C879" s="234"/>
      <c r="D879" s="234"/>
      <c r="E879" s="234"/>
      <c r="F879" s="234"/>
      <c r="G879" s="234"/>
      <c r="H879" s="234"/>
      <c r="I879" s="234"/>
      <c r="J879" s="234"/>
    </row>
    <row r="880" ht="15.75" customHeight="1">
      <c r="A880" s="234"/>
      <c r="B880" s="234"/>
      <c r="C880" s="234"/>
      <c r="D880" s="234"/>
      <c r="E880" s="234"/>
      <c r="F880" s="234"/>
      <c r="G880" s="234"/>
      <c r="H880" s="234"/>
      <c r="I880" s="234"/>
      <c r="J880" s="234"/>
    </row>
    <row r="881" ht="15.75" customHeight="1">
      <c r="A881" s="234"/>
      <c r="B881" s="234"/>
      <c r="C881" s="234"/>
      <c r="D881" s="234"/>
      <c r="E881" s="234"/>
      <c r="F881" s="234"/>
      <c r="G881" s="234"/>
      <c r="H881" s="234"/>
      <c r="I881" s="234"/>
      <c r="J881" s="234"/>
    </row>
    <row r="882" ht="15.75" customHeight="1">
      <c r="A882" s="234"/>
      <c r="B882" s="234"/>
      <c r="C882" s="234"/>
      <c r="D882" s="234"/>
      <c r="E882" s="234"/>
      <c r="F882" s="234"/>
      <c r="G882" s="234"/>
      <c r="H882" s="234"/>
      <c r="I882" s="234"/>
      <c r="J882" s="234"/>
    </row>
    <row r="883" ht="15.75" customHeight="1">
      <c r="A883" s="234"/>
      <c r="B883" s="234"/>
      <c r="C883" s="234"/>
      <c r="D883" s="234"/>
      <c r="E883" s="234"/>
      <c r="F883" s="234"/>
      <c r="G883" s="234"/>
      <c r="H883" s="234"/>
      <c r="I883" s="234"/>
      <c r="J883" s="234"/>
    </row>
    <row r="884" ht="15.75" customHeight="1">
      <c r="A884" s="234"/>
      <c r="B884" s="234"/>
      <c r="C884" s="234"/>
      <c r="D884" s="234"/>
      <c r="E884" s="234"/>
      <c r="F884" s="234"/>
      <c r="G884" s="234"/>
      <c r="H884" s="234"/>
      <c r="I884" s="234"/>
      <c r="J884" s="234"/>
    </row>
    <row r="885" ht="15.75" customHeight="1">
      <c r="A885" s="234"/>
      <c r="B885" s="234"/>
      <c r="C885" s="234"/>
      <c r="D885" s="234"/>
      <c r="E885" s="234"/>
      <c r="F885" s="234"/>
      <c r="G885" s="234"/>
      <c r="H885" s="234"/>
      <c r="I885" s="234"/>
      <c r="J885" s="234"/>
    </row>
    <row r="886" ht="15.75" customHeight="1">
      <c r="A886" s="234"/>
      <c r="B886" s="234"/>
      <c r="C886" s="234"/>
      <c r="D886" s="234"/>
      <c r="E886" s="234"/>
      <c r="F886" s="234"/>
      <c r="G886" s="234"/>
      <c r="H886" s="234"/>
      <c r="I886" s="234"/>
      <c r="J886" s="234"/>
    </row>
    <row r="887" ht="15.75" customHeight="1">
      <c r="A887" s="234"/>
      <c r="B887" s="234"/>
      <c r="C887" s="234"/>
      <c r="D887" s="234"/>
      <c r="E887" s="234"/>
      <c r="F887" s="234"/>
      <c r="G887" s="234"/>
      <c r="H887" s="234"/>
      <c r="I887" s="234"/>
      <c r="J887" s="234"/>
    </row>
    <row r="888" ht="15.75" customHeight="1">
      <c r="A888" s="234"/>
      <c r="B888" s="234"/>
      <c r="C888" s="234"/>
      <c r="D888" s="234"/>
      <c r="E888" s="234"/>
      <c r="F888" s="234"/>
      <c r="G888" s="234"/>
      <c r="H888" s="234"/>
      <c r="I888" s="234"/>
      <c r="J888" s="234"/>
    </row>
    <row r="889" ht="15.75" customHeight="1">
      <c r="A889" s="234"/>
      <c r="B889" s="234"/>
      <c r="C889" s="234"/>
      <c r="D889" s="234"/>
      <c r="E889" s="234"/>
      <c r="F889" s="234"/>
      <c r="G889" s="234"/>
      <c r="H889" s="234"/>
      <c r="I889" s="234"/>
      <c r="J889" s="234"/>
    </row>
    <row r="890" ht="15.75" customHeight="1">
      <c r="A890" s="234"/>
      <c r="B890" s="234"/>
      <c r="C890" s="234"/>
      <c r="D890" s="234"/>
      <c r="E890" s="234"/>
      <c r="F890" s="234"/>
      <c r="G890" s="234"/>
      <c r="H890" s="234"/>
      <c r="I890" s="234"/>
      <c r="J890" s="234"/>
    </row>
    <row r="891" ht="15.75" customHeight="1">
      <c r="A891" s="234"/>
      <c r="B891" s="234"/>
      <c r="C891" s="234"/>
      <c r="D891" s="234"/>
      <c r="E891" s="234"/>
      <c r="F891" s="234"/>
      <c r="G891" s="234"/>
      <c r="H891" s="234"/>
      <c r="I891" s="234"/>
      <c r="J891" s="234"/>
    </row>
    <row r="892" ht="15.75" customHeight="1">
      <c r="A892" s="234"/>
      <c r="B892" s="234"/>
      <c r="C892" s="234"/>
      <c r="D892" s="234"/>
      <c r="E892" s="234"/>
      <c r="F892" s="234"/>
      <c r="G892" s="234"/>
      <c r="H892" s="234"/>
      <c r="I892" s="234"/>
      <c r="J892" s="234"/>
    </row>
    <row r="893" ht="15.75" customHeight="1">
      <c r="A893" s="234"/>
      <c r="B893" s="234"/>
      <c r="C893" s="234"/>
      <c r="D893" s="234"/>
      <c r="E893" s="234"/>
      <c r="F893" s="234"/>
      <c r="G893" s="234"/>
      <c r="H893" s="234"/>
      <c r="I893" s="234"/>
      <c r="J893" s="234"/>
    </row>
    <row r="894" ht="15.75" customHeight="1">
      <c r="A894" s="234"/>
      <c r="B894" s="234"/>
      <c r="C894" s="234"/>
      <c r="D894" s="234"/>
      <c r="E894" s="234"/>
      <c r="F894" s="234"/>
      <c r="G894" s="234"/>
      <c r="H894" s="234"/>
      <c r="I894" s="234"/>
      <c r="J894" s="234"/>
    </row>
    <row r="895" ht="15.75" customHeight="1">
      <c r="A895" s="234"/>
      <c r="B895" s="234"/>
      <c r="C895" s="234"/>
      <c r="D895" s="234"/>
      <c r="E895" s="234"/>
      <c r="F895" s="234"/>
      <c r="G895" s="234"/>
      <c r="H895" s="234"/>
      <c r="I895" s="234"/>
      <c r="J895" s="234"/>
    </row>
    <row r="896" ht="15.75" customHeight="1">
      <c r="A896" s="234"/>
      <c r="B896" s="234"/>
      <c r="C896" s="234"/>
      <c r="D896" s="234"/>
      <c r="E896" s="234"/>
      <c r="F896" s="234"/>
      <c r="G896" s="234"/>
      <c r="H896" s="234"/>
      <c r="I896" s="234"/>
      <c r="J896" s="234"/>
    </row>
    <row r="897" ht="15.75" customHeight="1">
      <c r="A897" s="234"/>
      <c r="B897" s="234"/>
      <c r="C897" s="234"/>
      <c r="D897" s="234"/>
      <c r="E897" s="234"/>
      <c r="F897" s="234"/>
      <c r="G897" s="234"/>
      <c r="H897" s="234"/>
      <c r="I897" s="234"/>
      <c r="J897" s="234"/>
    </row>
    <row r="898" ht="15.75" customHeight="1">
      <c r="A898" s="234"/>
      <c r="B898" s="234"/>
      <c r="C898" s="234"/>
      <c r="D898" s="234"/>
      <c r="E898" s="234"/>
      <c r="F898" s="234"/>
      <c r="G898" s="234"/>
      <c r="H898" s="234"/>
      <c r="I898" s="234"/>
      <c r="J898" s="234"/>
    </row>
    <row r="899" ht="15.75" customHeight="1">
      <c r="A899" s="234"/>
      <c r="B899" s="234"/>
      <c r="C899" s="234"/>
      <c r="D899" s="234"/>
      <c r="E899" s="234"/>
      <c r="F899" s="234"/>
      <c r="G899" s="234"/>
      <c r="H899" s="234"/>
      <c r="I899" s="234"/>
      <c r="J899" s="234"/>
    </row>
    <row r="900" ht="15.75" customHeight="1">
      <c r="A900" s="234"/>
      <c r="B900" s="234"/>
      <c r="C900" s="234"/>
      <c r="D900" s="234"/>
      <c r="E900" s="234"/>
      <c r="F900" s="234"/>
      <c r="G900" s="234"/>
      <c r="H900" s="234"/>
      <c r="I900" s="234"/>
      <c r="J900" s="234"/>
    </row>
    <row r="901" ht="15.75" customHeight="1">
      <c r="A901" s="234"/>
      <c r="B901" s="234"/>
      <c r="C901" s="234"/>
      <c r="D901" s="234"/>
      <c r="E901" s="234"/>
      <c r="F901" s="234"/>
      <c r="G901" s="234"/>
      <c r="H901" s="234"/>
      <c r="I901" s="234"/>
      <c r="J901" s="234"/>
    </row>
    <row r="902" ht="15.75" customHeight="1">
      <c r="A902" s="234"/>
      <c r="B902" s="234"/>
      <c r="C902" s="234"/>
      <c r="D902" s="234"/>
      <c r="E902" s="234"/>
      <c r="F902" s="234"/>
      <c r="G902" s="234"/>
      <c r="H902" s="234"/>
      <c r="I902" s="234"/>
      <c r="J902" s="234"/>
    </row>
    <row r="903" ht="15.75" customHeight="1">
      <c r="A903" s="234"/>
      <c r="B903" s="234"/>
      <c r="C903" s="234"/>
      <c r="D903" s="234"/>
      <c r="E903" s="234"/>
      <c r="F903" s="234"/>
      <c r="G903" s="234"/>
      <c r="H903" s="234"/>
      <c r="I903" s="234"/>
      <c r="J903" s="234"/>
    </row>
    <row r="904" ht="15.75" customHeight="1">
      <c r="A904" s="234"/>
      <c r="B904" s="234"/>
      <c r="C904" s="234"/>
      <c r="D904" s="234"/>
      <c r="E904" s="234"/>
      <c r="F904" s="234"/>
      <c r="G904" s="234"/>
      <c r="H904" s="234"/>
      <c r="I904" s="234"/>
      <c r="J904" s="234"/>
    </row>
    <row r="905" ht="15.75" customHeight="1">
      <c r="A905" s="234"/>
      <c r="B905" s="234"/>
      <c r="C905" s="234"/>
      <c r="D905" s="234"/>
      <c r="E905" s="234"/>
      <c r="F905" s="234"/>
      <c r="G905" s="234"/>
      <c r="H905" s="234"/>
      <c r="I905" s="234"/>
      <c r="J905" s="234"/>
    </row>
    <row r="906" ht="15.75" customHeight="1">
      <c r="A906" s="234"/>
      <c r="B906" s="234"/>
      <c r="C906" s="234"/>
      <c r="D906" s="234"/>
      <c r="E906" s="234"/>
      <c r="F906" s="234"/>
      <c r="G906" s="234"/>
      <c r="H906" s="234"/>
      <c r="I906" s="234"/>
      <c r="J906" s="234"/>
    </row>
    <row r="907" ht="15.75" customHeight="1">
      <c r="A907" s="234"/>
      <c r="B907" s="234"/>
      <c r="C907" s="234"/>
      <c r="D907" s="234"/>
      <c r="E907" s="234"/>
      <c r="F907" s="234"/>
      <c r="G907" s="234"/>
      <c r="H907" s="234"/>
      <c r="I907" s="234"/>
      <c r="J907" s="234"/>
    </row>
    <row r="908" ht="15.75" customHeight="1">
      <c r="A908" s="234"/>
      <c r="B908" s="234"/>
      <c r="C908" s="234"/>
      <c r="D908" s="234"/>
      <c r="E908" s="234"/>
      <c r="F908" s="234"/>
      <c r="G908" s="234"/>
      <c r="H908" s="234"/>
      <c r="I908" s="234"/>
      <c r="J908" s="234"/>
    </row>
    <row r="909" ht="15.75" customHeight="1">
      <c r="A909" s="234"/>
      <c r="B909" s="234"/>
      <c r="C909" s="234"/>
      <c r="D909" s="234"/>
      <c r="E909" s="234"/>
      <c r="F909" s="234"/>
      <c r="G909" s="234"/>
      <c r="H909" s="234"/>
      <c r="I909" s="234"/>
      <c r="J909" s="234"/>
    </row>
    <row r="910" ht="15.75" customHeight="1">
      <c r="A910" s="234"/>
      <c r="B910" s="234"/>
      <c r="C910" s="234"/>
      <c r="D910" s="234"/>
      <c r="E910" s="234"/>
      <c r="F910" s="234"/>
      <c r="G910" s="234"/>
      <c r="H910" s="234"/>
      <c r="I910" s="234"/>
      <c r="J910" s="234"/>
    </row>
    <row r="911" ht="15.75" customHeight="1">
      <c r="A911" s="234"/>
      <c r="B911" s="234"/>
      <c r="C911" s="234"/>
      <c r="D911" s="234"/>
      <c r="E911" s="234"/>
      <c r="F911" s="234"/>
      <c r="G911" s="234"/>
      <c r="H911" s="234"/>
      <c r="I911" s="234"/>
      <c r="J911" s="234"/>
    </row>
    <row r="912" ht="15.75" customHeight="1">
      <c r="A912" s="234"/>
      <c r="B912" s="234"/>
      <c r="C912" s="234"/>
      <c r="D912" s="234"/>
      <c r="E912" s="234"/>
      <c r="F912" s="234"/>
      <c r="G912" s="234"/>
      <c r="H912" s="234"/>
      <c r="I912" s="234"/>
      <c r="J912" s="234"/>
    </row>
    <row r="913" ht="15.75" customHeight="1">
      <c r="A913" s="234"/>
      <c r="B913" s="234"/>
      <c r="C913" s="234"/>
      <c r="D913" s="234"/>
      <c r="E913" s="234"/>
      <c r="F913" s="234"/>
      <c r="G913" s="234"/>
      <c r="H913" s="234"/>
      <c r="I913" s="234"/>
      <c r="J913" s="234"/>
    </row>
    <row r="914" ht="15.75" customHeight="1">
      <c r="A914" s="234"/>
      <c r="B914" s="234"/>
      <c r="C914" s="234"/>
      <c r="D914" s="234"/>
      <c r="E914" s="234"/>
      <c r="F914" s="234"/>
      <c r="G914" s="234"/>
      <c r="H914" s="234"/>
      <c r="I914" s="234"/>
      <c r="J914" s="234"/>
    </row>
    <row r="915" ht="15.75" customHeight="1">
      <c r="A915" s="234"/>
      <c r="B915" s="234"/>
      <c r="C915" s="234"/>
      <c r="D915" s="234"/>
      <c r="E915" s="234"/>
      <c r="F915" s="234"/>
      <c r="G915" s="234"/>
      <c r="H915" s="234"/>
      <c r="I915" s="234"/>
      <c r="J915" s="234"/>
    </row>
    <row r="916" ht="15.75" customHeight="1">
      <c r="A916" s="234"/>
      <c r="B916" s="234"/>
      <c r="C916" s="234"/>
      <c r="D916" s="234"/>
      <c r="E916" s="234"/>
      <c r="F916" s="234"/>
      <c r="G916" s="234"/>
      <c r="H916" s="234"/>
      <c r="I916" s="234"/>
      <c r="J916" s="234"/>
    </row>
    <row r="917" ht="15.75" customHeight="1">
      <c r="A917" s="234"/>
      <c r="B917" s="234"/>
      <c r="C917" s="234"/>
      <c r="D917" s="234"/>
      <c r="E917" s="234"/>
      <c r="F917" s="234"/>
      <c r="G917" s="234"/>
      <c r="H917" s="234"/>
      <c r="I917" s="234"/>
      <c r="J917" s="234"/>
    </row>
    <row r="918" ht="15.75" customHeight="1">
      <c r="A918" s="234"/>
      <c r="B918" s="234"/>
      <c r="C918" s="234"/>
      <c r="D918" s="234"/>
      <c r="E918" s="234"/>
      <c r="F918" s="234"/>
      <c r="G918" s="234"/>
      <c r="H918" s="234"/>
      <c r="I918" s="234"/>
      <c r="J918" s="234"/>
    </row>
    <row r="919" ht="15.75" customHeight="1">
      <c r="A919" s="234"/>
      <c r="B919" s="234"/>
      <c r="C919" s="234"/>
      <c r="D919" s="234"/>
      <c r="E919" s="234"/>
      <c r="F919" s="234"/>
      <c r="G919" s="234"/>
      <c r="H919" s="234"/>
      <c r="I919" s="234"/>
      <c r="J919" s="234"/>
    </row>
    <row r="920" ht="15.75" customHeight="1">
      <c r="A920" s="234"/>
      <c r="B920" s="234"/>
      <c r="C920" s="234"/>
      <c r="D920" s="234"/>
      <c r="E920" s="234"/>
      <c r="F920" s="234"/>
      <c r="G920" s="234"/>
      <c r="H920" s="234"/>
      <c r="I920" s="234"/>
      <c r="J920" s="234"/>
    </row>
    <row r="921" ht="15.75" customHeight="1">
      <c r="A921" s="234"/>
      <c r="B921" s="234"/>
      <c r="C921" s="234"/>
      <c r="D921" s="234"/>
      <c r="E921" s="234"/>
      <c r="F921" s="234"/>
      <c r="G921" s="234"/>
      <c r="H921" s="234"/>
      <c r="I921" s="234"/>
      <c r="J921" s="234"/>
    </row>
    <row r="922" ht="15.75" customHeight="1">
      <c r="A922" s="234"/>
      <c r="B922" s="234"/>
      <c r="C922" s="234"/>
      <c r="D922" s="234"/>
      <c r="E922" s="234"/>
      <c r="F922" s="234"/>
      <c r="G922" s="234"/>
      <c r="H922" s="234"/>
      <c r="I922" s="234"/>
      <c r="J922" s="234"/>
    </row>
    <row r="923" ht="15.75" customHeight="1">
      <c r="A923" s="234"/>
      <c r="B923" s="234"/>
      <c r="C923" s="234"/>
      <c r="D923" s="234"/>
      <c r="E923" s="234"/>
      <c r="F923" s="234"/>
      <c r="G923" s="234"/>
      <c r="H923" s="234"/>
      <c r="I923" s="234"/>
      <c r="J923" s="234"/>
    </row>
    <row r="924" ht="15.75" customHeight="1">
      <c r="A924" s="234"/>
      <c r="B924" s="234"/>
      <c r="C924" s="234"/>
      <c r="D924" s="234"/>
      <c r="E924" s="234"/>
      <c r="F924" s="234"/>
      <c r="G924" s="234"/>
      <c r="H924" s="234"/>
      <c r="I924" s="234"/>
      <c r="J924" s="234"/>
    </row>
    <row r="925" ht="15.75" customHeight="1">
      <c r="A925" s="234"/>
      <c r="B925" s="234"/>
      <c r="C925" s="234"/>
      <c r="D925" s="234"/>
      <c r="E925" s="234"/>
      <c r="F925" s="234"/>
      <c r="G925" s="234"/>
      <c r="H925" s="234"/>
      <c r="I925" s="234"/>
      <c r="J925" s="234"/>
    </row>
    <row r="926" ht="15.75" customHeight="1">
      <c r="A926" s="234"/>
      <c r="B926" s="234"/>
      <c r="C926" s="234"/>
      <c r="D926" s="234"/>
      <c r="E926" s="234"/>
      <c r="F926" s="234"/>
      <c r="G926" s="234"/>
      <c r="H926" s="234"/>
      <c r="I926" s="234"/>
      <c r="J926" s="234"/>
    </row>
    <row r="927" ht="15.75" customHeight="1">
      <c r="A927" s="234"/>
      <c r="B927" s="234"/>
      <c r="C927" s="234"/>
      <c r="D927" s="234"/>
      <c r="E927" s="234"/>
      <c r="F927" s="234"/>
      <c r="G927" s="234"/>
      <c r="H927" s="234"/>
      <c r="I927" s="234"/>
      <c r="J927" s="234"/>
    </row>
    <row r="928" ht="15.75" customHeight="1">
      <c r="A928" s="234"/>
      <c r="B928" s="234"/>
      <c r="C928" s="234"/>
      <c r="D928" s="234"/>
      <c r="E928" s="234"/>
      <c r="F928" s="234"/>
      <c r="G928" s="234"/>
      <c r="H928" s="234"/>
      <c r="I928" s="234"/>
      <c r="J928" s="234"/>
    </row>
    <row r="929" ht="15.75" customHeight="1">
      <c r="A929" s="234"/>
      <c r="B929" s="234"/>
      <c r="C929" s="234"/>
      <c r="D929" s="234"/>
      <c r="E929" s="234"/>
      <c r="F929" s="234"/>
      <c r="G929" s="234"/>
      <c r="H929" s="234"/>
      <c r="I929" s="234"/>
      <c r="J929" s="234"/>
    </row>
    <row r="930" ht="15.75" customHeight="1">
      <c r="A930" s="234"/>
      <c r="B930" s="234"/>
      <c r="C930" s="234"/>
      <c r="D930" s="234"/>
      <c r="E930" s="234"/>
      <c r="F930" s="234"/>
      <c r="G930" s="234"/>
      <c r="H930" s="234"/>
      <c r="I930" s="234"/>
      <c r="J930" s="234"/>
    </row>
    <row r="931" ht="15.75" customHeight="1">
      <c r="A931" s="234"/>
      <c r="B931" s="234"/>
      <c r="C931" s="234"/>
      <c r="D931" s="234"/>
      <c r="E931" s="234"/>
      <c r="F931" s="234"/>
      <c r="G931" s="234"/>
      <c r="H931" s="234"/>
      <c r="I931" s="234"/>
      <c r="J931" s="234"/>
    </row>
    <row r="932" ht="15.75" customHeight="1">
      <c r="A932" s="234"/>
      <c r="B932" s="234"/>
      <c r="C932" s="234"/>
      <c r="D932" s="234"/>
      <c r="E932" s="234"/>
      <c r="F932" s="234"/>
      <c r="G932" s="234"/>
      <c r="H932" s="234"/>
      <c r="I932" s="234"/>
      <c r="J932" s="234"/>
    </row>
    <row r="933" ht="15.75" customHeight="1">
      <c r="A933" s="234"/>
      <c r="B933" s="234"/>
      <c r="C933" s="234"/>
      <c r="D933" s="234"/>
      <c r="E933" s="234"/>
      <c r="F933" s="234"/>
      <c r="G933" s="234"/>
      <c r="H933" s="234"/>
      <c r="I933" s="234"/>
      <c r="J933" s="234"/>
    </row>
    <row r="934" ht="15.75" customHeight="1">
      <c r="A934" s="234"/>
      <c r="B934" s="234"/>
      <c r="C934" s="234"/>
      <c r="D934" s="234"/>
      <c r="E934" s="234"/>
      <c r="F934" s="234"/>
      <c r="G934" s="234"/>
      <c r="H934" s="234"/>
      <c r="I934" s="234"/>
      <c r="J934" s="234"/>
    </row>
    <row r="935" ht="15.75" customHeight="1">
      <c r="A935" s="234"/>
      <c r="B935" s="234"/>
      <c r="C935" s="234"/>
      <c r="D935" s="234"/>
      <c r="E935" s="234"/>
      <c r="F935" s="234"/>
      <c r="G935" s="234"/>
      <c r="H935" s="234"/>
      <c r="I935" s="234"/>
      <c r="J935" s="234"/>
    </row>
    <row r="936" ht="15.75" customHeight="1">
      <c r="A936" s="234"/>
      <c r="B936" s="234"/>
      <c r="C936" s="234"/>
      <c r="D936" s="234"/>
      <c r="E936" s="234"/>
      <c r="F936" s="234"/>
      <c r="G936" s="234"/>
      <c r="H936" s="234"/>
      <c r="I936" s="234"/>
      <c r="J936" s="234"/>
    </row>
    <row r="937" ht="15.75" customHeight="1">
      <c r="A937" s="234"/>
      <c r="B937" s="234"/>
      <c r="C937" s="234"/>
      <c r="D937" s="234"/>
      <c r="E937" s="234"/>
      <c r="F937" s="234"/>
      <c r="G937" s="234"/>
      <c r="H937" s="234"/>
      <c r="I937" s="234"/>
      <c r="J937" s="234"/>
    </row>
    <row r="938" ht="15.75" customHeight="1">
      <c r="A938" s="234"/>
      <c r="B938" s="234"/>
      <c r="C938" s="234"/>
      <c r="D938" s="234"/>
      <c r="E938" s="234"/>
      <c r="F938" s="234"/>
      <c r="G938" s="234"/>
      <c r="H938" s="234"/>
      <c r="I938" s="234"/>
      <c r="J938" s="234"/>
    </row>
    <row r="939" ht="15.75" customHeight="1">
      <c r="A939" s="234"/>
      <c r="B939" s="234"/>
      <c r="C939" s="234"/>
      <c r="D939" s="234"/>
      <c r="E939" s="234"/>
      <c r="F939" s="234"/>
      <c r="G939" s="234"/>
      <c r="H939" s="234"/>
      <c r="I939" s="234"/>
      <c r="J939" s="234"/>
    </row>
    <row r="940" ht="15.75" customHeight="1">
      <c r="A940" s="234"/>
      <c r="B940" s="234"/>
      <c r="C940" s="234"/>
      <c r="D940" s="234"/>
      <c r="E940" s="234"/>
      <c r="F940" s="234"/>
      <c r="G940" s="234"/>
      <c r="H940" s="234"/>
      <c r="I940" s="234"/>
      <c r="J940" s="234"/>
    </row>
    <row r="941" ht="15.75" customHeight="1">
      <c r="A941" s="234"/>
      <c r="B941" s="234"/>
      <c r="C941" s="234"/>
      <c r="D941" s="234"/>
      <c r="E941" s="234"/>
      <c r="F941" s="234"/>
      <c r="G941" s="234"/>
      <c r="H941" s="234"/>
      <c r="I941" s="234"/>
      <c r="J941" s="234"/>
    </row>
    <row r="942" ht="15.75" customHeight="1">
      <c r="A942" s="234"/>
      <c r="B942" s="234"/>
      <c r="C942" s="234"/>
      <c r="D942" s="234"/>
      <c r="E942" s="234"/>
      <c r="F942" s="234"/>
      <c r="G942" s="234"/>
      <c r="H942" s="234"/>
      <c r="I942" s="234"/>
      <c r="J942" s="234"/>
    </row>
    <row r="943" ht="15.75" customHeight="1">
      <c r="A943" s="234"/>
      <c r="B943" s="234"/>
      <c r="C943" s="234"/>
      <c r="D943" s="234"/>
      <c r="E943" s="234"/>
      <c r="F943" s="234"/>
      <c r="G943" s="234"/>
      <c r="H943" s="234"/>
      <c r="I943" s="234"/>
      <c r="J943" s="234"/>
    </row>
    <row r="944" ht="15.75" customHeight="1">
      <c r="A944" s="234"/>
      <c r="B944" s="234"/>
      <c r="C944" s="234"/>
      <c r="D944" s="234"/>
      <c r="E944" s="234"/>
      <c r="F944" s="234"/>
      <c r="G944" s="234"/>
      <c r="H944" s="234"/>
      <c r="I944" s="234"/>
      <c r="J944" s="234"/>
    </row>
    <row r="945" ht="15.75" customHeight="1">
      <c r="A945" s="234"/>
      <c r="B945" s="234"/>
      <c r="C945" s="234"/>
      <c r="D945" s="234"/>
      <c r="E945" s="234"/>
      <c r="F945" s="234"/>
      <c r="G945" s="234"/>
      <c r="H945" s="234"/>
      <c r="I945" s="234"/>
      <c r="J945" s="234"/>
    </row>
    <row r="946" ht="15.75" customHeight="1">
      <c r="A946" s="234"/>
      <c r="B946" s="234"/>
      <c r="C946" s="234"/>
      <c r="D946" s="234"/>
      <c r="E946" s="234"/>
      <c r="F946" s="234"/>
      <c r="G946" s="234"/>
      <c r="H946" s="234"/>
      <c r="I946" s="234"/>
      <c r="J946" s="234"/>
    </row>
    <row r="947" ht="15.75" customHeight="1">
      <c r="A947" s="234"/>
      <c r="B947" s="234"/>
      <c r="C947" s="234"/>
      <c r="D947" s="234"/>
      <c r="E947" s="234"/>
      <c r="F947" s="234"/>
      <c r="G947" s="234"/>
      <c r="H947" s="234"/>
      <c r="I947" s="234"/>
      <c r="J947" s="234"/>
    </row>
    <row r="948" ht="15.75" customHeight="1">
      <c r="A948" s="234"/>
      <c r="B948" s="234"/>
      <c r="C948" s="234"/>
      <c r="D948" s="234"/>
      <c r="E948" s="234"/>
      <c r="F948" s="234"/>
      <c r="G948" s="234"/>
      <c r="H948" s="234"/>
      <c r="I948" s="234"/>
      <c r="J948" s="234"/>
    </row>
    <row r="949" ht="15.75" customHeight="1">
      <c r="A949" s="234"/>
      <c r="B949" s="234"/>
      <c r="C949" s="234"/>
      <c r="D949" s="234"/>
      <c r="E949" s="234"/>
      <c r="F949" s="234"/>
      <c r="G949" s="234"/>
      <c r="H949" s="234"/>
      <c r="I949" s="234"/>
      <c r="J949" s="234"/>
    </row>
    <row r="950" ht="15.75" customHeight="1">
      <c r="A950" s="234"/>
      <c r="B950" s="234"/>
      <c r="C950" s="234"/>
      <c r="D950" s="234"/>
      <c r="E950" s="234"/>
      <c r="F950" s="234"/>
      <c r="G950" s="234"/>
      <c r="H950" s="234"/>
      <c r="I950" s="234"/>
      <c r="J950" s="234"/>
    </row>
    <row r="951" ht="15.75" customHeight="1">
      <c r="A951" s="234"/>
      <c r="B951" s="234"/>
      <c r="C951" s="234"/>
      <c r="D951" s="234"/>
      <c r="E951" s="234"/>
      <c r="F951" s="234"/>
      <c r="G951" s="234"/>
      <c r="H951" s="234"/>
      <c r="I951" s="234"/>
      <c r="J951" s="234"/>
    </row>
    <row r="952" ht="15.75" customHeight="1">
      <c r="A952" s="234"/>
      <c r="B952" s="234"/>
      <c r="C952" s="234"/>
      <c r="D952" s="234"/>
      <c r="E952" s="234"/>
      <c r="F952" s="234"/>
      <c r="G952" s="234"/>
      <c r="H952" s="234"/>
      <c r="I952" s="234"/>
      <c r="J952" s="234"/>
    </row>
    <row r="953" ht="15.75" customHeight="1">
      <c r="A953" s="234"/>
      <c r="B953" s="234"/>
      <c r="C953" s="234"/>
      <c r="D953" s="234"/>
      <c r="E953" s="234"/>
      <c r="F953" s="234"/>
      <c r="G953" s="234"/>
      <c r="H953" s="234"/>
      <c r="I953" s="234"/>
      <c r="J953" s="234"/>
    </row>
    <row r="954" ht="15.75" customHeight="1">
      <c r="A954" s="234"/>
      <c r="B954" s="234"/>
      <c r="C954" s="234"/>
      <c r="D954" s="234"/>
      <c r="E954" s="234"/>
      <c r="F954" s="234"/>
      <c r="G954" s="234"/>
      <c r="H954" s="234"/>
      <c r="I954" s="234"/>
      <c r="J954" s="234"/>
    </row>
    <row r="955" ht="15.75" customHeight="1">
      <c r="A955" s="234"/>
      <c r="B955" s="234"/>
      <c r="C955" s="234"/>
      <c r="D955" s="234"/>
      <c r="E955" s="234"/>
      <c r="F955" s="234"/>
      <c r="G955" s="234"/>
      <c r="H955" s="234"/>
      <c r="I955" s="234"/>
      <c r="J955" s="234"/>
    </row>
    <row r="956" ht="15.75" customHeight="1">
      <c r="A956" s="234"/>
      <c r="B956" s="234"/>
      <c r="C956" s="234"/>
      <c r="D956" s="234"/>
      <c r="E956" s="234"/>
      <c r="F956" s="234"/>
      <c r="G956" s="234"/>
      <c r="H956" s="234"/>
      <c r="I956" s="234"/>
      <c r="J956" s="234"/>
    </row>
    <row r="957" ht="15.75" customHeight="1">
      <c r="A957" s="234"/>
      <c r="B957" s="234"/>
      <c r="C957" s="234"/>
      <c r="D957" s="234"/>
      <c r="E957" s="234"/>
      <c r="F957" s="234"/>
      <c r="G957" s="234"/>
      <c r="H957" s="234"/>
      <c r="I957" s="234"/>
      <c r="J957" s="234"/>
    </row>
    <row r="958" ht="15.75" customHeight="1">
      <c r="A958" s="234"/>
      <c r="B958" s="234"/>
      <c r="C958" s="234"/>
      <c r="D958" s="234"/>
      <c r="E958" s="234"/>
      <c r="F958" s="234"/>
      <c r="G958" s="234"/>
      <c r="H958" s="234"/>
      <c r="I958" s="234"/>
      <c r="J958" s="234"/>
    </row>
    <row r="959" ht="15.75" customHeight="1">
      <c r="A959" s="234"/>
      <c r="B959" s="234"/>
      <c r="C959" s="234"/>
      <c r="D959" s="234"/>
      <c r="E959" s="234"/>
      <c r="F959" s="234"/>
      <c r="G959" s="234"/>
      <c r="H959" s="234"/>
      <c r="I959" s="234"/>
      <c r="J959" s="234"/>
    </row>
    <row r="960" ht="15.75" customHeight="1">
      <c r="A960" s="234"/>
      <c r="B960" s="234"/>
      <c r="C960" s="234"/>
      <c r="D960" s="234"/>
      <c r="E960" s="234"/>
      <c r="F960" s="234"/>
      <c r="G960" s="234"/>
      <c r="H960" s="234"/>
      <c r="I960" s="234"/>
      <c r="J960" s="234"/>
    </row>
    <row r="961" ht="15.75" customHeight="1">
      <c r="A961" s="234"/>
      <c r="B961" s="234"/>
      <c r="C961" s="234"/>
      <c r="D961" s="234"/>
      <c r="E961" s="234"/>
      <c r="F961" s="234"/>
      <c r="G961" s="234"/>
      <c r="H961" s="234"/>
      <c r="I961" s="234"/>
      <c r="J961" s="234"/>
    </row>
    <row r="962" ht="15.75" customHeight="1">
      <c r="A962" s="234"/>
      <c r="B962" s="234"/>
      <c r="C962" s="234"/>
      <c r="D962" s="234"/>
      <c r="E962" s="234"/>
      <c r="F962" s="234"/>
      <c r="G962" s="234"/>
      <c r="H962" s="234"/>
      <c r="I962" s="234"/>
      <c r="J962" s="234"/>
    </row>
    <row r="963" ht="15.75" customHeight="1">
      <c r="A963" s="234"/>
      <c r="B963" s="234"/>
      <c r="C963" s="234"/>
      <c r="D963" s="234"/>
      <c r="E963" s="234"/>
      <c r="F963" s="234"/>
      <c r="G963" s="234"/>
      <c r="H963" s="234"/>
      <c r="I963" s="234"/>
      <c r="J963" s="234"/>
    </row>
    <row r="964" ht="15.75" customHeight="1">
      <c r="A964" s="234"/>
      <c r="B964" s="234"/>
      <c r="C964" s="234"/>
      <c r="D964" s="234"/>
      <c r="E964" s="234"/>
      <c r="F964" s="234"/>
      <c r="G964" s="234"/>
      <c r="H964" s="234"/>
      <c r="I964" s="234"/>
      <c r="J964" s="234"/>
    </row>
    <row r="965" ht="15.75" customHeight="1">
      <c r="A965" s="234"/>
      <c r="B965" s="234"/>
      <c r="C965" s="234"/>
      <c r="D965" s="234"/>
      <c r="E965" s="234"/>
      <c r="F965" s="234"/>
      <c r="G965" s="234"/>
      <c r="H965" s="234"/>
      <c r="I965" s="234"/>
      <c r="J965" s="234"/>
    </row>
    <row r="966" ht="15.75" customHeight="1">
      <c r="A966" s="234"/>
      <c r="B966" s="234"/>
      <c r="C966" s="234"/>
      <c r="D966" s="234"/>
      <c r="E966" s="234"/>
      <c r="F966" s="234"/>
      <c r="G966" s="234"/>
      <c r="H966" s="234"/>
      <c r="I966" s="234"/>
      <c r="J966" s="234"/>
    </row>
    <row r="967" ht="15.75" customHeight="1">
      <c r="A967" s="234"/>
      <c r="B967" s="234"/>
      <c r="C967" s="234"/>
      <c r="D967" s="234"/>
      <c r="E967" s="234"/>
      <c r="F967" s="234"/>
      <c r="G967" s="234"/>
      <c r="H967" s="234"/>
      <c r="I967" s="234"/>
      <c r="J967" s="234"/>
    </row>
    <row r="968" ht="15.75" customHeight="1">
      <c r="A968" s="234"/>
      <c r="B968" s="234"/>
      <c r="C968" s="234"/>
      <c r="D968" s="234"/>
      <c r="E968" s="234"/>
      <c r="F968" s="234"/>
      <c r="G968" s="234"/>
      <c r="H968" s="234"/>
      <c r="I968" s="234"/>
      <c r="J968" s="234"/>
    </row>
    <row r="969" ht="15.75" customHeight="1">
      <c r="A969" s="234"/>
      <c r="B969" s="234"/>
      <c r="C969" s="234"/>
      <c r="D969" s="234"/>
      <c r="E969" s="234"/>
      <c r="F969" s="234"/>
      <c r="G969" s="234"/>
      <c r="H969" s="234"/>
      <c r="I969" s="234"/>
      <c r="J969" s="234"/>
    </row>
    <row r="970" ht="15.75" customHeight="1">
      <c r="A970" s="234"/>
      <c r="B970" s="234"/>
      <c r="C970" s="234"/>
      <c r="D970" s="234"/>
      <c r="E970" s="234"/>
      <c r="F970" s="234"/>
      <c r="G970" s="234"/>
      <c r="H970" s="234"/>
      <c r="I970" s="234"/>
      <c r="J970" s="234"/>
    </row>
    <row r="971" ht="15.75" customHeight="1">
      <c r="A971" s="234"/>
      <c r="B971" s="234"/>
      <c r="C971" s="234"/>
      <c r="D971" s="234"/>
      <c r="E971" s="234"/>
      <c r="F971" s="234"/>
      <c r="G971" s="234"/>
      <c r="H971" s="234"/>
      <c r="I971" s="234"/>
      <c r="J971" s="234"/>
    </row>
    <row r="972" ht="15.75" customHeight="1">
      <c r="A972" s="234"/>
      <c r="B972" s="234"/>
      <c r="C972" s="234"/>
      <c r="D972" s="234"/>
      <c r="E972" s="234"/>
      <c r="F972" s="234"/>
      <c r="G972" s="234"/>
      <c r="H972" s="234"/>
      <c r="I972" s="234"/>
      <c r="J972" s="234"/>
    </row>
    <row r="973" ht="15.75" customHeight="1">
      <c r="A973" s="234"/>
      <c r="B973" s="234"/>
      <c r="C973" s="234"/>
      <c r="D973" s="234"/>
      <c r="E973" s="234"/>
      <c r="F973" s="234"/>
      <c r="G973" s="234"/>
      <c r="H973" s="234"/>
      <c r="I973" s="234"/>
      <c r="J973" s="234"/>
    </row>
    <row r="974" ht="15.75" customHeight="1">
      <c r="A974" s="234"/>
      <c r="B974" s="234"/>
      <c r="C974" s="234"/>
      <c r="D974" s="234"/>
      <c r="E974" s="234"/>
      <c r="F974" s="234"/>
      <c r="G974" s="234"/>
      <c r="H974" s="234"/>
      <c r="I974" s="234"/>
      <c r="J974" s="234"/>
    </row>
    <row r="975" ht="15.75" customHeight="1">
      <c r="A975" s="234"/>
      <c r="B975" s="234"/>
      <c r="C975" s="234"/>
      <c r="D975" s="234"/>
      <c r="E975" s="234"/>
      <c r="F975" s="234"/>
      <c r="G975" s="234"/>
      <c r="H975" s="234"/>
      <c r="I975" s="234"/>
      <c r="J975" s="234"/>
    </row>
    <row r="976" ht="15.75" customHeight="1">
      <c r="A976" s="234"/>
      <c r="B976" s="234"/>
      <c r="C976" s="234"/>
      <c r="D976" s="234"/>
      <c r="E976" s="234"/>
      <c r="F976" s="234"/>
      <c r="G976" s="234"/>
      <c r="H976" s="234"/>
      <c r="I976" s="234"/>
      <c r="J976" s="234"/>
    </row>
    <row r="977" ht="15.75" customHeight="1">
      <c r="A977" s="234"/>
      <c r="B977" s="234"/>
      <c r="C977" s="234"/>
      <c r="D977" s="234"/>
      <c r="E977" s="234"/>
      <c r="F977" s="234"/>
      <c r="G977" s="234"/>
      <c r="H977" s="234"/>
      <c r="I977" s="234"/>
      <c r="J977" s="234"/>
    </row>
    <row r="978" ht="15.75" customHeight="1">
      <c r="A978" s="234"/>
      <c r="B978" s="234"/>
      <c r="C978" s="234"/>
      <c r="D978" s="234"/>
      <c r="E978" s="234"/>
      <c r="F978" s="234"/>
      <c r="G978" s="234"/>
      <c r="H978" s="234"/>
      <c r="I978" s="234"/>
      <c r="J978" s="234"/>
    </row>
    <row r="979" ht="15.75" customHeight="1">
      <c r="A979" s="234"/>
      <c r="B979" s="234"/>
      <c r="C979" s="234"/>
      <c r="D979" s="234"/>
      <c r="E979" s="234"/>
      <c r="F979" s="234"/>
      <c r="G979" s="234"/>
      <c r="H979" s="234"/>
      <c r="I979" s="234"/>
      <c r="J979" s="234"/>
    </row>
    <row r="980" ht="15.75" customHeight="1">
      <c r="A980" s="234"/>
      <c r="B980" s="234"/>
      <c r="C980" s="234"/>
      <c r="D980" s="234"/>
      <c r="E980" s="234"/>
      <c r="F980" s="234"/>
      <c r="G980" s="234"/>
      <c r="H980" s="234"/>
      <c r="I980" s="234"/>
      <c r="J980" s="234"/>
    </row>
    <row r="981" ht="15.75" customHeight="1">
      <c r="A981" s="234"/>
      <c r="B981" s="234"/>
      <c r="C981" s="234"/>
      <c r="D981" s="234"/>
      <c r="E981" s="234"/>
      <c r="F981" s="234"/>
      <c r="G981" s="234"/>
      <c r="H981" s="234"/>
      <c r="I981" s="234"/>
      <c r="J981" s="234"/>
    </row>
    <row r="982" ht="15.75" customHeight="1">
      <c r="A982" s="234"/>
      <c r="B982" s="234"/>
      <c r="C982" s="234"/>
      <c r="D982" s="234"/>
      <c r="E982" s="234"/>
      <c r="F982" s="234"/>
      <c r="G982" s="234"/>
      <c r="H982" s="234"/>
      <c r="I982" s="234"/>
      <c r="J982" s="234"/>
    </row>
    <row r="983" ht="15.75" customHeight="1">
      <c r="A983" s="234"/>
      <c r="B983" s="234"/>
      <c r="C983" s="234"/>
      <c r="D983" s="234"/>
      <c r="E983" s="234"/>
      <c r="F983" s="234"/>
      <c r="G983" s="234"/>
      <c r="H983" s="234"/>
      <c r="I983" s="234"/>
      <c r="J983" s="234"/>
    </row>
    <row r="984" ht="15.75" customHeight="1">
      <c r="A984" s="234"/>
      <c r="B984" s="234"/>
      <c r="C984" s="234"/>
      <c r="D984" s="234"/>
      <c r="E984" s="234"/>
      <c r="F984" s="234"/>
      <c r="G984" s="234"/>
      <c r="H984" s="234"/>
      <c r="I984" s="234"/>
      <c r="J984" s="234"/>
    </row>
    <row r="985" ht="15.75" customHeight="1">
      <c r="A985" s="234"/>
      <c r="B985" s="234"/>
      <c r="C985" s="234"/>
      <c r="D985" s="234"/>
      <c r="E985" s="234"/>
      <c r="F985" s="234"/>
      <c r="G985" s="234"/>
      <c r="H985" s="234"/>
      <c r="I985" s="234"/>
      <c r="J985" s="234"/>
    </row>
    <row r="986" ht="15.75" customHeight="1">
      <c r="A986" s="234"/>
      <c r="B986" s="234"/>
      <c r="C986" s="234"/>
      <c r="D986" s="234"/>
      <c r="E986" s="234"/>
      <c r="F986" s="234"/>
      <c r="G986" s="234"/>
      <c r="H986" s="234"/>
      <c r="I986" s="234"/>
      <c r="J986" s="234"/>
    </row>
    <row r="987" ht="15.75" customHeight="1">
      <c r="A987" s="234"/>
      <c r="B987" s="234"/>
      <c r="C987" s="234"/>
      <c r="D987" s="234"/>
      <c r="E987" s="234"/>
      <c r="F987" s="234"/>
      <c r="G987" s="234"/>
      <c r="H987" s="234"/>
      <c r="I987" s="234"/>
      <c r="J987" s="234"/>
    </row>
    <row r="988" ht="15.75" customHeight="1">
      <c r="A988" s="234"/>
      <c r="B988" s="234"/>
      <c r="C988" s="234"/>
      <c r="D988" s="234"/>
      <c r="E988" s="234"/>
      <c r="F988" s="234"/>
      <c r="G988" s="234"/>
      <c r="H988" s="234"/>
      <c r="I988" s="234"/>
      <c r="J988" s="234"/>
    </row>
    <row r="989" ht="15.75" customHeight="1">
      <c r="A989" s="234"/>
      <c r="B989" s="234"/>
      <c r="C989" s="234"/>
      <c r="D989" s="234"/>
      <c r="E989" s="234"/>
      <c r="F989" s="234"/>
      <c r="G989" s="234"/>
      <c r="H989" s="234"/>
      <c r="I989" s="234"/>
      <c r="J989" s="234"/>
    </row>
    <row r="990" ht="15.75" customHeight="1">
      <c r="A990" s="234"/>
      <c r="B990" s="234"/>
      <c r="C990" s="234"/>
      <c r="D990" s="234"/>
      <c r="E990" s="234"/>
      <c r="F990" s="234"/>
      <c r="G990" s="234"/>
      <c r="H990" s="234"/>
      <c r="I990" s="234"/>
      <c r="J990" s="234"/>
    </row>
    <row r="991" ht="15.75" customHeight="1">
      <c r="A991" s="234"/>
      <c r="B991" s="234"/>
      <c r="C991" s="234"/>
      <c r="D991" s="234"/>
      <c r="E991" s="234"/>
      <c r="F991" s="234"/>
      <c r="G991" s="234"/>
      <c r="H991" s="234"/>
      <c r="I991" s="234"/>
      <c r="J991" s="234"/>
    </row>
    <row r="992" ht="15.75" customHeight="1">
      <c r="A992" s="234"/>
      <c r="B992" s="234"/>
      <c r="C992" s="234"/>
      <c r="D992" s="234"/>
      <c r="E992" s="234"/>
      <c r="F992" s="234"/>
      <c r="G992" s="234"/>
      <c r="H992" s="234"/>
      <c r="I992" s="234"/>
      <c r="J992" s="234"/>
    </row>
    <row r="993" ht="15.75" customHeight="1">
      <c r="A993" s="234"/>
      <c r="B993" s="234"/>
      <c r="C993" s="234"/>
      <c r="D993" s="234"/>
      <c r="E993" s="234"/>
      <c r="F993" s="234"/>
      <c r="G993" s="234"/>
      <c r="H993" s="234"/>
      <c r="I993" s="234"/>
      <c r="J993" s="234"/>
    </row>
    <row r="994" ht="15.75" customHeight="1">
      <c r="A994" s="234"/>
      <c r="B994" s="234"/>
      <c r="C994" s="234"/>
      <c r="D994" s="234"/>
      <c r="E994" s="234"/>
      <c r="F994" s="234"/>
      <c r="G994" s="234"/>
      <c r="H994" s="234"/>
      <c r="I994" s="234"/>
      <c r="J994" s="234"/>
    </row>
    <row r="995" ht="15.75" customHeight="1">
      <c r="A995" s="234"/>
      <c r="B995" s="234"/>
      <c r="C995" s="234"/>
      <c r="D995" s="234"/>
      <c r="E995" s="234"/>
      <c r="F995" s="234"/>
      <c r="G995" s="234"/>
      <c r="H995" s="234"/>
      <c r="I995" s="234"/>
      <c r="J995" s="234"/>
    </row>
    <row r="996" ht="15.75" customHeight="1">
      <c r="A996" s="234"/>
      <c r="B996" s="234"/>
      <c r="C996" s="234"/>
      <c r="D996" s="234"/>
      <c r="E996" s="234"/>
      <c r="F996" s="234"/>
      <c r="G996" s="234"/>
      <c r="H996" s="234"/>
      <c r="I996" s="234"/>
      <c r="J996" s="234"/>
    </row>
    <row r="997" ht="15.75" customHeight="1">
      <c r="A997" s="234"/>
      <c r="B997" s="234"/>
      <c r="C997" s="234"/>
      <c r="D997" s="234"/>
      <c r="E997" s="234"/>
      <c r="F997" s="234"/>
      <c r="G997" s="234"/>
      <c r="H997" s="234"/>
      <c r="I997" s="234"/>
      <c r="J997" s="234"/>
    </row>
    <row r="998" ht="15.75" customHeight="1">
      <c r="A998" s="234"/>
      <c r="B998" s="234"/>
      <c r="C998" s="234"/>
      <c r="D998" s="234"/>
      <c r="E998" s="234"/>
      <c r="F998" s="234"/>
      <c r="G998" s="234"/>
      <c r="H998" s="234"/>
      <c r="I998" s="234"/>
      <c r="J998" s="234"/>
    </row>
    <row r="999" ht="15.75" customHeight="1">
      <c r="A999" s="234"/>
      <c r="B999" s="234"/>
      <c r="C999" s="234"/>
      <c r="D999" s="234"/>
      <c r="E999" s="234"/>
      <c r="F999" s="234"/>
      <c r="G999" s="234"/>
      <c r="H999" s="234"/>
      <c r="I999" s="234"/>
      <c r="J999" s="234"/>
    </row>
    <row r="1000" ht="15.75" customHeight="1">
      <c r="A1000" s="234"/>
      <c r="B1000" s="234"/>
      <c r="C1000" s="234"/>
      <c r="D1000" s="234"/>
      <c r="E1000" s="234"/>
      <c r="F1000" s="234"/>
      <c r="G1000" s="234"/>
      <c r="H1000" s="234"/>
      <c r="I1000" s="234"/>
      <c r="J1000" s="234"/>
    </row>
    <row r="1001" ht="15.75" customHeight="1">
      <c r="A1001" s="234"/>
      <c r="B1001" s="234"/>
      <c r="C1001" s="234"/>
      <c r="D1001" s="234"/>
      <c r="E1001" s="234"/>
      <c r="F1001" s="234"/>
      <c r="G1001" s="234"/>
      <c r="H1001" s="234"/>
      <c r="I1001" s="234"/>
      <c r="J1001" s="234"/>
    </row>
    <row r="1002" ht="15.75" customHeight="1">
      <c r="A1002" s="234"/>
      <c r="B1002" s="234"/>
      <c r="C1002" s="234"/>
      <c r="D1002" s="234"/>
      <c r="E1002" s="234"/>
      <c r="F1002" s="234"/>
      <c r="G1002" s="234"/>
      <c r="H1002" s="234"/>
      <c r="I1002" s="234"/>
      <c r="J1002" s="234"/>
    </row>
    <row r="1003" ht="15.75" customHeight="1">
      <c r="A1003" s="234"/>
      <c r="B1003" s="234"/>
      <c r="C1003" s="234"/>
      <c r="D1003" s="234"/>
      <c r="E1003" s="234"/>
      <c r="F1003" s="234"/>
      <c r="G1003" s="234"/>
      <c r="H1003" s="234"/>
      <c r="I1003" s="234"/>
      <c r="J1003" s="234"/>
    </row>
    <row r="1004" ht="15.75" customHeight="1">
      <c r="A1004" s="234"/>
      <c r="B1004" s="234"/>
      <c r="C1004" s="234"/>
      <c r="D1004" s="234"/>
      <c r="E1004" s="234"/>
      <c r="F1004" s="234"/>
      <c r="G1004" s="234"/>
      <c r="H1004" s="234"/>
      <c r="I1004" s="234"/>
      <c r="J1004" s="234"/>
    </row>
    <row r="1005" ht="15.75" customHeight="1">
      <c r="A1005" s="234"/>
      <c r="B1005" s="234"/>
      <c r="C1005" s="234"/>
      <c r="D1005" s="234"/>
      <c r="E1005" s="234"/>
      <c r="F1005" s="234"/>
      <c r="G1005" s="234"/>
      <c r="H1005" s="234"/>
      <c r="I1005" s="234"/>
      <c r="J1005" s="234"/>
    </row>
    <row r="1006" ht="15.75" customHeight="1">
      <c r="A1006" s="234"/>
      <c r="B1006" s="234"/>
      <c r="C1006" s="234"/>
      <c r="D1006" s="234"/>
      <c r="E1006" s="234"/>
      <c r="F1006" s="234"/>
      <c r="G1006" s="234"/>
      <c r="H1006" s="234"/>
      <c r="I1006" s="234"/>
      <c r="J1006" s="234"/>
    </row>
    <row r="1007" ht="15.75" customHeight="1">
      <c r="A1007" s="234"/>
      <c r="B1007" s="234"/>
      <c r="C1007" s="234"/>
      <c r="D1007" s="234"/>
      <c r="E1007" s="234"/>
      <c r="F1007" s="234"/>
      <c r="G1007" s="234"/>
      <c r="H1007" s="234"/>
      <c r="I1007" s="234"/>
      <c r="J1007" s="234"/>
    </row>
    <row r="1008" ht="15.75" customHeight="1">
      <c r="A1008" s="234"/>
      <c r="B1008" s="234"/>
      <c r="C1008" s="234"/>
      <c r="D1008" s="234"/>
      <c r="E1008" s="234"/>
      <c r="F1008" s="234"/>
      <c r="G1008" s="234"/>
      <c r="H1008" s="234"/>
      <c r="I1008" s="234"/>
      <c r="J1008" s="234"/>
    </row>
    <row r="1009" ht="15.75" customHeight="1">
      <c r="A1009" s="234"/>
      <c r="B1009" s="234"/>
      <c r="C1009" s="234"/>
      <c r="D1009" s="234"/>
      <c r="E1009" s="234"/>
      <c r="F1009" s="234"/>
      <c r="G1009" s="234"/>
      <c r="H1009" s="234"/>
      <c r="I1009" s="234"/>
      <c r="J1009" s="234"/>
    </row>
    <row r="1010" ht="15.75" customHeight="1">
      <c r="A1010" s="234"/>
      <c r="B1010" s="234"/>
      <c r="C1010" s="234"/>
      <c r="D1010" s="234"/>
      <c r="E1010" s="234"/>
      <c r="F1010" s="234"/>
      <c r="G1010" s="234"/>
      <c r="H1010" s="234"/>
      <c r="I1010" s="234"/>
      <c r="J1010" s="234"/>
    </row>
    <row r="1011" ht="15.75" customHeight="1">
      <c r="A1011" s="234"/>
      <c r="B1011" s="234"/>
      <c r="C1011" s="234"/>
      <c r="D1011" s="234"/>
      <c r="E1011" s="234"/>
      <c r="F1011" s="234"/>
      <c r="G1011" s="234"/>
      <c r="H1011" s="234"/>
      <c r="I1011" s="234"/>
      <c r="J1011" s="234"/>
    </row>
    <row r="1012" ht="15.75" customHeight="1">
      <c r="A1012" s="234"/>
      <c r="B1012" s="234"/>
      <c r="C1012" s="234"/>
      <c r="D1012" s="234"/>
      <c r="E1012" s="234"/>
      <c r="F1012" s="234"/>
      <c r="G1012" s="234"/>
      <c r="H1012" s="234"/>
      <c r="I1012" s="234"/>
      <c r="J1012" s="234"/>
    </row>
    <row r="1013" ht="15.75" customHeight="1">
      <c r="A1013" s="234"/>
      <c r="B1013" s="234"/>
      <c r="C1013" s="234"/>
      <c r="D1013" s="234"/>
      <c r="E1013" s="234"/>
      <c r="F1013" s="234"/>
      <c r="G1013" s="234"/>
      <c r="H1013" s="234"/>
      <c r="I1013" s="234"/>
      <c r="J1013" s="234"/>
    </row>
    <row r="1014" ht="15.75" customHeight="1">
      <c r="A1014" s="234"/>
      <c r="B1014" s="234"/>
      <c r="C1014" s="234"/>
      <c r="D1014" s="234"/>
      <c r="E1014" s="234"/>
      <c r="F1014" s="234"/>
      <c r="G1014" s="234"/>
      <c r="H1014" s="234"/>
      <c r="I1014" s="234"/>
      <c r="J1014" s="234"/>
    </row>
    <row r="1015" ht="15.75" customHeight="1">
      <c r="A1015" s="234"/>
      <c r="B1015" s="234"/>
      <c r="C1015" s="234"/>
      <c r="D1015" s="234"/>
      <c r="E1015" s="234"/>
      <c r="F1015" s="234"/>
      <c r="G1015" s="234"/>
      <c r="H1015" s="234"/>
      <c r="I1015" s="234"/>
      <c r="J1015" s="234"/>
    </row>
    <row r="1016" ht="15.75" customHeight="1">
      <c r="A1016" s="234"/>
      <c r="B1016" s="234"/>
      <c r="C1016" s="234"/>
      <c r="D1016" s="234"/>
      <c r="E1016" s="234"/>
      <c r="F1016" s="234"/>
      <c r="G1016" s="234"/>
      <c r="H1016" s="234"/>
      <c r="I1016" s="234"/>
      <c r="J1016" s="234"/>
    </row>
    <row r="1017" ht="15.75" customHeight="1">
      <c r="A1017" s="234"/>
      <c r="B1017" s="234"/>
      <c r="C1017" s="234"/>
      <c r="D1017" s="234"/>
      <c r="E1017" s="234"/>
      <c r="F1017" s="234"/>
      <c r="G1017" s="234"/>
      <c r="H1017" s="234"/>
      <c r="I1017" s="234"/>
      <c r="J1017" s="234"/>
    </row>
    <row r="1018" ht="15.75" customHeight="1">
      <c r="A1018" s="234"/>
      <c r="B1018" s="234"/>
      <c r="C1018" s="234"/>
      <c r="D1018" s="234"/>
      <c r="E1018" s="234"/>
      <c r="F1018" s="234"/>
      <c r="G1018" s="234"/>
      <c r="H1018" s="234"/>
      <c r="I1018" s="234"/>
      <c r="J1018" s="234"/>
    </row>
    <row r="1019" ht="15.75" customHeight="1">
      <c r="A1019" s="234"/>
      <c r="B1019" s="234"/>
      <c r="C1019" s="234"/>
      <c r="D1019" s="234"/>
      <c r="E1019" s="234"/>
      <c r="F1019" s="234"/>
      <c r="G1019" s="234"/>
      <c r="H1019" s="234"/>
      <c r="I1019" s="234"/>
      <c r="J1019" s="234"/>
    </row>
    <row r="1020" ht="15.75" customHeight="1">
      <c r="A1020" s="234"/>
      <c r="B1020" s="234"/>
      <c r="C1020" s="234"/>
      <c r="D1020" s="234"/>
      <c r="E1020" s="234"/>
      <c r="F1020" s="234"/>
      <c r="G1020" s="234"/>
      <c r="H1020" s="234"/>
      <c r="I1020" s="234"/>
      <c r="J1020" s="234"/>
    </row>
    <row r="1021" ht="15.75" customHeight="1">
      <c r="A1021" s="234"/>
      <c r="B1021" s="234"/>
      <c r="C1021" s="234"/>
      <c r="D1021" s="234"/>
      <c r="E1021" s="234"/>
      <c r="F1021" s="234"/>
      <c r="G1021" s="234"/>
      <c r="H1021" s="234"/>
      <c r="I1021" s="234"/>
      <c r="J1021" s="234"/>
    </row>
    <row r="1022" ht="15.75" customHeight="1">
      <c r="A1022" s="234"/>
      <c r="B1022" s="234"/>
      <c r="C1022" s="234"/>
      <c r="D1022" s="234"/>
      <c r="E1022" s="234"/>
      <c r="F1022" s="234"/>
      <c r="G1022" s="234"/>
      <c r="H1022" s="234"/>
      <c r="I1022" s="234"/>
      <c r="J1022" s="234"/>
    </row>
    <row r="1023" ht="15.75" customHeight="1">
      <c r="A1023" s="234"/>
      <c r="B1023" s="234"/>
      <c r="C1023" s="234"/>
      <c r="D1023" s="234"/>
      <c r="E1023" s="234"/>
      <c r="F1023" s="234"/>
      <c r="G1023" s="234"/>
      <c r="H1023" s="234"/>
      <c r="I1023" s="234"/>
      <c r="J1023" s="234"/>
    </row>
    <row r="1024" ht="15.75" customHeight="1">
      <c r="A1024" s="234"/>
      <c r="B1024" s="234"/>
      <c r="C1024" s="234"/>
      <c r="D1024" s="234"/>
      <c r="E1024" s="234"/>
      <c r="F1024" s="234"/>
      <c r="G1024" s="234"/>
      <c r="H1024" s="234"/>
      <c r="I1024" s="234"/>
      <c r="J1024" s="234"/>
    </row>
    <row r="1025" ht="15.75" customHeight="1">
      <c r="A1025" s="234"/>
      <c r="B1025" s="234"/>
      <c r="C1025" s="234"/>
      <c r="D1025" s="234"/>
      <c r="E1025" s="234"/>
      <c r="F1025" s="234"/>
      <c r="G1025" s="234"/>
      <c r="H1025" s="234"/>
      <c r="I1025" s="234"/>
      <c r="J1025" s="234"/>
    </row>
    <row r="1026" ht="15.75" customHeight="1">
      <c r="A1026" s="234"/>
      <c r="B1026" s="234"/>
      <c r="C1026" s="234"/>
      <c r="D1026" s="234"/>
      <c r="E1026" s="234"/>
      <c r="F1026" s="234"/>
      <c r="G1026" s="234"/>
      <c r="H1026" s="234"/>
      <c r="I1026" s="234"/>
      <c r="J1026" s="234"/>
    </row>
    <row r="1027" ht="15.75" customHeight="1">
      <c r="A1027" s="234"/>
      <c r="B1027" s="234"/>
      <c r="C1027" s="234"/>
      <c r="D1027" s="234"/>
      <c r="E1027" s="234"/>
      <c r="F1027" s="234"/>
      <c r="G1027" s="234"/>
      <c r="H1027" s="234"/>
      <c r="I1027" s="234"/>
      <c r="J1027" s="234"/>
    </row>
    <row r="1028" ht="15.75" customHeight="1">
      <c r="A1028" s="234"/>
      <c r="B1028" s="234"/>
      <c r="C1028" s="234"/>
      <c r="D1028" s="234"/>
      <c r="E1028" s="234"/>
      <c r="F1028" s="234"/>
      <c r="G1028" s="234"/>
      <c r="H1028" s="234"/>
      <c r="I1028" s="234"/>
      <c r="J1028" s="234"/>
    </row>
    <row r="1029" ht="15.75" customHeight="1">
      <c r="A1029" s="234"/>
      <c r="B1029" s="234"/>
      <c r="C1029" s="234"/>
      <c r="D1029" s="234"/>
      <c r="E1029" s="234"/>
      <c r="F1029" s="234"/>
      <c r="G1029" s="234"/>
      <c r="H1029" s="234"/>
      <c r="I1029" s="234"/>
      <c r="J1029" s="234"/>
    </row>
    <row r="1030" ht="15.75" customHeight="1">
      <c r="A1030" s="234"/>
      <c r="B1030" s="234"/>
      <c r="C1030" s="234"/>
      <c r="D1030" s="234"/>
      <c r="E1030" s="234"/>
      <c r="F1030" s="234"/>
      <c r="G1030" s="234"/>
      <c r="H1030" s="234"/>
      <c r="I1030" s="234"/>
      <c r="J1030" s="234"/>
    </row>
    <row r="1031" ht="15.75" customHeight="1">
      <c r="A1031" s="234"/>
      <c r="B1031" s="234"/>
      <c r="C1031" s="234"/>
      <c r="D1031" s="234"/>
      <c r="E1031" s="234"/>
      <c r="F1031" s="234"/>
      <c r="G1031" s="234"/>
      <c r="H1031" s="234"/>
      <c r="I1031" s="234"/>
      <c r="J1031" s="234"/>
    </row>
    <row r="1032" ht="15.75" customHeight="1">
      <c r="A1032" s="234"/>
      <c r="B1032" s="234"/>
      <c r="C1032" s="234"/>
      <c r="D1032" s="234"/>
      <c r="E1032" s="234"/>
      <c r="F1032" s="234"/>
      <c r="G1032" s="234"/>
      <c r="H1032" s="234"/>
      <c r="I1032" s="234"/>
      <c r="J1032" s="234"/>
    </row>
    <row r="1033" ht="15.75" customHeight="1">
      <c r="A1033" s="234"/>
      <c r="B1033" s="234"/>
      <c r="C1033" s="234"/>
      <c r="D1033" s="234"/>
      <c r="E1033" s="234"/>
      <c r="F1033" s="234"/>
      <c r="G1033" s="234"/>
      <c r="H1033" s="234"/>
      <c r="I1033" s="234"/>
      <c r="J1033" s="234"/>
    </row>
    <row r="1034" ht="15.75" customHeight="1">
      <c r="A1034" s="234"/>
      <c r="B1034" s="234"/>
      <c r="C1034" s="234"/>
      <c r="D1034" s="234"/>
      <c r="E1034" s="234"/>
      <c r="F1034" s="234"/>
      <c r="G1034" s="234"/>
      <c r="H1034" s="234"/>
      <c r="I1034" s="234"/>
      <c r="J1034" s="234"/>
    </row>
    <row r="1035" ht="15.75" customHeight="1">
      <c r="A1035" s="234"/>
      <c r="B1035" s="234"/>
      <c r="C1035" s="234"/>
      <c r="D1035" s="234"/>
      <c r="E1035" s="234"/>
      <c r="F1035" s="234"/>
      <c r="G1035" s="234"/>
      <c r="H1035" s="234"/>
      <c r="I1035" s="234"/>
      <c r="J1035" s="234"/>
    </row>
    <row r="1036" ht="15.75" customHeight="1">
      <c r="A1036" s="234"/>
      <c r="B1036" s="234"/>
      <c r="C1036" s="234"/>
      <c r="D1036" s="234"/>
      <c r="E1036" s="234"/>
      <c r="F1036" s="234"/>
      <c r="G1036" s="234"/>
      <c r="H1036" s="234"/>
      <c r="I1036" s="234"/>
      <c r="J1036" s="234"/>
    </row>
    <row r="1037" ht="15.75" customHeight="1">
      <c r="A1037" s="234"/>
      <c r="B1037" s="234"/>
      <c r="C1037" s="234"/>
      <c r="D1037" s="234"/>
      <c r="E1037" s="234"/>
      <c r="F1037" s="234"/>
      <c r="G1037" s="234"/>
      <c r="H1037" s="234"/>
      <c r="I1037" s="234"/>
      <c r="J1037" s="234"/>
    </row>
    <row r="1038" ht="15.75" customHeight="1">
      <c r="A1038" s="234"/>
      <c r="B1038" s="234"/>
      <c r="C1038" s="234"/>
      <c r="D1038" s="234"/>
      <c r="E1038" s="234"/>
      <c r="F1038" s="234"/>
      <c r="G1038" s="234"/>
      <c r="H1038" s="234"/>
      <c r="I1038" s="234"/>
      <c r="J1038" s="234"/>
    </row>
    <row r="1039" ht="15.75" customHeight="1">
      <c r="A1039" s="234"/>
      <c r="B1039" s="234"/>
      <c r="C1039" s="234"/>
      <c r="D1039" s="234"/>
      <c r="E1039" s="234"/>
      <c r="F1039" s="234"/>
      <c r="G1039" s="234"/>
      <c r="H1039" s="234"/>
      <c r="I1039" s="234"/>
      <c r="J1039" s="234"/>
    </row>
    <row r="1040" ht="15.75" customHeight="1">
      <c r="A1040" s="234"/>
      <c r="B1040" s="234"/>
      <c r="C1040" s="234"/>
      <c r="D1040" s="234"/>
      <c r="E1040" s="234"/>
      <c r="F1040" s="234"/>
      <c r="G1040" s="234"/>
      <c r="H1040" s="234"/>
      <c r="I1040" s="234"/>
      <c r="J1040" s="234"/>
    </row>
    <row r="1041" ht="15.75" customHeight="1">
      <c r="A1041" s="234"/>
      <c r="B1041" s="234"/>
      <c r="C1041" s="234"/>
      <c r="D1041" s="234"/>
      <c r="E1041" s="234"/>
      <c r="F1041" s="234"/>
      <c r="G1041" s="234"/>
      <c r="H1041" s="234"/>
      <c r="I1041" s="234"/>
      <c r="J1041" s="234"/>
    </row>
    <row r="1042" ht="15.75" customHeight="1">
      <c r="A1042" s="234"/>
      <c r="B1042" s="234"/>
      <c r="C1042" s="234"/>
      <c r="D1042" s="234"/>
      <c r="E1042" s="234"/>
      <c r="F1042" s="234"/>
      <c r="G1042" s="234"/>
      <c r="H1042" s="234"/>
      <c r="I1042" s="234"/>
      <c r="J1042" s="234"/>
    </row>
    <row r="1043" ht="15.75" customHeight="1">
      <c r="A1043" s="234"/>
      <c r="B1043" s="234"/>
      <c r="C1043" s="234"/>
      <c r="D1043" s="234"/>
      <c r="E1043" s="234"/>
      <c r="F1043" s="234"/>
      <c r="G1043" s="234"/>
      <c r="H1043" s="234"/>
      <c r="I1043" s="234"/>
      <c r="J1043" s="234"/>
    </row>
    <row r="1044" ht="15.75" customHeight="1">
      <c r="A1044" s="234"/>
      <c r="B1044" s="234"/>
      <c r="C1044" s="234"/>
      <c r="D1044" s="234"/>
      <c r="E1044" s="234"/>
      <c r="F1044" s="234"/>
      <c r="G1044" s="234"/>
      <c r="H1044" s="234"/>
      <c r="I1044" s="234"/>
      <c r="J1044" s="234"/>
    </row>
    <row r="1045" ht="15.75" customHeight="1">
      <c r="A1045" s="234"/>
      <c r="B1045" s="234"/>
      <c r="C1045" s="234"/>
      <c r="D1045" s="234"/>
      <c r="E1045" s="234"/>
      <c r="F1045" s="234"/>
      <c r="G1045" s="234"/>
      <c r="H1045" s="234"/>
      <c r="I1045" s="234"/>
      <c r="J1045" s="234"/>
    </row>
    <row r="1046" ht="15.75" customHeight="1">
      <c r="A1046" s="234"/>
      <c r="B1046" s="234"/>
      <c r="C1046" s="234"/>
      <c r="D1046" s="234"/>
      <c r="E1046" s="234"/>
      <c r="F1046" s="234"/>
      <c r="G1046" s="234"/>
      <c r="H1046" s="234"/>
      <c r="I1046" s="234"/>
      <c r="J1046" s="234"/>
    </row>
    <row r="1047" ht="15.75" customHeight="1">
      <c r="A1047" s="234"/>
      <c r="B1047" s="234"/>
      <c r="C1047" s="234"/>
      <c r="D1047" s="234"/>
      <c r="E1047" s="234"/>
      <c r="F1047" s="234"/>
      <c r="G1047" s="234"/>
      <c r="H1047" s="234"/>
      <c r="I1047" s="234"/>
      <c r="J1047" s="234"/>
    </row>
    <row r="1048" ht="15.75" customHeight="1">
      <c r="A1048" s="234"/>
      <c r="B1048" s="234"/>
      <c r="C1048" s="234"/>
      <c r="D1048" s="234"/>
      <c r="E1048" s="234"/>
      <c r="F1048" s="234"/>
      <c r="G1048" s="234"/>
      <c r="H1048" s="234"/>
      <c r="I1048" s="234"/>
      <c r="J1048" s="234"/>
    </row>
    <row r="1049" ht="15.75" customHeight="1">
      <c r="A1049" s="234"/>
      <c r="B1049" s="234"/>
      <c r="C1049" s="234"/>
      <c r="D1049" s="234"/>
      <c r="E1049" s="234"/>
      <c r="F1049" s="234"/>
      <c r="G1049" s="234"/>
      <c r="H1049" s="234"/>
      <c r="I1049" s="234"/>
      <c r="J1049" s="234"/>
    </row>
    <row r="1050" ht="15.75" customHeight="1">
      <c r="A1050" s="234"/>
      <c r="B1050" s="234"/>
      <c r="C1050" s="234"/>
      <c r="D1050" s="234"/>
      <c r="E1050" s="234"/>
      <c r="F1050" s="234"/>
      <c r="G1050" s="234"/>
      <c r="H1050" s="234"/>
      <c r="I1050" s="234"/>
      <c r="J1050" s="234"/>
    </row>
    <row r="1051" ht="15.75" customHeight="1">
      <c r="A1051" s="234"/>
      <c r="B1051" s="234"/>
      <c r="C1051" s="234"/>
      <c r="D1051" s="234"/>
      <c r="E1051" s="234"/>
      <c r="F1051" s="234"/>
      <c r="G1051" s="234"/>
      <c r="H1051" s="234"/>
      <c r="I1051" s="234"/>
      <c r="J1051" s="234"/>
    </row>
    <row r="1052" ht="15.75" customHeight="1">
      <c r="A1052" s="234"/>
      <c r="B1052" s="234"/>
      <c r="C1052" s="234"/>
      <c r="D1052" s="234"/>
      <c r="E1052" s="234"/>
      <c r="F1052" s="234"/>
      <c r="G1052" s="234"/>
      <c r="H1052" s="234"/>
      <c r="I1052" s="234"/>
      <c r="J1052" s="234"/>
    </row>
    <row r="1053" ht="15.75" customHeight="1">
      <c r="A1053" s="234"/>
      <c r="B1053" s="234"/>
      <c r="C1053" s="234"/>
      <c r="D1053" s="234"/>
      <c r="E1053" s="234"/>
      <c r="F1053" s="234"/>
      <c r="G1053" s="234"/>
      <c r="H1053" s="234"/>
      <c r="I1053" s="234"/>
      <c r="J1053" s="234"/>
    </row>
    <row r="1054" ht="15.75" customHeight="1">
      <c r="A1054" s="234"/>
      <c r="B1054" s="234"/>
      <c r="C1054" s="234"/>
      <c r="D1054" s="234"/>
      <c r="E1054" s="234"/>
      <c r="F1054" s="234"/>
      <c r="G1054" s="234"/>
      <c r="H1054" s="234"/>
      <c r="I1054" s="234"/>
      <c r="J1054" s="234"/>
    </row>
    <row r="1055" ht="15.75" customHeight="1">
      <c r="A1055" s="234"/>
      <c r="B1055" s="234"/>
      <c r="C1055" s="234"/>
      <c r="D1055" s="234"/>
      <c r="E1055" s="234"/>
      <c r="F1055" s="234"/>
      <c r="G1055" s="234"/>
      <c r="H1055" s="234"/>
      <c r="I1055" s="234"/>
      <c r="J1055" s="234"/>
    </row>
    <row r="1056" ht="15.75" customHeight="1">
      <c r="A1056" s="234"/>
      <c r="B1056" s="234"/>
      <c r="C1056" s="234"/>
      <c r="D1056" s="234"/>
      <c r="E1056" s="234"/>
      <c r="F1056" s="234"/>
      <c r="G1056" s="234"/>
      <c r="H1056" s="234"/>
      <c r="I1056" s="234"/>
      <c r="J1056" s="234"/>
    </row>
    <row r="1057" ht="15.75" customHeight="1">
      <c r="A1057" s="234"/>
      <c r="B1057" s="234"/>
      <c r="C1057" s="234"/>
      <c r="D1057" s="234"/>
      <c r="E1057" s="234"/>
      <c r="F1057" s="234"/>
      <c r="G1057" s="234"/>
      <c r="H1057" s="234"/>
      <c r="I1057" s="234"/>
      <c r="J1057" s="234"/>
    </row>
    <row r="1058" ht="15.75" customHeight="1">
      <c r="A1058" s="234"/>
      <c r="B1058" s="234"/>
      <c r="C1058" s="234"/>
      <c r="D1058" s="234"/>
      <c r="E1058" s="234"/>
      <c r="F1058" s="234"/>
      <c r="G1058" s="234"/>
      <c r="H1058" s="234"/>
      <c r="I1058" s="234"/>
      <c r="J1058" s="234"/>
    </row>
    <row r="1059" ht="15.75" customHeight="1">
      <c r="A1059" s="234"/>
      <c r="B1059" s="234"/>
      <c r="C1059" s="234"/>
      <c r="D1059" s="234"/>
      <c r="E1059" s="234"/>
      <c r="F1059" s="234"/>
      <c r="G1059" s="234"/>
      <c r="H1059" s="234"/>
      <c r="I1059" s="234"/>
      <c r="J1059" s="234"/>
    </row>
    <row r="1060" ht="15.75" customHeight="1">
      <c r="A1060" s="234"/>
      <c r="B1060" s="234"/>
      <c r="C1060" s="234"/>
      <c r="D1060" s="234"/>
      <c r="E1060" s="234"/>
      <c r="F1060" s="234"/>
      <c r="G1060" s="234"/>
      <c r="H1060" s="234"/>
      <c r="I1060" s="234"/>
      <c r="J1060" s="234"/>
    </row>
    <row r="1061" ht="15.75" customHeight="1">
      <c r="A1061" s="234"/>
      <c r="B1061" s="234"/>
      <c r="C1061" s="234"/>
      <c r="D1061" s="234"/>
      <c r="E1061" s="234"/>
      <c r="F1061" s="234"/>
      <c r="G1061" s="234"/>
      <c r="H1061" s="234"/>
      <c r="I1061" s="234"/>
      <c r="J1061" s="234"/>
    </row>
    <row r="1062" ht="15.75" customHeight="1">
      <c r="A1062" s="234"/>
      <c r="B1062" s="234"/>
      <c r="C1062" s="234"/>
      <c r="D1062" s="234"/>
      <c r="E1062" s="234"/>
      <c r="F1062" s="234"/>
      <c r="G1062" s="234"/>
      <c r="H1062" s="234"/>
      <c r="I1062" s="234"/>
      <c r="J1062" s="234"/>
    </row>
    <row r="1063" ht="15.75" customHeight="1">
      <c r="A1063" s="234"/>
      <c r="B1063" s="234"/>
      <c r="C1063" s="234"/>
      <c r="D1063" s="234"/>
      <c r="E1063" s="234"/>
      <c r="F1063" s="234"/>
      <c r="G1063" s="234"/>
      <c r="H1063" s="234"/>
      <c r="I1063" s="234"/>
      <c r="J1063" s="234"/>
    </row>
    <row r="1064" ht="15.75" customHeight="1">
      <c r="A1064" s="234"/>
      <c r="B1064" s="234"/>
      <c r="C1064" s="234"/>
      <c r="D1064" s="234"/>
      <c r="E1064" s="234"/>
      <c r="F1064" s="234"/>
      <c r="G1064" s="234"/>
      <c r="H1064" s="234"/>
      <c r="I1064" s="234"/>
      <c r="J1064" s="234"/>
    </row>
    <row r="1065" ht="15.75" customHeight="1">
      <c r="A1065" s="234"/>
      <c r="B1065" s="234"/>
      <c r="C1065" s="234"/>
      <c r="D1065" s="234"/>
      <c r="E1065" s="234"/>
      <c r="F1065" s="234"/>
      <c r="G1065" s="234"/>
      <c r="H1065" s="234"/>
      <c r="I1065" s="234"/>
      <c r="J1065" s="234"/>
    </row>
    <row r="1066" ht="15.75" customHeight="1">
      <c r="A1066" s="234"/>
      <c r="B1066" s="234"/>
      <c r="C1066" s="234"/>
      <c r="D1066" s="234"/>
      <c r="E1066" s="234"/>
      <c r="F1066" s="234"/>
      <c r="G1066" s="234"/>
      <c r="H1066" s="234"/>
      <c r="I1066" s="234"/>
      <c r="J1066" s="234"/>
    </row>
    <row r="1067" ht="15.75" customHeight="1">
      <c r="A1067" s="234"/>
      <c r="B1067" s="234"/>
      <c r="C1067" s="234"/>
      <c r="D1067" s="234"/>
      <c r="E1067" s="234"/>
      <c r="F1067" s="234"/>
      <c r="G1067" s="234"/>
      <c r="H1067" s="234"/>
      <c r="I1067" s="234"/>
      <c r="J1067" s="234"/>
    </row>
    <row r="1068" ht="15.75" customHeight="1">
      <c r="A1068" s="234"/>
      <c r="B1068" s="234"/>
      <c r="C1068" s="234"/>
      <c r="D1068" s="234"/>
      <c r="E1068" s="234"/>
      <c r="F1068" s="234"/>
      <c r="G1068" s="234"/>
      <c r="H1068" s="234"/>
      <c r="I1068" s="234"/>
      <c r="J1068" s="234"/>
    </row>
    <row r="1069" ht="15.75" customHeight="1">
      <c r="A1069" s="234"/>
      <c r="B1069" s="234"/>
      <c r="C1069" s="234"/>
      <c r="D1069" s="234"/>
      <c r="E1069" s="234"/>
      <c r="F1069" s="234"/>
      <c r="G1069" s="234"/>
      <c r="H1069" s="234"/>
      <c r="I1069" s="234"/>
      <c r="J1069" s="234"/>
    </row>
    <row r="1070" ht="15.75" customHeight="1">
      <c r="A1070" s="234"/>
      <c r="B1070" s="234"/>
      <c r="C1070" s="234"/>
      <c r="D1070" s="234"/>
      <c r="E1070" s="234"/>
      <c r="F1070" s="234"/>
      <c r="G1070" s="234"/>
      <c r="H1070" s="234"/>
      <c r="I1070" s="234"/>
      <c r="J1070" s="234"/>
    </row>
    <row r="1071" ht="15.75" customHeight="1">
      <c r="A1071" s="234"/>
      <c r="B1071" s="234"/>
      <c r="C1071" s="234"/>
      <c r="D1071" s="234"/>
      <c r="E1071" s="234"/>
      <c r="F1071" s="234"/>
      <c r="G1071" s="234"/>
      <c r="H1071" s="234"/>
      <c r="I1071" s="234"/>
      <c r="J1071" s="234"/>
    </row>
    <row r="1072" ht="15.75" customHeight="1">
      <c r="A1072" s="234"/>
      <c r="B1072" s="234"/>
      <c r="C1072" s="234"/>
      <c r="D1072" s="234"/>
      <c r="E1072" s="234"/>
      <c r="F1072" s="234"/>
      <c r="G1072" s="234"/>
      <c r="H1072" s="234"/>
      <c r="I1072" s="234"/>
      <c r="J1072" s="234"/>
    </row>
    <row r="1073" ht="15.75" customHeight="1">
      <c r="A1073" s="234"/>
      <c r="B1073" s="234"/>
      <c r="C1073" s="234"/>
      <c r="D1073" s="234"/>
      <c r="E1073" s="234"/>
      <c r="F1073" s="234"/>
      <c r="G1073" s="234"/>
      <c r="H1073" s="234"/>
      <c r="I1073" s="234"/>
      <c r="J1073" s="234"/>
    </row>
    <row r="1074" ht="15.75" customHeight="1">
      <c r="A1074" s="234"/>
      <c r="B1074" s="234"/>
      <c r="C1074" s="234"/>
      <c r="D1074" s="234"/>
      <c r="E1074" s="234"/>
      <c r="F1074" s="234"/>
      <c r="G1074" s="234"/>
      <c r="H1074" s="234"/>
      <c r="I1074" s="234"/>
      <c r="J1074" s="234"/>
    </row>
    <row r="1075" ht="15.75" customHeight="1">
      <c r="A1075" s="234"/>
      <c r="B1075" s="234"/>
      <c r="C1075" s="234"/>
      <c r="D1075" s="234"/>
      <c r="E1075" s="234"/>
      <c r="F1075" s="234"/>
      <c r="G1075" s="234"/>
      <c r="H1075" s="234"/>
      <c r="I1075" s="234"/>
      <c r="J1075" s="234"/>
    </row>
    <row r="1076" ht="15.75" customHeight="1">
      <c r="A1076" s="234"/>
      <c r="B1076" s="234"/>
      <c r="C1076" s="234"/>
      <c r="D1076" s="234"/>
      <c r="E1076" s="234"/>
      <c r="F1076" s="234"/>
      <c r="G1076" s="234"/>
      <c r="H1076" s="234"/>
      <c r="I1076" s="234"/>
      <c r="J1076" s="234"/>
    </row>
    <row r="1077" ht="15.75" customHeight="1">
      <c r="A1077" s="234"/>
      <c r="B1077" s="234"/>
      <c r="C1077" s="234"/>
      <c r="D1077" s="234"/>
      <c r="E1077" s="234"/>
      <c r="F1077" s="234"/>
      <c r="G1077" s="234"/>
      <c r="H1077" s="234"/>
      <c r="I1077" s="234"/>
      <c r="J1077" s="234"/>
    </row>
    <row r="1078" ht="15.75" customHeight="1">
      <c r="A1078" s="234"/>
      <c r="B1078" s="234"/>
      <c r="C1078" s="234"/>
      <c r="D1078" s="234"/>
      <c r="E1078" s="234"/>
      <c r="F1078" s="234"/>
      <c r="G1078" s="234"/>
      <c r="H1078" s="234"/>
      <c r="I1078" s="234"/>
      <c r="J1078" s="234"/>
    </row>
    <row r="1079" ht="15.75" customHeight="1">
      <c r="A1079" s="234"/>
      <c r="B1079" s="234"/>
      <c r="C1079" s="234"/>
      <c r="D1079" s="234"/>
      <c r="E1079" s="234"/>
      <c r="F1079" s="234"/>
      <c r="G1079" s="234"/>
      <c r="H1079" s="234"/>
      <c r="I1079" s="234"/>
      <c r="J1079" s="234"/>
    </row>
    <row r="1080" ht="15.75" customHeight="1">
      <c r="A1080" s="234"/>
      <c r="B1080" s="234"/>
      <c r="C1080" s="234"/>
      <c r="D1080" s="234"/>
      <c r="E1080" s="234"/>
      <c r="F1080" s="234"/>
      <c r="G1080" s="234"/>
      <c r="H1080" s="234"/>
      <c r="I1080" s="234"/>
      <c r="J1080" s="234"/>
    </row>
    <row r="1081" ht="15.75" customHeight="1">
      <c r="A1081" s="234"/>
      <c r="B1081" s="234"/>
      <c r="C1081" s="234"/>
      <c r="D1081" s="234"/>
      <c r="E1081" s="234"/>
      <c r="F1081" s="234"/>
      <c r="G1081" s="234"/>
      <c r="H1081" s="234"/>
      <c r="I1081" s="234"/>
      <c r="J1081" s="234"/>
    </row>
    <row r="1082" ht="15.75" customHeight="1">
      <c r="A1082" s="234"/>
      <c r="B1082" s="234"/>
      <c r="C1082" s="234"/>
      <c r="D1082" s="234"/>
      <c r="E1082" s="234"/>
      <c r="F1082" s="234"/>
      <c r="G1082" s="234"/>
      <c r="H1082" s="234"/>
      <c r="I1082" s="234"/>
      <c r="J1082" s="234"/>
    </row>
    <row r="1083" ht="15.75" customHeight="1">
      <c r="A1083" s="234"/>
      <c r="B1083" s="234"/>
      <c r="C1083" s="234"/>
      <c r="D1083" s="234"/>
      <c r="E1083" s="234"/>
      <c r="F1083" s="234"/>
      <c r="G1083" s="234"/>
      <c r="H1083" s="234"/>
      <c r="I1083" s="234"/>
      <c r="J1083" s="234"/>
    </row>
    <row r="1084" ht="15.75" customHeight="1">
      <c r="A1084" s="234"/>
      <c r="B1084" s="234"/>
      <c r="C1084" s="234"/>
      <c r="D1084" s="234"/>
      <c r="E1084" s="234"/>
      <c r="F1084" s="234"/>
      <c r="G1084" s="234"/>
      <c r="H1084" s="234"/>
      <c r="I1084" s="234"/>
      <c r="J1084" s="234"/>
    </row>
    <row r="1085" ht="15.75" customHeight="1">
      <c r="A1085" s="234"/>
      <c r="B1085" s="234"/>
      <c r="C1085" s="234"/>
      <c r="D1085" s="234"/>
      <c r="E1085" s="234"/>
      <c r="F1085" s="234"/>
      <c r="G1085" s="234"/>
      <c r="H1085" s="234"/>
      <c r="I1085" s="234"/>
      <c r="J1085" s="234"/>
    </row>
    <row r="1086" ht="15.75" customHeight="1">
      <c r="A1086" s="234"/>
      <c r="B1086" s="234"/>
      <c r="C1086" s="234"/>
      <c r="D1086" s="234"/>
      <c r="E1086" s="234"/>
      <c r="F1086" s="234"/>
      <c r="G1086" s="234"/>
      <c r="H1086" s="234"/>
      <c r="I1086" s="234"/>
      <c r="J1086" s="234"/>
    </row>
    <row r="1087" ht="15.75" customHeight="1">
      <c r="A1087" s="234"/>
      <c r="B1087" s="234"/>
      <c r="C1087" s="234"/>
      <c r="D1087" s="234"/>
      <c r="E1087" s="234"/>
      <c r="F1087" s="234"/>
      <c r="G1087" s="234"/>
      <c r="H1087" s="234"/>
      <c r="I1087" s="234"/>
      <c r="J1087" s="234"/>
    </row>
    <row r="1088" ht="15.75" customHeight="1">
      <c r="A1088" s="234"/>
      <c r="B1088" s="234"/>
      <c r="C1088" s="234"/>
      <c r="D1088" s="234"/>
      <c r="E1088" s="234"/>
      <c r="F1088" s="234"/>
      <c r="G1088" s="234"/>
      <c r="H1088" s="234"/>
      <c r="I1088" s="234"/>
      <c r="J1088" s="234"/>
    </row>
    <row r="1089" ht="15.75" customHeight="1">
      <c r="A1089" s="234"/>
      <c r="B1089" s="234"/>
      <c r="C1089" s="234"/>
      <c r="D1089" s="234"/>
      <c r="E1089" s="234"/>
      <c r="F1089" s="234"/>
      <c r="G1089" s="234"/>
      <c r="H1089" s="234"/>
      <c r="I1089" s="234"/>
      <c r="J1089" s="234"/>
    </row>
    <row r="1090" ht="15.75" customHeight="1">
      <c r="A1090" s="234"/>
      <c r="B1090" s="234"/>
      <c r="C1090" s="234"/>
      <c r="D1090" s="234"/>
      <c r="E1090" s="234"/>
      <c r="F1090" s="234"/>
      <c r="G1090" s="234"/>
      <c r="H1090" s="234"/>
      <c r="I1090" s="234"/>
      <c r="J1090" s="234"/>
    </row>
    <row r="1091" ht="15.75" customHeight="1">
      <c r="A1091" s="234"/>
      <c r="B1091" s="234"/>
      <c r="C1091" s="234"/>
      <c r="D1091" s="234"/>
      <c r="E1091" s="234"/>
      <c r="F1091" s="234"/>
      <c r="G1091" s="234"/>
      <c r="H1091" s="234"/>
      <c r="I1091" s="234"/>
      <c r="J1091" s="234"/>
    </row>
    <row r="1092" ht="15.75" customHeight="1">
      <c r="A1092" s="234"/>
      <c r="B1092" s="234"/>
      <c r="C1092" s="234"/>
      <c r="D1092" s="234"/>
      <c r="E1092" s="234"/>
      <c r="F1092" s="234"/>
      <c r="G1092" s="234"/>
      <c r="H1092" s="234"/>
      <c r="I1092" s="234"/>
      <c r="J1092" s="234"/>
    </row>
    <row r="1093" ht="15.75" customHeight="1">
      <c r="A1093" s="234"/>
      <c r="B1093" s="234"/>
      <c r="C1093" s="234"/>
      <c r="D1093" s="234"/>
      <c r="E1093" s="234"/>
      <c r="F1093" s="234"/>
      <c r="G1093" s="234"/>
      <c r="H1093" s="234"/>
      <c r="I1093" s="234"/>
      <c r="J1093" s="234"/>
    </row>
    <row r="1094" ht="15.75" customHeight="1">
      <c r="A1094" s="234"/>
      <c r="B1094" s="234"/>
      <c r="C1094" s="234"/>
      <c r="D1094" s="234"/>
      <c r="E1094" s="234"/>
      <c r="F1094" s="234"/>
      <c r="G1094" s="234"/>
      <c r="H1094" s="234"/>
      <c r="I1094" s="234"/>
      <c r="J1094" s="234"/>
    </row>
    <row r="1095" ht="15.75" customHeight="1">
      <c r="A1095" s="234"/>
      <c r="B1095" s="234"/>
      <c r="C1095" s="234"/>
      <c r="D1095" s="234"/>
      <c r="E1095" s="234"/>
      <c r="F1095" s="234"/>
      <c r="G1095" s="234"/>
      <c r="H1095" s="234"/>
      <c r="I1095" s="234"/>
      <c r="J1095" s="234"/>
    </row>
    <row r="1096" ht="15.75" customHeight="1">
      <c r="A1096" s="234"/>
      <c r="B1096" s="234"/>
      <c r="C1096" s="234"/>
      <c r="D1096" s="234"/>
      <c r="E1096" s="234"/>
      <c r="F1096" s="234"/>
      <c r="G1096" s="234"/>
      <c r="H1096" s="234"/>
      <c r="I1096" s="234"/>
      <c r="J1096" s="234"/>
    </row>
    <row r="1097" ht="15.75" customHeight="1">
      <c r="A1097" s="234"/>
      <c r="B1097" s="234"/>
      <c r="C1097" s="234"/>
      <c r="D1097" s="234"/>
      <c r="E1097" s="234"/>
      <c r="F1097" s="234"/>
      <c r="G1097" s="234"/>
      <c r="H1097" s="234"/>
      <c r="I1097" s="234"/>
      <c r="J1097" s="234"/>
    </row>
    <row r="1098" ht="15.75" customHeight="1">
      <c r="A1098" s="234"/>
      <c r="B1098" s="234"/>
      <c r="C1098" s="234"/>
      <c r="D1098" s="234"/>
      <c r="E1098" s="234"/>
      <c r="F1098" s="234"/>
      <c r="G1098" s="234"/>
      <c r="H1098" s="234"/>
      <c r="I1098" s="234"/>
      <c r="J1098" s="234"/>
    </row>
    <row r="1099" ht="15.75" customHeight="1">
      <c r="A1099" s="234"/>
      <c r="B1099" s="234"/>
      <c r="C1099" s="234"/>
      <c r="D1099" s="234"/>
      <c r="E1099" s="234"/>
      <c r="F1099" s="234"/>
      <c r="G1099" s="234"/>
      <c r="H1099" s="234"/>
      <c r="I1099" s="234"/>
      <c r="J1099" s="234"/>
    </row>
    <row r="1100" ht="15.75" customHeight="1">
      <c r="A1100" s="234"/>
      <c r="B1100" s="234"/>
      <c r="C1100" s="234"/>
      <c r="D1100" s="234"/>
      <c r="E1100" s="234"/>
      <c r="F1100" s="234"/>
      <c r="G1100" s="234"/>
      <c r="H1100" s="234"/>
      <c r="I1100" s="234"/>
      <c r="J1100" s="234"/>
    </row>
    <row r="1101" ht="15.75" customHeight="1">
      <c r="A1101" s="234"/>
      <c r="B1101" s="234"/>
      <c r="C1101" s="234"/>
      <c r="D1101" s="234"/>
      <c r="E1101" s="234"/>
      <c r="F1101" s="234"/>
      <c r="G1101" s="234"/>
      <c r="H1101" s="234"/>
      <c r="I1101" s="234"/>
      <c r="J1101" s="234"/>
    </row>
    <row r="1102" ht="15.75" customHeight="1">
      <c r="A1102" s="234"/>
      <c r="B1102" s="234"/>
      <c r="C1102" s="234"/>
      <c r="D1102" s="234"/>
      <c r="E1102" s="234"/>
      <c r="F1102" s="234"/>
      <c r="G1102" s="234"/>
      <c r="H1102" s="234"/>
      <c r="I1102" s="234"/>
      <c r="J1102" s="234"/>
    </row>
    <row r="1103" ht="15.75" customHeight="1">
      <c r="A1103" s="234"/>
      <c r="B1103" s="234"/>
      <c r="C1103" s="234"/>
      <c r="D1103" s="234"/>
      <c r="E1103" s="234"/>
      <c r="F1103" s="234"/>
      <c r="G1103" s="234"/>
      <c r="H1103" s="234"/>
      <c r="I1103" s="234"/>
      <c r="J1103" s="234"/>
    </row>
    <row r="1104" ht="15.75" customHeight="1">
      <c r="A1104" s="234"/>
      <c r="B1104" s="234"/>
      <c r="C1104" s="234"/>
      <c r="D1104" s="234"/>
      <c r="E1104" s="234"/>
      <c r="F1104" s="234"/>
      <c r="G1104" s="234"/>
      <c r="H1104" s="234"/>
      <c r="I1104" s="234"/>
      <c r="J1104" s="234"/>
    </row>
    <row r="1105" ht="15.75" customHeight="1">
      <c r="A1105" s="234"/>
      <c r="B1105" s="234"/>
      <c r="C1105" s="234"/>
      <c r="D1105" s="234"/>
      <c r="E1105" s="234"/>
      <c r="F1105" s="234"/>
      <c r="G1105" s="234"/>
      <c r="H1105" s="234"/>
      <c r="I1105" s="234"/>
      <c r="J1105" s="234"/>
    </row>
    <row r="1106" ht="15.75" customHeight="1">
      <c r="A1106" s="234"/>
      <c r="B1106" s="234"/>
      <c r="C1106" s="234"/>
      <c r="D1106" s="234"/>
      <c r="E1106" s="234"/>
      <c r="F1106" s="234"/>
      <c r="G1106" s="234"/>
      <c r="H1106" s="234"/>
      <c r="I1106" s="234"/>
      <c r="J1106" s="234"/>
    </row>
    <row r="1107" ht="15.75" customHeight="1">
      <c r="A1107" s="234"/>
      <c r="B1107" s="234"/>
      <c r="C1107" s="234"/>
      <c r="D1107" s="234"/>
      <c r="E1107" s="234"/>
      <c r="F1107" s="234"/>
      <c r="G1107" s="234"/>
      <c r="H1107" s="234"/>
      <c r="I1107" s="234"/>
      <c r="J1107" s="234"/>
    </row>
    <row r="1108" ht="15.75" customHeight="1">
      <c r="A1108" s="234"/>
      <c r="B1108" s="234"/>
      <c r="C1108" s="234"/>
      <c r="D1108" s="234"/>
      <c r="E1108" s="234"/>
      <c r="F1108" s="234"/>
      <c r="G1108" s="234"/>
      <c r="H1108" s="234"/>
      <c r="I1108" s="234"/>
      <c r="J1108" s="234"/>
    </row>
    <row r="1109" ht="15.75" customHeight="1">
      <c r="A1109" s="234"/>
      <c r="B1109" s="234"/>
      <c r="C1109" s="234"/>
      <c r="D1109" s="234"/>
      <c r="E1109" s="234"/>
      <c r="F1109" s="234"/>
      <c r="G1109" s="234"/>
      <c r="H1109" s="234"/>
      <c r="I1109" s="234"/>
      <c r="J1109" s="234"/>
    </row>
    <row r="1110" ht="15.75" customHeight="1">
      <c r="A1110" s="234"/>
      <c r="B1110" s="234"/>
      <c r="C1110" s="234"/>
      <c r="D1110" s="234"/>
      <c r="E1110" s="234"/>
      <c r="F1110" s="234"/>
      <c r="G1110" s="234"/>
      <c r="H1110" s="234"/>
      <c r="I1110" s="234"/>
      <c r="J1110" s="234"/>
    </row>
    <row r="1111" ht="15.75" customHeight="1">
      <c r="A1111" s="234"/>
      <c r="B1111" s="234"/>
      <c r="C1111" s="234"/>
      <c r="D1111" s="234"/>
      <c r="E1111" s="234"/>
      <c r="F1111" s="234"/>
      <c r="G1111" s="234"/>
      <c r="H1111" s="234"/>
      <c r="I1111" s="234"/>
      <c r="J1111" s="234"/>
    </row>
    <row r="1112" ht="15.75" customHeight="1">
      <c r="A1112" s="234"/>
      <c r="B1112" s="234"/>
      <c r="C1112" s="234"/>
      <c r="D1112" s="234"/>
      <c r="E1112" s="234"/>
      <c r="F1112" s="234"/>
      <c r="G1112" s="234"/>
      <c r="H1112" s="234"/>
      <c r="I1112" s="234"/>
      <c r="J1112" s="234"/>
    </row>
    <row r="1113" ht="15.75" customHeight="1">
      <c r="A1113" s="234"/>
      <c r="B1113" s="234"/>
      <c r="C1113" s="234"/>
      <c r="D1113" s="234"/>
      <c r="E1113" s="234"/>
      <c r="F1113" s="234"/>
      <c r="G1113" s="234"/>
      <c r="H1113" s="234"/>
      <c r="I1113" s="234"/>
      <c r="J1113" s="234"/>
    </row>
    <row r="1114" ht="15.75" customHeight="1">
      <c r="A1114" s="234"/>
      <c r="B1114" s="234"/>
      <c r="C1114" s="234"/>
      <c r="D1114" s="234"/>
      <c r="E1114" s="234"/>
      <c r="F1114" s="234"/>
      <c r="G1114" s="234"/>
      <c r="H1114" s="234"/>
      <c r="I1114" s="234"/>
      <c r="J1114" s="234"/>
    </row>
    <row r="1115" ht="15.75" customHeight="1">
      <c r="A1115" s="234"/>
      <c r="B1115" s="234"/>
      <c r="C1115" s="234"/>
      <c r="D1115" s="234"/>
      <c r="E1115" s="234"/>
      <c r="F1115" s="234"/>
      <c r="G1115" s="234"/>
      <c r="H1115" s="234"/>
      <c r="I1115" s="234"/>
      <c r="J1115" s="234"/>
    </row>
    <row r="1116" ht="15.75" customHeight="1">
      <c r="A1116" s="234"/>
      <c r="B1116" s="234"/>
      <c r="C1116" s="234"/>
      <c r="D1116" s="234"/>
      <c r="E1116" s="234"/>
      <c r="F1116" s="234"/>
      <c r="G1116" s="234"/>
      <c r="H1116" s="234"/>
      <c r="I1116" s="234"/>
      <c r="J1116" s="234"/>
    </row>
    <row r="1117" ht="15.75" customHeight="1">
      <c r="A1117" s="234"/>
      <c r="B1117" s="234"/>
      <c r="C1117" s="234"/>
      <c r="D1117" s="234"/>
      <c r="E1117" s="234"/>
      <c r="F1117" s="234"/>
      <c r="G1117" s="234"/>
      <c r="H1117" s="234"/>
      <c r="I1117" s="234"/>
      <c r="J1117" s="234"/>
    </row>
    <row r="1118" ht="15.75" customHeight="1">
      <c r="A1118" s="234"/>
      <c r="B1118" s="234"/>
      <c r="C1118" s="234"/>
      <c r="D1118" s="234"/>
      <c r="E1118" s="234"/>
      <c r="F1118" s="234"/>
      <c r="G1118" s="234"/>
      <c r="H1118" s="234"/>
      <c r="I1118" s="234"/>
      <c r="J1118" s="234"/>
    </row>
    <row r="1119" ht="15.75" customHeight="1">
      <c r="A1119" s="234"/>
      <c r="B1119" s="234"/>
      <c r="C1119" s="234"/>
      <c r="D1119" s="234"/>
      <c r="E1119" s="234"/>
      <c r="F1119" s="234"/>
      <c r="G1119" s="234"/>
      <c r="H1119" s="234"/>
      <c r="I1119" s="234"/>
      <c r="J1119" s="234"/>
    </row>
    <row r="1120" ht="15.75" customHeight="1">
      <c r="A1120" s="234"/>
      <c r="B1120" s="234"/>
      <c r="C1120" s="234"/>
      <c r="D1120" s="234"/>
      <c r="E1120" s="234"/>
      <c r="F1120" s="234"/>
      <c r="G1120" s="234"/>
      <c r="H1120" s="234"/>
      <c r="I1120" s="234"/>
      <c r="J1120" s="234"/>
    </row>
    <row r="1121" ht="15.75" customHeight="1">
      <c r="A1121" s="234"/>
      <c r="B1121" s="234"/>
      <c r="C1121" s="234"/>
      <c r="D1121" s="234"/>
      <c r="E1121" s="234"/>
      <c r="F1121" s="234"/>
      <c r="G1121" s="234"/>
      <c r="H1121" s="234"/>
      <c r="I1121" s="234"/>
      <c r="J1121" s="234"/>
    </row>
    <row r="1122" ht="15.75" customHeight="1">
      <c r="A1122" s="234"/>
      <c r="B1122" s="234"/>
      <c r="C1122" s="234"/>
      <c r="D1122" s="234"/>
      <c r="E1122" s="234"/>
      <c r="F1122" s="234"/>
      <c r="G1122" s="234"/>
      <c r="H1122" s="234"/>
      <c r="I1122" s="234"/>
      <c r="J1122" s="234"/>
    </row>
    <row r="1123" ht="15.75" customHeight="1">
      <c r="A1123" s="234"/>
      <c r="B1123" s="234"/>
      <c r="C1123" s="234"/>
      <c r="D1123" s="234"/>
      <c r="E1123" s="234"/>
      <c r="F1123" s="234"/>
      <c r="G1123" s="234"/>
      <c r="H1123" s="234"/>
      <c r="I1123" s="234"/>
      <c r="J1123" s="234"/>
    </row>
    <row r="1124" ht="15.75" customHeight="1">
      <c r="A1124" s="234"/>
      <c r="B1124" s="234"/>
      <c r="C1124" s="234"/>
      <c r="D1124" s="234"/>
      <c r="E1124" s="234"/>
      <c r="F1124" s="234"/>
      <c r="G1124" s="234"/>
      <c r="H1124" s="234"/>
      <c r="I1124" s="234"/>
      <c r="J1124" s="234"/>
    </row>
    <row r="1125" ht="15.75" customHeight="1">
      <c r="A1125" s="234"/>
      <c r="B1125" s="234"/>
      <c r="C1125" s="234"/>
      <c r="D1125" s="234"/>
      <c r="E1125" s="234"/>
      <c r="F1125" s="234"/>
      <c r="G1125" s="234"/>
      <c r="H1125" s="234"/>
      <c r="I1125" s="234"/>
      <c r="J1125" s="234"/>
    </row>
    <row r="1126" ht="15.75" customHeight="1">
      <c r="A1126" s="234"/>
      <c r="B1126" s="234"/>
      <c r="C1126" s="234"/>
      <c r="D1126" s="234"/>
      <c r="E1126" s="234"/>
      <c r="F1126" s="234"/>
      <c r="G1126" s="234"/>
      <c r="H1126" s="234"/>
      <c r="I1126" s="234"/>
      <c r="J1126" s="234"/>
    </row>
    <row r="1127" ht="15.75" customHeight="1">
      <c r="A1127" s="234"/>
      <c r="B1127" s="234"/>
      <c r="C1127" s="234"/>
      <c r="D1127" s="234"/>
      <c r="E1127" s="234"/>
      <c r="F1127" s="234"/>
      <c r="G1127" s="234"/>
      <c r="H1127" s="234"/>
      <c r="I1127" s="234"/>
      <c r="J1127" s="234"/>
    </row>
    <row r="1128" ht="15.75" customHeight="1">
      <c r="A1128" s="234"/>
      <c r="B1128" s="234"/>
      <c r="C1128" s="234"/>
      <c r="D1128" s="234"/>
      <c r="E1128" s="234"/>
      <c r="F1128" s="234"/>
      <c r="G1128" s="234"/>
      <c r="H1128" s="234"/>
      <c r="I1128" s="234"/>
      <c r="J1128" s="234"/>
    </row>
    <row r="1129" ht="15.75" customHeight="1">
      <c r="A1129" s="234"/>
      <c r="B1129" s="234"/>
      <c r="C1129" s="234"/>
      <c r="D1129" s="234"/>
      <c r="E1129" s="234"/>
      <c r="F1129" s="234"/>
      <c r="G1129" s="234"/>
      <c r="H1129" s="234"/>
      <c r="I1129" s="234"/>
      <c r="J1129" s="234"/>
    </row>
    <row r="1130" ht="15.75" customHeight="1">
      <c r="A1130" s="234"/>
      <c r="B1130" s="234"/>
      <c r="C1130" s="234"/>
      <c r="D1130" s="234"/>
      <c r="E1130" s="234"/>
      <c r="F1130" s="234"/>
      <c r="G1130" s="234"/>
      <c r="H1130" s="234"/>
      <c r="I1130" s="234"/>
      <c r="J1130" s="234"/>
    </row>
    <row r="1131" ht="15.75" customHeight="1">
      <c r="A1131" s="234"/>
      <c r="B1131" s="234"/>
      <c r="C1131" s="234"/>
      <c r="D1131" s="234"/>
      <c r="E1131" s="234"/>
      <c r="F1131" s="234"/>
      <c r="G1131" s="234"/>
      <c r="H1131" s="234"/>
      <c r="I1131" s="234"/>
      <c r="J1131" s="234"/>
    </row>
    <row r="1132" ht="15.75" customHeight="1">
      <c r="A1132" s="234"/>
      <c r="B1132" s="234"/>
      <c r="C1132" s="234"/>
      <c r="D1132" s="234"/>
      <c r="E1132" s="234"/>
      <c r="F1132" s="234"/>
      <c r="G1132" s="234"/>
      <c r="H1132" s="234"/>
      <c r="I1132" s="234"/>
      <c r="J1132" s="234"/>
    </row>
    <row r="1133" ht="15.75" customHeight="1">
      <c r="A1133" s="234"/>
      <c r="B1133" s="234"/>
      <c r="C1133" s="234"/>
      <c r="D1133" s="234"/>
      <c r="E1133" s="234"/>
      <c r="F1133" s="234"/>
      <c r="G1133" s="234"/>
      <c r="H1133" s="234"/>
      <c r="I1133" s="234"/>
      <c r="J1133" s="234"/>
    </row>
    <row r="1134" ht="15.75" customHeight="1">
      <c r="A1134" s="234"/>
      <c r="B1134" s="234"/>
      <c r="C1134" s="234"/>
      <c r="D1134" s="234"/>
      <c r="E1134" s="234"/>
      <c r="F1134" s="234"/>
      <c r="G1134" s="234"/>
      <c r="H1134" s="234"/>
      <c r="I1134" s="234"/>
      <c r="J1134" s="234"/>
    </row>
    <row r="1135" ht="15.75" customHeight="1">
      <c r="A1135" s="234"/>
      <c r="B1135" s="234"/>
      <c r="C1135" s="234"/>
      <c r="D1135" s="234"/>
      <c r="E1135" s="234"/>
      <c r="F1135" s="234"/>
      <c r="G1135" s="234"/>
      <c r="H1135" s="234"/>
      <c r="I1135" s="234"/>
      <c r="J1135" s="234"/>
    </row>
    <row r="1136" ht="15.75" customHeight="1">
      <c r="A1136" s="234"/>
      <c r="B1136" s="234"/>
      <c r="C1136" s="234"/>
      <c r="D1136" s="234"/>
      <c r="E1136" s="234"/>
      <c r="F1136" s="234"/>
      <c r="G1136" s="234"/>
      <c r="H1136" s="234"/>
      <c r="I1136" s="234"/>
      <c r="J1136" s="234"/>
    </row>
    <row r="1137" ht="15.75" customHeight="1">
      <c r="A1137" s="234"/>
      <c r="B1137" s="234"/>
      <c r="C1137" s="234"/>
      <c r="D1137" s="234"/>
      <c r="E1137" s="234"/>
      <c r="F1137" s="234"/>
      <c r="G1137" s="234"/>
      <c r="H1137" s="234"/>
      <c r="I1137" s="234"/>
      <c r="J1137" s="234"/>
    </row>
    <row r="1138" ht="15.75" customHeight="1">
      <c r="A1138" s="234"/>
      <c r="B1138" s="234"/>
      <c r="C1138" s="234"/>
      <c r="D1138" s="234"/>
      <c r="E1138" s="234"/>
      <c r="F1138" s="234"/>
      <c r="G1138" s="234"/>
      <c r="H1138" s="234"/>
      <c r="I1138" s="234"/>
      <c r="J1138" s="234"/>
    </row>
    <row r="1139" ht="15.75" customHeight="1">
      <c r="A1139" s="234"/>
      <c r="B1139" s="234"/>
      <c r="C1139" s="234"/>
      <c r="D1139" s="234"/>
      <c r="E1139" s="234"/>
      <c r="F1139" s="234"/>
      <c r="G1139" s="234"/>
      <c r="H1139" s="234"/>
      <c r="I1139" s="234"/>
      <c r="J1139" s="234"/>
    </row>
    <row r="1140" ht="15.75" customHeight="1">
      <c r="A1140" s="234"/>
      <c r="B1140" s="234"/>
      <c r="C1140" s="234"/>
      <c r="D1140" s="234"/>
      <c r="E1140" s="234"/>
      <c r="F1140" s="234"/>
      <c r="G1140" s="234"/>
      <c r="H1140" s="234"/>
      <c r="I1140" s="234"/>
      <c r="J1140" s="234"/>
    </row>
    <row r="1141" ht="15.75" customHeight="1">
      <c r="A1141" s="234"/>
      <c r="B1141" s="234"/>
      <c r="C1141" s="234"/>
      <c r="D1141" s="234"/>
      <c r="E1141" s="234"/>
      <c r="F1141" s="234"/>
      <c r="G1141" s="234"/>
      <c r="H1141" s="234"/>
      <c r="I1141" s="234"/>
      <c r="J1141" s="234"/>
    </row>
    <row r="1142" ht="15.75" customHeight="1">
      <c r="A1142" s="234"/>
      <c r="B1142" s="234"/>
      <c r="C1142" s="234"/>
      <c r="D1142" s="234"/>
      <c r="E1142" s="234"/>
      <c r="F1142" s="234"/>
      <c r="G1142" s="234"/>
      <c r="H1142" s="234"/>
      <c r="I1142" s="234"/>
      <c r="J1142" s="234"/>
    </row>
    <row r="1143" ht="15.75" customHeight="1">
      <c r="A1143" s="234"/>
      <c r="B1143" s="234"/>
      <c r="C1143" s="234"/>
      <c r="D1143" s="234"/>
      <c r="E1143" s="234"/>
      <c r="F1143" s="234"/>
      <c r="G1143" s="234"/>
      <c r="H1143" s="234"/>
      <c r="I1143" s="234"/>
      <c r="J1143" s="234"/>
    </row>
    <row r="1144" ht="15.75" customHeight="1">
      <c r="A1144" s="234"/>
      <c r="B1144" s="234"/>
      <c r="C1144" s="234"/>
      <c r="D1144" s="234"/>
      <c r="E1144" s="234"/>
      <c r="F1144" s="234"/>
      <c r="G1144" s="234"/>
      <c r="H1144" s="234"/>
      <c r="I1144" s="234"/>
      <c r="J1144" s="234"/>
    </row>
    <row r="1145" ht="15.75" customHeight="1">
      <c r="A1145" s="234"/>
      <c r="B1145" s="234"/>
      <c r="C1145" s="234"/>
      <c r="D1145" s="234"/>
      <c r="E1145" s="234"/>
      <c r="F1145" s="234"/>
      <c r="G1145" s="234"/>
      <c r="H1145" s="234"/>
      <c r="I1145" s="234"/>
      <c r="J1145" s="234"/>
    </row>
    <row r="1146" ht="15.75" customHeight="1">
      <c r="A1146" s="234"/>
      <c r="B1146" s="234"/>
      <c r="C1146" s="234"/>
      <c r="D1146" s="234"/>
      <c r="E1146" s="234"/>
      <c r="F1146" s="234"/>
      <c r="G1146" s="234"/>
      <c r="H1146" s="234"/>
      <c r="I1146" s="234"/>
      <c r="J1146" s="234"/>
    </row>
    <row r="1147" ht="15.75" customHeight="1">
      <c r="A1147" s="234"/>
      <c r="B1147" s="234"/>
      <c r="C1147" s="234"/>
      <c r="D1147" s="234"/>
      <c r="E1147" s="234"/>
      <c r="F1147" s="234"/>
      <c r="G1147" s="234"/>
      <c r="H1147" s="234"/>
      <c r="I1147" s="234"/>
      <c r="J1147" s="234"/>
    </row>
    <row r="1148" ht="15.75" customHeight="1">
      <c r="A1148" s="234"/>
      <c r="B1148" s="234"/>
      <c r="C1148" s="234"/>
      <c r="D1148" s="234"/>
      <c r="E1148" s="234"/>
      <c r="F1148" s="234"/>
      <c r="G1148" s="234"/>
      <c r="H1148" s="234"/>
      <c r="I1148" s="234"/>
      <c r="J1148" s="234"/>
    </row>
    <row r="1149" ht="15.75" customHeight="1">
      <c r="A1149" s="234"/>
      <c r="B1149" s="234"/>
      <c r="C1149" s="234"/>
      <c r="D1149" s="234"/>
      <c r="E1149" s="234"/>
      <c r="F1149" s="234"/>
      <c r="G1149" s="234"/>
      <c r="H1149" s="234"/>
      <c r="I1149" s="234"/>
      <c r="J1149" s="234"/>
    </row>
    <row r="1150" ht="15.75" customHeight="1">
      <c r="A1150" s="234"/>
      <c r="B1150" s="234"/>
      <c r="C1150" s="234"/>
      <c r="D1150" s="234"/>
      <c r="E1150" s="234"/>
      <c r="F1150" s="234"/>
      <c r="G1150" s="234"/>
      <c r="H1150" s="234"/>
      <c r="I1150" s="234"/>
      <c r="J1150" s="234"/>
    </row>
    <row r="1151" ht="15.75" customHeight="1">
      <c r="A1151" s="234"/>
      <c r="B1151" s="234"/>
      <c r="C1151" s="234"/>
      <c r="D1151" s="234"/>
      <c r="E1151" s="234"/>
      <c r="F1151" s="234"/>
      <c r="G1151" s="234"/>
      <c r="H1151" s="234"/>
      <c r="I1151" s="234"/>
      <c r="J1151" s="234"/>
    </row>
    <row r="1152" ht="15.75" customHeight="1">
      <c r="A1152" s="234"/>
      <c r="B1152" s="234"/>
      <c r="C1152" s="234"/>
      <c r="D1152" s="234"/>
      <c r="E1152" s="234"/>
      <c r="F1152" s="234"/>
      <c r="G1152" s="234"/>
      <c r="H1152" s="234"/>
      <c r="I1152" s="234"/>
      <c r="J1152" s="234"/>
    </row>
    <row r="1153" ht="15.75" customHeight="1">
      <c r="A1153" s="234"/>
      <c r="B1153" s="234"/>
      <c r="C1153" s="234"/>
      <c r="D1153" s="234"/>
      <c r="E1153" s="234"/>
      <c r="F1153" s="234"/>
      <c r="G1153" s="234"/>
      <c r="H1153" s="234"/>
      <c r="I1153" s="234"/>
      <c r="J1153" s="234"/>
    </row>
    <row r="1154" ht="15.75" customHeight="1">
      <c r="A1154" s="234"/>
      <c r="B1154" s="234"/>
      <c r="C1154" s="234"/>
      <c r="D1154" s="234"/>
      <c r="E1154" s="234"/>
      <c r="F1154" s="234"/>
      <c r="G1154" s="234"/>
      <c r="H1154" s="234"/>
      <c r="I1154" s="234"/>
      <c r="J1154" s="234"/>
    </row>
    <row r="1155" ht="15.75" customHeight="1">
      <c r="A1155" s="234"/>
      <c r="B1155" s="234"/>
      <c r="C1155" s="234"/>
      <c r="D1155" s="234"/>
      <c r="E1155" s="234"/>
      <c r="F1155" s="234"/>
      <c r="G1155" s="234"/>
      <c r="H1155" s="234"/>
      <c r="I1155" s="234"/>
      <c r="J1155" s="234"/>
    </row>
    <row r="1156" ht="15.75" customHeight="1">
      <c r="A1156" s="234"/>
      <c r="B1156" s="234"/>
      <c r="C1156" s="234"/>
      <c r="D1156" s="234"/>
      <c r="E1156" s="234"/>
      <c r="F1156" s="234"/>
      <c r="G1156" s="234"/>
      <c r="H1156" s="234"/>
      <c r="I1156" s="234"/>
      <c r="J1156" s="234"/>
    </row>
    <row r="1157" ht="15.75" customHeight="1">
      <c r="A1157" s="234"/>
      <c r="B1157" s="234"/>
      <c r="C1157" s="234"/>
      <c r="D1157" s="234"/>
      <c r="E1157" s="234"/>
      <c r="F1157" s="234"/>
      <c r="G1157" s="234"/>
      <c r="H1157" s="234"/>
      <c r="I1157" s="234"/>
      <c r="J1157" s="234"/>
    </row>
    <row r="1158" ht="15.75" customHeight="1">
      <c r="A1158" s="234"/>
      <c r="B1158" s="234"/>
      <c r="C1158" s="234"/>
      <c r="D1158" s="234"/>
      <c r="E1158" s="234"/>
      <c r="F1158" s="234"/>
      <c r="G1158" s="234"/>
      <c r="H1158" s="234"/>
      <c r="I1158" s="234"/>
      <c r="J1158" s="234"/>
    </row>
    <row r="1159" ht="15.75" customHeight="1">
      <c r="A1159" s="234"/>
      <c r="B1159" s="234"/>
      <c r="C1159" s="234"/>
      <c r="D1159" s="234"/>
      <c r="E1159" s="234"/>
      <c r="F1159" s="234"/>
      <c r="G1159" s="234"/>
      <c r="H1159" s="234"/>
      <c r="I1159" s="234"/>
      <c r="J1159" s="234"/>
    </row>
    <row r="1160" ht="15.75" customHeight="1">
      <c r="A1160" s="234"/>
      <c r="B1160" s="234"/>
      <c r="C1160" s="234"/>
      <c r="D1160" s="234"/>
      <c r="E1160" s="234"/>
      <c r="F1160" s="234"/>
      <c r="G1160" s="234"/>
      <c r="H1160" s="234"/>
      <c r="I1160" s="234"/>
      <c r="J1160" s="234"/>
    </row>
    <row r="1161" ht="15.75" customHeight="1">
      <c r="A1161" s="234"/>
      <c r="B1161" s="234"/>
      <c r="C1161" s="234"/>
      <c r="D1161" s="234"/>
      <c r="E1161" s="234"/>
      <c r="F1161" s="234"/>
      <c r="G1161" s="234"/>
      <c r="H1161" s="234"/>
      <c r="I1161" s="234"/>
      <c r="J1161" s="234"/>
    </row>
    <row r="1162" ht="15.75" customHeight="1">
      <c r="A1162" s="234"/>
      <c r="B1162" s="234"/>
      <c r="C1162" s="234"/>
      <c r="D1162" s="234"/>
      <c r="E1162" s="234"/>
      <c r="F1162" s="234"/>
      <c r="G1162" s="234"/>
      <c r="H1162" s="234"/>
      <c r="I1162" s="234"/>
      <c r="J1162" s="234"/>
    </row>
    <row r="1163" ht="15.75" customHeight="1">
      <c r="A1163" s="234"/>
      <c r="B1163" s="234"/>
      <c r="C1163" s="234"/>
      <c r="D1163" s="234"/>
      <c r="E1163" s="234"/>
      <c r="F1163" s="234"/>
      <c r="G1163" s="234"/>
      <c r="H1163" s="234"/>
      <c r="I1163" s="234"/>
      <c r="J1163" s="234"/>
    </row>
    <row r="1164" ht="15.75" customHeight="1">
      <c r="A1164" s="234"/>
      <c r="B1164" s="234"/>
      <c r="C1164" s="234"/>
      <c r="D1164" s="234"/>
      <c r="E1164" s="234"/>
      <c r="F1164" s="234"/>
      <c r="G1164" s="234"/>
      <c r="H1164" s="234"/>
      <c r="I1164" s="234"/>
      <c r="J1164" s="234"/>
    </row>
    <row r="1165" ht="15.75" customHeight="1">
      <c r="A1165" s="234"/>
      <c r="B1165" s="234"/>
      <c r="C1165" s="234"/>
      <c r="D1165" s="234"/>
      <c r="E1165" s="234"/>
      <c r="F1165" s="234"/>
      <c r="G1165" s="234"/>
      <c r="H1165" s="234"/>
      <c r="I1165" s="234"/>
      <c r="J1165" s="234"/>
    </row>
    <row r="1166" ht="15.75" customHeight="1">
      <c r="A1166" s="234"/>
      <c r="B1166" s="234"/>
      <c r="C1166" s="234"/>
      <c r="D1166" s="234"/>
      <c r="E1166" s="234"/>
      <c r="F1166" s="234"/>
      <c r="G1166" s="234"/>
      <c r="H1166" s="234"/>
      <c r="I1166" s="234"/>
      <c r="J1166" s="234"/>
    </row>
    <row r="1167" ht="15.75" customHeight="1">
      <c r="A1167" s="234"/>
      <c r="B1167" s="234"/>
      <c r="C1167" s="234"/>
      <c r="D1167" s="234"/>
      <c r="E1167" s="234"/>
      <c r="F1167" s="234"/>
      <c r="G1167" s="234"/>
      <c r="H1167" s="234"/>
      <c r="I1167" s="234"/>
      <c r="J1167" s="234"/>
    </row>
    <row r="1168" ht="15.75" customHeight="1">
      <c r="A1168" s="234"/>
      <c r="B1168" s="234"/>
      <c r="C1168" s="234"/>
      <c r="D1168" s="234"/>
      <c r="E1168" s="234"/>
      <c r="F1168" s="234"/>
      <c r="G1168" s="234"/>
      <c r="H1168" s="234"/>
      <c r="I1168" s="234"/>
      <c r="J1168" s="234"/>
    </row>
    <row r="1169" ht="15.75" customHeight="1">
      <c r="A1169" s="234"/>
      <c r="B1169" s="234"/>
      <c r="C1169" s="234"/>
      <c r="D1169" s="234"/>
      <c r="E1169" s="234"/>
      <c r="F1169" s="234"/>
      <c r="G1169" s="234"/>
      <c r="H1169" s="234"/>
      <c r="I1169" s="234"/>
      <c r="J1169" s="234"/>
    </row>
    <row r="1170" ht="15.75" customHeight="1">
      <c r="A1170" s="234"/>
      <c r="B1170" s="234"/>
      <c r="C1170" s="234"/>
      <c r="D1170" s="234"/>
      <c r="E1170" s="234"/>
      <c r="F1170" s="234"/>
      <c r="G1170" s="234"/>
      <c r="H1170" s="234"/>
      <c r="I1170" s="234"/>
      <c r="J1170" s="234"/>
    </row>
    <row r="1171" ht="15.75" customHeight="1">
      <c r="A1171" s="234"/>
      <c r="B1171" s="234"/>
      <c r="C1171" s="234"/>
      <c r="D1171" s="234"/>
      <c r="E1171" s="234"/>
      <c r="F1171" s="234"/>
      <c r="G1171" s="234"/>
      <c r="H1171" s="234"/>
      <c r="I1171" s="234"/>
      <c r="J1171" s="234"/>
    </row>
    <row r="1172" ht="15.75" customHeight="1">
      <c r="A1172" s="234"/>
      <c r="B1172" s="234"/>
      <c r="C1172" s="234"/>
      <c r="D1172" s="234"/>
      <c r="E1172" s="234"/>
      <c r="F1172" s="234"/>
      <c r="G1172" s="234"/>
      <c r="H1172" s="234"/>
      <c r="I1172" s="234"/>
      <c r="J1172" s="234"/>
    </row>
    <row r="1173" ht="15.75" customHeight="1">
      <c r="A1173" s="234"/>
      <c r="B1173" s="234"/>
      <c r="C1173" s="234"/>
      <c r="D1173" s="234"/>
      <c r="E1173" s="234"/>
      <c r="F1173" s="234"/>
      <c r="G1173" s="234"/>
      <c r="H1173" s="234"/>
      <c r="I1173" s="234"/>
      <c r="J1173" s="234"/>
    </row>
    <row r="1174" ht="15.75" customHeight="1">
      <c r="A1174" s="234"/>
      <c r="B1174" s="234"/>
      <c r="C1174" s="234"/>
      <c r="D1174" s="234"/>
      <c r="E1174" s="234"/>
      <c r="F1174" s="234"/>
      <c r="G1174" s="234"/>
      <c r="H1174" s="234"/>
      <c r="I1174" s="234"/>
      <c r="J1174" s="234"/>
    </row>
    <row r="1175" ht="15.75" customHeight="1">
      <c r="A1175" s="234"/>
      <c r="B1175" s="234"/>
      <c r="C1175" s="234"/>
      <c r="D1175" s="234"/>
      <c r="E1175" s="234"/>
      <c r="F1175" s="234"/>
      <c r="G1175" s="234"/>
      <c r="H1175" s="234"/>
      <c r="I1175" s="234"/>
      <c r="J1175" s="234"/>
    </row>
    <row r="1176" ht="15.75" customHeight="1">
      <c r="A1176" s="234"/>
      <c r="B1176" s="234"/>
      <c r="C1176" s="234"/>
      <c r="D1176" s="234"/>
      <c r="E1176" s="234"/>
      <c r="F1176" s="234"/>
      <c r="G1176" s="234"/>
      <c r="H1176" s="234"/>
      <c r="I1176" s="234"/>
      <c r="J1176" s="234"/>
    </row>
    <row r="1177" ht="15.75" customHeight="1">
      <c r="A1177" s="234"/>
      <c r="B1177" s="234"/>
      <c r="C1177" s="234"/>
      <c r="D1177" s="234"/>
      <c r="E1177" s="234"/>
      <c r="F1177" s="234"/>
      <c r="G1177" s="234"/>
      <c r="H1177" s="234"/>
      <c r="I1177" s="234"/>
      <c r="J1177" s="234"/>
    </row>
    <row r="1178" ht="15.75" customHeight="1">
      <c r="A1178" s="234"/>
      <c r="B1178" s="234"/>
      <c r="C1178" s="234"/>
      <c r="D1178" s="234"/>
      <c r="E1178" s="234"/>
      <c r="F1178" s="234"/>
      <c r="G1178" s="234"/>
      <c r="H1178" s="234"/>
      <c r="I1178" s="234"/>
      <c r="J1178" s="234"/>
    </row>
    <row r="1179" ht="15.75" customHeight="1">
      <c r="A1179" s="234"/>
      <c r="B1179" s="234"/>
      <c r="C1179" s="234"/>
      <c r="D1179" s="234"/>
      <c r="E1179" s="234"/>
      <c r="F1179" s="234"/>
      <c r="G1179" s="234"/>
      <c r="H1179" s="234"/>
      <c r="I1179" s="234"/>
      <c r="J1179" s="234"/>
    </row>
    <row r="1180" ht="15.75" customHeight="1">
      <c r="A1180" s="234"/>
      <c r="B1180" s="234"/>
      <c r="C1180" s="234"/>
      <c r="D1180" s="234"/>
      <c r="E1180" s="234"/>
      <c r="F1180" s="234"/>
      <c r="G1180" s="234"/>
      <c r="H1180" s="234"/>
      <c r="I1180" s="234"/>
      <c r="J1180" s="234"/>
    </row>
    <row r="1181" ht="15.75" customHeight="1">
      <c r="A1181" s="234"/>
      <c r="B1181" s="234"/>
      <c r="C1181" s="234"/>
      <c r="D1181" s="234"/>
      <c r="E1181" s="234"/>
      <c r="F1181" s="234"/>
      <c r="G1181" s="234"/>
      <c r="H1181" s="234"/>
      <c r="I1181" s="234"/>
      <c r="J1181" s="234"/>
    </row>
    <row r="1182" ht="15.75" customHeight="1">
      <c r="A1182" s="234"/>
      <c r="B1182" s="234"/>
      <c r="C1182" s="234"/>
      <c r="D1182" s="234"/>
      <c r="E1182" s="234"/>
      <c r="F1182" s="234"/>
      <c r="G1182" s="234"/>
      <c r="H1182" s="234"/>
      <c r="I1182" s="234"/>
      <c r="J1182" s="234"/>
    </row>
    <row r="1183" ht="15.75" customHeight="1">
      <c r="A1183" s="234"/>
      <c r="B1183" s="234"/>
      <c r="C1183" s="234"/>
      <c r="D1183" s="234"/>
      <c r="E1183" s="234"/>
      <c r="F1183" s="234"/>
      <c r="G1183" s="234"/>
      <c r="H1183" s="234"/>
      <c r="I1183" s="234"/>
      <c r="J1183" s="234"/>
    </row>
    <row r="1184" ht="15.75" customHeight="1">
      <c r="A1184" s="234"/>
      <c r="B1184" s="234"/>
      <c r="C1184" s="234"/>
      <c r="D1184" s="234"/>
      <c r="E1184" s="234"/>
      <c r="F1184" s="234"/>
      <c r="G1184" s="234"/>
      <c r="H1184" s="234"/>
      <c r="I1184" s="234"/>
      <c r="J1184" s="234"/>
    </row>
    <row r="1185" ht="15.75" customHeight="1">
      <c r="A1185" s="234"/>
      <c r="B1185" s="234"/>
      <c r="C1185" s="234"/>
      <c r="D1185" s="234"/>
      <c r="E1185" s="234"/>
      <c r="F1185" s="234"/>
      <c r="G1185" s="234"/>
      <c r="H1185" s="234"/>
      <c r="I1185" s="234"/>
      <c r="J1185" s="234"/>
    </row>
    <row r="1186" ht="15.75" customHeight="1">
      <c r="A1186" s="234"/>
      <c r="B1186" s="234"/>
      <c r="C1186" s="234"/>
      <c r="D1186" s="234"/>
      <c r="E1186" s="234"/>
      <c r="F1186" s="234"/>
      <c r="G1186" s="234"/>
      <c r="H1186" s="234"/>
      <c r="I1186" s="234"/>
      <c r="J1186" s="234"/>
    </row>
    <row r="1187" ht="15.75" customHeight="1">
      <c r="A1187" s="234"/>
      <c r="B1187" s="234"/>
      <c r="C1187" s="234"/>
      <c r="D1187" s="234"/>
      <c r="E1187" s="234"/>
      <c r="F1187" s="234"/>
      <c r="G1187" s="234"/>
      <c r="H1187" s="234"/>
      <c r="I1187" s="234"/>
      <c r="J1187" s="234"/>
    </row>
    <row r="1188" ht="15.75" customHeight="1">
      <c r="A1188" s="234"/>
      <c r="B1188" s="234"/>
      <c r="C1188" s="234"/>
      <c r="D1188" s="234"/>
      <c r="E1188" s="234"/>
      <c r="F1188" s="234"/>
      <c r="G1188" s="234"/>
      <c r="H1188" s="234"/>
      <c r="I1188" s="234"/>
      <c r="J1188" s="234"/>
    </row>
    <row r="1189" ht="15.75" customHeight="1">
      <c r="A1189" s="234"/>
      <c r="B1189" s="234"/>
      <c r="C1189" s="234"/>
      <c r="D1189" s="234"/>
      <c r="E1189" s="234"/>
      <c r="F1189" s="234"/>
      <c r="G1189" s="234"/>
      <c r="H1189" s="234"/>
      <c r="I1189" s="234"/>
      <c r="J1189" s="234"/>
    </row>
    <row r="1190" ht="15.75" customHeight="1">
      <c r="A1190" s="234"/>
      <c r="B1190" s="234"/>
      <c r="C1190" s="234"/>
      <c r="D1190" s="234"/>
      <c r="E1190" s="234"/>
      <c r="F1190" s="234"/>
      <c r="G1190" s="234"/>
      <c r="H1190" s="234"/>
      <c r="I1190" s="234"/>
      <c r="J1190" s="234"/>
    </row>
    <row r="1191" ht="15.75" customHeight="1">
      <c r="A1191" s="234"/>
      <c r="B1191" s="234"/>
      <c r="C1191" s="234"/>
      <c r="D1191" s="234"/>
      <c r="E1191" s="234"/>
      <c r="F1191" s="234"/>
      <c r="G1191" s="234"/>
      <c r="H1191" s="234"/>
      <c r="I1191" s="234"/>
      <c r="J1191" s="234"/>
    </row>
    <row r="1192" ht="15.75" customHeight="1">
      <c r="A1192" s="234"/>
      <c r="B1192" s="234"/>
      <c r="C1192" s="234"/>
      <c r="D1192" s="234"/>
      <c r="E1192" s="234"/>
      <c r="F1192" s="234"/>
      <c r="G1192" s="234"/>
      <c r="H1192" s="234"/>
      <c r="I1192" s="234"/>
      <c r="J1192" s="234"/>
    </row>
    <row r="1193" ht="15.75" customHeight="1">
      <c r="A1193" s="234"/>
      <c r="B1193" s="234"/>
      <c r="C1193" s="234"/>
      <c r="D1193" s="234"/>
      <c r="E1193" s="234"/>
      <c r="F1193" s="234"/>
      <c r="G1193" s="234"/>
      <c r="H1193" s="234"/>
      <c r="I1193" s="234"/>
      <c r="J1193" s="234"/>
    </row>
    <row r="1194" ht="15.75" customHeight="1">
      <c r="A1194" s="234"/>
      <c r="B1194" s="234"/>
      <c r="C1194" s="234"/>
      <c r="D1194" s="234"/>
      <c r="E1194" s="234"/>
      <c r="F1194" s="234"/>
      <c r="G1194" s="234"/>
      <c r="H1194" s="234"/>
      <c r="I1194" s="234"/>
      <c r="J1194" s="234"/>
    </row>
    <row r="1195" ht="15.75" customHeight="1">
      <c r="A1195" s="234"/>
      <c r="B1195" s="234"/>
      <c r="C1195" s="234"/>
      <c r="D1195" s="234"/>
      <c r="E1195" s="234"/>
      <c r="F1195" s="234"/>
      <c r="G1195" s="234"/>
      <c r="H1195" s="234"/>
      <c r="I1195" s="234"/>
      <c r="J1195" s="234"/>
    </row>
    <row r="1196" ht="15.75" customHeight="1">
      <c r="A1196" s="234"/>
      <c r="B1196" s="234"/>
      <c r="C1196" s="234"/>
      <c r="D1196" s="234"/>
      <c r="E1196" s="234"/>
      <c r="F1196" s="234"/>
      <c r="G1196" s="234"/>
      <c r="H1196" s="234"/>
      <c r="I1196" s="234"/>
      <c r="J1196" s="234"/>
    </row>
    <row r="1197" ht="15.75" customHeight="1">
      <c r="A1197" s="234"/>
      <c r="B1197" s="234"/>
      <c r="C1197" s="234"/>
      <c r="D1197" s="234"/>
      <c r="E1197" s="234"/>
      <c r="F1197" s="234"/>
      <c r="G1197" s="234"/>
      <c r="H1197" s="234"/>
      <c r="I1197" s="234"/>
      <c r="J1197" s="234"/>
    </row>
    <row r="1198" ht="15.75" customHeight="1">
      <c r="A1198" s="234"/>
      <c r="B1198" s="234"/>
      <c r="C1198" s="234"/>
      <c r="D1198" s="234"/>
      <c r="E1198" s="234"/>
      <c r="F1198" s="234"/>
      <c r="G1198" s="234"/>
      <c r="H1198" s="234"/>
      <c r="I1198" s="234"/>
      <c r="J1198" s="234"/>
    </row>
    <row r="1199" ht="15.75" customHeight="1">
      <c r="A1199" s="234"/>
      <c r="B1199" s="234"/>
      <c r="C1199" s="234"/>
      <c r="D1199" s="234"/>
      <c r="E1199" s="234"/>
      <c r="F1199" s="234"/>
      <c r="G1199" s="234"/>
      <c r="H1199" s="234"/>
      <c r="I1199" s="234"/>
      <c r="J1199" s="234"/>
    </row>
    <row r="1200" ht="15.75" customHeight="1">
      <c r="A1200" s="234"/>
      <c r="B1200" s="234"/>
      <c r="C1200" s="234"/>
      <c r="D1200" s="234"/>
      <c r="E1200" s="234"/>
      <c r="F1200" s="234"/>
      <c r="G1200" s="234"/>
      <c r="H1200" s="234"/>
      <c r="I1200" s="234"/>
      <c r="J1200" s="234"/>
    </row>
    <row r="1201" ht="15.75" customHeight="1">
      <c r="A1201" s="234"/>
      <c r="B1201" s="234"/>
      <c r="C1201" s="234"/>
      <c r="D1201" s="234"/>
      <c r="E1201" s="234"/>
      <c r="F1201" s="234"/>
      <c r="G1201" s="234"/>
      <c r="H1201" s="234"/>
      <c r="I1201" s="234"/>
      <c r="J1201" s="234"/>
    </row>
    <row r="1202" ht="15.75" customHeight="1">
      <c r="A1202" s="234"/>
      <c r="B1202" s="234"/>
      <c r="C1202" s="234"/>
      <c r="D1202" s="234"/>
      <c r="E1202" s="234"/>
      <c r="F1202" s="234"/>
      <c r="G1202" s="234"/>
      <c r="H1202" s="234"/>
      <c r="I1202" s="234"/>
      <c r="J1202" s="234"/>
    </row>
    <row r="1203" ht="15.75" customHeight="1">
      <c r="A1203" s="234"/>
      <c r="B1203" s="234"/>
      <c r="C1203" s="234"/>
      <c r="D1203" s="234"/>
      <c r="E1203" s="234"/>
      <c r="F1203" s="234"/>
      <c r="G1203" s="234"/>
      <c r="H1203" s="234"/>
      <c r="I1203" s="234"/>
      <c r="J1203" s="234"/>
    </row>
    <row r="1204" ht="15.75" customHeight="1">
      <c r="A1204" s="234"/>
      <c r="B1204" s="234"/>
      <c r="C1204" s="234"/>
      <c r="D1204" s="234"/>
      <c r="E1204" s="234"/>
      <c r="F1204" s="234"/>
      <c r="G1204" s="234"/>
      <c r="H1204" s="234"/>
      <c r="I1204" s="234"/>
      <c r="J1204" s="234"/>
    </row>
    <row r="1205" ht="15.75" customHeight="1">
      <c r="A1205" s="234"/>
      <c r="B1205" s="234"/>
      <c r="C1205" s="234"/>
      <c r="D1205" s="234"/>
      <c r="E1205" s="234"/>
      <c r="F1205" s="234"/>
      <c r="G1205" s="234"/>
      <c r="H1205" s="234"/>
      <c r="I1205" s="234"/>
      <c r="J1205" s="234"/>
    </row>
    <row r="1206" ht="15.75" customHeight="1">
      <c r="A1206" s="234"/>
      <c r="B1206" s="234"/>
      <c r="C1206" s="234"/>
      <c r="D1206" s="234"/>
      <c r="E1206" s="234"/>
      <c r="F1206" s="234"/>
      <c r="G1206" s="234"/>
      <c r="H1206" s="234"/>
      <c r="I1206" s="234"/>
      <c r="J1206" s="234"/>
    </row>
    <row r="1207" ht="15.75" customHeight="1">
      <c r="A1207" s="234"/>
      <c r="B1207" s="234"/>
      <c r="C1207" s="234"/>
      <c r="D1207" s="234"/>
      <c r="E1207" s="234"/>
      <c r="F1207" s="234"/>
      <c r="G1207" s="234"/>
      <c r="H1207" s="234"/>
      <c r="I1207" s="234"/>
      <c r="J1207" s="234"/>
    </row>
    <row r="1208" ht="15.75" customHeight="1">
      <c r="A1208" s="234"/>
      <c r="B1208" s="234"/>
      <c r="C1208" s="234"/>
      <c r="D1208" s="234"/>
      <c r="E1208" s="234"/>
      <c r="F1208" s="234"/>
      <c r="G1208" s="234"/>
      <c r="H1208" s="234"/>
      <c r="I1208" s="234"/>
      <c r="J1208" s="234"/>
    </row>
    <row r="1209" ht="15.75" customHeight="1">
      <c r="A1209" s="234"/>
      <c r="B1209" s="234"/>
      <c r="C1209" s="234"/>
      <c r="D1209" s="234"/>
      <c r="E1209" s="234"/>
      <c r="F1209" s="234"/>
      <c r="G1209" s="234"/>
      <c r="H1209" s="234"/>
      <c r="I1209" s="234"/>
      <c r="J1209" s="234"/>
    </row>
    <row r="1210" ht="15.75" customHeight="1">
      <c r="A1210" s="234"/>
      <c r="B1210" s="234"/>
      <c r="C1210" s="234"/>
      <c r="D1210" s="234"/>
      <c r="E1210" s="234"/>
      <c r="F1210" s="234"/>
      <c r="G1210" s="234"/>
      <c r="H1210" s="234"/>
      <c r="I1210" s="234"/>
      <c r="J1210" s="234"/>
    </row>
    <row r="1211" ht="15.75" customHeight="1">
      <c r="A1211" s="234"/>
      <c r="B1211" s="234"/>
      <c r="C1211" s="234"/>
      <c r="D1211" s="234"/>
      <c r="E1211" s="234"/>
      <c r="F1211" s="234"/>
      <c r="G1211" s="234"/>
      <c r="H1211" s="234"/>
      <c r="I1211" s="234"/>
      <c r="J1211" s="234"/>
    </row>
    <row r="1212" ht="15.75" customHeight="1">
      <c r="A1212" s="234"/>
      <c r="B1212" s="234"/>
      <c r="C1212" s="234"/>
      <c r="D1212" s="234"/>
      <c r="E1212" s="234"/>
      <c r="F1212" s="234"/>
      <c r="G1212" s="234"/>
      <c r="H1212" s="234"/>
      <c r="I1212" s="234"/>
      <c r="J1212" s="234"/>
    </row>
    <row r="1213" ht="15.75" customHeight="1">
      <c r="A1213" s="234"/>
      <c r="B1213" s="234"/>
      <c r="C1213" s="234"/>
      <c r="D1213" s="234"/>
      <c r="E1213" s="234"/>
      <c r="F1213" s="234"/>
      <c r="G1213" s="234"/>
      <c r="H1213" s="234"/>
      <c r="I1213" s="234"/>
      <c r="J1213" s="234"/>
    </row>
    <row r="1214" ht="15.75" customHeight="1">
      <c r="A1214" s="234"/>
      <c r="B1214" s="234"/>
      <c r="C1214" s="234"/>
      <c r="D1214" s="234"/>
      <c r="E1214" s="234"/>
      <c r="F1214" s="234"/>
      <c r="G1214" s="234"/>
      <c r="H1214" s="234"/>
      <c r="I1214" s="234"/>
      <c r="J1214" s="234"/>
    </row>
    <row r="1215" ht="15.75" customHeight="1">
      <c r="A1215" s="234"/>
      <c r="B1215" s="234"/>
      <c r="C1215" s="234"/>
      <c r="D1215" s="234"/>
      <c r="E1215" s="234"/>
      <c r="F1215" s="234"/>
      <c r="G1215" s="234"/>
      <c r="H1215" s="234"/>
      <c r="I1215" s="234"/>
      <c r="J1215" s="234"/>
    </row>
    <row r="1216" ht="15.75" customHeight="1">
      <c r="A1216" s="234"/>
      <c r="B1216" s="234"/>
      <c r="C1216" s="234"/>
      <c r="D1216" s="234"/>
      <c r="E1216" s="234"/>
      <c r="F1216" s="234"/>
      <c r="G1216" s="234"/>
      <c r="H1216" s="234"/>
      <c r="I1216" s="234"/>
      <c r="J1216" s="234"/>
    </row>
    <row r="1217" ht="15.75" customHeight="1">
      <c r="A1217" s="234"/>
      <c r="B1217" s="234"/>
      <c r="C1217" s="234"/>
      <c r="D1217" s="234"/>
      <c r="E1217" s="234"/>
      <c r="F1217" s="234"/>
      <c r="G1217" s="234"/>
      <c r="H1217" s="234"/>
      <c r="I1217" s="234"/>
      <c r="J1217" s="234"/>
    </row>
    <row r="1218" ht="15.75" customHeight="1">
      <c r="A1218" s="234"/>
      <c r="B1218" s="234"/>
      <c r="C1218" s="234"/>
      <c r="D1218" s="234"/>
      <c r="E1218" s="234"/>
      <c r="F1218" s="234"/>
      <c r="G1218" s="234"/>
      <c r="H1218" s="234"/>
      <c r="I1218" s="234"/>
      <c r="J1218" s="234"/>
    </row>
    <row r="1219" ht="15.75" customHeight="1">
      <c r="A1219" s="234"/>
      <c r="B1219" s="234"/>
      <c r="C1219" s="234"/>
      <c r="D1219" s="234"/>
      <c r="E1219" s="234"/>
      <c r="F1219" s="234"/>
      <c r="G1219" s="234"/>
      <c r="H1219" s="234"/>
      <c r="I1219" s="234"/>
      <c r="J1219" s="234"/>
    </row>
    <row r="1220" ht="15.75" customHeight="1">
      <c r="A1220" s="234"/>
      <c r="B1220" s="234"/>
      <c r="C1220" s="234"/>
      <c r="D1220" s="234"/>
      <c r="E1220" s="234"/>
      <c r="F1220" s="234"/>
      <c r="G1220" s="234"/>
      <c r="H1220" s="234"/>
      <c r="I1220" s="234"/>
      <c r="J1220" s="234"/>
    </row>
    <row r="1221" ht="15.75" customHeight="1">
      <c r="A1221" s="234"/>
      <c r="B1221" s="234"/>
      <c r="C1221" s="234"/>
      <c r="D1221" s="234"/>
      <c r="E1221" s="234"/>
      <c r="F1221" s="234"/>
      <c r="G1221" s="234"/>
      <c r="H1221" s="234"/>
      <c r="I1221" s="234"/>
      <c r="J1221" s="234"/>
    </row>
    <row r="1222" ht="15.75" customHeight="1">
      <c r="A1222" s="234"/>
      <c r="B1222" s="234"/>
      <c r="C1222" s="234"/>
      <c r="D1222" s="234"/>
      <c r="E1222" s="234"/>
      <c r="F1222" s="234"/>
      <c r="G1222" s="234"/>
      <c r="H1222" s="234"/>
      <c r="I1222" s="234"/>
      <c r="J1222" s="234"/>
    </row>
    <row r="1223" ht="15.75" customHeight="1">
      <c r="A1223" s="234"/>
      <c r="B1223" s="234"/>
      <c r="C1223" s="234"/>
      <c r="D1223" s="234"/>
      <c r="E1223" s="234"/>
      <c r="F1223" s="234"/>
      <c r="G1223" s="234"/>
      <c r="H1223" s="234"/>
      <c r="I1223" s="234"/>
      <c r="J1223" s="234"/>
    </row>
    <row r="1224" ht="15.75" customHeight="1">
      <c r="A1224" s="234"/>
      <c r="B1224" s="234"/>
      <c r="C1224" s="234"/>
      <c r="D1224" s="234"/>
      <c r="E1224" s="234"/>
      <c r="F1224" s="234"/>
      <c r="G1224" s="234"/>
      <c r="H1224" s="234"/>
      <c r="I1224" s="234"/>
      <c r="J1224" s="234"/>
    </row>
    <row r="1225" ht="15.75" customHeight="1">
      <c r="A1225" s="234"/>
      <c r="B1225" s="234"/>
      <c r="C1225" s="234"/>
      <c r="D1225" s="234"/>
      <c r="E1225" s="234"/>
      <c r="F1225" s="234"/>
      <c r="G1225" s="234"/>
      <c r="H1225" s="234"/>
      <c r="I1225" s="234"/>
      <c r="J1225" s="234"/>
    </row>
    <row r="1226" ht="15.75" customHeight="1">
      <c r="A1226" s="234"/>
      <c r="B1226" s="234"/>
      <c r="C1226" s="234"/>
      <c r="D1226" s="234"/>
      <c r="E1226" s="234"/>
      <c r="F1226" s="234"/>
      <c r="G1226" s="234"/>
      <c r="H1226" s="234"/>
      <c r="I1226" s="234"/>
      <c r="J1226" s="234"/>
    </row>
    <row r="1227" ht="15.75" customHeight="1">
      <c r="A1227" s="234"/>
      <c r="B1227" s="234"/>
      <c r="C1227" s="234"/>
      <c r="D1227" s="234"/>
      <c r="E1227" s="234"/>
      <c r="F1227" s="234"/>
      <c r="G1227" s="234"/>
      <c r="H1227" s="234"/>
      <c r="I1227" s="234"/>
      <c r="J1227" s="234"/>
    </row>
    <row r="1228" ht="15.75" customHeight="1">
      <c r="A1228" s="234"/>
      <c r="B1228" s="234"/>
      <c r="C1228" s="234"/>
      <c r="D1228" s="234"/>
      <c r="E1228" s="234"/>
      <c r="F1228" s="234"/>
      <c r="G1228" s="234"/>
      <c r="H1228" s="234"/>
      <c r="I1228" s="234"/>
      <c r="J1228" s="234"/>
    </row>
    <row r="1229" ht="15.75" customHeight="1">
      <c r="A1229" s="234"/>
      <c r="B1229" s="234"/>
      <c r="C1229" s="234"/>
      <c r="D1229" s="234"/>
      <c r="E1229" s="234"/>
      <c r="F1229" s="234"/>
      <c r="G1229" s="234"/>
      <c r="H1229" s="234"/>
      <c r="I1229" s="234"/>
      <c r="J1229" s="234"/>
    </row>
    <row r="1230" ht="15.75" customHeight="1">
      <c r="A1230" s="234"/>
      <c r="B1230" s="234"/>
      <c r="C1230" s="234"/>
      <c r="D1230" s="234"/>
      <c r="E1230" s="234"/>
      <c r="F1230" s="234"/>
      <c r="G1230" s="234"/>
      <c r="H1230" s="234"/>
      <c r="I1230" s="234"/>
      <c r="J1230" s="234"/>
    </row>
    <row r="1231" ht="15.75" customHeight="1">
      <c r="A1231" s="234"/>
      <c r="B1231" s="234"/>
      <c r="C1231" s="234"/>
      <c r="D1231" s="234"/>
      <c r="E1231" s="234"/>
      <c r="F1231" s="234"/>
      <c r="G1231" s="234"/>
      <c r="H1231" s="234"/>
      <c r="I1231" s="234"/>
      <c r="J1231" s="234"/>
    </row>
    <row r="1232" ht="15.75" customHeight="1">
      <c r="A1232" s="234"/>
      <c r="B1232" s="234"/>
      <c r="C1232" s="234"/>
      <c r="D1232" s="234"/>
      <c r="E1232" s="234"/>
      <c r="F1232" s="234"/>
      <c r="G1232" s="234"/>
      <c r="H1232" s="234"/>
      <c r="I1232" s="234"/>
      <c r="J1232" s="234"/>
    </row>
    <row r="1233" ht="15.75" customHeight="1">
      <c r="A1233" s="234"/>
      <c r="B1233" s="234"/>
      <c r="C1233" s="234"/>
      <c r="D1233" s="234"/>
      <c r="E1233" s="234"/>
      <c r="F1233" s="234"/>
      <c r="G1233" s="234"/>
      <c r="H1233" s="234"/>
      <c r="I1233" s="234"/>
      <c r="J1233" s="234"/>
    </row>
    <row r="1234" ht="15.75" customHeight="1">
      <c r="A1234" s="234"/>
      <c r="B1234" s="234"/>
      <c r="C1234" s="234"/>
      <c r="D1234" s="234"/>
      <c r="E1234" s="234"/>
      <c r="F1234" s="234"/>
      <c r="G1234" s="234"/>
      <c r="H1234" s="234"/>
      <c r="I1234" s="234"/>
      <c r="J1234" s="234"/>
    </row>
    <row r="1235" ht="15.75" customHeight="1">
      <c r="A1235" s="234"/>
      <c r="B1235" s="234"/>
      <c r="C1235" s="234"/>
      <c r="D1235" s="234"/>
      <c r="E1235" s="234"/>
      <c r="F1235" s="234"/>
      <c r="G1235" s="234"/>
      <c r="H1235" s="234"/>
      <c r="I1235" s="234"/>
      <c r="J1235" s="234"/>
    </row>
    <row r="1236" ht="15.75" customHeight="1">
      <c r="A1236" s="234"/>
      <c r="B1236" s="234"/>
      <c r="C1236" s="234"/>
      <c r="D1236" s="234"/>
      <c r="E1236" s="234"/>
      <c r="F1236" s="234"/>
      <c r="G1236" s="234"/>
      <c r="H1236" s="234"/>
      <c r="I1236" s="234"/>
      <c r="J1236" s="234"/>
    </row>
    <row r="1237" ht="15.75" customHeight="1">
      <c r="A1237" s="234"/>
      <c r="B1237" s="234"/>
      <c r="C1237" s="234"/>
      <c r="D1237" s="234"/>
      <c r="E1237" s="234"/>
      <c r="F1237" s="234"/>
      <c r="G1237" s="234"/>
      <c r="H1237" s="234"/>
      <c r="I1237" s="234"/>
      <c r="J1237" s="234"/>
    </row>
    <row r="1238" ht="15.75" customHeight="1">
      <c r="A1238" s="234"/>
      <c r="B1238" s="234"/>
      <c r="C1238" s="234"/>
      <c r="D1238" s="234"/>
      <c r="E1238" s="234"/>
      <c r="F1238" s="234"/>
      <c r="G1238" s="234"/>
      <c r="H1238" s="234"/>
      <c r="I1238" s="234"/>
      <c r="J1238" s="234"/>
    </row>
    <row r="1239" ht="15.75" customHeight="1">
      <c r="A1239" s="234"/>
      <c r="B1239" s="234"/>
      <c r="C1239" s="234"/>
      <c r="D1239" s="234"/>
      <c r="E1239" s="234"/>
      <c r="F1239" s="234"/>
      <c r="G1239" s="234"/>
      <c r="H1239" s="234"/>
      <c r="I1239" s="234"/>
      <c r="J1239" s="234"/>
    </row>
    <row r="1240" ht="15.75" customHeight="1">
      <c r="A1240" s="234"/>
      <c r="B1240" s="234"/>
      <c r="C1240" s="234"/>
      <c r="D1240" s="234"/>
      <c r="E1240" s="234"/>
      <c r="F1240" s="234"/>
      <c r="G1240" s="234"/>
      <c r="H1240" s="234"/>
      <c r="I1240" s="234"/>
      <c r="J1240" s="234"/>
    </row>
    <row r="1241" ht="15.75" customHeight="1">
      <c r="A1241" s="234"/>
      <c r="B1241" s="234"/>
      <c r="C1241" s="234"/>
      <c r="D1241" s="234"/>
      <c r="E1241" s="234"/>
      <c r="F1241" s="234"/>
      <c r="G1241" s="234"/>
      <c r="H1241" s="234"/>
      <c r="I1241" s="234"/>
      <c r="J1241" s="234"/>
    </row>
    <row r="1242" ht="15.75" customHeight="1">
      <c r="A1242" s="234"/>
      <c r="B1242" s="234"/>
      <c r="C1242" s="234"/>
      <c r="D1242" s="234"/>
      <c r="E1242" s="234"/>
      <c r="F1242" s="234"/>
      <c r="G1242" s="234"/>
      <c r="H1242" s="234"/>
      <c r="I1242" s="234"/>
      <c r="J1242" s="234"/>
    </row>
    <row r="1243" ht="15.75" customHeight="1">
      <c r="A1243" s="234"/>
      <c r="B1243" s="234"/>
      <c r="C1243" s="234"/>
      <c r="D1243" s="234"/>
      <c r="E1243" s="234"/>
      <c r="F1243" s="234"/>
      <c r="G1243" s="234"/>
      <c r="H1243" s="234"/>
      <c r="I1243" s="234"/>
      <c r="J1243" s="234"/>
    </row>
    <row r="1244" ht="15.75" customHeight="1">
      <c r="A1244" s="234"/>
      <c r="B1244" s="234"/>
      <c r="C1244" s="234"/>
      <c r="D1244" s="234"/>
      <c r="E1244" s="234"/>
      <c r="F1244" s="234"/>
      <c r="G1244" s="234"/>
      <c r="H1244" s="234"/>
      <c r="I1244" s="234"/>
      <c r="J1244" s="234"/>
    </row>
    <row r="1245" ht="15.75" customHeight="1">
      <c r="A1245" s="234"/>
      <c r="B1245" s="234"/>
      <c r="C1245" s="234"/>
      <c r="D1245" s="234"/>
      <c r="E1245" s="234"/>
      <c r="F1245" s="234"/>
      <c r="G1245" s="234"/>
      <c r="H1245" s="234"/>
      <c r="I1245" s="234"/>
      <c r="J1245" s="234"/>
    </row>
    <row r="1246" ht="15.75" customHeight="1">
      <c r="A1246" s="234"/>
      <c r="B1246" s="234"/>
      <c r="C1246" s="234"/>
      <c r="D1246" s="234"/>
      <c r="E1246" s="234"/>
      <c r="F1246" s="234"/>
      <c r="G1246" s="234"/>
      <c r="H1246" s="234"/>
      <c r="I1246" s="234"/>
      <c r="J1246" s="234"/>
    </row>
    <row r="1247" ht="15.75" customHeight="1">
      <c r="A1247" s="234"/>
      <c r="B1247" s="234"/>
      <c r="C1247" s="234"/>
      <c r="D1247" s="234"/>
      <c r="E1247" s="234"/>
      <c r="F1247" s="234"/>
      <c r="G1247" s="234"/>
      <c r="H1247" s="234"/>
      <c r="I1247" s="234"/>
      <c r="J1247" s="234"/>
    </row>
    <row r="1248" ht="15.75" customHeight="1">
      <c r="A1248" s="234"/>
      <c r="B1248" s="234"/>
      <c r="C1248" s="234"/>
      <c r="D1248" s="234"/>
      <c r="E1248" s="234"/>
      <c r="F1248" s="234"/>
      <c r="G1248" s="234"/>
      <c r="H1248" s="234"/>
      <c r="I1248" s="234"/>
      <c r="J1248" s="234"/>
    </row>
    <row r="1249" ht="15.75" customHeight="1">
      <c r="A1249" s="234"/>
      <c r="B1249" s="234"/>
      <c r="C1249" s="234"/>
      <c r="D1249" s="234"/>
      <c r="E1249" s="234"/>
      <c r="F1249" s="234"/>
      <c r="G1249" s="234"/>
      <c r="H1249" s="234"/>
      <c r="I1249" s="234"/>
      <c r="J1249" s="234"/>
    </row>
    <row r="1250" ht="15.75" customHeight="1">
      <c r="A1250" s="234"/>
      <c r="B1250" s="234"/>
      <c r="C1250" s="234"/>
      <c r="D1250" s="234"/>
      <c r="E1250" s="234"/>
      <c r="F1250" s="234"/>
      <c r="G1250" s="234"/>
      <c r="H1250" s="234"/>
      <c r="I1250" s="234"/>
      <c r="J1250" s="234"/>
    </row>
    <row r="1251" ht="15.75" customHeight="1">
      <c r="A1251" s="234"/>
      <c r="B1251" s="234"/>
      <c r="C1251" s="234"/>
      <c r="D1251" s="234"/>
      <c r="E1251" s="234"/>
      <c r="F1251" s="234"/>
      <c r="G1251" s="234"/>
      <c r="H1251" s="234"/>
      <c r="I1251" s="234"/>
      <c r="J1251" s="234"/>
    </row>
    <row r="1252" ht="15.75" customHeight="1">
      <c r="A1252" s="234"/>
      <c r="B1252" s="234"/>
      <c r="C1252" s="234"/>
      <c r="D1252" s="234"/>
      <c r="E1252" s="234"/>
      <c r="F1252" s="234"/>
      <c r="G1252" s="234"/>
      <c r="H1252" s="234"/>
      <c r="I1252" s="234"/>
      <c r="J1252" s="234"/>
    </row>
    <row r="1253" ht="15.75" customHeight="1">
      <c r="A1253" s="234"/>
      <c r="B1253" s="234"/>
      <c r="C1253" s="234"/>
      <c r="D1253" s="234"/>
      <c r="E1253" s="234"/>
      <c r="F1253" s="234"/>
      <c r="G1253" s="234"/>
      <c r="H1253" s="234"/>
      <c r="I1253" s="234"/>
      <c r="J1253" s="234"/>
    </row>
    <row r="1254" ht="15.75" customHeight="1">
      <c r="A1254" s="234"/>
      <c r="B1254" s="234"/>
      <c r="C1254" s="234"/>
      <c r="D1254" s="234"/>
      <c r="E1254" s="234"/>
      <c r="F1254" s="234"/>
      <c r="G1254" s="234"/>
      <c r="H1254" s="234"/>
      <c r="I1254" s="234"/>
      <c r="J1254" s="234"/>
    </row>
    <row r="1255" ht="15.75" customHeight="1">
      <c r="A1255" s="234"/>
      <c r="B1255" s="234"/>
      <c r="C1255" s="234"/>
      <c r="D1255" s="234"/>
      <c r="E1255" s="234"/>
      <c r="F1255" s="234"/>
      <c r="G1255" s="234"/>
      <c r="H1255" s="234"/>
      <c r="I1255" s="234"/>
      <c r="J1255" s="234"/>
    </row>
    <row r="1256" ht="15.75" customHeight="1">
      <c r="A1256" s="234"/>
      <c r="B1256" s="234"/>
      <c r="C1256" s="234"/>
      <c r="D1256" s="234"/>
      <c r="E1256" s="234"/>
      <c r="F1256" s="234"/>
      <c r="G1256" s="234"/>
      <c r="H1256" s="234"/>
      <c r="I1256" s="234"/>
      <c r="J1256" s="234"/>
    </row>
    <row r="1257" ht="15.75" customHeight="1">
      <c r="A1257" s="234"/>
      <c r="B1257" s="234"/>
      <c r="C1257" s="234"/>
      <c r="D1257" s="234"/>
      <c r="E1257" s="234"/>
      <c r="F1257" s="234"/>
      <c r="G1257" s="234"/>
      <c r="H1257" s="234"/>
      <c r="I1257" s="234"/>
      <c r="J1257" s="234"/>
    </row>
    <row r="1258" ht="15.75" customHeight="1">
      <c r="A1258" s="234"/>
      <c r="B1258" s="234"/>
      <c r="C1258" s="234"/>
      <c r="D1258" s="234"/>
      <c r="E1258" s="234"/>
      <c r="F1258" s="234"/>
      <c r="G1258" s="234"/>
      <c r="H1258" s="234"/>
      <c r="I1258" s="234"/>
      <c r="J1258" s="234"/>
    </row>
    <row r="1259" ht="15.75" customHeight="1">
      <c r="A1259" s="234"/>
      <c r="B1259" s="234"/>
      <c r="C1259" s="234"/>
      <c r="D1259" s="234"/>
      <c r="E1259" s="234"/>
      <c r="F1259" s="234"/>
      <c r="G1259" s="234"/>
      <c r="H1259" s="234"/>
      <c r="I1259" s="234"/>
      <c r="J1259" s="234"/>
    </row>
    <row r="1260" ht="15.75" customHeight="1">
      <c r="A1260" s="234"/>
      <c r="B1260" s="234"/>
      <c r="C1260" s="234"/>
      <c r="D1260" s="234"/>
      <c r="E1260" s="234"/>
      <c r="F1260" s="234"/>
      <c r="G1260" s="234"/>
      <c r="H1260" s="234"/>
      <c r="I1260" s="234"/>
      <c r="J1260" s="234"/>
    </row>
    <row r="1261" ht="15.75" customHeight="1">
      <c r="A1261" s="234"/>
      <c r="B1261" s="234"/>
      <c r="C1261" s="234"/>
      <c r="D1261" s="234"/>
      <c r="E1261" s="234"/>
      <c r="F1261" s="234"/>
      <c r="G1261" s="234"/>
      <c r="H1261" s="234"/>
      <c r="I1261" s="234"/>
      <c r="J1261" s="234"/>
    </row>
    <row r="1262" ht="15.75" customHeight="1">
      <c r="A1262" s="234"/>
      <c r="B1262" s="234"/>
      <c r="C1262" s="234"/>
      <c r="D1262" s="234"/>
      <c r="E1262" s="234"/>
      <c r="F1262" s="234"/>
      <c r="G1262" s="234"/>
      <c r="H1262" s="234"/>
      <c r="I1262" s="234"/>
      <c r="J1262" s="234"/>
    </row>
    <row r="1263" ht="15.75" customHeight="1">
      <c r="A1263" s="234"/>
      <c r="B1263" s="234"/>
      <c r="C1263" s="234"/>
      <c r="D1263" s="234"/>
      <c r="E1263" s="234"/>
      <c r="F1263" s="234"/>
      <c r="G1263" s="234"/>
      <c r="H1263" s="234"/>
      <c r="I1263" s="234"/>
      <c r="J1263" s="234"/>
    </row>
    <row r="1264" ht="15.75" customHeight="1">
      <c r="A1264" s="234"/>
      <c r="B1264" s="234"/>
      <c r="C1264" s="234"/>
      <c r="D1264" s="234"/>
      <c r="E1264" s="234"/>
      <c r="F1264" s="234"/>
      <c r="G1264" s="234"/>
      <c r="H1264" s="234"/>
      <c r="I1264" s="234"/>
      <c r="J1264" s="234"/>
    </row>
    <row r="1265" ht="15.75" customHeight="1">
      <c r="A1265" s="234"/>
      <c r="B1265" s="234"/>
      <c r="C1265" s="234"/>
      <c r="D1265" s="234"/>
      <c r="E1265" s="234"/>
      <c r="F1265" s="234"/>
      <c r="G1265" s="234"/>
      <c r="H1265" s="234"/>
      <c r="I1265" s="234"/>
      <c r="J1265" s="234"/>
    </row>
    <row r="1266" ht="15.75" customHeight="1">
      <c r="A1266" s="234"/>
      <c r="B1266" s="234"/>
      <c r="C1266" s="234"/>
      <c r="D1266" s="234"/>
      <c r="E1266" s="234"/>
      <c r="F1266" s="234"/>
      <c r="G1266" s="234"/>
      <c r="H1266" s="234"/>
      <c r="I1266" s="234"/>
      <c r="J1266" s="234"/>
    </row>
    <row r="1267" ht="15.75" customHeight="1">
      <c r="A1267" s="234"/>
      <c r="B1267" s="234"/>
      <c r="C1267" s="234"/>
      <c r="D1267" s="234"/>
      <c r="E1267" s="234"/>
      <c r="F1267" s="234"/>
      <c r="G1267" s="234"/>
      <c r="H1267" s="234"/>
      <c r="I1267" s="234"/>
      <c r="J1267" s="234"/>
    </row>
    <row r="1268" ht="15.75" customHeight="1">
      <c r="A1268" s="234"/>
      <c r="B1268" s="234"/>
      <c r="C1268" s="234"/>
      <c r="D1268" s="234"/>
      <c r="E1268" s="234"/>
      <c r="F1268" s="234"/>
      <c r="G1268" s="234"/>
      <c r="H1268" s="234"/>
      <c r="I1268" s="234"/>
      <c r="J1268" s="234"/>
    </row>
    <row r="1269" ht="15.75" customHeight="1">
      <c r="A1269" s="234"/>
      <c r="B1269" s="234"/>
      <c r="C1269" s="234"/>
      <c r="D1269" s="234"/>
      <c r="E1269" s="234"/>
      <c r="F1269" s="234"/>
      <c r="G1269" s="234"/>
      <c r="H1269" s="234"/>
      <c r="I1269" s="234"/>
      <c r="J1269" s="234"/>
    </row>
    <row r="1270" ht="15.75" customHeight="1">
      <c r="A1270" s="234"/>
      <c r="B1270" s="234"/>
      <c r="C1270" s="234"/>
      <c r="D1270" s="234"/>
      <c r="E1270" s="234"/>
      <c r="F1270" s="234"/>
      <c r="G1270" s="234"/>
      <c r="H1270" s="234"/>
      <c r="I1270" s="234"/>
      <c r="J1270" s="234"/>
    </row>
    <row r="1271" ht="15.75" customHeight="1">
      <c r="A1271" s="234"/>
      <c r="B1271" s="234"/>
      <c r="C1271" s="234"/>
      <c r="D1271" s="234"/>
      <c r="E1271" s="234"/>
      <c r="F1271" s="234"/>
      <c r="G1271" s="234"/>
      <c r="H1271" s="234"/>
      <c r="I1271" s="234"/>
      <c r="J1271" s="234"/>
    </row>
    <row r="1272" ht="15.75" customHeight="1">
      <c r="A1272" s="234"/>
      <c r="B1272" s="234"/>
      <c r="C1272" s="234"/>
      <c r="D1272" s="234"/>
      <c r="E1272" s="234"/>
      <c r="F1272" s="234"/>
      <c r="G1272" s="234"/>
      <c r="H1272" s="234"/>
      <c r="I1272" s="234"/>
      <c r="J1272" s="234"/>
    </row>
    <row r="1273" ht="15.75" customHeight="1">
      <c r="A1273" s="234"/>
      <c r="B1273" s="234"/>
      <c r="C1273" s="234"/>
      <c r="D1273" s="234"/>
      <c r="E1273" s="234"/>
      <c r="F1273" s="234"/>
      <c r="G1273" s="234"/>
      <c r="H1273" s="234"/>
      <c r="I1273" s="234"/>
      <c r="J1273" s="234"/>
    </row>
    <row r="1274" ht="15.75" customHeight="1">
      <c r="A1274" s="234"/>
      <c r="B1274" s="234"/>
      <c r="C1274" s="234"/>
      <c r="D1274" s="234"/>
      <c r="E1274" s="234"/>
      <c r="F1274" s="234"/>
      <c r="G1274" s="234"/>
      <c r="H1274" s="234"/>
      <c r="I1274" s="234"/>
      <c r="J1274" s="234"/>
    </row>
    <row r="1275" ht="15.75" customHeight="1">
      <c r="A1275" s="234"/>
      <c r="B1275" s="234"/>
      <c r="C1275" s="234"/>
      <c r="D1275" s="234"/>
      <c r="E1275" s="234"/>
      <c r="F1275" s="234"/>
      <c r="G1275" s="234"/>
      <c r="H1275" s="234"/>
      <c r="I1275" s="234"/>
      <c r="J1275" s="234"/>
    </row>
    <row r="1276" ht="15.75" customHeight="1">
      <c r="A1276" s="234"/>
      <c r="B1276" s="234"/>
      <c r="C1276" s="234"/>
      <c r="D1276" s="234"/>
      <c r="E1276" s="234"/>
      <c r="F1276" s="234"/>
      <c r="G1276" s="234"/>
      <c r="H1276" s="234"/>
      <c r="I1276" s="234"/>
      <c r="J1276" s="234"/>
    </row>
    <row r="1277" ht="15.75" customHeight="1">
      <c r="A1277" s="234"/>
      <c r="B1277" s="234"/>
      <c r="C1277" s="234"/>
      <c r="D1277" s="234"/>
      <c r="E1277" s="234"/>
      <c r="F1277" s="234"/>
      <c r="G1277" s="234"/>
      <c r="H1277" s="234"/>
      <c r="I1277" s="234"/>
      <c r="J1277" s="234"/>
    </row>
    <row r="1278" ht="15.75" customHeight="1">
      <c r="A1278" s="234"/>
      <c r="B1278" s="234"/>
      <c r="C1278" s="234"/>
      <c r="D1278" s="234"/>
      <c r="E1278" s="234"/>
      <c r="F1278" s="234"/>
      <c r="G1278" s="234"/>
      <c r="H1278" s="234"/>
      <c r="I1278" s="234"/>
      <c r="J1278" s="234"/>
    </row>
    <row r="1279" ht="15.75" customHeight="1">
      <c r="A1279" s="234"/>
      <c r="B1279" s="234"/>
      <c r="C1279" s="234"/>
      <c r="D1279" s="234"/>
      <c r="E1279" s="234"/>
      <c r="F1279" s="234"/>
      <c r="G1279" s="234"/>
      <c r="H1279" s="234"/>
      <c r="I1279" s="234"/>
      <c r="J1279" s="234"/>
    </row>
    <row r="1280" ht="15.75" customHeight="1">
      <c r="A1280" s="234"/>
      <c r="B1280" s="234"/>
      <c r="C1280" s="234"/>
      <c r="D1280" s="234"/>
      <c r="E1280" s="234"/>
      <c r="F1280" s="234"/>
      <c r="G1280" s="234"/>
      <c r="H1280" s="234"/>
      <c r="I1280" s="234"/>
      <c r="J1280" s="234"/>
    </row>
    <row r="1281" ht="15.75" customHeight="1">
      <c r="A1281" s="234"/>
      <c r="B1281" s="234"/>
      <c r="C1281" s="234"/>
      <c r="D1281" s="234"/>
      <c r="E1281" s="234"/>
      <c r="F1281" s="234"/>
      <c r="G1281" s="234"/>
      <c r="H1281" s="234"/>
      <c r="I1281" s="234"/>
      <c r="J1281" s="234"/>
    </row>
    <row r="1282" ht="15.75" customHeight="1">
      <c r="A1282" s="234"/>
      <c r="B1282" s="234"/>
      <c r="C1282" s="234"/>
      <c r="D1282" s="234"/>
      <c r="E1282" s="234"/>
      <c r="F1282" s="234"/>
      <c r="G1282" s="234"/>
      <c r="H1282" s="234"/>
      <c r="I1282" s="234"/>
      <c r="J1282" s="234"/>
    </row>
    <row r="1283" ht="15.75" customHeight="1">
      <c r="A1283" s="234"/>
      <c r="B1283" s="234"/>
      <c r="C1283" s="234"/>
      <c r="D1283" s="234"/>
      <c r="E1283" s="234"/>
      <c r="F1283" s="234"/>
      <c r="G1283" s="234"/>
      <c r="H1283" s="234"/>
      <c r="I1283" s="234"/>
      <c r="J1283" s="234"/>
    </row>
    <row r="1284" ht="15.75" customHeight="1">
      <c r="A1284" s="234"/>
      <c r="B1284" s="234"/>
      <c r="C1284" s="234"/>
      <c r="D1284" s="234"/>
      <c r="E1284" s="234"/>
      <c r="F1284" s="234"/>
      <c r="G1284" s="234"/>
      <c r="H1284" s="234"/>
      <c r="I1284" s="234"/>
      <c r="J1284" s="234"/>
    </row>
    <row r="1285" ht="15.75" customHeight="1">
      <c r="A1285" s="234"/>
      <c r="B1285" s="234"/>
      <c r="C1285" s="234"/>
      <c r="D1285" s="234"/>
      <c r="E1285" s="234"/>
      <c r="F1285" s="234"/>
      <c r="G1285" s="234"/>
      <c r="H1285" s="234"/>
      <c r="I1285" s="234"/>
      <c r="J1285" s="234"/>
    </row>
    <row r="1286" ht="15.75" customHeight="1">
      <c r="A1286" s="234"/>
      <c r="B1286" s="234"/>
      <c r="C1286" s="234"/>
      <c r="D1286" s="234"/>
      <c r="E1286" s="234"/>
      <c r="F1286" s="234"/>
      <c r="G1286" s="234"/>
      <c r="H1286" s="234"/>
      <c r="I1286" s="234"/>
      <c r="J1286" s="234"/>
    </row>
    <row r="1287" ht="15.75" customHeight="1">
      <c r="A1287" s="234"/>
      <c r="B1287" s="234"/>
      <c r="C1287" s="234"/>
      <c r="D1287" s="234"/>
      <c r="E1287" s="234"/>
      <c r="F1287" s="234"/>
      <c r="G1287" s="234"/>
      <c r="H1287" s="234"/>
      <c r="I1287" s="234"/>
      <c r="J1287" s="234"/>
    </row>
    <row r="1288" ht="15.75" customHeight="1">
      <c r="A1288" s="234"/>
      <c r="B1288" s="234"/>
      <c r="C1288" s="234"/>
      <c r="D1288" s="234"/>
      <c r="E1288" s="234"/>
      <c r="F1288" s="234"/>
      <c r="G1288" s="234"/>
      <c r="H1288" s="234"/>
      <c r="I1288" s="234"/>
      <c r="J1288" s="234"/>
    </row>
    <row r="1289" ht="15.75" customHeight="1">
      <c r="A1289" s="234"/>
      <c r="B1289" s="234"/>
      <c r="C1289" s="234"/>
      <c r="D1289" s="234"/>
      <c r="E1289" s="234"/>
      <c r="F1289" s="234"/>
      <c r="G1289" s="234"/>
      <c r="H1289" s="234"/>
      <c r="I1289" s="234"/>
      <c r="J1289" s="234"/>
    </row>
    <row r="1290" ht="15.75" customHeight="1">
      <c r="A1290" s="234"/>
      <c r="B1290" s="234"/>
      <c r="C1290" s="234"/>
      <c r="D1290" s="234"/>
      <c r="E1290" s="234"/>
      <c r="F1290" s="234"/>
      <c r="G1290" s="234"/>
      <c r="H1290" s="234"/>
      <c r="I1290" s="234"/>
      <c r="J1290" s="234"/>
    </row>
    <row r="1291" ht="15.75" customHeight="1">
      <c r="A1291" s="234"/>
      <c r="B1291" s="234"/>
      <c r="C1291" s="234"/>
      <c r="D1291" s="234"/>
      <c r="E1291" s="234"/>
      <c r="F1291" s="234"/>
      <c r="G1291" s="234"/>
      <c r="H1291" s="234"/>
      <c r="I1291" s="234"/>
      <c r="J1291" s="234"/>
    </row>
    <row r="1292" ht="15.75" customHeight="1">
      <c r="A1292" s="234"/>
      <c r="B1292" s="234"/>
      <c r="C1292" s="234"/>
      <c r="D1292" s="234"/>
      <c r="E1292" s="234"/>
      <c r="F1292" s="234"/>
      <c r="G1292" s="234"/>
      <c r="H1292" s="234"/>
      <c r="I1292" s="234"/>
      <c r="J1292" s="234"/>
    </row>
    <row r="1293" ht="15.75" customHeight="1">
      <c r="A1293" s="234"/>
      <c r="B1293" s="234"/>
      <c r="C1293" s="234"/>
      <c r="D1293" s="234"/>
      <c r="E1293" s="234"/>
      <c r="F1293" s="234"/>
      <c r="G1293" s="234"/>
      <c r="H1293" s="234"/>
      <c r="I1293" s="234"/>
      <c r="J1293" s="234"/>
    </row>
    <row r="1294" ht="15.75" customHeight="1">
      <c r="A1294" s="234"/>
      <c r="B1294" s="234"/>
      <c r="C1294" s="234"/>
      <c r="D1294" s="234"/>
      <c r="E1294" s="234"/>
      <c r="F1294" s="234"/>
      <c r="G1294" s="234"/>
      <c r="H1294" s="234"/>
      <c r="I1294" s="234"/>
      <c r="J1294" s="234"/>
    </row>
    <row r="1295" ht="15.75" customHeight="1">
      <c r="A1295" s="234"/>
      <c r="B1295" s="234"/>
      <c r="C1295" s="234"/>
      <c r="D1295" s="234"/>
      <c r="E1295" s="234"/>
      <c r="F1295" s="234"/>
      <c r="G1295" s="234"/>
      <c r="H1295" s="234"/>
      <c r="I1295" s="234"/>
      <c r="J1295" s="234"/>
    </row>
    <row r="1296" ht="15.75" customHeight="1">
      <c r="A1296" s="234"/>
      <c r="B1296" s="234"/>
      <c r="C1296" s="234"/>
      <c r="D1296" s="234"/>
      <c r="E1296" s="234"/>
      <c r="F1296" s="234"/>
      <c r="G1296" s="234"/>
      <c r="H1296" s="234"/>
      <c r="I1296" s="234"/>
      <c r="J1296" s="234"/>
    </row>
    <row r="1297" ht="15.75" customHeight="1">
      <c r="A1297" s="234"/>
      <c r="B1297" s="234"/>
      <c r="C1297" s="234"/>
      <c r="D1297" s="234"/>
      <c r="E1297" s="234"/>
      <c r="F1297" s="234"/>
      <c r="G1297" s="234"/>
      <c r="H1297" s="234"/>
      <c r="I1297" s="234"/>
      <c r="J1297" s="234"/>
    </row>
    <row r="1298" ht="15.75" customHeight="1">
      <c r="A1298" s="234"/>
      <c r="B1298" s="234"/>
      <c r="C1298" s="234"/>
      <c r="D1298" s="234"/>
      <c r="E1298" s="234"/>
      <c r="F1298" s="234"/>
      <c r="G1298" s="234"/>
      <c r="H1298" s="234"/>
      <c r="I1298" s="234"/>
      <c r="J1298" s="234"/>
    </row>
    <row r="1299" ht="15.75" customHeight="1">
      <c r="A1299" s="234"/>
      <c r="B1299" s="234"/>
      <c r="C1299" s="234"/>
      <c r="D1299" s="234"/>
      <c r="E1299" s="234"/>
      <c r="F1299" s="234"/>
      <c r="G1299" s="234"/>
      <c r="H1299" s="234"/>
      <c r="I1299" s="234"/>
      <c r="J1299" s="234"/>
    </row>
    <row r="1300" ht="15.75" customHeight="1">
      <c r="A1300" s="234"/>
      <c r="B1300" s="234"/>
      <c r="C1300" s="234"/>
      <c r="D1300" s="234"/>
      <c r="E1300" s="234"/>
      <c r="F1300" s="234"/>
      <c r="G1300" s="234"/>
      <c r="H1300" s="234"/>
      <c r="I1300" s="234"/>
      <c r="J1300" s="234"/>
    </row>
    <row r="1301" ht="15.75" customHeight="1">
      <c r="A1301" s="234"/>
      <c r="B1301" s="234"/>
      <c r="C1301" s="234"/>
      <c r="D1301" s="234"/>
      <c r="E1301" s="234"/>
      <c r="F1301" s="234"/>
      <c r="G1301" s="234"/>
      <c r="H1301" s="234"/>
      <c r="I1301" s="234"/>
      <c r="J1301" s="234"/>
    </row>
    <row r="1302" ht="15.75" customHeight="1">
      <c r="A1302" s="234"/>
      <c r="B1302" s="234"/>
      <c r="C1302" s="234"/>
      <c r="D1302" s="234"/>
      <c r="E1302" s="234"/>
      <c r="F1302" s="234"/>
      <c r="G1302" s="234"/>
      <c r="H1302" s="234"/>
      <c r="I1302" s="234"/>
      <c r="J1302" s="234"/>
    </row>
    <row r="1303" ht="15.75" customHeight="1">
      <c r="A1303" s="234"/>
      <c r="B1303" s="234"/>
      <c r="C1303" s="234"/>
      <c r="D1303" s="234"/>
      <c r="E1303" s="234"/>
      <c r="F1303" s="234"/>
      <c r="G1303" s="234"/>
      <c r="H1303" s="234"/>
      <c r="I1303" s="234"/>
      <c r="J1303" s="234"/>
    </row>
    <row r="1304" ht="15.75" customHeight="1">
      <c r="A1304" s="234"/>
      <c r="B1304" s="234"/>
      <c r="C1304" s="234"/>
      <c r="D1304" s="234"/>
      <c r="E1304" s="234"/>
      <c r="F1304" s="234"/>
      <c r="G1304" s="234"/>
      <c r="H1304" s="234"/>
      <c r="I1304" s="234"/>
      <c r="J1304" s="234"/>
    </row>
    <row r="1305" ht="15.75" customHeight="1">
      <c r="A1305" s="234"/>
      <c r="B1305" s="234"/>
      <c r="C1305" s="234"/>
      <c r="D1305" s="234"/>
      <c r="E1305" s="234"/>
      <c r="F1305" s="234"/>
      <c r="G1305" s="234"/>
      <c r="H1305" s="234"/>
      <c r="I1305" s="234"/>
      <c r="J1305" s="234"/>
    </row>
    <row r="1306" ht="15.75" customHeight="1">
      <c r="A1306" s="234"/>
      <c r="B1306" s="234"/>
      <c r="C1306" s="234"/>
      <c r="D1306" s="234"/>
      <c r="E1306" s="234"/>
      <c r="F1306" s="234"/>
      <c r="G1306" s="234"/>
      <c r="H1306" s="234"/>
      <c r="I1306" s="234"/>
      <c r="J1306" s="234"/>
    </row>
    <row r="1307" ht="15.75" customHeight="1">
      <c r="A1307" s="234"/>
      <c r="B1307" s="234"/>
      <c r="C1307" s="234"/>
      <c r="D1307" s="234"/>
      <c r="E1307" s="234"/>
      <c r="F1307" s="234"/>
      <c r="G1307" s="234"/>
      <c r="H1307" s="234"/>
      <c r="I1307" s="234"/>
      <c r="J1307" s="234"/>
    </row>
    <row r="1308" ht="15.75" customHeight="1">
      <c r="A1308" s="234"/>
      <c r="B1308" s="234"/>
      <c r="C1308" s="234"/>
      <c r="D1308" s="234"/>
      <c r="E1308" s="234"/>
      <c r="F1308" s="234"/>
      <c r="G1308" s="234"/>
      <c r="H1308" s="234"/>
      <c r="I1308" s="234"/>
      <c r="J1308" s="234"/>
    </row>
    <row r="1309" ht="15.75" customHeight="1">
      <c r="A1309" s="234"/>
      <c r="B1309" s="234"/>
      <c r="C1309" s="234"/>
      <c r="D1309" s="234"/>
      <c r="E1309" s="234"/>
      <c r="F1309" s="234"/>
      <c r="G1309" s="234"/>
      <c r="H1309" s="234"/>
      <c r="I1309" s="234"/>
      <c r="J1309" s="234"/>
    </row>
    <row r="1310" ht="15.75" customHeight="1">
      <c r="A1310" s="234"/>
      <c r="B1310" s="234"/>
      <c r="C1310" s="234"/>
      <c r="D1310" s="234"/>
      <c r="E1310" s="234"/>
      <c r="F1310" s="234"/>
      <c r="G1310" s="234"/>
      <c r="H1310" s="234"/>
      <c r="I1310" s="234"/>
      <c r="J1310" s="234"/>
    </row>
    <row r="1311" ht="15.75" customHeight="1">
      <c r="A1311" s="234"/>
      <c r="B1311" s="234"/>
      <c r="C1311" s="234"/>
      <c r="D1311" s="234"/>
      <c r="E1311" s="234"/>
      <c r="F1311" s="234"/>
      <c r="G1311" s="234"/>
      <c r="H1311" s="234"/>
      <c r="I1311" s="234"/>
      <c r="J1311" s="234"/>
    </row>
    <row r="1312" ht="15.75" customHeight="1">
      <c r="A1312" s="234"/>
      <c r="B1312" s="234"/>
      <c r="C1312" s="234"/>
      <c r="D1312" s="234"/>
      <c r="E1312" s="234"/>
      <c r="F1312" s="234"/>
      <c r="G1312" s="234"/>
      <c r="H1312" s="234"/>
      <c r="I1312" s="234"/>
      <c r="J1312" s="234"/>
    </row>
    <row r="1313" ht="15.75" customHeight="1">
      <c r="A1313" s="234"/>
      <c r="B1313" s="234"/>
      <c r="C1313" s="234"/>
      <c r="D1313" s="234"/>
      <c r="E1313" s="234"/>
      <c r="F1313" s="234"/>
      <c r="G1313" s="234"/>
      <c r="H1313" s="234"/>
      <c r="I1313" s="234"/>
      <c r="J1313" s="234"/>
    </row>
    <row r="1314" ht="15.75" customHeight="1">
      <c r="A1314" s="234"/>
      <c r="B1314" s="234"/>
      <c r="C1314" s="234"/>
      <c r="D1314" s="234"/>
      <c r="E1314" s="234"/>
      <c r="F1314" s="234"/>
      <c r="G1314" s="234"/>
      <c r="H1314" s="234"/>
      <c r="I1314" s="234"/>
      <c r="J1314" s="234"/>
    </row>
    <row r="1315" ht="15.75" customHeight="1">
      <c r="A1315" s="234"/>
      <c r="B1315" s="234"/>
      <c r="C1315" s="234"/>
      <c r="D1315" s="234"/>
      <c r="E1315" s="234"/>
      <c r="F1315" s="234"/>
      <c r="G1315" s="234"/>
      <c r="H1315" s="234"/>
      <c r="I1315" s="234"/>
      <c r="J1315" s="234"/>
    </row>
    <row r="1316" ht="15.75" customHeight="1">
      <c r="A1316" s="234"/>
      <c r="B1316" s="234"/>
      <c r="C1316" s="234"/>
      <c r="D1316" s="234"/>
      <c r="E1316" s="234"/>
      <c r="F1316" s="234"/>
      <c r="G1316" s="234"/>
      <c r="H1316" s="234"/>
      <c r="I1316" s="234"/>
      <c r="J1316" s="234"/>
    </row>
    <row r="1317" ht="15.75" customHeight="1">
      <c r="A1317" s="234"/>
      <c r="B1317" s="234"/>
      <c r="C1317" s="234"/>
      <c r="D1317" s="234"/>
      <c r="E1317" s="234"/>
      <c r="F1317" s="234"/>
      <c r="G1317" s="234"/>
      <c r="H1317" s="234"/>
      <c r="I1317" s="234"/>
      <c r="J1317" s="234"/>
    </row>
    <row r="1318" ht="15.75" customHeight="1">
      <c r="A1318" s="234"/>
      <c r="B1318" s="234"/>
      <c r="C1318" s="234"/>
      <c r="D1318" s="234"/>
      <c r="E1318" s="234"/>
      <c r="F1318" s="234"/>
      <c r="G1318" s="234"/>
      <c r="H1318" s="234"/>
      <c r="I1318" s="234"/>
      <c r="J1318" s="234"/>
    </row>
    <row r="1319" ht="15.75" customHeight="1">
      <c r="A1319" s="234"/>
      <c r="B1319" s="234"/>
      <c r="C1319" s="234"/>
      <c r="D1319" s="234"/>
      <c r="E1319" s="234"/>
      <c r="F1319" s="234"/>
      <c r="G1319" s="234"/>
      <c r="H1319" s="234"/>
      <c r="I1319" s="234"/>
      <c r="J1319" s="234"/>
    </row>
    <row r="1320" ht="15.75" customHeight="1">
      <c r="A1320" s="234"/>
      <c r="B1320" s="234"/>
      <c r="C1320" s="234"/>
      <c r="D1320" s="234"/>
      <c r="E1320" s="234"/>
      <c r="F1320" s="234"/>
      <c r="G1320" s="234"/>
      <c r="H1320" s="234"/>
      <c r="I1320" s="234"/>
      <c r="J1320" s="234"/>
    </row>
    <row r="1321" ht="15.75" customHeight="1">
      <c r="A1321" s="234"/>
      <c r="B1321" s="234"/>
      <c r="C1321" s="234"/>
      <c r="D1321" s="234"/>
      <c r="E1321" s="234"/>
      <c r="F1321" s="234"/>
      <c r="G1321" s="234"/>
      <c r="H1321" s="234"/>
      <c r="I1321" s="234"/>
      <c r="J1321" s="234"/>
    </row>
    <row r="1322" ht="15.75" customHeight="1">
      <c r="A1322" s="234"/>
      <c r="B1322" s="234"/>
      <c r="C1322" s="234"/>
      <c r="D1322" s="234"/>
      <c r="E1322" s="234"/>
      <c r="F1322" s="234"/>
      <c r="G1322" s="234"/>
      <c r="H1322" s="234"/>
      <c r="I1322" s="234"/>
      <c r="J1322" s="234"/>
    </row>
    <row r="1323" ht="15.75" customHeight="1">
      <c r="A1323" s="234"/>
      <c r="B1323" s="234"/>
      <c r="C1323" s="234"/>
      <c r="D1323" s="234"/>
      <c r="E1323" s="234"/>
      <c r="F1323" s="234"/>
      <c r="G1323" s="234"/>
      <c r="H1323" s="234"/>
      <c r="I1323" s="234"/>
      <c r="J1323" s="234"/>
    </row>
    <row r="1324" ht="15.75" customHeight="1">
      <c r="A1324" s="234"/>
      <c r="B1324" s="234"/>
      <c r="C1324" s="234"/>
      <c r="D1324" s="234"/>
      <c r="E1324" s="234"/>
      <c r="F1324" s="234"/>
      <c r="G1324" s="234"/>
      <c r="H1324" s="234"/>
      <c r="I1324" s="234"/>
      <c r="J1324" s="234"/>
    </row>
    <row r="1325" ht="15.75" customHeight="1">
      <c r="A1325" s="234"/>
      <c r="B1325" s="234"/>
      <c r="C1325" s="234"/>
      <c r="D1325" s="234"/>
      <c r="E1325" s="234"/>
      <c r="F1325" s="234"/>
      <c r="G1325" s="234"/>
      <c r="H1325" s="234"/>
      <c r="I1325" s="234"/>
      <c r="J1325" s="234"/>
    </row>
    <row r="1326" ht="15.75" customHeight="1">
      <c r="A1326" s="234"/>
      <c r="B1326" s="234"/>
      <c r="C1326" s="234"/>
      <c r="D1326" s="234"/>
      <c r="E1326" s="234"/>
      <c r="F1326" s="234"/>
      <c r="G1326" s="234"/>
      <c r="H1326" s="234"/>
      <c r="I1326" s="234"/>
      <c r="J1326" s="234"/>
    </row>
    <row r="1327" ht="15.75" customHeight="1">
      <c r="A1327" s="234"/>
      <c r="B1327" s="234"/>
      <c r="C1327" s="234"/>
      <c r="D1327" s="234"/>
      <c r="E1327" s="234"/>
      <c r="F1327" s="234"/>
      <c r="G1327" s="234"/>
      <c r="H1327" s="234"/>
      <c r="I1327" s="234"/>
      <c r="J1327" s="234"/>
    </row>
    <row r="1328" ht="15.75" customHeight="1">
      <c r="A1328" s="234"/>
      <c r="B1328" s="234"/>
      <c r="C1328" s="234"/>
      <c r="D1328" s="234"/>
      <c r="E1328" s="234"/>
      <c r="F1328" s="234"/>
      <c r="G1328" s="234"/>
      <c r="H1328" s="234"/>
      <c r="I1328" s="234"/>
      <c r="J1328" s="234"/>
    </row>
    <row r="1329" ht="15.75" customHeight="1">
      <c r="A1329" s="234"/>
      <c r="B1329" s="234"/>
      <c r="C1329" s="234"/>
      <c r="D1329" s="234"/>
      <c r="E1329" s="234"/>
      <c r="F1329" s="234"/>
      <c r="G1329" s="234"/>
      <c r="H1329" s="234"/>
      <c r="I1329" s="234"/>
      <c r="J1329" s="234"/>
    </row>
    <row r="1330" ht="15.75" customHeight="1">
      <c r="A1330" s="234"/>
      <c r="B1330" s="234"/>
      <c r="C1330" s="234"/>
      <c r="D1330" s="234"/>
      <c r="E1330" s="234"/>
      <c r="F1330" s="234"/>
      <c r="G1330" s="234"/>
      <c r="H1330" s="234"/>
      <c r="I1330" s="234"/>
      <c r="J1330" s="234"/>
    </row>
    <row r="1331" ht="15.75" customHeight="1">
      <c r="A1331" s="234"/>
      <c r="B1331" s="234"/>
      <c r="C1331" s="234"/>
      <c r="D1331" s="234"/>
      <c r="E1331" s="234"/>
      <c r="F1331" s="234"/>
      <c r="G1331" s="234"/>
      <c r="H1331" s="234"/>
      <c r="I1331" s="234"/>
      <c r="J1331" s="234"/>
    </row>
    <row r="1332" ht="15.75" customHeight="1">
      <c r="A1332" s="234"/>
      <c r="B1332" s="234"/>
      <c r="C1332" s="234"/>
      <c r="D1332" s="234"/>
      <c r="E1332" s="234"/>
      <c r="F1332" s="234"/>
      <c r="G1332" s="234"/>
      <c r="H1332" s="234"/>
      <c r="I1332" s="234"/>
      <c r="J1332" s="234"/>
    </row>
    <row r="1333" ht="15.75" customHeight="1">
      <c r="A1333" s="234"/>
      <c r="B1333" s="234"/>
      <c r="C1333" s="234"/>
      <c r="D1333" s="234"/>
      <c r="E1333" s="234"/>
      <c r="F1333" s="234"/>
      <c r="G1333" s="234"/>
      <c r="H1333" s="234"/>
      <c r="I1333" s="234"/>
      <c r="J1333" s="234"/>
    </row>
    <row r="1334" ht="15.75" customHeight="1">
      <c r="A1334" s="234"/>
      <c r="B1334" s="234"/>
      <c r="C1334" s="234"/>
      <c r="D1334" s="234"/>
      <c r="E1334" s="234"/>
      <c r="F1334" s="234"/>
      <c r="G1334" s="234"/>
      <c r="H1334" s="234"/>
      <c r="I1334" s="234"/>
      <c r="J1334" s="234"/>
    </row>
    <row r="1335" ht="15.75" customHeight="1">
      <c r="A1335" s="234"/>
      <c r="B1335" s="234"/>
      <c r="C1335" s="234"/>
      <c r="D1335" s="234"/>
      <c r="E1335" s="234"/>
      <c r="F1335" s="234"/>
      <c r="G1335" s="234"/>
      <c r="H1335" s="234"/>
      <c r="I1335" s="234"/>
      <c r="J1335" s="234"/>
    </row>
    <row r="1336" ht="15.75" customHeight="1">
      <c r="A1336" s="234"/>
      <c r="B1336" s="234"/>
      <c r="C1336" s="234"/>
      <c r="D1336" s="234"/>
      <c r="E1336" s="234"/>
      <c r="F1336" s="234"/>
      <c r="G1336" s="234"/>
      <c r="H1336" s="234"/>
      <c r="I1336" s="234"/>
      <c r="J1336" s="234"/>
    </row>
    <row r="1337" ht="15.75" customHeight="1">
      <c r="A1337" s="234"/>
      <c r="B1337" s="234"/>
      <c r="C1337" s="234"/>
      <c r="D1337" s="234"/>
      <c r="E1337" s="234"/>
      <c r="F1337" s="234"/>
      <c r="G1337" s="234"/>
      <c r="H1337" s="234"/>
      <c r="I1337" s="234"/>
      <c r="J1337" s="234"/>
    </row>
    <row r="1338" ht="15.75" customHeight="1">
      <c r="A1338" s="234"/>
      <c r="B1338" s="234"/>
      <c r="C1338" s="234"/>
      <c r="D1338" s="234"/>
      <c r="E1338" s="234"/>
      <c r="F1338" s="234"/>
      <c r="G1338" s="234"/>
      <c r="H1338" s="234"/>
      <c r="I1338" s="234"/>
      <c r="J1338" s="234"/>
    </row>
    <row r="1339" ht="15.75" customHeight="1">
      <c r="A1339" s="234"/>
      <c r="B1339" s="234"/>
      <c r="C1339" s="234"/>
      <c r="D1339" s="234"/>
      <c r="E1339" s="234"/>
      <c r="F1339" s="234"/>
      <c r="G1339" s="234"/>
      <c r="H1339" s="234"/>
      <c r="I1339" s="234"/>
      <c r="J1339" s="234"/>
    </row>
    <row r="1340" ht="15.75" customHeight="1">
      <c r="A1340" s="234"/>
      <c r="B1340" s="234"/>
      <c r="C1340" s="234"/>
      <c r="D1340" s="234"/>
      <c r="E1340" s="234"/>
      <c r="F1340" s="234"/>
      <c r="G1340" s="234"/>
      <c r="H1340" s="234"/>
      <c r="I1340" s="234"/>
      <c r="J1340" s="234"/>
    </row>
    <row r="1341" ht="15.75" customHeight="1">
      <c r="A1341" s="234"/>
      <c r="B1341" s="234"/>
      <c r="C1341" s="234"/>
      <c r="D1341" s="234"/>
      <c r="E1341" s="234"/>
      <c r="F1341" s="234"/>
      <c r="G1341" s="234"/>
      <c r="H1341" s="234"/>
      <c r="I1341" s="234"/>
      <c r="J1341" s="234"/>
    </row>
    <row r="1342" ht="15.75" customHeight="1">
      <c r="A1342" s="234"/>
      <c r="B1342" s="234"/>
      <c r="C1342" s="234"/>
      <c r="D1342" s="234"/>
      <c r="E1342" s="234"/>
      <c r="F1342" s="234"/>
      <c r="G1342" s="234"/>
      <c r="H1342" s="234"/>
      <c r="I1342" s="234"/>
      <c r="J1342" s="234"/>
    </row>
    <row r="1343" ht="15.75" customHeight="1">
      <c r="A1343" s="234"/>
      <c r="B1343" s="234"/>
      <c r="C1343" s="234"/>
      <c r="D1343" s="234"/>
      <c r="E1343" s="234"/>
      <c r="F1343" s="234"/>
      <c r="G1343" s="234"/>
      <c r="H1343" s="234"/>
      <c r="I1343" s="234"/>
      <c r="J1343" s="234"/>
    </row>
    <row r="1344" ht="15.75" customHeight="1">
      <c r="A1344" s="234"/>
      <c r="B1344" s="234"/>
      <c r="C1344" s="234"/>
      <c r="D1344" s="234"/>
      <c r="E1344" s="234"/>
      <c r="F1344" s="234"/>
      <c r="G1344" s="234"/>
      <c r="H1344" s="234"/>
      <c r="I1344" s="234"/>
      <c r="J1344" s="234"/>
    </row>
    <row r="1345" ht="15.75" customHeight="1">
      <c r="A1345" s="234"/>
      <c r="B1345" s="234"/>
      <c r="C1345" s="234"/>
      <c r="D1345" s="234"/>
      <c r="E1345" s="234"/>
      <c r="F1345" s="234"/>
      <c r="G1345" s="234"/>
      <c r="H1345" s="234"/>
      <c r="I1345" s="234"/>
      <c r="J1345" s="234"/>
    </row>
    <row r="1346" ht="15.75" customHeight="1">
      <c r="A1346" s="234"/>
      <c r="B1346" s="234"/>
      <c r="C1346" s="234"/>
      <c r="D1346" s="234"/>
      <c r="E1346" s="234"/>
      <c r="F1346" s="234"/>
      <c r="G1346" s="234"/>
      <c r="H1346" s="234"/>
      <c r="I1346" s="234"/>
      <c r="J1346" s="234"/>
    </row>
    <row r="1347" ht="15.75" customHeight="1">
      <c r="A1347" s="234"/>
      <c r="B1347" s="234"/>
      <c r="C1347" s="234"/>
      <c r="D1347" s="234"/>
      <c r="E1347" s="234"/>
      <c r="F1347" s="234"/>
      <c r="G1347" s="234"/>
      <c r="H1347" s="234"/>
      <c r="I1347" s="234"/>
      <c r="J1347" s="234"/>
    </row>
    <row r="1348" ht="15.75" customHeight="1">
      <c r="A1348" s="234"/>
      <c r="B1348" s="234"/>
      <c r="C1348" s="234"/>
      <c r="D1348" s="234"/>
      <c r="E1348" s="234"/>
      <c r="F1348" s="234"/>
      <c r="G1348" s="234"/>
      <c r="H1348" s="234"/>
      <c r="I1348" s="234"/>
      <c r="J1348" s="234"/>
    </row>
    <row r="1349" ht="15.75" customHeight="1">
      <c r="A1349" s="234"/>
      <c r="B1349" s="234"/>
      <c r="C1349" s="234"/>
      <c r="D1349" s="234"/>
      <c r="E1349" s="234"/>
      <c r="F1349" s="234"/>
      <c r="G1349" s="234"/>
      <c r="H1349" s="234"/>
      <c r="I1349" s="234"/>
      <c r="J1349" s="234"/>
    </row>
    <row r="1350" ht="15.75" customHeight="1">
      <c r="A1350" s="234"/>
      <c r="B1350" s="234"/>
      <c r="C1350" s="234"/>
      <c r="D1350" s="234"/>
      <c r="E1350" s="234"/>
      <c r="F1350" s="234"/>
      <c r="G1350" s="234"/>
      <c r="H1350" s="234"/>
      <c r="I1350" s="234"/>
      <c r="J1350" s="234"/>
    </row>
    <row r="1351" ht="15.75" customHeight="1">
      <c r="A1351" s="234"/>
      <c r="B1351" s="234"/>
      <c r="C1351" s="234"/>
      <c r="D1351" s="234"/>
      <c r="E1351" s="234"/>
      <c r="F1351" s="234"/>
      <c r="G1351" s="234"/>
      <c r="H1351" s="234"/>
      <c r="I1351" s="234"/>
      <c r="J1351" s="234"/>
    </row>
    <row r="1352" ht="15.75" customHeight="1">
      <c r="A1352" s="234"/>
      <c r="B1352" s="234"/>
      <c r="C1352" s="234"/>
      <c r="D1352" s="234"/>
      <c r="E1352" s="234"/>
      <c r="F1352" s="234"/>
      <c r="G1352" s="234"/>
      <c r="H1352" s="234"/>
      <c r="I1352" s="234"/>
      <c r="J1352" s="234"/>
    </row>
    <row r="1353" ht="15.75" customHeight="1">
      <c r="A1353" s="234"/>
      <c r="B1353" s="234"/>
      <c r="C1353" s="234"/>
      <c r="D1353" s="234"/>
      <c r="E1353" s="234"/>
      <c r="F1353" s="234"/>
      <c r="G1353" s="234"/>
      <c r="H1353" s="234"/>
      <c r="I1353" s="234"/>
      <c r="J1353" s="234"/>
    </row>
    <row r="1354" ht="15.75" customHeight="1">
      <c r="A1354" s="234"/>
      <c r="B1354" s="234"/>
      <c r="C1354" s="234"/>
      <c r="D1354" s="234"/>
      <c r="E1354" s="234"/>
      <c r="F1354" s="234"/>
      <c r="G1354" s="234"/>
      <c r="H1354" s="234"/>
      <c r="I1354" s="234"/>
      <c r="J1354" s="234"/>
    </row>
    <row r="1355" ht="15.75" customHeight="1">
      <c r="A1355" s="234"/>
      <c r="B1355" s="234"/>
      <c r="C1355" s="234"/>
      <c r="D1355" s="234"/>
      <c r="E1355" s="234"/>
      <c r="F1355" s="234"/>
      <c r="G1355" s="234"/>
      <c r="H1355" s="234"/>
      <c r="I1355" s="234"/>
      <c r="J1355" s="234"/>
    </row>
    <row r="1356" ht="15.75" customHeight="1">
      <c r="A1356" s="234"/>
      <c r="B1356" s="234"/>
      <c r="C1356" s="234"/>
      <c r="D1356" s="234"/>
      <c r="E1356" s="234"/>
      <c r="F1356" s="234"/>
      <c r="G1356" s="234"/>
      <c r="H1356" s="234"/>
      <c r="I1356" s="234"/>
      <c r="J1356" s="234"/>
    </row>
    <row r="1357" ht="15.75" customHeight="1">
      <c r="A1357" s="234"/>
      <c r="B1357" s="234"/>
      <c r="C1357" s="234"/>
      <c r="D1357" s="234"/>
      <c r="E1357" s="234"/>
      <c r="F1357" s="234"/>
      <c r="G1357" s="234"/>
      <c r="H1357" s="234"/>
      <c r="I1357" s="234"/>
      <c r="J1357" s="234"/>
    </row>
    <row r="1358" ht="15.75" customHeight="1">
      <c r="A1358" s="234"/>
      <c r="B1358" s="234"/>
      <c r="C1358" s="234"/>
      <c r="D1358" s="234"/>
      <c r="E1358" s="234"/>
      <c r="F1358" s="234"/>
      <c r="G1358" s="234"/>
      <c r="H1358" s="234"/>
      <c r="I1358" s="234"/>
      <c r="J1358" s="234"/>
    </row>
    <row r="1359" ht="15.75" customHeight="1">
      <c r="A1359" s="234"/>
      <c r="B1359" s="234"/>
      <c r="C1359" s="234"/>
      <c r="D1359" s="234"/>
      <c r="E1359" s="234"/>
      <c r="F1359" s="234"/>
      <c r="G1359" s="234"/>
      <c r="H1359" s="234"/>
      <c r="I1359" s="234"/>
      <c r="J1359" s="234"/>
    </row>
    <row r="1360" ht="15.75" customHeight="1">
      <c r="A1360" s="234"/>
      <c r="B1360" s="234"/>
      <c r="C1360" s="234"/>
      <c r="D1360" s="234"/>
      <c r="E1360" s="234"/>
      <c r="F1360" s="234"/>
      <c r="G1360" s="234"/>
      <c r="H1360" s="234"/>
      <c r="I1360" s="234"/>
      <c r="J1360" s="234"/>
    </row>
    <row r="1361" ht="15.75" customHeight="1">
      <c r="A1361" s="234"/>
      <c r="B1361" s="234"/>
      <c r="C1361" s="234"/>
      <c r="D1361" s="234"/>
      <c r="E1361" s="234"/>
      <c r="F1361" s="234"/>
      <c r="G1361" s="234"/>
      <c r="H1361" s="234"/>
      <c r="I1361" s="234"/>
      <c r="J1361" s="234"/>
    </row>
    <row r="1362" ht="15.75" customHeight="1">
      <c r="A1362" s="234"/>
      <c r="B1362" s="234"/>
      <c r="C1362" s="234"/>
      <c r="D1362" s="234"/>
      <c r="E1362" s="234"/>
      <c r="F1362" s="234"/>
      <c r="G1362" s="234"/>
      <c r="H1362" s="234"/>
      <c r="I1362" s="234"/>
      <c r="J1362" s="234"/>
    </row>
    <row r="1363" ht="15.75" customHeight="1">
      <c r="A1363" s="234"/>
      <c r="B1363" s="234"/>
      <c r="C1363" s="234"/>
      <c r="D1363" s="234"/>
      <c r="E1363" s="234"/>
      <c r="F1363" s="234"/>
      <c r="G1363" s="234"/>
      <c r="H1363" s="234"/>
      <c r="I1363" s="234"/>
      <c r="J1363" s="234"/>
    </row>
    <row r="1364" ht="15.75" customHeight="1">
      <c r="A1364" s="234"/>
      <c r="B1364" s="234"/>
      <c r="C1364" s="234"/>
      <c r="D1364" s="234"/>
      <c r="E1364" s="234"/>
      <c r="F1364" s="234"/>
      <c r="G1364" s="234"/>
      <c r="H1364" s="234"/>
      <c r="I1364" s="234"/>
      <c r="J1364" s="234"/>
    </row>
    <row r="1365" ht="15.75" customHeight="1">
      <c r="A1365" s="234"/>
      <c r="B1365" s="234"/>
      <c r="C1365" s="234"/>
      <c r="D1365" s="234"/>
      <c r="E1365" s="234"/>
      <c r="F1365" s="234"/>
      <c r="G1365" s="234"/>
      <c r="H1365" s="234"/>
      <c r="I1365" s="234"/>
      <c r="J1365" s="234"/>
    </row>
    <row r="1366" ht="15.75" customHeight="1">
      <c r="A1366" s="234"/>
      <c r="B1366" s="234"/>
      <c r="C1366" s="234"/>
      <c r="D1366" s="234"/>
      <c r="E1366" s="234"/>
      <c r="F1366" s="234"/>
      <c r="G1366" s="234"/>
      <c r="H1366" s="234"/>
      <c r="I1366" s="234"/>
      <c r="J1366" s="234"/>
    </row>
    <row r="1367" ht="15.75" customHeight="1">
      <c r="A1367" s="234"/>
      <c r="B1367" s="234"/>
      <c r="C1367" s="234"/>
      <c r="D1367" s="234"/>
      <c r="E1367" s="234"/>
      <c r="F1367" s="234"/>
      <c r="G1367" s="234"/>
      <c r="H1367" s="234"/>
      <c r="I1367" s="234"/>
      <c r="J1367" s="234"/>
    </row>
    <row r="1368" ht="15.75" customHeight="1">
      <c r="A1368" s="234"/>
      <c r="B1368" s="234"/>
      <c r="C1368" s="234"/>
      <c r="D1368" s="234"/>
      <c r="E1368" s="234"/>
      <c r="F1368" s="234"/>
      <c r="G1368" s="234"/>
      <c r="H1368" s="234"/>
      <c r="I1368" s="234"/>
      <c r="J1368" s="234"/>
    </row>
    <row r="1369" ht="15.75" customHeight="1">
      <c r="A1369" s="234"/>
      <c r="B1369" s="234"/>
      <c r="C1369" s="234"/>
      <c r="D1369" s="234"/>
      <c r="E1369" s="234"/>
      <c r="F1369" s="234"/>
      <c r="G1369" s="234"/>
      <c r="H1369" s="234"/>
      <c r="I1369" s="234"/>
      <c r="J1369" s="234"/>
    </row>
    <row r="1370" ht="15.75" customHeight="1">
      <c r="A1370" s="234"/>
      <c r="B1370" s="234"/>
      <c r="C1370" s="234"/>
      <c r="D1370" s="234"/>
      <c r="E1370" s="234"/>
      <c r="F1370" s="234"/>
      <c r="G1370" s="234"/>
      <c r="H1370" s="234"/>
      <c r="I1370" s="234"/>
      <c r="J1370" s="234"/>
    </row>
    <row r="1371" ht="15.75" customHeight="1">
      <c r="A1371" s="234"/>
      <c r="B1371" s="234"/>
      <c r="C1371" s="234"/>
      <c r="D1371" s="234"/>
      <c r="E1371" s="234"/>
      <c r="F1371" s="234"/>
      <c r="G1371" s="234"/>
      <c r="H1371" s="234"/>
      <c r="I1371" s="234"/>
      <c r="J1371" s="234"/>
    </row>
    <row r="1372" ht="15.75" customHeight="1">
      <c r="A1372" s="234"/>
      <c r="B1372" s="234"/>
      <c r="C1372" s="234"/>
      <c r="D1372" s="234"/>
      <c r="E1372" s="234"/>
      <c r="F1372" s="234"/>
      <c r="G1372" s="234"/>
      <c r="H1372" s="234"/>
      <c r="I1372" s="234"/>
      <c r="J1372" s="234"/>
    </row>
    <row r="1373" ht="15.75" customHeight="1">
      <c r="A1373" s="234"/>
      <c r="B1373" s="234"/>
      <c r="C1373" s="234"/>
      <c r="D1373" s="234"/>
      <c r="E1373" s="234"/>
      <c r="F1373" s="234"/>
      <c r="G1373" s="234"/>
      <c r="H1373" s="234"/>
      <c r="I1373" s="234"/>
      <c r="J1373" s="234"/>
    </row>
    <row r="1374" ht="15.75" customHeight="1">
      <c r="A1374" s="234"/>
      <c r="B1374" s="234"/>
      <c r="C1374" s="234"/>
      <c r="D1374" s="234"/>
      <c r="E1374" s="234"/>
      <c r="F1374" s="234"/>
      <c r="G1374" s="234"/>
      <c r="H1374" s="234"/>
      <c r="I1374" s="234"/>
      <c r="J1374" s="234"/>
    </row>
    <row r="1375" ht="15.75" customHeight="1">
      <c r="A1375" s="234"/>
      <c r="B1375" s="234"/>
      <c r="C1375" s="234"/>
      <c r="D1375" s="234"/>
      <c r="E1375" s="234"/>
      <c r="F1375" s="234"/>
      <c r="G1375" s="234"/>
      <c r="H1375" s="234"/>
      <c r="I1375" s="234"/>
      <c r="J1375" s="234"/>
    </row>
    <row r="1376" ht="15.75" customHeight="1">
      <c r="A1376" s="234"/>
      <c r="B1376" s="234"/>
      <c r="C1376" s="234"/>
      <c r="D1376" s="234"/>
      <c r="E1376" s="234"/>
      <c r="F1376" s="234"/>
      <c r="G1376" s="234"/>
      <c r="H1376" s="234"/>
      <c r="I1376" s="234"/>
      <c r="J1376" s="234"/>
    </row>
    <row r="1377" ht="15.75" customHeight="1">
      <c r="A1377" s="234"/>
      <c r="B1377" s="234"/>
      <c r="C1377" s="234"/>
      <c r="D1377" s="234"/>
      <c r="E1377" s="234"/>
      <c r="F1377" s="234"/>
      <c r="G1377" s="234"/>
      <c r="H1377" s="234"/>
      <c r="I1377" s="234"/>
      <c r="J1377" s="234"/>
    </row>
    <row r="1378" ht="15.75" customHeight="1">
      <c r="A1378" s="234"/>
      <c r="B1378" s="234"/>
      <c r="C1378" s="234"/>
      <c r="D1378" s="234"/>
      <c r="E1378" s="234"/>
      <c r="F1378" s="234"/>
      <c r="G1378" s="234"/>
      <c r="H1378" s="234"/>
      <c r="I1378" s="234"/>
      <c r="J1378" s="234"/>
    </row>
    <row r="1379" ht="15.75" customHeight="1">
      <c r="A1379" s="234"/>
      <c r="B1379" s="234"/>
      <c r="C1379" s="234"/>
      <c r="D1379" s="234"/>
      <c r="E1379" s="234"/>
      <c r="F1379" s="234"/>
      <c r="G1379" s="234"/>
      <c r="H1379" s="234"/>
      <c r="I1379" s="234"/>
      <c r="J1379" s="234"/>
    </row>
    <row r="1380" ht="15.75" customHeight="1">
      <c r="A1380" s="234"/>
      <c r="B1380" s="234"/>
      <c r="C1380" s="234"/>
      <c r="D1380" s="234"/>
      <c r="E1380" s="234"/>
      <c r="F1380" s="234"/>
      <c r="G1380" s="234"/>
      <c r="H1380" s="234"/>
      <c r="I1380" s="234"/>
      <c r="J1380" s="234"/>
    </row>
    <row r="1381" ht="15.75" customHeight="1">
      <c r="A1381" s="234"/>
      <c r="B1381" s="234"/>
      <c r="C1381" s="234"/>
      <c r="D1381" s="234"/>
      <c r="E1381" s="234"/>
      <c r="F1381" s="234"/>
      <c r="G1381" s="234"/>
      <c r="H1381" s="234"/>
      <c r="I1381" s="234"/>
      <c r="J1381" s="234"/>
    </row>
    <row r="1382" ht="15.75" customHeight="1">
      <c r="A1382" s="234"/>
      <c r="B1382" s="234"/>
      <c r="C1382" s="234"/>
      <c r="D1382" s="234"/>
      <c r="E1382" s="234"/>
      <c r="F1382" s="234"/>
      <c r="G1382" s="234"/>
      <c r="H1382" s="234"/>
      <c r="I1382" s="234"/>
      <c r="J1382" s="234"/>
    </row>
    <row r="1383" ht="15.75" customHeight="1">
      <c r="A1383" s="234"/>
      <c r="B1383" s="234"/>
      <c r="C1383" s="234"/>
      <c r="D1383" s="234"/>
      <c r="E1383" s="234"/>
      <c r="F1383" s="234"/>
      <c r="G1383" s="234"/>
      <c r="H1383" s="234"/>
      <c r="I1383" s="234"/>
      <c r="J1383" s="234"/>
    </row>
    <row r="1384" ht="15.75" customHeight="1">
      <c r="A1384" s="234"/>
      <c r="B1384" s="234"/>
      <c r="C1384" s="234"/>
      <c r="D1384" s="234"/>
      <c r="E1384" s="234"/>
      <c r="F1384" s="234"/>
      <c r="G1384" s="234"/>
      <c r="H1384" s="234"/>
      <c r="I1384" s="234"/>
      <c r="J1384" s="234"/>
    </row>
    <row r="1385" ht="15.75" customHeight="1">
      <c r="A1385" s="234"/>
      <c r="B1385" s="234"/>
      <c r="C1385" s="234"/>
      <c r="D1385" s="234"/>
      <c r="E1385" s="234"/>
      <c r="F1385" s="234"/>
      <c r="G1385" s="234"/>
      <c r="H1385" s="234"/>
      <c r="I1385" s="234"/>
      <c r="J1385" s="234"/>
    </row>
    <row r="1386" ht="15.75" customHeight="1">
      <c r="A1386" s="234"/>
      <c r="B1386" s="234"/>
      <c r="C1386" s="234"/>
      <c r="D1386" s="234"/>
      <c r="E1386" s="234"/>
      <c r="F1386" s="234"/>
      <c r="G1386" s="234"/>
      <c r="H1386" s="234"/>
      <c r="I1386" s="234"/>
      <c r="J1386" s="234"/>
    </row>
    <row r="1387" ht="15.75" customHeight="1">
      <c r="A1387" s="234"/>
      <c r="B1387" s="234"/>
      <c r="C1387" s="234"/>
      <c r="D1387" s="234"/>
      <c r="E1387" s="234"/>
      <c r="F1387" s="234"/>
      <c r="G1387" s="234"/>
      <c r="H1387" s="234"/>
      <c r="I1387" s="234"/>
      <c r="J1387" s="234"/>
    </row>
    <row r="1388" ht="15.75" customHeight="1">
      <c r="A1388" s="234"/>
      <c r="B1388" s="234"/>
      <c r="C1388" s="234"/>
      <c r="D1388" s="234"/>
      <c r="E1388" s="234"/>
      <c r="F1388" s="234"/>
      <c r="G1388" s="234"/>
      <c r="H1388" s="234"/>
      <c r="I1388" s="234"/>
      <c r="J1388" s="234"/>
    </row>
    <row r="1389" ht="15.75" customHeight="1">
      <c r="A1389" s="234"/>
      <c r="B1389" s="234"/>
      <c r="C1389" s="234"/>
      <c r="D1389" s="234"/>
      <c r="E1389" s="234"/>
      <c r="F1389" s="234"/>
      <c r="G1389" s="234"/>
      <c r="H1389" s="234"/>
      <c r="I1389" s="234"/>
      <c r="J1389" s="234"/>
    </row>
    <row r="1390" ht="15.75" customHeight="1">
      <c r="A1390" s="234"/>
      <c r="B1390" s="234"/>
      <c r="C1390" s="234"/>
      <c r="D1390" s="234"/>
      <c r="E1390" s="234"/>
      <c r="F1390" s="234"/>
      <c r="G1390" s="234"/>
      <c r="H1390" s="234"/>
      <c r="I1390" s="234"/>
      <c r="J1390" s="234"/>
    </row>
    <row r="1391" ht="15.75" customHeight="1">
      <c r="A1391" s="234"/>
      <c r="B1391" s="234"/>
      <c r="C1391" s="234"/>
      <c r="D1391" s="234"/>
      <c r="E1391" s="234"/>
      <c r="F1391" s="234"/>
      <c r="G1391" s="234"/>
      <c r="H1391" s="234"/>
      <c r="I1391" s="234"/>
      <c r="J1391" s="234"/>
    </row>
    <row r="1392" ht="15.75" customHeight="1">
      <c r="A1392" s="234"/>
      <c r="B1392" s="234"/>
      <c r="C1392" s="234"/>
      <c r="D1392" s="234"/>
      <c r="E1392" s="234"/>
      <c r="F1392" s="234"/>
      <c r="G1392" s="234"/>
      <c r="H1392" s="234"/>
      <c r="I1392" s="234"/>
      <c r="J1392" s="234"/>
    </row>
    <row r="1393" ht="15.75" customHeight="1">
      <c r="A1393" s="234"/>
      <c r="B1393" s="234"/>
      <c r="C1393" s="234"/>
      <c r="D1393" s="234"/>
      <c r="E1393" s="234"/>
      <c r="F1393" s="234"/>
      <c r="G1393" s="234"/>
      <c r="H1393" s="234"/>
      <c r="I1393" s="234"/>
      <c r="J1393" s="234"/>
    </row>
    <row r="1394" ht="15.75" customHeight="1">
      <c r="A1394" s="234"/>
      <c r="B1394" s="234"/>
      <c r="C1394" s="234"/>
      <c r="D1394" s="234"/>
      <c r="E1394" s="234"/>
      <c r="F1394" s="234"/>
      <c r="G1394" s="234"/>
      <c r="H1394" s="234"/>
      <c r="I1394" s="234"/>
      <c r="J1394" s="234"/>
    </row>
    <row r="1395" ht="15.75" customHeight="1">
      <c r="A1395" s="234"/>
      <c r="B1395" s="234"/>
      <c r="C1395" s="234"/>
      <c r="D1395" s="234"/>
      <c r="E1395" s="234"/>
      <c r="F1395" s="234"/>
      <c r="G1395" s="234"/>
      <c r="H1395" s="234"/>
      <c r="I1395" s="234"/>
      <c r="J1395" s="234"/>
    </row>
    <row r="1396" ht="15.75" customHeight="1">
      <c r="A1396" s="234"/>
      <c r="B1396" s="234"/>
      <c r="C1396" s="234"/>
      <c r="D1396" s="234"/>
      <c r="E1396" s="234"/>
      <c r="F1396" s="234"/>
      <c r="G1396" s="234"/>
      <c r="H1396" s="234"/>
      <c r="I1396" s="234"/>
      <c r="J1396" s="234"/>
    </row>
    <row r="1397" ht="15.75" customHeight="1">
      <c r="A1397" s="234"/>
      <c r="B1397" s="234"/>
      <c r="C1397" s="234"/>
      <c r="D1397" s="234"/>
      <c r="E1397" s="234"/>
      <c r="F1397" s="234"/>
      <c r="G1397" s="234"/>
      <c r="H1397" s="234"/>
      <c r="I1397" s="234"/>
      <c r="J1397" s="234"/>
    </row>
    <row r="1398" ht="15.75" customHeight="1">
      <c r="A1398" s="234"/>
      <c r="B1398" s="234"/>
      <c r="C1398" s="234"/>
      <c r="D1398" s="234"/>
      <c r="E1398" s="234"/>
      <c r="F1398" s="234"/>
      <c r="G1398" s="234"/>
      <c r="H1398" s="234"/>
      <c r="I1398" s="234"/>
      <c r="J1398" s="234"/>
    </row>
    <row r="1399" ht="15.75" customHeight="1">
      <c r="A1399" s="234"/>
      <c r="B1399" s="234"/>
      <c r="C1399" s="234"/>
      <c r="D1399" s="234"/>
      <c r="E1399" s="234"/>
      <c r="F1399" s="234"/>
      <c r="G1399" s="234"/>
      <c r="H1399" s="234"/>
      <c r="I1399" s="234"/>
      <c r="J1399" s="234"/>
    </row>
    <row r="1400" ht="15.75" customHeight="1">
      <c r="A1400" s="234"/>
      <c r="B1400" s="234"/>
      <c r="C1400" s="234"/>
      <c r="D1400" s="234"/>
      <c r="E1400" s="234"/>
      <c r="F1400" s="234"/>
      <c r="G1400" s="234"/>
      <c r="H1400" s="234"/>
      <c r="I1400" s="234"/>
      <c r="J1400" s="234"/>
    </row>
    <row r="1401" ht="15.75" customHeight="1">
      <c r="A1401" s="234"/>
      <c r="B1401" s="234"/>
      <c r="C1401" s="234"/>
      <c r="D1401" s="234"/>
      <c r="E1401" s="234"/>
      <c r="F1401" s="234"/>
      <c r="G1401" s="234"/>
      <c r="H1401" s="234"/>
      <c r="I1401" s="234"/>
      <c r="J1401" s="234"/>
    </row>
    <row r="1402" ht="15.75" customHeight="1">
      <c r="A1402" s="234"/>
      <c r="B1402" s="234"/>
      <c r="C1402" s="234"/>
      <c r="D1402" s="234"/>
      <c r="E1402" s="234"/>
      <c r="F1402" s="234"/>
      <c r="G1402" s="234"/>
      <c r="H1402" s="234"/>
      <c r="I1402" s="234"/>
      <c r="J1402" s="234"/>
    </row>
    <row r="1403" ht="15.75" customHeight="1">
      <c r="A1403" s="234"/>
      <c r="B1403" s="234"/>
      <c r="C1403" s="234"/>
      <c r="D1403" s="234"/>
      <c r="E1403" s="234"/>
      <c r="F1403" s="234"/>
      <c r="G1403" s="234"/>
      <c r="H1403" s="234"/>
      <c r="I1403" s="234"/>
      <c r="J1403" s="234"/>
    </row>
    <row r="1404" ht="15.75" customHeight="1">
      <c r="A1404" s="234"/>
      <c r="B1404" s="234"/>
      <c r="C1404" s="234"/>
      <c r="D1404" s="234"/>
      <c r="E1404" s="234"/>
      <c r="F1404" s="234"/>
      <c r="G1404" s="234"/>
      <c r="H1404" s="234"/>
      <c r="I1404" s="234"/>
      <c r="J1404" s="234"/>
    </row>
    <row r="1405" ht="15.75" customHeight="1">
      <c r="A1405" s="234"/>
      <c r="B1405" s="234"/>
      <c r="C1405" s="234"/>
      <c r="D1405" s="234"/>
      <c r="E1405" s="234"/>
      <c r="F1405" s="234"/>
      <c r="G1405" s="234"/>
      <c r="H1405" s="234"/>
      <c r="I1405" s="234"/>
      <c r="J1405" s="234"/>
    </row>
    <row r="1406" ht="15.75" customHeight="1">
      <c r="A1406" s="234"/>
      <c r="B1406" s="234"/>
      <c r="C1406" s="234"/>
      <c r="D1406" s="234"/>
      <c r="E1406" s="234"/>
      <c r="F1406" s="234"/>
      <c r="G1406" s="234"/>
      <c r="H1406" s="234"/>
      <c r="I1406" s="234"/>
      <c r="J1406" s="234"/>
    </row>
    <row r="1407" ht="15.75" customHeight="1">
      <c r="A1407" s="234"/>
      <c r="B1407" s="234"/>
      <c r="C1407" s="234"/>
      <c r="D1407" s="234"/>
      <c r="E1407" s="234"/>
      <c r="F1407" s="234"/>
      <c r="G1407" s="234"/>
      <c r="H1407" s="234"/>
      <c r="I1407" s="234"/>
      <c r="J1407" s="234"/>
    </row>
    <row r="1408" ht="15.75" customHeight="1">
      <c r="A1408" s="234"/>
      <c r="B1408" s="234"/>
      <c r="C1408" s="234"/>
      <c r="D1408" s="234"/>
      <c r="E1408" s="234"/>
      <c r="F1408" s="234"/>
      <c r="G1408" s="234"/>
      <c r="H1408" s="234"/>
      <c r="I1408" s="234"/>
      <c r="J1408" s="234"/>
    </row>
    <row r="1409" ht="15.75" customHeight="1">
      <c r="A1409" s="234"/>
      <c r="B1409" s="234"/>
      <c r="C1409" s="234"/>
      <c r="D1409" s="234"/>
      <c r="E1409" s="234"/>
      <c r="F1409" s="234"/>
      <c r="G1409" s="234"/>
      <c r="H1409" s="234"/>
      <c r="I1409" s="234"/>
      <c r="J1409" s="234"/>
    </row>
    <row r="1410" ht="15.75" customHeight="1">
      <c r="A1410" s="234"/>
      <c r="B1410" s="234"/>
      <c r="C1410" s="234"/>
      <c r="D1410" s="234"/>
      <c r="E1410" s="234"/>
      <c r="F1410" s="234"/>
      <c r="G1410" s="234"/>
      <c r="H1410" s="234"/>
      <c r="I1410" s="234"/>
      <c r="J1410" s="234"/>
    </row>
    <row r="1411" ht="15.75" customHeight="1">
      <c r="A1411" s="234"/>
      <c r="B1411" s="234"/>
      <c r="C1411" s="234"/>
      <c r="D1411" s="234"/>
      <c r="E1411" s="234"/>
      <c r="F1411" s="234"/>
      <c r="G1411" s="234"/>
      <c r="H1411" s="234"/>
      <c r="I1411" s="234"/>
      <c r="J1411" s="234"/>
    </row>
    <row r="1412" ht="15.75" customHeight="1">
      <c r="A1412" s="234"/>
      <c r="B1412" s="234"/>
      <c r="C1412" s="234"/>
      <c r="D1412" s="234"/>
      <c r="E1412" s="234"/>
      <c r="F1412" s="234"/>
      <c r="G1412" s="234"/>
      <c r="H1412" s="234"/>
      <c r="I1412" s="234"/>
      <c r="J1412" s="234"/>
    </row>
    <row r="1413" ht="15.75" customHeight="1">
      <c r="A1413" s="234"/>
      <c r="B1413" s="234"/>
      <c r="C1413" s="234"/>
      <c r="D1413" s="234"/>
      <c r="E1413" s="234"/>
      <c r="F1413" s="234"/>
      <c r="G1413" s="234"/>
      <c r="H1413" s="234"/>
      <c r="I1413" s="234"/>
      <c r="J1413" s="234"/>
    </row>
    <row r="1414" ht="15.75" customHeight="1">
      <c r="A1414" s="234"/>
      <c r="B1414" s="234"/>
      <c r="C1414" s="234"/>
      <c r="D1414" s="234"/>
      <c r="E1414" s="234"/>
      <c r="F1414" s="234"/>
      <c r="G1414" s="234"/>
      <c r="H1414" s="234"/>
      <c r="I1414" s="234"/>
      <c r="J1414" s="234"/>
    </row>
    <row r="1415" ht="15.75" customHeight="1">
      <c r="A1415" s="234"/>
      <c r="B1415" s="234"/>
      <c r="C1415" s="234"/>
      <c r="D1415" s="234"/>
      <c r="E1415" s="234"/>
      <c r="F1415" s="234"/>
      <c r="G1415" s="234"/>
      <c r="H1415" s="234"/>
      <c r="I1415" s="234"/>
      <c r="J1415" s="234"/>
    </row>
    <row r="1416" ht="15.75" customHeight="1">
      <c r="A1416" s="234"/>
      <c r="B1416" s="234"/>
      <c r="C1416" s="234"/>
      <c r="D1416" s="234"/>
      <c r="E1416" s="234"/>
      <c r="F1416" s="234"/>
      <c r="G1416" s="234"/>
      <c r="H1416" s="234"/>
      <c r="I1416" s="234"/>
      <c r="J1416" s="234"/>
    </row>
    <row r="1417" ht="15.75" customHeight="1">
      <c r="A1417" s="234"/>
      <c r="B1417" s="234"/>
      <c r="C1417" s="234"/>
      <c r="D1417" s="234"/>
      <c r="E1417" s="234"/>
      <c r="F1417" s="234"/>
      <c r="G1417" s="234"/>
      <c r="H1417" s="234"/>
      <c r="I1417" s="234"/>
      <c r="J1417" s="234"/>
    </row>
    <row r="1418" ht="15.75" customHeight="1">
      <c r="A1418" s="234"/>
      <c r="B1418" s="234"/>
      <c r="C1418" s="234"/>
      <c r="D1418" s="234"/>
      <c r="E1418" s="234"/>
      <c r="F1418" s="234"/>
      <c r="G1418" s="234"/>
      <c r="H1418" s="234"/>
      <c r="I1418" s="234"/>
      <c r="J1418" s="234"/>
    </row>
    <row r="1419" ht="15.75" customHeight="1">
      <c r="A1419" s="234"/>
      <c r="B1419" s="234"/>
      <c r="C1419" s="234"/>
      <c r="D1419" s="234"/>
      <c r="E1419" s="234"/>
      <c r="F1419" s="234"/>
      <c r="G1419" s="234"/>
      <c r="H1419" s="234"/>
      <c r="I1419" s="234"/>
      <c r="J1419" s="234"/>
    </row>
    <row r="1420" ht="15.75" customHeight="1">
      <c r="A1420" s="234"/>
      <c r="B1420" s="234"/>
      <c r="C1420" s="234"/>
      <c r="D1420" s="234"/>
      <c r="E1420" s="234"/>
      <c r="F1420" s="234"/>
      <c r="G1420" s="234"/>
      <c r="H1420" s="234"/>
      <c r="I1420" s="234"/>
      <c r="J1420" s="234"/>
    </row>
    <row r="1421" ht="15.75" customHeight="1">
      <c r="A1421" s="234"/>
      <c r="B1421" s="234"/>
      <c r="C1421" s="234"/>
      <c r="D1421" s="234"/>
      <c r="E1421" s="234"/>
      <c r="F1421" s="234"/>
      <c r="G1421" s="234"/>
      <c r="H1421" s="234"/>
      <c r="I1421" s="234"/>
      <c r="J1421" s="234"/>
    </row>
    <row r="1422" ht="15.75" customHeight="1">
      <c r="A1422" s="234"/>
      <c r="B1422" s="234"/>
      <c r="C1422" s="234"/>
      <c r="D1422" s="234"/>
      <c r="E1422" s="234"/>
      <c r="F1422" s="234"/>
      <c r="G1422" s="234"/>
      <c r="H1422" s="234"/>
      <c r="I1422" s="234"/>
      <c r="J1422" s="234"/>
    </row>
    <row r="1423" ht="15.75" customHeight="1">
      <c r="A1423" s="234"/>
      <c r="B1423" s="234"/>
      <c r="C1423" s="234"/>
      <c r="D1423" s="234"/>
      <c r="E1423" s="234"/>
      <c r="F1423" s="234"/>
      <c r="G1423" s="234"/>
      <c r="H1423" s="234"/>
      <c r="I1423" s="234"/>
      <c r="J1423" s="234"/>
    </row>
    <row r="1424" ht="15.75" customHeight="1">
      <c r="A1424" s="234"/>
      <c r="B1424" s="234"/>
      <c r="C1424" s="234"/>
      <c r="D1424" s="234"/>
      <c r="E1424" s="234"/>
      <c r="F1424" s="234"/>
      <c r="G1424" s="234"/>
      <c r="H1424" s="234"/>
      <c r="I1424" s="234"/>
      <c r="J1424" s="234"/>
    </row>
    <row r="1425" ht="15.75" customHeight="1">
      <c r="A1425" s="234"/>
      <c r="B1425" s="234"/>
      <c r="C1425" s="234"/>
      <c r="D1425" s="234"/>
      <c r="E1425" s="234"/>
      <c r="F1425" s="234"/>
      <c r="G1425" s="234"/>
      <c r="H1425" s="234"/>
      <c r="I1425" s="234"/>
      <c r="J1425" s="234"/>
    </row>
    <row r="1426" ht="15.75" customHeight="1">
      <c r="A1426" s="234"/>
      <c r="B1426" s="234"/>
      <c r="C1426" s="234"/>
      <c r="D1426" s="234"/>
      <c r="E1426" s="234"/>
      <c r="F1426" s="234"/>
      <c r="G1426" s="234"/>
      <c r="H1426" s="234"/>
      <c r="I1426" s="234"/>
      <c r="J1426" s="234"/>
    </row>
    <row r="1427" ht="15.75" customHeight="1">
      <c r="A1427" s="234"/>
      <c r="B1427" s="234"/>
      <c r="C1427" s="234"/>
      <c r="D1427" s="234"/>
      <c r="E1427" s="234"/>
      <c r="F1427" s="234"/>
      <c r="G1427" s="234"/>
      <c r="H1427" s="234"/>
      <c r="I1427" s="234"/>
      <c r="J1427" s="234"/>
    </row>
    <row r="1428" ht="15.75" customHeight="1">
      <c r="A1428" s="234"/>
      <c r="B1428" s="234"/>
      <c r="C1428" s="234"/>
      <c r="D1428" s="234"/>
      <c r="E1428" s="234"/>
      <c r="F1428" s="234"/>
      <c r="G1428" s="234"/>
      <c r="H1428" s="234"/>
      <c r="I1428" s="234"/>
      <c r="J1428" s="234"/>
    </row>
    <row r="1429" ht="15.75" customHeight="1">
      <c r="A1429" s="234"/>
      <c r="B1429" s="234"/>
      <c r="C1429" s="234"/>
      <c r="D1429" s="234"/>
      <c r="E1429" s="234"/>
      <c r="F1429" s="234"/>
      <c r="G1429" s="234"/>
      <c r="H1429" s="234"/>
      <c r="I1429" s="234"/>
      <c r="J1429" s="234"/>
    </row>
    <row r="1430" ht="15.75" customHeight="1">
      <c r="A1430" s="234"/>
      <c r="B1430" s="234"/>
      <c r="C1430" s="234"/>
      <c r="D1430" s="234"/>
      <c r="E1430" s="234"/>
      <c r="F1430" s="234"/>
      <c r="G1430" s="234"/>
      <c r="H1430" s="234"/>
      <c r="I1430" s="234"/>
      <c r="J1430" s="234"/>
    </row>
    <row r="1431" ht="15.75" customHeight="1">
      <c r="A1431" s="234"/>
      <c r="B1431" s="234"/>
      <c r="C1431" s="234"/>
      <c r="D1431" s="234"/>
      <c r="E1431" s="234"/>
      <c r="F1431" s="234"/>
      <c r="G1431" s="234"/>
      <c r="H1431" s="234"/>
      <c r="I1431" s="234"/>
      <c r="J1431" s="234"/>
    </row>
    <row r="1432" ht="15.75" customHeight="1">
      <c r="A1432" s="234"/>
      <c r="B1432" s="234"/>
      <c r="C1432" s="234"/>
      <c r="D1432" s="234"/>
      <c r="E1432" s="234"/>
      <c r="F1432" s="234"/>
      <c r="G1432" s="234"/>
      <c r="H1432" s="234"/>
      <c r="I1432" s="234"/>
      <c r="J1432" s="234"/>
    </row>
    <row r="1433" ht="15.75" customHeight="1">
      <c r="A1433" s="234"/>
      <c r="B1433" s="234"/>
      <c r="C1433" s="234"/>
      <c r="D1433" s="234"/>
      <c r="E1433" s="234"/>
      <c r="F1433" s="234"/>
      <c r="G1433" s="234"/>
      <c r="H1433" s="234"/>
      <c r="I1433" s="234"/>
      <c r="J1433" s="234"/>
    </row>
    <row r="1434" ht="15.75" customHeight="1">
      <c r="A1434" s="234"/>
      <c r="B1434" s="234"/>
      <c r="C1434" s="234"/>
      <c r="D1434" s="234"/>
      <c r="E1434" s="234"/>
      <c r="F1434" s="234"/>
      <c r="G1434" s="234"/>
      <c r="H1434" s="234"/>
      <c r="I1434" s="234"/>
      <c r="J1434" s="234"/>
    </row>
    <row r="1435" ht="15.75" customHeight="1">
      <c r="A1435" s="234"/>
      <c r="B1435" s="234"/>
      <c r="C1435" s="234"/>
      <c r="D1435" s="234"/>
      <c r="E1435" s="234"/>
      <c r="F1435" s="234"/>
      <c r="G1435" s="234"/>
      <c r="H1435" s="234"/>
      <c r="I1435" s="234"/>
      <c r="J1435" s="234"/>
    </row>
    <row r="1436" ht="15.75" customHeight="1">
      <c r="A1436" s="234"/>
      <c r="B1436" s="234"/>
      <c r="C1436" s="234"/>
      <c r="D1436" s="234"/>
      <c r="E1436" s="234"/>
      <c r="F1436" s="234"/>
      <c r="G1436" s="234"/>
      <c r="H1436" s="234"/>
      <c r="I1436" s="234"/>
      <c r="J1436" s="234"/>
    </row>
    <row r="1437" ht="15.75" customHeight="1">
      <c r="A1437" s="234"/>
      <c r="B1437" s="234"/>
      <c r="C1437" s="234"/>
      <c r="D1437" s="234"/>
      <c r="E1437" s="234"/>
      <c r="F1437" s="234"/>
      <c r="G1437" s="234"/>
      <c r="H1437" s="234"/>
      <c r="I1437" s="234"/>
      <c r="J1437" s="234"/>
    </row>
    <row r="1438" ht="15.75" customHeight="1">
      <c r="A1438" s="234"/>
      <c r="B1438" s="234"/>
      <c r="C1438" s="234"/>
      <c r="D1438" s="234"/>
      <c r="E1438" s="234"/>
      <c r="F1438" s="234"/>
      <c r="G1438" s="234"/>
      <c r="H1438" s="234"/>
      <c r="I1438" s="234"/>
      <c r="J1438" s="234"/>
    </row>
    <row r="1439" ht="15.75" customHeight="1">
      <c r="A1439" s="234"/>
      <c r="B1439" s="234"/>
      <c r="C1439" s="234"/>
      <c r="D1439" s="234"/>
      <c r="E1439" s="234"/>
      <c r="F1439" s="234"/>
      <c r="G1439" s="234"/>
      <c r="H1439" s="234"/>
      <c r="I1439" s="234"/>
      <c r="J1439" s="234"/>
    </row>
    <row r="1440" ht="15.75" customHeight="1">
      <c r="A1440" s="234"/>
      <c r="B1440" s="234"/>
      <c r="C1440" s="234"/>
      <c r="D1440" s="234"/>
      <c r="E1440" s="234"/>
      <c r="F1440" s="234"/>
      <c r="G1440" s="234"/>
      <c r="H1440" s="234"/>
      <c r="I1440" s="234"/>
      <c r="J1440" s="234"/>
    </row>
    <row r="1441" ht="15.75" customHeight="1">
      <c r="A1441" s="234"/>
      <c r="B1441" s="234"/>
      <c r="C1441" s="234"/>
      <c r="D1441" s="234"/>
      <c r="E1441" s="234"/>
      <c r="F1441" s="234"/>
      <c r="G1441" s="234"/>
      <c r="H1441" s="234"/>
      <c r="I1441" s="234"/>
      <c r="J1441" s="234"/>
    </row>
    <row r="1442" ht="15.75" customHeight="1">
      <c r="A1442" s="234"/>
      <c r="B1442" s="234"/>
      <c r="C1442" s="234"/>
      <c r="D1442" s="234"/>
      <c r="E1442" s="234"/>
      <c r="F1442" s="234"/>
      <c r="G1442" s="234"/>
      <c r="H1442" s="234"/>
      <c r="I1442" s="234"/>
      <c r="J1442" s="234"/>
    </row>
    <row r="1443" ht="15.75" customHeight="1">
      <c r="A1443" s="234"/>
      <c r="B1443" s="234"/>
      <c r="C1443" s="234"/>
      <c r="D1443" s="234"/>
      <c r="E1443" s="234"/>
      <c r="F1443" s="234"/>
      <c r="G1443" s="234"/>
      <c r="H1443" s="234"/>
      <c r="I1443" s="234"/>
      <c r="J1443" s="234"/>
    </row>
    <row r="1444" ht="15.75" customHeight="1">
      <c r="A1444" s="234"/>
      <c r="B1444" s="234"/>
      <c r="C1444" s="234"/>
      <c r="D1444" s="234"/>
      <c r="E1444" s="234"/>
      <c r="F1444" s="234"/>
      <c r="G1444" s="234"/>
      <c r="H1444" s="234"/>
      <c r="I1444" s="234"/>
      <c r="J1444" s="234"/>
    </row>
    <row r="1445" ht="15.75" customHeight="1">
      <c r="A1445" s="234"/>
      <c r="B1445" s="234"/>
      <c r="C1445" s="234"/>
      <c r="D1445" s="234"/>
      <c r="E1445" s="234"/>
      <c r="F1445" s="234"/>
      <c r="G1445" s="234"/>
      <c r="H1445" s="234"/>
      <c r="I1445" s="234"/>
      <c r="J1445" s="234"/>
    </row>
    <row r="1446" ht="15.75" customHeight="1">
      <c r="A1446" s="234"/>
      <c r="B1446" s="234"/>
      <c r="C1446" s="234"/>
      <c r="D1446" s="234"/>
      <c r="E1446" s="234"/>
      <c r="F1446" s="234"/>
      <c r="G1446" s="234"/>
      <c r="H1446" s="234"/>
      <c r="I1446" s="234"/>
      <c r="J1446" s="234"/>
    </row>
    <row r="1447" ht="15.75" customHeight="1">
      <c r="A1447" s="234"/>
      <c r="B1447" s="234"/>
      <c r="C1447" s="234"/>
      <c r="D1447" s="234"/>
      <c r="E1447" s="234"/>
      <c r="F1447" s="234"/>
      <c r="G1447" s="234"/>
      <c r="H1447" s="234"/>
      <c r="I1447" s="234"/>
      <c r="J1447" s="234"/>
    </row>
    <row r="1448" ht="15.75" customHeight="1">
      <c r="A1448" s="234"/>
      <c r="B1448" s="234"/>
      <c r="C1448" s="234"/>
      <c r="D1448" s="234"/>
      <c r="E1448" s="234"/>
      <c r="F1448" s="234"/>
      <c r="G1448" s="234"/>
      <c r="H1448" s="234"/>
      <c r="I1448" s="234"/>
      <c r="J1448" s="234"/>
    </row>
    <row r="1449" ht="15.75" customHeight="1">
      <c r="A1449" s="234"/>
      <c r="B1449" s="234"/>
      <c r="C1449" s="234"/>
      <c r="D1449" s="234"/>
      <c r="E1449" s="234"/>
      <c r="F1449" s="234"/>
      <c r="G1449" s="234"/>
      <c r="H1449" s="234"/>
      <c r="I1449" s="234"/>
      <c r="J1449" s="234"/>
    </row>
    <row r="1450" ht="15.75" customHeight="1">
      <c r="A1450" s="234"/>
      <c r="B1450" s="234"/>
      <c r="C1450" s="234"/>
      <c r="D1450" s="234"/>
      <c r="E1450" s="234"/>
      <c r="F1450" s="234"/>
      <c r="G1450" s="234"/>
      <c r="H1450" s="234"/>
      <c r="I1450" s="234"/>
      <c r="J1450" s="234"/>
    </row>
    <row r="1451" ht="15.75" customHeight="1">
      <c r="A1451" s="234"/>
      <c r="B1451" s="234"/>
      <c r="C1451" s="234"/>
      <c r="D1451" s="234"/>
      <c r="E1451" s="234"/>
      <c r="F1451" s="234"/>
      <c r="G1451" s="234"/>
      <c r="H1451" s="234"/>
      <c r="I1451" s="234"/>
      <c r="J1451" s="234"/>
    </row>
    <row r="1452" ht="15.75" customHeight="1">
      <c r="A1452" s="234"/>
      <c r="B1452" s="234"/>
      <c r="C1452" s="234"/>
      <c r="D1452" s="234"/>
      <c r="E1452" s="234"/>
      <c r="F1452" s="234"/>
      <c r="G1452" s="234"/>
      <c r="H1452" s="234"/>
      <c r="I1452" s="234"/>
      <c r="J1452" s="234"/>
    </row>
    <row r="1453" ht="15.75" customHeight="1">
      <c r="A1453" s="234"/>
      <c r="B1453" s="234"/>
      <c r="C1453" s="234"/>
      <c r="D1453" s="234"/>
      <c r="E1453" s="234"/>
      <c r="F1453" s="234"/>
      <c r="G1453" s="234"/>
      <c r="H1453" s="234"/>
      <c r="I1453" s="234"/>
      <c r="J1453" s="234"/>
    </row>
    <row r="1454" ht="15.75" customHeight="1">
      <c r="A1454" s="234"/>
      <c r="B1454" s="234"/>
      <c r="C1454" s="234"/>
      <c r="D1454" s="234"/>
      <c r="E1454" s="234"/>
      <c r="F1454" s="234"/>
      <c r="G1454" s="234"/>
      <c r="H1454" s="234"/>
      <c r="I1454" s="234"/>
      <c r="J1454" s="234"/>
    </row>
    <row r="1455" ht="15.75" customHeight="1">
      <c r="A1455" s="234"/>
      <c r="B1455" s="234"/>
      <c r="C1455" s="234"/>
      <c r="D1455" s="234"/>
      <c r="E1455" s="234"/>
      <c r="F1455" s="234"/>
      <c r="G1455" s="234"/>
      <c r="H1455" s="234"/>
      <c r="I1455" s="234"/>
      <c r="J1455" s="234"/>
    </row>
    <row r="1456" ht="15.75" customHeight="1">
      <c r="A1456" s="234"/>
      <c r="B1456" s="234"/>
      <c r="C1456" s="234"/>
      <c r="D1456" s="234"/>
      <c r="E1456" s="234"/>
      <c r="F1456" s="234"/>
      <c r="G1456" s="234"/>
      <c r="H1456" s="234"/>
      <c r="I1456" s="234"/>
      <c r="J1456" s="234"/>
    </row>
    <row r="1457" ht="15.75" customHeight="1">
      <c r="A1457" s="234"/>
      <c r="B1457" s="234"/>
      <c r="C1457" s="234"/>
      <c r="D1457" s="234"/>
      <c r="E1457" s="234"/>
      <c r="F1457" s="234"/>
      <c r="G1457" s="234"/>
      <c r="H1457" s="234"/>
      <c r="I1457" s="234"/>
      <c r="J1457" s="234"/>
    </row>
    <row r="1458" ht="15.75" customHeight="1">
      <c r="A1458" s="234"/>
      <c r="B1458" s="234"/>
      <c r="C1458" s="234"/>
      <c r="D1458" s="234"/>
      <c r="E1458" s="234"/>
      <c r="F1458" s="234"/>
      <c r="G1458" s="234"/>
      <c r="H1458" s="234"/>
      <c r="I1458" s="234"/>
      <c r="J1458" s="234"/>
    </row>
    <row r="1459" ht="15.75" customHeight="1">
      <c r="A1459" s="234"/>
      <c r="B1459" s="234"/>
      <c r="C1459" s="234"/>
      <c r="D1459" s="234"/>
      <c r="E1459" s="234"/>
      <c r="F1459" s="234"/>
      <c r="G1459" s="234"/>
      <c r="H1459" s="234"/>
      <c r="I1459" s="234"/>
      <c r="J1459" s="234"/>
    </row>
    <row r="1460" ht="15.75" customHeight="1">
      <c r="A1460" s="234"/>
      <c r="B1460" s="234"/>
      <c r="C1460" s="234"/>
      <c r="D1460" s="234"/>
      <c r="E1460" s="234"/>
      <c r="F1460" s="234"/>
      <c r="G1460" s="234"/>
      <c r="H1460" s="234"/>
      <c r="I1460" s="234"/>
      <c r="J1460" s="234"/>
    </row>
    <row r="1461" ht="15.75" customHeight="1">
      <c r="A1461" s="234"/>
      <c r="B1461" s="234"/>
      <c r="C1461" s="234"/>
      <c r="D1461" s="234"/>
      <c r="E1461" s="234"/>
      <c r="F1461" s="234"/>
      <c r="G1461" s="234"/>
      <c r="H1461" s="234"/>
      <c r="I1461" s="234"/>
      <c r="J1461" s="234"/>
    </row>
    <row r="1462" ht="15.75" customHeight="1">
      <c r="A1462" s="234"/>
      <c r="B1462" s="234"/>
      <c r="C1462" s="234"/>
      <c r="D1462" s="234"/>
      <c r="E1462" s="234"/>
      <c r="F1462" s="234"/>
      <c r="G1462" s="234"/>
      <c r="H1462" s="234"/>
      <c r="I1462" s="234"/>
      <c r="J1462" s="234"/>
    </row>
    <row r="1463" ht="15.75" customHeight="1">
      <c r="A1463" s="234"/>
      <c r="B1463" s="234"/>
      <c r="C1463" s="234"/>
      <c r="D1463" s="234"/>
      <c r="E1463" s="234"/>
      <c r="F1463" s="234"/>
      <c r="G1463" s="234"/>
      <c r="H1463" s="234"/>
      <c r="I1463" s="234"/>
      <c r="J1463" s="234"/>
    </row>
    <row r="1464" ht="15.75" customHeight="1">
      <c r="A1464" s="234"/>
      <c r="B1464" s="234"/>
      <c r="C1464" s="234"/>
      <c r="D1464" s="234"/>
      <c r="E1464" s="234"/>
      <c r="F1464" s="234"/>
      <c r="G1464" s="234"/>
      <c r="H1464" s="234"/>
      <c r="I1464" s="234"/>
      <c r="J1464" s="234"/>
    </row>
    <row r="1465" ht="15.75" customHeight="1">
      <c r="A1465" s="234"/>
      <c r="B1465" s="234"/>
      <c r="C1465" s="234"/>
      <c r="D1465" s="234"/>
      <c r="E1465" s="234"/>
      <c r="F1465" s="234"/>
      <c r="G1465" s="234"/>
      <c r="H1465" s="234"/>
      <c r="I1465" s="234"/>
      <c r="J1465" s="234"/>
    </row>
    <row r="1466" ht="15.75" customHeight="1">
      <c r="A1466" s="234"/>
      <c r="B1466" s="234"/>
      <c r="C1466" s="234"/>
      <c r="D1466" s="234"/>
      <c r="E1466" s="234"/>
      <c r="F1466" s="234"/>
      <c r="G1466" s="234"/>
      <c r="H1466" s="234"/>
      <c r="I1466" s="234"/>
      <c r="J1466" s="234"/>
    </row>
    <row r="1467" ht="15.75" customHeight="1">
      <c r="A1467" s="234"/>
      <c r="B1467" s="234"/>
      <c r="C1467" s="234"/>
      <c r="D1467" s="234"/>
      <c r="E1467" s="234"/>
      <c r="F1467" s="234"/>
      <c r="G1467" s="234"/>
      <c r="H1467" s="234"/>
      <c r="I1467" s="234"/>
      <c r="J1467" s="234"/>
    </row>
    <row r="1468" ht="15.75" customHeight="1">
      <c r="A1468" s="234"/>
      <c r="B1468" s="234"/>
      <c r="C1468" s="234"/>
      <c r="D1468" s="234"/>
      <c r="E1468" s="234"/>
      <c r="F1468" s="234"/>
      <c r="G1468" s="234"/>
      <c r="H1468" s="234"/>
      <c r="I1468" s="234"/>
      <c r="J1468" s="234"/>
    </row>
    <row r="1469" ht="15.75" customHeight="1">
      <c r="A1469" s="234"/>
      <c r="B1469" s="234"/>
      <c r="C1469" s="234"/>
      <c r="D1469" s="234"/>
      <c r="E1469" s="234"/>
      <c r="F1469" s="234"/>
      <c r="G1469" s="234"/>
      <c r="H1469" s="234"/>
      <c r="I1469" s="234"/>
      <c r="J1469" s="234"/>
    </row>
    <row r="1470" ht="15.75" customHeight="1">
      <c r="A1470" s="234"/>
      <c r="B1470" s="234"/>
      <c r="C1470" s="234"/>
      <c r="D1470" s="234"/>
      <c r="E1470" s="234"/>
      <c r="F1470" s="234"/>
      <c r="G1470" s="234"/>
      <c r="H1470" s="234"/>
      <c r="I1470" s="234"/>
      <c r="J1470" s="234"/>
    </row>
    <row r="1471" ht="15.75" customHeight="1">
      <c r="A1471" s="234"/>
      <c r="B1471" s="234"/>
      <c r="C1471" s="234"/>
      <c r="D1471" s="234"/>
      <c r="E1471" s="234"/>
      <c r="F1471" s="234"/>
      <c r="G1471" s="234"/>
      <c r="H1471" s="234"/>
      <c r="I1471" s="234"/>
      <c r="J1471" s="234"/>
    </row>
    <row r="1472" ht="15.75" customHeight="1">
      <c r="A1472" s="234"/>
      <c r="B1472" s="234"/>
      <c r="C1472" s="234"/>
      <c r="D1472" s="234"/>
      <c r="E1472" s="234"/>
      <c r="F1472" s="234"/>
      <c r="G1472" s="234"/>
      <c r="H1472" s="234"/>
      <c r="I1472" s="234"/>
      <c r="J1472" s="234"/>
    </row>
    <row r="1473" ht="15.75" customHeight="1">
      <c r="A1473" s="234"/>
      <c r="B1473" s="234"/>
      <c r="C1473" s="234"/>
      <c r="D1473" s="234"/>
      <c r="E1473" s="234"/>
      <c r="F1473" s="234"/>
      <c r="G1473" s="234"/>
      <c r="H1473" s="234"/>
      <c r="I1473" s="234"/>
      <c r="J1473" s="234"/>
    </row>
    <row r="1474" ht="15.75" customHeight="1">
      <c r="A1474" s="234"/>
      <c r="B1474" s="234"/>
      <c r="C1474" s="234"/>
      <c r="D1474" s="234"/>
      <c r="E1474" s="234"/>
      <c r="F1474" s="234"/>
      <c r="G1474" s="234"/>
      <c r="H1474" s="234"/>
      <c r="I1474" s="234"/>
      <c r="J1474" s="234"/>
    </row>
    <row r="1475" ht="15.75" customHeight="1">
      <c r="A1475" s="234"/>
      <c r="B1475" s="234"/>
      <c r="C1475" s="234"/>
      <c r="D1475" s="234"/>
      <c r="E1475" s="234"/>
      <c r="F1475" s="234"/>
      <c r="G1475" s="234"/>
      <c r="H1475" s="234"/>
      <c r="I1475" s="234"/>
      <c r="J1475" s="234"/>
    </row>
    <row r="1476" ht="15.75" customHeight="1">
      <c r="A1476" s="234"/>
      <c r="B1476" s="234"/>
      <c r="C1476" s="234"/>
      <c r="D1476" s="234"/>
      <c r="E1476" s="234"/>
      <c r="F1476" s="234"/>
      <c r="G1476" s="234"/>
      <c r="H1476" s="234"/>
      <c r="I1476" s="234"/>
      <c r="J1476" s="234"/>
    </row>
    <row r="1477" ht="15.75" customHeight="1">
      <c r="A1477" s="234"/>
      <c r="B1477" s="234"/>
      <c r="C1477" s="234"/>
      <c r="D1477" s="234"/>
      <c r="E1477" s="234"/>
      <c r="F1477" s="234"/>
      <c r="G1477" s="234"/>
      <c r="H1477" s="234"/>
      <c r="I1477" s="234"/>
      <c r="J1477" s="234"/>
    </row>
    <row r="1478" ht="15.75" customHeight="1">
      <c r="A1478" s="234"/>
      <c r="B1478" s="234"/>
      <c r="C1478" s="234"/>
      <c r="D1478" s="234"/>
      <c r="E1478" s="234"/>
      <c r="F1478" s="234"/>
      <c r="G1478" s="234"/>
      <c r="H1478" s="234"/>
      <c r="I1478" s="234"/>
      <c r="J1478" s="234"/>
    </row>
    <row r="1479" ht="15.75" customHeight="1">
      <c r="A1479" s="234"/>
      <c r="B1479" s="234"/>
      <c r="C1479" s="234"/>
      <c r="D1479" s="234"/>
      <c r="E1479" s="234"/>
      <c r="F1479" s="234"/>
      <c r="G1479" s="234"/>
      <c r="H1479" s="234"/>
      <c r="I1479" s="234"/>
      <c r="J1479" s="234"/>
    </row>
    <row r="1480" ht="15.75" customHeight="1">
      <c r="A1480" s="234"/>
      <c r="B1480" s="234"/>
      <c r="C1480" s="234"/>
      <c r="D1480" s="234"/>
      <c r="E1480" s="234"/>
      <c r="F1480" s="234"/>
      <c r="G1480" s="234"/>
      <c r="H1480" s="234"/>
      <c r="I1480" s="234"/>
      <c r="J1480" s="234"/>
    </row>
    <row r="1481" ht="15.75" customHeight="1">
      <c r="A1481" s="234"/>
      <c r="B1481" s="234"/>
      <c r="C1481" s="234"/>
      <c r="D1481" s="234"/>
      <c r="E1481" s="234"/>
      <c r="F1481" s="234"/>
      <c r="G1481" s="234"/>
      <c r="H1481" s="234"/>
      <c r="I1481" s="234"/>
      <c r="J1481" s="234"/>
    </row>
    <row r="1482" ht="15.75" customHeight="1">
      <c r="A1482" s="234"/>
      <c r="B1482" s="234"/>
      <c r="C1482" s="234"/>
      <c r="D1482" s="234"/>
      <c r="E1482" s="234"/>
      <c r="F1482" s="234"/>
      <c r="G1482" s="234"/>
      <c r="H1482" s="234"/>
      <c r="I1482" s="234"/>
      <c r="J1482" s="234"/>
    </row>
    <row r="1483" ht="15.75" customHeight="1">
      <c r="A1483" s="234"/>
      <c r="B1483" s="234"/>
      <c r="C1483" s="234"/>
      <c r="D1483" s="234"/>
      <c r="E1483" s="234"/>
      <c r="F1483" s="234"/>
      <c r="G1483" s="234"/>
      <c r="H1483" s="234"/>
      <c r="I1483" s="234"/>
      <c r="J1483" s="234"/>
    </row>
    <row r="1484" ht="15.75" customHeight="1">
      <c r="A1484" s="234"/>
      <c r="B1484" s="234"/>
      <c r="C1484" s="234"/>
      <c r="D1484" s="234"/>
      <c r="E1484" s="234"/>
      <c r="F1484" s="234"/>
      <c r="G1484" s="234"/>
      <c r="H1484" s="234"/>
      <c r="I1484" s="234"/>
      <c r="J1484" s="234"/>
    </row>
    <row r="1485" ht="15.75" customHeight="1">
      <c r="A1485" s="234"/>
      <c r="B1485" s="234"/>
      <c r="C1485" s="234"/>
      <c r="D1485" s="234"/>
      <c r="E1485" s="234"/>
      <c r="F1485" s="234"/>
      <c r="G1485" s="234"/>
      <c r="H1485" s="234"/>
      <c r="I1485" s="234"/>
      <c r="J1485" s="234"/>
    </row>
    <row r="1486" ht="15.75" customHeight="1">
      <c r="A1486" s="234"/>
      <c r="B1486" s="234"/>
      <c r="C1486" s="234"/>
      <c r="D1486" s="234"/>
      <c r="E1486" s="234"/>
      <c r="F1486" s="234"/>
      <c r="G1486" s="234"/>
      <c r="H1486" s="234"/>
      <c r="I1486" s="234"/>
      <c r="J1486" s="234"/>
    </row>
    <row r="1487" ht="15.75" customHeight="1">
      <c r="A1487" s="234"/>
      <c r="B1487" s="234"/>
      <c r="C1487" s="234"/>
      <c r="D1487" s="234"/>
      <c r="E1487" s="234"/>
      <c r="F1487" s="234"/>
      <c r="G1487" s="234"/>
      <c r="H1487" s="234"/>
      <c r="I1487" s="234"/>
      <c r="J1487" s="234"/>
    </row>
    <row r="1488" ht="15.75" customHeight="1">
      <c r="A1488" s="234"/>
      <c r="B1488" s="234"/>
      <c r="C1488" s="234"/>
      <c r="D1488" s="234"/>
      <c r="E1488" s="234"/>
      <c r="F1488" s="234"/>
      <c r="G1488" s="234"/>
      <c r="H1488" s="234"/>
      <c r="I1488" s="234"/>
      <c r="J1488" s="234"/>
    </row>
    <row r="1489" ht="15.75" customHeight="1">
      <c r="A1489" s="234"/>
      <c r="B1489" s="234"/>
      <c r="C1489" s="234"/>
      <c r="D1489" s="234"/>
      <c r="E1489" s="234"/>
      <c r="F1489" s="234"/>
      <c r="G1489" s="234"/>
      <c r="H1489" s="234"/>
      <c r="I1489" s="234"/>
      <c r="J1489" s="234"/>
    </row>
    <row r="1490" ht="15.75" customHeight="1">
      <c r="A1490" s="234"/>
      <c r="B1490" s="234"/>
      <c r="C1490" s="234"/>
      <c r="D1490" s="234"/>
      <c r="E1490" s="234"/>
      <c r="F1490" s="234"/>
      <c r="G1490" s="234"/>
      <c r="H1490" s="234"/>
      <c r="I1490" s="234"/>
      <c r="J1490" s="234"/>
    </row>
    <row r="1491" ht="15.75" customHeight="1">
      <c r="A1491" s="234"/>
      <c r="B1491" s="234"/>
      <c r="C1491" s="234"/>
      <c r="D1491" s="234"/>
      <c r="E1491" s="234"/>
      <c r="F1491" s="234"/>
      <c r="G1491" s="234"/>
      <c r="H1491" s="234"/>
      <c r="I1491" s="234"/>
      <c r="J1491" s="234"/>
    </row>
    <row r="1492" ht="15.75" customHeight="1">
      <c r="A1492" s="234"/>
      <c r="B1492" s="234"/>
      <c r="C1492" s="234"/>
      <c r="D1492" s="234"/>
      <c r="E1492" s="234"/>
      <c r="F1492" s="234"/>
      <c r="G1492" s="234"/>
      <c r="H1492" s="234"/>
      <c r="I1492" s="234"/>
      <c r="J1492" s="234"/>
    </row>
    <row r="1493" ht="15.75" customHeight="1">
      <c r="A1493" s="234"/>
      <c r="B1493" s="234"/>
      <c r="C1493" s="234"/>
      <c r="D1493" s="234"/>
      <c r="E1493" s="234"/>
      <c r="F1493" s="234"/>
      <c r="G1493" s="234"/>
      <c r="H1493" s="234"/>
      <c r="I1493" s="234"/>
      <c r="J1493" s="234"/>
    </row>
    <row r="1494" ht="15.75" customHeight="1">
      <c r="A1494" s="234"/>
      <c r="B1494" s="234"/>
      <c r="C1494" s="234"/>
      <c r="D1494" s="234"/>
      <c r="E1494" s="234"/>
      <c r="F1494" s="234"/>
      <c r="G1494" s="234"/>
      <c r="H1494" s="234"/>
      <c r="I1494" s="234"/>
      <c r="J1494" s="234"/>
    </row>
    <row r="1495" ht="15.75" customHeight="1">
      <c r="A1495" s="234"/>
      <c r="B1495" s="234"/>
      <c r="C1495" s="234"/>
      <c r="D1495" s="234"/>
      <c r="E1495" s="234"/>
      <c r="F1495" s="234"/>
      <c r="G1495" s="234"/>
      <c r="H1495" s="234"/>
      <c r="I1495" s="234"/>
      <c r="J1495" s="234"/>
    </row>
    <row r="1496" ht="15.75" customHeight="1">
      <c r="A1496" s="234"/>
      <c r="B1496" s="234"/>
      <c r="C1496" s="234"/>
      <c r="D1496" s="234"/>
      <c r="E1496" s="234"/>
      <c r="F1496" s="234"/>
      <c r="G1496" s="234"/>
      <c r="H1496" s="234"/>
      <c r="I1496" s="234"/>
      <c r="J1496" s="234"/>
    </row>
    <row r="1497" ht="15.75" customHeight="1">
      <c r="A1497" s="234"/>
      <c r="B1497" s="234"/>
      <c r="C1497" s="234"/>
      <c r="D1497" s="234"/>
      <c r="E1497" s="234"/>
      <c r="F1497" s="234"/>
      <c r="G1497" s="234"/>
      <c r="H1497" s="234"/>
      <c r="I1497" s="234"/>
      <c r="J1497" s="234"/>
    </row>
    <row r="1498" ht="15.75" customHeight="1">
      <c r="A1498" s="234"/>
      <c r="B1498" s="234"/>
      <c r="C1498" s="234"/>
      <c r="D1498" s="234"/>
      <c r="E1498" s="234"/>
      <c r="F1498" s="234"/>
      <c r="G1498" s="234"/>
      <c r="H1498" s="234"/>
      <c r="I1498" s="234"/>
      <c r="J1498" s="234"/>
    </row>
    <row r="1499" ht="15.75" customHeight="1">
      <c r="A1499" s="234"/>
      <c r="B1499" s="234"/>
      <c r="C1499" s="234"/>
      <c r="D1499" s="234"/>
      <c r="E1499" s="234"/>
      <c r="F1499" s="234"/>
      <c r="G1499" s="234"/>
      <c r="H1499" s="234"/>
      <c r="I1499" s="234"/>
      <c r="J1499" s="234"/>
    </row>
    <row r="1500" ht="15.75" customHeight="1">
      <c r="A1500" s="234"/>
      <c r="B1500" s="234"/>
      <c r="C1500" s="234"/>
      <c r="D1500" s="234"/>
      <c r="E1500" s="234"/>
      <c r="F1500" s="234"/>
      <c r="G1500" s="234"/>
      <c r="H1500" s="234"/>
      <c r="I1500" s="234"/>
      <c r="J1500" s="234"/>
    </row>
    <row r="1501" ht="15.75" customHeight="1">
      <c r="A1501" s="234"/>
      <c r="B1501" s="234"/>
      <c r="C1501" s="234"/>
      <c r="D1501" s="234"/>
      <c r="E1501" s="234"/>
      <c r="F1501" s="234"/>
      <c r="G1501" s="234"/>
      <c r="H1501" s="234"/>
      <c r="I1501" s="234"/>
      <c r="J1501" s="234"/>
    </row>
    <row r="1502" ht="15.75" customHeight="1">
      <c r="A1502" s="234"/>
      <c r="B1502" s="234"/>
      <c r="C1502" s="234"/>
      <c r="D1502" s="234"/>
      <c r="E1502" s="234"/>
      <c r="F1502" s="234"/>
      <c r="G1502" s="234"/>
      <c r="H1502" s="234"/>
      <c r="I1502" s="234"/>
      <c r="J1502" s="234"/>
    </row>
    <row r="1503" ht="15.75" customHeight="1">
      <c r="A1503" s="234"/>
      <c r="B1503" s="234"/>
      <c r="C1503" s="234"/>
      <c r="D1503" s="234"/>
      <c r="E1503" s="234"/>
      <c r="F1503" s="234"/>
      <c r="G1503" s="234"/>
      <c r="H1503" s="234"/>
      <c r="I1503" s="234"/>
      <c r="J1503" s="234"/>
    </row>
    <row r="1504" ht="15.75" customHeight="1">
      <c r="A1504" s="234"/>
      <c r="B1504" s="234"/>
      <c r="C1504" s="234"/>
      <c r="D1504" s="234"/>
      <c r="E1504" s="234"/>
      <c r="F1504" s="234"/>
      <c r="G1504" s="234"/>
      <c r="H1504" s="234"/>
      <c r="I1504" s="234"/>
      <c r="J1504" s="234"/>
    </row>
    <row r="1505" ht="15.75" customHeight="1">
      <c r="A1505" s="234"/>
      <c r="B1505" s="234"/>
      <c r="C1505" s="234"/>
      <c r="D1505" s="234"/>
      <c r="E1505" s="234"/>
      <c r="F1505" s="234"/>
      <c r="G1505" s="234"/>
      <c r="H1505" s="234"/>
      <c r="I1505" s="234"/>
      <c r="J1505" s="234"/>
    </row>
    <row r="1506" ht="15.75" customHeight="1">
      <c r="A1506" s="234"/>
      <c r="B1506" s="234"/>
      <c r="C1506" s="234"/>
      <c r="D1506" s="234"/>
      <c r="E1506" s="234"/>
      <c r="F1506" s="234"/>
      <c r="G1506" s="234"/>
      <c r="H1506" s="234"/>
      <c r="I1506" s="234"/>
      <c r="J1506" s="234"/>
    </row>
    <row r="1507" ht="15.75" customHeight="1">
      <c r="A1507" s="234"/>
      <c r="B1507" s="234"/>
      <c r="C1507" s="234"/>
      <c r="D1507" s="234"/>
      <c r="E1507" s="234"/>
      <c r="F1507" s="234"/>
      <c r="G1507" s="234"/>
      <c r="H1507" s="234"/>
      <c r="I1507" s="234"/>
      <c r="J1507" s="234"/>
    </row>
    <row r="1508" ht="15.75" customHeight="1">
      <c r="A1508" s="234"/>
      <c r="B1508" s="234"/>
      <c r="C1508" s="234"/>
      <c r="D1508" s="234"/>
      <c r="E1508" s="234"/>
      <c r="F1508" s="234"/>
      <c r="G1508" s="234"/>
      <c r="H1508" s="234"/>
      <c r="I1508" s="234"/>
      <c r="J1508" s="234"/>
    </row>
    <row r="1509" ht="15.75" customHeight="1">
      <c r="A1509" s="234"/>
      <c r="B1509" s="234"/>
      <c r="C1509" s="234"/>
      <c r="D1509" s="234"/>
      <c r="E1509" s="234"/>
      <c r="F1509" s="234"/>
      <c r="G1509" s="234"/>
      <c r="H1509" s="234"/>
      <c r="I1509" s="234"/>
      <c r="J1509" s="234"/>
    </row>
    <row r="1510" ht="15.75" customHeight="1">
      <c r="A1510" s="234"/>
      <c r="B1510" s="234"/>
      <c r="C1510" s="234"/>
      <c r="D1510" s="234"/>
      <c r="E1510" s="234"/>
      <c r="F1510" s="234"/>
      <c r="G1510" s="234"/>
      <c r="H1510" s="234"/>
      <c r="I1510" s="234"/>
      <c r="J1510" s="234"/>
    </row>
    <row r="1511" ht="15.75" customHeight="1">
      <c r="A1511" s="234"/>
      <c r="B1511" s="234"/>
      <c r="C1511" s="234"/>
      <c r="D1511" s="234"/>
      <c r="E1511" s="234"/>
      <c r="F1511" s="234"/>
      <c r="G1511" s="234"/>
      <c r="H1511" s="234"/>
      <c r="I1511" s="234"/>
      <c r="J1511" s="234"/>
    </row>
    <row r="1512" ht="15.75" customHeight="1">
      <c r="A1512" s="234"/>
      <c r="B1512" s="234"/>
      <c r="C1512" s="234"/>
      <c r="D1512" s="234"/>
      <c r="E1512" s="234"/>
      <c r="F1512" s="234"/>
      <c r="G1512" s="234"/>
      <c r="H1512" s="234"/>
      <c r="I1512" s="234"/>
      <c r="J1512" s="234"/>
    </row>
    <row r="1513" ht="15.75" customHeight="1">
      <c r="A1513" s="234"/>
      <c r="B1513" s="234"/>
      <c r="C1513" s="234"/>
      <c r="D1513" s="234"/>
      <c r="E1513" s="234"/>
      <c r="F1513" s="234"/>
      <c r="G1513" s="234"/>
      <c r="H1513" s="234"/>
      <c r="I1513" s="234"/>
      <c r="J1513" s="234"/>
    </row>
    <row r="1514" ht="15.75" customHeight="1">
      <c r="A1514" s="234"/>
      <c r="B1514" s="234"/>
      <c r="C1514" s="234"/>
      <c r="D1514" s="234"/>
      <c r="E1514" s="234"/>
      <c r="F1514" s="234"/>
      <c r="G1514" s="234"/>
      <c r="H1514" s="234"/>
      <c r="I1514" s="234"/>
      <c r="J1514" s="234"/>
    </row>
    <row r="1515" ht="15.75" customHeight="1">
      <c r="A1515" s="234"/>
      <c r="B1515" s="234"/>
      <c r="C1515" s="234"/>
      <c r="D1515" s="234"/>
      <c r="E1515" s="234"/>
      <c r="F1515" s="234"/>
      <c r="G1515" s="234"/>
      <c r="H1515" s="234"/>
      <c r="I1515" s="234"/>
      <c r="J1515" s="234"/>
    </row>
    <row r="1516" ht="15.75" customHeight="1">
      <c r="A1516" s="234"/>
      <c r="B1516" s="234"/>
      <c r="C1516" s="234"/>
      <c r="D1516" s="234"/>
      <c r="E1516" s="234"/>
      <c r="F1516" s="234"/>
      <c r="G1516" s="234"/>
      <c r="H1516" s="234"/>
      <c r="I1516" s="234"/>
      <c r="J1516" s="234"/>
    </row>
    <row r="1517" ht="15.75" customHeight="1">
      <c r="A1517" s="234"/>
      <c r="B1517" s="234"/>
      <c r="C1517" s="234"/>
      <c r="D1517" s="234"/>
      <c r="E1517" s="234"/>
      <c r="F1517" s="234"/>
      <c r="G1517" s="234"/>
      <c r="H1517" s="234"/>
      <c r="I1517" s="234"/>
      <c r="J1517" s="234"/>
    </row>
    <row r="1518" ht="15.75" customHeight="1">
      <c r="A1518" s="234"/>
      <c r="B1518" s="234"/>
      <c r="C1518" s="234"/>
      <c r="D1518" s="234"/>
      <c r="E1518" s="234"/>
      <c r="F1518" s="234"/>
      <c r="G1518" s="234"/>
      <c r="H1518" s="234"/>
      <c r="I1518" s="234"/>
      <c r="J1518" s="234"/>
    </row>
    <row r="1519" ht="15.75" customHeight="1">
      <c r="A1519" s="234"/>
      <c r="B1519" s="234"/>
      <c r="C1519" s="234"/>
      <c r="D1519" s="234"/>
      <c r="E1519" s="234"/>
      <c r="F1519" s="234"/>
      <c r="G1519" s="234"/>
      <c r="H1519" s="234"/>
      <c r="I1519" s="234"/>
      <c r="J1519" s="234"/>
    </row>
    <row r="1520" ht="15.75" customHeight="1">
      <c r="A1520" s="234"/>
      <c r="B1520" s="234"/>
      <c r="C1520" s="234"/>
      <c r="D1520" s="234"/>
      <c r="E1520" s="234"/>
      <c r="F1520" s="234"/>
      <c r="G1520" s="234"/>
      <c r="H1520" s="234"/>
      <c r="I1520" s="234"/>
      <c r="J1520" s="234"/>
    </row>
    <row r="1521" ht="15.75" customHeight="1">
      <c r="A1521" s="234"/>
      <c r="B1521" s="234"/>
      <c r="C1521" s="234"/>
      <c r="D1521" s="234"/>
      <c r="E1521" s="234"/>
      <c r="F1521" s="234"/>
      <c r="G1521" s="234"/>
      <c r="H1521" s="234"/>
      <c r="I1521" s="234"/>
      <c r="J1521" s="234"/>
    </row>
    <row r="1522" ht="15.75" customHeight="1">
      <c r="A1522" s="234"/>
      <c r="B1522" s="234"/>
      <c r="C1522" s="234"/>
      <c r="D1522" s="234"/>
      <c r="E1522" s="234"/>
      <c r="F1522" s="234"/>
      <c r="G1522" s="234"/>
      <c r="H1522" s="234"/>
      <c r="I1522" s="234"/>
      <c r="J1522" s="234"/>
    </row>
    <row r="1523" ht="15.75" customHeight="1">
      <c r="A1523" s="234"/>
      <c r="B1523" s="234"/>
      <c r="C1523" s="234"/>
      <c r="D1523" s="234"/>
      <c r="E1523" s="234"/>
      <c r="F1523" s="234"/>
      <c r="G1523" s="234"/>
      <c r="H1523" s="234"/>
      <c r="I1523" s="234"/>
      <c r="J1523" s="234"/>
    </row>
    <row r="1524" ht="15.75" customHeight="1">
      <c r="A1524" s="234"/>
      <c r="B1524" s="234"/>
      <c r="C1524" s="234"/>
      <c r="D1524" s="234"/>
      <c r="E1524" s="234"/>
      <c r="F1524" s="234"/>
      <c r="G1524" s="234"/>
      <c r="H1524" s="234"/>
      <c r="I1524" s="234"/>
      <c r="J1524" s="234"/>
    </row>
    <row r="1525" ht="15.75" customHeight="1">
      <c r="A1525" s="234"/>
      <c r="B1525" s="234"/>
      <c r="C1525" s="234"/>
      <c r="D1525" s="234"/>
      <c r="E1525" s="234"/>
      <c r="F1525" s="234"/>
      <c r="G1525" s="234"/>
      <c r="H1525" s="234"/>
      <c r="I1525" s="234"/>
      <c r="J1525" s="234"/>
    </row>
    <row r="1526" ht="15.75" customHeight="1">
      <c r="A1526" s="234"/>
      <c r="B1526" s="234"/>
      <c r="C1526" s="234"/>
      <c r="D1526" s="234"/>
      <c r="E1526" s="234"/>
      <c r="F1526" s="234"/>
      <c r="G1526" s="234"/>
      <c r="H1526" s="234"/>
      <c r="I1526" s="234"/>
      <c r="J1526" s="234"/>
    </row>
    <row r="1527" ht="15.75" customHeight="1">
      <c r="A1527" s="234"/>
      <c r="B1527" s="234"/>
      <c r="C1527" s="234"/>
      <c r="D1527" s="234"/>
      <c r="E1527" s="234"/>
      <c r="F1527" s="234"/>
      <c r="G1527" s="234"/>
      <c r="H1527" s="234"/>
      <c r="I1527" s="234"/>
      <c r="J1527" s="234"/>
    </row>
    <row r="1528" ht="15.75" customHeight="1">
      <c r="A1528" s="234"/>
      <c r="B1528" s="234"/>
      <c r="C1528" s="234"/>
      <c r="D1528" s="234"/>
      <c r="E1528" s="234"/>
      <c r="F1528" s="234"/>
      <c r="G1528" s="234"/>
      <c r="H1528" s="234"/>
      <c r="I1528" s="234"/>
      <c r="J1528" s="234"/>
    </row>
    <row r="1529" ht="15.75" customHeight="1">
      <c r="A1529" s="234"/>
      <c r="B1529" s="234"/>
      <c r="C1529" s="234"/>
      <c r="D1529" s="234"/>
      <c r="E1529" s="234"/>
      <c r="F1529" s="234"/>
      <c r="G1529" s="234"/>
      <c r="H1529" s="234"/>
      <c r="I1529" s="234"/>
      <c r="J1529" s="234"/>
    </row>
    <row r="1530" ht="15.75" customHeight="1">
      <c r="A1530" s="234"/>
      <c r="B1530" s="234"/>
      <c r="C1530" s="234"/>
      <c r="D1530" s="234"/>
      <c r="E1530" s="234"/>
      <c r="F1530" s="234"/>
      <c r="G1530" s="234"/>
      <c r="H1530" s="234"/>
      <c r="I1530" s="234"/>
      <c r="J1530" s="234"/>
    </row>
    <row r="1531" ht="15.75" customHeight="1">
      <c r="A1531" s="234"/>
      <c r="B1531" s="234"/>
      <c r="C1531" s="234"/>
      <c r="D1531" s="234"/>
      <c r="E1531" s="234"/>
      <c r="F1531" s="234"/>
      <c r="G1531" s="234"/>
      <c r="H1531" s="234"/>
      <c r="I1531" s="234"/>
      <c r="J1531" s="234"/>
    </row>
    <row r="1532" ht="15.75" customHeight="1">
      <c r="A1532" s="234"/>
      <c r="B1532" s="234"/>
      <c r="C1532" s="234"/>
      <c r="D1532" s="234"/>
      <c r="E1532" s="234"/>
      <c r="F1532" s="234"/>
      <c r="G1532" s="234"/>
      <c r="H1532" s="234"/>
      <c r="I1532" s="234"/>
      <c r="J1532" s="234"/>
    </row>
    <row r="1533" ht="15.75" customHeight="1">
      <c r="A1533" s="234"/>
      <c r="B1533" s="234"/>
      <c r="C1533" s="234"/>
      <c r="D1533" s="234"/>
      <c r="E1533" s="234"/>
      <c r="F1533" s="234"/>
      <c r="G1533" s="234"/>
      <c r="H1533" s="234"/>
      <c r="I1533" s="234"/>
      <c r="J1533" s="234"/>
    </row>
    <row r="1534" ht="15.75" customHeight="1">
      <c r="A1534" s="234"/>
      <c r="B1534" s="234"/>
      <c r="C1534" s="234"/>
      <c r="D1534" s="234"/>
      <c r="E1534" s="234"/>
      <c r="F1534" s="234"/>
      <c r="G1534" s="234"/>
      <c r="H1534" s="234"/>
      <c r="I1534" s="234"/>
      <c r="J1534" s="234"/>
    </row>
    <row r="1535" ht="15.75" customHeight="1">
      <c r="A1535" s="234"/>
      <c r="B1535" s="234"/>
      <c r="C1535" s="234"/>
      <c r="D1535" s="234"/>
      <c r="E1535" s="234"/>
      <c r="F1535" s="234"/>
      <c r="G1535" s="234"/>
      <c r="H1535" s="234"/>
      <c r="I1535" s="234"/>
      <c r="J1535" s="234"/>
    </row>
    <row r="1536" ht="15.75" customHeight="1">
      <c r="A1536" s="234"/>
      <c r="B1536" s="234"/>
      <c r="C1536" s="234"/>
      <c r="D1536" s="234"/>
      <c r="E1536" s="234"/>
      <c r="F1536" s="234"/>
      <c r="G1536" s="234"/>
      <c r="H1536" s="234"/>
      <c r="I1536" s="234"/>
      <c r="J1536" s="234"/>
    </row>
    <row r="1537" ht="15.75" customHeight="1">
      <c r="A1537" s="234"/>
      <c r="B1537" s="234"/>
      <c r="C1537" s="234"/>
      <c r="D1537" s="234"/>
      <c r="E1537" s="234"/>
      <c r="F1537" s="234"/>
      <c r="G1537" s="234"/>
      <c r="H1537" s="234"/>
      <c r="I1537" s="234"/>
      <c r="J1537" s="234"/>
    </row>
    <row r="1538" ht="15.75" customHeight="1">
      <c r="A1538" s="234"/>
      <c r="B1538" s="234"/>
      <c r="C1538" s="234"/>
      <c r="D1538" s="234"/>
      <c r="E1538" s="234"/>
      <c r="F1538" s="234"/>
      <c r="G1538" s="234"/>
      <c r="H1538" s="234"/>
      <c r="I1538" s="234"/>
      <c r="J1538" s="234"/>
    </row>
    <row r="1539" ht="15.75" customHeight="1">
      <c r="A1539" s="234"/>
      <c r="B1539" s="234"/>
      <c r="C1539" s="234"/>
      <c r="D1539" s="234"/>
      <c r="E1539" s="234"/>
      <c r="F1539" s="234"/>
      <c r="G1539" s="234"/>
      <c r="H1539" s="234"/>
      <c r="I1539" s="234"/>
      <c r="J1539" s="234"/>
    </row>
    <row r="1540" ht="15.75" customHeight="1">
      <c r="A1540" s="234"/>
      <c r="B1540" s="234"/>
      <c r="C1540" s="234"/>
      <c r="D1540" s="234"/>
      <c r="E1540" s="234"/>
      <c r="F1540" s="234"/>
      <c r="G1540" s="234"/>
      <c r="H1540" s="234"/>
      <c r="I1540" s="234"/>
      <c r="J1540" s="234"/>
    </row>
    <row r="1541" ht="15.75" customHeight="1">
      <c r="A1541" s="234"/>
      <c r="B1541" s="234"/>
      <c r="C1541" s="234"/>
      <c r="D1541" s="234"/>
      <c r="E1541" s="234"/>
      <c r="F1541" s="234"/>
      <c r="G1541" s="234"/>
      <c r="H1541" s="234"/>
      <c r="I1541" s="234"/>
      <c r="J1541" s="234"/>
    </row>
    <row r="1542" ht="15.75" customHeight="1">
      <c r="A1542" s="234"/>
      <c r="B1542" s="234"/>
      <c r="C1542" s="234"/>
      <c r="D1542" s="234"/>
      <c r="E1542" s="234"/>
      <c r="F1542" s="234"/>
      <c r="G1542" s="234"/>
      <c r="H1542" s="234"/>
      <c r="I1542" s="234"/>
      <c r="J1542" s="234"/>
    </row>
    <row r="1543" ht="15.75" customHeight="1">
      <c r="A1543" s="234"/>
      <c r="B1543" s="234"/>
      <c r="C1543" s="234"/>
      <c r="D1543" s="234"/>
      <c r="E1543" s="234"/>
      <c r="F1543" s="234"/>
      <c r="G1543" s="234"/>
      <c r="H1543" s="234"/>
      <c r="I1543" s="234"/>
      <c r="J1543" s="234"/>
    </row>
    <row r="1544" ht="15.75" customHeight="1">
      <c r="A1544" s="234"/>
      <c r="B1544" s="234"/>
      <c r="C1544" s="234"/>
      <c r="D1544" s="234"/>
      <c r="E1544" s="234"/>
      <c r="F1544" s="234"/>
      <c r="G1544" s="234"/>
      <c r="H1544" s="234"/>
      <c r="I1544" s="234"/>
      <c r="J1544" s="234"/>
    </row>
    <row r="1545" ht="15.75" customHeight="1">
      <c r="A1545" s="234"/>
      <c r="B1545" s="234"/>
      <c r="C1545" s="234"/>
      <c r="D1545" s="234"/>
      <c r="E1545" s="234"/>
      <c r="F1545" s="234"/>
      <c r="G1545" s="234"/>
      <c r="H1545" s="234"/>
      <c r="I1545" s="234"/>
      <c r="J1545" s="234"/>
    </row>
    <row r="1546" ht="15.75" customHeight="1">
      <c r="A1546" s="234"/>
      <c r="B1546" s="234"/>
      <c r="C1546" s="234"/>
      <c r="D1546" s="234"/>
      <c r="E1546" s="234"/>
      <c r="F1546" s="234"/>
      <c r="G1546" s="234"/>
      <c r="H1546" s="234"/>
      <c r="I1546" s="234"/>
      <c r="J1546" s="234"/>
    </row>
    <row r="1547" ht="15.75" customHeight="1">
      <c r="A1547" s="234"/>
      <c r="B1547" s="234"/>
      <c r="C1547" s="234"/>
      <c r="D1547" s="234"/>
      <c r="E1547" s="234"/>
      <c r="F1547" s="234"/>
      <c r="G1547" s="234"/>
      <c r="H1547" s="234"/>
      <c r="I1547" s="234"/>
      <c r="J1547" s="234"/>
    </row>
    <row r="1548" ht="15.75" customHeight="1">
      <c r="A1548" s="234"/>
      <c r="B1548" s="234"/>
      <c r="C1548" s="234"/>
      <c r="D1548" s="234"/>
      <c r="E1548" s="234"/>
      <c r="F1548" s="234"/>
      <c r="G1548" s="234"/>
      <c r="H1548" s="234"/>
      <c r="I1548" s="234"/>
      <c r="J1548" s="234"/>
    </row>
    <row r="1549" ht="15.75" customHeight="1">
      <c r="A1549" s="234"/>
      <c r="B1549" s="234"/>
      <c r="C1549" s="234"/>
      <c r="D1549" s="234"/>
      <c r="E1549" s="234"/>
      <c r="F1549" s="234"/>
      <c r="G1549" s="234"/>
      <c r="H1549" s="234"/>
      <c r="I1549" s="234"/>
      <c r="J1549" s="234"/>
    </row>
    <row r="1550" ht="15.75" customHeight="1">
      <c r="A1550" s="234"/>
      <c r="B1550" s="234"/>
      <c r="C1550" s="234"/>
      <c r="D1550" s="234"/>
      <c r="E1550" s="234"/>
      <c r="F1550" s="234"/>
      <c r="G1550" s="234"/>
      <c r="H1550" s="234"/>
      <c r="I1550" s="234"/>
      <c r="J1550" s="234"/>
    </row>
    <row r="1551" ht="15.75" customHeight="1">
      <c r="A1551" s="234"/>
      <c r="B1551" s="234"/>
      <c r="C1551" s="234"/>
      <c r="D1551" s="234"/>
      <c r="E1551" s="234"/>
      <c r="F1551" s="234"/>
      <c r="G1551" s="234"/>
      <c r="H1551" s="234"/>
      <c r="I1551" s="234"/>
      <c r="J1551" s="234"/>
    </row>
    <row r="1552" ht="15.75" customHeight="1">
      <c r="A1552" s="234"/>
      <c r="B1552" s="234"/>
      <c r="C1552" s="234"/>
      <c r="D1552" s="234"/>
      <c r="E1552" s="234"/>
      <c r="F1552" s="234"/>
      <c r="G1552" s="234"/>
      <c r="H1552" s="234"/>
      <c r="I1552" s="234"/>
      <c r="J1552" s="234"/>
    </row>
    <row r="1553" ht="15.75" customHeight="1">
      <c r="A1553" s="234"/>
      <c r="B1553" s="234"/>
      <c r="C1553" s="234"/>
      <c r="D1553" s="234"/>
      <c r="E1553" s="234"/>
      <c r="F1553" s="234"/>
      <c r="G1553" s="234"/>
      <c r="H1553" s="234"/>
      <c r="I1553" s="234"/>
      <c r="J1553" s="234"/>
    </row>
    <row r="1554" ht="15.75" customHeight="1">
      <c r="A1554" s="234"/>
      <c r="B1554" s="234"/>
      <c r="C1554" s="234"/>
      <c r="D1554" s="234"/>
      <c r="E1554" s="234"/>
      <c r="F1554" s="234"/>
      <c r="G1554" s="234"/>
      <c r="H1554" s="234"/>
      <c r="I1554" s="234"/>
      <c r="J1554" s="234"/>
    </row>
    <row r="1555" ht="15.75" customHeight="1">
      <c r="A1555" s="234"/>
      <c r="B1555" s="234"/>
      <c r="C1555" s="234"/>
      <c r="D1555" s="234"/>
      <c r="E1555" s="234"/>
      <c r="F1555" s="234"/>
      <c r="G1555" s="234"/>
      <c r="H1555" s="234"/>
      <c r="I1555" s="234"/>
      <c r="J1555" s="234"/>
    </row>
    <row r="1556" ht="15.75" customHeight="1">
      <c r="A1556" s="234"/>
      <c r="B1556" s="234"/>
      <c r="C1556" s="234"/>
      <c r="D1556" s="234"/>
      <c r="E1556" s="234"/>
      <c r="F1556" s="234"/>
      <c r="G1556" s="234"/>
      <c r="H1556" s="234"/>
      <c r="I1556" s="234"/>
      <c r="J1556" s="234"/>
    </row>
    <row r="1557" ht="15.75" customHeight="1">
      <c r="A1557" s="234"/>
      <c r="B1557" s="234"/>
      <c r="C1557" s="234"/>
      <c r="D1557" s="234"/>
      <c r="E1557" s="234"/>
      <c r="F1557" s="234"/>
      <c r="G1557" s="234"/>
      <c r="H1557" s="234"/>
      <c r="I1557" s="234"/>
      <c r="J1557" s="234"/>
    </row>
    <row r="1558" ht="15.75" customHeight="1">
      <c r="A1558" s="234"/>
      <c r="B1558" s="234"/>
      <c r="C1558" s="234"/>
      <c r="D1558" s="234"/>
      <c r="E1558" s="234"/>
      <c r="F1558" s="234"/>
      <c r="G1558" s="234"/>
      <c r="H1558" s="234"/>
      <c r="I1558" s="234"/>
      <c r="J1558" s="234"/>
    </row>
    <row r="1559" ht="15.75" customHeight="1">
      <c r="A1559" s="234"/>
      <c r="B1559" s="234"/>
      <c r="C1559" s="234"/>
      <c r="D1559" s="234"/>
      <c r="E1559" s="234"/>
      <c r="F1559" s="234"/>
      <c r="G1559" s="234"/>
      <c r="H1559" s="234"/>
      <c r="I1559" s="234"/>
      <c r="J1559" s="234"/>
    </row>
    <row r="1560" ht="15.75" customHeight="1">
      <c r="A1560" s="234"/>
      <c r="B1560" s="234"/>
      <c r="C1560" s="234"/>
      <c r="D1560" s="234"/>
      <c r="E1560" s="234"/>
      <c r="F1560" s="234"/>
      <c r="G1560" s="234"/>
      <c r="H1560" s="234"/>
      <c r="I1560" s="234"/>
      <c r="J1560" s="234"/>
    </row>
    <row r="1561" ht="15.75" customHeight="1">
      <c r="A1561" s="234"/>
      <c r="B1561" s="234"/>
      <c r="C1561" s="234"/>
      <c r="D1561" s="234"/>
      <c r="E1561" s="234"/>
      <c r="F1561" s="234"/>
      <c r="G1561" s="234"/>
      <c r="H1561" s="234"/>
      <c r="I1561" s="234"/>
      <c r="J1561" s="234"/>
    </row>
    <row r="1562" ht="15.75" customHeight="1">
      <c r="A1562" s="234"/>
      <c r="B1562" s="234"/>
      <c r="C1562" s="234"/>
      <c r="D1562" s="234"/>
      <c r="E1562" s="234"/>
      <c r="F1562" s="234"/>
      <c r="G1562" s="234"/>
      <c r="H1562" s="234"/>
      <c r="I1562" s="234"/>
      <c r="J1562" s="234"/>
    </row>
    <row r="1563" ht="15.75" customHeight="1">
      <c r="A1563" s="234"/>
      <c r="B1563" s="234"/>
      <c r="C1563" s="234"/>
      <c r="D1563" s="234"/>
      <c r="E1563" s="234"/>
      <c r="F1563" s="234"/>
      <c r="G1563" s="234"/>
      <c r="H1563" s="234"/>
      <c r="I1563" s="234"/>
      <c r="J1563" s="234"/>
    </row>
    <row r="1564" ht="15.75" customHeight="1">
      <c r="A1564" s="234"/>
      <c r="B1564" s="234"/>
      <c r="C1564" s="234"/>
      <c r="D1564" s="234"/>
      <c r="E1564" s="234"/>
      <c r="F1564" s="234"/>
      <c r="G1564" s="234"/>
      <c r="H1564" s="234"/>
      <c r="I1564" s="234"/>
      <c r="J1564" s="234"/>
    </row>
    <row r="1565" ht="15.75" customHeight="1">
      <c r="A1565" s="234"/>
      <c r="B1565" s="234"/>
      <c r="C1565" s="234"/>
      <c r="D1565" s="234"/>
      <c r="E1565" s="234"/>
      <c r="F1565" s="234"/>
      <c r="G1565" s="234"/>
      <c r="H1565" s="234"/>
      <c r="I1565" s="234"/>
      <c r="J1565" s="234"/>
    </row>
    <row r="1566" ht="15.75" customHeight="1">
      <c r="A1566" s="234"/>
      <c r="B1566" s="234"/>
      <c r="C1566" s="234"/>
      <c r="D1566" s="234"/>
      <c r="E1566" s="234"/>
      <c r="F1566" s="234"/>
      <c r="G1566" s="234"/>
      <c r="H1566" s="234"/>
      <c r="I1566" s="234"/>
      <c r="J1566" s="234"/>
    </row>
    <row r="1567" ht="15.75" customHeight="1">
      <c r="A1567" s="234"/>
      <c r="B1567" s="234"/>
      <c r="C1567" s="234"/>
      <c r="D1567" s="234"/>
      <c r="E1567" s="234"/>
      <c r="F1567" s="234"/>
      <c r="G1567" s="234"/>
      <c r="H1567" s="234"/>
      <c r="I1567" s="234"/>
      <c r="J1567" s="234"/>
    </row>
    <row r="1568" ht="15.75" customHeight="1">
      <c r="A1568" s="234"/>
      <c r="B1568" s="234"/>
      <c r="C1568" s="234"/>
      <c r="D1568" s="234"/>
      <c r="E1568" s="234"/>
      <c r="F1568" s="234"/>
      <c r="G1568" s="234"/>
      <c r="H1568" s="234"/>
      <c r="I1568" s="234"/>
      <c r="J1568" s="234"/>
    </row>
    <row r="1569" ht="15.75" customHeight="1">
      <c r="A1569" s="234"/>
      <c r="B1569" s="234"/>
      <c r="C1569" s="234"/>
      <c r="D1569" s="234"/>
      <c r="E1569" s="234"/>
      <c r="F1569" s="234"/>
      <c r="G1569" s="234"/>
      <c r="H1569" s="234"/>
      <c r="I1569" s="234"/>
      <c r="J1569" s="234"/>
    </row>
    <row r="1570" ht="15.75" customHeight="1">
      <c r="A1570" s="234"/>
      <c r="B1570" s="234"/>
      <c r="C1570" s="234"/>
      <c r="D1570" s="234"/>
      <c r="E1570" s="234"/>
      <c r="F1570" s="234"/>
      <c r="G1570" s="234"/>
      <c r="H1570" s="234"/>
      <c r="I1570" s="234"/>
      <c r="J1570" s="234"/>
    </row>
    <row r="1571" ht="15.75" customHeight="1">
      <c r="A1571" s="234"/>
      <c r="B1571" s="234"/>
      <c r="C1571" s="234"/>
      <c r="D1571" s="234"/>
      <c r="E1571" s="234"/>
      <c r="F1571" s="234"/>
      <c r="G1571" s="234"/>
      <c r="H1571" s="234"/>
      <c r="I1571" s="234"/>
      <c r="J1571" s="234"/>
    </row>
    <row r="1572" ht="15.75" customHeight="1">
      <c r="A1572" s="234"/>
      <c r="B1572" s="234"/>
      <c r="C1572" s="234"/>
      <c r="D1572" s="234"/>
      <c r="E1572" s="234"/>
      <c r="F1572" s="234"/>
      <c r="G1572" s="234"/>
      <c r="H1572" s="234"/>
      <c r="I1572" s="234"/>
      <c r="J1572" s="234"/>
    </row>
    <row r="1573" ht="15.75" customHeight="1">
      <c r="A1573" s="234"/>
      <c r="B1573" s="234"/>
      <c r="C1573" s="234"/>
      <c r="D1573" s="234"/>
      <c r="E1573" s="234"/>
      <c r="F1573" s="234"/>
      <c r="G1573" s="234"/>
      <c r="H1573" s="234"/>
      <c r="I1573" s="234"/>
      <c r="J1573" s="234"/>
    </row>
    <row r="1574" ht="15.75" customHeight="1">
      <c r="A1574" s="234"/>
      <c r="B1574" s="234"/>
      <c r="C1574" s="234"/>
      <c r="D1574" s="234"/>
      <c r="E1574" s="234"/>
      <c r="F1574" s="234"/>
      <c r="G1574" s="234"/>
      <c r="H1574" s="234"/>
      <c r="I1574" s="234"/>
      <c r="J1574" s="234"/>
    </row>
    <row r="1575" ht="15.75" customHeight="1">
      <c r="A1575" s="234"/>
      <c r="B1575" s="234"/>
      <c r="C1575" s="234"/>
      <c r="D1575" s="234"/>
      <c r="E1575" s="234"/>
      <c r="F1575" s="234"/>
      <c r="G1575" s="234"/>
      <c r="H1575" s="234"/>
      <c r="I1575" s="234"/>
      <c r="J1575" s="234"/>
    </row>
    <row r="1576" ht="15.75" customHeight="1">
      <c r="A1576" s="234"/>
      <c r="B1576" s="234"/>
      <c r="C1576" s="234"/>
      <c r="D1576" s="234"/>
      <c r="E1576" s="234"/>
      <c r="F1576" s="234"/>
      <c r="G1576" s="234"/>
      <c r="H1576" s="234"/>
      <c r="I1576" s="234"/>
      <c r="J1576" s="234"/>
    </row>
    <row r="1577" ht="15.75" customHeight="1">
      <c r="A1577" s="234"/>
      <c r="B1577" s="234"/>
      <c r="C1577" s="234"/>
      <c r="D1577" s="234"/>
      <c r="E1577" s="234"/>
      <c r="F1577" s="234"/>
      <c r="G1577" s="234"/>
      <c r="H1577" s="234"/>
      <c r="I1577" s="234"/>
      <c r="J1577" s="234"/>
    </row>
    <row r="1578" ht="15.75" customHeight="1">
      <c r="A1578" s="234"/>
      <c r="B1578" s="234"/>
      <c r="C1578" s="234"/>
      <c r="D1578" s="234"/>
      <c r="E1578" s="234"/>
      <c r="F1578" s="234"/>
      <c r="G1578" s="234"/>
      <c r="H1578" s="234"/>
      <c r="I1578" s="234"/>
      <c r="J1578" s="234"/>
    </row>
    <row r="1579" ht="15.75" customHeight="1">
      <c r="A1579" s="234"/>
      <c r="B1579" s="234"/>
      <c r="C1579" s="234"/>
      <c r="D1579" s="234"/>
      <c r="E1579" s="234"/>
      <c r="F1579" s="234"/>
      <c r="G1579" s="234"/>
      <c r="H1579" s="234"/>
      <c r="I1579" s="234"/>
      <c r="J1579" s="234"/>
    </row>
    <row r="1580" ht="15.75" customHeight="1">
      <c r="A1580" s="234"/>
      <c r="B1580" s="234"/>
      <c r="C1580" s="234"/>
      <c r="D1580" s="234"/>
      <c r="E1580" s="234"/>
      <c r="F1580" s="234"/>
      <c r="G1580" s="234"/>
      <c r="H1580" s="234"/>
      <c r="I1580" s="234"/>
      <c r="J1580" s="234"/>
    </row>
    <row r="1581" ht="15.75" customHeight="1">
      <c r="A1581" s="234"/>
      <c r="B1581" s="234"/>
      <c r="C1581" s="234"/>
      <c r="D1581" s="234"/>
      <c r="E1581" s="234"/>
      <c r="F1581" s="234"/>
      <c r="G1581" s="234"/>
      <c r="H1581" s="234"/>
      <c r="I1581" s="234"/>
      <c r="J1581" s="234"/>
    </row>
    <row r="1582" ht="15.75" customHeight="1">
      <c r="A1582" s="234"/>
      <c r="B1582" s="234"/>
      <c r="C1582" s="234"/>
      <c r="D1582" s="234"/>
      <c r="E1582" s="234"/>
      <c r="F1582" s="234"/>
      <c r="G1582" s="234"/>
      <c r="H1582" s="234"/>
      <c r="I1582" s="234"/>
      <c r="J1582" s="234"/>
    </row>
    <row r="1583" ht="15.75" customHeight="1">
      <c r="A1583" s="234"/>
      <c r="B1583" s="234"/>
      <c r="C1583" s="234"/>
      <c r="D1583" s="234"/>
      <c r="E1583" s="234"/>
      <c r="F1583" s="234"/>
      <c r="G1583" s="234"/>
      <c r="H1583" s="234"/>
      <c r="I1583" s="234"/>
      <c r="J1583" s="234"/>
    </row>
    <row r="1584" ht="15.75" customHeight="1">
      <c r="A1584" s="234"/>
      <c r="B1584" s="234"/>
      <c r="C1584" s="234"/>
      <c r="D1584" s="234"/>
      <c r="E1584" s="234"/>
      <c r="F1584" s="234"/>
      <c r="G1584" s="234"/>
      <c r="H1584" s="234"/>
      <c r="I1584" s="234"/>
      <c r="J1584" s="234"/>
    </row>
    <row r="1585" ht="15.75" customHeight="1">
      <c r="A1585" s="234"/>
      <c r="B1585" s="234"/>
      <c r="C1585" s="234"/>
      <c r="D1585" s="234"/>
      <c r="E1585" s="234"/>
      <c r="F1585" s="234"/>
      <c r="G1585" s="234"/>
      <c r="H1585" s="234"/>
      <c r="I1585" s="234"/>
      <c r="J1585" s="234"/>
    </row>
    <row r="1586" ht="15.75" customHeight="1">
      <c r="A1586" s="234"/>
      <c r="B1586" s="234"/>
      <c r="C1586" s="234"/>
      <c r="D1586" s="234"/>
      <c r="E1586" s="234"/>
      <c r="F1586" s="234"/>
      <c r="G1586" s="234"/>
      <c r="H1586" s="234"/>
      <c r="I1586" s="234"/>
      <c r="J1586" s="234"/>
    </row>
    <row r="1587" ht="15.75" customHeight="1">
      <c r="A1587" s="234"/>
      <c r="B1587" s="234"/>
      <c r="C1587" s="234"/>
      <c r="D1587" s="234"/>
      <c r="E1587" s="234"/>
      <c r="F1587" s="234"/>
      <c r="G1587" s="234"/>
      <c r="H1587" s="234"/>
      <c r="I1587" s="234"/>
      <c r="J1587" s="234"/>
    </row>
    <row r="1588" ht="15.75" customHeight="1">
      <c r="A1588" s="234"/>
      <c r="B1588" s="234"/>
      <c r="C1588" s="234"/>
      <c r="D1588" s="234"/>
      <c r="E1588" s="234"/>
      <c r="F1588" s="234"/>
      <c r="G1588" s="234"/>
      <c r="H1588" s="234"/>
      <c r="I1588" s="234"/>
      <c r="J1588" s="234"/>
    </row>
    <row r="1589" ht="15.75" customHeight="1">
      <c r="A1589" s="234"/>
      <c r="B1589" s="234"/>
      <c r="C1589" s="234"/>
      <c r="D1589" s="234"/>
      <c r="E1589" s="234"/>
      <c r="F1589" s="234"/>
      <c r="G1589" s="234"/>
      <c r="H1589" s="234"/>
      <c r="I1589" s="234"/>
      <c r="J1589" s="234"/>
    </row>
    <row r="1590" ht="15.75" customHeight="1">
      <c r="A1590" s="234"/>
      <c r="B1590" s="234"/>
      <c r="C1590" s="234"/>
      <c r="D1590" s="234"/>
      <c r="E1590" s="234"/>
      <c r="F1590" s="234"/>
      <c r="G1590" s="234"/>
      <c r="H1590" s="234"/>
      <c r="I1590" s="234"/>
      <c r="J1590" s="234"/>
    </row>
    <row r="1591" ht="15.75" customHeight="1">
      <c r="A1591" s="234"/>
      <c r="B1591" s="234"/>
      <c r="C1591" s="234"/>
      <c r="D1591" s="234"/>
      <c r="E1591" s="234"/>
      <c r="F1591" s="234"/>
      <c r="G1591" s="234"/>
      <c r="H1591" s="234"/>
      <c r="I1591" s="234"/>
      <c r="J1591" s="234"/>
    </row>
    <row r="1592" ht="15.75" customHeight="1">
      <c r="A1592" s="234"/>
      <c r="B1592" s="234"/>
      <c r="C1592" s="234"/>
      <c r="D1592" s="234"/>
      <c r="E1592" s="234"/>
      <c r="F1592" s="234"/>
      <c r="G1592" s="234"/>
      <c r="H1592" s="234"/>
      <c r="I1592" s="234"/>
      <c r="J1592" s="234"/>
    </row>
    <row r="1593" ht="15.75" customHeight="1">
      <c r="A1593" s="234"/>
      <c r="B1593" s="234"/>
      <c r="C1593" s="234"/>
      <c r="D1593" s="234"/>
      <c r="E1593" s="234"/>
      <c r="F1593" s="234"/>
      <c r="G1593" s="234"/>
      <c r="H1593" s="234"/>
      <c r="I1593" s="234"/>
      <c r="J1593" s="234"/>
    </row>
    <row r="1594" ht="15.75" customHeight="1">
      <c r="A1594" s="234"/>
      <c r="B1594" s="234"/>
      <c r="C1594" s="234"/>
      <c r="D1594" s="234"/>
      <c r="E1594" s="234"/>
      <c r="F1594" s="234"/>
      <c r="G1594" s="234"/>
      <c r="H1594" s="234"/>
      <c r="I1594" s="234"/>
      <c r="J1594" s="234"/>
    </row>
    <row r="1595" ht="15.75" customHeight="1">
      <c r="A1595" s="234"/>
      <c r="B1595" s="234"/>
      <c r="C1595" s="234"/>
      <c r="D1595" s="234"/>
      <c r="E1595" s="234"/>
      <c r="F1595" s="234"/>
      <c r="G1595" s="234"/>
      <c r="H1595" s="234"/>
      <c r="I1595" s="234"/>
      <c r="J1595" s="234"/>
    </row>
    <row r="1596" ht="15.75" customHeight="1">
      <c r="A1596" s="234"/>
      <c r="B1596" s="234"/>
      <c r="C1596" s="234"/>
      <c r="D1596" s="234"/>
      <c r="E1596" s="234"/>
      <c r="F1596" s="234"/>
      <c r="G1596" s="234"/>
      <c r="H1596" s="234"/>
      <c r="I1596" s="234"/>
      <c r="J1596" s="234"/>
    </row>
    <row r="1597" ht="15.75" customHeight="1">
      <c r="A1597" s="234"/>
      <c r="B1597" s="234"/>
      <c r="C1597" s="234"/>
      <c r="D1597" s="234"/>
      <c r="E1597" s="234"/>
      <c r="F1597" s="234"/>
      <c r="G1597" s="234"/>
      <c r="H1597" s="234"/>
      <c r="I1597" s="234"/>
      <c r="J1597" s="234"/>
    </row>
    <row r="1598" ht="15.75" customHeight="1">
      <c r="A1598" s="234"/>
      <c r="B1598" s="234"/>
      <c r="C1598" s="234"/>
      <c r="D1598" s="234"/>
      <c r="E1598" s="234"/>
      <c r="F1598" s="234"/>
      <c r="G1598" s="234"/>
      <c r="H1598" s="234"/>
      <c r="I1598" s="234"/>
      <c r="J1598" s="234"/>
    </row>
    <row r="1599" ht="15.75" customHeight="1">
      <c r="A1599" s="234"/>
      <c r="B1599" s="234"/>
      <c r="C1599" s="234"/>
      <c r="D1599" s="234"/>
      <c r="E1599" s="234"/>
      <c r="F1599" s="234"/>
      <c r="G1599" s="234"/>
      <c r="H1599" s="234"/>
      <c r="I1599" s="234"/>
      <c r="J1599" s="234"/>
    </row>
    <row r="1600" ht="15.75" customHeight="1">
      <c r="A1600" s="234"/>
      <c r="B1600" s="234"/>
      <c r="C1600" s="234"/>
      <c r="D1600" s="234"/>
      <c r="E1600" s="234"/>
      <c r="F1600" s="234"/>
      <c r="G1600" s="234"/>
      <c r="H1600" s="234"/>
      <c r="I1600" s="234"/>
      <c r="J1600" s="234"/>
    </row>
    <row r="1601" ht="15.75" customHeight="1">
      <c r="A1601" s="234"/>
      <c r="B1601" s="234"/>
      <c r="C1601" s="234"/>
      <c r="D1601" s="234"/>
      <c r="E1601" s="234"/>
      <c r="F1601" s="234"/>
      <c r="G1601" s="234"/>
      <c r="H1601" s="234"/>
      <c r="I1601" s="234"/>
      <c r="J1601" s="234"/>
    </row>
    <row r="1602" ht="15.75" customHeight="1">
      <c r="A1602" s="234"/>
      <c r="B1602" s="234"/>
      <c r="C1602" s="234"/>
      <c r="D1602" s="234"/>
      <c r="E1602" s="234"/>
      <c r="F1602" s="234"/>
      <c r="G1602" s="234"/>
      <c r="H1602" s="234"/>
      <c r="I1602" s="234"/>
      <c r="J1602" s="234"/>
    </row>
    <row r="1603" ht="15.75" customHeight="1">
      <c r="A1603" s="234"/>
      <c r="B1603" s="234"/>
      <c r="C1603" s="234"/>
      <c r="D1603" s="234"/>
      <c r="E1603" s="234"/>
      <c r="F1603" s="234"/>
      <c r="G1603" s="234"/>
      <c r="H1603" s="234"/>
      <c r="I1603" s="234"/>
      <c r="J1603" s="234"/>
    </row>
    <row r="1604" ht="15.75" customHeight="1">
      <c r="A1604" s="234"/>
      <c r="B1604" s="234"/>
      <c r="C1604" s="234"/>
      <c r="D1604" s="234"/>
      <c r="E1604" s="234"/>
      <c r="F1604" s="234"/>
      <c r="G1604" s="234"/>
      <c r="H1604" s="234"/>
      <c r="I1604" s="234"/>
      <c r="J1604" s="234"/>
    </row>
    <row r="1605" ht="15.75" customHeight="1">
      <c r="A1605" s="234"/>
      <c r="B1605" s="234"/>
      <c r="C1605" s="234"/>
      <c r="D1605" s="234"/>
      <c r="E1605" s="234"/>
      <c r="F1605" s="234"/>
      <c r="G1605" s="234"/>
      <c r="H1605" s="234"/>
      <c r="I1605" s="234"/>
      <c r="J1605" s="234"/>
    </row>
    <row r="1606" ht="15.75" customHeight="1">
      <c r="A1606" s="234"/>
      <c r="B1606" s="234"/>
      <c r="C1606" s="234"/>
      <c r="D1606" s="234"/>
      <c r="E1606" s="234"/>
      <c r="F1606" s="234"/>
      <c r="G1606" s="234"/>
      <c r="H1606" s="234"/>
      <c r="I1606" s="234"/>
      <c r="J1606" s="234"/>
    </row>
    <row r="1607" ht="15.75" customHeight="1">
      <c r="A1607" s="234"/>
      <c r="B1607" s="234"/>
      <c r="C1607" s="234"/>
      <c r="D1607" s="234"/>
      <c r="E1607" s="234"/>
      <c r="F1607" s="234"/>
      <c r="G1607" s="234"/>
      <c r="H1607" s="234"/>
      <c r="I1607" s="234"/>
      <c r="J1607" s="234"/>
    </row>
    <row r="1608" ht="15.75" customHeight="1">
      <c r="A1608" s="234"/>
      <c r="B1608" s="234"/>
      <c r="C1608" s="234"/>
      <c r="D1608" s="234"/>
      <c r="E1608" s="234"/>
      <c r="F1608" s="234"/>
      <c r="G1608" s="234"/>
      <c r="H1608" s="234"/>
      <c r="I1608" s="234"/>
      <c r="J1608" s="234"/>
    </row>
    <row r="1609" ht="15.75" customHeight="1">
      <c r="A1609" s="234"/>
      <c r="B1609" s="234"/>
      <c r="C1609" s="234"/>
      <c r="D1609" s="234"/>
      <c r="E1609" s="234"/>
      <c r="F1609" s="234"/>
      <c r="G1609" s="234"/>
      <c r="H1609" s="234"/>
      <c r="I1609" s="234"/>
      <c r="J1609" s="234"/>
    </row>
    <row r="1610" ht="15.75" customHeight="1">
      <c r="A1610" s="234"/>
      <c r="B1610" s="234"/>
      <c r="C1610" s="234"/>
      <c r="D1610" s="234"/>
      <c r="E1610" s="234"/>
      <c r="F1610" s="234"/>
      <c r="G1610" s="234"/>
      <c r="H1610" s="234"/>
      <c r="I1610" s="234"/>
      <c r="J1610" s="234"/>
    </row>
    <row r="1611" ht="15.75" customHeight="1">
      <c r="A1611" s="234"/>
      <c r="B1611" s="234"/>
      <c r="C1611" s="234"/>
      <c r="D1611" s="234"/>
      <c r="E1611" s="234"/>
      <c r="F1611" s="234"/>
      <c r="G1611" s="234"/>
      <c r="H1611" s="234"/>
      <c r="I1611" s="234"/>
      <c r="J1611" s="234"/>
    </row>
    <row r="1612" ht="15.75" customHeight="1">
      <c r="A1612" s="234"/>
      <c r="B1612" s="234"/>
      <c r="C1612" s="234"/>
      <c r="D1612" s="234"/>
      <c r="E1612" s="234"/>
      <c r="F1612" s="234"/>
      <c r="G1612" s="234"/>
      <c r="H1612" s="234"/>
      <c r="I1612" s="234"/>
      <c r="J1612" s="234"/>
    </row>
    <row r="1613" ht="15.75" customHeight="1">
      <c r="A1613" s="234"/>
      <c r="B1613" s="234"/>
      <c r="C1613" s="234"/>
      <c r="D1613" s="234"/>
      <c r="E1613" s="234"/>
      <c r="F1613" s="234"/>
      <c r="G1613" s="234"/>
      <c r="H1613" s="234"/>
      <c r="I1613" s="234"/>
      <c r="J1613" s="234"/>
    </row>
    <row r="1614" ht="15.75" customHeight="1">
      <c r="A1614" s="234"/>
      <c r="B1614" s="234"/>
      <c r="C1614" s="234"/>
      <c r="D1614" s="234"/>
      <c r="E1614" s="234"/>
      <c r="F1614" s="234"/>
      <c r="G1614" s="234"/>
      <c r="H1614" s="234"/>
      <c r="I1614" s="234"/>
      <c r="J1614" s="234"/>
    </row>
    <row r="1615" ht="15.75" customHeight="1">
      <c r="A1615" s="234"/>
      <c r="B1615" s="234"/>
      <c r="C1615" s="234"/>
      <c r="D1615" s="234"/>
      <c r="E1615" s="234"/>
      <c r="F1615" s="234"/>
      <c r="G1615" s="234"/>
      <c r="H1615" s="234"/>
      <c r="I1615" s="234"/>
      <c r="J1615" s="234"/>
    </row>
    <row r="1616" ht="15.75" customHeight="1">
      <c r="A1616" s="234"/>
      <c r="B1616" s="234"/>
      <c r="C1616" s="234"/>
      <c r="D1616" s="234"/>
      <c r="E1616" s="234"/>
      <c r="F1616" s="234"/>
      <c r="G1616" s="234"/>
      <c r="H1616" s="234"/>
      <c r="I1616" s="234"/>
      <c r="J1616" s="234"/>
    </row>
    <row r="1617" ht="15.75" customHeight="1">
      <c r="A1617" s="234"/>
      <c r="B1617" s="234"/>
      <c r="C1617" s="234"/>
      <c r="D1617" s="234"/>
      <c r="E1617" s="234"/>
      <c r="F1617" s="234"/>
      <c r="G1617" s="234"/>
      <c r="H1617" s="234"/>
      <c r="I1617" s="234"/>
      <c r="J1617" s="234"/>
    </row>
    <row r="1618" ht="15.75" customHeight="1">
      <c r="A1618" s="234"/>
      <c r="B1618" s="234"/>
      <c r="C1618" s="234"/>
      <c r="D1618" s="234"/>
      <c r="E1618" s="234"/>
      <c r="F1618" s="234"/>
      <c r="G1618" s="234"/>
      <c r="H1618" s="234"/>
      <c r="I1618" s="234"/>
      <c r="J1618" s="234"/>
    </row>
    <row r="1619" ht="15.75" customHeight="1">
      <c r="A1619" s="234"/>
      <c r="B1619" s="234"/>
      <c r="C1619" s="234"/>
      <c r="D1619" s="234"/>
      <c r="E1619" s="234"/>
      <c r="F1619" s="234"/>
      <c r="G1619" s="234"/>
      <c r="H1619" s="234"/>
      <c r="I1619" s="234"/>
      <c r="J1619" s="234"/>
    </row>
    <row r="1620" ht="15.75" customHeight="1">
      <c r="A1620" s="234"/>
      <c r="B1620" s="234"/>
      <c r="C1620" s="234"/>
      <c r="D1620" s="234"/>
      <c r="E1620" s="234"/>
      <c r="F1620" s="234"/>
      <c r="G1620" s="234"/>
      <c r="H1620" s="234"/>
      <c r="I1620" s="234"/>
      <c r="J1620" s="234"/>
    </row>
    <row r="1621" ht="15.75" customHeight="1">
      <c r="A1621" s="234"/>
      <c r="B1621" s="234"/>
      <c r="C1621" s="234"/>
      <c r="D1621" s="234"/>
      <c r="E1621" s="234"/>
      <c r="F1621" s="234"/>
      <c r="G1621" s="234"/>
      <c r="H1621" s="234"/>
      <c r="I1621" s="234"/>
      <c r="J1621" s="234"/>
    </row>
    <row r="1622" ht="15.75" customHeight="1">
      <c r="A1622" s="234"/>
      <c r="B1622" s="234"/>
      <c r="C1622" s="234"/>
      <c r="D1622" s="234"/>
      <c r="E1622" s="234"/>
      <c r="F1622" s="234"/>
      <c r="G1622" s="234"/>
      <c r="H1622" s="234"/>
      <c r="I1622" s="234"/>
      <c r="J1622" s="234"/>
    </row>
    <row r="1623" ht="15.75" customHeight="1">
      <c r="A1623" s="234"/>
      <c r="B1623" s="234"/>
      <c r="C1623" s="234"/>
      <c r="D1623" s="234"/>
      <c r="E1623" s="234"/>
      <c r="F1623" s="234"/>
      <c r="G1623" s="234"/>
      <c r="H1623" s="234"/>
      <c r="I1623" s="234"/>
      <c r="J1623" s="234"/>
    </row>
    <row r="1624" ht="15.75" customHeight="1">
      <c r="A1624" s="234"/>
      <c r="B1624" s="234"/>
      <c r="C1624" s="234"/>
      <c r="D1624" s="234"/>
      <c r="E1624" s="234"/>
      <c r="F1624" s="234"/>
      <c r="G1624" s="234"/>
      <c r="H1624" s="234"/>
      <c r="I1624" s="234"/>
      <c r="J1624" s="234"/>
    </row>
    <row r="1625" ht="15.75" customHeight="1">
      <c r="A1625" s="234"/>
      <c r="B1625" s="234"/>
      <c r="C1625" s="234"/>
      <c r="D1625" s="234"/>
      <c r="E1625" s="234"/>
      <c r="F1625" s="234"/>
      <c r="G1625" s="234"/>
      <c r="H1625" s="234"/>
      <c r="I1625" s="234"/>
      <c r="J1625" s="234"/>
    </row>
    <row r="1626" ht="15.75" customHeight="1">
      <c r="A1626" s="234"/>
      <c r="B1626" s="234"/>
      <c r="C1626" s="234"/>
      <c r="D1626" s="234"/>
      <c r="E1626" s="234"/>
      <c r="F1626" s="234"/>
      <c r="G1626" s="234"/>
      <c r="H1626" s="234"/>
      <c r="I1626" s="234"/>
      <c r="J1626" s="234"/>
    </row>
    <row r="1627" ht="15.75" customHeight="1">
      <c r="A1627" s="234"/>
      <c r="B1627" s="234"/>
      <c r="C1627" s="234"/>
      <c r="D1627" s="234"/>
      <c r="E1627" s="234"/>
      <c r="F1627" s="234"/>
      <c r="G1627" s="234"/>
      <c r="H1627" s="234"/>
      <c r="I1627" s="234"/>
      <c r="J1627" s="234"/>
    </row>
    <row r="1628" ht="15.75" customHeight="1">
      <c r="A1628" s="234"/>
      <c r="B1628" s="234"/>
      <c r="C1628" s="234"/>
      <c r="D1628" s="234"/>
      <c r="E1628" s="234"/>
      <c r="F1628" s="234"/>
      <c r="G1628" s="234"/>
      <c r="H1628" s="234"/>
      <c r="I1628" s="234"/>
      <c r="J1628" s="234"/>
    </row>
    <row r="1629" ht="15.75" customHeight="1">
      <c r="A1629" s="234"/>
      <c r="B1629" s="234"/>
      <c r="C1629" s="234"/>
      <c r="D1629" s="234"/>
      <c r="E1629" s="234"/>
      <c r="F1629" s="234"/>
      <c r="G1629" s="234"/>
      <c r="H1629" s="234"/>
      <c r="I1629" s="234"/>
      <c r="J1629" s="234"/>
    </row>
    <row r="1630" ht="15.75" customHeight="1">
      <c r="A1630" s="234"/>
      <c r="B1630" s="234"/>
      <c r="C1630" s="234"/>
      <c r="D1630" s="234"/>
      <c r="E1630" s="234"/>
      <c r="F1630" s="234"/>
      <c r="G1630" s="234"/>
      <c r="H1630" s="234"/>
      <c r="I1630" s="234"/>
      <c r="J1630" s="234"/>
    </row>
    <row r="1631" ht="15.75" customHeight="1">
      <c r="A1631" s="234"/>
      <c r="B1631" s="234"/>
      <c r="C1631" s="234"/>
      <c r="D1631" s="234"/>
      <c r="E1631" s="234"/>
      <c r="F1631" s="234"/>
      <c r="G1631" s="234"/>
      <c r="H1631" s="234"/>
      <c r="I1631" s="234"/>
      <c r="J1631" s="234"/>
    </row>
    <row r="1632" ht="15.75" customHeight="1">
      <c r="A1632" s="234"/>
      <c r="B1632" s="234"/>
      <c r="C1632" s="234"/>
      <c r="D1632" s="234"/>
      <c r="E1632" s="234"/>
      <c r="F1632" s="234"/>
      <c r="G1632" s="234"/>
      <c r="H1632" s="234"/>
      <c r="I1632" s="234"/>
      <c r="J1632" s="234"/>
    </row>
    <row r="1633" ht="15.75" customHeight="1">
      <c r="A1633" s="234"/>
      <c r="B1633" s="234"/>
      <c r="C1633" s="234"/>
      <c r="D1633" s="234"/>
      <c r="E1633" s="234"/>
      <c r="F1633" s="234"/>
      <c r="G1633" s="234"/>
      <c r="H1633" s="234"/>
      <c r="I1633" s="234"/>
      <c r="J1633" s="234"/>
    </row>
    <row r="1634" ht="15.75" customHeight="1">
      <c r="A1634" s="234"/>
      <c r="B1634" s="234"/>
      <c r="C1634" s="234"/>
      <c r="D1634" s="234"/>
      <c r="E1634" s="234"/>
      <c r="F1634" s="234"/>
      <c r="G1634" s="234"/>
      <c r="H1634" s="234"/>
      <c r="I1634" s="234"/>
      <c r="J1634" s="234"/>
    </row>
    <row r="1635" ht="15.75" customHeight="1">
      <c r="A1635" s="234"/>
      <c r="B1635" s="234"/>
      <c r="C1635" s="234"/>
      <c r="D1635" s="234"/>
      <c r="E1635" s="234"/>
      <c r="F1635" s="234"/>
      <c r="G1635" s="234"/>
      <c r="H1635" s="234"/>
      <c r="I1635" s="234"/>
      <c r="J1635" s="234"/>
    </row>
    <row r="1636" ht="15.75" customHeight="1">
      <c r="A1636" s="234"/>
      <c r="B1636" s="234"/>
      <c r="C1636" s="234"/>
      <c r="D1636" s="234"/>
      <c r="E1636" s="234"/>
      <c r="F1636" s="234"/>
      <c r="G1636" s="234"/>
      <c r="H1636" s="234"/>
      <c r="I1636" s="234"/>
      <c r="J1636" s="234"/>
    </row>
    <row r="1637" ht="15.75" customHeight="1">
      <c r="A1637" s="234"/>
      <c r="B1637" s="234"/>
      <c r="C1637" s="234"/>
      <c r="D1637" s="234"/>
      <c r="E1637" s="234"/>
      <c r="F1637" s="234"/>
      <c r="G1637" s="234"/>
      <c r="H1637" s="234"/>
      <c r="I1637" s="234"/>
      <c r="J1637" s="234"/>
    </row>
    <row r="1638" ht="15.75" customHeight="1">
      <c r="A1638" s="234"/>
      <c r="B1638" s="234"/>
      <c r="C1638" s="234"/>
      <c r="D1638" s="234"/>
      <c r="E1638" s="234"/>
      <c r="F1638" s="234"/>
      <c r="G1638" s="234"/>
      <c r="H1638" s="234"/>
      <c r="I1638" s="234"/>
      <c r="J1638" s="234"/>
    </row>
    <row r="1639" ht="15.75" customHeight="1">
      <c r="A1639" s="234"/>
      <c r="B1639" s="234"/>
      <c r="C1639" s="234"/>
      <c r="D1639" s="234"/>
      <c r="E1639" s="234"/>
      <c r="F1639" s="234"/>
      <c r="G1639" s="234"/>
      <c r="H1639" s="234"/>
      <c r="I1639" s="234"/>
      <c r="J1639" s="234"/>
    </row>
    <row r="1640" ht="15.75" customHeight="1">
      <c r="A1640" s="234"/>
      <c r="B1640" s="234"/>
      <c r="C1640" s="234"/>
      <c r="D1640" s="234"/>
      <c r="E1640" s="234"/>
      <c r="F1640" s="234"/>
      <c r="G1640" s="234"/>
      <c r="H1640" s="234"/>
      <c r="I1640" s="234"/>
      <c r="J1640" s="234"/>
    </row>
    <row r="1641" ht="15.75" customHeight="1">
      <c r="A1641" s="234"/>
      <c r="B1641" s="234"/>
      <c r="C1641" s="234"/>
      <c r="D1641" s="234"/>
      <c r="E1641" s="234"/>
      <c r="F1641" s="234"/>
      <c r="G1641" s="234"/>
      <c r="H1641" s="234"/>
      <c r="I1641" s="234"/>
      <c r="J1641" s="234"/>
    </row>
    <row r="1642" ht="15.75" customHeight="1">
      <c r="A1642" s="234"/>
      <c r="B1642" s="234"/>
      <c r="C1642" s="234"/>
      <c r="D1642" s="234"/>
      <c r="E1642" s="234"/>
      <c r="F1642" s="234"/>
      <c r="G1642" s="234"/>
      <c r="H1642" s="234"/>
      <c r="I1642" s="234"/>
      <c r="J1642" s="234"/>
    </row>
    <row r="1643" ht="15.75" customHeight="1">
      <c r="A1643" s="234"/>
      <c r="B1643" s="234"/>
      <c r="C1643" s="234"/>
      <c r="D1643" s="234"/>
      <c r="E1643" s="234"/>
      <c r="F1643" s="234"/>
      <c r="G1643" s="234"/>
      <c r="H1643" s="234"/>
      <c r="I1643" s="234"/>
      <c r="J1643" s="234"/>
    </row>
    <row r="1644" ht="15.75" customHeight="1">
      <c r="A1644" s="234"/>
      <c r="B1644" s="234"/>
      <c r="C1644" s="234"/>
      <c r="D1644" s="234"/>
      <c r="E1644" s="234"/>
      <c r="F1644" s="234"/>
      <c r="G1644" s="234"/>
      <c r="H1644" s="234"/>
      <c r="I1644" s="234"/>
      <c r="J1644" s="234"/>
    </row>
    <row r="1645" ht="15.75" customHeight="1">
      <c r="A1645" s="234"/>
      <c r="B1645" s="234"/>
      <c r="C1645" s="234"/>
      <c r="D1645" s="234"/>
      <c r="E1645" s="234"/>
      <c r="F1645" s="234"/>
      <c r="G1645" s="234"/>
      <c r="H1645" s="234"/>
      <c r="I1645" s="234"/>
      <c r="J1645" s="234"/>
    </row>
    <row r="1646" ht="15.75" customHeight="1">
      <c r="A1646" s="234"/>
      <c r="B1646" s="234"/>
      <c r="C1646" s="234"/>
      <c r="D1646" s="234"/>
      <c r="E1646" s="234"/>
      <c r="F1646" s="234"/>
      <c r="G1646" s="234"/>
      <c r="H1646" s="234"/>
      <c r="I1646" s="234"/>
      <c r="J1646" s="234"/>
    </row>
    <row r="1647" ht="15.75" customHeight="1">
      <c r="A1647" s="234"/>
      <c r="B1647" s="234"/>
      <c r="C1647" s="234"/>
      <c r="D1647" s="234"/>
      <c r="E1647" s="234"/>
      <c r="F1647" s="234"/>
      <c r="G1647" s="234"/>
      <c r="H1647" s="234"/>
      <c r="I1647" s="234"/>
      <c r="J1647" s="234"/>
    </row>
    <row r="1648" ht="15.75" customHeight="1">
      <c r="A1648" s="234"/>
      <c r="B1648" s="234"/>
      <c r="C1648" s="234"/>
      <c r="D1648" s="234"/>
      <c r="E1648" s="234"/>
      <c r="F1648" s="234"/>
      <c r="G1648" s="234"/>
      <c r="H1648" s="234"/>
      <c r="I1648" s="234"/>
      <c r="J1648" s="234"/>
    </row>
    <row r="1649" ht="15.75" customHeight="1">
      <c r="A1649" s="234"/>
      <c r="B1649" s="234"/>
      <c r="C1649" s="234"/>
      <c r="D1649" s="234"/>
      <c r="E1649" s="234"/>
      <c r="F1649" s="234"/>
      <c r="G1649" s="234"/>
      <c r="H1649" s="234"/>
      <c r="I1649" s="234"/>
      <c r="J1649" s="234"/>
    </row>
    <row r="1650" ht="15.75" customHeight="1">
      <c r="A1650" s="234"/>
      <c r="B1650" s="234"/>
      <c r="C1650" s="234"/>
      <c r="D1650" s="234"/>
      <c r="E1650" s="234"/>
      <c r="F1650" s="234"/>
      <c r="G1650" s="234"/>
      <c r="H1650" s="234"/>
      <c r="I1650" s="234"/>
      <c r="J1650" s="234"/>
    </row>
    <row r="1651" ht="15.75" customHeight="1">
      <c r="A1651" s="234"/>
      <c r="B1651" s="234"/>
      <c r="C1651" s="234"/>
      <c r="D1651" s="234"/>
      <c r="E1651" s="234"/>
      <c r="F1651" s="234"/>
      <c r="G1651" s="234"/>
      <c r="H1651" s="234"/>
      <c r="I1651" s="234"/>
      <c r="J1651" s="234"/>
    </row>
    <row r="1652" ht="15.75" customHeight="1">
      <c r="A1652" s="234"/>
      <c r="B1652" s="234"/>
      <c r="C1652" s="234"/>
      <c r="D1652" s="234"/>
      <c r="E1652" s="234"/>
      <c r="F1652" s="234"/>
      <c r="G1652" s="234"/>
      <c r="H1652" s="234"/>
      <c r="I1652" s="234"/>
      <c r="J1652" s="234"/>
    </row>
    <row r="1653" ht="15.75" customHeight="1">
      <c r="A1653" s="234"/>
      <c r="B1653" s="234"/>
      <c r="C1653" s="234"/>
      <c r="D1653" s="234"/>
      <c r="E1653" s="234"/>
      <c r="F1653" s="234"/>
      <c r="G1653" s="234"/>
      <c r="H1653" s="234"/>
      <c r="I1653" s="234"/>
      <c r="J1653" s="234"/>
    </row>
    <row r="1654" ht="15.75" customHeight="1">
      <c r="A1654" s="234"/>
      <c r="B1654" s="234"/>
      <c r="C1654" s="234"/>
      <c r="D1654" s="234"/>
      <c r="E1654" s="234"/>
      <c r="F1654" s="234"/>
      <c r="G1654" s="234"/>
      <c r="H1654" s="234"/>
      <c r="I1654" s="234"/>
      <c r="J1654" s="234"/>
    </row>
    <row r="1655" ht="15.75" customHeight="1">
      <c r="A1655" s="234"/>
      <c r="B1655" s="234"/>
      <c r="C1655" s="234"/>
      <c r="D1655" s="234"/>
      <c r="E1655" s="234"/>
      <c r="F1655" s="234"/>
      <c r="G1655" s="234"/>
      <c r="H1655" s="234"/>
      <c r="I1655" s="234"/>
      <c r="J1655" s="234"/>
    </row>
    <row r="1656" ht="15.75" customHeight="1">
      <c r="A1656" s="234"/>
      <c r="B1656" s="234"/>
      <c r="C1656" s="234"/>
      <c r="D1656" s="234"/>
      <c r="E1656" s="234"/>
      <c r="F1656" s="234"/>
      <c r="G1656" s="234"/>
      <c r="H1656" s="234"/>
      <c r="I1656" s="234"/>
      <c r="J1656" s="234"/>
    </row>
    <row r="1657" ht="15.75" customHeight="1">
      <c r="A1657" s="234"/>
      <c r="B1657" s="234"/>
      <c r="C1657" s="234"/>
      <c r="D1657" s="234"/>
      <c r="E1657" s="234"/>
      <c r="F1657" s="234"/>
      <c r="G1657" s="234"/>
      <c r="H1657" s="234"/>
      <c r="I1657" s="234"/>
      <c r="J1657" s="234"/>
    </row>
    <row r="1658" ht="15.75" customHeight="1">
      <c r="A1658" s="234"/>
      <c r="B1658" s="234"/>
      <c r="C1658" s="234"/>
      <c r="D1658" s="234"/>
      <c r="E1658" s="234"/>
      <c r="F1658" s="234"/>
      <c r="G1658" s="234"/>
      <c r="H1658" s="234"/>
      <c r="I1658" s="234"/>
      <c r="J1658" s="234"/>
    </row>
    <row r="1659" ht="15.75" customHeight="1">
      <c r="A1659" s="234"/>
      <c r="B1659" s="234"/>
      <c r="C1659" s="234"/>
      <c r="D1659" s="234"/>
      <c r="E1659" s="234"/>
      <c r="F1659" s="234"/>
      <c r="G1659" s="234"/>
      <c r="H1659" s="234"/>
      <c r="I1659" s="234"/>
      <c r="J1659" s="234"/>
    </row>
    <row r="1660" ht="15.75" customHeight="1">
      <c r="A1660" s="234"/>
      <c r="B1660" s="234"/>
      <c r="C1660" s="234"/>
      <c r="D1660" s="234"/>
      <c r="E1660" s="234"/>
      <c r="F1660" s="234"/>
      <c r="G1660" s="234"/>
      <c r="H1660" s="234"/>
      <c r="I1660" s="234"/>
      <c r="J1660" s="234"/>
    </row>
    <row r="1661" ht="15.75" customHeight="1">
      <c r="A1661" s="234"/>
      <c r="B1661" s="234"/>
      <c r="C1661" s="234"/>
      <c r="D1661" s="234"/>
      <c r="E1661" s="234"/>
      <c r="F1661" s="234"/>
      <c r="G1661" s="234"/>
      <c r="H1661" s="234"/>
      <c r="I1661" s="234"/>
      <c r="J1661" s="234"/>
    </row>
    <row r="1662" ht="15.75" customHeight="1">
      <c r="A1662" s="234"/>
      <c r="B1662" s="234"/>
      <c r="C1662" s="234"/>
      <c r="D1662" s="234"/>
      <c r="E1662" s="234"/>
      <c r="F1662" s="234"/>
      <c r="G1662" s="234"/>
      <c r="H1662" s="234"/>
      <c r="I1662" s="234"/>
      <c r="J1662" s="234"/>
    </row>
    <row r="1663" ht="15.75" customHeight="1">
      <c r="A1663" s="234"/>
      <c r="B1663" s="234"/>
      <c r="C1663" s="234"/>
      <c r="D1663" s="234"/>
      <c r="E1663" s="234"/>
      <c r="F1663" s="234"/>
      <c r="G1663" s="234"/>
      <c r="H1663" s="234"/>
      <c r="I1663" s="234"/>
      <c r="J1663" s="234"/>
    </row>
    <row r="1664" ht="15.75" customHeight="1">
      <c r="A1664" s="234"/>
      <c r="B1664" s="234"/>
      <c r="C1664" s="234"/>
      <c r="D1664" s="234"/>
      <c r="E1664" s="234"/>
      <c r="F1664" s="234"/>
      <c r="G1664" s="234"/>
      <c r="H1664" s="234"/>
      <c r="I1664" s="234"/>
      <c r="J1664" s="234"/>
    </row>
    <row r="1665" ht="15.75" customHeight="1">
      <c r="A1665" s="234"/>
      <c r="B1665" s="234"/>
      <c r="C1665" s="234"/>
      <c r="D1665" s="234"/>
      <c r="E1665" s="234"/>
      <c r="F1665" s="234"/>
      <c r="G1665" s="234"/>
      <c r="H1665" s="234"/>
      <c r="I1665" s="234"/>
      <c r="J1665" s="234"/>
    </row>
    <row r="1666" ht="15.75" customHeight="1">
      <c r="A1666" s="234"/>
      <c r="B1666" s="234"/>
      <c r="C1666" s="234"/>
      <c r="D1666" s="234"/>
      <c r="E1666" s="234"/>
      <c r="F1666" s="234"/>
      <c r="G1666" s="234"/>
      <c r="H1666" s="234"/>
      <c r="I1666" s="234"/>
      <c r="J1666" s="234"/>
    </row>
    <row r="1667" ht="15.75" customHeight="1">
      <c r="A1667" s="234"/>
      <c r="B1667" s="234"/>
      <c r="C1667" s="234"/>
      <c r="D1667" s="234"/>
      <c r="E1667" s="234"/>
      <c r="F1667" s="234"/>
      <c r="G1667" s="234"/>
      <c r="H1667" s="234"/>
      <c r="I1667" s="234"/>
      <c r="J1667" s="234"/>
    </row>
    <row r="1668" ht="15.75" customHeight="1">
      <c r="A1668" s="234"/>
      <c r="B1668" s="234"/>
      <c r="C1668" s="234"/>
      <c r="D1668" s="234"/>
      <c r="E1668" s="234"/>
      <c r="F1668" s="234"/>
      <c r="G1668" s="234"/>
      <c r="H1668" s="234"/>
      <c r="I1668" s="234"/>
      <c r="J1668" s="234"/>
    </row>
    <row r="1669" ht="15.75" customHeight="1">
      <c r="A1669" s="234"/>
      <c r="B1669" s="234"/>
      <c r="C1669" s="234"/>
      <c r="D1669" s="234"/>
      <c r="E1669" s="234"/>
      <c r="F1669" s="234"/>
      <c r="G1669" s="234"/>
      <c r="H1669" s="234"/>
      <c r="I1669" s="234"/>
      <c r="J1669" s="234"/>
    </row>
    <row r="1670" ht="15.75" customHeight="1">
      <c r="A1670" s="234"/>
      <c r="B1670" s="234"/>
      <c r="C1670" s="234"/>
      <c r="D1670" s="234"/>
      <c r="E1670" s="234"/>
      <c r="F1670" s="234"/>
      <c r="G1670" s="234"/>
      <c r="H1670" s="234"/>
      <c r="I1670" s="234"/>
      <c r="J1670" s="234"/>
    </row>
    <row r="1671" ht="15.75" customHeight="1">
      <c r="A1671" s="234"/>
      <c r="B1671" s="234"/>
      <c r="C1671" s="234"/>
      <c r="D1671" s="234"/>
      <c r="E1671" s="234"/>
      <c r="F1671" s="234"/>
      <c r="G1671" s="234"/>
      <c r="H1671" s="234"/>
      <c r="I1671" s="234"/>
      <c r="J1671" s="234"/>
    </row>
    <row r="1672" ht="15.75" customHeight="1">
      <c r="A1672" s="234"/>
      <c r="B1672" s="234"/>
      <c r="C1672" s="234"/>
      <c r="D1672" s="234"/>
      <c r="E1672" s="234"/>
      <c r="F1672" s="234"/>
      <c r="G1672" s="234"/>
      <c r="H1672" s="234"/>
      <c r="I1672" s="234"/>
      <c r="J1672" s="234"/>
    </row>
    <row r="1673" ht="15.75" customHeight="1">
      <c r="A1673" s="234"/>
      <c r="B1673" s="234"/>
      <c r="C1673" s="234"/>
      <c r="D1673" s="234"/>
      <c r="E1673" s="234"/>
      <c r="F1673" s="234"/>
      <c r="G1673" s="234"/>
      <c r="H1673" s="234"/>
      <c r="I1673" s="234"/>
      <c r="J1673" s="234"/>
    </row>
    <row r="1674" ht="15.75" customHeight="1">
      <c r="A1674" s="234"/>
      <c r="B1674" s="234"/>
      <c r="C1674" s="234"/>
      <c r="D1674" s="234"/>
      <c r="E1674" s="234"/>
      <c r="F1674" s="234"/>
      <c r="G1674" s="234"/>
      <c r="H1674" s="234"/>
      <c r="I1674" s="234"/>
      <c r="J1674" s="234"/>
    </row>
    <row r="1675" ht="15.75" customHeight="1">
      <c r="A1675" s="234"/>
      <c r="B1675" s="234"/>
      <c r="C1675" s="234"/>
      <c r="D1675" s="234"/>
      <c r="E1675" s="234"/>
      <c r="F1675" s="234"/>
      <c r="G1675" s="234"/>
      <c r="H1675" s="234"/>
      <c r="I1675" s="234"/>
      <c r="J1675" s="234"/>
    </row>
    <row r="1676" ht="15.75" customHeight="1">
      <c r="A1676" s="234"/>
      <c r="B1676" s="234"/>
      <c r="C1676" s="234"/>
      <c r="D1676" s="234"/>
      <c r="E1676" s="234"/>
      <c r="F1676" s="234"/>
      <c r="G1676" s="234"/>
      <c r="H1676" s="234"/>
      <c r="I1676" s="234"/>
      <c r="J1676" s="234"/>
    </row>
    <row r="1677" ht="15.75" customHeight="1">
      <c r="A1677" s="234"/>
      <c r="B1677" s="234"/>
      <c r="C1677" s="234"/>
      <c r="D1677" s="234"/>
      <c r="E1677" s="234"/>
      <c r="F1677" s="234"/>
      <c r="G1677" s="234"/>
      <c r="H1677" s="234"/>
      <c r="I1677" s="234"/>
      <c r="J1677" s="234"/>
    </row>
    <row r="1678" ht="15.75" customHeight="1">
      <c r="A1678" s="234"/>
      <c r="B1678" s="234"/>
      <c r="C1678" s="234"/>
      <c r="D1678" s="234"/>
      <c r="E1678" s="234"/>
      <c r="F1678" s="234"/>
      <c r="G1678" s="234"/>
      <c r="H1678" s="234"/>
      <c r="I1678" s="234"/>
      <c r="J1678" s="234"/>
    </row>
    <row r="1679" ht="15.75" customHeight="1">
      <c r="A1679" s="234"/>
      <c r="B1679" s="234"/>
      <c r="C1679" s="234"/>
      <c r="D1679" s="234"/>
      <c r="E1679" s="234"/>
      <c r="F1679" s="234"/>
      <c r="G1679" s="234"/>
      <c r="H1679" s="234"/>
      <c r="I1679" s="234"/>
      <c r="J1679" s="234"/>
    </row>
    <row r="1680" ht="15.75" customHeight="1">
      <c r="A1680" s="234"/>
      <c r="B1680" s="234"/>
      <c r="C1680" s="234"/>
      <c r="D1680" s="234"/>
      <c r="E1680" s="234"/>
      <c r="F1680" s="234"/>
      <c r="G1680" s="234"/>
      <c r="H1680" s="234"/>
      <c r="I1680" s="234"/>
      <c r="J1680" s="234"/>
    </row>
    <row r="1681" ht="15.75" customHeight="1">
      <c r="A1681" s="234"/>
      <c r="B1681" s="234"/>
      <c r="C1681" s="234"/>
      <c r="D1681" s="234"/>
      <c r="E1681" s="234"/>
      <c r="F1681" s="234"/>
      <c r="G1681" s="234"/>
      <c r="H1681" s="234"/>
      <c r="I1681" s="234"/>
      <c r="J1681" s="234"/>
    </row>
    <row r="1682" ht="15.75" customHeight="1">
      <c r="A1682" s="234"/>
      <c r="B1682" s="234"/>
      <c r="C1682" s="234"/>
      <c r="D1682" s="234"/>
      <c r="E1682" s="234"/>
      <c r="F1682" s="234"/>
      <c r="G1682" s="234"/>
      <c r="H1682" s="234"/>
      <c r="I1682" s="234"/>
      <c r="J1682" s="234"/>
    </row>
    <row r="1683" ht="15.75" customHeight="1">
      <c r="A1683" s="234"/>
      <c r="B1683" s="234"/>
      <c r="C1683" s="234"/>
      <c r="D1683" s="234"/>
      <c r="E1683" s="234"/>
      <c r="F1683" s="234"/>
      <c r="G1683" s="234"/>
      <c r="H1683" s="234"/>
      <c r="I1683" s="234"/>
      <c r="J1683" s="234"/>
    </row>
    <row r="1684" ht="15.75" customHeight="1">
      <c r="A1684" s="234"/>
      <c r="B1684" s="234"/>
      <c r="C1684" s="234"/>
      <c r="D1684" s="234"/>
      <c r="E1684" s="234"/>
      <c r="F1684" s="234"/>
      <c r="G1684" s="234"/>
      <c r="H1684" s="234"/>
      <c r="I1684" s="234"/>
      <c r="J1684" s="234"/>
    </row>
    <row r="1685" ht="15.75" customHeight="1">
      <c r="A1685" s="234"/>
      <c r="B1685" s="234"/>
      <c r="C1685" s="234"/>
      <c r="D1685" s="234"/>
      <c r="E1685" s="234"/>
      <c r="F1685" s="234"/>
      <c r="G1685" s="234"/>
      <c r="H1685" s="234"/>
      <c r="I1685" s="234"/>
      <c r="J1685" s="234"/>
    </row>
    <row r="1686" ht="15.75" customHeight="1">
      <c r="A1686" s="234"/>
      <c r="B1686" s="234"/>
      <c r="C1686" s="234"/>
      <c r="D1686" s="234"/>
      <c r="E1686" s="234"/>
      <c r="F1686" s="234"/>
      <c r="G1686" s="234"/>
      <c r="H1686" s="234"/>
      <c r="I1686" s="234"/>
      <c r="J1686" s="234"/>
    </row>
    <row r="1687" ht="15.75" customHeight="1">
      <c r="A1687" s="234"/>
      <c r="B1687" s="234"/>
      <c r="C1687" s="234"/>
      <c r="D1687" s="234"/>
      <c r="E1687" s="234"/>
      <c r="F1687" s="234"/>
      <c r="G1687" s="234"/>
      <c r="H1687" s="234"/>
      <c r="I1687" s="234"/>
      <c r="J1687" s="234"/>
    </row>
    <row r="1688" ht="15.75" customHeight="1">
      <c r="A1688" s="234"/>
      <c r="B1688" s="234"/>
      <c r="C1688" s="234"/>
      <c r="D1688" s="234"/>
      <c r="E1688" s="234"/>
      <c r="F1688" s="234"/>
      <c r="G1688" s="234"/>
      <c r="H1688" s="234"/>
      <c r="I1688" s="234"/>
      <c r="J1688" s="234"/>
    </row>
    <row r="1689" ht="15.75" customHeight="1">
      <c r="A1689" s="234"/>
      <c r="B1689" s="234"/>
      <c r="C1689" s="234"/>
      <c r="D1689" s="234"/>
      <c r="E1689" s="234"/>
      <c r="F1689" s="234"/>
      <c r="G1689" s="234"/>
      <c r="H1689" s="234"/>
      <c r="I1689" s="234"/>
      <c r="J1689" s="234"/>
    </row>
    <row r="1690" ht="15.75" customHeight="1">
      <c r="A1690" s="234"/>
      <c r="B1690" s="234"/>
      <c r="C1690" s="234"/>
      <c r="D1690" s="234"/>
      <c r="E1690" s="234"/>
      <c r="F1690" s="234"/>
      <c r="G1690" s="234"/>
      <c r="H1690" s="234"/>
      <c r="I1690" s="234"/>
      <c r="J1690" s="234"/>
    </row>
    <row r="1691" ht="15.75" customHeight="1">
      <c r="A1691" s="234"/>
      <c r="B1691" s="234"/>
      <c r="C1691" s="234"/>
      <c r="D1691" s="234"/>
      <c r="E1691" s="234"/>
      <c r="F1691" s="234"/>
      <c r="G1691" s="234"/>
      <c r="H1691" s="234"/>
      <c r="I1691" s="234"/>
      <c r="J1691" s="234"/>
    </row>
    <row r="1692" ht="15.75" customHeight="1">
      <c r="A1692" s="234"/>
      <c r="B1692" s="234"/>
      <c r="C1692" s="234"/>
      <c r="D1692" s="234"/>
      <c r="E1692" s="234"/>
      <c r="F1692" s="234"/>
      <c r="G1692" s="234"/>
      <c r="H1692" s="234"/>
      <c r="I1692" s="234"/>
      <c r="J1692" s="234"/>
    </row>
    <row r="1693" ht="15.75" customHeight="1">
      <c r="A1693" s="234"/>
      <c r="B1693" s="234"/>
      <c r="C1693" s="234"/>
      <c r="D1693" s="234"/>
      <c r="E1693" s="234"/>
      <c r="F1693" s="234"/>
      <c r="G1693" s="234"/>
      <c r="H1693" s="234"/>
      <c r="I1693" s="234"/>
      <c r="J1693" s="234"/>
    </row>
    <row r="1694" ht="15.75" customHeight="1">
      <c r="A1694" s="234"/>
      <c r="B1694" s="234"/>
      <c r="C1694" s="234"/>
      <c r="D1694" s="234"/>
      <c r="E1694" s="234"/>
      <c r="F1694" s="234"/>
      <c r="G1694" s="234"/>
      <c r="H1694" s="234"/>
      <c r="I1694" s="234"/>
      <c r="J1694" s="234"/>
    </row>
    <row r="1695" ht="15.75" customHeight="1">
      <c r="A1695" s="234"/>
      <c r="B1695" s="234"/>
      <c r="C1695" s="234"/>
      <c r="D1695" s="234"/>
      <c r="E1695" s="234"/>
      <c r="F1695" s="234"/>
      <c r="G1695" s="234"/>
      <c r="H1695" s="234"/>
      <c r="I1695" s="234"/>
      <c r="J1695" s="234"/>
    </row>
    <row r="1696" ht="15.75" customHeight="1">
      <c r="A1696" s="234"/>
      <c r="B1696" s="234"/>
      <c r="C1696" s="234"/>
      <c r="D1696" s="234"/>
      <c r="E1696" s="234"/>
      <c r="F1696" s="234"/>
      <c r="G1696" s="234"/>
      <c r="H1696" s="234"/>
      <c r="I1696" s="234"/>
      <c r="J1696" s="234"/>
    </row>
    <row r="1697" ht="15.75" customHeight="1">
      <c r="A1697" s="234"/>
      <c r="B1697" s="234"/>
      <c r="C1697" s="234"/>
      <c r="D1697" s="234"/>
      <c r="E1697" s="234"/>
      <c r="F1697" s="234"/>
      <c r="G1697" s="234"/>
      <c r="H1697" s="234"/>
      <c r="I1697" s="234"/>
      <c r="J1697" s="234"/>
    </row>
    <row r="1698" ht="15.75" customHeight="1">
      <c r="A1698" s="234"/>
      <c r="B1698" s="234"/>
      <c r="C1698" s="234"/>
      <c r="D1698" s="234"/>
      <c r="E1698" s="234"/>
      <c r="F1698" s="234"/>
      <c r="G1698" s="234"/>
      <c r="H1698" s="234"/>
      <c r="I1698" s="234"/>
      <c r="J1698" s="234"/>
    </row>
    <row r="1699" ht="15.75" customHeight="1">
      <c r="A1699" s="234"/>
      <c r="B1699" s="234"/>
      <c r="C1699" s="234"/>
      <c r="D1699" s="234"/>
      <c r="E1699" s="234"/>
      <c r="F1699" s="234"/>
      <c r="G1699" s="234"/>
      <c r="H1699" s="234"/>
      <c r="I1699" s="234"/>
      <c r="J1699" s="234"/>
    </row>
    <row r="1700" ht="15.75" customHeight="1">
      <c r="A1700" s="234"/>
      <c r="B1700" s="234"/>
      <c r="C1700" s="234"/>
      <c r="D1700" s="234"/>
      <c r="E1700" s="234"/>
      <c r="F1700" s="234"/>
      <c r="G1700" s="234"/>
      <c r="H1700" s="234"/>
      <c r="I1700" s="234"/>
      <c r="J1700" s="234"/>
    </row>
    <row r="1701" ht="15.75" customHeight="1">
      <c r="A1701" s="234"/>
      <c r="B1701" s="234"/>
      <c r="C1701" s="234"/>
      <c r="D1701" s="234"/>
      <c r="E1701" s="234"/>
      <c r="F1701" s="234"/>
      <c r="G1701" s="234"/>
      <c r="H1701" s="234"/>
      <c r="I1701" s="234"/>
      <c r="J1701" s="234"/>
    </row>
    <row r="1702" ht="15.75" customHeight="1">
      <c r="A1702" s="234"/>
      <c r="B1702" s="234"/>
      <c r="C1702" s="234"/>
      <c r="D1702" s="234"/>
      <c r="E1702" s="234"/>
      <c r="F1702" s="234"/>
      <c r="G1702" s="234"/>
      <c r="H1702" s="234"/>
      <c r="I1702" s="234"/>
      <c r="J1702" s="234"/>
    </row>
    <row r="1703" ht="15.75" customHeight="1">
      <c r="A1703" s="234"/>
      <c r="B1703" s="234"/>
      <c r="C1703" s="234"/>
      <c r="D1703" s="234"/>
      <c r="E1703" s="234"/>
      <c r="F1703" s="234"/>
      <c r="G1703" s="234"/>
      <c r="H1703" s="234"/>
      <c r="I1703" s="234"/>
      <c r="J1703" s="234"/>
    </row>
    <row r="1704" ht="15.75" customHeight="1">
      <c r="A1704" s="234"/>
      <c r="B1704" s="234"/>
      <c r="C1704" s="234"/>
      <c r="D1704" s="234"/>
      <c r="E1704" s="234"/>
      <c r="F1704" s="234"/>
      <c r="G1704" s="234"/>
      <c r="H1704" s="234"/>
      <c r="I1704" s="234"/>
      <c r="J1704" s="234"/>
    </row>
    <row r="1705" ht="15.75" customHeight="1">
      <c r="A1705" s="234"/>
      <c r="B1705" s="234"/>
      <c r="C1705" s="234"/>
      <c r="D1705" s="234"/>
      <c r="E1705" s="234"/>
      <c r="F1705" s="234"/>
      <c r="G1705" s="234"/>
      <c r="H1705" s="234"/>
      <c r="I1705" s="234"/>
      <c r="J1705" s="234"/>
    </row>
    <row r="1706" ht="15.75" customHeight="1">
      <c r="A1706" s="234"/>
      <c r="B1706" s="234"/>
      <c r="C1706" s="234"/>
      <c r="D1706" s="234"/>
      <c r="E1706" s="234"/>
      <c r="F1706" s="234"/>
      <c r="G1706" s="234"/>
      <c r="H1706" s="234"/>
      <c r="I1706" s="234"/>
      <c r="J1706" s="234"/>
    </row>
    <row r="1707" ht="15.75" customHeight="1">
      <c r="A1707" s="234"/>
      <c r="B1707" s="234"/>
      <c r="C1707" s="234"/>
      <c r="D1707" s="234"/>
      <c r="E1707" s="234"/>
      <c r="F1707" s="234"/>
      <c r="G1707" s="234"/>
      <c r="H1707" s="234"/>
      <c r="I1707" s="234"/>
      <c r="J1707" s="234"/>
    </row>
    <row r="1708" ht="15.75" customHeight="1">
      <c r="A1708" s="234"/>
      <c r="B1708" s="234"/>
      <c r="C1708" s="234"/>
      <c r="D1708" s="234"/>
      <c r="E1708" s="234"/>
      <c r="F1708" s="234"/>
      <c r="G1708" s="234"/>
      <c r="H1708" s="234"/>
      <c r="I1708" s="234"/>
      <c r="J1708" s="234"/>
    </row>
    <row r="1709" ht="15.75" customHeight="1">
      <c r="A1709" s="234"/>
      <c r="B1709" s="234"/>
      <c r="C1709" s="234"/>
      <c r="D1709" s="234"/>
      <c r="E1709" s="234"/>
      <c r="F1709" s="234"/>
      <c r="G1709" s="234"/>
      <c r="H1709" s="234"/>
      <c r="I1709" s="234"/>
      <c r="J1709" s="234"/>
    </row>
    <row r="1710" ht="15.75" customHeight="1">
      <c r="A1710" s="234"/>
      <c r="B1710" s="234"/>
      <c r="C1710" s="234"/>
      <c r="D1710" s="234"/>
      <c r="E1710" s="234"/>
      <c r="F1710" s="234"/>
      <c r="G1710" s="234"/>
      <c r="H1710" s="234"/>
      <c r="I1710" s="234"/>
      <c r="J1710" s="234"/>
    </row>
    <row r="1711" ht="15.75" customHeight="1">
      <c r="A1711" s="234"/>
      <c r="B1711" s="234"/>
      <c r="C1711" s="234"/>
      <c r="D1711" s="234"/>
      <c r="E1711" s="234"/>
      <c r="F1711" s="234"/>
      <c r="G1711" s="234"/>
      <c r="H1711" s="234"/>
      <c r="I1711" s="234"/>
      <c r="J1711" s="234"/>
    </row>
    <row r="1712" ht="15.75" customHeight="1">
      <c r="A1712" s="234"/>
      <c r="B1712" s="234"/>
      <c r="C1712" s="234"/>
      <c r="D1712" s="234"/>
      <c r="E1712" s="234"/>
      <c r="F1712" s="234"/>
      <c r="G1712" s="234"/>
      <c r="H1712" s="234"/>
      <c r="I1712" s="234"/>
      <c r="J1712" s="234"/>
    </row>
    <row r="1713" ht="15.75" customHeight="1">
      <c r="A1713" s="234"/>
      <c r="B1713" s="234"/>
      <c r="C1713" s="234"/>
      <c r="D1713" s="234"/>
      <c r="E1713" s="234"/>
      <c r="F1713" s="234"/>
      <c r="G1713" s="234"/>
      <c r="H1713" s="234"/>
      <c r="I1713" s="234"/>
      <c r="J1713" s="234"/>
    </row>
    <row r="1714" ht="15.75" customHeight="1">
      <c r="A1714" s="234"/>
      <c r="B1714" s="234"/>
      <c r="C1714" s="234"/>
      <c r="D1714" s="234"/>
      <c r="E1714" s="234"/>
      <c r="F1714" s="234"/>
      <c r="G1714" s="234"/>
      <c r="H1714" s="234"/>
      <c r="I1714" s="234"/>
      <c r="J1714" s="234"/>
    </row>
    <row r="1715" ht="15.75" customHeight="1">
      <c r="A1715" s="234"/>
      <c r="B1715" s="234"/>
      <c r="C1715" s="234"/>
      <c r="D1715" s="234"/>
      <c r="E1715" s="234"/>
      <c r="F1715" s="234"/>
      <c r="G1715" s="234"/>
      <c r="H1715" s="234"/>
      <c r="I1715" s="234"/>
      <c r="J1715" s="234"/>
    </row>
    <row r="1716" ht="15.75" customHeight="1">
      <c r="A1716" s="234"/>
      <c r="B1716" s="234"/>
      <c r="C1716" s="234"/>
      <c r="D1716" s="234"/>
      <c r="E1716" s="234"/>
      <c r="F1716" s="234"/>
      <c r="G1716" s="234"/>
      <c r="H1716" s="234"/>
      <c r="I1716" s="234"/>
      <c r="J1716" s="234"/>
    </row>
    <row r="1717" ht="15.75" customHeight="1">
      <c r="A1717" s="234"/>
      <c r="B1717" s="234"/>
      <c r="C1717" s="234"/>
      <c r="D1717" s="234"/>
      <c r="E1717" s="234"/>
      <c r="F1717" s="234"/>
      <c r="G1717" s="234"/>
      <c r="H1717" s="234"/>
      <c r="I1717" s="234"/>
      <c r="J1717" s="234"/>
    </row>
    <row r="1718" ht="15.75" customHeight="1">
      <c r="A1718" s="234"/>
      <c r="B1718" s="234"/>
      <c r="C1718" s="234"/>
      <c r="D1718" s="234"/>
      <c r="E1718" s="234"/>
      <c r="F1718" s="234"/>
      <c r="G1718" s="234"/>
      <c r="H1718" s="234"/>
      <c r="I1718" s="234"/>
      <c r="J1718" s="234"/>
    </row>
    <row r="1719" ht="15.75" customHeight="1">
      <c r="A1719" s="234"/>
      <c r="B1719" s="234"/>
      <c r="C1719" s="234"/>
      <c r="D1719" s="234"/>
      <c r="E1719" s="234"/>
      <c r="F1719" s="234"/>
      <c r="G1719" s="234"/>
      <c r="H1719" s="234"/>
      <c r="I1719" s="234"/>
      <c r="J1719" s="234"/>
    </row>
    <row r="1720" ht="15.75" customHeight="1">
      <c r="A1720" s="234"/>
      <c r="B1720" s="234"/>
      <c r="C1720" s="234"/>
      <c r="D1720" s="234"/>
      <c r="E1720" s="234"/>
      <c r="F1720" s="234"/>
      <c r="G1720" s="234"/>
      <c r="H1720" s="234"/>
      <c r="I1720" s="234"/>
      <c r="J1720" s="234"/>
    </row>
    <row r="1721" ht="15.75" customHeight="1">
      <c r="A1721" s="234"/>
      <c r="B1721" s="234"/>
      <c r="C1721" s="234"/>
      <c r="D1721" s="234"/>
      <c r="E1721" s="234"/>
      <c r="F1721" s="234"/>
      <c r="G1721" s="234"/>
      <c r="H1721" s="234"/>
      <c r="I1721" s="234"/>
      <c r="J1721" s="234"/>
    </row>
    <row r="1722" ht="15.75" customHeight="1">
      <c r="A1722" s="234"/>
      <c r="B1722" s="234"/>
      <c r="C1722" s="234"/>
      <c r="D1722" s="234"/>
      <c r="E1722" s="234"/>
      <c r="F1722" s="234"/>
      <c r="G1722" s="234"/>
      <c r="H1722" s="234"/>
      <c r="I1722" s="234"/>
      <c r="J1722" s="234"/>
    </row>
    <row r="1723" ht="15.75" customHeight="1">
      <c r="A1723" s="234"/>
      <c r="B1723" s="234"/>
      <c r="C1723" s="234"/>
      <c r="D1723" s="234"/>
      <c r="E1723" s="234"/>
      <c r="F1723" s="234"/>
      <c r="G1723" s="234"/>
      <c r="H1723" s="234"/>
      <c r="I1723" s="234"/>
      <c r="J1723" s="234"/>
    </row>
    <row r="1724" ht="15.75" customHeight="1">
      <c r="A1724" s="234"/>
      <c r="B1724" s="234"/>
      <c r="C1724" s="234"/>
      <c r="D1724" s="234"/>
      <c r="E1724" s="234"/>
      <c r="F1724" s="234"/>
      <c r="G1724" s="234"/>
      <c r="H1724" s="234"/>
      <c r="I1724" s="234"/>
      <c r="J1724" s="234"/>
    </row>
    <row r="1725" ht="15.75" customHeight="1">
      <c r="A1725" s="234"/>
      <c r="B1725" s="234"/>
      <c r="C1725" s="234"/>
      <c r="D1725" s="234"/>
      <c r="E1725" s="234"/>
      <c r="F1725" s="234"/>
      <c r="G1725" s="234"/>
      <c r="H1725" s="234"/>
      <c r="I1725" s="234"/>
      <c r="J1725" s="234"/>
    </row>
    <row r="1726" ht="15.75" customHeight="1">
      <c r="A1726" s="234"/>
      <c r="B1726" s="234"/>
      <c r="C1726" s="234"/>
      <c r="D1726" s="234"/>
      <c r="E1726" s="234"/>
      <c r="F1726" s="234"/>
      <c r="G1726" s="234"/>
      <c r="H1726" s="234"/>
      <c r="I1726" s="234"/>
      <c r="J1726" s="234"/>
    </row>
    <row r="1727" ht="15.75" customHeight="1">
      <c r="A1727" s="234"/>
      <c r="B1727" s="234"/>
      <c r="C1727" s="234"/>
      <c r="D1727" s="234"/>
      <c r="E1727" s="234"/>
      <c r="F1727" s="234"/>
      <c r="G1727" s="234"/>
      <c r="H1727" s="234"/>
      <c r="I1727" s="234"/>
      <c r="J1727" s="234"/>
    </row>
    <row r="1728" ht="15.75" customHeight="1">
      <c r="A1728" s="234"/>
      <c r="B1728" s="234"/>
      <c r="C1728" s="234"/>
      <c r="D1728" s="234"/>
      <c r="E1728" s="234"/>
      <c r="F1728" s="234"/>
      <c r="G1728" s="234"/>
      <c r="H1728" s="234"/>
      <c r="I1728" s="234"/>
      <c r="J1728" s="234"/>
    </row>
    <row r="1729" ht="15.75" customHeight="1">
      <c r="A1729" s="234"/>
      <c r="B1729" s="234"/>
      <c r="C1729" s="234"/>
      <c r="D1729" s="234"/>
      <c r="E1729" s="234"/>
      <c r="F1729" s="234"/>
      <c r="G1729" s="234"/>
      <c r="H1729" s="234"/>
      <c r="I1729" s="234"/>
      <c r="J1729" s="234"/>
    </row>
    <row r="1730" ht="15.75" customHeight="1">
      <c r="A1730" s="234"/>
      <c r="B1730" s="234"/>
      <c r="C1730" s="234"/>
      <c r="D1730" s="234"/>
      <c r="E1730" s="234"/>
      <c r="F1730" s="234"/>
      <c r="G1730" s="234"/>
      <c r="H1730" s="234"/>
      <c r="I1730" s="234"/>
      <c r="J1730" s="234"/>
    </row>
    <row r="1731" ht="15.75" customHeight="1">
      <c r="A1731" s="234"/>
      <c r="B1731" s="234"/>
      <c r="C1731" s="234"/>
      <c r="D1731" s="234"/>
      <c r="E1731" s="234"/>
      <c r="F1731" s="234"/>
      <c r="G1731" s="234"/>
      <c r="H1731" s="234"/>
      <c r="I1731" s="234"/>
      <c r="J1731" s="234"/>
    </row>
    <row r="1732" ht="15.75" customHeight="1">
      <c r="A1732" s="234"/>
      <c r="B1732" s="234"/>
      <c r="C1732" s="234"/>
      <c r="D1732" s="234"/>
      <c r="E1732" s="234"/>
      <c r="F1732" s="234"/>
      <c r="G1732" s="234"/>
      <c r="H1732" s="234"/>
      <c r="I1732" s="234"/>
      <c r="J1732" s="234"/>
    </row>
    <row r="1733" ht="15.75" customHeight="1">
      <c r="A1733" s="234"/>
      <c r="B1733" s="234"/>
      <c r="C1733" s="234"/>
      <c r="D1733" s="234"/>
      <c r="E1733" s="234"/>
      <c r="F1733" s="234"/>
      <c r="G1733" s="234"/>
      <c r="H1733" s="234"/>
      <c r="I1733" s="234"/>
      <c r="J1733" s="234"/>
    </row>
    <row r="1734" ht="15.75" customHeight="1">
      <c r="A1734" s="234"/>
      <c r="B1734" s="234"/>
      <c r="C1734" s="234"/>
      <c r="D1734" s="234"/>
      <c r="E1734" s="234"/>
      <c r="F1734" s="234"/>
      <c r="G1734" s="234"/>
      <c r="H1734" s="234"/>
      <c r="I1734" s="234"/>
      <c r="J1734" s="234"/>
    </row>
    <row r="1735" ht="15.75" customHeight="1">
      <c r="A1735" s="234"/>
      <c r="B1735" s="234"/>
      <c r="C1735" s="234"/>
      <c r="D1735" s="234"/>
      <c r="E1735" s="234"/>
      <c r="F1735" s="234"/>
      <c r="G1735" s="234"/>
      <c r="H1735" s="234"/>
      <c r="I1735" s="234"/>
      <c r="J1735" s="234"/>
    </row>
    <row r="1736" ht="15.75" customHeight="1">
      <c r="A1736" s="234"/>
      <c r="B1736" s="234"/>
      <c r="C1736" s="234"/>
      <c r="D1736" s="234"/>
      <c r="E1736" s="234"/>
      <c r="F1736" s="234"/>
      <c r="G1736" s="234"/>
      <c r="H1736" s="234"/>
      <c r="I1736" s="234"/>
      <c r="J1736" s="234"/>
    </row>
    <row r="1737" ht="15.75" customHeight="1">
      <c r="A1737" s="234"/>
      <c r="B1737" s="234"/>
      <c r="C1737" s="234"/>
      <c r="D1737" s="234"/>
      <c r="E1737" s="234"/>
      <c r="F1737" s="234"/>
      <c r="G1737" s="234"/>
      <c r="H1737" s="234"/>
      <c r="I1737" s="234"/>
      <c r="J1737" s="234"/>
    </row>
    <row r="1738" ht="15.75" customHeight="1">
      <c r="A1738" s="234"/>
      <c r="B1738" s="234"/>
      <c r="C1738" s="234"/>
      <c r="D1738" s="234"/>
      <c r="E1738" s="234"/>
      <c r="F1738" s="234"/>
      <c r="G1738" s="234"/>
      <c r="H1738" s="234"/>
      <c r="I1738" s="234"/>
      <c r="J1738" s="234"/>
    </row>
    <row r="1739" ht="15.75" customHeight="1">
      <c r="A1739" s="234"/>
      <c r="B1739" s="234"/>
      <c r="C1739" s="234"/>
      <c r="D1739" s="234"/>
      <c r="E1739" s="234"/>
      <c r="F1739" s="234"/>
      <c r="G1739" s="234"/>
      <c r="H1739" s="234"/>
      <c r="I1739" s="234"/>
      <c r="J1739" s="234"/>
    </row>
    <row r="1740" ht="15.75" customHeight="1">
      <c r="A1740" s="234"/>
      <c r="B1740" s="234"/>
      <c r="C1740" s="234"/>
      <c r="D1740" s="234"/>
      <c r="E1740" s="234"/>
      <c r="F1740" s="234"/>
      <c r="G1740" s="234"/>
      <c r="H1740" s="234"/>
      <c r="I1740" s="234"/>
      <c r="J1740" s="234"/>
    </row>
    <row r="1741" ht="15.75" customHeight="1">
      <c r="A1741" s="234"/>
      <c r="B1741" s="234"/>
      <c r="C1741" s="234"/>
      <c r="D1741" s="234"/>
      <c r="E1741" s="234"/>
      <c r="F1741" s="234"/>
      <c r="G1741" s="234"/>
      <c r="H1741" s="234"/>
      <c r="I1741" s="234"/>
      <c r="J1741" s="234"/>
    </row>
    <row r="1742" ht="15.75" customHeight="1">
      <c r="A1742" s="234"/>
      <c r="B1742" s="234"/>
      <c r="C1742" s="234"/>
      <c r="D1742" s="234"/>
      <c r="E1742" s="234"/>
      <c r="F1742" s="234"/>
      <c r="G1742" s="234"/>
      <c r="H1742" s="234"/>
      <c r="I1742" s="234"/>
      <c r="J1742" s="234"/>
    </row>
    <row r="1743" ht="15.75" customHeight="1">
      <c r="A1743" s="234"/>
      <c r="B1743" s="234"/>
      <c r="C1743" s="234"/>
      <c r="D1743" s="234"/>
      <c r="E1743" s="234"/>
      <c r="F1743" s="234"/>
      <c r="G1743" s="234"/>
      <c r="H1743" s="234"/>
      <c r="I1743" s="234"/>
      <c r="J1743" s="234"/>
    </row>
    <row r="1744" ht="15.75" customHeight="1">
      <c r="A1744" s="234"/>
      <c r="B1744" s="234"/>
      <c r="C1744" s="234"/>
      <c r="D1744" s="234"/>
      <c r="E1744" s="234"/>
      <c r="F1744" s="234"/>
      <c r="G1744" s="234"/>
      <c r="H1744" s="234"/>
      <c r="I1744" s="234"/>
      <c r="J1744" s="234"/>
    </row>
    <row r="1745" ht="15.75" customHeight="1">
      <c r="A1745" s="234"/>
      <c r="B1745" s="234"/>
      <c r="C1745" s="234"/>
      <c r="D1745" s="234"/>
      <c r="E1745" s="234"/>
      <c r="F1745" s="234"/>
      <c r="G1745" s="234"/>
      <c r="H1745" s="234"/>
      <c r="I1745" s="234"/>
      <c r="J1745" s="234"/>
    </row>
    <row r="1746" ht="15.75" customHeight="1">
      <c r="A1746" s="234"/>
      <c r="B1746" s="234"/>
      <c r="C1746" s="234"/>
      <c r="D1746" s="234"/>
      <c r="E1746" s="234"/>
      <c r="F1746" s="234"/>
      <c r="G1746" s="234"/>
      <c r="H1746" s="234"/>
      <c r="I1746" s="234"/>
      <c r="J1746" s="234"/>
    </row>
    <row r="1747" ht="15.75" customHeight="1">
      <c r="A1747" s="234"/>
      <c r="B1747" s="234"/>
      <c r="C1747" s="234"/>
      <c r="D1747" s="234"/>
      <c r="E1747" s="234"/>
      <c r="F1747" s="234"/>
      <c r="G1747" s="234"/>
      <c r="H1747" s="234"/>
      <c r="I1747" s="234"/>
      <c r="J1747" s="234"/>
    </row>
    <row r="1748" ht="15.75" customHeight="1">
      <c r="A1748" s="234"/>
      <c r="B1748" s="234"/>
      <c r="C1748" s="234"/>
      <c r="D1748" s="234"/>
      <c r="E1748" s="234"/>
      <c r="F1748" s="234"/>
      <c r="G1748" s="234"/>
      <c r="H1748" s="234"/>
      <c r="I1748" s="234"/>
      <c r="J1748" s="234"/>
    </row>
    <row r="1749" ht="15.75" customHeight="1">
      <c r="A1749" s="234"/>
      <c r="B1749" s="234"/>
      <c r="C1749" s="234"/>
      <c r="D1749" s="234"/>
      <c r="E1749" s="234"/>
      <c r="F1749" s="234"/>
      <c r="G1749" s="234"/>
      <c r="H1749" s="234"/>
      <c r="I1749" s="234"/>
      <c r="J1749" s="234"/>
    </row>
    <row r="1750" ht="15.75" customHeight="1">
      <c r="A1750" s="234"/>
      <c r="B1750" s="234"/>
      <c r="C1750" s="234"/>
      <c r="D1750" s="234"/>
      <c r="E1750" s="234"/>
      <c r="F1750" s="234"/>
      <c r="G1750" s="234"/>
      <c r="H1750" s="234"/>
      <c r="I1750" s="234"/>
      <c r="J1750" s="234"/>
    </row>
    <row r="1751" ht="15.75" customHeight="1">
      <c r="A1751" s="234"/>
      <c r="B1751" s="234"/>
      <c r="C1751" s="234"/>
      <c r="D1751" s="234"/>
      <c r="E1751" s="234"/>
      <c r="F1751" s="234"/>
      <c r="G1751" s="234"/>
      <c r="H1751" s="234"/>
      <c r="I1751" s="234"/>
      <c r="J1751" s="234"/>
    </row>
    <row r="1752" ht="15.75" customHeight="1">
      <c r="A1752" s="234"/>
      <c r="B1752" s="234"/>
      <c r="C1752" s="234"/>
      <c r="D1752" s="234"/>
      <c r="E1752" s="234"/>
      <c r="F1752" s="234"/>
      <c r="G1752" s="234"/>
      <c r="H1752" s="234"/>
      <c r="I1752" s="234"/>
      <c r="J1752" s="234"/>
    </row>
    <row r="1753" ht="15.75" customHeight="1">
      <c r="A1753" s="234"/>
      <c r="B1753" s="234"/>
      <c r="C1753" s="234"/>
      <c r="D1753" s="234"/>
      <c r="E1753" s="234"/>
      <c r="F1753" s="234"/>
      <c r="G1753" s="234"/>
      <c r="H1753" s="234"/>
      <c r="I1753" s="234"/>
      <c r="J1753" s="234"/>
    </row>
    <row r="1754" ht="15.75" customHeight="1">
      <c r="A1754" s="234"/>
      <c r="B1754" s="234"/>
      <c r="C1754" s="234"/>
      <c r="D1754" s="234"/>
      <c r="E1754" s="234"/>
      <c r="F1754" s="234"/>
      <c r="G1754" s="234"/>
      <c r="H1754" s="234"/>
      <c r="I1754" s="234"/>
      <c r="J1754" s="234"/>
    </row>
    <row r="1755" ht="15.75" customHeight="1">
      <c r="A1755" s="234"/>
      <c r="B1755" s="234"/>
      <c r="C1755" s="234"/>
      <c r="D1755" s="234"/>
      <c r="E1755" s="234"/>
      <c r="F1755" s="234"/>
      <c r="G1755" s="234"/>
      <c r="H1755" s="234"/>
      <c r="I1755" s="234"/>
      <c r="J1755" s="234"/>
    </row>
    <row r="1756" ht="15.75" customHeight="1">
      <c r="A1756" s="234"/>
      <c r="B1756" s="234"/>
      <c r="C1756" s="234"/>
      <c r="D1756" s="234"/>
      <c r="E1756" s="234"/>
      <c r="F1756" s="234"/>
      <c r="G1756" s="234"/>
      <c r="H1756" s="234"/>
      <c r="I1756" s="234"/>
      <c r="J1756" s="234"/>
    </row>
    <row r="1757" ht="15.75" customHeight="1">
      <c r="A1757" s="234"/>
      <c r="B1757" s="234"/>
      <c r="C1757" s="234"/>
      <c r="D1757" s="234"/>
      <c r="E1757" s="234"/>
      <c r="F1757" s="234"/>
      <c r="G1757" s="234"/>
      <c r="H1757" s="234"/>
      <c r="I1757" s="234"/>
      <c r="J1757" s="234"/>
    </row>
    <row r="1758" ht="15.75" customHeight="1">
      <c r="A1758" s="234"/>
      <c r="B1758" s="234"/>
      <c r="C1758" s="234"/>
      <c r="D1758" s="234"/>
      <c r="E1758" s="234"/>
      <c r="F1758" s="234"/>
      <c r="G1758" s="234"/>
      <c r="H1758" s="234"/>
      <c r="I1758" s="234"/>
      <c r="J1758" s="234"/>
    </row>
    <row r="1759" ht="15.75" customHeight="1">
      <c r="A1759" s="234"/>
      <c r="B1759" s="234"/>
      <c r="C1759" s="234"/>
      <c r="D1759" s="234"/>
      <c r="E1759" s="234"/>
      <c r="F1759" s="234"/>
      <c r="G1759" s="234"/>
      <c r="H1759" s="234"/>
      <c r="I1759" s="234"/>
      <c r="J1759" s="234"/>
    </row>
    <row r="1760" ht="15.75" customHeight="1">
      <c r="A1760" s="234"/>
      <c r="B1760" s="234"/>
      <c r="C1760" s="234"/>
      <c r="D1760" s="234"/>
      <c r="E1760" s="234"/>
      <c r="F1760" s="234"/>
      <c r="G1760" s="234"/>
      <c r="H1760" s="234"/>
      <c r="I1760" s="234"/>
      <c r="J1760" s="234"/>
    </row>
    <row r="1761" ht="15.75" customHeight="1">
      <c r="A1761" s="234"/>
      <c r="B1761" s="234"/>
      <c r="C1761" s="234"/>
      <c r="D1761" s="234"/>
      <c r="E1761" s="234"/>
      <c r="F1761" s="234"/>
      <c r="G1761" s="234"/>
      <c r="H1761" s="234"/>
      <c r="I1761" s="234"/>
      <c r="J1761" s="234"/>
    </row>
    <row r="1762" ht="15.75" customHeight="1">
      <c r="A1762" s="234"/>
      <c r="B1762" s="234"/>
      <c r="C1762" s="234"/>
      <c r="D1762" s="234"/>
      <c r="E1762" s="234"/>
      <c r="F1762" s="234"/>
      <c r="G1762" s="234"/>
      <c r="H1762" s="234"/>
      <c r="I1762" s="234"/>
      <c r="J1762" s="234"/>
    </row>
    <row r="1763" ht="15.75" customHeight="1">
      <c r="A1763" s="234"/>
      <c r="B1763" s="234"/>
      <c r="C1763" s="234"/>
      <c r="D1763" s="234"/>
      <c r="E1763" s="234"/>
      <c r="F1763" s="234"/>
      <c r="G1763" s="234"/>
      <c r="H1763" s="234"/>
      <c r="I1763" s="234"/>
      <c r="J1763" s="234"/>
    </row>
    <row r="1764" ht="15.75" customHeight="1">
      <c r="A1764" s="234"/>
      <c r="B1764" s="234"/>
      <c r="C1764" s="234"/>
      <c r="D1764" s="234"/>
      <c r="E1764" s="234"/>
      <c r="F1764" s="234"/>
      <c r="G1764" s="234"/>
      <c r="H1764" s="234"/>
      <c r="I1764" s="234"/>
      <c r="J1764" s="234"/>
    </row>
    <row r="1765" ht="15.75" customHeight="1">
      <c r="A1765" s="234"/>
      <c r="B1765" s="234"/>
      <c r="C1765" s="234"/>
      <c r="D1765" s="234"/>
      <c r="E1765" s="234"/>
      <c r="F1765" s="234"/>
      <c r="G1765" s="234"/>
      <c r="H1765" s="234"/>
      <c r="I1765" s="234"/>
      <c r="J1765" s="234"/>
    </row>
    <row r="1766" ht="15.75" customHeight="1">
      <c r="A1766" s="234"/>
      <c r="B1766" s="234"/>
      <c r="C1766" s="234"/>
      <c r="D1766" s="234"/>
      <c r="E1766" s="234"/>
      <c r="F1766" s="234"/>
      <c r="G1766" s="234"/>
      <c r="H1766" s="234"/>
      <c r="I1766" s="234"/>
      <c r="J1766" s="234"/>
    </row>
    <row r="1767" ht="15.75" customHeight="1">
      <c r="A1767" s="234"/>
      <c r="B1767" s="234"/>
      <c r="C1767" s="234"/>
      <c r="D1767" s="234"/>
      <c r="E1767" s="234"/>
      <c r="F1767" s="234"/>
      <c r="G1767" s="234"/>
      <c r="H1767" s="234"/>
      <c r="I1767" s="234"/>
      <c r="J1767" s="234"/>
    </row>
    <row r="1768" ht="15.75" customHeight="1">
      <c r="A1768" s="234"/>
      <c r="B1768" s="234"/>
      <c r="C1768" s="234"/>
      <c r="D1768" s="234"/>
      <c r="E1768" s="234"/>
      <c r="F1768" s="234"/>
      <c r="G1768" s="234"/>
      <c r="H1768" s="234"/>
      <c r="I1768" s="234"/>
      <c r="J1768" s="234"/>
    </row>
    <row r="1769" ht="15.75" customHeight="1">
      <c r="A1769" s="234"/>
      <c r="B1769" s="234"/>
      <c r="C1769" s="234"/>
      <c r="D1769" s="234"/>
      <c r="E1769" s="234"/>
      <c r="F1769" s="234"/>
      <c r="G1769" s="234"/>
      <c r="H1769" s="234"/>
      <c r="I1769" s="234"/>
      <c r="J1769" s="234"/>
    </row>
    <row r="1770" ht="15.75" customHeight="1">
      <c r="A1770" s="234"/>
      <c r="B1770" s="234"/>
      <c r="C1770" s="234"/>
      <c r="D1770" s="234"/>
      <c r="E1770" s="234"/>
      <c r="F1770" s="234"/>
      <c r="G1770" s="234"/>
      <c r="H1770" s="234"/>
      <c r="I1770" s="234"/>
      <c r="J1770" s="234"/>
    </row>
    <row r="1771" ht="15.75" customHeight="1">
      <c r="A1771" s="234"/>
      <c r="B1771" s="234"/>
      <c r="C1771" s="234"/>
      <c r="D1771" s="234"/>
      <c r="E1771" s="234"/>
      <c r="F1771" s="234"/>
      <c r="G1771" s="234"/>
      <c r="H1771" s="234"/>
      <c r="I1771" s="234"/>
      <c r="J1771" s="234"/>
    </row>
    <row r="1772" ht="15.75" customHeight="1">
      <c r="A1772" s="234"/>
      <c r="B1772" s="234"/>
      <c r="C1772" s="234"/>
      <c r="D1772" s="234"/>
      <c r="E1772" s="234"/>
      <c r="F1772" s="234"/>
      <c r="G1772" s="234"/>
      <c r="H1772" s="234"/>
      <c r="I1772" s="234"/>
      <c r="J1772" s="234"/>
    </row>
    <row r="1773" ht="15.75" customHeight="1">
      <c r="A1773" s="234"/>
      <c r="B1773" s="234"/>
      <c r="C1773" s="234"/>
      <c r="D1773" s="234"/>
      <c r="E1773" s="234"/>
      <c r="F1773" s="234"/>
      <c r="G1773" s="234"/>
      <c r="H1773" s="234"/>
      <c r="I1773" s="234"/>
      <c r="J1773" s="234"/>
    </row>
    <row r="1774" ht="15.75" customHeight="1">
      <c r="A1774" s="234"/>
      <c r="B1774" s="234"/>
      <c r="C1774" s="234"/>
      <c r="D1774" s="234"/>
      <c r="E1774" s="234"/>
      <c r="F1774" s="234"/>
      <c r="G1774" s="234"/>
      <c r="H1774" s="234"/>
      <c r="I1774" s="234"/>
      <c r="J1774" s="234"/>
    </row>
    <row r="1775" ht="15.75" customHeight="1">
      <c r="A1775" s="234"/>
      <c r="B1775" s="234"/>
      <c r="C1775" s="234"/>
      <c r="D1775" s="234"/>
      <c r="E1775" s="234"/>
      <c r="F1775" s="234"/>
      <c r="G1775" s="234"/>
      <c r="H1775" s="234"/>
      <c r="I1775" s="234"/>
      <c r="J1775" s="234"/>
    </row>
    <row r="1776" ht="15.75" customHeight="1">
      <c r="A1776" s="234"/>
      <c r="B1776" s="234"/>
      <c r="C1776" s="234"/>
      <c r="D1776" s="234"/>
      <c r="E1776" s="234"/>
      <c r="F1776" s="234"/>
      <c r="G1776" s="234"/>
      <c r="H1776" s="234"/>
      <c r="I1776" s="234"/>
      <c r="J1776" s="234"/>
    </row>
    <row r="1777" ht="15.75" customHeight="1">
      <c r="A1777" s="234"/>
      <c r="B1777" s="234"/>
      <c r="C1777" s="234"/>
      <c r="D1777" s="234"/>
      <c r="E1777" s="234"/>
      <c r="F1777" s="234"/>
      <c r="G1777" s="234"/>
      <c r="H1777" s="234"/>
      <c r="I1777" s="234"/>
      <c r="J1777" s="234"/>
    </row>
    <row r="1778" ht="15.75" customHeight="1">
      <c r="A1778" s="234"/>
      <c r="B1778" s="234"/>
      <c r="C1778" s="234"/>
      <c r="D1778" s="234"/>
      <c r="E1778" s="234"/>
      <c r="F1778" s="234"/>
      <c r="G1778" s="234"/>
      <c r="H1778" s="234"/>
      <c r="I1778" s="234"/>
      <c r="J1778" s="234"/>
    </row>
    <row r="1779" ht="15.75" customHeight="1">
      <c r="A1779" s="234"/>
      <c r="B1779" s="234"/>
      <c r="C1779" s="234"/>
      <c r="D1779" s="234"/>
      <c r="E1779" s="234"/>
      <c r="F1779" s="234"/>
      <c r="G1779" s="234"/>
      <c r="H1779" s="234"/>
      <c r="I1779" s="234"/>
      <c r="J1779" s="234"/>
    </row>
    <row r="1780" ht="15.75" customHeight="1">
      <c r="A1780" s="234"/>
      <c r="B1780" s="234"/>
      <c r="C1780" s="234"/>
      <c r="D1780" s="234"/>
      <c r="E1780" s="234"/>
      <c r="F1780" s="234"/>
      <c r="G1780" s="234"/>
      <c r="H1780" s="234"/>
      <c r="I1780" s="234"/>
      <c r="J1780" s="234"/>
    </row>
    <row r="1781" ht="15.75" customHeight="1">
      <c r="A1781" s="234"/>
      <c r="B1781" s="234"/>
      <c r="C1781" s="234"/>
      <c r="D1781" s="234"/>
      <c r="E1781" s="234"/>
      <c r="F1781" s="234"/>
      <c r="G1781" s="234"/>
      <c r="H1781" s="234"/>
      <c r="I1781" s="234"/>
      <c r="J1781" s="234"/>
    </row>
    <row r="1782" ht="15.75" customHeight="1">
      <c r="A1782" s="234"/>
      <c r="B1782" s="234"/>
      <c r="C1782" s="234"/>
      <c r="D1782" s="234"/>
      <c r="E1782" s="234"/>
      <c r="F1782" s="234"/>
      <c r="G1782" s="234"/>
      <c r="H1782" s="234"/>
      <c r="I1782" s="234"/>
      <c r="J1782" s="234"/>
    </row>
    <row r="1783" ht="15.75" customHeight="1">
      <c r="A1783" s="234"/>
      <c r="B1783" s="234"/>
      <c r="C1783" s="234"/>
      <c r="D1783" s="234"/>
      <c r="E1783" s="234"/>
      <c r="F1783" s="234"/>
      <c r="G1783" s="234"/>
      <c r="H1783" s="234"/>
      <c r="I1783" s="234"/>
      <c r="J1783" s="234"/>
    </row>
    <row r="1784" ht="15.75" customHeight="1">
      <c r="A1784" s="234"/>
      <c r="B1784" s="234"/>
      <c r="C1784" s="234"/>
      <c r="D1784" s="234"/>
      <c r="E1784" s="234"/>
      <c r="F1784" s="234"/>
      <c r="G1784" s="234"/>
      <c r="H1784" s="234"/>
      <c r="I1784" s="234"/>
      <c r="J1784" s="234"/>
    </row>
    <row r="1785" ht="15.75" customHeight="1">
      <c r="A1785" s="234"/>
      <c r="B1785" s="234"/>
      <c r="C1785" s="234"/>
      <c r="D1785" s="234"/>
      <c r="E1785" s="234"/>
      <c r="F1785" s="234"/>
      <c r="G1785" s="234"/>
      <c r="H1785" s="234"/>
      <c r="I1785" s="234"/>
      <c r="J1785" s="234"/>
    </row>
    <row r="1786" ht="15.75" customHeight="1">
      <c r="A1786" s="234"/>
      <c r="B1786" s="234"/>
      <c r="C1786" s="234"/>
      <c r="D1786" s="234"/>
      <c r="E1786" s="234"/>
      <c r="F1786" s="234"/>
      <c r="G1786" s="234"/>
      <c r="H1786" s="234"/>
      <c r="I1786" s="234"/>
      <c r="J1786" s="234"/>
    </row>
    <row r="1787" ht="15.75" customHeight="1">
      <c r="A1787" s="234"/>
      <c r="B1787" s="234"/>
      <c r="C1787" s="234"/>
      <c r="D1787" s="234"/>
      <c r="E1787" s="234"/>
      <c r="F1787" s="234"/>
      <c r="G1787" s="234"/>
      <c r="H1787" s="234"/>
      <c r="I1787" s="234"/>
      <c r="J1787" s="234"/>
    </row>
    <row r="1788" ht="15.75" customHeight="1">
      <c r="A1788" s="234"/>
      <c r="B1788" s="234"/>
      <c r="C1788" s="234"/>
      <c r="D1788" s="234"/>
      <c r="E1788" s="234"/>
      <c r="F1788" s="234"/>
      <c r="G1788" s="234"/>
      <c r="H1788" s="234"/>
      <c r="I1788" s="234"/>
      <c r="J1788" s="234"/>
    </row>
    <row r="1789" ht="15.75" customHeight="1">
      <c r="A1789" s="234"/>
      <c r="B1789" s="234"/>
      <c r="C1789" s="234"/>
      <c r="D1789" s="234"/>
      <c r="E1789" s="234"/>
      <c r="F1789" s="234"/>
      <c r="G1789" s="234"/>
      <c r="H1789" s="234"/>
      <c r="I1789" s="234"/>
      <c r="J1789" s="234"/>
    </row>
    <row r="1790" ht="15.75" customHeight="1">
      <c r="A1790" s="234"/>
      <c r="B1790" s="234"/>
      <c r="C1790" s="234"/>
      <c r="D1790" s="234"/>
      <c r="E1790" s="234"/>
      <c r="F1790" s="234"/>
      <c r="G1790" s="234"/>
      <c r="H1790" s="234"/>
      <c r="I1790" s="234"/>
      <c r="J1790" s="234"/>
    </row>
    <row r="1791" ht="15.75" customHeight="1">
      <c r="A1791" s="234"/>
      <c r="B1791" s="234"/>
      <c r="C1791" s="234"/>
      <c r="D1791" s="234"/>
      <c r="E1791" s="234"/>
      <c r="F1791" s="234"/>
      <c r="G1791" s="234"/>
      <c r="H1791" s="234"/>
      <c r="I1791" s="234"/>
      <c r="J1791" s="234"/>
    </row>
    <row r="1792" ht="15.75" customHeight="1">
      <c r="A1792" s="234"/>
      <c r="B1792" s="234"/>
      <c r="C1792" s="234"/>
      <c r="D1792" s="234"/>
      <c r="E1792" s="234"/>
      <c r="F1792" s="234"/>
      <c r="G1792" s="234"/>
      <c r="H1792" s="234"/>
      <c r="I1792" s="234"/>
      <c r="J1792" s="234"/>
    </row>
    <row r="1793" ht="15.75" customHeight="1">
      <c r="A1793" s="234"/>
      <c r="B1793" s="234"/>
      <c r="C1793" s="234"/>
      <c r="D1793" s="234"/>
      <c r="E1793" s="234"/>
      <c r="F1793" s="234"/>
      <c r="G1793" s="234"/>
      <c r="H1793" s="234"/>
      <c r="I1793" s="234"/>
      <c r="J1793" s="234"/>
    </row>
    <row r="1794" ht="15.75" customHeight="1">
      <c r="A1794" s="234"/>
      <c r="B1794" s="234"/>
      <c r="C1794" s="234"/>
      <c r="D1794" s="234"/>
      <c r="E1794" s="234"/>
      <c r="F1794" s="234"/>
      <c r="G1794" s="234"/>
      <c r="H1794" s="234"/>
      <c r="I1794" s="234"/>
      <c r="J1794" s="234"/>
    </row>
    <row r="1795" ht="15.75" customHeight="1">
      <c r="A1795" s="234"/>
      <c r="B1795" s="234"/>
      <c r="C1795" s="234"/>
      <c r="D1795" s="234"/>
      <c r="E1795" s="234"/>
      <c r="F1795" s="234"/>
      <c r="G1795" s="234"/>
      <c r="H1795" s="234"/>
      <c r="I1795" s="234"/>
      <c r="J1795" s="234"/>
    </row>
    <row r="1796" ht="15.75" customHeight="1">
      <c r="A1796" s="234"/>
      <c r="B1796" s="234"/>
      <c r="C1796" s="234"/>
      <c r="D1796" s="234"/>
      <c r="E1796" s="234"/>
      <c r="F1796" s="234"/>
      <c r="G1796" s="234"/>
      <c r="H1796" s="234"/>
      <c r="I1796" s="234"/>
      <c r="J1796" s="234"/>
    </row>
    <row r="1797" ht="15.75" customHeight="1">
      <c r="A1797" s="234"/>
      <c r="B1797" s="234"/>
      <c r="C1797" s="234"/>
      <c r="D1797" s="234"/>
      <c r="E1797" s="234"/>
      <c r="F1797" s="234"/>
      <c r="G1797" s="234"/>
      <c r="H1797" s="234"/>
      <c r="I1797" s="234"/>
      <c r="J1797" s="234"/>
    </row>
    <row r="1798" ht="15.75" customHeight="1">
      <c r="A1798" s="234"/>
      <c r="B1798" s="234"/>
      <c r="C1798" s="234"/>
      <c r="D1798" s="234"/>
      <c r="E1798" s="234"/>
      <c r="F1798" s="234"/>
      <c r="G1798" s="234"/>
      <c r="H1798" s="234"/>
      <c r="I1798" s="234"/>
      <c r="J1798" s="234"/>
    </row>
    <row r="1799" ht="15.75" customHeight="1">
      <c r="A1799" s="234"/>
      <c r="B1799" s="234"/>
      <c r="C1799" s="234"/>
      <c r="D1799" s="234"/>
      <c r="E1799" s="234"/>
      <c r="F1799" s="234"/>
      <c r="G1799" s="234"/>
      <c r="H1799" s="234"/>
      <c r="I1799" s="234"/>
      <c r="J1799" s="234"/>
    </row>
    <row r="1800" ht="15.75" customHeight="1">
      <c r="A1800" s="234"/>
      <c r="B1800" s="234"/>
      <c r="C1800" s="234"/>
      <c r="D1800" s="234"/>
      <c r="E1800" s="234"/>
      <c r="F1800" s="234"/>
      <c r="G1800" s="234"/>
      <c r="H1800" s="234"/>
      <c r="I1800" s="234"/>
      <c r="J1800" s="234"/>
    </row>
    <row r="1801" ht="15.75" customHeight="1">
      <c r="A1801" s="234"/>
      <c r="B1801" s="234"/>
      <c r="C1801" s="234"/>
      <c r="D1801" s="234"/>
      <c r="E1801" s="234"/>
      <c r="F1801" s="234"/>
      <c r="G1801" s="234"/>
      <c r="H1801" s="234"/>
      <c r="I1801" s="234"/>
      <c r="J1801" s="234"/>
    </row>
    <row r="1802" ht="15.75" customHeight="1">
      <c r="A1802" s="234"/>
      <c r="B1802" s="234"/>
      <c r="C1802" s="234"/>
      <c r="D1802" s="234"/>
      <c r="E1802" s="234"/>
      <c r="F1802" s="234"/>
      <c r="G1802" s="234"/>
      <c r="H1802" s="234"/>
      <c r="I1802" s="234"/>
      <c r="J1802" s="234"/>
    </row>
    <row r="1803" ht="15.75" customHeight="1">
      <c r="A1803" s="234"/>
      <c r="B1803" s="234"/>
      <c r="C1803" s="234"/>
      <c r="D1803" s="234"/>
      <c r="E1803" s="234"/>
      <c r="F1803" s="234"/>
      <c r="G1803" s="234"/>
      <c r="H1803" s="234"/>
      <c r="I1803" s="234"/>
      <c r="J1803" s="234"/>
    </row>
    <row r="1804" ht="15.75" customHeight="1">
      <c r="A1804" s="234"/>
      <c r="B1804" s="234"/>
      <c r="C1804" s="234"/>
      <c r="D1804" s="234"/>
      <c r="E1804" s="234"/>
      <c r="F1804" s="234"/>
      <c r="G1804" s="234"/>
      <c r="H1804" s="234"/>
      <c r="I1804" s="234"/>
      <c r="J1804" s="234"/>
    </row>
    <row r="1805" ht="15.75" customHeight="1">
      <c r="A1805" s="234"/>
      <c r="B1805" s="234"/>
      <c r="C1805" s="234"/>
      <c r="D1805" s="234"/>
      <c r="E1805" s="234"/>
      <c r="F1805" s="234"/>
      <c r="G1805" s="234"/>
      <c r="H1805" s="234"/>
      <c r="I1805" s="234"/>
      <c r="J1805" s="234"/>
    </row>
    <row r="1806" ht="15.75" customHeight="1">
      <c r="A1806" s="234"/>
      <c r="B1806" s="234"/>
      <c r="C1806" s="234"/>
      <c r="D1806" s="234"/>
      <c r="E1806" s="234"/>
      <c r="F1806" s="234"/>
      <c r="G1806" s="234"/>
      <c r="H1806" s="234"/>
      <c r="I1806" s="234"/>
      <c r="J1806" s="234"/>
    </row>
    <row r="1807" ht="15.75" customHeight="1">
      <c r="A1807" s="234"/>
      <c r="B1807" s="234"/>
      <c r="C1807" s="234"/>
      <c r="D1807" s="234"/>
      <c r="E1807" s="234"/>
      <c r="F1807" s="234"/>
      <c r="G1807" s="234"/>
      <c r="H1807" s="234"/>
      <c r="I1807" s="234"/>
      <c r="J1807" s="234"/>
    </row>
    <row r="1808" ht="15.75" customHeight="1">
      <c r="A1808" s="234"/>
      <c r="B1808" s="234"/>
      <c r="C1808" s="234"/>
      <c r="D1808" s="234"/>
      <c r="E1808" s="234"/>
      <c r="F1808" s="234"/>
      <c r="G1808" s="234"/>
      <c r="H1808" s="234"/>
      <c r="I1808" s="234"/>
      <c r="J1808" s="234"/>
    </row>
    <row r="1809" ht="15.75" customHeight="1">
      <c r="A1809" s="234"/>
      <c r="B1809" s="234"/>
      <c r="C1809" s="234"/>
      <c r="D1809" s="234"/>
      <c r="E1809" s="234"/>
      <c r="F1809" s="234"/>
      <c r="G1809" s="234"/>
      <c r="H1809" s="234"/>
      <c r="I1809" s="234"/>
      <c r="J1809" s="234"/>
    </row>
    <row r="1810" ht="15.75" customHeight="1">
      <c r="A1810" s="234"/>
      <c r="B1810" s="234"/>
      <c r="C1810" s="234"/>
      <c r="D1810" s="234"/>
      <c r="E1810" s="234"/>
      <c r="F1810" s="234"/>
      <c r="G1810" s="234"/>
      <c r="H1810" s="234"/>
      <c r="I1810" s="234"/>
      <c r="J1810" s="234"/>
    </row>
    <row r="1811" ht="15.75" customHeight="1">
      <c r="A1811" s="234"/>
      <c r="B1811" s="234"/>
      <c r="C1811" s="234"/>
      <c r="D1811" s="234"/>
      <c r="E1811" s="234"/>
      <c r="F1811" s="234"/>
      <c r="G1811" s="234"/>
      <c r="H1811" s="234"/>
      <c r="I1811" s="234"/>
      <c r="J1811" s="234"/>
    </row>
    <row r="1812" ht="15.75" customHeight="1">
      <c r="A1812" s="234"/>
      <c r="B1812" s="234"/>
      <c r="C1812" s="234"/>
      <c r="D1812" s="234"/>
      <c r="E1812" s="234"/>
      <c r="F1812" s="234"/>
      <c r="G1812" s="234"/>
      <c r="H1812" s="234"/>
      <c r="I1812" s="234"/>
      <c r="J1812" s="234"/>
    </row>
    <row r="1813" ht="15.75" customHeight="1">
      <c r="A1813" s="234"/>
      <c r="B1813" s="234"/>
      <c r="C1813" s="234"/>
      <c r="D1813" s="234"/>
      <c r="E1813" s="234"/>
      <c r="F1813" s="234"/>
      <c r="G1813" s="234"/>
      <c r="H1813" s="234"/>
      <c r="I1813" s="234"/>
      <c r="J1813" s="234"/>
    </row>
    <row r="1814" ht="15.75" customHeight="1">
      <c r="A1814" s="234"/>
      <c r="B1814" s="234"/>
      <c r="C1814" s="234"/>
      <c r="D1814" s="234"/>
      <c r="E1814" s="234"/>
      <c r="F1814" s="234"/>
      <c r="G1814" s="234"/>
      <c r="H1814" s="234"/>
      <c r="I1814" s="234"/>
      <c r="J1814" s="234"/>
    </row>
    <row r="1815" ht="15.75" customHeight="1">
      <c r="A1815" s="234"/>
      <c r="B1815" s="234"/>
      <c r="C1815" s="234"/>
      <c r="D1815" s="234"/>
      <c r="E1815" s="234"/>
      <c r="F1815" s="234"/>
      <c r="G1815" s="234"/>
      <c r="H1815" s="234"/>
      <c r="I1815" s="234"/>
      <c r="J1815" s="234"/>
    </row>
    <row r="1816" ht="15.75" customHeight="1">
      <c r="A1816" s="234"/>
      <c r="B1816" s="234"/>
      <c r="C1816" s="234"/>
      <c r="D1816" s="234"/>
      <c r="E1816" s="234"/>
      <c r="F1816" s="234"/>
      <c r="G1816" s="234"/>
      <c r="H1816" s="234"/>
      <c r="I1816" s="234"/>
      <c r="J1816" s="234"/>
    </row>
    <row r="1817" ht="15.75" customHeight="1">
      <c r="A1817" s="234"/>
      <c r="B1817" s="234"/>
      <c r="C1817" s="234"/>
      <c r="D1817" s="234"/>
      <c r="E1817" s="234"/>
      <c r="F1817" s="234"/>
      <c r="G1817" s="234"/>
      <c r="H1817" s="234"/>
      <c r="I1817" s="234"/>
      <c r="J1817" s="234"/>
    </row>
    <row r="1818" ht="15.75" customHeight="1">
      <c r="A1818" s="234"/>
      <c r="B1818" s="234"/>
      <c r="C1818" s="234"/>
      <c r="D1818" s="234"/>
      <c r="E1818" s="234"/>
      <c r="F1818" s="234"/>
      <c r="G1818" s="234"/>
      <c r="H1818" s="234"/>
      <c r="I1818" s="234"/>
      <c r="J1818" s="234"/>
    </row>
    <row r="1819" ht="15.75" customHeight="1">
      <c r="A1819" s="234"/>
      <c r="B1819" s="234"/>
      <c r="C1819" s="234"/>
      <c r="D1819" s="234"/>
      <c r="E1819" s="234"/>
      <c r="F1819" s="234"/>
      <c r="G1819" s="234"/>
      <c r="H1819" s="234"/>
      <c r="I1819" s="234"/>
      <c r="J1819" s="234"/>
    </row>
    <row r="1820" ht="15.75" customHeight="1">
      <c r="A1820" s="234"/>
      <c r="B1820" s="234"/>
      <c r="C1820" s="234"/>
      <c r="D1820" s="234"/>
      <c r="E1820" s="234"/>
      <c r="F1820" s="234"/>
      <c r="G1820" s="234"/>
      <c r="H1820" s="234"/>
      <c r="I1820" s="234"/>
      <c r="J1820" s="234"/>
    </row>
    <row r="1821" ht="15.75" customHeight="1">
      <c r="A1821" s="234"/>
      <c r="B1821" s="234"/>
      <c r="C1821" s="234"/>
      <c r="D1821" s="234"/>
      <c r="E1821" s="234"/>
      <c r="F1821" s="234"/>
      <c r="G1821" s="234"/>
      <c r="H1821" s="234"/>
      <c r="I1821" s="234"/>
      <c r="J1821" s="234"/>
    </row>
    <row r="1822" ht="15.75" customHeight="1">
      <c r="A1822" s="234"/>
      <c r="B1822" s="234"/>
      <c r="C1822" s="234"/>
      <c r="D1822" s="234"/>
      <c r="E1822" s="234"/>
      <c r="F1822" s="234"/>
      <c r="G1822" s="234"/>
      <c r="H1822" s="234"/>
      <c r="I1822" s="234"/>
      <c r="J1822" s="234"/>
    </row>
    <row r="1823" ht="15.75" customHeight="1">
      <c r="A1823" s="234"/>
      <c r="B1823" s="234"/>
      <c r="C1823" s="234"/>
      <c r="D1823" s="234"/>
      <c r="E1823" s="234"/>
      <c r="F1823" s="234"/>
      <c r="G1823" s="234"/>
      <c r="H1823" s="234"/>
      <c r="I1823" s="234"/>
      <c r="J1823" s="234"/>
    </row>
    <row r="1824" ht="15.75" customHeight="1">
      <c r="A1824" s="234"/>
      <c r="B1824" s="234"/>
      <c r="C1824" s="234"/>
      <c r="D1824" s="234"/>
      <c r="E1824" s="234"/>
      <c r="F1824" s="234"/>
      <c r="G1824" s="234"/>
      <c r="H1824" s="234"/>
      <c r="I1824" s="234"/>
      <c r="J1824" s="234"/>
    </row>
    <row r="1825" ht="15.75" customHeight="1">
      <c r="A1825" s="234"/>
      <c r="B1825" s="234"/>
      <c r="C1825" s="234"/>
      <c r="D1825" s="234"/>
      <c r="E1825" s="234"/>
      <c r="F1825" s="234"/>
      <c r="G1825" s="234"/>
      <c r="H1825" s="234"/>
      <c r="I1825" s="234"/>
      <c r="J1825" s="234"/>
    </row>
    <row r="1826" ht="15.75" customHeight="1">
      <c r="A1826" s="234"/>
      <c r="B1826" s="234"/>
      <c r="C1826" s="234"/>
      <c r="D1826" s="234"/>
      <c r="E1826" s="234"/>
      <c r="F1826" s="234"/>
      <c r="G1826" s="234"/>
      <c r="H1826" s="234"/>
      <c r="I1826" s="234"/>
      <c r="J1826" s="234"/>
    </row>
    <row r="1827" ht="15.75" customHeight="1">
      <c r="A1827" s="234"/>
      <c r="B1827" s="234"/>
      <c r="C1827" s="234"/>
      <c r="D1827" s="234"/>
      <c r="E1827" s="234"/>
      <c r="F1827" s="234"/>
      <c r="G1827" s="234"/>
      <c r="H1827" s="234"/>
      <c r="I1827" s="234"/>
      <c r="J1827" s="234"/>
    </row>
    <row r="1828" ht="15.75" customHeight="1">
      <c r="A1828" s="234"/>
      <c r="B1828" s="234"/>
      <c r="C1828" s="234"/>
      <c r="D1828" s="234"/>
      <c r="E1828" s="234"/>
      <c r="F1828" s="234"/>
      <c r="G1828" s="234"/>
      <c r="H1828" s="234"/>
      <c r="I1828" s="234"/>
      <c r="J1828" s="234"/>
    </row>
    <row r="1829" ht="15.75" customHeight="1">
      <c r="A1829" s="234"/>
      <c r="B1829" s="234"/>
      <c r="C1829" s="234"/>
      <c r="D1829" s="234"/>
      <c r="E1829" s="234"/>
      <c r="F1829" s="234"/>
      <c r="G1829" s="234"/>
      <c r="H1829" s="234"/>
      <c r="I1829" s="234"/>
      <c r="J1829" s="234"/>
    </row>
    <row r="1830" ht="15.75" customHeight="1">
      <c r="A1830" s="234"/>
      <c r="B1830" s="234"/>
      <c r="C1830" s="234"/>
      <c r="D1830" s="234"/>
      <c r="E1830" s="234"/>
      <c r="F1830" s="234"/>
      <c r="G1830" s="234"/>
      <c r="H1830" s="234"/>
      <c r="I1830" s="234"/>
      <c r="J1830" s="234"/>
    </row>
    <row r="1831" ht="15.75" customHeight="1">
      <c r="A1831" s="234"/>
      <c r="B1831" s="234"/>
      <c r="C1831" s="234"/>
      <c r="D1831" s="234"/>
      <c r="E1831" s="234"/>
      <c r="F1831" s="234"/>
      <c r="G1831" s="234"/>
      <c r="H1831" s="234"/>
      <c r="I1831" s="234"/>
      <c r="J1831" s="234"/>
    </row>
    <row r="1832" ht="15.75" customHeight="1">
      <c r="A1832" s="234"/>
      <c r="B1832" s="234"/>
      <c r="C1832" s="234"/>
      <c r="D1832" s="234"/>
      <c r="E1832" s="234"/>
      <c r="F1832" s="234"/>
      <c r="G1832" s="234"/>
      <c r="H1832" s="234"/>
      <c r="I1832" s="234"/>
      <c r="J1832" s="234"/>
    </row>
    <row r="1833" ht="15.75" customHeight="1">
      <c r="A1833" s="234"/>
      <c r="B1833" s="234"/>
      <c r="C1833" s="234"/>
      <c r="D1833" s="234"/>
      <c r="E1833" s="234"/>
      <c r="F1833" s="234"/>
      <c r="G1833" s="234"/>
      <c r="H1833" s="234"/>
      <c r="I1833" s="234"/>
      <c r="J1833" s="234"/>
    </row>
    <row r="1834" ht="15.75" customHeight="1">
      <c r="A1834" s="234"/>
      <c r="B1834" s="234"/>
      <c r="C1834" s="234"/>
      <c r="D1834" s="234"/>
      <c r="E1834" s="234"/>
      <c r="F1834" s="234"/>
      <c r="G1834" s="234"/>
      <c r="H1834" s="234"/>
      <c r="I1834" s="234"/>
      <c r="J1834" s="234"/>
    </row>
    <row r="1835" ht="15.75" customHeight="1">
      <c r="A1835" s="234"/>
      <c r="B1835" s="234"/>
      <c r="C1835" s="234"/>
      <c r="D1835" s="234"/>
      <c r="E1835" s="234"/>
      <c r="F1835" s="234"/>
      <c r="G1835" s="234"/>
      <c r="H1835" s="234"/>
      <c r="I1835" s="234"/>
      <c r="J1835" s="234"/>
    </row>
    <row r="1836" ht="15.75" customHeight="1">
      <c r="A1836" s="234"/>
      <c r="B1836" s="234"/>
      <c r="C1836" s="234"/>
      <c r="D1836" s="234"/>
      <c r="E1836" s="234"/>
      <c r="F1836" s="234"/>
      <c r="G1836" s="234"/>
      <c r="H1836" s="234"/>
      <c r="I1836" s="234"/>
      <c r="J1836" s="234"/>
    </row>
    <row r="1837" ht="15.75" customHeight="1">
      <c r="A1837" s="234"/>
      <c r="B1837" s="234"/>
      <c r="C1837" s="234"/>
      <c r="D1837" s="234"/>
      <c r="E1837" s="234"/>
      <c r="F1837" s="234"/>
      <c r="G1837" s="234"/>
      <c r="H1837" s="234"/>
      <c r="I1837" s="234"/>
      <c r="J1837" s="234"/>
    </row>
    <row r="1838" ht="15.75" customHeight="1">
      <c r="A1838" s="234"/>
      <c r="B1838" s="234"/>
      <c r="C1838" s="234"/>
      <c r="D1838" s="234"/>
      <c r="E1838" s="234"/>
      <c r="F1838" s="234"/>
      <c r="G1838" s="234"/>
      <c r="H1838" s="234"/>
      <c r="I1838" s="234"/>
      <c r="J1838" s="234"/>
    </row>
    <row r="1839" ht="15.75" customHeight="1">
      <c r="A1839" s="234"/>
      <c r="B1839" s="234"/>
      <c r="C1839" s="234"/>
      <c r="D1839" s="234"/>
      <c r="E1839" s="234"/>
      <c r="F1839" s="234"/>
      <c r="G1839" s="234"/>
      <c r="H1839" s="234"/>
      <c r="I1839" s="234"/>
      <c r="J1839" s="234"/>
    </row>
    <row r="1840" ht="15.75" customHeight="1">
      <c r="A1840" s="234"/>
      <c r="B1840" s="234"/>
      <c r="C1840" s="234"/>
      <c r="D1840" s="234"/>
      <c r="E1840" s="234"/>
      <c r="F1840" s="234"/>
      <c r="G1840" s="234"/>
      <c r="H1840" s="234"/>
      <c r="I1840" s="234"/>
      <c r="J1840" s="234"/>
    </row>
    <row r="1841" ht="15.75" customHeight="1">
      <c r="A1841" s="234"/>
      <c r="B1841" s="234"/>
      <c r="C1841" s="234"/>
      <c r="D1841" s="234"/>
      <c r="E1841" s="234"/>
      <c r="F1841" s="234"/>
      <c r="G1841" s="234"/>
      <c r="H1841" s="234"/>
      <c r="I1841" s="234"/>
      <c r="J1841" s="234"/>
    </row>
    <row r="1842" ht="15.75" customHeight="1">
      <c r="A1842" s="234"/>
      <c r="B1842" s="234"/>
      <c r="C1842" s="234"/>
      <c r="D1842" s="234"/>
      <c r="E1842" s="234"/>
      <c r="F1842" s="234"/>
      <c r="G1842" s="234"/>
      <c r="H1842" s="234"/>
      <c r="I1842" s="234"/>
      <c r="J1842" s="234"/>
    </row>
    <row r="1843" ht="15.75" customHeight="1">
      <c r="A1843" s="234"/>
      <c r="B1843" s="234"/>
      <c r="C1843" s="234"/>
      <c r="D1843" s="234"/>
      <c r="E1843" s="234"/>
      <c r="F1843" s="234"/>
      <c r="G1843" s="234"/>
      <c r="H1843" s="234"/>
      <c r="I1843" s="234"/>
      <c r="J1843" s="234"/>
    </row>
    <row r="1844" ht="15.75" customHeight="1">
      <c r="A1844" s="234"/>
      <c r="B1844" s="234"/>
      <c r="C1844" s="234"/>
      <c r="D1844" s="234"/>
      <c r="E1844" s="234"/>
      <c r="F1844" s="234"/>
      <c r="G1844" s="234"/>
      <c r="H1844" s="234"/>
      <c r="I1844" s="234"/>
      <c r="J1844" s="234"/>
    </row>
    <row r="1845" ht="15.75" customHeight="1">
      <c r="A1845" s="234"/>
      <c r="B1845" s="234"/>
      <c r="C1845" s="234"/>
      <c r="D1845" s="234"/>
      <c r="E1845" s="234"/>
      <c r="F1845" s="234"/>
      <c r="G1845" s="234"/>
      <c r="H1845" s="234"/>
      <c r="I1845" s="234"/>
      <c r="J1845" s="234"/>
    </row>
    <row r="1846" ht="15.75" customHeight="1">
      <c r="A1846" s="234"/>
      <c r="B1846" s="234"/>
      <c r="C1846" s="234"/>
      <c r="D1846" s="234"/>
      <c r="E1846" s="234"/>
      <c r="F1846" s="234"/>
      <c r="G1846" s="234"/>
      <c r="H1846" s="234"/>
      <c r="I1846" s="234"/>
      <c r="J1846" s="234"/>
    </row>
    <row r="1847" ht="15.75" customHeight="1">
      <c r="A1847" s="234"/>
      <c r="B1847" s="234"/>
      <c r="C1847" s="234"/>
      <c r="D1847" s="234"/>
      <c r="E1847" s="234"/>
      <c r="F1847" s="234"/>
      <c r="G1847" s="234"/>
      <c r="H1847" s="234"/>
      <c r="I1847" s="234"/>
      <c r="J1847" s="234"/>
    </row>
    <row r="1848" ht="15.75" customHeight="1">
      <c r="A1848" s="234"/>
      <c r="B1848" s="234"/>
      <c r="C1848" s="234"/>
      <c r="D1848" s="234"/>
      <c r="E1848" s="234"/>
      <c r="F1848" s="234"/>
      <c r="G1848" s="234"/>
      <c r="H1848" s="234"/>
      <c r="I1848" s="234"/>
      <c r="J1848" s="234"/>
    </row>
    <row r="1849" ht="15.75" customHeight="1">
      <c r="A1849" s="234"/>
      <c r="B1849" s="234"/>
      <c r="C1849" s="234"/>
      <c r="D1849" s="234"/>
      <c r="E1849" s="234"/>
      <c r="F1849" s="234"/>
      <c r="G1849" s="234"/>
      <c r="H1849" s="234"/>
      <c r="I1849" s="234"/>
      <c r="J1849" s="234"/>
    </row>
    <row r="1850" ht="15.75" customHeight="1">
      <c r="A1850" s="234"/>
      <c r="B1850" s="234"/>
      <c r="C1850" s="234"/>
      <c r="D1850" s="234"/>
      <c r="E1850" s="234"/>
      <c r="F1850" s="234"/>
      <c r="G1850" s="234"/>
      <c r="H1850" s="234"/>
      <c r="I1850" s="234"/>
      <c r="J1850" s="234"/>
    </row>
    <row r="1851" ht="15.75" customHeight="1">
      <c r="A1851" s="234"/>
      <c r="B1851" s="234"/>
      <c r="C1851" s="234"/>
      <c r="D1851" s="234"/>
      <c r="E1851" s="234"/>
      <c r="F1851" s="234"/>
      <c r="G1851" s="234"/>
      <c r="H1851" s="234"/>
      <c r="I1851" s="234"/>
      <c r="J1851" s="234"/>
    </row>
    <row r="1852" ht="15.75" customHeight="1">
      <c r="A1852" s="234"/>
      <c r="B1852" s="234"/>
      <c r="C1852" s="234"/>
      <c r="D1852" s="234"/>
      <c r="E1852" s="234"/>
      <c r="F1852" s="234"/>
      <c r="G1852" s="234"/>
      <c r="H1852" s="234"/>
      <c r="I1852" s="234"/>
      <c r="J1852" s="234"/>
    </row>
    <row r="1853" ht="15.75" customHeight="1">
      <c r="A1853" s="234"/>
      <c r="B1853" s="234"/>
      <c r="C1853" s="234"/>
      <c r="D1853" s="234"/>
      <c r="E1853" s="234"/>
      <c r="F1853" s="234"/>
      <c r="G1853" s="234"/>
      <c r="H1853" s="234"/>
      <c r="I1853" s="234"/>
      <c r="J1853" s="234"/>
    </row>
    <row r="1854" ht="15.75" customHeight="1">
      <c r="A1854" s="234"/>
      <c r="B1854" s="234"/>
      <c r="C1854" s="234"/>
      <c r="D1854" s="234"/>
      <c r="E1854" s="234"/>
      <c r="F1854" s="234"/>
      <c r="G1854" s="234"/>
      <c r="H1854" s="234"/>
      <c r="I1854" s="234"/>
      <c r="J1854" s="234"/>
    </row>
    <row r="1855" ht="15.75" customHeight="1">
      <c r="A1855" s="234"/>
      <c r="B1855" s="234"/>
      <c r="C1855" s="234"/>
      <c r="D1855" s="234"/>
      <c r="E1855" s="234"/>
      <c r="F1855" s="234"/>
      <c r="G1855" s="234"/>
      <c r="H1855" s="234"/>
      <c r="I1855" s="234"/>
      <c r="J1855" s="234"/>
    </row>
    <row r="1856" ht="15.75" customHeight="1">
      <c r="A1856" s="234"/>
      <c r="B1856" s="234"/>
      <c r="C1856" s="234"/>
      <c r="D1856" s="234"/>
      <c r="E1856" s="234"/>
      <c r="F1856" s="234"/>
      <c r="G1856" s="234"/>
      <c r="H1856" s="234"/>
      <c r="I1856" s="234"/>
      <c r="J1856" s="234"/>
    </row>
    <row r="1857" ht="15.75" customHeight="1">
      <c r="A1857" s="234"/>
      <c r="B1857" s="234"/>
      <c r="C1857" s="234"/>
      <c r="D1857" s="234"/>
      <c r="E1857" s="234"/>
      <c r="F1857" s="234"/>
      <c r="G1857" s="234"/>
      <c r="H1857" s="234"/>
      <c r="I1857" s="234"/>
      <c r="J1857" s="234"/>
    </row>
    <row r="1858" ht="15.75" customHeight="1">
      <c r="A1858" s="234"/>
      <c r="B1858" s="234"/>
      <c r="C1858" s="234"/>
      <c r="D1858" s="234"/>
      <c r="E1858" s="234"/>
      <c r="F1858" s="234"/>
      <c r="G1858" s="234"/>
      <c r="H1858" s="234"/>
      <c r="I1858" s="234"/>
      <c r="J1858" s="234"/>
    </row>
    <row r="1859" ht="15.75" customHeight="1">
      <c r="A1859" s="234"/>
      <c r="B1859" s="234"/>
      <c r="C1859" s="234"/>
      <c r="D1859" s="234"/>
      <c r="E1859" s="234"/>
      <c r="F1859" s="234"/>
      <c r="G1859" s="234"/>
      <c r="H1859" s="234"/>
      <c r="I1859" s="234"/>
      <c r="J1859" s="234"/>
    </row>
    <row r="1860" ht="15.75" customHeight="1">
      <c r="A1860" s="234"/>
      <c r="B1860" s="234"/>
      <c r="C1860" s="234"/>
      <c r="D1860" s="234"/>
      <c r="E1860" s="234"/>
      <c r="F1860" s="234"/>
      <c r="G1860" s="234"/>
      <c r="H1860" s="234"/>
      <c r="I1860" s="234"/>
      <c r="J1860" s="234"/>
    </row>
    <row r="1861" ht="15.75" customHeight="1">
      <c r="A1861" s="234"/>
      <c r="B1861" s="234"/>
      <c r="C1861" s="234"/>
      <c r="D1861" s="234"/>
      <c r="E1861" s="234"/>
      <c r="F1861" s="234"/>
      <c r="G1861" s="234"/>
      <c r="H1861" s="234"/>
      <c r="I1861" s="234"/>
      <c r="J1861" s="234"/>
    </row>
    <row r="1862" ht="15.75" customHeight="1">
      <c r="A1862" s="234"/>
      <c r="B1862" s="234"/>
      <c r="C1862" s="234"/>
      <c r="D1862" s="234"/>
      <c r="E1862" s="234"/>
      <c r="F1862" s="234"/>
      <c r="G1862" s="234"/>
      <c r="H1862" s="234"/>
      <c r="I1862" s="234"/>
      <c r="J1862" s="234"/>
    </row>
    <row r="1863" ht="15.75" customHeight="1">
      <c r="A1863" s="234"/>
      <c r="B1863" s="234"/>
      <c r="C1863" s="234"/>
      <c r="D1863" s="234"/>
      <c r="E1863" s="234"/>
      <c r="F1863" s="234"/>
      <c r="G1863" s="234"/>
      <c r="H1863" s="234"/>
      <c r="I1863" s="234"/>
      <c r="J1863" s="234"/>
    </row>
    <row r="1864" ht="15.75" customHeight="1">
      <c r="A1864" s="234"/>
      <c r="B1864" s="234"/>
      <c r="C1864" s="234"/>
      <c r="D1864" s="234"/>
      <c r="E1864" s="234"/>
      <c r="F1864" s="234"/>
      <c r="G1864" s="234"/>
      <c r="H1864" s="234"/>
      <c r="I1864" s="234"/>
      <c r="J1864" s="234"/>
    </row>
    <row r="1865" ht="15.75" customHeight="1">
      <c r="A1865" s="234"/>
      <c r="B1865" s="234"/>
      <c r="C1865" s="234"/>
      <c r="D1865" s="234"/>
      <c r="E1865" s="234"/>
      <c r="F1865" s="234"/>
      <c r="G1865" s="234"/>
      <c r="H1865" s="234"/>
      <c r="I1865" s="234"/>
      <c r="J1865" s="234"/>
    </row>
    <row r="1866" ht="15.75" customHeight="1">
      <c r="A1866" s="234"/>
      <c r="B1866" s="234"/>
      <c r="C1866" s="234"/>
      <c r="D1866" s="234"/>
      <c r="E1866" s="234"/>
      <c r="F1866" s="234"/>
      <c r="G1866" s="234"/>
      <c r="H1866" s="234"/>
      <c r="I1866" s="234"/>
      <c r="J1866" s="234"/>
    </row>
    <row r="1867" ht="15.75" customHeight="1">
      <c r="A1867" s="234"/>
      <c r="B1867" s="234"/>
      <c r="C1867" s="234"/>
      <c r="D1867" s="234"/>
      <c r="E1867" s="234"/>
      <c r="F1867" s="234"/>
      <c r="G1867" s="234"/>
      <c r="H1867" s="234"/>
      <c r="I1867" s="234"/>
      <c r="J1867" s="234"/>
    </row>
    <row r="1868" ht="15.75" customHeight="1">
      <c r="A1868" s="234"/>
      <c r="B1868" s="234"/>
      <c r="C1868" s="234"/>
      <c r="D1868" s="234"/>
      <c r="E1868" s="234"/>
      <c r="F1868" s="234"/>
      <c r="G1868" s="234"/>
      <c r="H1868" s="234"/>
      <c r="I1868" s="234"/>
      <c r="J1868" s="234"/>
    </row>
    <row r="1869" ht="15.75" customHeight="1">
      <c r="A1869" s="234"/>
      <c r="B1869" s="234"/>
      <c r="C1869" s="234"/>
      <c r="D1869" s="234"/>
      <c r="E1869" s="234"/>
      <c r="F1869" s="234"/>
      <c r="G1869" s="234"/>
      <c r="H1869" s="234"/>
      <c r="I1869" s="234"/>
      <c r="J1869" s="234"/>
    </row>
    <row r="1870" ht="15.75" customHeight="1">
      <c r="A1870" s="234"/>
      <c r="B1870" s="234"/>
      <c r="C1870" s="234"/>
      <c r="D1870" s="234"/>
      <c r="E1870" s="234"/>
      <c r="F1870" s="234"/>
      <c r="G1870" s="234"/>
      <c r="H1870" s="234"/>
      <c r="I1870" s="234"/>
      <c r="J1870" s="234"/>
    </row>
    <row r="1871" ht="15.75" customHeight="1">
      <c r="A1871" s="234"/>
      <c r="B1871" s="234"/>
      <c r="C1871" s="234"/>
      <c r="D1871" s="234"/>
      <c r="E1871" s="234"/>
      <c r="F1871" s="234"/>
      <c r="G1871" s="234"/>
      <c r="H1871" s="234"/>
      <c r="I1871" s="234"/>
      <c r="J1871" s="234"/>
    </row>
    <row r="1872" ht="15.75" customHeight="1">
      <c r="A1872" s="234"/>
      <c r="B1872" s="234"/>
      <c r="C1872" s="234"/>
      <c r="D1872" s="234"/>
      <c r="E1872" s="234"/>
      <c r="F1872" s="234"/>
      <c r="G1872" s="234"/>
      <c r="H1872" s="234"/>
      <c r="I1872" s="234"/>
      <c r="J1872" s="234"/>
    </row>
    <row r="1873" ht="15.75" customHeight="1">
      <c r="A1873" s="234"/>
      <c r="B1873" s="234"/>
      <c r="C1873" s="234"/>
      <c r="D1873" s="234"/>
      <c r="E1873" s="234"/>
      <c r="F1873" s="234"/>
      <c r="G1873" s="234"/>
      <c r="H1873" s="234"/>
      <c r="I1873" s="234"/>
      <c r="J1873" s="234"/>
    </row>
    <row r="1874" ht="15.75" customHeight="1">
      <c r="A1874" s="234"/>
      <c r="B1874" s="234"/>
      <c r="C1874" s="234"/>
      <c r="D1874" s="234"/>
      <c r="E1874" s="234"/>
      <c r="F1874" s="234"/>
      <c r="G1874" s="234"/>
      <c r="H1874" s="234"/>
      <c r="I1874" s="234"/>
      <c r="J1874" s="234"/>
    </row>
    <row r="1875" ht="15.75" customHeight="1">
      <c r="A1875" s="234"/>
      <c r="B1875" s="234"/>
      <c r="C1875" s="234"/>
      <c r="D1875" s="234"/>
      <c r="E1875" s="234"/>
      <c r="F1875" s="234"/>
      <c r="G1875" s="234"/>
      <c r="H1875" s="234"/>
      <c r="I1875" s="234"/>
      <c r="J1875" s="234"/>
    </row>
    <row r="1876" ht="15.75" customHeight="1">
      <c r="A1876" s="234"/>
      <c r="B1876" s="234"/>
      <c r="C1876" s="234"/>
      <c r="D1876" s="234"/>
      <c r="E1876" s="234"/>
      <c r="F1876" s="234"/>
      <c r="G1876" s="234"/>
      <c r="H1876" s="234"/>
      <c r="I1876" s="234"/>
      <c r="J1876" s="234"/>
    </row>
    <row r="1877" ht="15.75" customHeight="1">
      <c r="A1877" s="234"/>
      <c r="B1877" s="234"/>
      <c r="C1877" s="234"/>
      <c r="D1877" s="234"/>
      <c r="E1877" s="234"/>
      <c r="F1877" s="234"/>
      <c r="G1877" s="234"/>
      <c r="H1877" s="234"/>
      <c r="I1877" s="234"/>
      <c r="J1877" s="234"/>
    </row>
    <row r="1878" ht="15.75" customHeight="1">
      <c r="A1878" s="234"/>
      <c r="B1878" s="234"/>
      <c r="C1878" s="234"/>
      <c r="D1878" s="234"/>
      <c r="E1878" s="234"/>
      <c r="F1878" s="234"/>
      <c r="G1878" s="234"/>
      <c r="H1878" s="234"/>
      <c r="I1878" s="234"/>
      <c r="J1878" s="234"/>
    </row>
    <row r="1879" ht="15.75" customHeight="1">
      <c r="A1879" s="234"/>
      <c r="B1879" s="234"/>
      <c r="C1879" s="234"/>
      <c r="D1879" s="234"/>
      <c r="E1879" s="234"/>
      <c r="F1879" s="234"/>
      <c r="G1879" s="234"/>
      <c r="H1879" s="234"/>
      <c r="I1879" s="234"/>
      <c r="J1879" s="234"/>
    </row>
    <row r="1880" ht="15.75" customHeight="1">
      <c r="A1880" s="234"/>
      <c r="B1880" s="234"/>
      <c r="C1880" s="234"/>
      <c r="D1880" s="234"/>
      <c r="E1880" s="234"/>
      <c r="F1880" s="234"/>
      <c r="G1880" s="234"/>
      <c r="H1880" s="234"/>
      <c r="I1880" s="234"/>
      <c r="J1880" s="234"/>
    </row>
    <row r="1881" ht="15.75" customHeight="1">
      <c r="A1881" s="234"/>
      <c r="B1881" s="234"/>
      <c r="C1881" s="234"/>
      <c r="D1881" s="234"/>
      <c r="E1881" s="234"/>
      <c r="F1881" s="234"/>
      <c r="G1881" s="234"/>
      <c r="H1881" s="234"/>
      <c r="I1881" s="234"/>
      <c r="J1881" s="234"/>
    </row>
    <row r="1882" ht="15.75" customHeight="1">
      <c r="A1882" s="234"/>
      <c r="B1882" s="234"/>
      <c r="C1882" s="234"/>
      <c r="D1882" s="234"/>
      <c r="E1882" s="234"/>
      <c r="F1882" s="234"/>
      <c r="G1882" s="234"/>
      <c r="H1882" s="234"/>
      <c r="I1882" s="234"/>
      <c r="J1882" s="234"/>
    </row>
    <row r="1883" ht="15.75" customHeight="1">
      <c r="A1883" s="234"/>
      <c r="B1883" s="234"/>
      <c r="C1883" s="234"/>
      <c r="D1883" s="234"/>
      <c r="E1883" s="234"/>
      <c r="F1883" s="234"/>
      <c r="G1883" s="234"/>
      <c r="H1883" s="234"/>
      <c r="I1883" s="234"/>
      <c r="J1883" s="234"/>
    </row>
    <row r="1884" ht="15.75" customHeight="1">
      <c r="A1884" s="234"/>
      <c r="B1884" s="234"/>
      <c r="C1884" s="234"/>
      <c r="D1884" s="234"/>
      <c r="E1884" s="234"/>
      <c r="F1884" s="234"/>
      <c r="G1884" s="234"/>
      <c r="H1884" s="234"/>
      <c r="I1884" s="234"/>
      <c r="J1884" s="234"/>
    </row>
    <row r="1885" ht="15.75" customHeight="1">
      <c r="A1885" s="234"/>
      <c r="B1885" s="234"/>
      <c r="C1885" s="234"/>
      <c r="D1885" s="234"/>
      <c r="E1885" s="234"/>
      <c r="F1885" s="234"/>
      <c r="G1885" s="234"/>
      <c r="H1885" s="234"/>
      <c r="I1885" s="234"/>
      <c r="J1885" s="234"/>
    </row>
    <row r="1886" ht="15.75" customHeight="1">
      <c r="A1886" s="234"/>
      <c r="B1886" s="234"/>
      <c r="C1886" s="234"/>
      <c r="D1886" s="234"/>
      <c r="E1886" s="234"/>
      <c r="F1886" s="234"/>
      <c r="G1886" s="234"/>
      <c r="H1886" s="234"/>
      <c r="I1886" s="234"/>
      <c r="J1886" s="234"/>
    </row>
    <row r="1887" ht="15.75" customHeight="1">
      <c r="A1887" s="234"/>
      <c r="B1887" s="234"/>
      <c r="C1887" s="234"/>
      <c r="D1887" s="234"/>
      <c r="E1887" s="234"/>
      <c r="F1887" s="234"/>
      <c r="G1887" s="234"/>
      <c r="H1887" s="234"/>
      <c r="I1887" s="234"/>
      <c r="J1887" s="234"/>
    </row>
    <row r="1888" ht="15.75" customHeight="1">
      <c r="A1888" s="234"/>
      <c r="B1888" s="234"/>
      <c r="C1888" s="234"/>
      <c r="D1888" s="234"/>
      <c r="E1888" s="234"/>
      <c r="F1888" s="234"/>
      <c r="G1888" s="234"/>
      <c r="H1888" s="234"/>
      <c r="I1888" s="234"/>
      <c r="J1888" s="234"/>
    </row>
    <row r="1889" ht="15.75" customHeight="1">
      <c r="A1889" s="234"/>
      <c r="B1889" s="234"/>
      <c r="C1889" s="234"/>
      <c r="D1889" s="234"/>
      <c r="E1889" s="234"/>
      <c r="F1889" s="234"/>
      <c r="G1889" s="234"/>
      <c r="H1889" s="234"/>
      <c r="I1889" s="234"/>
      <c r="J1889" s="234"/>
    </row>
    <row r="1890" ht="15.75" customHeight="1">
      <c r="A1890" s="234"/>
      <c r="B1890" s="234"/>
      <c r="C1890" s="234"/>
      <c r="D1890" s="234"/>
      <c r="E1890" s="234"/>
      <c r="F1890" s="234"/>
      <c r="G1890" s="234"/>
      <c r="H1890" s="234"/>
      <c r="I1890" s="234"/>
      <c r="J1890" s="234"/>
    </row>
    <row r="1891" ht="15.75" customHeight="1">
      <c r="A1891" s="234"/>
      <c r="B1891" s="234"/>
      <c r="C1891" s="234"/>
      <c r="D1891" s="234"/>
      <c r="E1891" s="234"/>
      <c r="F1891" s="234"/>
      <c r="G1891" s="234"/>
      <c r="H1891" s="234"/>
      <c r="I1891" s="234"/>
      <c r="J1891" s="234"/>
    </row>
    <row r="1892" ht="15.75" customHeight="1">
      <c r="A1892" s="234"/>
      <c r="B1892" s="234"/>
      <c r="C1892" s="234"/>
      <c r="D1892" s="234"/>
      <c r="E1892" s="234"/>
      <c r="F1892" s="234"/>
      <c r="G1892" s="234"/>
      <c r="H1892" s="234"/>
      <c r="I1892" s="234"/>
      <c r="J1892" s="234"/>
    </row>
    <row r="1893" ht="15.75" customHeight="1">
      <c r="A1893" s="234"/>
      <c r="B1893" s="234"/>
      <c r="C1893" s="234"/>
      <c r="D1893" s="234"/>
      <c r="E1893" s="234"/>
      <c r="F1893" s="234"/>
      <c r="G1893" s="234"/>
      <c r="H1893" s="234"/>
      <c r="I1893" s="234"/>
      <c r="J1893" s="234"/>
    </row>
    <row r="1894" ht="15.75" customHeight="1">
      <c r="A1894" s="234"/>
      <c r="B1894" s="234"/>
      <c r="C1894" s="234"/>
      <c r="D1894" s="234"/>
      <c r="E1894" s="234"/>
      <c r="F1894" s="234"/>
      <c r="G1894" s="234"/>
      <c r="H1894" s="234"/>
      <c r="I1894" s="234"/>
      <c r="J1894" s="234"/>
    </row>
    <row r="1895" ht="15.75" customHeight="1">
      <c r="A1895" s="234"/>
      <c r="B1895" s="234"/>
      <c r="C1895" s="234"/>
      <c r="D1895" s="234"/>
      <c r="E1895" s="234"/>
      <c r="F1895" s="234"/>
      <c r="G1895" s="234"/>
      <c r="H1895" s="234"/>
      <c r="I1895" s="234"/>
      <c r="J1895" s="234"/>
    </row>
    <row r="1896" ht="15.75" customHeight="1">
      <c r="A1896" s="234"/>
      <c r="B1896" s="234"/>
      <c r="C1896" s="234"/>
      <c r="D1896" s="234"/>
      <c r="E1896" s="234"/>
      <c r="F1896" s="234"/>
      <c r="G1896" s="234"/>
      <c r="H1896" s="234"/>
      <c r="I1896" s="234"/>
      <c r="J1896" s="234"/>
    </row>
    <row r="1897" ht="15.75" customHeight="1">
      <c r="A1897" s="234"/>
      <c r="B1897" s="234"/>
      <c r="C1897" s="234"/>
      <c r="D1897" s="234"/>
      <c r="E1897" s="234"/>
      <c r="F1897" s="234"/>
      <c r="G1897" s="234"/>
      <c r="H1897" s="234"/>
      <c r="I1897" s="234"/>
      <c r="J1897" s="234"/>
    </row>
    <row r="1898" ht="15.75" customHeight="1">
      <c r="A1898" s="234"/>
      <c r="B1898" s="234"/>
      <c r="C1898" s="234"/>
      <c r="D1898" s="234"/>
      <c r="E1898" s="234"/>
      <c r="F1898" s="234"/>
      <c r="G1898" s="234"/>
      <c r="H1898" s="234"/>
      <c r="I1898" s="234"/>
      <c r="J1898" s="234"/>
    </row>
    <row r="1899" ht="15.75" customHeight="1">
      <c r="A1899" s="234"/>
      <c r="B1899" s="234"/>
      <c r="C1899" s="234"/>
      <c r="D1899" s="234"/>
      <c r="E1899" s="234"/>
      <c r="F1899" s="234"/>
      <c r="G1899" s="234"/>
      <c r="H1899" s="234"/>
      <c r="I1899" s="234"/>
      <c r="J1899" s="234"/>
    </row>
    <row r="1900" ht="15.75" customHeight="1">
      <c r="A1900" s="234"/>
      <c r="B1900" s="234"/>
      <c r="C1900" s="234"/>
      <c r="D1900" s="234"/>
      <c r="E1900" s="234"/>
      <c r="F1900" s="234"/>
      <c r="G1900" s="234"/>
      <c r="H1900" s="234"/>
      <c r="I1900" s="234"/>
      <c r="J1900" s="234"/>
    </row>
    <row r="1901" ht="15.75" customHeight="1">
      <c r="A1901" s="234"/>
      <c r="B1901" s="234"/>
      <c r="C1901" s="234"/>
      <c r="D1901" s="234"/>
      <c r="E1901" s="234"/>
      <c r="F1901" s="234"/>
      <c r="G1901" s="234"/>
      <c r="H1901" s="234"/>
      <c r="I1901" s="234"/>
      <c r="J1901" s="234"/>
    </row>
    <row r="1902" ht="15.75" customHeight="1">
      <c r="A1902" s="234"/>
      <c r="B1902" s="234"/>
      <c r="C1902" s="234"/>
      <c r="D1902" s="234"/>
      <c r="E1902" s="234"/>
      <c r="F1902" s="234"/>
      <c r="G1902" s="234"/>
      <c r="H1902" s="234"/>
      <c r="I1902" s="234"/>
      <c r="J1902" s="234"/>
    </row>
    <row r="1903" ht="15.75" customHeight="1">
      <c r="A1903" s="234"/>
      <c r="B1903" s="234"/>
      <c r="C1903" s="234"/>
      <c r="D1903" s="234"/>
      <c r="E1903" s="234"/>
      <c r="F1903" s="234"/>
      <c r="G1903" s="234"/>
      <c r="H1903" s="234"/>
      <c r="I1903" s="234"/>
      <c r="J1903" s="234"/>
    </row>
    <row r="1904" ht="15.75" customHeight="1">
      <c r="A1904" s="234"/>
      <c r="B1904" s="234"/>
      <c r="C1904" s="234"/>
      <c r="D1904" s="234"/>
      <c r="E1904" s="234"/>
      <c r="F1904" s="234"/>
      <c r="G1904" s="234"/>
      <c r="H1904" s="234"/>
      <c r="I1904" s="234"/>
      <c r="J1904" s="234"/>
    </row>
    <row r="1905" ht="15.75" customHeight="1">
      <c r="A1905" s="234"/>
      <c r="B1905" s="234"/>
      <c r="C1905" s="234"/>
      <c r="D1905" s="234"/>
      <c r="E1905" s="234"/>
      <c r="F1905" s="234"/>
      <c r="G1905" s="234"/>
      <c r="H1905" s="234"/>
      <c r="I1905" s="234"/>
      <c r="J1905" s="234"/>
    </row>
    <row r="1906" ht="15.75" customHeight="1">
      <c r="A1906" s="234"/>
      <c r="B1906" s="234"/>
      <c r="C1906" s="234"/>
      <c r="D1906" s="234"/>
      <c r="E1906" s="234"/>
      <c r="F1906" s="234"/>
      <c r="G1906" s="234"/>
      <c r="H1906" s="234"/>
      <c r="I1906" s="234"/>
      <c r="J1906" s="234"/>
    </row>
    <row r="1907" ht="15.75" customHeight="1">
      <c r="A1907" s="234"/>
      <c r="B1907" s="234"/>
      <c r="C1907" s="234"/>
      <c r="D1907" s="234"/>
      <c r="E1907" s="234"/>
      <c r="F1907" s="234"/>
      <c r="G1907" s="234"/>
      <c r="H1907" s="234"/>
      <c r="I1907" s="234"/>
      <c r="J1907" s="234"/>
    </row>
    <row r="1908" ht="15.75" customHeight="1">
      <c r="A1908" s="234"/>
      <c r="B1908" s="234"/>
      <c r="C1908" s="234"/>
      <c r="D1908" s="234"/>
      <c r="E1908" s="234"/>
      <c r="F1908" s="234"/>
      <c r="G1908" s="234"/>
      <c r="H1908" s="234"/>
      <c r="I1908" s="234"/>
      <c r="J1908" s="234"/>
    </row>
    <row r="1909" ht="15.75" customHeight="1">
      <c r="A1909" s="234"/>
      <c r="B1909" s="234"/>
      <c r="C1909" s="234"/>
      <c r="D1909" s="234"/>
      <c r="E1909" s="234"/>
      <c r="F1909" s="234"/>
      <c r="G1909" s="234"/>
      <c r="H1909" s="234"/>
      <c r="I1909" s="234"/>
      <c r="J1909" s="234"/>
    </row>
    <row r="1910" ht="15.75" customHeight="1">
      <c r="A1910" s="234"/>
      <c r="B1910" s="234"/>
      <c r="C1910" s="234"/>
      <c r="D1910" s="234"/>
      <c r="E1910" s="234"/>
      <c r="F1910" s="234"/>
      <c r="G1910" s="234"/>
      <c r="H1910" s="234"/>
      <c r="I1910" s="234"/>
      <c r="J1910" s="234"/>
    </row>
    <row r="1911" ht="15.75" customHeight="1">
      <c r="A1911" s="234"/>
      <c r="B1911" s="234"/>
      <c r="C1911" s="234"/>
      <c r="D1911" s="234"/>
      <c r="E1911" s="234"/>
      <c r="F1911" s="234"/>
      <c r="G1911" s="234"/>
      <c r="H1911" s="234"/>
      <c r="I1911" s="234"/>
      <c r="J1911" s="234"/>
    </row>
    <row r="1912" ht="15.75" customHeight="1">
      <c r="A1912" s="234"/>
      <c r="B1912" s="234"/>
      <c r="C1912" s="234"/>
      <c r="D1912" s="234"/>
      <c r="E1912" s="234"/>
      <c r="F1912" s="234"/>
      <c r="G1912" s="234"/>
      <c r="H1912" s="234"/>
      <c r="I1912" s="234"/>
      <c r="J1912" s="234"/>
    </row>
    <row r="1913" ht="15.75" customHeight="1">
      <c r="A1913" s="234"/>
      <c r="B1913" s="234"/>
      <c r="C1913" s="234"/>
      <c r="D1913" s="234"/>
      <c r="E1913" s="234"/>
      <c r="F1913" s="234"/>
      <c r="G1913" s="234"/>
      <c r="H1913" s="234"/>
      <c r="I1913" s="234"/>
      <c r="J1913" s="234"/>
    </row>
    <row r="1914" ht="15.75" customHeight="1">
      <c r="A1914" s="234"/>
      <c r="B1914" s="234"/>
      <c r="C1914" s="234"/>
      <c r="D1914" s="234"/>
      <c r="E1914" s="234"/>
      <c r="F1914" s="234"/>
      <c r="G1914" s="234"/>
      <c r="H1914" s="234"/>
      <c r="I1914" s="234"/>
      <c r="J1914" s="234"/>
    </row>
    <row r="1915" ht="15.75" customHeight="1">
      <c r="A1915" s="234"/>
      <c r="B1915" s="234"/>
      <c r="C1915" s="234"/>
      <c r="D1915" s="234"/>
      <c r="E1915" s="234"/>
      <c r="F1915" s="234"/>
      <c r="G1915" s="234"/>
      <c r="H1915" s="234"/>
      <c r="I1915" s="234"/>
      <c r="J1915" s="234"/>
    </row>
    <row r="1916" ht="15.75" customHeight="1">
      <c r="A1916" s="234"/>
      <c r="B1916" s="234"/>
      <c r="C1916" s="234"/>
      <c r="D1916" s="234"/>
      <c r="E1916" s="234"/>
      <c r="F1916" s="234"/>
      <c r="G1916" s="234"/>
      <c r="H1916" s="234"/>
      <c r="I1916" s="234"/>
      <c r="J1916" s="234"/>
    </row>
    <row r="1917" ht="15.75" customHeight="1">
      <c r="A1917" s="234"/>
      <c r="B1917" s="234"/>
      <c r="C1917" s="234"/>
      <c r="D1917" s="234"/>
      <c r="E1917" s="234"/>
      <c r="F1917" s="234"/>
      <c r="G1917" s="234"/>
      <c r="H1917" s="234"/>
      <c r="I1917" s="234"/>
      <c r="J1917" s="234"/>
    </row>
    <row r="1918" ht="15.75" customHeight="1">
      <c r="A1918" s="234"/>
      <c r="B1918" s="234"/>
      <c r="C1918" s="234"/>
      <c r="D1918" s="234"/>
      <c r="E1918" s="234"/>
      <c r="F1918" s="234"/>
      <c r="G1918" s="234"/>
      <c r="H1918" s="234"/>
      <c r="I1918" s="234"/>
      <c r="J1918" s="234"/>
    </row>
    <row r="1919" ht="15.75" customHeight="1">
      <c r="A1919" s="234"/>
      <c r="B1919" s="234"/>
      <c r="C1919" s="234"/>
      <c r="D1919" s="234"/>
      <c r="E1919" s="234"/>
      <c r="F1919" s="234"/>
      <c r="G1919" s="234"/>
      <c r="H1919" s="234"/>
      <c r="I1919" s="234"/>
      <c r="J1919" s="234"/>
    </row>
    <row r="1920" ht="15.75" customHeight="1">
      <c r="A1920" s="234"/>
      <c r="B1920" s="234"/>
      <c r="C1920" s="234"/>
      <c r="D1920" s="234"/>
      <c r="E1920" s="234"/>
      <c r="F1920" s="234"/>
      <c r="G1920" s="234"/>
      <c r="H1920" s="234"/>
      <c r="I1920" s="234"/>
      <c r="J1920" s="234"/>
    </row>
    <row r="1921" ht="15.75" customHeight="1">
      <c r="A1921" s="234"/>
      <c r="B1921" s="234"/>
      <c r="C1921" s="234"/>
      <c r="D1921" s="234"/>
      <c r="E1921" s="234"/>
      <c r="F1921" s="234"/>
      <c r="G1921" s="234"/>
      <c r="H1921" s="234"/>
      <c r="I1921" s="234"/>
      <c r="J1921" s="234"/>
    </row>
    <row r="1922" ht="15.75" customHeight="1">
      <c r="A1922" s="234"/>
      <c r="B1922" s="234"/>
      <c r="C1922" s="234"/>
      <c r="D1922" s="234"/>
      <c r="E1922" s="234"/>
      <c r="F1922" s="234"/>
      <c r="G1922" s="234"/>
      <c r="H1922" s="234"/>
      <c r="I1922" s="234"/>
      <c r="J1922" s="234"/>
    </row>
    <row r="1923" ht="15.75" customHeight="1">
      <c r="A1923" s="234"/>
      <c r="B1923" s="234"/>
      <c r="C1923" s="234"/>
      <c r="D1923" s="234"/>
      <c r="E1923" s="234"/>
      <c r="F1923" s="234"/>
      <c r="G1923" s="234"/>
      <c r="H1923" s="234"/>
      <c r="I1923" s="234"/>
      <c r="J1923" s="234"/>
    </row>
    <row r="1924" ht="15.75" customHeight="1">
      <c r="A1924" s="234"/>
      <c r="B1924" s="234"/>
      <c r="C1924" s="234"/>
      <c r="D1924" s="234"/>
      <c r="E1924" s="234"/>
      <c r="F1924" s="234"/>
      <c r="G1924" s="234"/>
      <c r="H1924" s="234"/>
      <c r="I1924" s="234"/>
      <c r="J1924" s="234"/>
    </row>
    <row r="1925" ht="15.75" customHeight="1">
      <c r="A1925" s="234"/>
      <c r="B1925" s="234"/>
      <c r="C1925" s="234"/>
      <c r="D1925" s="234"/>
      <c r="E1925" s="234"/>
      <c r="F1925" s="234"/>
      <c r="G1925" s="234"/>
      <c r="H1925" s="234"/>
      <c r="I1925" s="234"/>
      <c r="J1925" s="234"/>
    </row>
    <row r="1926" ht="15.75" customHeight="1">
      <c r="A1926" s="234"/>
      <c r="B1926" s="234"/>
      <c r="C1926" s="234"/>
      <c r="D1926" s="234"/>
      <c r="E1926" s="234"/>
      <c r="F1926" s="234"/>
      <c r="G1926" s="234"/>
      <c r="H1926" s="234"/>
      <c r="I1926" s="234"/>
      <c r="J1926" s="234"/>
    </row>
    <row r="1927" ht="15.75" customHeight="1">
      <c r="A1927" s="234"/>
      <c r="B1927" s="234"/>
      <c r="C1927" s="234"/>
      <c r="D1927" s="234"/>
      <c r="E1927" s="234"/>
      <c r="F1927" s="234"/>
      <c r="G1927" s="234"/>
      <c r="H1927" s="234"/>
      <c r="I1927" s="234"/>
      <c r="J1927" s="234"/>
    </row>
    <row r="1928" ht="15.75" customHeight="1">
      <c r="A1928" s="234"/>
      <c r="B1928" s="234"/>
      <c r="C1928" s="234"/>
      <c r="D1928" s="234"/>
      <c r="E1928" s="234"/>
      <c r="F1928" s="234"/>
      <c r="G1928" s="234"/>
      <c r="H1928" s="234"/>
      <c r="I1928" s="234"/>
      <c r="J1928" s="234"/>
    </row>
    <row r="1929" ht="15.75" customHeight="1">
      <c r="A1929" s="234"/>
      <c r="B1929" s="234"/>
      <c r="C1929" s="234"/>
      <c r="D1929" s="234"/>
      <c r="E1929" s="234"/>
      <c r="F1929" s="234"/>
      <c r="G1929" s="234"/>
      <c r="H1929" s="234"/>
      <c r="I1929" s="234"/>
      <c r="J1929" s="234"/>
    </row>
    <row r="1930" ht="15.75" customHeight="1">
      <c r="A1930" s="234"/>
      <c r="B1930" s="234"/>
      <c r="C1930" s="234"/>
      <c r="D1930" s="234"/>
      <c r="E1930" s="234"/>
      <c r="F1930" s="234"/>
      <c r="G1930" s="234"/>
      <c r="H1930" s="234"/>
      <c r="I1930" s="234"/>
      <c r="J1930" s="234"/>
    </row>
    <row r="1931" ht="15.75" customHeight="1">
      <c r="A1931" s="234"/>
      <c r="B1931" s="234"/>
      <c r="C1931" s="234"/>
      <c r="D1931" s="234"/>
      <c r="E1931" s="234"/>
      <c r="F1931" s="234"/>
      <c r="G1931" s="234"/>
      <c r="H1931" s="234"/>
      <c r="I1931" s="234"/>
      <c r="J1931" s="234"/>
    </row>
    <row r="1932" ht="15.75" customHeight="1">
      <c r="A1932" s="234"/>
      <c r="B1932" s="234"/>
      <c r="C1932" s="234"/>
      <c r="D1932" s="234"/>
      <c r="E1932" s="234"/>
      <c r="F1932" s="234"/>
      <c r="G1932" s="234"/>
      <c r="H1932" s="234"/>
      <c r="I1932" s="234"/>
      <c r="J1932" s="234"/>
    </row>
    <row r="1933" ht="15.75" customHeight="1">
      <c r="A1933" s="234"/>
      <c r="B1933" s="234"/>
      <c r="C1933" s="234"/>
      <c r="D1933" s="234"/>
      <c r="E1933" s="234"/>
      <c r="F1933" s="234"/>
      <c r="G1933" s="234"/>
      <c r="H1933" s="234"/>
      <c r="I1933" s="234"/>
      <c r="J1933" s="234"/>
    </row>
    <row r="1934" ht="15.75" customHeight="1">
      <c r="A1934" s="234"/>
      <c r="B1934" s="234"/>
      <c r="C1934" s="234"/>
      <c r="D1934" s="234"/>
      <c r="E1934" s="234"/>
      <c r="F1934" s="234"/>
      <c r="G1934" s="234"/>
      <c r="H1934" s="234"/>
      <c r="I1934" s="234"/>
      <c r="J1934" s="234"/>
    </row>
    <row r="1935" ht="15.75" customHeight="1">
      <c r="A1935" s="234"/>
      <c r="B1935" s="234"/>
      <c r="C1935" s="234"/>
      <c r="D1935" s="234"/>
      <c r="E1935" s="234"/>
      <c r="F1935" s="234"/>
      <c r="G1935" s="234"/>
      <c r="H1935" s="234"/>
      <c r="I1935" s="234"/>
      <c r="J1935" s="234"/>
    </row>
    <row r="1936" ht="15.75" customHeight="1">
      <c r="A1936" s="234"/>
      <c r="B1936" s="234"/>
      <c r="C1936" s="234"/>
      <c r="D1936" s="234"/>
      <c r="E1936" s="234"/>
      <c r="F1936" s="234"/>
      <c r="G1936" s="234"/>
      <c r="H1936" s="234"/>
      <c r="I1936" s="234"/>
      <c r="J1936" s="234"/>
    </row>
    <row r="1937" ht="15.75" customHeight="1">
      <c r="A1937" s="234"/>
      <c r="B1937" s="234"/>
      <c r="C1937" s="234"/>
      <c r="D1937" s="234"/>
      <c r="E1937" s="234"/>
      <c r="F1937" s="234"/>
      <c r="G1937" s="234"/>
      <c r="H1937" s="234"/>
      <c r="I1937" s="234"/>
      <c r="J1937" s="234"/>
    </row>
    <row r="1938" ht="15.75" customHeight="1">
      <c r="A1938" s="234"/>
      <c r="B1938" s="234"/>
      <c r="C1938" s="234"/>
      <c r="D1938" s="234"/>
      <c r="E1938" s="234"/>
      <c r="F1938" s="234"/>
      <c r="G1938" s="234"/>
      <c r="H1938" s="234"/>
      <c r="I1938" s="234"/>
      <c r="J1938" s="234"/>
    </row>
    <row r="1939" ht="15.75" customHeight="1">
      <c r="A1939" s="234"/>
      <c r="B1939" s="234"/>
      <c r="C1939" s="234"/>
      <c r="D1939" s="234"/>
      <c r="E1939" s="234"/>
      <c r="F1939" s="234"/>
      <c r="G1939" s="234"/>
      <c r="H1939" s="234"/>
      <c r="I1939" s="234"/>
      <c r="J1939" s="234"/>
    </row>
    <row r="1940" ht="15.75" customHeight="1">
      <c r="A1940" s="234"/>
      <c r="B1940" s="234"/>
      <c r="C1940" s="234"/>
      <c r="D1940" s="234"/>
      <c r="E1940" s="234"/>
      <c r="F1940" s="234"/>
      <c r="G1940" s="234"/>
      <c r="H1940" s="234"/>
      <c r="I1940" s="234"/>
      <c r="J1940" s="234"/>
    </row>
    <row r="1941" ht="15.75" customHeight="1">
      <c r="A1941" s="234"/>
      <c r="B1941" s="234"/>
      <c r="C1941" s="234"/>
      <c r="D1941" s="234"/>
      <c r="E1941" s="234"/>
      <c r="F1941" s="234"/>
      <c r="G1941" s="234"/>
      <c r="H1941" s="234"/>
      <c r="I1941" s="234"/>
      <c r="J1941" s="234"/>
    </row>
    <row r="1942" ht="15.75" customHeight="1">
      <c r="A1942" s="234"/>
      <c r="B1942" s="234"/>
      <c r="C1942" s="234"/>
      <c r="D1942" s="234"/>
      <c r="E1942" s="234"/>
      <c r="F1942" s="234"/>
      <c r="G1942" s="234"/>
      <c r="H1942" s="234"/>
      <c r="I1942" s="234"/>
      <c r="J1942" s="234"/>
    </row>
    <row r="1943" ht="15.75" customHeight="1">
      <c r="A1943" s="234"/>
      <c r="B1943" s="234"/>
      <c r="C1943" s="234"/>
      <c r="D1943" s="234"/>
      <c r="E1943" s="234"/>
      <c r="F1943" s="234"/>
      <c r="G1943" s="234"/>
      <c r="H1943" s="234"/>
      <c r="I1943" s="234"/>
      <c r="J1943" s="234"/>
    </row>
    <row r="1944" ht="15.75" customHeight="1">
      <c r="A1944" s="234"/>
      <c r="B1944" s="234"/>
      <c r="C1944" s="234"/>
      <c r="D1944" s="234"/>
      <c r="E1944" s="234"/>
      <c r="F1944" s="234"/>
      <c r="G1944" s="234"/>
      <c r="H1944" s="234"/>
      <c r="I1944" s="234"/>
      <c r="J1944" s="234"/>
    </row>
    <row r="1945" ht="15.75" customHeight="1">
      <c r="A1945" s="234"/>
      <c r="B1945" s="234"/>
      <c r="C1945" s="234"/>
      <c r="D1945" s="234"/>
      <c r="E1945" s="234"/>
      <c r="F1945" s="234"/>
      <c r="G1945" s="234"/>
      <c r="H1945" s="234"/>
      <c r="I1945" s="234"/>
      <c r="J1945" s="234"/>
    </row>
    <row r="1946" ht="15.75" customHeight="1">
      <c r="A1946" s="234"/>
      <c r="B1946" s="234"/>
      <c r="C1946" s="234"/>
      <c r="D1946" s="234"/>
      <c r="E1946" s="234"/>
      <c r="F1946" s="234"/>
      <c r="G1946" s="234"/>
      <c r="H1946" s="234"/>
      <c r="I1946" s="234"/>
      <c r="J1946" s="234"/>
    </row>
    <row r="1947" ht="15.75" customHeight="1">
      <c r="A1947" s="234"/>
      <c r="B1947" s="234"/>
      <c r="C1947" s="234"/>
      <c r="D1947" s="234"/>
      <c r="E1947" s="234"/>
      <c r="F1947" s="234"/>
      <c r="G1947" s="234"/>
      <c r="H1947" s="234"/>
      <c r="I1947" s="234"/>
      <c r="J1947" s="234"/>
    </row>
    <row r="1948" ht="15.75" customHeight="1">
      <c r="A1948" s="234"/>
      <c r="B1948" s="234"/>
      <c r="C1948" s="234"/>
      <c r="D1948" s="234"/>
      <c r="E1948" s="234"/>
      <c r="F1948" s="234"/>
      <c r="G1948" s="234"/>
      <c r="H1948" s="234"/>
      <c r="I1948" s="234"/>
      <c r="J1948" s="234"/>
    </row>
    <row r="1949" ht="15.75" customHeight="1">
      <c r="A1949" s="234"/>
      <c r="B1949" s="234"/>
      <c r="C1949" s="234"/>
      <c r="D1949" s="234"/>
      <c r="E1949" s="234"/>
      <c r="F1949" s="234"/>
      <c r="G1949" s="234"/>
      <c r="H1949" s="234"/>
      <c r="I1949" s="234"/>
      <c r="J1949" s="234"/>
    </row>
    <row r="1950" ht="15.75" customHeight="1">
      <c r="A1950" s="234"/>
      <c r="B1950" s="234"/>
      <c r="C1950" s="234"/>
      <c r="D1950" s="234"/>
      <c r="E1950" s="234"/>
      <c r="F1950" s="234"/>
      <c r="G1950" s="234"/>
      <c r="H1950" s="234"/>
      <c r="I1950" s="234"/>
      <c r="J1950" s="234"/>
    </row>
    <row r="1951" ht="15.75" customHeight="1">
      <c r="A1951" s="234"/>
      <c r="B1951" s="234"/>
      <c r="C1951" s="234"/>
      <c r="D1951" s="234"/>
      <c r="E1951" s="234"/>
      <c r="F1951" s="234"/>
      <c r="G1951" s="234"/>
      <c r="H1951" s="234"/>
      <c r="I1951" s="234"/>
      <c r="J1951" s="234"/>
    </row>
    <row r="1952" ht="15.75" customHeight="1">
      <c r="A1952" s="234"/>
      <c r="B1952" s="234"/>
      <c r="C1952" s="234"/>
      <c r="D1952" s="234"/>
      <c r="E1952" s="234"/>
      <c r="F1952" s="234"/>
      <c r="G1952" s="234"/>
      <c r="H1952" s="234"/>
      <c r="I1952" s="234"/>
      <c r="J1952" s="234"/>
    </row>
    <row r="1953" ht="15.75" customHeight="1">
      <c r="A1953" s="234"/>
      <c r="B1953" s="234"/>
      <c r="C1953" s="234"/>
      <c r="D1953" s="234"/>
      <c r="E1953" s="234"/>
      <c r="F1953" s="234"/>
      <c r="G1953" s="234"/>
      <c r="H1953" s="234"/>
      <c r="I1953" s="234"/>
      <c r="J1953" s="234"/>
    </row>
    <row r="1954" ht="15.75" customHeight="1">
      <c r="A1954" s="234"/>
      <c r="B1954" s="234"/>
      <c r="C1954" s="234"/>
      <c r="D1954" s="234"/>
      <c r="E1954" s="234"/>
      <c r="F1954" s="234"/>
      <c r="G1954" s="234"/>
      <c r="H1954" s="234"/>
      <c r="I1954" s="234"/>
      <c r="J1954" s="234"/>
    </row>
    <row r="1955" ht="15.75" customHeight="1">
      <c r="A1955" s="234"/>
      <c r="B1955" s="234"/>
      <c r="C1955" s="234"/>
      <c r="D1955" s="234"/>
      <c r="E1955" s="234"/>
      <c r="F1955" s="234"/>
      <c r="G1955" s="234"/>
      <c r="H1955" s="234"/>
      <c r="I1955" s="234"/>
      <c r="J1955" s="234"/>
    </row>
    <row r="1956" ht="15.75" customHeight="1">
      <c r="A1956" s="234"/>
      <c r="B1956" s="234"/>
      <c r="C1956" s="234"/>
      <c r="D1956" s="234"/>
      <c r="E1956" s="234"/>
      <c r="F1956" s="234"/>
      <c r="G1956" s="234"/>
      <c r="H1956" s="234"/>
      <c r="I1956" s="234"/>
      <c r="J1956" s="234"/>
    </row>
    <row r="1957" ht="15.75" customHeight="1">
      <c r="A1957" s="234"/>
      <c r="B1957" s="234"/>
      <c r="C1957" s="234"/>
      <c r="D1957" s="234"/>
      <c r="E1957" s="234"/>
      <c r="F1957" s="234"/>
      <c r="G1957" s="234"/>
      <c r="H1957" s="234"/>
      <c r="I1957" s="234"/>
      <c r="J1957" s="234"/>
    </row>
    <row r="1958" ht="15.75" customHeight="1">
      <c r="A1958" s="234"/>
      <c r="B1958" s="234"/>
      <c r="C1958" s="234"/>
      <c r="D1958" s="234"/>
      <c r="E1958" s="234"/>
      <c r="F1958" s="234"/>
      <c r="G1958" s="234"/>
      <c r="H1958" s="234"/>
      <c r="I1958" s="234"/>
      <c r="J1958" s="234"/>
    </row>
    <row r="1959" ht="15.75" customHeight="1">
      <c r="A1959" s="234"/>
      <c r="B1959" s="234"/>
      <c r="C1959" s="234"/>
      <c r="D1959" s="234"/>
      <c r="E1959" s="234"/>
      <c r="F1959" s="234"/>
      <c r="G1959" s="234"/>
      <c r="H1959" s="234"/>
      <c r="I1959" s="234"/>
      <c r="J1959" s="234"/>
    </row>
    <row r="1960" ht="15.75" customHeight="1">
      <c r="A1960" s="234"/>
      <c r="B1960" s="234"/>
      <c r="C1960" s="234"/>
      <c r="D1960" s="234"/>
      <c r="E1960" s="234"/>
      <c r="F1960" s="234"/>
      <c r="G1960" s="234"/>
      <c r="H1960" s="234"/>
      <c r="I1960" s="234"/>
      <c r="J1960" s="234"/>
    </row>
    <row r="1961" ht="15.75" customHeight="1">
      <c r="A1961" s="234"/>
      <c r="B1961" s="234"/>
      <c r="C1961" s="234"/>
      <c r="D1961" s="234"/>
      <c r="E1961" s="234"/>
      <c r="F1961" s="234"/>
      <c r="G1961" s="234"/>
      <c r="H1961" s="234"/>
      <c r="I1961" s="234"/>
      <c r="J1961" s="234"/>
    </row>
    <row r="1962" ht="15.75" customHeight="1">
      <c r="A1962" s="234"/>
      <c r="B1962" s="234"/>
      <c r="C1962" s="234"/>
      <c r="D1962" s="234"/>
      <c r="E1962" s="234"/>
      <c r="F1962" s="234"/>
      <c r="G1962" s="234"/>
      <c r="H1962" s="234"/>
      <c r="I1962" s="234"/>
      <c r="J1962" s="234"/>
    </row>
    <row r="1963" ht="15.75" customHeight="1">
      <c r="A1963" s="234"/>
      <c r="B1963" s="234"/>
      <c r="C1963" s="234"/>
      <c r="D1963" s="234"/>
      <c r="E1963" s="234"/>
      <c r="F1963" s="234"/>
      <c r="G1963" s="234"/>
      <c r="H1963" s="234"/>
      <c r="I1963" s="234"/>
      <c r="J1963" s="234"/>
    </row>
    <row r="1964" ht="15.75" customHeight="1">
      <c r="A1964" s="234"/>
      <c r="B1964" s="234"/>
      <c r="C1964" s="234"/>
      <c r="D1964" s="234"/>
      <c r="E1964" s="234"/>
      <c r="F1964" s="234"/>
      <c r="G1964" s="234"/>
      <c r="H1964" s="234"/>
      <c r="I1964" s="234"/>
      <c r="J1964" s="234"/>
    </row>
    <row r="1965" ht="15.75" customHeight="1">
      <c r="A1965" s="234"/>
      <c r="B1965" s="234"/>
      <c r="C1965" s="234"/>
      <c r="D1965" s="234"/>
      <c r="E1965" s="234"/>
      <c r="F1965" s="234"/>
      <c r="G1965" s="234"/>
      <c r="H1965" s="234"/>
      <c r="I1965" s="234"/>
      <c r="J1965" s="234"/>
    </row>
    <row r="1966" ht="15.75" customHeight="1">
      <c r="A1966" s="234"/>
      <c r="B1966" s="234"/>
      <c r="C1966" s="234"/>
      <c r="D1966" s="234"/>
      <c r="E1966" s="234"/>
      <c r="F1966" s="234"/>
      <c r="G1966" s="234"/>
      <c r="H1966" s="234"/>
      <c r="I1966" s="234"/>
      <c r="J1966" s="234"/>
    </row>
    <row r="1967" ht="15.75" customHeight="1">
      <c r="A1967" s="234"/>
      <c r="B1967" s="234"/>
      <c r="C1967" s="234"/>
      <c r="D1967" s="234"/>
      <c r="E1967" s="234"/>
      <c r="F1967" s="234"/>
      <c r="G1967" s="234"/>
      <c r="H1967" s="234"/>
      <c r="I1967" s="234"/>
      <c r="J1967" s="234"/>
    </row>
    <row r="1968" ht="15.75" customHeight="1">
      <c r="A1968" s="234"/>
      <c r="B1968" s="234"/>
      <c r="C1968" s="234"/>
      <c r="D1968" s="234"/>
      <c r="E1968" s="234"/>
      <c r="F1968" s="234"/>
      <c r="G1968" s="234"/>
      <c r="H1968" s="234"/>
      <c r="I1968" s="234"/>
      <c r="J1968" s="234"/>
    </row>
    <row r="1969" ht="15.75" customHeight="1">
      <c r="A1969" s="234"/>
      <c r="B1969" s="234"/>
      <c r="C1969" s="234"/>
      <c r="D1969" s="234"/>
      <c r="E1969" s="234"/>
      <c r="F1969" s="234"/>
      <c r="G1969" s="234"/>
      <c r="H1969" s="234"/>
      <c r="I1969" s="234"/>
      <c r="J1969" s="234"/>
    </row>
    <row r="1970" ht="15.75" customHeight="1">
      <c r="A1970" s="234"/>
      <c r="B1970" s="234"/>
      <c r="C1970" s="234"/>
      <c r="D1970" s="234"/>
      <c r="E1970" s="234"/>
      <c r="F1970" s="234"/>
      <c r="G1970" s="234"/>
      <c r="H1970" s="234"/>
      <c r="I1970" s="234"/>
      <c r="J1970" s="234"/>
    </row>
    <row r="1971" ht="15.75" customHeight="1">
      <c r="A1971" s="234"/>
      <c r="B1971" s="234"/>
      <c r="C1971" s="234"/>
      <c r="D1971" s="234"/>
      <c r="E1971" s="234"/>
      <c r="F1971" s="234"/>
      <c r="G1971" s="234"/>
      <c r="H1971" s="234"/>
      <c r="I1971" s="234"/>
      <c r="J1971" s="234"/>
    </row>
    <row r="1972" ht="15.75" customHeight="1">
      <c r="A1972" s="234"/>
      <c r="B1972" s="234"/>
      <c r="C1972" s="234"/>
      <c r="D1972" s="234"/>
      <c r="E1972" s="234"/>
      <c r="F1972" s="234"/>
      <c r="G1972" s="234"/>
      <c r="H1972" s="234"/>
      <c r="I1972" s="234"/>
      <c r="J1972" s="234"/>
    </row>
    <row r="1973" ht="15.75" customHeight="1">
      <c r="A1973" s="234"/>
      <c r="B1973" s="234"/>
      <c r="C1973" s="234"/>
      <c r="D1973" s="234"/>
      <c r="E1973" s="234"/>
      <c r="F1973" s="234"/>
      <c r="G1973" s="234"/>
      <c r="H1973" s="234"/>
      <c r="I1973" s="234"/>
      <c r="J1973" s="234"/>
    </row>
    <row r="1974" ht="15.75" customHeight="1">
      <c r="A1974" s="234"/>
      <c r="B1974" s="234"/>
      <c r="C1974" s="234"/>
      <c r="D1974" s="234"/>
      <c r="E1974" s="234"/>
      <c r="F1974" s="234"/>
      <c r="G1974" s="234"/>
      <c r="H1974" s="234"/>
      <c r="I1974" s="234"/>
      <c r="J1974" s="234"/>
    </row>
    <row r="1975" ht="15.75" customHeight="1">
      <c r="A1975" s="234"/>
      <c r="B1975" s="234"/>
      <c r="C1975" s="234"/>
      <c r="D1975" s="234"/>
      <c r="E1975" s="234"/>
      <c r="F1975" s="234"/>
      <c r="G1975" s="234"/>
      <c r="H1975" s="234"/>
      <c r="I1975" s="234"/>
      <c r="J1975" s="234"/>
    </row>
    <row r="1976" ht="15.75" customHeight="1">
      <c r="A1976" s="234"/>
      <c r="B1976" s="234"/>
      <c r="C1976" s="234"/>
      <c r="D1976" s="234"/>
      <c r="E1976" s="234"/>
      <c r="F1976" s="234"/>
      <c r="G1976" s="234"/>
      <c r="H1976" s="234"/>
      <c r="I1976" s="234"/>
      <c r="J1976" s="234"/>
    </row>
    <row r="1977" ht="15.75" customHeight="1">
      <c r="A1977" s="234"/>
      <c r="B1977" s="234"/>
      <c r="C1977" s="234"/>
      <c r="D1977" s="234"/>
      <c r="E1977" s="234"/>
      <c r="F1977" s="234"/>
      <c r="G1977" s="234"/>
      <c r="H1977" s="234"/>
      <c r="I1977" s="234"/>
      <c r="J1977" s="234"/>
    </row>
    <row r="1978" ht="15.75" customHeight="1">
      <c r="A1978" s="234"/>
      <c r="B1978" s="234"/>
      <c r="C1978" s="234"/>
      <c r="D1978" s="234"/>
      <c r="E1978" s="234"/>
      <c r="F1978" s="234"/>
      <c r="G1978" s="234"/>
      <c r="H1978" s="234"/>
      <c r="I1978" s="234"/>
      <c r="J1978" s="234"/>
    </row>
    <row r="1979" ht="15.75" customHeight="1">
      <c r="A1979" s="234"/>
      <c r="B1979" s="234"/>
      <c r="C1979" s="234"/>
      <c r="D1979" s="234"/>
      <c r="E1979" s="234"/>
      <c r="F1979" s="234"/>
      <c r="G1979" s="234"/>
      <c r="H1979" s="234"/>
      <c r="I1979" s="234"/>
      <c r="J1979" s="234"/>
    </row>
    <row r="1980" ht="15.75" customHeight="1">
      <c r="A1980" s="234"/>
      <c r="B1980" s="234"/>
      <c r="C1980" s="234"/>
      <c r="D1980" s="234"/>
      <c r="E1980" s="234"/>
      <c r="F1980" s="234"/>
      <c r="G1980" s="234"/>
      <c r="H1980" s="234"/>
      <c r="I1980" s="234"/>
      <c r="J1980" s="234"/>
    </row>
    <row r="1981" ht="15.75" customHeight="1">
      <c r="A1981" s="234"/>
      <c r="B1981" s="234"/>
      <c r="C1981" s="234"/>
      <c r="D1981" s="234"/>
      <c r="E1981" s="234"/>
      <c r="F1981" s="234"/>
      <c r="G1981" s="234"/>
      <c r="H1981" s="234"/>
      <c r="I1981" s="234"/>
      <c r="J1981" s="234"/>
    </row>
    <row r="1982" ht="15.75" customHeight="1">
      <c r="A1982" s="234"/>
      <c r="B1982" s="234"/>
      <c r="C1982" s="234"/>
      <c r="D1982" s="234"/>
      <c r="E1982" s="234"/>
      <c r="F1982" s="234"/>
      <c r="G1982" s="234"/>
      <c r="H1982" s="234"/>
      <c r="I1982" s="234"/>
      <c r="J1982" s="234"/>
    </row>
    <row r="1983" ht="15.75" customHeight="1">
      <c r="A1983" s="234"/>
      <c r="B1983" s="234"/>
      <c r="C1983" s="234"/>
      <c r="D1983" s="234"/>
      <c r="E1983" s="234"/>
      <c r="F1983" s="234"/>
      <c r="G1983" s="234"/>
      <c r="H1983" s="234"/>
      <c r="I1983" s="234"/>
      <c r="J1983" s="234"/>
    </row>
    <row r="1984" ht="15.75" customHeight="1">
      <c r="A1984" s="234"/>
      <c r="B1984" s="234"/>
      <c r="C1984" s="234"/>
      <c r="D1984" s="234"/>
      <c r="E1984" s="234"/>
      <c r="F1984" s="234"/>
      <c r="G1984" s="234"/>
      <c r="H1984" s="234"/>
      <c r="I1984" s="234"/>
      <c r="J1984" s="234"/>
    </row>
    <row r="1985" ht="15.75" customHeight="1">
      <c r="A1985" s="234"/>
      <c r="B1985" s="234"/>
      <c r="C1985" s="234"/>
      <c r="D1985" s="234"/>
      <c r="E1985" s="234"/>
      <c r="F1985" s="234"/>
      <c r="G1985" s="234"/>
      <c r="H1985" s="234"/>
      <c r="I1985" s="234"/>
      <c r="J1985" s="234"/>
    </row>
    <row r="1986" ht="15.75" customHeight="1">
      <c r="A1986" s="234"/>
      <c r="B1986" s="234"/>
      <c r="C1986" s="234"/>
      <c r="D1986" s="234"/>
      <c r="E1986" s="234"/>
      <c r="F1986" s="234"/>
      <c r="G1986" s="234"/>
      <c r="H1986" s="234"/>
      <c r="I1986" s="234"/>
      <c r="J1986" s="234"/>
    </row>
    <row r="1987" ht="15.75" customHeight="1">
      <c r="A1987" s="234"/>
      <c r="B1987" s="234"/>
      <c r="C1987" s="234"/>
      <c r="D1987" s="234"/>
      <c r="E1987" s="234"/>
      <c r="F1987" s="234"/>
      <c r="G1987" s="234"/>
      <c r="H1987" s="234"/>
      <c r="I1987" s="234"/>
      <c r="J1987" s="234"/>
    </row>
    <row r="1988" ht="15.75" customHeight="1">
      <c r="A1988" s="234"/>
      <c r="B1988" s="234"/>
      <c r="C1988" s="234"/>
      <c r="D1988" s="234"/>
      <c r="E1988" s="234"/>
      <c r="F1988" s="234"/>
      <c r="G1988" s="234"/>
      <c r="H1988" s="234"/>
      <c r="I1988" s="234"/>
      <c r="J1988" s="234"/>
    </row>
    <row r="1989" ht="15.75" customHeight="1">
      <c r="A1989" s="234"/>
      <c r="B1989" s="234"/>
      <c r="C1989" s="234"/>
      <c r="D1989" s="234"/>
      <c r="E1989" s="234"/>
      <c r="F1989" s="234"/>
      <c r="G1989" s="234"/>
      <c r="H1989" s="234"/>
      <c r="I1989" s="234"/>
      <c r="J1989" s="234"/>
    </row>
    <row r="1990" ht="15.75" customHeight="1">
      <c r="A1990" s="234"/>
      <c r="B1990" s="234"/>
      <c r="C1990" s="234"/>
      <c r="D1990" s="234"/>
      <c r="E1990" s="234"/>
      <c r="F1990" s="234"/>
      <c r="G1990" s="234"/>
      <c r="H1990" s="234"/>
      <c r="I1990" s="234"/>
      <c r="J1990" s="234"/>
    </row>
    <row r="1991" ht="15.75" customHeight="1">
      <c r="A1991" s="234"/>
      <c r="B1991" s="234"/>
      <c r="C1991" s="234"/>
      <c r="D1991" s="234"/>
      <c r="E1991" s="234"/>
      <c r="F1991" s="234"/>
      <c r="G1991" s="234"/>
      <c r="H1991" s="234"/>
      <c r="I1991" s="234"/>
      <c r="J1991" s="234"/>
    </row>
    <row r="1992" ht="15.75" customHeight="1">
      <c r="A1992" s="234"/>
      <c r="B1992" s="234"/>
      <c r="C1992" s="234"/>
      <c r="D1992" s="234"/>
      <c r="E1992" s="234"/>
      <c r="F1992" s="234"/>
      <c r="G1992" s="234"/>
      <c r="H1992" s="234"/>
      <c r="I1992" s="234"/>
      <c r="J1992" s="234"/>
    </row>
    <row r="1993" ht="15.75" customHeight="1">
      <c r="A1993" s="234"/>
      <c r="B1993" s="234"/>
      <c r="C1993" s="234"/>
      <c r="D1993" s="234"/>
      <c r="E1993" s="234"/>
      <c r="F1993" s="234"/>
      <c r="G1993" s="234"/>
      <c r="H1993" s="234"/>
      <c r="I1993" s="234"/>
      <c r="J1993" s="234"/>
    </row>
    <row r="1994" ht="15.75" customHeight="1">
      <c r="A1994" s="234"/>
      <c r="B1994" s="234"/>
      <c r="C1994" s="234"/>
      <c r="D1994" s="234"/>
      <c r="E1994" s="234"/>
      <c r="F1994" s="234"/>
      <c r="G1994" s="234"/>
      <c r="H1994" s="234"/>
      <c r="I1994" s="234"/>
      <c r="J1994" s="234"/>
    </row>
    <row r="1995" ht="15.75" customHeight="1">
      <c r="A1995" s="234"/>
      <c r="B1995" s="234"/>
      <c r="C1995" s="234"/>
      <c r="D1995" s="234"/>
      <c r="E1995" s="234"/>
      <c r="F1995" s="234"/>
      <c r="G1995" s="234"/>
      <c r="H1995" s="234"/>
      <c r="I1995" s="234"/>
      <c r="J1995" s="234"/>
    </row>
    <row r="1996" ht="15.75" customHeight="1">
      <c r="A1996" s="234"/>
      <c r="B1996" s="234"/>
      <c r="C1996" s="234"/>
      <c r="D1996" s="234"/>
      <c r="E1996" s="234"/>
      <c r="F1996" s="234"/>
      <c r="G1996" s="234"/>
      <c r="H1996" s="234"/>
      <c r="I1996" s="234"/>
      <c r="J1996" s="234"/>
    </row>
    <row r="1997" ht="15.75" customHeight="1">
      <c r="A1997" s="234"/>
      <c r="B1997" s="234"/>
      <c r="C1997" s="234"/>
      <c r="D1997" s="234"/>
      <c r="E1997" s="234"/>
      <c r="F1997" s="234"/>
      <c r="G1997" s="234"/>
      <c r="H1997" s="234"/>
      <c r="I1997" s="234"/>
      <c r="J1997" s="234"/>
    </row>
    <row r="1998" ht="15.75" customHeight="1">
      <c r="A1998" s="234"/>
      <c r="B1998" s="234"/>
      <c r="C1998" s="234"/>
      <c r="D1998" s="234"/>
      <c r="E1998" s="234"/>
      <c r="F1998" s="234"/>
      <c r="G1998" s="234"/>
      <c r="H1998" s="234"/>
      <c r="I1998" s="234"/>
      <c r="J1998" s="234"/>
    </row>
    <row r="1999" ht="15.75" customHeight="1">
      <c r="A1999" s="234"/>
      <c r="B1999" s="234"/>
      <c r="C1999" s="234"/>
      <c r="D1999" s="234"/>
      <c r="E1999" s="234"/>
      <c r="F1999" s="234"/>
      <c r="G1999" s="234"/>
      <c r="H1999" s="234"/>
      <c r="I1999" s="234"/>
      <c r="J1999" s="234"/>
    </row>
    <row r="2000" ht="15.75" customHeight="1">
      <c r="A2000" s="234"/>
      <c r="B2000" s="234"/>
      <c r="C2000" s="234"/>
      <c r="D2000" s="234"/>
      <c r="E2000" s="234"/>
      <c r="F2000" s="234"/>
      <c r="G2000" s="234"/>
      <c r="H2000" s="234"/>
      <c r="I2000" s="234"/>
      <c r="J2000" s="234"/>
    </row>
    <row r="2001" ht="15.75" customHeight="1">
      <c r="A2001" s="234"/>
      <c r="B2001" s="234"/>
      <c r="C2001" s="234"/>
      <c r="D2001" s="234"/>
      <c r="E2001" s="234"/>
      <c r="F2001" s="234"/>
      <c r="G2001" s="234"/>
      <c r="H2001" s="234"/>
      <c r="I2001" s="234"/>
      <c r="J2001" s="234"/>
    </row>
    <row r="2002" ht="15.75" customHeight="1">
      <c r="A2002" s="234"/>
      <c r="B2002" s="234"/>
      <c r="C2002" s="234"/>
      <c r="D2002" s="234"/>
      <c r="E2002" s="234"/>
      <c r="F2002" s="234"/>
      <c r="G2002" s="234"/>
      <c r="H2002" s="234"/>
      <c r="I2002" s="234"/>
      <c r="J2002" s="234"/>
    </row>
    <row r="2003" ht="15.75" customHeight="1">
      <c r="A2003" s="234"/>
      <c r="B2003" s="234"/>
      <c r="C2003" s="234"/>
      <c r="D2003" s="234"/>
      <c r="E2003" s="234"/>
      <c r="F2003" s="234"/>
      <c r="G2003" s="234"/>
      <c r="H2003" s="234"/>
      <c r="I2003" s="234"/>
      <c r="J2003" s="234"/>
    </row>
    <row r="2004" ht="15.75" customHeight="1">
      <c r="A2004" s="234"/>
      <c r="B2004" s="234"/>
      <c r="C2004" s="234"/>
      <c r="D2004" s="234"/>
      <c r="E2004" s="234"/>
      <c r="F2004" s="234"/>
      <c r="G2004" s="234"/>
      <c r="H2004" s="234"/>
      <c r="I2004" s="234"/>
      <c r="J2004" s="234"/>
    </row>
    <row r="2005" ht="15.75" customHeight="1">
      <c r="A2005" s="234"/>
      <c r="B2005" s="234"/>
      <c r="C2005" s="234"/>
      <c r="D2005" s="234"/>
      <c r="E2005" s="234"/>
      <c r="F2005" s="234"/>
      <c r="G2005" s="234"/>
      <c r="H2005" s="234"/>
      <c r="I2005" s="234"/>
      <c r="J2005" s="234"/>
    </row>
    <row r="2006" ht="15.75" customHeight="1">
      <c r="A2006" s="234"/>
      <c r="B2006" s="234"/>
      <c r="C2006" s="234"/>
      <c r="D2006" s="234"/>
      <c r="E2006" s="234"/>
      <c r="F2006" s="234"/>
      <c r="G2006" s="234"/>
      <c r="H2006" s="234"/>
      <c r="I2006" s="234"/>
      <c r="J2006" s="234"/>
    </row>
    <row r="2007" ht="15.75" customHeight="1">
      <c r="A2007" s="234"/>
      <c r="B2007" s="234"/>
      <c r="C2007" s="234"/>
      <c r="D2007" s="234"/>
      <c r="E2007" s="234"/>
      <c r="F2007" s="234"/>
      <c r="G2007" s="234"/>
      <c r="H2007" s="234"/>
      <c r="I2007" s="234"/>
      <c r="J2007" s="234"/>
    </row>
    <row r="2008" ht="15.75" customHeight="1">
      <c r="A2008" s="234"/>
      <c r="B2008" s="234"/>
      <c r="C2008" s="234"/>
      <c r="D2008" s="234"/>
      <c r="E2008" s="234"/>
      <c r="F2008" s="234"/>
      <c r="G2008" s="234"/>
      <c r="H2008" s="234"/>
      <c r="I2008" s="234"/>
      <c r="J2008" s="234"/>
    </row>
    <row r="2009" ht="15.75" customHeight="1">
      <c r="A2009" s="234"/>
      <c r="B2009" s="234"/>
      <c r="C2009" s="234"/>
      <c r="D2009" s="234"/>
      <c r="E2009" s="234"/>
      <c r="F2009" s="234"/>
      <c r="G2009" s="234"/>
      <c r="H2009" s="234"/>
      <c r="I2009" s="234"/>
      <c r="J2009" s="234"/>
    </row>
    <row r="2010" ht="15.75" customHeight="1">
      <c r="A2010" s="234"/>
      <c r="B2010" s="234"/>
      <c r="C2010" s="234"/>
      <c r="D2010" s="234"/>
      <c r="E2010" s="234"/>
      <c r="F2010" s="234"/>
      <c r="G2010" s="234"/>
      <c r="H2010" s="234"/>
      <c r="I2010" s="234"/>
      <c r="J2010" s="234"/>
    </row>
    <row r="2011" ht="15.75" customHeight="1">
      <c r="A2011" s="234"/>
      <c r="B2011" s="234"/>
      <c r="C2011" s="234"/>
      <c r="D2011" s="234"/>
      <c r="E2011" s="234"/>
      <c r="F2011" s="234"/>
      <c r="G2011" s="234"/>
      <c r="H2011" s="234"/>
      <c r="I2011" s="234"/>
      <c r="J2011" s="234"/>
    </row>
    <row r="2012" ht="15.75" customHeight="1">
      <c r="A2012" s="234"/>
      <c r="B2012" s="234"/>
      <c r="C2012" s="234"/>
      <c r="D2012" s="234"/>
      <c r="E2012" s="234"/>
      <c r="F2012" s="234"/>
      <c r="G2012" s="234"/>
      <c r="H2012" s="234"/>
      <c r="I2012" s="234"/>
      <c r="J2012" s="234"/>
    </row>
    <row r="2013" ht="15.75" customHeight="1">
      <c r="A2013" s="234"/>
      <c r="B2013" s="234"/>
      <c r="C2013" s="234"/>
      <c r="D2013" s="234"/>
      <c r="E2013" s="234"/>
      <c r="F2013" s="234"/>
      <c r="G2013" s="234"/>
      <c r="H2013" s="234"/>
      <c r="I2013" s="234"/>
      <c r="J2013" s="234"/>
    </row>
    <row r="2014" ht="15.75" customHeight="1">
      <c r="A2014" s="234"/>
      <c r="B2014" s="234"/>
      <c r="C2014" s="234"/>
      <c r="D2014" s="234"/>
      <c r="E2014" s="234"/>
      <c r="F2014" s="234"/>
      <c r="G2014" s="234"/>
      <c r="H2014" s="234"/>
      <c r="I2014" s="234"/>
      <c r="J2014" s="234"/>
    </row>
    <row r="2015" ht="15.75" customHeight="1">
      <c r="A2015" s="234"/>
      <c r="B2015" s="234"/>
      <c r="C2015" s="234"/>
      <c r="D2015" s="234"/>
      <c r="E2015" s="234"/>
      <c r="F2015" s="234"/>
      <c r="G2015" s="234"/>
      <c r="H2015" s="234"/>
      <c r="I2015" s="234"/>
      <c r="J2015" s="234"/>
    </row>
    <row r="2016" ht="15.75" customHeight="1">
      <c r="A2016" s="234"/>
      <c r="B2016" s="234"/>
      <c r="C2016" s="234"/>
      <c r="D2016" s="234"/>
      <c r="E2016" s="234"/>
      <c r="F2016" s="234"/>
      <c r="G2016" s="234"/>
      <c r="H2016" s="234"/>
      <c r="I2016" s="234"/>
      <c r="J2016" s="234"/>
    </row>
    <row r="2017" ht="15.75" customHeight="1">
      <c r="A2017" s="234"/>
      <c r="B2017" s="234"/>
      <c r="C2017" s="234"/>
      <c r="D2017" s="234"/>
      <c r="E2017" s="234"/>
      <c r="F2017" s="234"/>
      <c r="G2017" s="234"/>
      <c r="H2017" s="234"/>
      <c r="I2017" s="234"/>
      <c r="J2017" s="234"/>
    </row>
    <row r="2018" ht="15.75" customHeight="1">
      <c r="A2018" s="234"/>
      <c r="B2018" s="234"/>
      <c r="C2018" s="234"/>
      <c r="D2018" s="234"/>
      <c r="E2018" s="234"/>
      <c r="F2018" s="234"/>
      <c r="G2018" s="234"/>
      <c r="H2018" s="234"/>
      <c r="I2018" s="234"/>
      <c r="J2018" s="234"/>
    </row>
    <row r="2019" ht="15.75" customHeight="1">
      <c r="A2019" s="234"/>
      <c r="B2019" s="234"/>
      <c r="C2019" s="234"/>
      <c r="D2019" s="234"/>
      <c r="E2019" s="234"/>
      <c r="F2019" s="234"/>
      <c r="G2019" s="234"/>
      <c r="H2019" s="234"/>
      <c r="I2019" s="234"/>
      <c r="J2019" s="234"/>
    </row>
    <row r="2020" ht="15.75" customHeight="1">
      <c r="A2020" s="234"/>
      <c r="B2020" s="234"/>
      <c r="C2020" s="234"/>
      <c r="D2020" s="234"/>
      <c r="E2020" s="234"/>
      <c r="F2020" s="234"/>
      <c r="G2020" s="234"/>
      <c r="H2020" s="234"/>
      <c r="I2020" s="234"/>
      <c r="J2020" s="234"/>
    </row>
    <row r="2021" ht="15.75" customHeight="1">
      <c r="A2021" s="234"/>
      <c r="B2021" s="234"/>
      <c r="C2021" s="234"/>
      <c r="D2021" s="234"/>
      <c r="E2021" s="234"/>
      <c r="F2021" s="234"/>
      <c r="G2021" s="234"/>
      <c r="H2021" s="234"/>
      <c r="I2021" s="234"/>
      <c r="J2021" s="234"/>
    </row>
    <row r="2022" ht="15.75" customHeight="1">
      <c r="A2022" s="234"/>
      <c r="B2022" s="234"/>
      <c r="C2022" s="234"/>
      <c r="D2022" s="234"/>
      <c r="E2022" s="234"/>
      <c r="F2022" s="234"/>
      <c r="G2022" s="234"/>
      <c r="H2022" s="234"/>
      <c r="I2022" s="234"/>
      <c r="J2022" s="234"/>
    </row>
    <row r="2023" ht="15.75" customHeight="1">
      <c r="A2023" s="234"/>
      <c r="B2023" s="234"/>
      <c r="C2023" s="234"/>
      <c r="D2023" s="234"/>
      <c r="E2023" s="234"/>
      <c r="F2023" s="234"/>
      <c r="G2023" s="234"/>
      <c r="H2023" s="234"/>
      <c r="I2023" s="234"/>
      <c r="J2023" s="234"/>
    </row>
    <row r="2024" ht="15.75" customHeight="1">
      <c r="A2024" s="234"/>
      <c r="B2024" s="234"/>
      <c r="C2024" s="234"/>
      <c r="D2024" s="234"/>
      <c r="E2024" s="234"/>
      <c r="F2024" s="234"/>
      <c r="G2024" s="234"/>
      <c r="H2024" s="234"/>
      <c r="I2024" s="234"/>
      <c r="J2024" s="234"/>
    </row>
    <row r="2025" ht="15.75" customHeight="1">
      <c r="A2025" s="234"/>
      <c r="B2025" s="234"/>
      <c r="C2025" s="234"/>
      <c r="D2025" s="234"/>
      <c r="E2025" s="234"/>
      <c r="F2025" s="234"/>
      <c r="G2025" s="234"/>
      <c r="H2025" s="234"/>
      <c r="I2025" s="234"/>
      <c r="J2025" s="234"/>
    </row>
    <row r="2026" ht="15.75" customHeight="1">
      <c r="A2026" s="234"/>
      <c r="B2026" s="234"/>
      <c r="C2026" s="234"/>
      <c r="D2026" s="234"/>
      <c r="E2026" s="234"/>
      <c r="F2026" s="234"/>
      <c r="G2026" s="234"/>
      <c r="H2026" s="234"/>
      <c r="I2026" s="234"/>
      <c r="J2026" s="234"/>
    </row>
    <row r="2027" ht="15.75" customHeight="1">
      <c r="A2027" s="234"/>
      <c r="B2027" s="234"/>
      <c r="C2027" s="234"/>
      <c r="D2027" s="234"/>
      <c r="E2027" s="234"/>
      <c r="F2027" s="234"/>
      <c r="G2027" s="234"/>
      <c r="H2027" s="234"/>
      <c r="I2027" s="234"/>
      <c r="J2027" s="234"/>
    </row>
    <row r="2028" ht="15.75" customHeight="1">
      <c r="A2028" s="234"/>
      <c r="B2028" s="234"/>
      <c r="C2028" s="234"/>
      <c r="D2028" s="234"/>
      <c r="E2028" s="234"/>
      <c r="F2028" s="234"/>
      <c r="G2028" s="234"/>
      <c r="H2028" s="234"/>
      <c r="I2028" s="234"/>
      <c r="J2028" s="234"/>
    </row>
    <row r="2029" ht="15.75" customHeight="1">
      <c r="A2029" s="234"/>
      <c r="B2029" s="234"/>
      <c r="C2029" s="234"/>
      <c r="D2029" s="234"/>
      <c r="E2029" s="234"/>
      <c r="F2029" s="234"/>
      <c r="G2029" s="234"/>
      <c r="H2029" s="234"/>
      <c r="I2029" s="234"/>
      <c r="J2029" s="234"/>
    </row>
    <row r="2030" ht="15.75" customHeight="1">
      <c r="A2030" s="234"/>
      <c r="B2030" s="234"/>
      <c r="C2030" s="234"/>
      <c r="D2030" s="234"/>
      <c r="E2030" s="234"/>
      <c r="F2030" s="234"/>
      <c r="G2030" s="234"/>
      <c r="H2030" s="234"/>
      <c r="I2030" s="234"/>
      <c r="J2030" s="234"/>
    </row>
    <row r="2031" ht="15.75" customHeight="1">
      <c r="A2031" s="234"/>
      <c r="B2031" s="234"/>
      <c r="C2031" s="234"/>
      <c r="D2031" s="234"/>
      <c r="E2031" s="234"/>
      <c r="F2031" s="234"/>
      <c r="G2031" s="234"/>
      <c r="H2031" s="234"/>
      <c r="I2031" s="234"/>
      <c r="J2031" s="234"/>
    </row>
    <row r="2032" ht="15.75" customHeight="1">
      <c r="A2032" s="234"/>
      <c r="B2032" s="234"/>
      <c r="C2032" s="234"/>
      <c r="D2032" s="234"/>
      <c r="E2032" s="234"/>
      <c r="F2032" s="234"/>
      <c r="G2032" s="234"/>
      <c r="H2032" s="234"/>
      <c r="I2032" s="234"/>
      <c r="J2032" s="234"/>
    </row>
    <row r="2033" ht="15.75" customHeight="1">
      <c r="A2033" s="234"/>
      <c r="B2033" s="234"/>
      <c r="C2033" s="234"/>
      <c r="D2033" s="234"/>
      <c r="E2033" s="234"/>
      <c r="F2033" s="234"/>
      <c r="G2033" s="234"/>
      <c r="H2033" s="234"/>
      <c r="I2033" s="234"/>
      <c r="J2033" s="234"/>
    </row>
    <row r="2034" ht="15.75" customHeight="1">
      <c r="A2034" s="234"/>
      <c r="B2034" s="234"/>
      <c r="C2034" s="234"/>
      <c r="D2034" s="234"/>
      <c r="E2034" s="234"/>
      <c r="F2034" s="234"/>
      <c r="G2034" s="234"/>
      <c r="H2034" s="234"/>
      <c r="I2034" s="234"/>
      <c r="J2034" s="234"/>
    </row>
    <row r="2035" ht="15.75" customHeight="1">
      <c r="A2035" s="234"/>
      <c r="B2035" s="234"/>
      <c r="C2035" s="234"/>
      <c r="D2035" s="234"/>
      <c r="E2035" s="234"/>
      <c r="F2035" s="234"/>
      <c r="G2035" s="234"/>
      <c r="H2035" s="234"/>
      <c r="I2035" s="234"/>
      <c r="J2035" s="234"/>
    </row>
    <row r="2036" ht="15.75" customHeight="1">
      <c r="A2036" s="234"/>
      <c r="B2036" s="234"/>
      <c r="C2036" s="234"/>
      <c r="D2036" s="234"/>
      <c r="E2036" s="234"/>
      <c r="F2036" s="234"/>
      <c r="G2036" s="234"/>
      <c r="H2036" s="234"/>
      <c r="I2036" s="234"/>
      <c r="J2036" s="234"/>
    </row>
    <row r="2037" ht="15.75" customHeight="1">
      <c r="A2037" s="234"/>
      <c r="B2037" s="234"/>
      <c r="C2037" s="234"/>
      <c r="D2037" s="234"/>
      <c r="E2037" s="234"/>
      <c r="F2037" s="234"/>
      <c r="G2037" s="234"/>
      <c r="H2037" s="234"/>
      <c r="I2037" s="234"/>
      <c r="J2037" s="234"/>
    </row>
    <row r="2038" ht="15.75" customHeight="1">
      <c r="A2038" s="234"/>
      <c r="B2038" s="234"/>
      <c r="C2038" s="234"/>
      <c r="D2038" s="234"/>
      <c r="E2038" s="234"/>
      <c r="F2038" s="234"/>
      <c r="G2038" s="234"/>
      <c r="H2038" s="234"/>
      <c r="I2038" s="234"/>
      <c r="J2038" s="234"/>
    </row>
    <row r="2039" ht="15.75" customHeight="1">
      <c r="A2039" s="234"/>
      <c r="B2039" s="234"/>
      <c r="C2039" s="234"/>
      <c r="D2039" s="234"/>
      <c r="E2039" s="234"/>
      <c r="F2039" s="234"/>
      <c r="G2039" s="234"/>
      <c r="H2039" s="234"/>
      <c r="I2039" s="234"/>
      <c r="J2039" s="234"/>
    </row>
    <row r="2040" ht="15.75" customHeight="1">
      <c r="A2040" s="234"/>
      <c r="B2040" s="234"/>
      <c r="C2040" s="234"/>
      <c r="D2040" s="234"/>
      <c r="E2040" s="234"/>
      <c r="F2040" s="234"/>
      <c r="G2040" s="234"/>
      <c r="H2040" s="234"/>
      <c r="I2040" s="234"/>
      <c r="J2040" s="234"/>
    </row>
    <row r="2041" ht="15.75" customHeight="1">
      <c r="A2041" s="234"/>
      <c r="B2041" s="234"/>
      <c r="C2041" s="234"/>
      <c r="D2041" s="234"/>
      <c r="E2041" s="234"/>
      <c r="F2041" s="234"/>
      <c r="G2041" s="234"/>
      <c r="H2041" s="234"/>
      <c r="I2041" s="234"/>
      <c r="J2041" s="234"/>
    </row>
    <row r="2042" ht="15.75" customHeight="1">
      <c r="A2042" s="234"/>
      <c r="B2042" s="234"/>
      <c r="C2042" s="234"/>
      <c r="D2042" s="234"/>
      <c r="E2042" s="234"/>
      <c r="F2042" s="234"/>
      <c r="G2042" s="234"/>
      <c r="H2042" s="234"/>
      <c r="I2042" s="234"/>
      <c r="J2042" s="234"/>
    </row>
    <row r="2043" ht="15.75" customHeight="1">
      <c r="A2043" s="234"/>
      <c r="B2043" s="234"/>
      <c r="C2043" s="234"/>
      <c r="D2043" s="234"/>
      <c r="E2043" s="234"/>
      <c r="F2043" s="234"/>
      <c r="G2043" s="234"/>
      <c r="H2043" s="234"/>
      <c r="I2043" s="234"/>
      <c r="J2043" s="234"/>
    </row>
    <row r="2044" ht="15.75" customHeight="1">
      <c r="A2044" s="234"/>
      <c r="B2044" s="234"/>
      <c r="C2044" s="234"/>
      <c r="D2044" s="234"/>
      <c r="E2044" s="234"/>
      <c r="F2044" s="234"/>
      <c r="G2044" s="234"/>
      <c r="H2044" s="234"/>
      <c r="I2044" s="234"/>
      <c r="J2044" s="234"/>
    </row>
    <row r="2045" ht="15.75" customHeight="1">
      <c r="A2045" s="234"/>
      <c r="B2045" s="234"/>
      <c r="C2045" s="234"/>
      <c r="D2045" s="234"/>
      <c r="E2045" s="234"/>
      <c r="F2045" s="234"/>
      <c r="G2045" s="234"/>
      <c r="H2045" s="234"/>
      <c r="I2045" s="234"/>
      <c r="J2045" s="234"/>
    </row>
    <row r="2046" ht="15.75" customHeight="1">
      <c r="A2046" s="234"/>
      <c r="B2046" s="234"/>
      <c r="C2046" s="234"/>
      <c r="D2046" s="234"/>
      <c r="E2046" s="234"/>
      <c r="F2046" s="234"/>
      <c r="G2046" s="234"/>
      <c r="H2046" s="234"/>
      <c r="I2046" s="234"/>
      <c r="J2046" s="234"/>
    </row>
    <row r="2047" ht="15.75" customHeight="1">
      <c r="A2047" s="234"/>
      <c r="B2047" s="234"/>
      <c r="C2047" s="234"/>
      <c r="D2047" s="234"/>
      <c r="E2047" s="234"/>
      <c r="F2047" s="234"/>
      <c r="G2047" s="234"/>
      <c r="H2047" s="234"/>
      <c r="I2047" s="234"/>
      <c r="J2047" s="234"/>
    </row>
    <row r="2048" ht="15.75" customHeight="1">
      <c r="A2048" s="234"/>
      <c r="B2048" s="234"/>
      <c r="C2048" s="234"/>
      <c r="D2048" s="234"/>
      <c r="E2048" s="234"/>
      <c r="F2048" s="234"/>
      <c r="G2048" s="234"/>
      <c r="H2048" s="234"/>
      <c r="I2048" s="234"/>
      <c r="J2048" s="234"/>
    </row>
    <row r="2049" ht="15.75" customHeight="1">
      <c r="A2049" s="234"/>
      <c r="B2049" s="234"/>
      <c r="C2049" s="234"/>
      <c r="D2049" s="234"/>
      <c r="E2049" s="234"/>
      <c r="F2049" s="234"/>
      <c r="G2049" s="234"/>
      <c r="H2049" s="234"/>
      <c r="I2049" s="234"/>
      <c r="J2049" s="234"/>
    </row>
    <row r="2050" ht="15.75" customHeight="1">
      <c r="A2050" s="234"/>
      <c r="B2050" s="234"/>
      <c r="C2050" s="234"/>
      <c r="D2050" s="234"/>
      <c r="E2050" s="234"/>
      <c r="F2050" s="234"/>
      <c r="G2050" s="234"/>
      <c r="H2050" s="234"/>
      <c r="I2050" s="234"/>
      <c r="J2050" s="234"/>
    </row>
    <row r="2051" ht="15.75" customHeight="1">
      <c r="A2051" s="234"/>
      <c r="B2051" s="234"/>
      <c r="C2051" s="234"/>
      <c r="D2051" s="234"/>
      <c r="E2051" s="234"/>
      <c r="F2051" s="234"/>
      <c r="G2051" s="234"/>
      <c r="H2051" s="234"/>
      <c r="I2051" s="234"/>
      <c r="J2051" s="234"/>
    </row>
    <row r="2052" ht="15.75" customHeight="1">
      <c r="A2052" s="234"/>
      <c r="B2052" s="234"/>
      <c r="C2052" s="234"/>
      <c r="D2052" s="234"/>
      <c r="E2052" s="234"/>
      <c r="F2052" s="234"/>
      <c r="G2052" s="234"/>
      <c r="H2052" s="234"/>
      <c r="I2052" s="234"/>
      <c r="J2052" s="234"/>
    </row>
    <row r="2053" ht="15.75" customHeight="1">
      <c r="A2053" s="234"/>
      <c r="B2053" s="234"/>
      <c r="C2053" s="234"/>
      <c r="D2053" s="234"/>
      <c r="E2053" s="234"/>
      <c r="F2053" s="234"/>
      <c r="G2053" s="234"/>
      <c r="H2053" s="234"/>
      <c r="I2053" s="234"/>
      <c r="J2053" s="234"/>
    </row>
    <row r="2054" ht="15.75" customHeight="1">
      <c r="A2054" s="234"/>
      <c r="B2054" s="234"/>
      <c r="C2054" s="234"/>
      <c r="D2054" s="234"/>
      <c r="E2054" s="234"/>
      <c r="F2054" s="234"/>
      <c r="G2054" s="234"/>
      <c r="H2054" s="234"/>
      <c r="I2054" s="234"/>
      <c r="J2054" s="234"/>
    </row>
    <row r="2055" ht="15.75" customHeight="1">
      <c r="A2055" s="234"/>
      <c r="B2055" s="234"/>
      <c r="C2055" s="234"/>
      <c r="D2055" s="234"/>
      <c r="E2055" s="234"/>
      <c r="F2055" s="234"/>
      <c r="G2055" s="234"/>
      <c r="H2055" s="234"/>
      <c r="I2055" s="234"/>
      <c r="J2055" s="234"/>
    </row>
    <row r="2056" ht="15.75" customHeight="1">
      <c r="A2056" s="234"/>
      <c r="B2056" s="234"/>
      <c r="C2056" s="234"/>
      <c r="D2056" s="234"/>
      <c r="E2056" s="234"/>
      <c r="F2056" s="234"/>
      <c r="G2056" s="234"/>
      <c r="H2056" s="234"/>
      <c r="I2056" s="234"/>
      <c r="J2056" s="234"/>
    </row>
    <row r="2057" ht="15.75" customHeight="1">
      <c r="A2057" s="234"/>
      <c r="B2057" s="234"/>
      <c r="C2057" s="234"/>
      <c r="D2057" s="234"/>
      <c r="E2057" s="234"/>
      <c r="F2057" s="234"/>
      <c r="G2057" s="234"/>
      <c r="H2057" s="234"/>
      <c r="I2057" s="234"/>
      <c r="J2057" s="234"/>
    </row>
    <row r="2058" ht="15.75" customHeight="1">
      <c r="A2058" s="234"/>
      <c r="B2058" s="234"/>
      <c r="C2058" s="234"/>
      <c r="D2058" s="234"/>
      <c r="E2058" s="234"/>
      <c r="F2058" s="234"/>
      <c r="G2058" s="234"/>
      <c r="H2058" s="234"/>
      <c r="I2058" s="234"/>
      <c r="J2058" s="234"/>
    </row>
    <row r="2059" ht="15.75" customHeight="1">
      <c r="A2059" s="234"/>
      <c r="B2059" s="234"/>
      <c r="C2059" s="234"/>
      <c r="D2059" s="234"/>
      <c r="E2059" s="234"/>
      <c r="F2059" s="234"/>
      <c r="G2059" s="234"/>
      <c r="H2059" s="234"/>
      <c r="I2059" s="234"/>
      <c r="J2059" s="234"/>
    </row>
    <row r="2060" ht="15.75" customHeight="1">
      <c r="A2060" s="234"/>
      <c r="B2060" s="234"/>
      <c r="C2060" s="234"/>
      <c r="D2060" s="234"/>
      <c r="E2060" s="234"/>
      <c r="F2060" s="234"/>
      <c r="G2060" s="234"/>
      <c r="H2060" s="234"/>
      <c r="I2060" s="234"/>
      <c r="J2060" s="234"/>
    </row>
    <row r="2061" ht="15.75" customHeight="1">
      <c r="A2061" s="234"/>
      <c r="B2061" s="234"/>
      <c r="C2061" s="234"/>
      <c r="D2061" s="234"/>
      <c r="E2061" s="234"/>
      <c r="F2061" s="234"/>
      <c r="G2061" s="234"/>
      <c r="H2061" s="234"/>
      <c r="I2061" s="234"/>
      <c r="J2061" s="234"/>
    </row>
    <row r="2062" ht="15.75" customHeight="1">
      <c r="A2062" s="234"/>
      <c r="B2062" s="234"/>
      <c r="C2062" s="234"/>
      <c r="D2062" s="234"/>
      <c r="E2062" s="234"/>
      <c r="F2062" s="234"/>
      <c r="G2062" s="234"/>
      <c r="H2062" s="234"/>
      <c r="I2062" s="234"/>
      <c r="J2062" s="234"/>
    </row>
    <row r="2063" ht="15.75" customHeight="1">
      <c r="A2063" s="234"/>
      <c r="B2063" s="234"/>
      <c r="C2063" s="234"/>
      <c r="D2063" s="234"/>
      <c r="E2063" s="234"/>
      <c r="F2063" s="234"/>
      <c r="G2063" s="234"/>
      <c r="H2063" s="234"/>
      <c r="I2063" s="234"/>
      <c r="J2063" s="234"/>
    </row>
    <row r="2064" ht="15.75" customHeight="1">
      <c r="A2064" s="234"/>
      <c r="B2064" s="234"/>
      <c r="C2064" s="234"/>
      <c r="D2064" s="234"/>
      <c r="E2064" s="234"/>
      <c r="F2064" s="234"/>
      <c r="G2064" s="234"/>
      <c r="H2064" s="234"/>
      <c r="I2064" s="234"/>
      <c r="J2064" s="234"/>
    </row>
    <row r="2065" ht="15.75" customHeight="1">
      <c r="A2065" s="234"/>
      <c r="B2065" s="234"/>
      <c r="C2065" s="234"/>
      <c r="D2065" s="234"/>
      <c r="E2065" s="234"/>
      <c r="F2065" s="234"/>
      <c r="G2065" s="234"/>
      <c r="H2065" s="234"/>
      <c r="I2065" s="234"/>
      <c r="J2065" s="234"/>
    </row>
    <row r="2066" ht="15.75" customHeight="1">
      <c r="A2066" s="234"/>
      <c r="B2066" s="234"/>
      <c r="C2066" s="234"/>
      <c r="D2066" s="234"/>
      <c r="E2066" s="234"/>
      <c r="F2066" s="234"/>
      <c r="G2066" s="234"/>
      <c r="H2066" s="234"/>
      <c r="I2066" s="234"/>
      <c r="J2066" s="234"/>
    </row>
    <row r="2067" ht="15.75" customHeight="1">
      <c r="A2067" s="234"/>
      <c r="B2067" s="234"/>
      <c r="C2067" s="234"/>
      <c r="D2067" s="234"/>
      <c r="E2067" s="234"/>
      <c r="F2067" s="234"/>
      <c r="G2067" s="234"/>
      <c r="H2067" s="234"/>
      <c r="I2067" s="234"/>
      <c r="J2067" s="234"/>
    </row>
    <row r="2068" ht="15.75" customHeight="1">
      <c r="A2068" s="234"/>
      <c r="B2068" s="234"/>
      <c r="C2068" s="234"/>
      <c r="D2068" s="234"/>
      <c r="E2068" s="234"/>
      <c r="F2068" s="234"/>
      <c r="G2068" s="234"/>
      <c r="H2068" s="234"/>
      <c r="I2068" s="234"/>
      <c r="J2068" s="234"/>
    </row>
    <row r="2069" ht="15.75" customHeight="1">
      <c r="A2069" s="234"/>
      <c r="B2069" s="234"/>
      <c r="C2069" s="234"/>
      <c r="D2069" s="234"/>
      <c r="E2069" s="234"/>
      <c r="F2069" s="234"/>
      <c r="G2069" s="234"/>
      <c r="H2069" s="234"/>
      <c r="I2069" s="234"/>
      <c r="J2069" s="234"/>
    </row>
    <row r="2070" ht="15.75" customHeight="1">
      <c r="A2070" s="234"/>
      <c r="B2070" s="234"/>
      <c r="C2070" s="234"/>
      <c r="D2070" s="234"/>
      <c r="E2070" s="234"/>
      <c r="F2070" s="234"/>
      <c r="G2070" s="234"/>
      <c r="H2070" s="234"/>
      <c r="I2070" s="234"/>
      <c r="J2070" s="234"/>
    </row>
    <row r="2071" ht="15.75" customHeight="1">
      <c r="A2071" s="234"/>
      <c r="B2071" s="234"/>
      <c r="C2071" s="234"/>
      <c r="D2071" s="234"/>
      <c r="E2071" s="234"/>
      <c r="F2071" s="234"/>
      <c r="G2071" s="234"/>
      <c r="H2071" s="234"/>
      <c r="I2071" s="234"/>
      <c r="J2071" s="234"/>
    </row>
    <row r="2072" ht="15.75" customHeight="1">
      <c r="A2072" s="234"/>
      <c r="B2072" s="234"/>
      <c r="C2072" s="234"/>
      <c r="D2072" s="234"/>
      <c r="E2072" s="234"/>
      <c r="F2072" s="234"/>
      <c r="G2072" s="234"/>
      <c r="H2072" s="234"/>
      <c r="I2072" s="234"/>
      <c r="J2072" s="234"/>
    </row>
    <row r="2073" ht="15.75" customHeight="1">
      <c r="A2073" s="234"/>
      <c r="B2073" s="234"/>
      <c r="C2073" s="234"/>
      <c r="D2073" s="234"/>
      <c r="E2073" s="234"/>
      <c r="F2073" s="234"/>
      <c r="G2073" s="234"/>
      <c r="H2073" s="234"/>
      <c r="I2073" s="234"/>
      <c r="J2073" s="234"/>
    </row>
    <row r="2074" ht="15.75" customHeight="1">
      <c r="A2074" s="234"/>
      <c r="B2074" s="234"/>
      <c r="C2074" s="234"/>
      <c r="D2074" s="234"/>
      <c r="E2074" s="234"/>
      <c r="F2074" s="234"/>
      <c r="G2074" s="234"/>
      <c r="H2074" s="234"/>
      <c r="I2074" s="234"/>
      <c r="J2074" s="234"/>
    </row>
    <row r="2075" ht="15.75" customHeight="1">
      <c r="A2075" s="234"/>
      <c r="B2075" s="234"/>
      <c r="C2075" s="234"/>
      <c r="D2075" s="234"/>
      <c r="E2075" s="234"/>
      <c r="F2075" s="234"/>
      <c r="G2075" s="234"/>
      <c r="H2075" s="234"/>
      <c r="I2075" s="234"/>
      <c r="J2075" s="234"/>
    </row>
    <row r="2076" ht="15.75" customHeight="1">
      <c r="A2076" s="234"/>
      <c r="B2076" s="234"/>
      <c r="C2076" s="234"/>
      <c r="D2076" s="234"/>
      <c r="E2076" s="234"/>
      <c r="F2076" s="234"/>
      <c r="G2076" s="234"/>
      <c r="H2076" s="234"/>
      <c r="I2076" s="234"/>
      <c r="J2076" s="234"/>
    </row>
    <row r="2077" ht="15.75" customHeight="1">
      <c r="A2077" s="234"/>
      <c r="B2077" s="234"/>
      <c r="C2077" s="234"/>
      <c r="D2077" s="234"/>
      <c r="E2077" s="234"/>
      <c r="F2077" s="234"/>
      <c r="G2077" s="234"/>
      <c r="H2077" s="234"/>
      <c r="I2077" s="234"/>
      <c r="J2077" s="234"/>
    </row>
    <row r="2078" ht="15.75" customHeight="1">
      <c r="A2078" s="234"/>
      <c r="B2078" s="234"/>
      <c r="C2078" s="234"/>
      <c r="D2078" s="234"/>
      <c r="E2078" s="234"/>
      <c r="F2078" s="234"/>
      <c r="G2078" s="234"/>
      <c r="H2078" s="234"/>
      <c r="I2078" s="234"/>
      <c r="J2078" s="234"/>
    </row>
    <row r="2079" ht="15.75" customHeight="1">
      <c r="A2079" s="234"/>
      <c r="B2079" s="234"/>
      <c r="C2079" s="234"/>
      <c r="D2079" s="234"/>
      <c r="E2079" s="234"/>
      <c r="F2079" s="234"/>
      <c r="G2079" s="234"/>
      <c r="H2079" s="234"/>
      <c r="I2079" s="234"/>
      <c r="J2079" s="234"/>
    </row>
    <row r="2080" ht="15.75" customHeight="1">
      <c r="A2080" s="234"/>
      <c r="B2080" s="234"/>
      <c r="C2080" s="234"/>
      <c r="D2080" s="234"/>
      <c r="E2080" s="234"/>
      <c r="F2080" s="234"/>
      <c r="G2080" s="234"/>
      <c r="H2080" s="234"/>
      <c r="I2080" s="234"/>
      <c r="J2080" s="234"/>
    </row>
    <row r="2081" ht="15.75" customHeight="1">
      <c r="A2081" s="234"/>
      <c r="B2081" s="234"/>
      <c r="C2081" s="234"/>
      <c r="D2081" s="234"/>
      <c r="E2081" s="234"/>
      <c r="F2081" s="234"/>
      <c r="G2081" s="234"/>
      <c r="H2081" s="234"/>
      <c r="I2081" s="234"/>
      <c r="J2081" s="234"/>
    </row>
    <row r="2082" ht="15.75" customHeight="1">
      <c r="A2082" s="234"/>
      <c r="B2082" s="234"/>
      <c r="C2082" s="234"/>
      <c r="D2082" s="234"/>
      <c r="E2082" s="234"/>
      <c r="F2082" s="234"/>
      <c r="G2082" s="234"/>
      <c r="H2082" s="234"/>
      <c r="I2082" s="234"/>
      <c r="J2082" s="234"/>
    </row>
    <row r="2083" ht="15.75" customHeight="1">
      <c r="A2083" s="234"/>
      <c r="B2083" s="234"/>
      <c r="C2083" s="234"/>
      <c r="D2083" s="234"/>
      <c r="E2083" s="234"/>
      <c r="F2083" s="234"/>
      <c r="G2083" s="234"/>
      <c r="H2083" s="234"/>
      <c r="I2083" s="234"/>
      <c r="J2083" s="234"/>
    </row>
    <row r="2084" ht="15.75" customHeight="1">
      <c r="A2084" s="234"/>
      <c r="B2084" s="234"/>
      <c r="C2084" s="234"/>
      <c r="D2084" s="234"/>
      <c r="E2084" s="234"/>
      <c r="F2084" s="234"/>
      <c r="G2084" s="234"/>
      <c r="H2084" s="234"/>
      <c r="I2084" s="234"/>
      <c r="J2084" s="234"/>
    </row>
    <row r="2085" ht="15.75" customHeight="1">
      <c r="A2085" s="234"/>
      <c r="B2085" s="234"/>
      <c r="C2085" s="234"/>
      <c r="D2085" s="234"/>
      <c r="E2085" s="234"/>
      <c r="F2085" s="234"/>
      <c r="G2085" s="234"/>
      <c r="H2085" s="234"/>
      <c r="I2085" s="234"/>
      <c r="J2085" s="234"/>
    </row>
    <row r="2086" ht="15.75" customHeight="1">
      <c r="A2086" s="234"/>
      <c r="B2086" s="234"/>
      <c r="C2086" s="234"/>
      <c r="D2086" s="234"/>
      <c r="E2086" s="234"/>
      <c r="F2086" s="234"/>
      <c r="G2086" s="234"/>
      <c r="H2086" s="234"/>
      <c r="I2086" s="234"/>
      <c r="J2086" s="234"/>
    </row>
    <row r="2087" ht="15.75" customHeight="1">
      <c r="A2087" s="234"/>
      <c r="B2087" s="234"/>
      <c r="C2087" s="234"/>
      <c r="D2087" s="234"/>
      <c r="E2087" s="234"/>
      <c r="F2087" s="234"/>
      <c r="G2087" s="234"/>
      <c r="H2087" s="234"/>
      <c r="I2087" s="234"/>
      <c r="J2087" s="234"/>
    </row>
    <row r="2088" ht="15.75" customHeight="1">
      <c r="A2088" s="234"/>
      <c r="B2088" s="234"/>
      <c r="C2088" s="234"/>
      <c r="D2088" s="234"/>
      <c r="E2088" s="234"/>
      <c r="F2088" s="234"/>
      <c r="G2088" s="234"/>
      <c r="H2088" s="234"/>
      <c r="I2088" s="234"/>
      <c r="J2088" s="234"/>
    </row>
    <row r="2089" ht="15.75" customHeight="1">
      <c r="A2089" s="234"/>
      <c r="B2089" s="234"/>
      <c r="C2089" s="234"/>
      <c r="D2089" s="234"/>
      <c r="E2089" s="234"/>
      <c r="F2089" s="234"/>
      <c r="G2089" s="234"/>
      <c r="H2089" s="234"/>
      <c r="I2089" s="234"/>
      <c r="J2089" s="234"/>
    </row>
    <row r="2090" ht="15.75" customHeight="1">
      <c r="A2090" s="234"/>
      <c r="B2090" s="234"/>
      <c r="C2090" s="234"/>
      <c r="D2090" s="234"/>
      <c r="E2090" s="234"/>
      <c r="F2090" s="234"/>
      <c r="G2090" s="234"/>
      <c r="H2090" s="234"/>
      <c r="I2090" s="234"/>
      <c r="J2090" s="234"/>
    </row>
    <row r="2091" ht="15.75" customHeight="1">
      <c r="A2091" s="234"/>
      <c r="B2091" s="234"/>
      <c r="C2091" s="234"/>
      <c r="D2091" s="234"/>
      <c r="E2091" s="234"/>
      <c r="F2091" s="234"/>
      <c r="G2091" s="234"/>
      <c r="H2091" s="234"/>
      <c r="I2091" s="234"/>
      <c r="J2091" s="234"/>
    </row>
    <row r="2092" ht="15.75" customHeight="1">
      <c r="A2092" s="234"/>
      <c r="B2092" s="234"/>
      <c r="C2092" s="234"/>
      <c r="D2092" s="234"/>
      <c r="E2092" s="234"/>
      <c r="F2092" s="234"/>
      <c r="G2092" s="234"/>
      <c r="H2092" s="234"/>
      <c r="I2092" s="234"/>
      <c r="J2092" s="234"/>
    </row>
    <row r="2093" ht="15.75" customHeight="1">
      <c r="A2093" s="234"/>
      <c r="B2093" s="234"/>
      <c r="C2093" s="234"/>
      <c r="D2093" s="234"/>
      <c r="E2093" s="234"/>
      <c r="F2093" s="234"/>
      <c r="G2093" s="234"/>
      <c r="H2093" s="234"/>
      <c r="I2093" s="234"/>
      <c r="J2093" s="234"/>
    </row>
    <row r="2094" ht="15.75" customHeight="1">
      <c r="A2094" s="234"/>
      <c r="B2094" s="234"/>
      <c r="C2094" s="234"/>
      <c r="D2094" s="234"/>
      <c r="E2094" s="234"/>
      <c r="F2094" s="234"/>
      <c r="G2094" s="234"/>
      <c r="H2094" s="234"/>
      <c r="I2094" s="234"/>
      <c r="J2094" s="234"/>
    </row>
    <row r="2095" ht="15.75" customHeight="1">
      <c r="A2095" s="234"/>
      <c r="B2095" s="234"/>
      <c r="C2095" s="234"/>
      <c r="D2095" s="234"/>
      <c r="E2095" s="234"/>
      <c r="F2095" s="234"/>
      <c r="G2095" s="234"/>
      <c r="H2095" s="234"/>
      <c r="I2095" s="234"/>
      <c r="J2095" s="234"/>
    </row>
    <row r="2096" ht="15.75" customHeight="1">
      <c r="A2096" s="234"/>
      <c r="B2096" s="234"/>
      <c r="C2096" s="234"/>
      <c r="D2096" s="234"/>
      <c r="E2096" s="234"/>
      <c r="F2096" s="234"/>
      <c r="G2096" s="234"/>
      <c r="H2096" s="234"/>
      <c r="I2096" s="234"/>
      <c r="J2096" s="234"/>
    </row>
    <row r="2097" ht="15.75" customHeight="1">
      <c r="A2097" s="234"/>
      <c r="B2097" s="234"/>
      <c r="C2097" s="234"/>
      <c r="D2097" s="234"/>
      <c r="E2097" s="234"/>
      <c r="F2097" s="234"/>
      <c r="G2097" s="234"/>
      <c r="H2097" s="234"/>
      <c r="I2097" s="234"/>
      <c r="J2097" s="234"/>
    </row>
    <row r="2098" ht="15.75" customHeight="1">
      <c r="A2098" s="234"/>
      <c r="B2098" s="234"/>
      <c r="C2098" s="234"/>
      <c r="D2098" s="234"/>
      <c r="E2098" s="234"/>
      <c r="F2098" s="234"/>
      <c r="G2098" s="234"/>
      <c r="H2098" s="234"/>
      <c r="I2098" s="234"/>
      <c r="J2098" s="234"/>
    </row>
    <row r="2099" ht="15.75" customHeight="1">
      <c r="A2099" s="234"/>
      <c r="B2099" s="234"/>
      <c r="C2099" s="234"/>
      <c r="D2099" s="234"/>
      <c r="E2099" s="234"/>
      <c r="F2099" s="234"/>
      <c r="G2099" s="234"/>
      <c r="H2099" s="234"/>
      <c r="I2099" s="234"/>
      <c r="J2099" s="234"/>
    </row>
    <row r="2100" ht="15.75" customHeight="1">
      <c r="A2100" s="234"/>
      <c r="B2100" s="234"/>
      <c r="C2100" s="234"/>
      <c r="D2100" s="234"/>
      <c r="E2100" s="234"/>
      <c r="F2100" s="234"/>
      <c r="G2100" s="234"/>
      <c r="H2100" s="234"/>
      <c r="I2100" s="234"/>
      <c r="J2100" s="234"/>
    </row>
    <row r="2101" ht="15.75" customHeight="1">
      <c r="A2101" s="234"/>
      <c r="B2101" s="234"/>
      <c r="C2101" s="234"/>
      <c r="D2101" s="234"/>
      <c r="E2101" s="234"/>
      <c r="F2101" s="234"/>
      <c r="G2101" s="234"/>
      <c r="H2101" s="234"/>
      <c r="I2101" s="234"/>
      <c r="J2101" s="234"/>
    </row>
    <row r="2102" ht="15.75" customHeight="1">
      <c r="A2102" s="234"/>
      <c r="B2102" s="234"/>
      <c r="C2102" s="234"/>
      <c r="D2102" s="234"/>
      <c r="E2102" s="234"/>
      <c r="F2102" s="234"/>
      <c r="G2102" s="234"/>
      <c r="H2102" s="234"/>
      <c r="I2102" s="234"/>
      <c r="J2102" s="234"/>
    </row>
    <row r="2103" ht="15.75" customHeight="1">
      <c r="A2103" s="234"/>
      <c r="B2103" s="234"/>
      <c r="C2103" s="234"/>
      <c r="D2103" s="234"/>
      <c r="E2103" s="234"/>
      <c r="F2103" s="234"/>
      <c r="G2103" s="234"/>
      <c r="H2103" s="234"/>
      <c r="I2103" s="234"/>
      <c r="J2103" s="234"/>
    </row>
    <row r="2104" ht="15.75" customHeight="1">
      <c r="A2104" s="234"/>
      <c r="B2104" s="234"/>
      <c r="C2104" s="234"/>
      <c r="D2104" s="234"/>
      <c r="E2104" s="234"/>
      <c r="F2104" s="234"/>
      <c r="G2104" s="234"/>
      <c r="H2104" s="234"/>
      <c r="I2104" s="234"/>
      <c r="J2104" s="234"/>
    </row>
    <row r="2105" ht="15.75" customHeight="1">
      <c r="A2105" s="234"/>
      <c r="B2105" s="234"/>
      <c r="C2105" s="234"/>
      <c r="D2105" s="234"/>
      <c r="E2105" s="234"/>
      <c r="F2105" s="234"/>
      <c r="G2105" s="234"/>
      <c r="H2105" s="234"/>
      <c r="I2105" s="234"/>
      <c r="J2105" s="234"/>
    </row>
    <row r="2106" ht="15.75" customHeight="1">
      <c r="A2106" s="234"/>
      <c r="B2106" s="234"/>
      <c r="C2106" s="234"/>
      <c r="D2106" s="234"/>
      <c r="E2106" s="234"/>
      <c r="F2106" s="234"/>
      <c r="G2106" s="234"/>
      <c r="H2106" s="234"/>
      <c r="I2106" s="234"/>
      <c r="J2106" s="234"/>
    </row>
    <row r="2107" ht="15.75" customHeight="1">
      <c r="A2107" s="234"/>
      <c r="B2107" s="234"/>
      <c r="C2107" s="234"/>
      <c r="D2107" s="234"/>
      <c r="E2107" s="234"/>
      <c r="F2107" s="234"/>
      <c r="G2107" s="234"/>
      <c r="H2107" s="234"/>
      <c r="I2107" s="234"/>
      <c r="J2107" s="234"/>
    </row>
    <row r="2108" ht="15.75" customHeight="1">
      <c r="A2108" s="234"/>
      <c r="B2108" s="234"/>
      <c r="C2108" s="234"/>
      <c r="D2108" s="234"/>
      <c r="E2108" s="234"/>
      <c r="F2108" s="234"/>
      <c r="G2108" s="234"/>
      <c r="H2108" s="234"/>
      <c r="I2108" s="234"/>
      <c r="J2108" s="234"/>
    </row>
    <row r="2109" ht="15.75" customHeight="1">
      <c r="A2109" s="234"/>
      <c r="B2109" s="234"/>
      <c r="C2109" s="234"/>
      <c r="D2109" s="234"/>
      <c r="E2109" s="234"/>
      <c r="F2109" s="234"/>
      <c r="G2109" s="234"/>
      <c r="H2109" s="234"/>
      <c r="I2109" s="234"/>
      <c r="J2109" s="234"/>
    </row>
    <row r="2110" ht="15.75" customHeight="1">
      <c r="A2110" s="234"/>
      <c r="B2110" s="234"/>
      <c r="C2110" s="234"/>
      <c r="D2110" s="234"/>
      <c r="E2110" s="234"/>
      <c r="F2110" s="234"/>
      <c r="G2110" s="234"/>
      <c r="H2110" s="234"/>
      <c r="I2110" s="234"/>
      <c r="J2110" s="234"/>
    </row>
    <row r="2111" ht="15.75" customHeight="1">
      <c r="A2111" s="234"/>
      <c r="B2111" s="234"/>
      <c r="C2111" s="234"/>
      <c r="D2111" s="234"/>
      <c r="E2111" s="234"/>
      <c r="F2111" s="234"/>
      <c r="G2111" s="234"/>
      <c r="H2111" s="234"/>
      <c r="I2111" s="234"/>
      <c r="J2111" s="234"/>
    </row>
    <row r="2112" ht="15.75" customHeight="1">
      <c r="A2112" s="234"/>
      <c r="B2112" s="234"/>
      <c r="C2112" s="234"/>
      <c r="D2112" s="234"/>
      <c r="E2112" s="234"/>
      <c r="F2112" s="234"/>
      <c r="G2112" s="234"/>
      <c r="H2112" s="234"/>
      <c r="I2112" s="234"/>
      <c r="J2112" s="234"/>
    </row>
    <row r="2113" ht="15.75" customHeight="1">
      <c r="A2113" s="234"/>
      <c r="B2113" s="234"/>
      <c r="C2113" s="234"/>
      <c r="D2113" s="234"/>
      <c r="E2113" s="234"/>
      <c r="F2113" s="234"/>
      <c r="G2113" s="234"/>
      <c r="H2113" s="234"/>
      <c r="I2113" s="234"/>
      <c r="J2113" s="234"/>
    </row>
    <row r="2114" ht="15.75" customHeight="1">
      <c r="A2114" s="234"/>
      <c r="B2114" s="234"/>
      <c r="C2114" s="234"/>
      <c r="D2114" s="234"/>
      <c r="E2114" s="234"/>
      <c r="F2114" s="234"/>
      <c r="G2114" s="234"/>
      <c r="H2114" s="234"/>
      <c r="I2114" s="234"/>
      <c r="J2114" s="234"/>
    </row>
    <row r="2115" ht="15.75" customHeight="1">
      <c r="A2115" s="234"/>
      <c r="B2115" s="234"/>
      <c r="C2115" s="234"/>
      <c r="D2115" s="234"/>
      <c r="E2115" s="234"/>
      <c r="F2115" s="234"/>
      <c r="G2115" s="234"/>
      <c r="H2115" s="234"/>
      <c r="I2115" s="234"/>
      <c r="J2115" s="234"/>
    </row>
    <row r="2116" ht="15.75" customHeight="1">
      <c r="A2116" s="234"/>
      <c r="B2116" s="234"/>
      <c r="C2116" s="234"/>
      <c r="D2116" s="234"/>
      <c r="E2116" s="234"/>
      <c r="F2116" s="234"/>
      <c r="G2116" s="234"/>
      <c r="H2116" s="234"/>
      <c r="I2116" s="234"/>
      <c r="J2116" s="234"/>
    </row>
    <row r="2117" ht="15.75" customHeight="1">
      <c r="A2117" s="234"/>
      <c r="B2117" s="234"/>
      <c r="C2117" s="234"/>
      <c r="D2117" s="234"/>
      <c r="E2117" s="234"/>
      <c r="F2117" s="234"/>
      <c r="G2117" s="234"/>
      <c r="H2117" s="234"/>
      <c r="I2117" s="234"/>
      <c r="J2117" s="234"/>
    </row>
    <row r="2118" ht="15.75" customHeight="1">
      <c r="A2118" s="234"/>
      <c r="B2118" s="234"/>
      <c r="C2118" s="234"/>
      <c r="D2118" s="234"/>
      <c r="E2118" s="234"/>
      <c r="F2118" s="234"/>
      <c r="G2118" s="234"/>
      <c r="H2118" s="234"/>
      <c r="I2118" s="234"/>
      <c r="J2118" s="234"/>
    </row>
    <row r="2119" ht="15.75" customHeight="1">
      <c r="A2119" s="234"/>
      <c r="B2119" s="234"/>
      <c r="C2119" s="234"/>
      <c r="D2119" s="234"/>
      <c r="E2119" s="234"/>
      <c r="F2119" s="234"/>
      <c r="G2119" s="234"/>
      <c r="H2119" s="234"/>
      <c r="I2119" s="234"/>
      <c r="J2119" s="234"/>
    </row>
    <row r="2120" ht="15.75" customHeight="1">
      <c r="A2120" s="234"/>
      <c r="B2120" s="234"/>
      <c r="C2120" s="234"/>
      <c r="D2120" s="234"/>
      <c r="E2120" s="234"/>
      <c r="F2120" s="234"/>
      <c r="G2120" s="234"/>
      <c r="H2120" s="234"/>
      <c r="I2120" s="234"/>
      <c r="J2120" s="234"/>
    </row>
    <row r="2121" ht="15.75" customHeight="1">
      <c r="A2121" s="234"/>
      <c r="B2121" s="234"/>
      <c r="C2121" s="234"/>
      <c r="D2121" s="234"/>
      <c r="E2121" s="234"/>
      <c r="F2121" s="234"/>
      <c r="G2121" s="234"/>
      <c r="H2121" s="234"/>
      <c r="I2121" s="234"/>
      <c r="J2121" s="234"/>
    </row>
    <row r="2122" ht="15.75" customHeight="1">
      <c r="A2122" s="234"/>
      <c r="B2122" s="234"/>
      <c r="C2122" s="234"/>
      <c r="D2122" s="234"/>
      <c r="E2122" s="234"/>
      <c r="F2122" s="234"/>
      <c r="G2122" s="234"/>
      <c r="H2122" s="234"/>
      <c r="I2122" s="234"/>
      <c r="J2122" s="234"/>
    </row>
    <row r="2123" ht="15.75" customHeight="1">
      <c r="A2123" s="234"/>
      <c r="B2123" s="234"/>
      <c r="C2123" s="234"/>
      <c r="D2123" s="234"/>
      <c r="E2123" s="234"/>
      <c r="F2123" s="234"/>
      <c r="G2123" s="234"/>
      <c r="H2123" s="234"/>
      <c r="I2123" s="234"/>
      <c r="J2123" s="234"/>
    </row>
    <row r="2124" ht="15.75" customHeight="1">
      <c r="A2124" s="234"/>
      <c r="B2124" s="234"/>
      <c r="C2124" s="234"/>
      <c r="D2124" s="234"/>
      <c r="E2124" s="234"/>
      <c r="F2124" s="234"/>
      <c r="G2124" s="234"/>
      <c r="H2124" s="234"/>
      <c r="I2124" s="234"/>
      <c r="J2124" s="234"/>
    </row>
    <row r="2125" ht="15.75" customHeight="1">
      <c r="A2125" s="234"/>
      <c r="B2125" s="234"/>
      <c r="C2125" s="234"/>
      <c r="D2125" s="234"/>
      <c r="E2125" s="234"/>
      <c r="F2125" s="234"/>
      <c r="G2125" s="234"/>
      <c r="H2125" s="234"/>
      <c r="I2125" s="234"/>
      <c r="J2125" s="234"/>
    </row>
    <row r="2126" ht="15.75" customHeight="1">
      <c r="A2126" s="234"/>
      <c r="B2126" s="234"/>
      <c r="C2126" s="234"/>
      <c r="D2126" s="234"/>
      <c r="E2126" s="234"/>
      <c r="F2126" s="234"/>
      <c r="G2126" s="234"/>
      <c r="H2126" s="234"/>
      <c r="I2126" s="234"/>
      <c r="J2126" s="234"/>
    </row>
    <row r="2127" ht="15.75" customHeight="1">
      <c r="A2127" s="234"/>
      <c r="B2127" s="234"/>
      <c r="C2127" s="234"/>
      <c r="D2127" s="234"/>
      <c r="E2127" s="234"/>
      <c r="F2127" s="234"/>
      <c r="G2127" s="234"/>
      <c r="H2127" s="234"/>
      <c r="I2127" s="234"/>
      <c r="J2127" s="234"/>
    </row>
    <row r="2128" ht="15.75" customHeight="1">
      <c r="A2128" s="234"/>
      <c r="B2128" s="234"/>
      <c r="C2128" s="234"/>
      <c r="D2128" s="234"/>
      <c r="E2128" s="234"/>
      <c r="F2128" s="234"/>
      <c r="G2128" s="234"/>
      <c r="H2128" s="234"/>
      <c r="I2128" s="234"/>
      <c r="J2128" s="234"/>
    </row>
    <row r="2129" ht="15.75" customHeight="1">
      <c r="A2129" s="234"/>
      <c r="B2129" s="234"/>
      <c r="C2129" s="234"/>
      <c r="D2129" s="234"/>
      <c r="E2129" s="234"/>
      <c r="F2129" s="234"/>
      <c r="G2129" s="234"/>
      <c r="H2129" s="234"/>
      <c r="I2129" s="234"/>
      <c r="J2129" s="234"/>
    </row>
    <row r="2130" ht="15.75" customHeight="1">
      <c r="A2130" s="234"/>
      <c r="B2130" s="234"/>
      <c r="C2130" s="234"/>
      <c r="D2130" s="234"/>
      <c r="E2130" s="234"/>
      <c r="F2130" s="234"/>
      <c r="G2130" s="234"/>
      <c r="H2130" s="234"/>
      <c r="I2130" s="234"/>
      <c r="J2130" s="234"/>
    </row>
    <row r="2131" ht="15.75" customHeight="1">
      <c r="A2131" s="234"/>
      <c r="B2131" s="234"/>
      <c r="C2131" s="234"/>
      <c r="D2131" s="234"/>
      <c r="E2131" s="234"/>
      <c r="F2131" s="234"/>
      <c r="G2131" s="234"/>
      <c r="H2131" s="234"/>
      <c r="I2131" s="234"/>
      <c r="J2131" s="234"/>
    </row>
    <row r="2132" ht="15.75" customHeight="1">
      <c r="A2132" s="234"/>
      <c r="B2132" s="234"/>
      <c r="C2132" s="234"/>
      <c r="D2132" s="234"/>
      <c r="E2132" s="234"/>
      <c r="F2132" s="234"/>
      <c r="G2132" s="234"/>
      <c r="H2132" s="234"/>
      <c r="I2132" s="234"/>
      <c r="J2132" s="234"/>
    </row>
    <row r="2133" ht="15.75" customHeight="1">
      <c r="A2133" s="234"/>
      <c r="B2133" s="234"/>
      <c r="C2133" s="234"/>
      <c r="D2133" s="234"/>
      <c r="E2133" s="234"/>
      <c r="F2133" s="234"/>
      <c r="G2133" s="234"/>
      <c r="H2133" s="234"/>
      <c r="I2133" s="234"/>
      <c r="J2133" s="234"/>
    </row>
    <row r="2134" ht="15.75" customHeight="1">
      <c r="A2134" s="234"/>
      <c r="B2134" s="234"/>
      <c r="C2134" s="234"/>
      <c r="D2134" s="234"/>
      <c r="E2134" s="234"/>
      <c r="F2134" s="234"/>
      <c r="G2134" s="234"/>
      <c r="H2134" s="234"/>
      <c r="I2134" s="234"/>
      <c r="J2134" s="234"/>
    </row>
    <row r="2135" ht="15.75" customHeight="1">
      <c r="A2135" s="234"/>
      <c r="B2135" s="234"/>
      <c r="C2135" s="234"/>
      <c r="D2135" s="234"/>
      <c r="E2135" s="234"/>
      <c r="F2135" s="234"/>
      <c r="G2135" s="234"/>
      <c r="H2135" s="234"/>
      <c r="I2135" s="234"/>
      <c r="J2135" s="234"/>
    </row>
    <row r="2136" ht="15.75" customHeight="1">
      <c r="A2136" s="234"/>
      <c r="B2136" s="234"/>
      <c r="C2136" s="234"/>
      <c r="D2136" s="234"/>
      <c r="E2136" s="234"/>
      <c r="F2136" s="234"/>
      <c r="G2136" s="234"/>
      <c r="H2136" s="234"/>
      <c r="I2136" s="234"/>
      <c r="J2136" s="234"/>
    </row>
    <row r="2137" ht="15.75" customHeight="1">
      <c r="A2137" s="234"/>
      <c r="B2137" s="234"/>
      <c r="C2137" s="234"/>
      <c r="D2137" s="234"/>
      <c r="E2137" s="234"/>
      <c r="F2137" s="234"/>
      <c r="G2137" s="234"/>
      <c r="H2137" s="234"/>
      <c r="I2137" s="234"/>
      <c r="J2137" s="234"/>
    </row>
    <row r="2138" ht="15.75" customHeight="1">
      <c r="A2138" s="234"/>
      <c r="B2138" s="234"/>
      <c r="C2138" s="234"/>
      <c r="D2138" s="234"/>
      <c r="E2138" s="234"/>
      <c r="F2138" s="234"/>
      <c r="G2138" s="234"/>
      <c r="H2138" s="234"/>
      <c r="I2138" s="234"/>
      <c r="J2138" s="234"/>
    </row>
    <row r="2139" ht="15.75" customHeight="1">
      <c r="A2139" s="234"/>
      <c r="B2139" s="234"/>
      <c r="C2139" s="234"/>
      <c r="D2139" s="234"/>
      <c r="E2139" s="234"/>
      <c r="F2139" s="234"/>
      <c r="G2139" s="234"/>
      <c r="H2139" s="234"/>
      <c r="I2139" s="234"/>
      <c r="J2139" s="234"/>
    </row>
    <row r="2140" ht="15.75" customHeight="1">
      <c r="A2140" s="234"/>
      <c r="B2140" s="234"/>
      <c r="C2140" s="234"/>
      <c r="D2140" s="234"/>
      <c r="E2140" s="234"/>
      <c r="F2140" s="234"/>
      <c r="G2140" s="234"/>
      <c r="H2140" s="234"/>
      <c r="I2140" s="234"/>
      <c r="J2140" s="234"/>
    </row>
    <row r="2141" ht="15.75" customHeight="1">
      <c r="A2141" s="234"/>
      <c r="B2141" s="234"/>
      <c r="C2141" s="234"/>
      <c r="D2141" s="234"/>
      <c r="E2141" s="234"/>
      <c r="F2141" s="234"/>
      <c r="G2141" s="234"/>
      <c r="H2141" s="234"/>
      <c r="I2141" s="234"/>
      <c r="J2141" s="234"/>
    </row>
    <row r="2142" ht="15.75" customHeight="1">
      <c r="A2142" s="234"/>
      <c r="B2142" s="234"/>
      <c r="C2142" s="234"/>
      <c r="D2142" s="234"/>
      <c r="E2142" s="234"/>
      <c r="F2142" s="234"/>
      <c r="G2142" s="234"/>
      <c r="H2142" s="234"/>
      <c r="I2142" s="234"/>
      <c r="J2142" s="234"/>
    </row>
    <row r="2143" ht="15.75" customHeight="1">
      <c r="A2143" s="234"/>
      <c r="B2143" s="234"/>
      <c r="C2143" s="234"/>
      <c r="D2143" s="234"/>
      <c r="E2143" s="234"/>
      <c r="F2143" s="234"/>
      <c r="G2143" s="234"/>
      <c r="H2143" s="234"/>
      <c r="I2143" s="234"/>
      <c r="J2143" s="234"/>
    </row>
    <row r="2144" ht="15.75" customHeight="1">
      <c r="A2144" s="234"/>
      <c r="B2144" s="234"/>
      <c r="C2144" s="234"/>
      <c r="D2144" s="234"/>
      <c r="E2144" s="234"/>
      <c r="F2144" s="234"/>
      <c r="G2144" s="234"/>
      <c r="H2144" s="234"/>
      <c r="I2144" s="234"/>
      <c r="J2144" s="234"/>
    </row>
    <row r="2145" ht="15.75" customHeight="1">
      <c r="A2145" s="234"/>
      <c r="B2145" s="234"/>
      <c r="C2145" s="234"/>
      <c r="D2145" s="234"/>
      <c r="E2145" s="234"/>
      <c r="F2145" s="234"/>
      <c r="G2145" s="234"/>
      <c r="H2145" s="234"/>
      <c r="I2145" s="234"/>
      <c r="J2145" s="234"/>
    </row>
    <row r="2146" ht="15.75" customHeight="1">
      <c r="A2146" s="234"/>
      <c r="B2146" s="234"/>
      <c r="C2146" s="234"/>
      <c r="D2146" s="234"/>
      <c r="E2146" s="234"/>
      <c r="F2146" s="234"/>
      <c r="G2146" s="234"/>
      <c r="H2146" s="234"/>
      <c r="I2146" s="234"/>
      <c r="J2146" s="234"/>
    </row>
    <row r="2147" ht="15.75" customHeight="1">
      <c r="A2147" s="234"/>
      <c r="B2147" s="234"/>
      <c r="C2147" s="234"/>
      <c r="D2147" s="234"/>
      <c r="E2147" s="234"/>
      <c r="F2147" s="234"/>
      <c r="G2147" s="234"/>
      <c r="H2147" s="234"/>
      <c r="I2147" s="234"/>
      <c r="J2147" s="234"/>
    </row>
    <row r="2148" ht="15.75" customHeight="1">
      <c r="A2148" s="234"/>
      <c r="B2148" s="234"/>
      <c r="C2148" s="234"/>
      <c r="D2148" s="234"/>
      <c r="E2148" s="234"/>
      <c r="F2148" s="234"/>
      <c r="G2148" s="234"/>
      <c r="H2148" s="234"/>
      <c r="I2148" s="234"/>
      <c r="J2148" s="234"/>
    </row>
    <row r="2149" ht="15.75" customHeight="1">
      <c r="A2149" s="234"/>
      <c r="B2149" s="234"/>
      <c r="C2149" s="234"/>
      <c r="D2149" s="234"/>
      <c r="E2149" s="234"/>
      <c r="F2149" s="234"/>
      <c r="G2149" s="234"/>
      <c r="H2149" s="234"/>
      <c r="I2149" s="234"/>
      <c r="J2149" s="234"/>
    </row>
    <row r="2150" ht="15.75" customHeight="1">
      <c r="A2150" s="234"/>
      <c r="B2150" s="234"/>
      <c r="C2150" s="234"/>
      <c r="D2150" s="234"/>
      <c r="E2150" s="234"/>
      <c r="F2150" s="234"/>
      <c r="G2150" s="234"/>
      <c r="H2150" s="234"/>
      <c r="I2150" s="234"/>
      <c r="J2150" s="234"/>
    </row>
    <row r="2151" ht="15.75" customHeight="1">
      <c r="A2151" s="234"/>
      <c r="B2151" s="234"/>
      <c r="C2151" s="234"/>
      <c r="D2151" s="234"/>
      <c r="E2151" s="234"/>
      <c r="F2151" s="234"/>
      <c r="G2151" s="234"/>
      <c r="H2151" s="234"/>
      <c r="I2151" s="234"/>
      <c r="J2151" s="234"/>
    </row>
    <row r="2152" ht="15.75" customHeight="1">
      <c r="A2152" s="234"/>
      <c r="B2152" s="234"/>
      <c r="C2152" s="234"/>
      <c r="D2152" s="234"/>
      <c r="E2152" s="234"/>
      <c r="F2152" s="234"/>
      <c r="G2152" s="234"/>
      <c r="H2152" s="234"/>
      <c r="I2152" s="234"/>
      <c r="J2152" s="234"/>
    </row>
    <row r="2153" ht="15.75" customHeight="1">
      <c r="A2153" s="234"/>
      <c r="B2153" s="234"/>
      <c r="C2153" s="234"/>
      <c r="D2153" s="234"/>
      <c r="E2153" s="234"/>
      <c r="F2153" s="234"/>
      <c r="G2153" s="234"/>
      <c r="H2153" s="234"/>
      <c r="I2153" s="234"/>
      <c r="J2153" s="234"/>
    </row>
    <row r="2154" ht="15.75" customHeight="1">
      <c r="A2154" s="234"/>
      <c r="B2154" s="234"/>
      <c r="C2154" s="234"/>
      <c r="D2154" s="234"/>
      <c r="E2154" s="234"/>
      <c r="F2154" s="234"/>
      <c r="G2154" s="234"/>
      <c r="H2154" s="234"/>
      <c r="I2154" s="234"/>
      <c r="J2154" s="234"/>
    </row>
    <row r="2155" ht="15.75" customHeight="1">
      <c r="A2155" s="234"/>
      <c r="B2155" s="234"/>
      <c r="C2155" s="234"/>
      <c r="D2155" s="234"/>
      <c r="E2155" s="234"/>
      <c r="F2155" s="234"/>
      <c r="G2155" s="234"/>
      <c r="H2155" s="234"/>
      <c r="I2155" s="234"/>
      <c r="J2155" s="234"/>
    </row>
    <row r="2156" ht="15.75" customHeight="1">
      <c r="A2156" s="234"/>
      <c r="B2156" s="234"/>
      <c r="C2156" s="234"/>
      <c r="D2156" s="234"/>
      <c r="E2156" s="234"/>
      <c r="F2156" s="234"/>
      <c r="G2156" s="234"/>
      <c r="H2156" s="234"/>
      <c r="I2156" s="234"/>
      <c r="J2156" s="234"/>
    </row>
    <row r="2157" ht="15.75" customHeight="1">
      <c r="A2157" s="234"/>
      <c r="B2157" s="234"/>
      <c r="C2157" s="234"/>
      <c r="D2157" s="234"/>
      <c r="E2157" s="234"/>
      <c r="F2157" s="234"/>
      <c r="G2157" s="234"/>
      <c r="H2157" s="234"/>
      <c r="I2157" s="234"/>
      <c r="J2157" s="234"/>
    </row>
    <row r="2158" ht="15.75" customHeight="1">
      <c r="A2158" s="234"/>
      <c r="B2158" s="234"/>
      <c r="C2158" s="234"/>
      <c r="D2158" s="234"/>
      <c r="E2158" s="234"/>
      <c r="F2158" s="234"/>
      <c r="G2158" s="234"/>
      <c r="H2158" s="234"/>
      <c r="I2158" s="234"/>
      <c r="J2158" s="234"/>
    </row>
    <row r="2159" ht="15.75" customHeight="1">
      <c r="A2159" s="234"/>
      <c r="B2159" s="234"/>
      <c r="C2159" s="234"/>
      <c r="D2159" s="234"/>
      <c r="E2159" s="234"/>
      <c r="F2159" s="234"/>
      <c r="G2159" s="234"/>
      <c r="H2159" s="234"/>
      <c r="I2159" s="234"/>
      <c r="J2159" s="234"/>
    </row>
    <row r="2160" ht="15.75" customHeight="1">
      <c r="A2160" s="234"/>
      <c r="B2160" s="234"/>
      <c r="C2160" s="234"/>
      <c r="D2160" s="234"/>
      <c r="E2160" s="234"/>
      <c r="F2160" s="234"/>
      <c r="G2160" s="234"/>
      <c r="H2160" s="234"/>
      <c r="I2160" s="234"/>
      <c r="J2160" s="234"/>
    </row>
    <row r="2161" ht="15.75" customHeight="1">
      <c r="A2161" s="234"/>
      <c r="B2161" s="234"/>
      <c r="C2161" s="234"/>
      <c r="D2161" s="234"/>
      <c r="E2161" s="234"/>
      <c r="F2161" s="234"/>
      <c r="G2161" s="234"/>
      <c r="H2161" s="234"/>
      <c r="I2161" s="234"/>
      <c r="J2161" s="234"/>
    </row>
    <row r="2162" ht="15.75" customHeight="1">
      <c r="A2162" s="234"/>
      <c r="B2162" s="234"/>
      <c r="C2162" s="234"/>
      <c r="D2162" s="234"/>
      <c r="E2162" s="234"/>
      <c r="F2162" s="234"/>
      <c r="G2162" s="234"/>
      <c r="H2162" s="234"/>
      <c r="I2162" s="234"/>
      <c r="J2162" s="234"/>
    </row>
    <row r="2163" ht="15.75" customHeight="1">
      <c r="A2163" s="234"/>
      <c r="B2163" s="234"/>
      <c r="C2163" s="234"/>
      <c r="D2163" s="234"/>
      <c r="E2163" s="234"/>
      <c r="F2163" s="234"/>
      <c r="G2163" s="234"/>
      <c r="H2163" s="234"/>
      <c r="I2163" s="234"/>
      <c r="J2163" s="234"/>
    </row>
    <row r="2164" ht="15.75" customHeight="1">
      <c r="A2164" s="234"/>
      <c r="B2164" s="234"/>
      <c r="C2164" s="234"/>
      <c r="D2164" s="234"/>
      <c r="E2164" s="234"/>
      <c r="F2164" s="234"/>
      <c r="G2164" s="234"/>
      <c r="H2164" s="234"/>
      <c r="I2164" s="234"/>
      <c r="J2164" s="234"/>
    </row>
    <row r="2165" ht="15.75" customHeight="1">
      <c r="A2165" s="234"/>
      <c r="B2165" s="234"/>
      <c r="C2165" s="234"/>
      <c r="D2165" s="234"/>
      <c r="E2165" s="234"/>
      <c r="F2165" s="234"/>
      <c r="G2165" s="234"/>
      <c r="H2165" s="234"/>
      <c r="I2165" s="234"/>
      <c r="J2165" s="234"/>
    </row>
    <row r="2166" ht="15.75" customHeight="1">
      <c r="A2166" s="234"/>
      <c r="B2166" s="234"/>
      <c r="C2166" s="234"/>
      <c r="D2166" s="234"/>
      <c r="E2166" s="234"/>
      <c r="F2166" s="234"/>
      <c r="G2166" s="234"/>
      <c r="H2166" s="234"/>
      <c r="I2166" s="234"/>
      <c r="J2166" s="234"/>
    </row>
    <row r="2167" ht="15.75" customHeight="1">
      <c r="A2167" s="234"/>
      <c r="B2167" s="234"/>
      <c r="C2167" s="234"/>
      <c r="D2167" s="234"/>
      <c r="E2167" s="234"/>
      <c r="F2167" s="234"/>
      <c r="G2167" s="234"/>
      <c r="H2167" s="234"/>
      <c r="I2167" s="234"/>
      <c r="J2167" s="234"/>
    </row>
    <row r="2168" ht="15.75" customHeight="1">
      <c r="A2168" s="234"/>
      <c r="B2168" s="234"/>
      <c r="C2168" s="234"/>
      <c r="D2168" s="234"/>
      <c r="E2168" s="234"/>
      <c r="F2168" s="234"/>
      <c r="G2168" s="234"/>
      <c r="H2168" s="234"/>
      <c r="I2168" s="234"/>
      <c r="J2168" s="234"/>
    </row>
    <row r="2169" ht="15.75" customHeight="1">
      <c r="A2169" s="234"/>
      <c r="B2169" s="234"/>
      <c r="C2169" s="234"/>
      <c r="D2169" s="234"/>
      <c r="E2169" s="234"/>
      <c r="F2169" s="234"/>
      <c r="G2169" s="234"/>
      <c r="H2169" s="234"/>
      <c r="I2169" s="234"/>
      <c r="J2169" s="234"/>
    </row>
    <row r="2170" ht="15.75" customHeight="1">
      <c r="A2170" s="234"/>
      <c r="B2170" s="234"/>
      <c r="C2170" s="234"/>
      <c r="D2170" s="234"/>
      <c r="E2170" s="234"/>
      <c r="F2170" s="234"/>
      <c r="G2170" s="234"/>
      <c r="H2170" s="234"/>
      <c r="I2170" s="234"/>
      <c r="J2170" s="234"/>
    </row>
    <row r="2171" ht="15.75" customHeight="1">
      <c r="A2171" s="234"/>
      <c r="B2171" s="234"/>
      <c r="C2171" s="234"/>
      <c r="D2171" s="234"/>
      <c r="E2171" s="234"/>
      <c r="F2171" s="234"/>
      <c r="G2171" s="234"/>
      <c r="H2171" s="234"/>
      <c r="I2171" s="234"/>
      <c r="J2171" s="234"/>
    </row>
    <row r="2172" ht="15.75" customHeight="1">
      <c r="A2172" s="234"/>
      <c r="B2172" s="234"/>
      <c r="C2172" s="234"/>
      <c r="D2172" s="234"/>
      <c r="E2172" s="234"/>
      <c r="F2172" s="234"/>
      <c r="G2172" s="234"/>
      <c r="H2172" s="234"/>
      <c r="I2172" s="234"/>
      <c r="J2172" s="234"/>
    </row>
    <row r="2173" ht="15.75" customHeight="1">
      <c r="A2173" s="234"/>
      <c r="B2173" s="234"/>
      <c r="C2173" s="234"/>
      <c r="D2173" s="234"/>
      <c r="E2173" s="234"/>
      <c r="F2173" s="234"/>
      <c r="G2173" s="234"/>
      <c r="H2173" s="234"/>
      <c r="I2173" s="234"/>
      <c r="J2173" s="234"/>
    </row>
    <row r="2174" ht="15.75" customHeight="1">
      <c r="A2174" s="234"/>
      <c r="B2174" s="234"/>
      <c r="C2174" s="234"/>
      <c r="D2174" s="234"/>
      <c r="E2174" s="234"/>
      <c r="F2174" s="234"/>
      <c r="G2174" s="234"/>
      <c r="H2174" s="234"/>
      <c r="I2174" s="234"/>
      <c r="J2174" s="234"/>
    </row>
    <row r="2175" ht="15.75" customHeight="1">
      <c r="A2175" s="234"/>
      <c r="B2175" s="234"/>
      <c r="C2175" s="234"/>
      <c r="D2175" s="234"/>
      <c r="E2175" s="234"/>
      <c r="F2175" s="234"/>
      <c r="G2175" s="234"/>
      <c r="H2175" s="234"/>
      <c r="I2175" s="234"/>
      <c r="J2175" s="234"/>
    </row>
    <row r="2176" ht="15.75" customHeight="1">
      <c r="A2176" s="234"/>
      <c r="B2176" s="234"/>
      <c r="C2176" s="234"/>
      <c r="D2176" s="234"/>
      <c r="E2176" s="234"/>
      <c r="F2176" s="234"/>
      <c r="G2176" s="234"/>
      <c r="H2176" s="234"/>
      <c r="I2176" s="234"/>
      <c r="J2176" s="234"/>
    </row>
    <row r="2177" ht="15.75" customHeight="1">
      <c r="A2177" s="234"/>
      <c r="B2177" s="234"/>
      <c r="C2177" s="234"/>
      <c r="D2177" s="234"/>
      <c r="E2177" s="234"/>
      <c r="F2177" s="234"/>
      <c r="G2177" s="234"/>
      <c r="H2177" s="234"/>
      <c r="I2177" s="234"/>
      <c r="J2177" s="234"/>
    </row>
    <row r="2178" ht="15.75" customHeight="1">
      <c r="A2178" s="234"/>
      <c r="B2178" s="234"/>
      <c r="C2178" s="234"/>
      <c r="D2178" s="234"/>
      <c r="E2178" s="234"/>
      <c r="F2178" s="234"/>
      <c r="G2178" s="234"/>
      <c r="H2178" s="234"/>
      <c r="I2178" s="234"/>
      <c r="J2178" s="234"/>
    </row>
    <row r="2179" ht="15.75" customHeight="1">
      <c r="A2179" s="234"/>
      <c r="B2179" s="234"/>
      <c r="C2179" s="234"/>
      <c r="D2179" s="234"/>
      <c r="E2179" s="234"/>
      <c r="F2179" s="234"/>
      <c r="G2179" s="234"/>
      <c r="H2179" s="234"/>
      <c r="I2179" s="234"/>
      <c r="J2179" s="234"/>
    </row>
    <row r="2180" ht="15.75" customHeight="1">
      <c r="A2180" s="234"/>
      <c r="B2180" s="234"/>
      <c r="C2180" s="234"/>
      <c r="D2180" s="234"/>
      <c r="E2180" s="234"/>
      <c r="F2180" s="234"/>
      <c r="G2180" s="234"/>
      <c r="H2180" s="234"/>
      <c r="I2180" s="234"/>
      <c r="J2180" s="234"/>
    </row>
    <row r="2181" ht="15.75" customHeight="1">
      <c r="A2181" s="234"/>
      <c r="B2181" s="234"/>
      <c r="C2181" s="234"/>
      <c r="D2181" s="234"/>
      <c r="E2181" s="234"/>
      <c r="F2181" s="234"/>
      <c r="G2181" s="234"/>
      <c r="H2181" s="234"/>
      <c r="I2181" s="234"/>
      <c r="J2181" s="234"/>
    </row>
    <row r="2182" ht="15.75" customHeight="1">
      <c r="A2182" s="234"/>
      <c r="B2182" s="234"/>
      <c r="C2182" s="234"/>
      <c r="D2182" s="234"/>
      <c r="E2182" s="234"/>
      <c r="F2182" s="234"/>
      <c r="G2182" s="234"/>
      <c r="H2182" s="234"/>
      <c r="I2182" s="234"/>
      <c r="J2182" s="234"/>
    </row>
    <row r="2183" ht="15.75" customHeight="1">
      <c r="A2183" s="234"/>
      <c r="B2183" s="234"/>
      <c r="C2183" s="234"/>
      <c r="D2183" s="234"/>
      <c r="E2183" s="234"/>
      <c r="F2183" s="234"/>
      <c r="G2183" s="234"/>
      <c r="H2183" s="234"/>
      <c r="I2183" s="234"/>
      <c r="J2183" s="234"/>
    </row>
    <row r="2184" ht="15.75" customHeight="1">
      <c r="A2184" s="234"/>
      <c r="B2184" s="234"/>
      <c r="C2184" s="234"/>
      <c r="D2184" s="234"/>
      <c r="E2184" s="234"/>
      <c r="F2184" s="234"/>
      <c r="G2184" s="234"/>
      <c r="H2184" s="234"/>
      <c r="I2184" s="234"/>
      <c r="J2184" s="234"/>
    </row>
    <row r="2185" ht="15.75" customHeight="1">
      <c r="A2185" s="234"/>
      <c r="B2185" s="234"/>
      <c r="C2185" s="234"/>
      <c r="D2185" s="234"/>
      <c r="E2185" s="234"/>
      <c r="F2185" s="234"/>
      <c r="G2185" s="234"/>
      <c r="H2185" s="234"/>
      <c r="I2185" s="234"/>
      <c r="J2185" s="234"/>
    </row>
    <row r="2186" ht="15.75" customHeight="1">
      <c r="A2186" s="234"/>
      <c r="B2186" s="234"/>
      <c r="C2186" s="234"/>
      <c r="D2186" s="234"/>
      <c r="E2186" s="234"/>
      <c r="F2186" s="234"/>
      <c r="G2186" s="234"/>
      <c r="H2186" s="234"/>
      <c r="I2186" s="234"/>
      <c r="J2186" s="234"/>
    </row>
    <row r="2187" ht="15.75" customHeight="1">
      <c r="A2187" s="234"/>
      <c r="B2187" s="234"/>
      <c r="C2187" s="234"/>
      <c r="D2187" s="234"/>
      <c r="E2187" s="234"/>
      <c r="F2187" s="234"/>
      <c r="G2187" s="234"/>
      <c r="H2187" s="234"/>
      <c r="I2187" s="234"/>
      <c r="J2187" s="234"/>
    </row>
    <row r="2188" ht="15.75" customHeight="1">
      <c r="A2188" s="234"/>
      <c r="B2188" s="234"/>
      <c r="C2188" s="234"/>
      <c r="D2188" s="234"/>
      <c r="E2188" s="234"/>
      <c r="F2188" s="234"/>
      <c r="G2188" s="234"/>
      <c r="H2188" s="234"/>
      <c r="I2188" s="234"/>
      <c r="J2188" s="234"/>
    </row>
    <row r="2189" ht="15.75" customHeight="1">
      <c r="A2189" s="234"/>
      <c r="B2189" s="234"/>
      <c r="C2189" s="234"/>
      <c r="D2189" s="234"/>
      <c r="E2189" s="234"/>
      <c r="F2189" s="234"/>
      <c r="G2189" s="234"/>
      <c r="H2189" s="234"/>
      <c r="I2189" s="234"/>
      <c r="J2189" s="234"/>
    </row>
    <row r="2190" ht="15.75" customHeight="1">
      <c r="A2190" s="234"/>
      <c r="B2190" s="234"/>
      <c r="C2190" s="234"/>
      <c r="D2190" s="234"/>
      <c r="E2190" s="234"/>
      <c r="F2190" s="234"/>
      <c r="G2190" s="234"/>
      <c r="H2190" s="234"/>
      <c r="I2190" s="234"/>
      <c r="J2190" s="234"/>
    </row>
    <row r="2191" ht="15.75" customHeight="1">
      <c r="A2191" s="234"/>
      <c r="B2191" s="234"/>
      <c r="C2191" s="234"/>
      <c r="D2191" s="234"/>
      <c r="E2191" s="234"/>
      <c r="F2191" s="234"/>
      <c r="G2191" s="234"/>
      <c r="H2191" s="234"/>
      <c r="I2191" s="234"/>
      <c r="J2191" s="234"/>
    </row>
    <row r="2192" ht="15.75" customHeight="1">
      <c r="A2192" s="234"/>
      <c r="B2192" s="234"/>
      <c r="C2192" s="234"/>
      <c r="D2192" s="234"/>
      <c r="E2192" s="234"/>
      <c r="F2192" s="234"/>
      <c r="G2192" s="234"/>
      <c r="H2192" s="234"/>
      <c r="I2192" s="234"/>
      <c r="J2192" s="234"/>
    </row>
    <row r="2193" ht="15.75" customHeight="1">
      <c r="A2193" s="234"/>
      <c r="B2193" s="234"/>
      <c r="C2193" s="234"/>
      <c r="D2193" s="234"/>
      <c r="E2193" s="234"/>
      <c r="F2193" s="234"/>
      <c r="G2193" s="234"/>
      <c r="H2193" s="234"/>
      <c r="I2193" s="234"/>
      <c r="J2193" s="234"/>
    </row>
    <row r="2194" ht="15.75" customHeight="1">
      <c r="A2194" s="234"/>
      <c r="B2194" s="234"/>
      <c r="C2194" s="234"/>
      <c r="D2194" s="234"/>
      <c r="E2194" s="234"/>
      <c r="F2194" s="234"/>
      <c r="G2194" s="234"/>
      <c r="H2194" s="234"/>
      <c r="I2194" s="234"/>
      <c r="J2194" s="234"/>
    </row>
    <row r="2195" ht="15.75" customHeight="1">
      <c r="A2195" s="234"/>
      <c r="B2195" s="234"/>
      <c r="C2195" s="234"/>
      <c r="D2195" s="234"/>
      <c r="E2195" s="234"/>
      <c r="F2195" s="234"/>
      <c r="G2195" s="234"/>
      <c r="H2195" s="234"/>
      <c r="I2195" s="234"/>
      <c r="J2195" s="234"/>
    </row>
    <row r="2196" ht="15.75" customHeight="1">
      <c r="A2196" s="234"/>
      <c r="B2196" s="234"/>
      <c r="C2196" s="234"/>
      <c r="D2196" s="234"/>
      <c r="E2196" s="234"/>
      <c r="F2196" s="234"/>
      <c r="G2196" s="234"/>
      <c r="H2196" s="234"/>
      <c r="I2196" s="234"/>
      <c r="J2196" s="234"/>
    </row>
    <row r="2197" ht="15.75" customHeight="1">
      <c r="A2197" s="234"/>
      <c r="B2197" s="234"/>
      <c r="C2197" s="234"/>
      <c r="D2197" s="234"/>
      <c r="E2197" s="234"/>
      <c r="F2197" s="234"/>
      <c r="G2197" s="234"/>
      <c r="H2197" s="234"/>
      <c r="I2197" s="234"/>
      <c r="J2197" s="234"/>
    </row>
    <row r="2198" ht="15.75" customHeight="1">
      <c r="A2198" s="234"/>
      <c r="B2198" s="234"/>
      <c r="C2198" s="234"/>
      <c r="D2198" s="234"/>
      <c r="E2198" s="234"/>
      <c r="F2198" s="234"/>
      <c r="G2198" s="234"/>
      <c r="H2198" s="234"/>
      <c r="I2198" s="234"/>
      <c r="J2198" s="234"/>
    </row>
    <row r="2199" ht="15.75" customHeight="1">
      <c r="A2199" s="234"/>
      <c r="B2199" s="234"/>
      <c r="C2199" s="234"/>
      <c r="D2199" s="234"/>
      <c r="E2199" s="234"/>
      <c r="F2199" s="234"/>
      <c r="G2199" s="234"/>
      <c r="H2199" s="234"/>
      <c r="I2199" s="234"/>
      <c r="J2199" s="234"/>
    </row>
    <row r="2200" ht="15.75" customHeight="1">
      <c r="A2200" s="234"/>
      <c r="B2200" s="234"/>
      <c r="C2200" s="234"/>
      <c r="D2200" s="234"/>
      <c r="E2200" s="234"/>
      <c r="F2200" s="234"/>
      <c r="G2200" s="234"/>
      <c r="H2200" s="234"/>
      <c r="I2200" s="234"/>
      <c r="J2200" s="234"/>
    </row>
    <row r="2201" ht="15.75" customHeight="1">
      <c r="A2201" s="234"/>
      <c r="B2201" s="234"/>
      <c r="C2201" s="234"/>
      <c r="D2201" s="234"/>
      <c r="E2201" s="234"/>
      <c r="F2201" s="234"/>
      <c r="G2201" s="234"/>
      <c r="H2201" s="234"/>
      <c r="I2201" s="234"/>
      <c r="J2201" s="234"/>
    </row>
    <row r="2202" ht="15.75" customHeight="1">
      <c r="A2202" s="234"/>
      <c r="B2202" s="234"/>
      <c r="C2202" s="234"/>
      <c r="D2202" s="234"/>
      <c r="E2202" s="234"/>
      <c r="F2202" s="234"/>
      <c r="G2202" s="234"/>
      <c r="H2202" s="234"/>
      <c r="I2202" s="234"/>
      <c r="J2202" s="234"/>
    </row>
    <row r="2203" ht="15.75" customHeight="1">
      <c r="A2203" s="234"/>
      <c r="B2203" s="234"/>
      <c r="C2203" s="234"/>
      <c r="D2203" s="234"/>
      <c r="E2203" s="234"/>
      <c r="F2203" s="234"/>
      <c r="G2203" s="234"/>
      <c r="H2203" s="234"/>
      <c r="I2203" s="234"/>
      <c r="J2203" s="234"/>
    </row>
    <row r="2204" ht="15.75" customHeight="1">
      <c r="A2204" s="234"/>
      <c r="B2204" s="234"/>
      <c r="C2204" s="234"/>
      <c r="D2204" s="234"/>
      <c r="E2204" s="234"/>
      <c r="F2204" s="234"/>
      <c r="G2204" s="234"/>
      <c r="H2204" s="234"/>
      <c r="I2204" s="234"/>
      <c r="J2204" s="234"/>
    </row>
    <row r="2205" ht="15.75" customHeight="1">
      <c r="A2205" s="234"/>
      <c r="B2205" s="234"/>
      <c r="C2205" s="234"/>
      <c r="D2205" s="234"/>
      <c r="E2205" s="234"/>
      <c r="F2205" s="234"/>
      <c r="G2205" s="234"/>
      <c r="H2205" s="234"/>
      <c r="I2205" s="234"/>
      <c r="J2205" s="234"/>
    </row>
    <row r="2206" ht="15.75" customHeight="1">
      <c r="A2206" s="234"/>
      <c r="B2206" s="234"/>
      <c r="C2206" s="234"/>
      <c r="D2206" s="234"/>
      <c r="E2206" s="234"/>
      <c r="F2206" s="234"/>
      <c r="G2206" s="234"/>
      <c r="H2206" s="234"/>
      <c r="I2206" s="234"/>
      <c r="J2206" s="234"/>
    </row>
    <row r="2207" ht="15.75" customHeight="1">
      <c r="A2207" s="234"/>
      <c r="B2207" s="234"/>
      <c r="C2207" s="234"/>
      <c r="D2207" s="234"/>
      <c r="E2207" s="234"/>
      <c r="F2207" s="234"/>
      <c r="G2207" s="234"/>
      <c r="H2207" s="234"/>
      <c r="I2207" s="234"/>
      <c r="J2207" s="234"/>
    </row>
    <row r="2208" ht="15.75" customHeight="1">
      <c r="A2208" s="234"/>
      <c r="B2208" s="234"/>
      <c r="C2208" s="234"/>
      <c r="D2208" s="234"/>
      <c r="E2208" s="234"/>
      <c r="F2208" s="234"/>
      <c r="G2208" s="234"/>
      <c r="H2208" s="234"/>
      <c r="I2208" s="234"/>
      <c r="J2208" s="234"/>
    </row>
    <row r="2209" ht="15.75" customHeight="1">
      <c r="A2209" s="234"/>
      <c r="B2209" s="234"/>
      <c r="C2209" s="234"/>
      <c r="D2209" s="234"/>
      <c r="E2209" s="234"/>
      <c r="F2209" s="234"/>
      <c r="G2209" s="234"/>
      <c r="H2209" s="234"/>
      <c r="I2209" s="234"/>
      <c r="J2209" s="234"/>
    </row>
    <row r="2210" ht="15.75" customHeight="1">
      <c r="A2210" s="234"/>
      <c r="B2210" s="234"/>
      <c r="C2210" s="234"/>
      <c r="D2210" s="234"/>
      <c r="E2210" s="234"/>
      <c r="F2210" s="234"/>
      <c r="G2210" s="234"/>
      <c r="H2210" s="234"/>
      <c r="I2210" s="234"/>
      <c r="J2210" s="234"/>
    </row>
    <row r="2211" ht="15.75" customHeight="1">
      <c r="A2211" s="234"/>
      <c r="B2211" s="234"/>
      <c r="C2211" s="234"/>
      <c r="D2211" s="234"/>
      <c r="E2211" s="234"/>
      <c r="F2211" s="234"/>
      <c r="G2211" s="234"/>
      <c r="H2211" s="234"/>
      <c r="I2211" s="234"/>
      <c r="J2211" s="234"/>
    </row>
    <row r="2212" ht="15.75" customHeight="1">
      <c r="A2212" s="234"/>
      <c r="B2212" s="234"/>
      <c r="C2212" s="234"/>
      <c r="D2212" s="234"/>
      <c r="E2212" s="234"/>
      <c r="F2212" s="234"/>
      <c r="G2212" s="234"/>
      <c r="H2212" s="234"/>
      <c r="I2212" s="234"/>
      <c r="J2212" s="234"/>
    </row>
    <row r="2213" ht="15.75" customHeight="1">
      <c r="A2213" s="234"/>
      <c r="B2213" s="234"/>
      <c r="C2213" s="234"/>
      <c r="D2213" s="234"/>
      <c r="E2213" s="234"/>
      <c r="F2213" s="234"/>
      <c r="G2213" s="234"/>
      <c r="H2213" s="234"/>
      <c r="I2213" s="234"/>
      <c r="J2213" s="234"/>
    </row>
    <row r="2214" ht="15.75" customHeight="1">
      <c r="A2214" s="234"/>
      <c r="B2214" s="234"/>
      <c r="C2214" s="234"/>
      <c r="D2214" s="234"/>
      <c r="E2214" s="234"/>
      <c r="F2214" s="234"/>
      <c r="G2214" s="234"/>
      <c r="H2214" s="234"/>
      <c r="I2214" s="234"/>
      <c r="J2214" s="234"/>
    </row>
    <row r="2215" ht="15.75" customHeight="1">
      <c r="A2215" s="234"/>
      <c r="B2215" s="234"/>
      <c r="C2215" s="234"/>
      <c r="D2215" s="234"/>
      <c r="E2215" s="234"/>
      <c r="F2215" s="234"/>
      <c r="G2215" s="234"/>
      <c r="H2215" s="234"/>
      <c r="I2215" s="234"/>
      <c r="J2215" s="234"/>
    </row>
    <row r="2216" ht="15.75" customHeight="1">
      <c r="A2216" s="234"/>
      <c r="B2216" s="234"/>
      <c r="C2216" s="234"/>
      <c r="D2216" s="234"/>
      <c r="E2216" s="234"/>
      <c r="F2216" s="234"/>
      <c r="G2216" s="234"/>
      <c r="H2216" s="234"/>
      <c r="I2216" s="234"/>
      <c r="J2216" s="234"/>
    </row>
    <row r="2217" ht="15.75" customHeight="1">
      <c r="A2217" s="234"/>
      <c r="B2217" s="234"/>
      <c r="C2217" s="234"/>
      <c r="D2217" s="234"/>
      <c r="E2217" s="234"/>
      <c r="F2217" s="234"/>
      <c r="G2217" s="234"/>
      <c r="H2217" s="234"/>
      <c r="I2217" s="234"/>
      <c r="J2217" s="234"/>
    </row>
    <row r="2218" ht="15.75" customHeight="1">
      <c r="A2218" s="234"/>
      <c r="B2218" s="234"/>
      <c r="C2218" s="234"/>
      <c r="D2218" s="234"/>
      <c r="E2218" s="234"/>
      <c r="F2218" s="234"/>
      <c r="G2218" s="234"/>
      <c r="H2218" s="234"/>
      <c r="I2218" s="234"/>
      <c r="J2218" s="234"/>
    </row>
    <row r="2219" ht="15.75" customHeight="1">
      <c r="A2219" s="234"/>
      <c r="B2219" s="234"/>
      <c r="C2219" s="234"/>
      <c r="D2219" s="234"/>
      <c r="E2219" s="234"/>
      <c r="F2219" s="234"/>
      <c r="G2219" s="234"/>
      <c r="H2219" s="234"/>
      <c r="I2219" s="234"/>
      <c r="J2219" s="234"/>
    </row>
    <row r="2220" ht="15.75" customHeight="1">
      <c r="A2220" s="234"/>
      <c r="B2220" s="234"/>
      <c r="C2220" s="234"/>
      <c r="D2220" s="234"/>
      <c r="E2220" s="234"/>
      <c r="F2220" s="234"/>
      <c r="G2220" s="234"/>
      <c r="H2220" s="234"/>
      <c r="I2220" s="234"/>
      <c r="J2220" s="234"/>
    </row>
    <row r="2221" ht="15.75" customHeight="1">
      <c r="A2221" s="234"/>
      <c r="B2221" s="234"/>
      <c r="C2221" s="234"/>
      <c r="D2221" s="234"/>
      <c r="E2221" s="234"/>
      <c r="F2221" s="234"/>
      <c r="G2221" s="234"/>
      <c r="H2221" s="234"/>
      <c r="I2221" s="234"/>
      <c r="J2221" s="234"/>
    </row>
    <row r="2222" ht="15.75" customHeight="1">
      <c r="A2222" s="234"/>
      <c r="B2222" s="234"/>
      <c r="C2222" s="234"/>
      <c r="D2222" s="234"/>
      <c r="E2222" s="234"/>
      <c r="F2222" s="234"/>
      <c r="G2222" s="234"/>
      <c r="H2222" s="234"/>
      <c r="I2222" s="234"/>
      <c r="J2222" s="234"/>
    </row>
    <row r="2223" ht="15.75" customHeight="1">
      <c r="A2223" s="234"/>
      <c r="B2223" s="234"/>
      <c r="C2223" s="234"/>
      <c r="D2223" s="234"/>
      <c r="E2223" s="234"/>
      <c r="F2223" s="234"/>
      <c r="G2223" s="234"/>
      <c r="H2223" s="234"/>
      <c r="I2223" s="234"/>
      <c r="J2223" s="234"/>
    </row>
    <row r="2224" ht="15.75" customHeight="1">
      <c r="A2224" s="234"/>
      <c r="B2224" s="234"/>
      <c r="C2224" s="234"/>
      <c r="D2224" s="234"/>
      <c r="E2224" s="234"/>
      <c r="F2224" s="234"/>
      <c r="G2224" s="234"/>
      <c r="H2224" s="234"/>
      <c r="I2224" s="234"/>
      <c r="J2224" s="234"/>
    </row>
    <row r="2225" ht="15.75" customHeight="1">
      <c r="A2225" s="234"/>
      <c r="B2225" s="234"/>
      <c r="C2225" s="234"/>
      <c r="D2225" s="234"/>
      <c r="E2225" s="234"/>
      <c r="F2225" s="234"/>
      <c r="G2225" s="234"/>
      <c r="H2225" s="234"/>
      <c r="I2225" s="234"/>
      <c r="J2225" s="234"/>
    </row>
    <row r="2226" ht="15.75" customHeight="1">
      <c r="A2226" s="234"/>
      <c r="B2226" s="234"/>
      <c r="C2226" s="234"/>
      <c r="D2226" s="234"/>
      <c r="E2226" s="234"/>
      <c r="F2226" s="234"/>
      <c r="G2226" s="234"/>
      <c r="H2226" s="234"/>
      <c r="I2226" s="234"/>
      <c r="J2226" s="234"/>
    </row>
    <row r="2227" ht="15.75" customHeight="1">
      <c r="A2227" s="234"/>
      <c r="B2227" s="234"/>
      <c r="C2227" s="234"/>
      <c r="D2227" s="234"/>
      <c r="E2227" s="234"/>
      <c r="F2227" s="234"/>
      <c r="G2227" s="234"/>
      <c r="H2227" s="234"/>
      <c r="I2227" s="234"/>
      <c r="J2227" s="234"/>
    </row>
    <row r="2228" ht="15.75" customHeight="1">
      <c r="A2228" s="234"/>
      <c r="B2228" s="234"/>
      <c r="C2228" s="234"/>
      <c r="D2228" s="234"/>
      <c r="E2228" s="234"/>
      <c r="F2228" s="234"/>
      <c r="G2228" s="234"/>
      <c r="H2228" s="234"/>
      <c r="I2228" s="234"/>
      <c r="J2228" s="234"/>
    </row>
    <row r="2229" ht="15.75" customHeight="1">
      <c r="A2229" s="234"/>
      <c r="B2229" s="234"/>
      <c r="C2229" s="234"/>
      <c r="D2229" s="234"/>
      <c r="E2229" s="234"/>
      <c r="F2229" s="234"/>
      <c r="G2229" s="234"/>
      <c r="H2229" s="234"/>
      <c r="I2229" s="234"/>
      <c r="J2229" s="234"/>
    </row>
    <row r="2230" ht="15.75" customHeight="1">
      <c r="A2230" s="234"/>
      <c r="B2230" s="234"/>
      <c r="C2230" s="234"/>
      <c r="D2230" s="234"/>
      <c r="E2230" s="234"/>
      <c r="F2230" s="234"/>
      <c r="G2230" s="234"/>
      <c r="H2230" s="234"/>
      <c r="I2230" s="234"/>
      <c r="J2230" s="234"/>
    </row>
    <row r="2231" ht="15.75" customHeight="1">
      <c r="A2231" s="234"/>
      <c r="B2231" s="234"/>
      <c r="C2231" s="234"/>
      <c r="D2231" s="234"/>
      <c r="E2231" s="234"/>
      <c r="F2231" s="234"/>
      <c r="G2231" s="234"/>
      <c r="H2231" s="234"/>
      <c r="I2231" s="234"/>
      <c r="J2231" s="234"/>
    </row>
    <row r="2232" ht="15.75" customHeight="1">
      <c r="A2232" s="234"/>
      <c r="B2232" s="234"/>
      <c r="C2232" s="234"/>
      <c r="D2232" s="234"/>
      <c r="E2232" s="234"/>
      <c r="F2232" s="234"/>
      <c r="G2232" s="234"/>
      <c r="H2232" s="234"/>
      <c r="I2232" s="234"/>
      <c r="J2232" s="234"/>
    </row>
    <row r="2233" ht="15.75" customHeight="1">
      <c r="A2233" s="234"/>
      <c r="B2233" s="234"/>
      <c r="C2233" s="234"/>
      <c r="D2233" s="234"/>
      <c r="E2233" s="234"/>
      <c r="F2233" s="234"/>
      <c r="G2233" s="234"/>
      <c r="H2233" s="234"/>
      <c r="I2233" s="234"/>
      <c r="J2233" s="234"/>
    </row>
    <row r="2234" ht="15.75" customHeight="1">
      <c r="A2234" s="234"/>
      <c r="B2234" s="234"/>
      <c r="C2234" s="234"/>
      <c r="D2234" s="234"/>
      <c r="E2234" s="234"/>
      <c r="F2234" s="234"/>
      <c r="G2234" s="234"/>
      <c r="H2234" s="234"/>
      <c r="I2234" s="234"/>
      <c r="J2234" s="234"/>
    </row>
    <row r="2235" ht="15.75" customHeight="1">
      <c r="A2235" s="234"/>
      <c r="B2235" s="234"/>
      <c r="C2235" s="234"/>
      <c r="D2235" s="234"/>
      <c r="E2235" s="234"/>
      <c r="F2235" s="234"/>
      <c r="G2235" s="234"/>
      <c r="H2235" s="234"/>
      <c r="I2235" s="234"/>
      <c r="J2235" s="234"/>
    </row>
    <row r="2236" ht="15.75" customHeight="1">
      <c r="A2236" s="234"/>
      <c r="B2236" s="234"/>
      <c r="C2236" s="234"/>
      <c r="D2236" s="234"/>
      <c r="E2236" s="234"/>
      <c r="F2236" s="234"/>
      <c r="G2236" s="234"/>
      <c r="H2236" s="234"/>
      <c r="I2236" s="234"/>
      <c r="J2236" s="234"/>
    </row>
    <row r="2237" ht="15.75" customHeight="1">
      <c r="A2237" s="234"/>
      <c r="B2237" s="234"/>
      <c r="C2237" s="234"/>
      <c r="D2237" s="234"/>
      <c r="E2237" s="234"/>
      <c r="F2237" s="234"/>
      <c r="G2237" s="234"/>
      <c r="H2237" s="234"/>
      <c r="I2237" s="234"/>
      <c r="J2237" s="234"/>
    </row>
    <row r="2238" ht="15.75" customHeight="1">
      <c r="A2238" s="234"/>
      <c r="B2238" s="234"/>
      <c r="C2238" s="234"/>
      <c r="D2238" s="234"/>
      <c r="E2238" s="234"/>
      <c r="F2238" s="234"/>
      <c r="G2238" s="234"/>
      <c r="H2238" s="234"/>
      <c r="I2238" s="234"/>
      <c r="J2238" s="234"/>
    </row>
    <row r="2239" ht="15.75" customHeight="1">
      <c r="A2239" s="234"/>
      <c r="B2239" s="234"/>
      <c r="C2239" s="234"/>
      <c r="D2239" s="234"/>
      <c r="E2239" s="234"/>
      <c r="F2239" s="234"/>
      <c r="G2239" s="234"/>
      <c r="H2239" s="234"/>
      <c r="I2239" s="234"/>
      <c r="J2239" s="234"/>
    </row>
    <row r="2240" ht="15.75" customHeight="1">
      <c r="A2240" s="234"/>
      <c r="B2240" s="234"/>
      <c r="C2240" s="234"/>
      <c r="D2240" s="234"/>
      <c r="E2240" s="234"/>
      <c r="F2240" s="234"/>
      <c r="G2240" s="234"/>
      <c r="H2240" s="234"/>
      <c r="I2240" s="234"/>
      <c r="J2240" s="234"/>
    </row>
    <row r="2241" ht="15.75" customHeight="1">
      <c r="A2241" s="234"/>
      <c r="B2241" s="234"/>
      <c r="C2241" s="234"/>
      <c r="D2241" s="234"/>
      <c r="E2241" s="234"/>
      <c r="F2241" s="234"/>
      <c r="G2241" s="234"/>
      <c r="H2241" s="234"/>
      <c r="I2241" s="234"/>
      <c r="J2241" s="234"/>
    </row>
    <row r="2242" ht="15.75" customHeight="1">
      <c r="A2242" s="234"/>
      <c r="B2242" s="234"/>
      <c r="C2242" s="234"/>
      <c r="D2242" s="234"/>
      <c r="E2242" s="234"/>
      <c r="F2242" s="234"/>
      <c r="G2242" s="234"/>
      <c r="H2242" s="234"/>
      <c r="I2242" s="234"/>
      <c r="J2242" s="234"/>
    </row>
    <row r="2243" ht="15.75" customHeight="1">
      <c r="A2243" s="234"/>
      <c r="B2243" s="234"/>
      <c r="C2243" s="234"/>
      <c r="D2243" s="234"/>
      <c r="E2243" s="234"/>
      <c r="F2243" s="234"/>
      <c r="G2243" s="234"/>
      <c r="H2243" s="234"/>
      <c r="I2243" s="234"/>
      <c r="J2243" s="234"/>
    </row>
    <row r="2244" ht="15.75" customHeight="1">
      <c r="A2244" s="234"/>
      <c r="B2244" s="234"/>
      <c r="C2244" s="234"/>
      <c r="D2244" s="234"/>
      <c r="E2244" s="234"/>
      <c r="F2244" s="234"/>
      <c r="G2244" s="234"/>
      <c r="H2244" s="234"/>
      <c r="I2244" s="234"/>
      <c r="J2244" s="234"/>
    </row>
    <row r="2245" ht="15.75" customHeight="1">
      <c r="A2245" s="234"/>
      <c r="B2245" s="234"/>
      <c r="C2245" s="234"/>
      <c r="D2245" s="234"/>
      <c r="E2245" s="234"/>
      <c r="F2245" s="234"/>
      <c r="G2245" s="234"/>
      <c r="H2245" s="234"/>
      <c r="I2245" s="234"/>
      <c r="J2245" s="234"/>
    </row>
    <row r="2246" ht="15.75" customHeight="1">
      <c r="A2246" s="234"/>
      <c r="B2246" s="234"/>
      <c r="C2246" s="234"/>
      <c r="D2246" s="234"/>
      <c r="E2246" s="234"/>
      <c r="F2246" s="234"/>
      <c r="G2246" s="234"/>
      <c r="H2246" s="234"/>
      <c r="I2246" s="234"/>
      <c r="J2246" s="234"/>
    </row>
    <row r="2247" ht="15.75" customHeight="1">
      <c r="A2247" s="234"/>
      <c r="B2247" s="234"/>
      <c r="C2247" s="234"/>
      <c r="D2247" s="234"/>
      <c r="E2247" s="234"/>
      <c r="F2247" s="234"/>
      <c r="G2247" s="234"/>
      <c r="H2247" s="234"/>
      <c r="I2247" s="234"/>
      <c r="J2247" s="234"/>
    </row>
    <row r="2248" ht="15.75" customHeight="1">
      <c r="A2248" s="234"/>
      <c r="B2248" s="234"/>
      <c r="C2248" s="234"/>
      <c r="D2248" s="234"/>
      <c r="E2248" s="234"/>
      <c r="F2248" s="234"/>
      <c r="G2248" s="234"/>
      <c r="H2248" s="234"/>
      <c r="I2248" s="234"/>
      <c r="J2248" s="234"/>
    </row>
    <row r="2249" ht="15.75" customHeight="1">
      <c r="A2249" s="234"/>
      <c r="B2249" s="234"/>
      <c r="C2249" s="234"/>
      <c r="D2249" s="234"/>
      <c r="E2249" s="234"/>
      <c r="F2249" s="234"/>
      <c r="G2249" s="234"/>
      <c r="H2249" s="234"/>
      <c r="I2249" s="234"/>
      <c r="J2249" s="234"/>
    </row>
    <row r="2250" ht="15.75" customHeight="1">
      <c r="A2250" s="234"/>
      <c r="B2250" s="234"/>
      <c r="C2250" s="234"/>
      <c r="D2250" s="234"/>
      <c r="E2250" s="234"/>
      <c r="F2250" s="234"/>
      <c r="G2250" s="234"/>
      <c r="H2250" s="234"/>
      <c r="I2250" s="234"/>
      <c r="J2250" s="234"/>
    </row>
    <row r="2251" ht="15.75" customHeight="1">
      <c r="A2251" s="234"/>
      <c r="B2251" s="234"/>
      <c r="C2251" s="234"/>
      <c r="D2251" s="234"/>
      <c r="E2251" s="234"/>
      <c r="F2251" s="234"/>
      <c r="G2251" s="234"/>
      <c r="H2251" s="234"/>
      <c r="I2251" s="234"/>
      <c r="J2251" s="234"/>
    </row>
    <row r="2252" ht="15.75" customHeight="1">
      <c r="A2252" s="234"/>
      <c r="B2252" s="234"/>
      <c r="C2252" s="234"/>
      <c r="D2252" s="234"/>
      <c r="E2252" s="234"/>
      <c r="F2252" s="234"/>
      <c r="G2252" s="234"/>
      <c r="H2252" s="234"/>
      <c r="I2252" s="234"/>
      <c r="J2252" s="234"/>
    </row>
    <row r="2253" ht="15.75" customHeight="1">
      <c r="A2253" s="234"/>
      <c r="B2253" s="234"/>
      <c r="C2253" s="234"/>
      <c r="D2253" s="234"/>
      <c r="E2253" s="234"/>
      <c r="F2253" s="234"/>
      <c r="G2253" s="234"/>
      <c r="H2253" s="234"/>
      <c r="I2253" s="234"/>
      <c r="J2253" s="234"/>
    </row>
    <row r="2254" ht="15.75" customHeight="1">
      <c r="A2254" s="234"/>
      <c r="B2254" s="234"/>
      <c r="C2254" s="234"/>
      <c r="D2254" s="234"/>
      <c r="E2254" s="234"/>
      <c r="F2254" s="234"/>
      <c r="G2254" s="234"/>
      <c r="H2254" s="234"/>
      <c r="I2254" s="234"/>
      <c r="J2254" s="234"/>
    </row>
    <row r="2255" ht="15.75" customHeight="1">
      <c r="A2255" s="234"/>
      <c r="B2255" s="234"/>
      <c r="C2255" s="234"/>
      <c r="D2255" s="234"/>
      <c r="E2255" s="234"/>
      <c r="F2255" s="234"/>
      <c r="G2255" s="234"/>
      <c r="H2255" s="234"/>
      <c r="I2255" s="234"/>
      <c r="J2255" s="234"/>
    </row>
    <row r="2256" ht="15.75" customHeight="1">
      <c r="A2256" s="234"/>
      <c r="B2256" s="234"/>
      <c r="C2256" s="234"/>
      <c r="D2256" s="234"/>
      <c r="E2256" s="234"/>
      <c r="F2256" s="234"/>
      <c r="G2256" s="234"/>
      <c r="H2256" s="234"/>
      <c r="I2256" s="234"/>
      <c r="J2256" s="234"/>
    </row>
    <row r="2257" ht="15.75" customHeight="1">
      <c r="A2257" s="234"/>
      <c r="B2257" s="234"/>
      <c r="C2257" s="234"/>
      <c r="D2257" s="234"/>
      <c r="E2257" s="234"/>
      <c r="F2257" s="234"/>
      <c r="G2257" s="234"/>
      <c r="H2257" s="234"/>
      <c r="I2257" s="234"/>
      <c r="J2257" s="234"/>
    </row>
    <row r="2258" ht="15.75" customHeight="1">
      <c r="A2258" s="234"/>
      <c r="B2258" s="234"/>
      <c r="C2258" s="234"/>
      <c r="D2258" s="234"/>
      <c r="E2258" s="234"/>
      <c r="F2258" s="234"/>
      <c r="G2258" s="234"/>
      <c r="H2258" s="234"/>
      <c r="I2258" s="234"/>
      <c r="J2258" s="234"/>
    </row>
    <row r="2259" ht="15.75" customHeight="1">
      <c r="A2259" s="234"/>
      <c r="B2259" s="234"/>
      <c r="C2259" s="234"/>
      <c r="D2259" s="234"/>
      <c r="E2259" s="234"/>
      <c r="F2259" s="234"/>
      <c r="G2259" s="234"/>
      <c r="H2259" s="234"/>
      <c r="I2259" s="234"/>
      <c r="J2259" s="234"/>
    </row>
    <row r="2260" ht="15.75" customHeight="1">
      <c r="A2260" s="234"/>
      <c r="B2260" s="234"/>
      <c r="C2260" s="234"/>
      <c r="D2260" s="234"/>
      <c r="E2260" s="234"/>
      <c r="F2260" s="234"/>
      <c r="G2260" s="234"/>
      <c r="H2260" s="234"/>
      <c r="I2260" s="234"/>
      <c r="J2260" s="234"/>
    </row>
    <row r="2261" ht="15.75" customHeight="1">
      <c r="A2261" s="234"/>
      <c r="B2261" s="234"/>
      <c r="C2261" s="234"/>
      <c r="D2261" s="234"/>
      <c r="E2261" s="234"/>
      <c r="F2261" s="234"/>
      <c r="G2261" s="234"/>
      <c r="H2261" s="234"/>
      <c r="I2261" s="234"/>
      <c r="J2261" s="234"/>
    </row>
    <row r="2262" ht="15.75" customHeight="1">
      <c r="A2262" s="234"/>
      <c r="B2262" s="234"/>
      <c r="C2262" s="234"/>
      <c r="D2262" s="234"/>
      <c r="E2262" s="234"/>
      <c r="F2262" s="234"/>
      <c r="G2262" s="234"/>
      <c r="H2262" s="234"/>
      <c r="I2262" s="234"/>
      <c r="J2262" s="234"/>
    </row>
    <row r="2263" ht="15.75" customHeight="1">
      <c r="A2263" s="234"/>
      <c r="B2263" s="234"/>
      <c r="C2263" s="234"/>
      <c r="D2263" s="234"/>
      <c r="E2263" s="234"/>
      <c r="F2263" s="234"/>
      <c r="G2263" s="234"/>
      <c r="H2263" s="234"/>
      <c r="I2263" s="234"/>
      <c r="J2263" s="234"/>
    </row>
    <row r="2264" ht="15.75" customHeight="1">
      <c r="A2264" s="234"/>
      <c r="B2264" s="234"/>
      <c r="C2264" s="234"/>
      <c r="D2264" s="234"/>
      <c r="E2264" s="234"/>
      <c r="F2264" s="234"/>
      <c r="G2264" s="234"/>
      <c r="H2264" s="234"/>
      <c r="I2264" s="234"/>
      <c r="J2264" s="234"/>
    </row>
    <row r="2265" ht="15.75" customHeight="1">
      <c r="A2265" s="234"/>
      <c r="B2265" s="234"/>
      <c r="C2265" s="234"/>
      <c r="D2265" s="234"/>
      <c r="E2265" s="234"/>
      <c r="F2265" s="234"/>
      <c r="G2265" s="234"/>
      <c r="H2265" s="234"/>
      <c r="I2265" s="234"/>
      <c r="J2265" s="234"/>
    </row>
    <row r="2266" ht="15.75" customHeight="1">
      <c r="A2266" s="234"/>
      <c r="B2266" s="234"/>
      <c r="C2266" s="234"/>
      <c r="D2266" s="234"/>
      <c r="E2266" s="234"/>
      <c r="F2266" s="234"/>
      <c r="G2266" s="234"/>
      <c r="H2266" s="234"/>
      <c r="I2266" s="234"/>
      <c r="J2266" s="234"/>
    </row>
    <row r="2267" ht="15.75" customHeight="1">
      <c r="A2267" s="234"/>
      <c r="B2267" s="234"/>
      <c r="C2267" s="234"/>
      <c r="D2267" s="234"/>
      <c r="E2267" s="234"/>
      <c r="F2267" s="234"/>
      <c r="G2267" s="234"/>
      <c r="H2267" s="234"/>
      <c r="I2267" s="234"/>
      <c r="J2267" s="234"/>
    </row>
    <row r="2268" ht="15.75" customHeight="1">
      <c r="A2268" s="234"/>
      <c r="B2268" s="234"/>
      <c r="C2268" s="234"/>
      <c r="D2268" s="234"/>
      <c r="E2268" s="234"/>
      <c r="F2268" s="234"/>
      <c r="G2268" s="234"/>
      <c r="H2268" s="234"/>
      <c r="I2268" s="234"/>
      <c r="J2268" s="234"/>
    </row>
    <row r="2269" ht="15.75" customHeight="1">
      <c r="A2269" s="234"/>
      <c r="B2269" s="234"/>
      <c r="C2269" s="234"/>
      <c r="D2269" s="234"/>
      <c r="E2269" s="234"/>
      <c r="F2269" s="234"/>
      <c r="G2269" s="234"/>
      <c r="H2269" s="234"/>
      <c r="I2269" s="234"/>
      <c r="J2269" s="234"/>
    </row>
    <row r="2270" ht="15.75" customHeight="1">
      <c r="A2270" s="234"/>
      <c r="B2270" s="234"/>
      <c r="C2270" s="234"/>
      <c r="D2270" s="234"/>
      <c r="E2270" s="234"/>
      <c r="F2270" s="234"/>
      <c r="G2270" s="234"/>
      <c r="H2270" s="234"/>
      <c r="I2270" s="234"/>
      <c r="J2270" s="234"/>
    </row>
    <row r="2271" ht="15.75" customHeight="1">
      <c r="A2271" s="234"/>
      <c r="B2271" s="234"/>
      <c r="C2271" s="234"/>
      <c r="D2271" s="234"/>
      <c r="E2271" s="234"/>
      <c r="F2271" s="234"/>
      <c r="G2271" s="234"/>
      <c r="H2271" s="234"/>
      <c r="I2271" s="234"/>
      <c r="J2271" s="234"/>
    </row>
    <row r="2272" ht="15.75" customHeight="1">
      <c r="A2272" s="234"/>
      <c r="B2272" s="234"/>
      <c r="C2272" s="234"/>
      <c r="D2272" s="234"/>
      <c r="E2272" s="234"/>
      <c r="F2272" s="234"/>
      <c r="G2272" s="234"/>
      <c r="H2272" s="234"/>
      <c r="I2272" s="234"/>
      <c r="J2272" s="234"/>
    </row>
    <row r="2273" ht="15.75" customHeight="1">
      <c r="A2273" s="234"/>
      <c r="B2273" s="234"/>
      <c r="C2273" s="234"/>
      <c r="D2273" s="234"/>
      <c r="E2273" s="234"/>
      <c r="F2273" s="234"/>
      <c r="G2273" s="234"/>
      <c r="H2273" s="234"/>
      <c r="I2273" s="234"/>
      <c r="J2273" s="234"/>
    </row>
    <row r="2274" ht="15.75" customHeight="1">
      <c r="A2274" s="234"/>
      <c r="B2274" s="234"/>
      <c r="C2274" s="234"/>
      <c r="D2274" s="234"/>
      <c r="E2274" s="234"/>
      <c r="F2274" s="234"/>
      <c r="G2274" s="234"/>
      <c r="H2274" s="234"/>
      <c r="I2274" s="234"/>
      <c r="J2274" s="234"/>
    </row>
    <row r="2275" ht="15.75" customHeight="1">
      <c r="A2275" s="234"/>
      <c r="B2275" s="234"/>
      <c r="C2275" s="234"/>
      <c r="D2275" s="234"/>
      <c r="E2275" s="234"/>
      <c r="F2275" s="234"/>
      <c r="G2275" s="234"/>
      <c r="H2275" s="234"/>
      <c r="I2275" s="234"/>
      <c r="J2275" s="234"/>
    </row>
    <row r="2276" ht="15.75" customHeight="1">
      <c r="A2276" s="234"/>
      <c r="B2276" s="234"/>
      <c r="C2276" s="234"/>
      <c r="D2276" s="234"/>
      <c r="E2276" s="234"/>
      <c r="F2276" s="234"/>
      <c r="G2276" s="234"/>
      <c r="H2276" s="234"/>
      <c r="I2276" s="234"/>
      <c r="J2276" s="234"/>
    </row>
    <row r="2277" ht="15.75" customHeight="1">
      <c r="A2277" s="234"/>
      <c r="B2277" s="234"/>
      <c r="C2277" s="234"/>
      <c r="D2277" s="234"/>
      <c r="E2277" s="234"/>
      <c r="F2277" s="234"/>
      <c r="G2277" s="234"/>
      <c r="H2277" s="234"/>
      <c r="I2277" s="234"/>
      <c r="J2277" s="234"/>
    </row>
    <row r="2278" ht="15.75" customHeight="1">
      <c r="A2278" s="234"/>
      <c r="B2278" s="234"/>
      <c r="C2278" s="234"/>
      <c r="D2278" s="234"/>
      <c r="E2278" s="234"/>
      <c r="F2278" s="234"/>
      <c r="G2278" s="234"/>
      <c r="H2278" s="234"/>
      <c r="I2278" s="234"/>
      <c r="J2278" s="234"/>
    </row>
    <row r="2279" ht="15.75" customHeight="1">
      <c r="A2279" s="234"/>
      <c r="B2279" s="234"/>
      <c r="C2279" s="234"/>
      <c r="D2279" s="234"/>
      <c r="E2279" s="234"/>
      <c r="F2279" s="234"/>
      <c r="G2279" s="234"/>
      <c r="H2279" s="234"/>
      <c r="I2279" s="234"/>
      <c r="J2279" s="234"/>
    </row>
    <row r="2280" ht="15.75" customHeight="1">
      <c r="A2280" s="234"/>
      <c r="B2280" s="234"/>
      <c r="C2280" s="234"/>
      <c r="D2280" s="234"/>
      <c r="E2280" s="234"/>
      <c r="F2280" s="234"/>
      <c r="G2280" s="234"/>
      <c r="H2280" s="234"/>
      <c r="I2280" s="234"/>
      <c r="J2280" s="234"/>
    </row>
    <row r="2281" ht="15.75" customHeight="1">
      <c r="A2281" s="234"/>
      <c r="B2281" s="234"/>
      <c r="C2281" s="234"/>
      <c r="D2281" s="234"/>
      <c r="E2281" s="234"/>
      <c r="F2281" s="234"/>
      <c r="G2281" s="234"/>
      <c r="H2281" s="234"/>
      <c r="I2281" s="234"/>
      <c r="J2281" s="234"/>
    </row>
    <row r="2282" ht="15.75" customHeight="1">
      <c r="A2282" s="234"/>
      <c r="B2282" s="234"/>
      <c r="C2282" s="234"/>
      <c r="D2282" s="234"/>
      <c r="E2282" s="234"/>
      <c r="F2282" s="234"/>
      <c r="G2282" s="234"/>
      <c r="H2282" s="234"/>
      <c r="I2282" s="234"/>
      <c r="J2282" s="234"/>
    </row>
    <row r="2283" ht="15.75" customHeight="1">
      <c r="A2283" s="234"/>
      <c r="B2283" s="234"/>
      <c r="C2283" s="234"/>
      <c r="D2283" s="234"/>
      <c r="E2283" s="234"/>
      <c r="F2283" s="234"/>
      <c r="G2283" s="234"/>
      <c r="H2283" s="234"/>
      <c r="I2283" s="234"/>
      <c r="J2283" s="234"/>
    </row>
    <row r="2284" ht="15.75" customHeight="1">
      <c r="A2284" s="234"/>
      <c r="B2284" s="234"/>
      <c r="C2284" s="234"/>
      <c r="D2284" s="234"/>
      <c r="E2284" s="234"/>
      <c r="F2284" s="234"/>
      <c r="G2284" s="234"/>
      <c r="H2284" s="234"/>
      <c r="I2284" s="234"/>
      <c r="J2284" s="234"/>
    </row>
    <row r="2285" ht="15.75" customHeight="1">
      <c r="A2285" s="234"/>
      <c r="B2285" s="234"/>
      <c r="C2285" s="234"/>
      <c r="D2285" s="234"/>
      <c r="E2285" s="234"/>
      <c r="F2285" s="234"/>
      <c r="G2285" s="234"/>
      <c r="H2285" s="234"/>
      <c r="I2285" s="234"/>
      <c r="J2285" s="234"/>
    </row>
    <row r="2286" ht="15.75" customHeight="1">
      <c r="A2286" s="234"/>
      <c r="B2286" s="234"/>
      <c r="C2286" s="234"/>
      <c r="D2286" s="234"/>
      <c r="E2286" s="234"/>
      <c r="F2286" s="234"/>
      <c r="G2286" s="234"/>
      <c r="H2286" s="234"/>
      <c r="I2286" s="234"/>
      <c r="J2286" s="234"/>
    </row>
    <row r="2287" ht="15.75" customHeight="1">
      <c r="A2287" s="234"/>
      <c r="B2287" s="234"/>
      <c r="C2287" s="234"/>
      <c r="D2287" s="234"/>
      <c r="E2287" s="234"/>
      <c r="F2287" s="234"/>
      <c r="G2287" s="234"/>
      <c r="H2287" s="234"/>
      <c r="I2287" s="234"/>
      <c r="J2287" s="234"/>
    </row>
    <row r="2288" ht="15.75" customHeight="1">
      <c r="A2288" s="234"/>
      <c r="B2288" s="234"/>
      <c r="C2288" s="234"/>
      <c r="D2288" s="234"/>
      <c r="E2288" s="234"/>
      <c r="F2288" s="234"/>
      <c r="G2288" s="234"/>
      <c r="H2288" s="234"/>
      <c r="I2288" s="234"/>
      <c r="J2288" s="234"/>
    </row>
    <row r="2289" ht="15.75" customHeight="1">
      <c r="A2289" s="234"/>
      <c r="B2289" s="234"/>
      <c r="C2289" s="234"/>
      <c r="D2289" s="234"/>
      <c r="E2289" s="234"/>
      <c r="F2289" s="234"/>
      <c r="G2289" s="234"/>
      <c r="H2289" s="234"/>
      <c r="I2289" s="234"/>
      <c r="J2289" s="234"/>
    </row>
    <row r="2290" ht="15.75" customHeight="1">
      <c r="A2290" s="234"/>
      <c r="B2290" s="234"/>
      <c r="C2290" s="234"/>
      <c r="D2290" s="234"/>
      <c r="E2290" s="234"/>
      <c r="F2290" s="234"/>
      <c r="G2290" s="234"/>
      <c r="H2290" s="234"/>
      <c r="I2290" s="234"/>
      <c r="J2290" s="234"/>
    </row>
    <row r="2291" ht="15.75" customHeight="1">
      <c r="A2291" s="234"/>
      <c r="B2291" s="234"/>
      <c r="C2291" s="234"/>
      <c r="D2291" s="234"/>
      <c r="E2291" s="234"/>
      <c r="F2291" s="234"/>
      <c r="G2291" s="234"/>
      <c r="H2291" s="234"/>
      <c r="I2291" s="234"/>
      <c r="J2291" s="234"/>
    </row>
    <row r="2292" ht="15.75" customHeight="1">
      <c r="A2292" s="234"/>
      <c r="B2292" s="234"/>
      <c r="C2292" s="234"/>
      <c r="D2292" s="234"/>
      <c r="E2292" s="234"/>
      <c r="F2292" s="234"/>
      <c r="G2292" s="234"/>
      <c r="H2292" s="234"/>
      <c r="I2292" s="234"/>
      <c r="J2292" s="234"/>
    </row>
    <row r="2293" ht="15.75" customHeight="1">
      <c r="A2293" s="234"/>
      <c r="B2293" s="234"/>
      <c r="C2293" s="234"/>
      <c r="D2293" s="234"/>
      <c r="E2293" s="234"/>
      <c r="F2293" s="234"/>
      <c r="G2293" s="234"/>
      <c r="H2293" s="234"/>
      <c r="I2293" s="234"/>
      <c r="J2293" s="234"/>
    </row>
    <row r="2294" ht="15.75" customHeight="1">
      <c r="A2294" s="234"/>
      <c r="B2294" s="234"/>
      <c r="C2294" s="234"/>
      <c r="D2294" s="234"/>
      <c r="E2294" s="234"/>
      <c r="F2294" s="234"/>
      <c r="G2294" s="234"/>
      <c r="H2294" s="234"/>
      <c r="I2294" s="234"/>
      <c r="J2294" s="234"/>
    </row>
    <row r="2295" ht="15.75" customHeight="1">
      <c r="A2295" s="234"/>
      <c r="B2295" s="234"/>
      <c r="C2295" s="234"/>
      <c r="D2295" s="234"/>
      <c r="E2295" s="234"/>
      <c r="F2295" s="234"/>
      <c r="G2295" s="234"/>
      <c r="H2295" s="234"/>
      <c r="I2295" s="234"/>
      <c r="J2295" s="234"/>
    </row>
    <row r="2296" ht="15.75" customHeight="1">
      <c r="A2296" s="234"/>
      <c r="B2296" s="234"/>
      <c r="C2296" s="234"/>
      <c r="D2296" s="234"/>
      <c r="E2296" s="234"/>
      <c r="F2296" s="234"/>
      <c r="G2296" s="234"/>
      <c r="H2296" s="234"/>
      <c r="I2296" s="234"/>
      <c r="J2296" s="234"/>
    </row>
    <row r="2297" ht="15.75" customHeight="1">
      <c r="A2297" s="234"/>
      <c r="B2297" s="234"/>
      <c r="C2297" s="234"/>
      <c r="D2297" s="234"/>
      <c r="E2297" s="234"/>
      <c r="F2297" s="234"/>
      <c r="G2297" s="234"/>
      <c r="H2297" s="234"/>
      <c r="I2297" s="234"/>
      <c r="J2297" s="234"/>
    </row>
    <row r="2298" ht="15.75" customHeight="1">
      <c r="A2298" s="234"/>
      <c r="B2298" s="234"/>
      <c r="C2298" s="234"/>
      <c r="D2298" s="234"/>
      <c r="E2298" s="234"/>
      <c r="F2298" s="234"/>
      <c r="G2298" s="234"/>
      <c r="H2298" s="234"/>
      <c r="I2298" s="234"/>
      <c r="J2298" s="234"/>
    </row>
    <row r="2299" ht="15.75" customHeight="1">
      <c r="A2299" s="234"/>
      <c r="B2299" s="234"/>
      <c r="C2299" s="234"/>
      <c r="D2299" s="234"/>
      <c r="E2299" s="234"/>
      <c r="F2299" s="234"/>
      <c r="G2299" s="234"/>
      <c r="H2299" s="234"/>
      <c r="I2299" s="234"/>
      <c r="J2299" s="234"/>
    </row>
    <row r="2300" ht="15.75" customHeight="1">
      <c r="A2300" s="234"/>
      <c r="B2300" s="234"/>
      <c r="C2300" s="234"/>
      <c r="D2300" s="234"/>
      <c r="E2300" s="234"/>
      <c r="F2300" s="234"/>
      <c r="G2300" s="234"/>
      <c r="H2300" s="234"/>
      <c r="I2300" s="234"/>
      <c r="J2300" s="234"/>
    </row>
    <row r="2301" ht="15.75" customHeight="1">
      <c r="A2301" s="234"/>
      <c r="B2301" s="234"/>
      <c r="C2301" s="234"/>
      <c r="D2301" s="234"/>
      <c r="E2301" s="234"/>
      <c r="F2301" s="234"/>
      <c r="G2301" s="234"/>
      <c r="H2301" s="234"/>
      <c r="I2301" s="234"/>
      <c r="J2301" s="234"/>
    </row>
    <row r="2302" ht="15.75" customHeight="1">
      <c r="A2302" s="234"/>
      <c r="B2302" s="234"/>
      <c r="C2302" s="234"/>
      <c r="D2302" s="234"/>
      <c r="E2302" s="234"/>
      <c r="F2302" s="234"/>
      <c r="G2302" s="234"/>
      <c r="H2302" s="234"/>
      <c r="I2302" s="234"/>
      <c r="J2302" s="234"/>
    </row>
    <row r="2303" ht="15.75" customHeight="1">
      <c r="A2303" s="234"/>
      <c r="B2303" s="234"/>
      <c r="C2303" s="234"/>
      <c r="D2303" s="234"/>
      <c r="E2303" s="234"/>
      <c r="F2303" s="234"/>
      <c r="G2303" s="234"/>
      <c r="H2303" s="234"/>
      <c r="I2303" s="234"/>
      <c r="J2303" s="234"/>
    </row>
    <row r="2304" ht="15.75" customHeight="1">
      <c r="A2304" s="234"/>
      <c r="B2304" s="234"/>
      <c r="C2304" s="234"/>
      <c r="D2304" s="234"/>
      <c r="E2304" s="234"/>
      <c r="F2304" s="234"/>
      <c r="G2304" s="234"/>
      <c r="H2304" s="234"/>
      <c r="I2304" s="234"/>
      <c r="J2304" s="234"/>
    </row>
    <row r="2305" ht="15.75" customHeight="1">
      <c r="A2305" s="234"/>
      <c r="B2305" s="234"/>
      <c r="C2305" s="234"/>
      <c r="D2305" s="234"/>
      <c r="E2305" s="234"/>
      <c r="F2305" s="234"/>
      <c r="G2305" s="234"/>
      <c r="H2305" s="234"/>
      <c r="I2305" s="234"/>
      <c r="J2305" s="234"/>
    </row>
    <row r="2306" ht="15.75" customHeight="1">
      <c r="A2306" s="234"/>
      <c r="B2306" s="234"/>
      <c r="C2306" s="234"/>
      <c r="D2306" s="234"/>
      <c r="E2306" s="234"/>
      <c r="F2306" s="234"/>
      <c r="G2306" s="234"/>
      <c r="H2306" s="234"/>
      <c r="I2306" s="234"/>
      <c r="J2306" s="234"/>
    </row>
    <row r="2307" ht="15.75" customHeight="1">
      <c r="A2307" s="234"/>
      <c r="B2307" s="234"/>
      <c r="C2307" s="234"/>
      <c r="D2307" s="234"/>
      <c r="E2307" s="234"/>
      <c r="F2307" s="234"/>
      <c r="G2307" s="234"/>
      <c r="H2307" s="234"/>
      <c r="I2307" s="234"/>
      <c r="J2307" s="234"/>
    </row>
    <row r="2308" ht="15.75" customHeight="1">
      <c r="A2308" s="234"/>
      <c r="B2308" s="234"/>
      <c r="C2308" s="234"/>
      <c r="D2308" s="234"/>
      <c r="E2308" s="234"/>
      <c r="F2308" s="234"/>
      <c r="G2308" s="234"/>
      <c r="H2308" s="234"/>
      <c r="I2308" s="234"/>
      <c r="J2308" s="234"/>
    </row>
    <row r="2309" ht="15.75" customHeight="1">
      <c r="A2309" s="234"/>
      <c r="B2309" s="234"/>
      <c r="C2309" s="234"/>
      <c r="D2309" s="234"/>
      <c r="E2309" s="234"/>
      <c r="F2309" s="234"/>
      <c r="G2309" s="234"/>
      <c r="H2309" s="234"/>
      <c r="I2309" s="234"/>
      <c r="J2309" s="234"/>
    </row>
    <row r="2310" ht="15.75" customHeight="1">
      <c r="A2310" s="234"/>
      <c r="B2310" s="234"/>
      <c r="C2310" s="234"/>
      <c r="D2310" s="234"/>
      <c r="E2310" s="234"/>
      <c r="F2310" s="234"/>
      <c r="G2310" s="234"/>
      <c r="H2310" s="234"/>
      <c r="I2310" s="234"/>
      <c r="J2310" s="234"/>
    </row>
    <row r="2311" ht="15.75" customHeight="1">
      <c r="A2311" s="234"/>
      <c r="B2311" s="234"/>
      <c r="C2311" s="234"/>
      <c r="D2311" s="234"/>
      <c r="E2311" s="234"/>
      <c r="F2311" s="234"/>
      <c r="G2311" s="234"/>
      <c r="H2311" s="234"/>
      <c r="I2311" s="234"/>
      <c r="J2311" s="234"/>
    </row>
    <row r="2312" ht="15.75" customHeight="1">
      <c r="A2312" s="234"/>
      <c r="B2312" s="234"/>
      <c r="C2312" s="234"/>
      <c r="D2312" s="234"/>
      <c r="E2312" s="234"/>
      <c r="F2312" s="234"/>
      <c r="G2312" s="234"/>
      <c r="H2312" s="234"/>
      <c r="I2312" s="234"/>
      <c r="J2312" s="234"/>
    </row>
    <row r="2313" ht="15.75" customHeight="1">
      <c r="A2313" s="234"/>
      <c r="B2313" s="234"/>
      <c r="C2313" s="234"/>
      <c r="D2313" s="234"/>
      <c r="E2313" s="234"/>
      <c r="F2313" s="234"/>
      <c r="G2313" s="234"/>
      <c r="H2313" s="234"/>
      <c r="I2313" s="234"/>
      <c r="J2313" s="234"/>
    </row>
    <row r="2314" ht="15.75" customHeight="1">
      <c r="A2314" s="234"/>
      <c r="B2314" s="234"/>
      <c r="C2314" s="234"/>
      <c r="D2314" s="234"/>
      <c r="E2314" s="234"/>
      <c r="F2314" s="234"/>
      <c r="G2314" s="234"/>
      <c r="H2314" s="234"/>
      <c r="I2314" s="234"/>
      <c r="J2314" s="234"/>
    </row>
    <row r="2315" ht="15.75" customHeight="1">
      <c r="A2315" s="234"/>
      <c r="B2315" s="234"/>
      <c r="C2315" s="234"/>
      <c r="D2315" s="234"/>
      <c r="E2315" s="234"/>
      <c r="F2315" s="234"/>
      <c r="G2315" s="234"/>
      <c r="H2315" s="234"/>
      <c r="I2315" s="234"/>
      <c r="J2315" s="234"/>
    </row>
    <row r="2316" ht="15.75" customHeight="1">
      <c r="A2316" s="234"/>
      <c r="B2316" s="234"/>
      <c r="C2316" s="234"/>
      <c r="D2316" s="234"/>
      <c r="E2316" s="234"/>
      <c r="F2316" s="234"/>
      <c r="G2316" s="234"/>
      <c r="H2316" s="234"/>
      <c r="I2316" s="234"/>
      <c r="J2316" s="234"/>
    </row>
    <row r="2317" ht="15.75" customHeight="1">
      <c r="A2317" s="234"/>
      <c r="B2317" s="234"/>
      <c r="C2317" s="234"/>
      <c r="D2317" s="234"/>
      <c r="E2317" s="234"/>
      <c r="F2317" s="234"/>
      <c r="G2317" s="234"/>
      <c r="H2317" s="234"/>
      <c r="I2317" s="234"/>
      <c r="J2317" s="234"/>
    </row>
    <row r="2318" ht="15.75" customHeight="1">
      <c r="A2318" s="234"/>
      <c r="B2318" s="234"/>
      <c r="C2318" s="234"/>
      <c r="D2318" s="234"/>
      <c r="E2318" s="234"/>
      <c r="F2318" s="234"/>
      <c r="G2318" s="234"/>
      <c r="H2318" s="234"/>
      <c r="I2318" s="234"/>
      <c r="J2318" s="234"/>
    </row>
    <row r="2319" ht="15.75" customHeight="1">
      <c r="A2319" s="234"/>
      <c r="B2319" s="234"/>
      <c r="C2319" s="234"/>
      <c r="D2319" s="234"/>
      <c r="E2319" s="234"/>
      <c r="F2319" s="234"/>
      <c r="G2319" s="234"/>
      <c r="H2319" s="234"/>
      <c r="I2319" s="234"/>
      <c r="J2319" s="234"/>
    </row>
    <row r="2320" ht="15.75" customHeight="1">
      <c r="A2320" s="234"/>
      <c r="B2320" s="234"/>
      <c r="C2320" s="234"/>
      <c r="D2320" s="234"/>
      <c r="E2320" s="234"/>
      <c r="F2320" s="234"/>
      <c r="G2320" s="234"/>
      <c r="H2320" s="234"/>
      <c r="I2320" s="234"/>
      <c r="J2320" s="234"/>
    </row>
    <row r="2321" ht="15.75" customHeight="1">
      <c r="A2321" s="234"/>
      <c r="B2321" s="234"/>
      <c r="C2321" s="234"/>
      <c r="D2321" s="234"/>
      <c r="E2321" s="234"/>
      <c r="F2321" s="234"/>
      <c r="G2321" s="234"/>
      <c r="H2321" s="234"/>
      <c r="I2321" s="234"/>
      <c r="J2321" s="234"/>
    </row>
    <row r="2322" ht="15.75" customHeight="1">
      <c r="A2322" s="234"/>
      <c r="B2322" s="234"/>
      <c r="C2322" s="234"/>
      <c r="D2322" s="234"/>
      <c r="E2322" s="234"/>
      <c r="F2322" s="234"/>
      <c r="G2322" s="234"/>
      <c r="H2322" s="234"/>
      <c r="I2322" s="234"/>
      <c r="J2322" s="234"/>
    </row>
    <row r="2323" ht="15.75" customHeight="1">
      <c r="A2323" s="234"/>
      <c r="B2323" s="234"/>
      <c r="C2323" s="234"/>
      <c r="D2323" s="234"/>
      <c r="E2323" s="234"/>
      <c r="F2323" s="234"/>
      <c r="G2323" s="234"/>
      <c r="H2323" s="234"/>
      <c r="I2323" s="234"/>
      <c r="J2323" s="234"/>
    </row>
    <row r="2324" ht="15.75" customHeight="1">
      <c r="A2324" s="234"/>
      <c r="B2324" s="234"/>
      <c r="C2324" s="234"/>
      <c r="D2324" s="234"/>
      <c r="E2324" s="234"/>
      <c r="F2324" s="234"/>
      <c r="G2324" s="234"/>
      <c r="H2324" s="234"/>
      <c r="I2324" s="234"/>
      <c r="J2324" s="234"/>
    </row>
    <row r="2325" ht="15.75" customHeight="1">
      <c r="A2325" s="234"/>
      <c r="B2325" s="234"/>
      <c r="C2325" s="234"/>
      <c r="D2325" s="234"/>
      <c r="E2325" s="234"/>
      <c r="F2325" s="234"/>
      <c r="G2325" s="234"/>
      <c r="H2325" s="234"/>
      <c r="I2325" s="234"/>
      <c r="J2325" s="234"/>
    </row>
    <row r="2326" ht="15.75" customHeight="1">
      <c r="A2326" s="234"/>
      <c r="B2326" s="234"/>
      <c r="C2326" s="234"/>
      <c r="D2326" s="234"/>
      <c r="E2326" s="234"/>
      <c r="F2326" s="234"/>
      <c r="G2326" s="234"/>
      <c r="H2326" s="234"/>
      <c r="I2326" s="234"/>
      <c r="J2326" s="234"/>
    </row>
    <row r="2327" ht="15.75" customHeight="1">
      <c r="A2327" s="234"/>
      <c r="B2327" s="234"/>
      <c r="C2327" s="234"/>
      <c r="D2327" s="234"/>
      <c r="E2327" s="234"/>
      <c r="F2327" s="234"/>
      <c r="G2327" s="234"/>
      <c r="H2327" s="234"/>
      <c r="I2327" s="234"/>
      <c r="J2327" s="234"/>
    </row>
    <row r="2328" ht="15.75" customHeight="1">
      <c r="A2328" s="234"/>
      <c r="B2328" s="234"/>
      <c r="C2328" s="234"/>
      <c r="D2328" s="234"/>
      <c r="E2328" s="234"/>
      <c r="F2328" s="234"/>
      <c r="G2328" s="234"/>
      <c r="H2328" s="234"/>
      <c r="I2328" s="234"/>
      <c r="J2328" s="234"/>
    </row>
    <row r="2329" ht="15.75" customHeight="1">
      <c r="A2329" s="234"/>
      <c r="B2329" s="234"/>
      <c r="C2329" s="234"/>
      <c r="D2329" s="234"/>
      <c r="E2329" s="234"/>
      <c r="F2329" s="234"/>
      <c r="G2329" s="234"/>
      <c r="H2329" s="234"/>
      <c r="I2329" s="234"/>
      <c r="J2329" s="234"/>
    </row>
    <row r="2330" ht="15.75" customHeight="1">
      <c r="A2330" s="234"/>
      <c r="B2330" s="234"/>
      <c r="C2330" s="234"/>
      <c r="D2330" s="234"/>
      <c r="E2330" s="234"/>
      <c r="F2330" s="234"/>
      <c r="G2330" s="234"/>
      <c r="H2330" s="234"/>
      <c r="I2330" s="234"/>
      <c r="J2330" s="234"/>
    </row>
    <row r="2331" ht="15.75" customHeight="1">
      <c r="A2331" s="234"/>
      <c r="B2331" s="234"/>
      <c r="C2331" s="234"/>
      <c r="D2331" s="234"/>
      <c r="E2331" s="234"/>
      <c r="F2331" s="234"/>
      <c r="G2331" s="234"/>
      <c r="H2331" s="234"/>
      <c r="I2331" s="234"/>
      <c r="J2331" s="234"/>
    </row>
    <row r="2332" ht="15.75" customHeight="1">
      <c r="A2332" s="234"/>
      <c r="B2332" s="234"/>
      <c r="C2332" s="234"/>
      <c r="D2332" s="234"/>
      <c r="E2332" s="234"/>
      <c r="F2332" s="234"/>
      <c r="G2332" s="234"/>
      <c r="H2332" s="234"/>
      <c r="I2332" s="234"/>
      <c r="J2332" s="234"/>
    </row>
    <row r="2333" ht="15.75" customHeight="1">
      <c r="A2333" s="234"/>
      <c r="B2333" s="234"/>
      <c r="C2333" s="234"/>
      <c r="D2333" s="234"/>
      <c r="E2333" s="234"/>
      <c r="F2333" s="234"/>
      <c r="G2333" s="234"/>
      <c r="H2333" s="234"/>
      <c r="I2333" s="234"/>
      <c r="J2333" s="234"/>
    </row>
    <row r="2334" ht="15.75" customHeight="1">
      <c r="A2334" s="234"/>
      <c r="B2334" s="234"/>
      <c r="C2334" s="234"/>
      <c r="D2334" s="234"/>
      <c r="E2334" s="234"/>
      <c r="F2334" s="234"/>
      <c r="G2334" s="234"/>
      <c r="H2334" s="234"/>
      <c r="I2334" s="234"/>
      <c r="J2334" s="234"/>
    </row>
    <row r="2335" ht="15.75" customHeight="1">
      <c r="A2335" s="234"/>
      <c r="B2335" s="234"/>
      <c r="C2335" s="234"/>
      <c r="D2335" s="234"/>
      <c r="E2335" s="234"/>
      <c r="F2335" s="234"/>
      <c r="G2335" s="234"/>
      <c r="H2335" s="234"/>
      <c r="I2335" s="234"/>
      <c r="J2335" s="234"/>
    </row>
    <row r="2336" ht="15.75" customHeight="1">
      <c r="A2336" s="234"/>
      <c r="B2336" s="234"/>
      <c r="C2336" s="234"/>
      <c r="D2336" s="234"/>
      <c r="E2336" s="234"/>
      <c r="F2336" s="234"/>
      <c r="G2336" s="234"/>
      <c r="H2336" s="234"/>
      <c r="I2336" s="234"/>
      <c r="J2336" s="234"/>
    </row>
    <row r="2337" ht="15.75" customHeight="1">
      <c r="A2337" s="234"/>
      <c r="B2337" s="234"/>
      <c r="C2337" s="234"/>
      <c r="D2337" s="234"/>
      <c r="E2337" s="234"/>
      <c r="F2337" s="234"/>
      <c r="G2337" s="234"/>
      <c r="H2337" s="234"/>
      <c r="I2337" s="234"/>
      <c r="J2337" s="234"/>
    </row>
    <row r="2338" ht="15.75" customHeight="1">
      <c r="A2338" s="234"/>
      <c r="B2338" s="234"/>
      <c r="C2338" s="234"/>
      <c r="D2338" s="234"/>
      <c r="E2338" s="234"/>
      <c r="F2338" s="234"/>
      <c r="G2338" s="234"/>
      <c r="H2338" s="234"/>
      <c r="I2338" s="234"/>
      <c r="J2338" s="234"/>
    </row>
    <row r="2339" ht="15.75" customHeight="1">
      <c r="A2339" s="234"/>
      <c r="B2339" s="234"/>
      <c r="C2339" s="234"/>
      <c r="D2339" s="234"/>
      <c r="E2339" s="234"/>
      <c r="F2339" s="234"/>
      <c r="G2339" s="234"/>
      <c r="H2339" s="234"/>
      <c r="I2339" s="234"/>
      <c r="J2339" s="234"/>
    </row>
    <row r="2340" ht="15.75" customHeight="1">
      <c r="A2340" s="234"/>
      <c r="B2340" s="234"/>
      <c r="C2340" s="234"/>
      <c r="D2340" s="234"/>
      <c r="E2340" s="234"/>
      <c r="F2340" s="234"/>
      <c r="G2340" s="234"/>
      <c r="H2340" s="234"/>
      <c r="I2340" s="234"/>
      <c r="J2340" s="234"/>
    </row>
    <row r="2341" ht="15.75" customHeight="1">
      <c r="A2341" s="234"/>
      <c r="B2341" s="234"/>
      <c r="C2341" s="234"/>
      <c r="D2341" s="234"/>
      <c r="E2341" s="234"/>
      <c r="F2341" s="234"/>
      <c r="G2341" s="234"/>
      <c r="H2341" s="234"/>
      <c r="I2341" s="234"/>
      <c r="J2341" s="234"/>
    </row>
    <row r="2342" ht="15.75" customHeight="1">
      <c r="A2342" s="234"/>
      <c r="B2342" s="234"/>
      <c r="C2342" s="234"/>
      <c r="D2342" s="234"/>
      <c r="E2342" s="234"/>
      <c r="F2342" s="234"/>
      <c r="G2342" s="234"/>
      <c r="H2342" s="234"/>
      <c r="I2342" s="234"/>
      <c r="J2342" s="234"/>
    </row>
    <row r="2343" ht="15.75" customHeight="1">
      <c r="A2343" s="234"/>
      <c r="B2343" s="234"/>
      <c r="C2343" s="234"/>
      <c r="D2343" s="234"/>
      <c r="E2343" s="234"/>
      <c r="F2343" s="234"/>
      <c r="G2343" s="234"/>
      <c r="H2343" s="234"/>
      <c r="I2343" s="234"/>
      <c r="J2343" s="234"/>
    </row>
    <row r="2344" ht="15.75" customHeight="1">
      <c r="A2344" s="234"/>
      <c r="B2344" s="234"/>
      <c r="C2344" s="234"/>
      <c r="D2344" s="234"/>
      <c r="E2344" s="234"/>
      <c r="F2344" s="234"/>
      <c r="G2344" s="234"/>
      <c r="H2344" s="234"/>
      <c r="I2344" s="234"/>
      <c r="J2344" s="234"/>
    </row>
    <row r="2345" ht="15.75" customHeight="1">
      <c r="A2345" s="234"/>
      <c r="B2345" s="234"/>
      <c r="C2345" s="234"/>
      <c r="D2345" s="234"/>
      <c r="E2345" s="234"/>
      <c r="F2345" s="234"/>
      <c r="G2345" s="234"/>
      <c r="H2345" s="234"/>
      <c r="I2345" s="234"/>
      <c r="J2345" s="234"/>
    </row>
    <row r="2346" ht="15.75" customHeight="1">
      <c r="A2346" s="234"/>
      <c r="B2346" s="234"/>
      <c r="C2346" s="234"/>
      <c r="D2346" s="234"/>
      <c r="E2346" s="234"/>
      <c r="F2346" s="234"/>
      <c r="G2346" s="234"/>
      <c r="H2346" s="234"/>
      <c r="I2346" s="234"/>
      <c r="J2346" s="234"/>
    </row>
    <row r="2347" ht="15.75" customHeight="1">
      <c r="A2347" s="234"/>
      <c r="B2347" s="234"/>
      <c r="C2347" s="234"/>
      <c r="D2347" s="234"/>
      <c r="E2347" s="234"/>
      <c r="F2347" s="234"/>
      <c r="G2347" s="234"/>
      <c r="H2347" s="234"/>
      <c r="I2347" s="234"/>
      <c r="J2347" s="234"/>
    </row>
    <row r="2348" ht="15.75" customHeight="1">
      <c r="A2348" s="234"/>
      <c r="B2348" s="234"/>
      <c r="C2348" s="234"/>
      <c r="D2348" s="234"/>
      <c r="E2348" s="234"/>
      <c r="F2348" s="234"/>
      <c r="G2348" s="234"/>
      <c r="H2348" s="234"/>
      <c r="I2348" s="234"/>
      <c r="J2348" s="234"/>
    </row>
    <row r="2349" ht="15.75" customHeight="1">
      <c r="A2349" s="234"/>
      <c r="B2349" s="234"/>
      <c r="C2349" s="234"/>
      <c r="D2349" s="234"/>
      <c r="E2349" s="234"/>
      <c r="F2349" s="234"/>
      <c r="G2349" s="234"/>
      <c r="H2349" s="234"/>
      <c r="I2349" s="234"/>
      <c r="J2349" s="234"/>
    </row>
    <row r="2350" ht="15.75" customHeight="1">
      <c r="A2350" s="234"/>
      <c r="B2350" s="234"/>
      <c r="C2350" s="234"/>
      <c r="D2350" s="234"/>
      <c r="E2350" s="234"/>
      <c r="F2350" s="234"/>
      <c r="G2350" s="234"/>
      <c r="H2350" s="234"/>
      <c r="I2350" s="234"/>
      <c r="J2350" s="234"/>
    </row>
    <row r="2351" ht="15.75" customHeight="1">
      <c r="A2351" s="234"/>
      <c r="B2351" s="234"/>
      <c r="C2351" s="234"/>
      <c r="D2351" s="234"/>
      <c r="E2351" s="234"/>
      <c r="F2351" s="234"/>
      <c r="G2351" s="234"/>
      <c r="H2351" s="234"/>
      <c r="I2351" s="234"/>
      <c r="J2351" s="234"/>
    </row>
    <row r="2352" ht="15.75" customHeight="1">
      <c r="A2352" s="234"/>
      <c r="B2352" s="234"/>
      <c r="C2352" s="234"/>
      <c r="D2352" s="234"/>
      <c r="E2352" s="234"/>
      <c r="F2352" s="234"/>
      <c r="G2352" s="234"/>
      <c r="H2352" s="234"/>
      <c r="I2352" s="234"/>
      <c r="J2352" s="234"/>
    </row>
    <row r="2353" ht="15.75" customHeight="1">
      <c r="A2353" s="234"/>
      <c r="B2353" s="234"/>
      <c r="C2353" s="234"/>
      <c r="D2353" s="234"/>
      <c r="E2353" s="234"/>
      <c r="F2353" s="234"/>
      <c r="G2353" s="234"/>
      <c r="H2353" s="234"/>
      <c r="I2353" s="234"/>
      <c r="J2353" s="234"/>
    </row>
    <row r="2354" ht="15.75" customHeight="1">
      <c r="A2354" s="234"/>
      <c r="B2354" s="234"/>
      <c r="C2354" s="234"/>
      <c r="D2354" s="234"/>
      <c r="E2354" s="234"/>
      <c r="F2354" s="234"/>
      <c r="G2354" s="234"/>
      <c r="H2354" s="234"/>
      <c r="I2354" s="234"/>
      <c r="J2354" s="234"/>
    </row>
    <row r="2355" ht="15.75" customHeight="1">
      <c r="A2355" s="234"/>
      <c r="B2355" s="234"/>
      <c r="C2355" s="234"/>
      <c r="D2355" s="234"/>
      <c r="E2355" s="234"/>
      <c r="F2355" s="234"/>
      <c r="G2355" s="234"/>
      <c r="H2355" s="234"/>
      <c r="I2355" s="234"/>
      <c r="J2355" s="234"/>
    </row>
    <row r="2356" ht="15.75" customHeight="1">
      <c r="A2356" s="234"/>
      <c r="B2356" s="234"/>
      <c r="C2356" s="234"/>
      <c r="D2356" s="234"/>
      <c r="E2356" s="234"/>
      <c r="F2356" s="234"/>
      <c r="G2356" s="234"/>
      <c r="H2356" s="234"/>
      <c r="I2356" s="234"/>
      <c r="J2356" s="234"/>
    </row>
    <row r="2357" ht="15.75" customHeight="1">
      <c r="A2357" s="234"/>
      <c r="B2357" s="234"/>
      <c r="C2357" s="234"/>
      <c r="D2357" s="234"/>
      <c r="E2357" s="234"/>
      <c r="F2357" s="234"/>
      <c r="G2357" s="234"/>
      <c r="H2357" s="234"/>
      <c r="I2357" s="234"/>
      <c r="J2357" s="234"/>
    </row>
    <row r="2358" ht="15.75" customHeight="1">
      <c r="A2358" s="234"/>
      <c r="B2358" s="234"/>
      <c r="C2358" s="234"/>
      <c r="D2358" s="234"/>
      <c r="E2358" s="234"/>
      <c r="F2358" s="234"/>
      <c r="G2358" s="234"/>
      <c r="H2358" s="234"/>
      <c r="I2358" s="234"/>
      <c r="J2358" s="234"/>
    </row>
    <row r="2359" ht="15.75" customHeight="1">
      <c r="A2359" s="234"/>
      <c r="B2359" s="234"/>
      <c r="C2359" s="234"/>
      <c r="D2359" s="234"/>
      <c r="E2359" s="234"/>
      <c r="F2359" s="234"/>
      <c r="G2359" s="234"/>
      <c r="H2359" s="234"/>
      <c r="I2359" s="234"/>
      <c r="J2359" s="234"/>
    </row>
    <row r="2360" ht="15.75" customHeight="1">
      <c r="A2360" s="234"/>
      <c r="B2360" s="234"/>
      <c r="C2360" s="234"/>
      <c r="D2360" s="234"/>
      <c r="E2360" s="234"/>
      <c r="F2360" s="234"/>
      <c r="G2360" s="234"/>
      <c r="H2360" s="234"/>
      <c r="I2360" s="234"/>
      <c r="J2360" s="234"/>
    </row>
    <row r="2361" ht="15.75" customHeight="1">
      <c r="A2361" s="234"/>
      <c r="B2361" s="234"/>
      <c r="C2361" s="234"/>
      <c r="D2361" s="234"/>
      <c r="E2361" s="234"/>
      <c r="F2361" s="234"/>
      <c r="G2361" s="234"/>
      <c r="H2361" s="234"/>
      <c r="I2361" s="234"/>
      <c r="J2361" s="234"/>
    </row>
    <row r="2362" ht="15.75" customHeight="1">
      <c r="A2362" s="234"/>
      <c r="B2362" s="234"/>
      <c r="C2362" s="234"/>
      <c r="D2362" s="234"/>
      <c r="E2362" s="234"/>
      <c r="F2362" s="234"/>
      <c r="G2362" s="234"/>
      <c r="H2362" s="234"/>
      <c r="I2362" s="234"/>
      <c r="J2362" s="234"/>
    </row>
    <row r="2363" ht="15.75" customHeight="1">
      <c r="A2363" s="234"/>
      <c r="B2363" s="234"/>
      <c r="C2363" s="234"/>
      <c r="D2363" s="234"/>
      <c r="E2363" s="234"/>
      <c r="F2363" s="234"/>
      <c r="G2363" s="234"/>
      <c r="H2363" s="234"/>
      <c r="I2363" s="234"/>
      <c r="J2363" s="234"/>
    </row>
    <row r="2364" ht="15.75" customHeight="1">
      <c r="A2364" s="234"/>
      <c r="B2364" s="234"/>
      <c r="C2364" s="234"/>
      <c r="D2364" s="234"/>
      <c r="E2364" s="234"/>
      <c r="F2364" s="234"/>
      <c r="G2364" s="234"/>
      <c r="H2364" s="234"/>
      <c r="I2364" s="234"/>
      <c r="J2364" s="234"/>
    </row>
    <row r="2365" ht="15.75" customHeight="1">
      <c r="A2365" s="234"/>
      <c r="B2365" s="234"/>
      <c r="C2365" s="234"/>
      <c r="D2365" s="234"/>
      <c r="E2365" s="234"/>
      <c r="F2365" s="234"/>
      <c r="G2365" s="234"/>
      <c r="H2365" s="234"/>
      <c r="I2365" s="234"/>
      <c r="J2365" s="234"/>
    </row>
    <row r="2366" ht="15.75" customHeight="1">
      <c r="A2366" s="234"/>
      <c r="B2366" s="234"/>
      <c r="C2366" s="234"/>
      <c r="D2366" s="234"/>
      <c r="E2366" s="234"/>
      <c r="F2366" s="234"/>
      <c r="G2366" s="234"/>
      <c r="H2366" s="234"/>
      <c r="I2366" s="234"/>
      <c r="J2366" s="234"/>
    </row>
    <row r="2367" ht="15.75" customHeight="1">
      <c r="A2367" s="234"/>
      <c r="B2367" s="234"/>
      <c r="C2367" s="234"/>
      <c r="D2367" s="234"/>
      <c r="E2367" s="234"/>
      <c r="F2367" s="234"/>
      <c r="G2367" s="234"/>
      <c r="H2367" s="234"/>
      <c r="I2367" s="234"/>
      <c r="J2367" s="234"/>
    </row>
    <row r="2368" ht="15.75" customHeight="1">
      <c r="A2368" s="234"/>
      <c r="B2368" s="234"/>
      <c r="C2368" s="234"/>
      <c r="D2368" s="234"/>
      <c r="E2368" s="234"/>
      <c r="F2368" s="234"/>
      <c r="G2368" s="234"/>
      <c r="H2368" s="234"/>
      <c r="I2368" s="234"/>
      <c r="J2368" s="234"/>
    </row>
    <row r="2369" ht="15.75" customHeight="1">
      <c r="A2369" s="234"/>
      <c r="B2369" s="234"/>
      <c r="C2369" s="234"/>
      <c r="D2369" s="234"/>
      <c r="E2369" s="234"/>
      <c r="F2369" s="234"/>
      <c r="G2369" s="234"/>
      <c r="H2369" s="234"/>
      <c r="I2369" s="234"/>
      <c r="J2369" s="234"/>
    </row>
    <row r="2370" ht="15.75" customHeight="1">
      <c r="A2370" s="234"/>
      <c r="B2370" s="234"/>
      <c r="C2370" s="234"/>
      <c r="D2370" s="234"/>
      <c r="E2370" s="234"/>
      <c r="F2370" s="234"/>
      <c r="G2370" s="234"/>
      <c r="H2370" s="234"/>
      <c r="I2370" s="234"/>
      <c r="J2370" s="234"/>
    </row>
    <row r="2371" ht="15.75" customHeight="1">
      <c r="A2371" s="234"/>
      <c r="B2371" s="234"/>
      <c r="C2371" s="234"/>
      <c r="D2371" s="234"/>
      <c r="E2371" s="234"/>
      <c r="F2371" s="234"/>
      <c r="G2371" s="234"/>
      <c r="H2371" s="234"/>
      <c r="I2371" s="234"/>
      <c r="J2371" s="234"/>
    </row>
    <row r="2372" ht="15.75" customHeight="1">
      <c r="A2372" s="234"/>
      <c r="B2372" s="234"/>
      <c r="C2372" s="234"/>
      <c r="D2372" s="234"/>
      <c r="E2372" s="234"/>
      <c r="F2372" s="234"/>
      <c r="G2372" s="234"/>
      <c r="H2372" s="234"/>
      <c r="I2372" s="234"/>
      <c r="J2372" s="234"/>
    </row>
    <row r="2373" ht="15.75" customHeight="1">
      <c r="A2373" s="234"/>
      <c r="B2373" s="234"/>
      <c r="C2373" s="234"/>
      <c r="D2373" s="234"/>
      <c r="E2373" s="234"/>
      <c r="F2373" s="234"/>
      <c r="G2373" s="234"/>
      <c r="H2373" s="234"/>
      <c r="I2373" s="234"/>
      <c r="J2373" s="234"/>
    </row>
    <row r="2374" ht="15.75" customHeight="1">
      <c r="A2374" s="234"/>
      <c r="B2374" s="234"/>
      <c r="C2374" s="234"/>
      <c r="D2374" s="234"/>
      <c r="E2374" s="234"/>
      <c r="F2374" s="234"/>
      <c r="G2374" s="234"/>
      <c r="H2374" s="234"/>
      <c r="I2374" s="234"/>
      <c r="J2374" s="234"/>
    </row>
    <row r="2375" ht="15.75" customHeight="1">
      <c r="A2375" s="234"/>
      <c r="B2375" s="234"/>
      <c r="C2375" s="234"/>
      <c r="D2375" s="234"/>
      <c r="E2375" s="234"/>
      <c r="F2375" s="234"/>
      <c r="G2375" s="234"/>
      <c r="H2375" s="234"/>
      <c r="I2375" s="234"/>
      <c r="J2375" s="234"/>
    </row>
    <row r="2376" ht="15.75" customHeight="1">
      <c r="A2376" s="234"/>
      <c r="B2376" s="234"/>
      <c r="C2376" s="234"/>
      <c r="D2376" s="234"/>
      <c r="E2376" s="234"/>
      <c r="F2376" s="234"/>
      <c r="G2376" s="234"/>
      <c r="H2376" s="234"/>
      <c r="I2376" s="234"/>
      <c r="J2376" s="234"/>
    </row>
    <row r="2377" ht="15.75" customHeight="1">
      <c r="A2377" s="234"/>
      <c r="B2377" s="234"/>
      <c r="C2377" s="234"/>
      <c r="D2377" s="234"/>
      <c r="E2377" s="234"/>
      <c r="F2377" s="234"/>
      <c r="G2377" s="234"/>
      <c r="H2377" s="234"/>
      <c r="I2377" s="234"/>
      <c r="J2377" s="234"/>
    </row>
    <row r="2378" ht="15.75" customHeight="1">
      <c r="A2378" s="234"/>
      <c r="B2378" s="234"/>
      <c r="C2378" s="234"/>
      <c r="D2378" s="234"/>
      <c r="E2378" s="234"/>
      <c r="F2378" s="234"/>
      <c r="G2378" s="234"/>
      <c r="H2378" s="234"/>
      <c r="I2378" s="234"/>
      <c r="J2378" s="234"/>
    </row>
    <row r="2379" ht="15.75" customHeight="1">
      <c r="A2379" s="234"/>
      <c r="B2379" s="234"/>
      <c r="C2379" s="234"/>
      <c r="D2379" s="234"/>
      <c r="E2379" s="234"/>
      <c r="F2379" s="234"/>
      <c r="G2379" s="234"/>
      <c r="H2379" s="234"/>
      <c r="I2379" s="234"/>
      <c r="J2379" s="234"/>
    </row>
    <row r="2380" ht="15.75" customHeight="1">
      <c r="A2380" s="234"/>
      <c r="B2380" s="234"/>
      <c r="C2380" s="234"/>
      <c r="D2380" s="234"/>
      <c r="E2380" s="234"/>
      <c r="F2380" s="234"/>
      <c r="G2380" s="234"/>
      <c r="H2380" s="234"/>
      <c r="I2380" s="234"/>
      <c r="J2380" s="234"/>
    </row>
    <row r="2381" ht="15.75" customHeight="1">
      <c r="A2381" s="234"/>
      <c r="B2381" s="234"/>
      <c r="C2381" s="234"/>
      <c r="D2381" s="234"/>
      <c r="E2381" s="234"/>
      <c r="F2381" s="234"/>
      <c r="G2381" s="234"/>
      <c r="H2381" s="234"/>
      <c r="I2381" s="234"/>
      <c r="J2381" s="234"/>
    </row>
    <row r="2382" ht="15.75" customHeight="1">
      <c r="A2382" s="234"/>
      <c r="B2382" s="234"/>
      <c r="C2382" s="234"/>
      <c r="D2382" s="234"/>
      <c r="E2382" s="234"/>
      <c r="F2382" s="234"/>
      <c r="G2382" s="234"/>
      <c r="H2382" s="234"/>
      <c r="I2382" s="234"/>
      <c r="J2382" s="234"/>
    </row>
    <row r="2383" ht="15.75" customHeight="1">
      <c r="A2383" s="234"/>
      <c r="B2383" s="234"/>
      <c r="C2383" s="234"/>
      <c r="D2383" s="234"/>
      <c r="E2383" s="234"/>
      <c r="F2383" s="234"/>
      <c r="G2383" s="234"/>
      <c r="H2383" s="234"/>
      <c r="I2383" s="234"/>
      <c r="J2383" s="234"/>
    </row>
    <row r="2384" ht="15.75" customHeight="1">
      <c r="A2384" s="234"/>
      <c r="B2384" s="234"/>
      <c r="C2384" s="234"/>
      <c r="D2384" s="234"/>
      <c r="E2384" s="234"/>
      <c r="F2384" s="234"/>
      <c r="G2384" s="234"/>
      <c r="H2384" s="234"/>
      <c r="I2384" s="234"/>
      <c r="J2384" s="234"/>
    </row>
    <row r="2385" ht="15.75" customHeight="1">
      <c r="A2385" s="234"/>
      <c r="B2385" s="234"/>
      <c r="C2385" s="234"/>
      <c r="D2385" s="234"/>
      <c r="E2385" s="234"/>
      <c r="F2385" s="234"/>
      <c r="G2385" s="234"/>
      <c r="H2385" s="234"/>
      <c r="I2385" s="234"/>
      <c r="J2385" s="234"/>
    </row>
    <row r="2386" ht="15.75" customHeight="1">
      <c r="A2386" s="234"/>
      <c r="B2386" s="234"/>
      <c r="C2386" s="234"/>
      <c r="D2386" s="234"/>
      <c r="E2386" s="234"/>
      <c r="F2386" s="234"/>
      <c r="G2386" s="234"/>
      <c r="H2386" s="234"/>
      <c r="I2386" s="234"/>
      <c r="J2386" s="234"/>
    </row>
    <row r="2387" ht="15.75" customHeight="1">
      <c r="A2387" s="234"/>
      <c r="B2387" s="234"/>
      <c r="C2387" s="234"/>
      <c r="D2387" s="234"/>
      <c r="E2387" s="234"/>
      <c r="F2387" s="234"/>
      <c r="G2387" s="234"/>
      <c r="H2387" s="234"/>
      <c r="I2387" s="234"/>
      <c r="J2387" s="234"/>
    </row>
    <row r="2388" ht="15.75" customHeight="1">
      <c r="A2388" s="234"/>
      <c r="B2388" s="234"/>
      <c r="C2388" s="234"/>
      <c r="D2388" s="234"/>
      <c r="E2388" s="234"/>
      <c r="F2388" s="234"/>
      <c r="G2388" s="234"/>
      <c r="H2388" s="234"/>
      <c r="I2388" s="234"/>
      <c r="J2388" s="234"/>
    </row>
    <row r="2389" ht="15.75" customHeight="1">
      <c r="A2389" s="234"/>
      <c r="B2389" s="234"/>
      <c r="C2389" s="234"/>
      <c r="D2389" s="234"/>
      <c r="E2389" s="234"/>
      <c r="F2389" s="234"/>
      <c r="G2389" s="234"/>
      <c r="H2389" s="234"/>
      <c r="I2389" s="234"/>
      <c r="J2389" s="234"/>
    </row>
    <row r="2390" ht="15.75" customHeight="1">
      <c r="A2390" s="234"/>
      <c r="B2390" s="234"/>
      <c r="C2390" s="234"/>
      <c r="D2390" s="234"/>
      <c r="E2390" s="234"/>
      <c r="F2390" s="234"/>
      <c r="G2390" s="234"/>
      <c r="H2390" s="234"/>
      <c r="I2390" s="234"/>
      <c r="J2390" s="234"/>
    </row>
    <row r="2391" ht="15.75" customHeight="1">
      <c r="A2391" s="234"/>
      <c r="B2391" s="234"/>
      <c r="C2391" s="234"/>
      <c r="D2391" s="234"/>
      <c r="E2391" s="234"/>
      <c r="F2391" s="234"/>
      <c r="G2391" s="234"/>
      <c r="H2391" s="234"/>
      <c r="I2391" s="234"/>
      <c r="J2391" s="234"/>
    </row>
    <row r="2392" ht="15.75" customHeight="1">
      <c r="A2392" s="234"/>
      <c r="B2392" s="234"/>
      <c r="C2392" s="234"/>
      <c r="D2392" s="234"/>
      <c r="E2392" s="234"/>
      <c r="F2392" s="234"/>
      <c r="G2392" s="234"/>
      <c r="H2392" s="234"/>
      <c r="I2392" s="234"/>
      <c r="J2392" s="234"/>
    </row>
    <row r="2393" ht="15.75" customHeight="1">
      <c r="A2393" s="234"/>
      <c r="B2393" s="234"/>
      <c r="C2393" s="234"/>
      <c r="D2393" s="234"/>
      <c r="E2393" s="234"/>
      <c r="F2393" s="234"/>
      <c r="G2393" s="234"/>
      <c r="H2393" s="234"/>
      <c r="I2393" s="234"/>
      <c r="J2393" s="234"/>
    </row>
    <row r="2394" ht="15.75" customHeight="1">
      <c r="A2394" s="234"/>
      <c r="B2394" s="234"/>
      <c r="C2394" s="234"/>
      <c r="D2394" s="234"/>
      <c r="E2394" s="234"/>
      <c r="F2394" s="234"/>
      <c r="G2394" s="234"/>
      <c r="H2394" s="234"/>
      <c r="I2394" s="234"/>
      <c r="J2394" s="234"/>
    </row>
    <row r="2395" ht="15.75" customHeight="1">
      <c r="A2395" s="234"/>
      <c r="B2395" s="234"/>
      <c r="C2395" s="234"/>
      <c r="D2395" s="234"/>
      <c r="E2395" s="234"/>
      <c r="F2395" s="234"/>
      <c r="G2395" s="234"/>
      <c r="H2395" s="234"/>
      <c r="I2395" s="234"/>
      <c r="J2395" s="234"/>
    </row>
    <row r="2396" ht="15.75" customHeight="1">
      <c r="A2396" s="234"/>
      <c r="B2396" s="234"/>
      <c r="C2396" s="234"/>
      <c r="D2396" s="234"/>
      <c r="E2396" s="234"/>
      <c r="F2396" s="234"/>
      <c r="G2396" s="234"/>
      <c r="H2396" s="234"/>
      <c r="I2396" s="234"/>
      <c r="J2396" s="234"/>
    </row>
    <row r="2397" ht="15.75" customHeight="1">
      <c r="A2397" s="234"/>
      <c r="B2397" s="234"/>
      <c r="C2397" s="234"/>
      <c r="D2397" s="234"/>
      <c r="E2397" s="234"/>
      <c r="F2397" s="234"/>
      <c r="G2397" s="234"/>
      <c r="H2397" s="234"/>
      <c r="I2397" s="234"/>
      <c r="J2397" s="234"/>
    </row>
    <row r="2398" ht="15.75" customHeight="1">
      <c r="A2398" s="234"/>
      <c r="B2398" s="234"/>
      <c r="C2398" s="234"/>
      <c r="D2398" s="234"/>
      <c r="E2398" s="234"/>
      <c r="F2398" s="234"/>
      <c r="G2398" s="234"/>
      <c r="H2398" s="234"/>
      <c r="I2398" s="234"/>
      <c r="J2398" s="234"/>
    </row>
    <row r="2399" ht="15.75" customHeight="1">
      <c r="A2399" s="234"/>
      <c r="B2399" s="234"/>
      <c r="C2399" s="234"/>
      <c r="D2399" s="234"/>
      <c r="E2399" s="234"/>
      <c r="F2399" s="234"/>
      <c r="G2399" s="234"/>
      <c r="H2399" s="234"/>
      <c r="I2399" s="234"/>
      <c r="J2399" s="234"/>
    </row>
    <row r="2400" ht="15.75" customHeight="1">
      <c r="A2400" s="234"/>
      <c r="B2400" s="234"/>
      <c r="C2400" s="234"/>
      <c r="D2400" s="234"/>
      <c r="E2400" s="234"/>
      <c r="F2400" s="234"/>
      <c r="G2400" s="234"/>
      <c r="H2400" s="234"/>
      <c r="I2400" s="234"/>
      <c r="J2400" s="234"/>
    </row>
    <row r="2401" ht="15.75" customHeight="1">
      <c r="A2401" s="234"/>
      <c r="B2401" s="234"/>
      <c r="C2401" s="234"/>
      <c r="D2401" s="234"/>
      <c r="E2401" s="234"/>
      <c r="F2401" s="234"/>
      <c r="G2401" s="234"/>
      <c r="H2401" s="234"/>
      <c r="I2401" s="234"/>
      <c r="J2401" s="234"/>
    </row>
    <row r="2402" ht="15.75" customHeight="1">
      <c r="A2402" s="234"/>
      <c r="B2402" s="234"/>
      <c r="C2402" s="234"/>
      <c r="D2402" s="234"/>
      <c r="E2402" s="234"/>
      <c r="F2402" s="234"/>
      <c r="G2402" s="234"/>
      <c r="H2402" s="234"/>
      <c r="I2402" s="234"/>
      <c r="J2402" s="234"/>
    </row>
    <row r="2403" ht="15.75" customHeight="1">
      <c r="A2403" s="234"/>
      <c r="B2403" s="234"/>
      <c r="C2403" s="234"/>
      <c r="D2403" s="234"/>
      <c r="E2403" s="234"/>
      <c r="F2403" s="234"/>
      <c r="G2403" s="234"/>
      <c r="H2403" s="234"/>
      <c r="I2403" s="234"/>
      <c r="J2403" s="234"/>
    </row>
    <row r="2404" ht="15.75" customHeight="1">
      <c r="A2404" s="234"/>
      <c r="B2404" s="234"/>
      <c r="C2404" s="234"/>
      <c r="D2404" s="234"/>
      <c r="E2404" s="234"/>
      <c r="F2404" s="234"/>
      <c r="G2404" s="234"/>
      <c r="H2404" s="234"/>
      <c r="I2404" s="234"/>
      <c r="J2404" s="234"/>
    </row>
    <row r="2405" ht="15.75" customHeight="1">
      <c r="A2405" s="234"/>
      <c r="B2405" s="234"/>
      <c r="C2405" s="234"/>
      <c r="D2405" s="234"/>
      <c r="E2405" s="234"/>
      <c r="F2405" s="234"/>
      <c r="G2405" s="234"/>
      <c r="H2405" s="234"/>
      <c r="I2405" s="234"/>
      <c r="J2405" s="234"/>
    </row>
    <row r="2406" ht="15.75" customHeight="1">
      <c r="A2406" s="234"/>
      <c r="B2406" s="234"/>
      <c r="C2406" s="234"/>
      <c r="D2406" s="234"/>
      <c r="E2406" s="234"/>
      <c r="F2406" s="234"/>
      <c r="G2406" s="234"/>
      <c r="H2406" s="234"/>
      <c r="I2406" s="234"/>
      <c r="J2406" s="234"/>
    </row>
    <row r="2407" ht="15.75" customHeight="1">
      <c r="A2407" s="234"/>
      <c r="B2407" s="234"/>
      <c r="C2407" s="234"/>
      <c r="D2407" s="234"/>
      <c r="E2407" s="234"/>
      <c r="F2407" s="234"/>
      <c r="G2407" s="234"/>
      <c r="H2407" s="234"/>
      <c r="I2407" s="234"/>
      <c r="J2407" s="234"/>
    </row>
    <row r="2408" ht="15.75" customHeight="1">
      <c r="A2408" s="234"/>
      <c r="B2408" s="234"/>
      <c r="C2408" s="234"/>
      <c r="D2408" s="234"/>
      <c r="E2408" s="234"/>
      <c r="F2408" s="234"/>
      <c r="G2408" s="234"/>
      <c r="H2408" s="234"/>
      <c r="I2408" s="234"/>
      <c r="J2408" s="234"/>
    </row>
    <row r="2409" ht="15.75" customHeight="1">
      <c r="A2409" s="234"/>
      <c r="B2409" s="234"/>
      <c r="C2409" s="234"/>
      <c r="D2409" s="234"/>
      <c r="E2409" s="234"/>
      <c r="F2409" s="234"/>
      <c r="G2409" s="234"/>
      <c r="H2409" s="234"/>
      <c r="I2409" s="234"/>
      <c r="J2409" s="234"/>
    </row>
    <row r="2410" ht="15.75" customHeight="1">
      <c r="A2410" s="234"/>
      <c r="B2410" s="234"/>
      <c r="C2410" s="234"/>
      <c r="D2410" s="234"/>
      <c r="E2410" s="234"/>
      <c r="F2410" s="234"/>
      <c r="G2410" s="234"/>
      <c r="H2410" s="234"/>
      <c r="I2410" s="234"/>
      <c r="J2410" s="234"/>
    </row>
    <row r="2411" ht="15.75" customHeight="1">
      <c r="A2411" s="234"/>
      <c r="B2411" s="234"/>
      <c r="C2411" s="234"/>
      <c r="D2411" s="234"/>
      <c r="E2411" s="234"/>
      <c r="F2411" s="234"/>
      <c r="G2411" s="234"/>
      <c r="H2411" s="234"/>
      <c r="I2411" s="234"/>
      <c r="J2411" s="234"/>
    </row>
    <row r="2412" ht="15.75" customHeight="1">
      <c r="A2412" s="234"/>
      <c r="B2412" s="234"/>
      <c r="C2412" s="234"/>
      <c r="D2412" s="234"/>
      <c r="E2412" s="234"/>
      <c r="F2412" s="234"/>
      <c r="G2412" s="234"/>
      <c r="H2412" s="234"/>
      <c r="I2412" s="234"/>
      <c r="J2412" s="234"/>
    </row>
    <row r="2413" ht="15.75" customHeight="1">
      <c r="A2413" s="234"/>
      <c r="B2413" s="234"/>
      <c r="C2413" s="234"/>
      <c r="D2413" s="234"/>
      <c r="E2413" s="234"/>
      <c r="F2413" s="234"/>
      <c r="G2413" s="234"/>
      <c r="H2413" s="234"/>
      <c r="I2413" s="234"/>
      <c r="J2413" s="234"/>
    </row>
    <row r="2414" ht="15.75" customHeight="1">
      <c r="A2414" s="234"/>
      <c r="B2414" s="234"/>
      <c r="C2414" s="234"/>
      <c r="D2414" s="234"/>
      <c r="E2414" s="234"/>
      <c r="F2414" s="234"/>
      <c r="G2414" s="234"/>
      <c r="H2414" s="234"/>
      <c r="I2414" s="234"/>
      <c r="J2414" s="234"/>
    </row>
    <row r="2415" ht="15.75" customHeight="1">
      <c r="A2415" s="234"/>
      <c r="B2415" s="234"/>
      <c r="C2415" s="234"/>
      <c r="D2415" s="234"/>
      <c r="E2415" s="234"/>
      <c r="F2415" s="234"/>
      <c r="G2415" s="234"/>
      <c r="H2415" s="234"/>
      <c r="I2415" s="234"/>
      <c r="J2415" s="234"/>
    </row>
    <row r="2416" ht="15.75" customHeight="1">
      <c r="A2416" s="234"/>
      <c r="B2416" s="234"/>
      <c r="C2416" s="234"/>
      <c r="D2416" s="234"/>
      <c r="E2416" s="234"/>
      <c r="F2416" s="234"/>
      <c r="G2416" s="234"/>
      <c r="H2416" s="234"/>
      <c r="I2416" s="234"/>
      <c r="J2416" s="234"/>
    </row>
    <row r="2417" ht="15.75" customHeight="1">
      <c r="A2417" s="234"/>
      <c r="B2417" s="234"/>
      <c r="C2417" s="234"/>
      <c r="D2417" s="234"/>
      <c r="E2417" s="234"/>
      <c r="F2417" s="234"/>
      <c r="G2417" s="234"/>
      <c r="H2417" s="234"/>
      <c r="I2417" s="234"/>
      <c r="J2417" s="234"/>
    </row>
    <row r="2418" ht="15.75" customHeight="1">
      <c r="A2418" s="234"/>
      <c r="B2418" s="234"/>
      <c r="C2418" s="234"/>
      <c r="D2418" s="234"/>
      <c r="E2418" s="234"/>
      <c r="F2418" s="234"/>
      <c r="G2418" s="234"/>
      <c r="H2418" s="234"/>
      <c r="I2418" s="234"/>
      <c r="J2418" s="234"/>
    </row>
    <row r="2419" ht="15.75" customHeight="1">
      <c r="A2419" s="234"/>
      <c r="B2419" s="234"/>
      <c r="C2419" s="234"/>
      <c r="D2419" s="234"/>
      <c r="E2419" s="234"/>
      <c r="F2419" s="234"/>
      <c r="G2419" s="234"/>
      <c r="H2419" s="234"/>
      <c r="I2419" s="234"/>
      <c r="J2419" s="234"/>
    </row>
    <row r="2420" ht="15.75" customHeight="1">
      <c r="A2420" s="234"/>
      <c r="B2420" s="234"/>
      <c r="C2420" s="234"/>
      <c r="D2420" s="234"/>
      <c r="E2420" s="234"/>
      <c r="F2420" s="234"/>
      <c r="G2420" s="234"/>
      <c r="H2420" s="234"/>
      <c r="I2420" s="234"/>
      <c r="J2420" s="234"/>
    </row>
    <row r="2421" ht="15.75" customHeight="1">
      <c r="A2421" s="234"/>
      <c r="B2421" s="234"/>
      <c r="C2421" s="234"/>
      <c r="D2421" s="234"/>
      <c r="E2421" s="234"/>
      <c r="F2421" s="234"/>
      <c r="G2421" s="234"/>
      <c r="H2421" s="234"/>
      <c r="I2421" s="234"/>
      <c r="J2421" s="234"/>
    </row>
    <row r="2422" ht="15.75" customHeight="1">
      <c r="A2422" s="234"/>
      <c r="B2422" s="234"/>
      <c r="C2422" s="234"/>
      <c r="D2422" s="234"/>
      <c r="E2422" s="234"/>
      <c r="F2422" s="234"/>
      <c r="G2422" s="234"/>
      <c r="H2422" s="234"/>
      <c r="I2422" s="234"/>
      <c r="J2422" s="234"/>
    </row>
    <row r="2423" ht="15.75" customHeight="1">
      <c r="A2423" s="234"/>
      <c r="B2423" s="234"/>
      <c r="C2423" s="234"/>
      <c r="D2423" s="234"/>
      <c r="E2423" s="234"/>
      <c r="F2423" s="234"/>
      <c r="G2423" s="234"/>
      <c r="H2423" s="234"/>
      <c r="I2423" s="234"/>
      <c r="J2423" s="234"/>
    </row>
    <row r="2424" ht="15.75" customHeight="1">
      <c r="A2424" s="234"/>
      <c r="B2424" s="234"/>
      <c r="C2424" s="234"/>
      <c r="D2424" s="234"/>
      <c r="E2424" s="234"/>
      <c r="F2424" s="234"/>
      <c r="G2424" s="234"/>
      <c r="H2424" s="234"/>
      <c r="I2424" s="234"/>
      <c r="J2424" s="234"/>
    </row>
    <row r="2425" ht="15.75" customHeight="1">
      <c r="A2425" s="234"/>
      <c r="B2425" s="234"/>
      <c r="C2425" s="234"/>
      <c r="D2425" s="234"/>
      <c r="E2425" s="234"/>
      <c r="F2425" s="234"/>
      <c r="G2425" s="234"/>
      <c r="H2425" s="234"/>
      <c r="I2425" s="234"/>
      <c r="J2425" s="234"/>
    </row>
    <row r="2426" ht="15.75" customHeight="1">
      <c r="A2426" s="234"/>
      <c r="B2426" s="234"/>
      <c r="C2426" s="234"/>
      <c r="D2426" s="234"/>
      <c r="E2426" s="234"/>
      <c r="F2426" s="234"/>
      <c r="G2426" s="234"/>
      <c r="H2426" s="234"/>
      <c r="I2426" s="234"/>
      <c r="J2426" s="234"/>
    </row>
    <row r="2427" ht="15.75" customHeight="1">
      <c r="A2427" s="234"/>
      <c r="B2427" s="234"/>
      <c r="C2427" s="234"/>
      <c r="D2427" s="234"/>
      <c r="E2427" s="234"/>
      <c r="F2427" s="234"/>
      <c r="G2427" s="234"/>
      <c r="H2427" s="234"/>
      <c r="I2427" s="234"/>
      <c r="J2427" s="234"/>
    </row>
    <row r="2428" ht="15.75" customHeight="1">
      <c r="A2428" s="234"/>
      <c r="B2428" s="234"/>
      <c r="C2428" s="234"/>
      <c r="D2428" s="234"/>
      <c r="E2428" s="234"/>
      <c r="F2428" s="234"/>
      <c r="G2428" s="234"/>
      <c r="H2428" s="234"/>
      <c r="I2428" s="234"/>
      <c r="J2428" s="234"/>
    </row>
    <row r="2429" ht="15.75" customHeight="1">
      <c r="A2429" s="234"/>
      <c r="B2429" s="234"/>
      <c r="C2429" s="234"/>
      <c r="D2429" s="234"/>
      <c r="E2429" s="234"/>
      <c r="F2429" s="234"/>
      <c r="G2429" s="234"/>
      <c r="H2429" s="234"/>
      <c r="I2429" s="234"/>
      <c r="J2429" s="234"/>
    </row>
    <row r="2430" ht="15.75" customHeight="1">
      <c r="A2430" s="234"/>
      <c r="B2430" s="234"/>
      <c r="C2430" s="234"/>
      <c r="D2430" s="234"/>
      <c r="E2430" s="234"/>
      <c r="F2430" s="234"/>
      <c r="G2430" s="234"/>
      <c r="H2430" s="234"/>
      <c r="I2430" s="234"/>
      <c r="J2430" s="234"/>
    </row>
    <row r="2431" ht="15.75" customHeight="1">
      <c r="A2431" s="234"/>
      <c r="B2431" s="234"/>
      <c r="C2431" s="234"/>
      <c r="D2431" s="234"/>
      <c r="E2431" s="234"/>
      <c r="F2431" s="234"/>
      <c r="G2431" s="234"/>
      <c r="H2431" s="234"/>
      <c r="I2431" s="234"/>
      <c r="J2431" s="234"/>
    </row>
    <row r="2432" ht="15.75" customHeight="1">
      <c r="A2432" s="234"/>
      <c r="B2432" s="234"/>
      <c r="C2432" s="234"/>
      <c r="D2432" s="234"/>
      <c r="E2432" s="234"/>
      <c r="F2432" s="234"/>
      <c r="G2432" s="234"/>
      <c r="H2432" s="234"/>
      <c r="I2432" s="234"/>
      <c r="J2432" s="234"/>
    </row>
    <row r="2433" ht="15.75" customHeight="1">
      <c r="A2433" s="234"/>
      <c r="B2433" s="234"/>
      <c r="C2433" s="234"/>
      <c r="D2433" s="234"/>
      <c r="E2433" s="234"/>
      <c r="F2433" s="234"/>
      <c r="G2433" s="234"/>
      <c r="H2433" s="234"/>
      <c r="I2433" s="234"/>
      <c r="J2433" s="234"/>
    </row>
    <row r="2434" ht="15.75" customHeight="1">
      <c r="A2434" s="234"/>
      <c r="B2434" s="234"/>
      <c r="C2434" s="234"/>
      <c r="D2434" s="234"/>
      <c r="E2434" s="234"/>
      <c r="F2434" s="234"/>
      <c r="G2434" s="234"/>
      <c r="H2434" s="234"/>
      <c r="I2434" s="234"/>
      <c r="J2434" s="234"/>
    </row>
    <row r="2435" ht="15.75" customHeight="1">
      <c r="A2435" s="234"/>
      <c r="B2435" s="234"/>
      <c r="C2435" s="234"/>
      <c r="D2435" s="234"/>
      <c r="E2435" s="234"/>
      <c r="F2435" s="234"/>
      <c r="G2435" s="234"/>
      <c r="H2435" s="234"/>
      <c r="I2435" s="234"/>
      <c r="J2435" s="234"/>
    </row>
    <row r="2436" ht="15.75" customHeight="1">
      <c r="A2436" s="234"/>
      <c r="B2436" s="234"/>
      <c r="C2436" s="234"/>
      <c r="D2436" s="234"/>
      <c r="E2436" s="234"/>
      <c r="F2436" s="234"/>
      <c r="G2436" s="234"/>
      <c r="H2436" s="234"/>
      <c r="I2436" s="234"/>
      <c r="J2436" s="234"/>
    </row>
    <row r="2437" ht="15.75" customHeight="1">
      <c r="A2437" s="234"/>
      <c r="B2437" s="234"/>
      <c r="C2437" s="234"/>
      <c r="D2437" s="234"/>
      <c r="E2437" s="234"/>
      <c r="F2437" s="234"/>
      <c r="G2437" s="234"/>
      <c r="H2437" s="234"/>
      <c r="I2437" s="234"/>
      <c r="J2437" s="234"/>
    </row>
    <row r="2438" ht="15.75" customHeight="1">
      <c r="A2438" s="234"/>
      <c r="B2438" s="234"/>
      <c r="C2438" s="234"/>
      <c r="D2438" s="234"/>
      <c r="E2438" s="234"/>
      <c r="F2438" s="234"/>
      <c r="G2438" s="234"/>
      <c r="H2438" s="234"/>
      <c r="I2438" s="234"/>
      <c r="J2438" s="234"/>
    </row>
    <row r="2439" ht="15.75" customHeight="1">
      <c r="A2439" s="234"/>
      <c r="B2439" s="234"/>
      <c r="C2439" s="234"/>
      <c r="D2439" s="234"/>
      <c r="E2439" s="234"/>
      <c r="F2439" s="234"/>
      <c r="G2439" s="234"/>
      <c r="H2439" s="234"/>
      <c r="I2439" s="234"/>
      <c r="J2439" s="234"/>
    </row>
    <row r="2440" ht="15.75" customHeight="1">
      <c r="A2440" s="234"/>
      <c r="B2440" s="234"/>
      <c r="C2440" s="234"/>
      <c r="D2440" s="234"/>
      <c r="E2440" s="234"/>
      <c r="F2440" s="234"/>
      <c r="G2440" s="234"/>
      <c r="H2440" s="234"/>
      <c r="I2440" s="234"/>
      <c r="J2440" s="234"/>
    </row>
    <row r="2441" ht="15.75" customHeight="1">
      <c r="A2441" s="234"/>
      <c r="B2441" s="234"/>
      <c r="C2441" s="234"/>
      <c r="D2441" s="234"/>
      <c r="E2441" s="234"/>
      <c r="F2441" s="234"/>
      <c r="G2441" s="234"/>
      <c r="H2441" s="234"/>
      <c r="I2441" s="234"/>
      <c r="J2441" s="234"/>
    </row>
    <row r="2442" ht="15.75" customHeight="1">
      <c r="A2442" s="234"/>
      <c r="B2442" s="234"/>
      <c r="C2442" s="234"/>
      <c r="D2442" s="234"/>
      <c r="E2442" s="234"/>
      <c r="F2442" s="234"/>
      <c r="G2442" s="234"/>
      <c r="H2442" s="234"/>
      <c r="I2442" s="234"/>
      <c r="J2442" s="234"/>
    </row>
    <row r="2443" ht="15.75" customHeight="1">
      <c r="A2443" s="234"/>
      <c r="B2443" s="234"/>
      <c r="C2443" s="234"/>
      <c r="D2443" s="234"/>
      <c r="E2443" s="234"/>
      <c r="F2443" s="234"/>
      <c r="G2443" s="234"/>
      <c r="H2443" s="234"/>
      <c r="I2443" s="234"/>
      <c r="J2443" s="234"/>
    </row>
    <row r="2444" ht="15.75" customHeight="1">
      <c r="A2444" s="234"/>
      <c r="B2444" s="234"/>
      <c r="C2444" s="234"/>
      <c r="D2444" s="234"/>
      <c r="E2444" s="234"/>
      <c r="F2444" s="234"/>
      <c r="G2444" s="234"/>
      <c r="H2444" s="234"/>
      <c r="I2444" s="234"/>
      <c r="J2444" s="234"/>
    </row>
    <row r="2445" ht="15.75" customHeight="1">
      <c r="A2445" s="234"/>
      <c r="B2445" s="234"/>
      <c r="C2445" s="234"/>
      <c r="D2445" s="234"/>
      <c r="E2445" s="234"/>
      <c r="F2445" s="234"/>
      <c r="G2445" s="234"/>
      <c r="H2445" s="234"/>
      <c r="I2445" s="234"/>
      <c r="J2445" s="234"/>
    </row>
    <row r="2446" ht="15.75" customHeight="1">
      <c r="A2446" s="234"/>
      <c r="B2446" s="234"/>
      <c r="C2446" s="234"/>
      <c r="D2446" s="234"/>
      <c r="E2446" s="234"/>
      <c r="F2446" s="234"/>
      <c r="G2446" s="234"/>
      <c r="H2446" s="234"/>
      <c r="I2446" s="234"/>
      <c r="J2446" s="234"/>
    </row>
    <row r="2447" ht="15.75" customHeight="1">
      <c r="A2447" s="234"/>
      <c r="B2447" s="234"/>
      <c r="C2447" s="234"/>
      <c r="D2447" s="234"/>
      <c r="E2447" s="234"/>
      <c r="F2447" s="234"/>
      <c r="G2447" s="234"/>
      <c r="H2447" s="234"/>
      <c r="I2447" s="234"/>
      <c r="J2447" s="234"/>
    </row>
    <row r="2448" ht="15.75" customHeight="1">
      <c r="A2448" s="234"/>
      <c r="B2448" s="234"/>
      <c r="C2448" s="234"/>
      <c r="D2448" s="234"/>
      <c r="E2448" s="234"/>
      <c r="F2448" s="234"/>
      <c r="G2448" s="234"/>
      <c r="H2448" s="234"/>
      <c r="I2448" s="234"/>
      <c r="J2448" s="234"/>
    </row>
    <row r="2449" ht="15.75" customHeight="1">
      <c r="A2449" s="234"/>
      <c r="B2449" s="234"/>
      <c r="C2449" s="234"/>
      <c r="D2449" s="234"/>
      <c r="E2449" s="234"/>
      <c r="F2449" s="234"/>
      <c r="G2449" s="234"/>
      <c r="H2449" s="234"/>
      <c r="I2449" s="234"/>
      <c r="J2449" s="234"/>
    </row>
    <row r="2450" ht="15.75" customHeight="1">
      <c r="A2450" s="234"/>
      <c r="B2450" s="234"/>
      <c r="C2450" s="234"/>
      <c r="D2450" s="234"/>
      <c r="E2450" s="234"/>
      <c r="F2450" s="234"/>
      <c r="G2450" s="234"/>
      <c r="H2450" s="234"/>
      <c r="I2450" s="234"/>
      <c r="J2450" s="234"/>
    </row>
    <row r="2451" ht="15.75" customHeight="1">
      <c r="A2451" s="234"/>
      <c r="B2451" s="234"/>
      <c r="C2451" s="234"/>
      <c r="D2451" s="234"/>
      <c r="E2451" s="234"/>
      <c r="F2451" s="234"/>
      <c r="G2451" s="234"/>
      <c r="H2451" s="234"/>
      <c r="I2451" s="234"/>
      <c r="J2451" s="234"/>
    </row>
    <row r="2452" ht="15.75" customHeight="1">
      <c r="A2452" s="234"/>
      <c r="B2452" s="234"/>
      <c r="C2452" s="234"/>
      <c r="D2452" s="234"/>
      <c r="E2452" s="234"/>
      <c r="F2452" s="234"/>
      <c r="G2452" s="234"/>
      <c r="H2452" s="234"/>
      <c r="I2452" s="234"/>
      <c r="J2452" s="234"/>
    </row>
    <row r="2453" ht="15.75" customHeight="1">
      <c r="A2453" s="234"/>
      <c r="B2453" s="234"/>
      <c r="C2453" s="234"/>
      <c r="D2453" s="234"/>
      <c r="E2453" s="234"/>
      <c r="F2453" s="234"/>
      <c r="G2453" s="234"/>
      <c r="H2453" s="234"/>
      <c r="I2453" s="234"/>
      <c r="J2453" s="234"/>
    </row>
    <row r="2454" ht="15.75" customHeight="1">
      <c r="A2454" s="234"/>
      <c r="B2454" s="234"/>
      <c r="C2454" s="234"/>
      <c r="D2454" s="234"/>
      <c r="E2454" s="234"/>
      <c r="F2454" s="234"/>
      <c r="G2454" s="234"/>
      <c r="H2454" s="234"/>
      <c r="I2454" s="234"/>
      <c r="J2454" s="234"/>
    </row>
    <row r="2455" ht="15.75" customHeight="1">
      <c r="A2455" s="234"/>
      <c r="B2455" s="234"/>
      <c r="C2455" s="234"/>
      <c r="D2455" s="234"/>
      <c r="E2455" s="234"/>
      <c r="F2455" s="234"/>
      <c r="G2455" s="234"/>
      <c r="H2455" s="234"/>
      <c r="I2455" s="234"/>
      <c r="J2455" s="234"/>
    </row>
    <row r="2456" ht="15.75" customHeight="1">
      <c r="A2456" s="234"/>
      <c r="B2456" s="234"/>
      <c r="C2456" s="234"/>
      <c r="D2456" s="234"/>
      <c r="E2456" s="234"/>
      <c r="F2456" s="234"/>
      <c r="G2456" s="234"/>
      <c r="H2456" s="234"/>
      <c r="I2456" s="234"/>
      <c r="J2456" s="234"/>
    </row>
    <row r="2457" ht="15.75" customHeight="1">
      <c r="A2457" s="234"/>
      <c r="B2457" s="234"/>
      <c r="C2457" s="234"/>
      <c r="D2457" s="234"/>
      <c r="E2457" s="234"/>
      <c r="F2457" s="234"/>
      <c r="G2457" s="234"/>
      <c r="H2457" s="234"/>
      <c r="I2457" s="234"/>
      <c r="J2457" s="234"/>
    </row>
    <row r="2458" ht="15.75" customHeight="1">
      <c r="A2458" s="234"/>
      <c r="B2458" s="234"/>
      <c r="C2458" s="234"/>
      <c r="D2458" s="234"/>
      <c r="E2458" s="234"/>
      <c r="F2458" s="234"/>
      <c r="G2458" s="234"/>
      <c r="H2458" s="234"/>
      <c r="I2458" s="234"/>
      <c r="J2458" s="234"/>
    </row>
    <row r="2459" ht="15.75" customHeight="1">
      <c r="A2459" s="234"/>
      <c r="B2459" s="234"/>
      <c r="C2459" s="234"/>
      <c r="D2459" s="234"/>
      <c r="E2459" s="234"/>
      <c r="F2459" s="234"/>
      <c r="G2459" s="234"/>
      <c r="H2459" s="234"/>
      <c r="I2459" s="234"/>
      <c r="J2459" s="234"/>
    </row>
    <row r="2460" ht="15.75" customHeight="1">
      <c r="A2460" s="234"/>
      <c r="B2460" s="234"/>
      <c r="C2460" s="234"/>
      <c r="D2460" s="234"/>
      <c r="E2460" s="234"/>
      <c r="F2460" s="234"/>
      <c r="G2460" s="234"/>
      <c r="H2460" s="234"/>
      <c r="I2460" s="234"/>
      <c r="J2460" s="234"/>
    </row>
    <row r="2461" ht="15.75" customHeight="1">
      <c r="A2461" s="234"/>
      <c r="B2461" s="234"/>
      <c r="C2461" s="234"/>
      <c r="D2461" s="234"/>
      <c r="E2461" s="234"/>
      <c r="F2461" s="234"/>
      <c r="G2461" s="234"/>
      <c r="H2461" s="234"/>
      <c r="I2461" s="234"/>
      <c r="J2461" s="234"/>
    </row>
    <row r="2462" ht="15.75" customHeight="1">
      <c r="A2462" s="234"/>
      <c r="B2462" s="234"/>
      <c r="C2462" s="234"/>
      <c r="D2462" s="234"/>
      <c r="E2462" s="234"/>
      <c r="F2462" s="234"/>
      <c r="G2462" s="234"/>
      <c r="H2462" s="234"/>
      <c r="I2462" s="234"/>
      <c r="J2462" s="234"/>
    </row>
    <row r="2463" ht="15.75" customHeight="1">
      <c r="A2463" s="234"/>
      <c r="B2463" s="234"/>
      <c r="C2463" s="234"/>
      <c r="D2463" s="234"/>
      <c r="E2463" s="234"/>
      <c r="F2463" s="234"/>
      <c r="G2463" s="234"/>
      <c r="H2463" s="234"/>
      <c r="I2463" s="234"/>
      <c r="J2463" s="234"/>
    </row>
    <row r="2464" ht="15.75" customHeight="1">
      <c r="A2464" s="234"/>
      <c r="B2464" s="234"/>
      <c r="C2464" s="234"/>
      <c r="D2464" s="234"/>
      <c r="E2464" s="234"/>
      <c r="F2464" s="234"/>
      <c r="G2464" s="234"/>
      <c r="H2464" s="234"/>
      <c r="I2464" s="234"/>
      <c r="J2464" s="234"/>
    </row>
    <row r="2465" ht="15.75" customHeight="1">
      <c r="A2465" s="234"/>
      <c r="B2465" s="234"/>
      <c r="C2465" s="234"/>
      <c r="D2465" s="234"/>
      <c r="E2465" s="234"/>
      <c r="F2465" s="234"/>
      <c r="G2465" s="234"/>
      <c r="H2465" s="234"/>
      <c r="I2465" s="234"/>
      <c r="J2465" s="234"/>
    </row>
    <row r="2466" ht="15.75" customHeight="1">
      <c r="A2466" s="234"/>
      <c r="B2466" s="234"/>
      <c r="C2466" s="234"/>
      <c r="D2466" s="234"/>
      <c r="E2466" s="234"/>
      <c r="F2466" s="234"/>
      <c r="G2466" s="234"/>
      <c r="H2466" s="234"/>
      <c r="I2466" s="234"/>
      <c r="J2466" s="234"/>
    </row>
    <row r="2467" ht="15.75" customHeight="1">
      <c r="A2467" s="234"/>
      <c r="B2467" s="234"/>
      <c r="C2467" s="234"/>
      <c r="D2467" s="234"/>
      <c r="E2467" s="234"/>
      <c r="F2467" s="234"/>
      <c r="G2467" s="234"/>
      <c r="H2467" s="234"/>
      <c r="I2467" s="234"/>
      <c r="J2467" s="234"/>
    </row>
    <row r="2468" ht="15.75" customHeight="1">
      <c r="A2468" s="234"/>
      <c r="B2468" s="234"/>
      <c r="C2468" s="234"/>
      <c r="D2468" s="234"/>
      <c r="E2468" s="234"/>
      <c r="F2468" s="234"/>
      <c r="G2468" s="234"/>
      <c r="H2468" s="234"/>
      <c r="I2468" s="234"/>
      <c r="J2468" s="234"/>
    </row>
    <row r="2469" ht="15.75" customHeight="1">
      <c r="A2469" s="234"/>
      <c r="B2469" s="234"/>
      <c r="C2469" s="234"/>
      <c r="D2469" s="234"/>
      <c r="E2469" s="234"/>
      <c r="F2469" s="234"/>
      <c r="G2469" s="234"/>
      <c r="H2469" s="234"/>
      <c r="I2469" s="234"/>
      <c r="J2469" s="234"/>
    </row>
    <row r="2470" ht="15.75" customHeight="1">
      <c r="A2470" s="234"/>
      <c r="B2470" s="234"/>
      <c r="C2470" s="234"/>
      <c r="D2470" s="234"/>
      <c r="E2470" s="234"/>
      <c r="F2470" s="234"/>
      <c r="G2470" s="234"/>
      <c r="H2470" s="234"/>
      <c r="I2470" s="234"/>
      <c r="J2470" s="234"/>
    </row>
    <row r="2471" ht="15.75" customHeight="1">
      <c r="A2471" s="234"/>
      <c r="B2471" s="234"/>
      <c r="C2471" s="234"/>
      <c r="D2471" s="234"/>
      <c r="E2471" s="234"/>
      <c r="F2471" s="234"/>
      <c r="G2471" s="234"/>
      <c r="H2471" s="234"/>
      <c r="I2471" s="234"/>
      <c r="J2471" s="234"/>
    </row>
    <row r="2472" ht="15.75" customHeight="1">
      <c r="A2472" s="234"/>
      <c r="B2472" s="234"/>
      <c r="C2472" s="234"/>
      <c r="D2472" s="234"/>
      <c r="E2472" s="234"/>
      <c r="F2472" s="234"/>
      <c r="G2472" s="234"/>
      <c r="H2472" s="234"/>
      <c r="I2472" s="234"/>
      <c r="J2472" s="234"/>
    </row>
    <row r="2473" ht="15.75" customHeight="1">
      <c r="A2473" s="234"/>
      <c r="B2473" s="234"/>
      <c r="C2473" s="234"/>
      <c r="D2473" s="234"/>
      <c r="E2473" s="234"/>
      <c r="F2473" s="234"/>
      <c r="G2473" s="234"/>
      <c r="H2473" s="234"/>
      <c r="I2473" s="234"/>
      <c r="J2473" s="234"/>
    </row>
    <row r="2474" ht="15.75" customHeight="1">
      <c r="A2474" s="234"/>
      <c r="B2474" s="234"/>
      <c r="C2474" s="234"/>
      <c r="D2474" s="234"/>
      <c r="E2474" s="234"/>
      <c r="F2474" s="234"/>
      <c r="G2474" s="234"/>
      <c r="H2474" s="234"/>
      <c r="I2474" s="234"/>
      <c r="J2474" s="234"/>
    </row>
    <row r="2475" ht="15.75" customHeight="1">
      <c r="A2475" s="234"/>
      <c r="B2475" s="234"/>
      <c r="C2475" s="234"/>
      <c r="D2475" s="234"/>
      <c r="E2475" s="234"/>
      <c r="F2475" s="234"/>
      <c r="G2475" s="234"/>
      <c r="H2475" s="234"/>
      <c r="I2475" s="234"/>
      <c r="J2475" s="234"/>
    </row>
    <row r="2476" ht="15.75" customHeight="1">
      <c r="A2476" s="234"/>
      <c r="B2476" s="234"/>
      <c r="C2476" s="234"/>
      <c r="D2476" s="234"/>
      <c r="E2476" s="234"/>
      <c r="F2476" s="234"/>
      <c r="G2476" s="234"/>
      <c r="H2476" s="234"/>
      <c r="I2476" s="234"/>
      <c r="J2476" s="234"/>
    </row>
    <row r="2477" ht="15.75" customHeight="1">
      <c r="A2477" s="234"/>
      <c r="B2477" s="234"/>
      <c r="C2477" s="234"/>
      <c r="D2477" s="234"/>
      <c r="E2477" s="234"/>
      <c r="F2477" s="234"/>
      <c r="G2477" s="234"/>
      <c r="H2477" s="234"/>
      <c r="I2477" s="234"/>
      <c r="J2477" s="234"/>
    </row>
    <row r="2478" ht="15.75" customHeight="1">
      <c r="A2478" s="234"/>
      <c r="B2478" s="234"/>
      <c r="C2478" s="234"/>
      <c r="D2478" s="234"/>
      <c r="E2478" s="234"/>
      <c r="F2478" s="234"/>
      <c r="G2478" s="234"/>
      <c r="H2478" s="234"/>
      <c r="I2478" s="234"/>
      <c r="J2478" s="234"/>
    </row>
    <row r="2479" ht="15.75" customHeight="1">
      <c r="A2479" s="234"/>
      <c r="B2479" s="234"/>
      <c r="C2479" s="234"/>
      <c r="D2479" s="234"/>
      <c r="E2479" s="234"/>
      <c r="F2479" s="234"/>
      <c r="G2479" s="234"/>
      <c r="H2479" s="234"/>
      <c r="I2479" s="234"/>
      <c r="J2479" s="234"/>
    </row>
    <row r="2480" ht="15.75" customHeight="1">
      <c r="A2480" s="234"/>
      <c r="B2480" s="234"/>
      <c r="C2480" s="234"/>
      <c r="D2480" s="234"/>
      <c r="E2480" s="234"/>
      <c r="F2480" s="234"/>
      <c r="G2480" s="234"/>
      <c r="H2480" s="234"/>
      <c r="I2480" s="234"/>
      <c r="J2480" s="234"/>
    </row>
    <row r="2481" ht="15.75" customHeight="1">
      <c r="A2481" s="234"/>
      <c r="B2481" s="234"/>
      <c r="C2481" s="234"/>
      <c r="D2481" s="234"/>
      <c r="E2481" s="234"/>
      <c r="F2481" s="234"/>
      <c r="G2481" s="234"/>
      <c r="H2481" s="234"/>
      <c r="I2481" s="234"/>
      <c r="J2481" s="234"/>
    </row>
    <row r="2482" ht="15.75" customHeight="1">
      <c r="A2482" s="234"/>
      <c r="B2482" s="234"/>
      <c r="C2482" s="234"/>
      <c r="D2482" s="234"/>
      <c r="E2482" s="234"/>
      <c r="F2482" s="234"/>
      <c r="G2482" s="234"/>
      <c r="H2482" s="234"/>
      <c r="I2482" s="234"/>
      <c r="J2482" s="234"/>
    </row>
    <row r="2483" ht="15.75" customHeight="1">
      <c r="A2483" s="234"/>
      <c r="B2483" s="234"/>
      <c r="C2483" s="234"/>
      <c r="D2483" s="234"/>
      <c r="E2483" s="234"/>
      <c r="F2483" s="234"/>
      <c r="G2483" s="234"/>
      <c r="H2483" s="234"/>
      <c r="I2483" s="234"/>
      <c r="J2483" s="234"/>
    </row>
    <row r="2484" ht="15.75" customHeight="1">
      <c r="A2484" s="234"/>
      <c r="B2484" s="234"/>
      <c r="C2484" s="234"/>
      <c r="D2484" s="234"/>
      <c r="E2484" s="234"/>
      <c r="F2484" s="234"/>
      <c r="G2484" s="234"/>
      <c r="H2484" s="234"/>
      <c r="I2484" s="234"/>
      <c r="J2484" s="234"/>
    </row>
    <row r="2485" ht="15.75" customHeight="1">
      <c r="A2485" s="234"/>
      <c r="B2485" s="234"/>
      <c r="C2485" s="234"/>
      <c r="D2485" s="234"/>
      <c r="E2485" s="234"/>
      <c r="F2485" s="234"/>
      <c r="G2485" s="234"/>
      <c r="H2485" s="234"/>
      <c r="I2485" s="234"/>
      <c r="J2485" s="234"/>
    </row>
    <row r="2486" ht="15.75" customHeight="1">
      <c r="A2486" s="234"/>
      <c r="B2486" s="234"/>
      <c r="C2486" s="234"/>
      <c r="D2486" s="234"/>
      <c r="E2486" s="234"/>
      <c r="F2486" s="234"/>
      <c r="G2486" s="234"/>
      <c r="H2486" s="234"/>
      <c r="I2486" s="234"/>
      <c r="J2486" s="234"/>
    </row>
    <row r="2487" ht="15.75" customHeight="1">
      <c r="A2487" s="234"/>
      <c r="B2487" s="234"/>
      <c r="C2487" s="234"/>
      <c r="D2487" s="234"/>
      <c r="E2487" s="234"/>
      <c r="F2487" s="234"/>
      <c r="G2487" s="234"/>
      <c r="H2487" s="234"/>
      <c r="I2487" s="234"/>
      <c r="J2487" s="234"/>
    </row>
    <row r="2488" ht="15.75" customHeight="1">
      <c r="A2488" s="234"/>
      <c r="B2488" s="234"/>
      <c r="C2488" s="234"/>
      <c r="D2488" s="234"/>
      <c r="E2488" s="234"/>
      <c r="F2488" s="234"/>
      <c r="G2488" s="234"/>
      <c r="H2488" s="234"/>
      <c r="I2488" s="234"/>
      <c r="J2488" s="234"/>
    </row>
    <row r="2489" ht="15.75" customHeight="1">
      <c r="A2489" s="234"/>
      <c r="B2489" s="234"/>
      <c r="C2489" s="234"/>
      <c r="D2489" s="234"/>
      <c r="E2489" s="234"/>
      <c r="F2489" s="234"/>
      <c r="G2489" s="234"/>
      <c r="H2489" s="234"/>
      <c r="I2489" s="234"/>
      <c r="J2489" s="234"/>
    </row>
    <row r="2490" ht="15.75" customHeight="1">
      <c r="A2490" s="234"/>
      <c r="B2490" s="234"/>
      <c r="C2490" s="234"/>
      <c r="D2490" s="234"/>
      <c r="E2490" s="234"/>
      <c r="F2490" s="234"/>
      <c r="G2490" s="234"/>
      <c r="H2490" s="234"/>
      <c r="I2490" s="234"/>
      <c r="J2490" s="234"/>
    </row>
    <row r="2491" ht="15.75" customHeight="1">
      <c r="A2491" s="234"/>
      <c r="B2491" s="234"/>
      <c r="C2491" s="234"/>
      <c r="D2491" s="234"/>
      <c r="E2491" s="234"/>
      <c r="F2491" s="234"/>
      <c r="G2491" s="234"/>
      <c r="H2491" s="234"/>
      <c r="I2491" s="234"/>
      <c r="J2491" s="234"/>
    </row>
    <row r="2492" ht="15.75" customHeight="1">
      <c r="A2492" s="234"/>
      <c r="B2492" s="234"/>
      <c r="C2492" s="234"/>
      <c r="D2492" s="234"/>
      <c r="E2492" s="234"/>
      <c r="F2492" s="234"/>
      <c r="G2492" s="234"/>
      <c r="H2492" s="234"/>
      <c r="I2492" s="234"/>
      <c r="J2492" s="234"/>
    </row>
    <row r="2493" ht="15.75" customHeight="1">
      <c r="A2493" s="234"/>
      <c r="B2493" s="234"/>
      <c r="C2493" s="234"/>
      <c r="D2493" s="234"/>
      <c r="E2493" s="234"/>
      <c r="F2493" s="234"/>
      <c r="G2493" s="234"/>
      <c r="H2493" s="234"/>
      <c r="I2493" s="234"/>
      <c r="J2493" s="234"/>
    </row>
    <row r="2494" ht="15.75" customHeight="1">
      <c r="A2494" s="234"/>
      <c r="B2494" s="234"/>
      <c r="C2494" s="234"/>
      <c r="D2494" s="234"/>
      <c r="E2494" s="234"/>
      <c r="F2494" s="234"/>
      <c r="G2494" s="234"/>
      <c r="H2494" s="234"/>
      <c r="I2494" s="234"/>
      <c r="J2494" s="234"/>
    </row>
    <row r="2495" ht="15.75" customHeight="1">
      <c r="A2495" s="234"/>
      <c r="B2495" s="234"/>
      <c r="C2495" s="234"/>
      <c r="D2495" s="234"/>
      <c r="E2495" s="234"/>
      <c r="F2495" s="234"/>
      <c r="G2495" s="234"/>
      <c r="H2495" s="234"/>
      <c r="I2495" s="234"/>
      <c r="J2495" s="234"/>
    </row>
    <row r="2496" ht="15.75" customHeight="1">
      <c r="A2496" s="234"/>
      <c r="B2496" s="234"/>
      <c r="C2496" s="234"/>
      <c r="D2496" s="234"/>
      <c r="E2496" s="234"/>
      <c r="F2496" s="234"/>
      <c r="G2496" s="234"/>
      <c r="H2496" s="234"/>
      <c r="I2496" s="234"/>
      <c r="J2496" s="234"/>
    </row>
    <row r="2497" ht="15.75" customHeight="1">
      <c r="A2497" s="234"/>
      <c r="B2497" s="234"/>
      <c r="C2497" s="234"/>
      <c r="D2497" s="234"/>
      <c r="E2497" s="234"/>
      <c r="F2497" s="234"/>
      <c r="G2497" s="234"/>
      <c r="H2497" s="234"/>
      <c r="I2497" s="234"/>
      <c r="J2497" s="234"/>
    </row>
    <row r="2498" ht="15.75" customHeight="1">
      <c r="A2498" s="234"/>
      <c r="B2498" s="234"/>
      <c r="C2498" s="234"/>
      <c r="D2498" s="234"/>
      <c r="E2498" s="234"/>
      <c r="F2498" s="234"/>
      <c r="G2498" s="234"/>
      <c r="H2498" s="234"/>
      <c r="I2498" s="234"/>
      <c r="J2498" s="234"/>
    </row>
    <row r="2499" ht="15.75" customHeight="1">
      <c r="A2499" s="234"/>
      <c r="B2499" s="234"/>
      <c r="C2499" s="234"/>
      <c r="D2499" s="234"/>
      <c r="E2499" s="234"/>
      <c r="F2499" s="234"/>
      <c r="G2499" s="234"/>
      <c r="H2499" s="234"/>
      <c r="I2499" s="234"/>
      <c r="J2499" s="234"/>
    </row>
    <row r="2500" ht="15.75" customHeight="1">
      <c r="A2500" s="234"/>
      <c r="B2500" s="234"/>
      <c r="C2500" s="234"/>
      <c r="D2500" s="234"/>
      <c r="E2500" s="234"/>
      <c r="F2500" s="234"/>
      <c r="G2500" s="234"/>
      <c r="H2500" s="234"/>
      <c r="I2500" s="234"/>
      <c r="J2500" s="234"/>
    </row>
    <row r="2501" ht="15.75" customHeight="1">
      <c r="A2501" s="234"/>
      <c r="B2501" s="234"/>
      <c r="C2501" s="234"/>
      <c r="D2501" s="234"/>
      <c r="E2501" s="234"/>
      <c r="F2501" s="234"/>
      <c r="G2501" s="234"/>
      <c r="H2501" s="234"/>
      <c r="I2501" s="234"/>
      <c r="J2501" s="234"/>
    </row>
    <row r="2502" ht="15.75" customHeight="1">
      <c r="A2502" s="234"/>
      <c r="B2502" s="234"/>
      <c r="C2502" s="234"/>
      <c r="D2502" s="234"/>
      <c r="E2502" s="234"/>
      <c r="F2502" s="234"/>
      <c r="G2502" s="234"/>
      <c r="H2502" s="234"/>
      <c r="I2502" s="234"/>
      <c r="J2502" s="234"/>
    </row>
    <row r="2503" ht="15.75" customHeight="1">
      <c r="A2503" s="234"/>
      <c r="B2503" s="234"/>
      <c r="C2503" s="234"/>
      <c r="D2503" s="234"/>
      <c r="E2503" s="234"/>
      <c r="F2503" s="234"/>
      <c r="G2503" s="234"/>
      <c r="H2503" s="234"/>
      <c r="I2503" s="234"/>
      <c r="J2503" s="234"/>
    </row>
    <row r="2504" ht="15.75" customHeight="1">
      <c r="A2504" s="234"/>
      <c r="B2504" s="234"/>
      <c r="C2504" s="234"/>
      <c r="D2504" s="234"/>
      <c r="E2504" s="234"/>
      <c r="F2504" s="234"/>
      <c r="G2504" s="234"/>
      <c r="H2504" s="234"/>
      <c r="I2504" s="234"/>
      <c r="J2504" s="234"/>
    </row>
    <row r="2505" ht="15.75" customHeight="1">
      <c r="A2505" s="234"/>
      <c r="B2505" s="234"/>
      <c r="C2505" s="234"/>
      <c r="D2505" s="234"/>
      <c r="E2505" s="234"/>
      <c r="F2505" s="234"/>
      <c r="G2505" s="234"/>
      <c r="H2505" s="234"/>
      <c r="I2505" s="234"/>
      <c r="J2505" s="234"/>
    </row>
    <row r="2506" ht="15.75" customHeight="1">
      <c r="A2506" s="234"/>
      <c r="B2506" s="234"/>
      <c r="C2506" s="234"/>
      <c r="D2506" s="234"/>
      <c r="E2506" s="234"/>
      <c r="F2506" s="234"/>
      <c r="G2506" s="234"/>
      <c r="H2506" s="234"/>
      <c r="I2506" s="234"/>
      <c r="J2506" s="234"/>
    </row>
    <row r="2507" ht="15.75" customHeight="1">
      <c r="A2507" s="234"/>
      <c r="B2507" s="234"/>
      <c r="C2507" s="234"/>
      <c r="D2507" s="234"/>
      <c r="E2507" s="234"/>
      <c r="F2507" s="234"/>
      <c r="G2507" s="234"/>
      <c r="H2507" s="234"/>
      <c r="I2507" s="234"/>
      <c r="J2507" s="234"/>
    </row>
    <row r="2508" ht="15.75" customHeight="1">
      <c r="A2508" s="234"/>
      <c r="B2508" s="234"/>
      <c r="C2508" s="234"/>
      <c r="D2508" s="234"/>
      <c r="E2508" s="234"/>
      <c r="F2508" s="234"/>
      <c r="G2508" s="234"/>
      <c r="H2508" s="234"/>
      <c r="I2508" s="234"/>
      <c r="J2508" s="234"/>
    </row>
    <row r="2509" ht="15.75" customHeight="1">
      <c r="A2509" s="234"/>
      <c r="B2509" s="234"/>
      <c r="C2509" s="234"/>
      <c r="D2509" s="234"/>
      <c r="E2509" s="234"/>
      <c r="F2509" s="234"/>
      <c r="G2509" s="234"/>
      <c r="H2509" s="234"/>
      <c r="I2509" s="234"/>
      <c r="J2509" s="234"/>
    </row>
    <row r="2510" ht="15.75" customHeight="1">
      <c r="A2510" s="234"/>
      <c r="B2510" s="234"/>
      <c r="C2510" s="234"/>
      <c r="D2510" s="234"/>
      <c r="E2510" s="234"/>
      <c r="F2510" s="234"/>
      <c r="G2510" s="234"/>
      <c r="H2510" s="234"/>
      <c r="I2510" s="234"/>
      <c r="J2510" s="234"/>
    </row>
    <row r="2511" ht="15.75" customHeight="1">
      <c r="A2511" s="234"/>
      <c r="B2511" s="234"/>
      <c r="C2511" s="234"/>
      <c r="D2511" s="234"/>
      <c r="E2511" s="234"/>
      <c r="F2511" s="234"/>
      <c r="G2511" s="234"/>
      <c r="H2511" s="234"/>
      <c r="I2511" s="234"/>
      <c r="J2511" s="234"/>
    </row>
    <row r="2512" ht="15.75" customHeight="1">
      <c r="A2512" s="234"/>
      <c r="B2512" s="234"/>
      <c r="C2512" s="234"/>
      <c r="D2512" s="234"/>
      <c r="E2512" s="234"/>
      <c r="F2512" s="234"/>
      <c r="G2512" s="234"/>
      <c r="H2512" s="234"/>
      <c r="I2512" s="234"/>
      <c r="J2512" s="234"/>
    </row>
    <row r="2513" ht="15.75" customHeight="1">
      <c r="A2513" s="234"/>
      <c r="B2513" s="234"/>
      <c r="C2513" s="234"/>
      <c r="D2513" s="234"/>
      <c r="E2513" s="234"/>
      <c r="F2513" s="234"/>
      <c r="G2513" s="234"/>
      <c r="H2513" s="234"/>
      <c r="I2513" s="234"/>
      <c r="J2513" s="234"/>
    </row>
    <row r="2514" ht="15.75" customHeight="1">
      <c r="A2514" s="234"/>
      <c r="B2514" s="234"/>
      <c r="C2514" s="234"/>
      <c r="D2514" s="234"/>
      <c r="E2514" s="234"/>
      <c r="F2514" s="234"/>
      <c r="G2514" s="234"/>
      <c r="H2514" s="234"/>
      <c r="I2514" s="234"/>
      <c r="J2514" s="234"/>
    </row>
    <row r="2515" ht="15.75" customHeight="1">
      <c r="A2515" s="234"/>
      <c r="B2515" s="234"/>
      <c r="C2515" s="234"/>
      <c r="D2515" s="234"/>
      <c r="E2515" s="234"/>
      <c r="F2515" s="234"/>
      <c r="G2515" s="234"/>
      <c r="H2515" s="234"/>
      <c r="I2515" s="234"/>
      <c r="J2515" s="234"/>
    </row>
    <row r="2516" ht="15.75" customHeight="1">
      <c r="A2516" s="234"/>
      <c r="B2516" s="234"/>
      <c r="C2516" s="234"/>
      <c r="D2516" s="234"/>
      <c r="E2516" s="234"/>
      <c r="F2516" s="234"/>
      <c r="G2516" s="234"/>
      <c r="H2516" s="234"/>
      <c r="I2516" s="234"/>
      <c r="J2516" s="234"/>
    </row>
    <row r="2517" ht="15.75" customHeight="1">
      <c r="A2517" s="234"/>
      <c r="B2517" s="234"/>
      <c r="C2517" s="234"/>
      <c r="D2517" s="234"/>
      <c r="E2517" s="234"/>
      <c r="F2517" s="234"/>
      <c r="G2517" s="234"/>
      <c r="H2517" s="234"/>
      <c r="I2517" s="234"/>
      <c r="J2517" s="234"/>
    </row>
    <row r="2518" ht="15.75" customHeight="1">
      <c r="A2518" s="234"/>
      <c r="B2518" s="234"/>
      <c r="C2518" s="234"/>
      <c r="D2518" s="234"/>
      <c r="E2518" s="234"/>
      <c r="F2518" s="234"/>
      <c r="G2518" s="234"/>
      <c r="H2518" s="234"/>
      <c r="I2518" s="234"/>
      <c r="J2518" s="234"/>
    </row>
    <row r="2519" ht="15.75" customHeight="1">
      <c r="A2519" s="234"/>
      <c r="B2519" s="234"/>
      <c r="C2519" s="234"/>
      <c r="D2519" s="234"/>
      <c r="E2519" s="234"/>
      <c r="F2519" s="234"/>
      <c r="G2519" s="234"/>
      <c r="H2519" s="234"/>
      <c r="I2519" s="234"/>
      <c r="J2519" s="234"/>
    </row>
    <row r="2520" ht="15.75" customHeight="1">
      <c r="A2520" s="234"/>
      <c r="B2520" s="234"/>
      <c r="C2520" s="234"/>
      <c r="D2520" s="234"/>
      <c r="E2520" s="234"/>
      <c r="F2520" s="234"/>
      <c r="G2520" s="234"/>
      <c r="H2520" s="234"/>
      <c r="I2520" s="234"/>
      <c r="J2520" s="234"/>
    </row>
    <row r="2521" ht="15.75" customHeight="1">
      <c r="A2521" s="234"/>
      <c r="B2521" s="234"/>
      <c r="C2521" s="234"/>
      <c r="D2521" s="234"/>
      <c r="E2521" s="234"/>
      <c r="F2521" s="234"/>
      <c r="G2521" s="234"/>
      <c r="H2521" s="234"/>
      <c r="I2521" s="234"/>
      <c r="J2521" s="234"/>
    </row>
    <row r="2522" ht="15.75" customHeight="1">
      <c r="A2522" s="234"/>
      <c r="B2522" s="234"/>
      <c r="C2522" s="234"/>
      <c r="D2522" s="234"/>
      <c r="E2522" s="234"/>
      <c r="F2522" s="234"/>
      <c r="G2522" s="234"/>
      <c r="H2522" s="234"/>
      <c r="I2522" s="234"/>
      <c r="J2522" s="234"/>
    </row>
    <row r="2523" ht="15.75" customHeight="1">
      <c r="A2523" s="234"/>
      <c r="B2523" s="234"/>
      <c r="C2523" s="234"/>
      <c r="D2523" s="234"/>
      <c r="E2523" s="234"/>
      <c r="F2523" s="234"/>
      <c r="G2523" s="234"/>
      <c r="H2523" s="234"/>
      <c r="I2523" s="234"/>
      <c r="J2523" s="234"/>
    </row>
    <row r="2524" ht="15.75" customHeight="1">
      <c r="A2524" s="234"/>
      <c r="B2524" s="234"/>
      <c r="C2524" s="234"/>
      <c r="D2524" s="234"/>
      <c r="E2524" s="234"/>
      <c r="F2524" s="234"/>
      <c r="G2524" s="234"/>
      <c r="H2524" s="234"/>
      <c r="I2524" s="234"/>
      <c r="J2524" s="234"/>
    </row>
    <row r="2525" ht="15.75" customHeight="1">
      <c r="A2525" s="234"/>
      <c r="B2525" s="234"/>
      <c r="C2525" s="234"/>
      <c r="D2525" s="234"/>
      <c r="E2525" s="234"/>
      <c r="F2525" s="234"/>
      <c r="G2525" s="234"/>
      <c r="H2525" s="234"/>
      <c r="I2525" s="234"/>
      <c r="J2525" s="234"/>
    </row>
    <row r="2526" ht="15.75" customHeight="1">
      <c r="A2526" s="234"/>
      <c r="B2526" s="234"/>
      <c r="C2526" s="234"/>
      <c r="D2526" s="234"/>
      <c r="E2526" s="234"/>
      <c r="F2526" s="234"/>
      <c r="G2526" s="234"/>
      <c r="H2526" s="234"/>
      <c r="I2526" s="234"/>
      <c r="J2526" s="234"/>
    </row>
    <row r="2527" ht="15.75" customHeight="1">
      <c r="A2527" s="234"/>
      <c r="B2527" s="234"/>
      <c r="C2527" s="234"/>
      <c r="D2527" s="234"/>
      <c r="E2527" s="234"/>
      <c r="F2527" s="234"/>
      <c r="G2527" s="234"/>
      <c r="H2527" s="234"/>
      <c r="I2527" s="234"/>
      <c r="J2527" s="234"/>
    </row>
    <row r="2528" ht="15.75" customHeight="1">
      <c r="A2528" s="234"/>
      <c r="B2528" s="234"/>
      <c r="C2528" s="234"/>
      <c r="D2528" s="234"/>
      <c r="E2528" s="234"/>
      <c r="F2528" s="234"/>
      <c r="G2528" s="234"/>
      <c r="H2528" s="234"/>
      <c r="I2528" s="234"/>
      <c r="J2528" s="234"/>
    </row>
    <row r="2529" ht="15.75" customHeight="1">
      <c r="A2529" s="234"/>
      <c r="B2529" s="234"/>
      <c r="C2529" s="234"/>
      <c r="D2529" s="234"/>
      <c r="E2529" s="234"/>
      <c r="F2529" s="234"/>
      <c r="G2529" s="234"/>
      <c r="H2529" s="234"/>
      <c r="I2529" s="234"/>
      <c r="J2529" s="234"/>
    </row>
    <row r="2530" ht="15.75" customHeight="1">
      <c r="A2530" s="234"/>
      <c r="B2530" s="234"/>
      <c r="C2530" s="234"/>
      <c r="D2530" s="234"/>
      <c r="E2530" s="234"/>
      <c r="F2530" s="234"/>
      <c r="G2530" s="234"/>
      <c r="H2530" s="234"/>
      <c r="I2530" s="234"/>
      <c r="J2530" s="234"/>
    </row>
    <row r="2531" ht="15.75" customHeight="1">
      <c r="A2531" s="234"/>
      <c r="B2531" s="234"/>
      <c r="C2531" s="234"/>
      <c r="D2531" s="234"/>
      <c r="E2531" s="234"/>
      <c r="F2531" s="234"/>
      <c r="G2531" s="234"/>
      <c r="H2531" s="234"/>
      <c r="I2531" s="234"/>
      <c r="J2531" s="234"/>
    </row>
    <row r="2532" ht="15.75" customHeight="1">
      <c r="A2532" s="234"/>
      <c r="B2532" s="234"/>
      <c r="C2532" s="234"/>
      <c r="D2532" s="234"/>
      <c r="E2532" s="234"/>
      <c r="F2532" s="234"/>
      <c r="G2532" s="234"/>
      <c r="H2532" s="234"/>
      <c r="I2532" s="234"/>
      <c r="J2532" s="234"/>
    </row>
    <row r="2533" ht="15.75" customHeight="1">
      <c r="A2533" s="234"/>
      <c r="B2533" s="234"/>
      <c r="C2533" s="234"/>
      <c r="D2533" s="234"/>
      <c r="E2533" s="234"/>
      <c r="F2533" s="234"/>
      <c r="G2533" s="234"/>
      <c r="H2533" s="234"/>
      <c r="I2533" s="234"/>
      <c r="J2533" s="234"/>
    </row>
    <row r="2534" ht="15.75" customHeight="1">
      <c r="A2534" s="234"/>
      <c r="B2534" s="234"/>
      <c r="C2534" s="234"/>
      <c r="D2534" s="234"/>
      <c r="E2534" s="234"/>
      <c r="F2534" s="234"/>
      <c r="G2534" s="234"/>
      <c r="H2534" s="234"/>
      <c r="I2534" s="234"/>
      <c r="J2534" s="234"/>
    </row>
    <row r="2535" ht="15.75" customHeight="1">
      <c r="A2535" s="234"/>
      <c r="B2535" s="234"/>
      <c r="C2535" s="234"/>
      <c r="D2535" s="234"/>
      <c r="E2535" s="234"/>
      <c r="F2535" s="234"/>
      <c r="G2535" s="234"/>
      <c r="H2535" s="234"/>
      <c r="I2535" s="234"/>
      <c r="J2535" s="234"/>
    </row>
    <row r="2536" ht="15.75" customHeight="1">
      <c r="A2536" s="234"/>
      <c r="B2536" s="234"/>
      <c r="C2536" s="234"/>
      <c r="D2536" s="234"/>
      <c r="E2536" s="234"/>
      <c r="F2536" s="234"/>
      <c r="G2536" s="234"/>
      <c r="H2536" s="234"/>
      <c r="I2536" s="234"/>
      <c r="J2536" s="234"/>
    </row>
    <row r="2537" ht="15.75" customHeight="1">
      <c r="A2537" s="234"/>
      <c r="B2537" s="234"/>
      <c r="C2537" s="234"/>
      <c r="D2537" s="234"/>
      <c r="E2537" s="234"/>
      <c r="F2537" s="234"/>
      <c r="G2537" s="234"/>
      <c r="H2537" s="234"/>
      <c r="I2537" s="234"/>
      <c r="J2537" s="234"/>
    </row>
    <row r="2538" ht="15.75" customHeight="1">
      <c r="A2538" s="234"/>
      <c r="B2538" s="234"/>
      <c r="C2538" s="234"/>
      <c r="D2538" s="234"/>
      <c r="E2538" s="234"/>
      <c r="F2538" s="234"/>
      <c r="G2538" s="234"/>
      <c r="H2538" s="234"/>
      <c r="I2538" s="234"/>
      <c r="J2538" s="234"/>
    </row>
    <row r="2539" ht="15.75" customHeight="1">
      <c r="A2539" s="234"/>
      <c r="B2539" s="234"/>
      <c r="C2539" s="234"/>
      <c r="D2539" s="234"/>
      <c r="E2539" s="234"/>
      <c r="F2539" s="234"/>
      <c r="G2539" s="234"/>
      <c r="H2539" s="234"/>
      <c r="I2539" s="234"/>
      <c r="J2539" s="234"/>
    </row>
    <row r="2540" ht="15.75" customHeight="1">
      <c r="A2540" s="234"/>
      <c r="B2540" s="234"/>
      <c r="C2540" s="234"/>
      <c r="D2540" s="234"/>
      <c r="E2540" s="234"/>
      <c r="F2540" s="234"/>
      <c r="G2540" s="234"/>
      <c r="H2540" s="234"/>
      <c r="I2540" s="234"/>
      <c r="J2540" s="234"/>
    </row>
    <row r="2541" ht="15.75" customHeight="1">
      <c r="A2541" s="234"/>
      <c r="B2541" s="234"/>
      <c r="C2541" s="234"/>
      <c r="D2541" s="234"/>
      <c r="E2541" s="234"/>
      <c r="F2541" s="234"/>
      <c r="G2541" s="234"/>
      <c r="H2541" s="234"/>
      <c r="I2541" s="234"/>
      <c r="J2541" s="234"/>
    </row>
    <row r="2542" ht="15.75" customHeight="1">
      <c r="A2542" s="234"/>
      <c r="B2542" s="234"/>
      <c r="C2542" s="234"/>
      <c r="D2542" s="234"/>
      <c r="E2542" s="234"/>
      <c r="F2542" s="234"/>
      <c r="G2542" s="234"/>
      <c r="H2542" s="234"/>
      <c r="I2542" s="234"/>
      <c r="J2542" s="234"/>
    </row>
    <row r="2543" ht="15.75" customHeight="1">
      <c r="A2543" s="234"/>
      <c r="B2543" s="234"/>
      <c r="C2543" s="234"/>
      <c r="D2543" s="234"/>
      <c r="E2543" s="234"/>
      <c r="F2543" s="234"/>
      <c r="G2543" s="234"/>
      <c r="H2543" s="234"/>
      <c r="I2543" s="234"/>
      <c r="J2543" s="234"/>
    </row>
    <row r="2544" ht="15.75" customHeight="1">
      <c r="A2544" s="234"/>
      <c r="B2544" s="234"/>
      <c r="C2544" s="234"/>
      <c r="D2544" s="234"/>
      <c r="E2544" s="234"/>
      <c r="F2544" s="234"/>
      <c r="G2544" s="234"/>
      <c r="H2544" s="234"/>
      <c r="I2544" s="234"/>
      <c r="J2544" s="234"/>
    </row>
    <row r="2545" ht="15.75" customHeight="1">
      <c r="A2545" s="234"/>
      <c r="B2545" s="234"/>
      <c r="C2545" s="234"/>
      <c r="D2545" s="234"/>
      <c r="E2545" s="234"/>
      <c r="F2545" s="234"/>
      <c r="G2545" s="234"/>
      <c r="H2545" s="234"/>
      <c r="I2545" s="234"/>
      <c r="J2545" s="234"/>
    </row>
    <row r="2546" ht="15.75" customHeight="1">
      <c r="A2546" s="234"/>
      <c r="B2546" s="234"/>
      <c r="C2546" s="234"/>
      <c r="D2546" s="234"/>
      <c r="E2546" s="234"/>
      <c r="F2546" s="234"/>
      <c r="G2546" s="234"/>
      <c r="H2546" s="234"/>
      <c r="I2546" s="234"/>
      <c r="J2546" s="234"/>
    </row>
    <row r="2547" ht="15.75" customHeight="1">
      <c r="A2547" s="234"/>
      <c r="B2547" s="234"/>
      <c r="C2547" s="234"/>
      <c r="D2547" s="234"/>
      <c r="E2547" s="234"/>
      <c r="F2547" s="234"/>
      <c r="G2547" s="234"/>
      <c r="H2547" s="234"/>
      <c r="I2547" s="234"/>
      <c r="J2547" s="234"/>
    </row>
    <row r="2548" ht="15.75" customHeight="1">
      <c r="A2548" s="234"/>
      <c r="B2548" s="234"/>
      <c r="C2548" s="234"/>
      <c r="D2548" s="234"/>
      <c r="E2548" s="234"/>
      <c r="F2548" s="234"/>
      <c r="G2548" s="234"/>
      <c r="H2548" s="234"/>
      <c r="I2548" s="234"/>
      <c r="J2548" s="234"/>
    </row>
    <row r="2549" ht="15.75" customHeight="1">
      <c r="A2549" s="234"/>
      <c r="B2549" s="234"/>
      <c r="C2549" s="234"/>
      <c r="D2549" s="234"/>
      <c r="E2549" s="234"/>
      <c r="F2549" s="234"/>
      <c r="G2549" s="234"/>
      <c r="H2549" s="234"/>
      <c r="I2549" s="234"/>
      <c r="J2549" s="234"/>
    </row>
    <row r="2550" ht="15.75" customHeight="1">
      <c r="A2550" s="234"/>
      <c r="B2550" s="234"/>
      <c r="C2550" s="234"/>
      <c r="D2550" s="234"/>
      <c r="E2550" s="234"/>
      <c r="F2550" s="234"/>
      <c r="G2550" s="234"/>
      <c r="H2550" s="234"/>
      <c r="I2550" s="234"/>
      <c r="J2550" s="234"/>
    </row>
    <row r="2551" ht="15.75" customHeight="1">
      <c r="A2551" s="234"/>
      <c r="B2551" s="234"/>
      <c r="C2551" s="234"/>
      <c r="D2551" s="234"/>
      <c r="E2551" s="234"/>
      <c r="F2551" s="234"/>
      <c r="G2551" s="234"/>
      <c r="H2551" s="234"/>
      <c r="I2551" s="234"/>
      <c r="J2551" s="234"/>
    </row>
    <row r="2552" ht="15.75" customHeight="1">
      <c r="A2552" s="234"/>
      <c r="B2552" s="234"/>
      <c r="C2552" s="234"/>
      <c r="D2552" s="234"/>
      <c r="E2552" s="234"/>
      <c r="F2552" s="234"/>
      <c r="G2552" s="234"/>
      <c r="H2552" s="234"/>
      <c r="I2552" s="234"/>
      <c r="J2552" s="234"/>
    </row>
    <row r="2553" ht="15.75" customHeight="1">
      <c r="A2553" s="234"/>
      <c r="B2553" s="234"/>
      <c r="C2553" s="234"/>
      <c r="D2553" s="234"/>
      <c r="E2553" s="234"/>
      <c r="F2553" s="234"/>
      <c r="G2553" s="234"/>
      <c r="H2553" s="234"/>
      <c r="I2553" s="234"/>
      <c r="J2553" s="234"/>
    </row>
    <row r="2554" ht="15.75" customHeight="1">
      <c r="A2554" s="234"/>
      <c r="B2554" s="234"/>
      <c r="C2554" s="234"/>
      <c r="D2554" s="234"/>
      <c r="E2554" s="234"/>
      <c r="F2554" s="234"/>
      <c r="G2554" s="234"/>
      <c r="H2554" s="234"/>
      <c r="I2554" s="234"/>
      <c r="J2554" s="234"/>
    </row>
    <row r="2555" ht="15.75" customHeight="1">
      <c r="A2555" s="234"/>
      <c r="B2555" s="234"/>
      <c r="C2555" s="234"/>
      <c r="D2555" s="234"/>
      <c r="E2555" s="234"/>
      <c r="F2555" s="234"/>
      <c r="G2555" s="234"/>
      <c r="H2555" s="234"/>
      <c r="I2555" s="234"/>
      <c r="J2555" s="234"/>
    </row>
    <row r="2556" ht="15.75" customHeight="1">
      <c r="A2556" s="234"/>
      <c r="B2556" s="234"/>
      <c r="C2556" s="234"/>
      <c r="D2556" s="234"/>
      <c r="E2556" s="234"/>
      <c r="F2556" s="234"/>
      <c r="G2556" s="234"/>
      <c r="H2556" s="234"/>
      <c r="I2556" s="234"/>
      <c r="J2556" s="234"/>
    </row>
    <row r="2557" ht="15.75" customHeight="1">
      <c r="A2557" s="234"/>
      <c r="B2557" s="234"/>
      <c r="C2557" s="234"/>
      <c r="D2557" s="234"/>
      <c r="E2557" s="234"/>
      <c r="F2557" s="234"/>
      <c r="G2557" s="234"/>
      <c r="H2557" s="234"/>
      <c r="I2557" s="234"/>
      <c r="J2557" s="234"/>
    </row>
    <row r="2558" ht="15.75" customHeight="1">
      <c r="A2558" s="234"/>
      <c r="B2558" s="234"/>
      <c r="C2558" s="234"/>
      <c r="D2558" s="234"/>
      <c r="E2558" s="234"/>
      <c r="F2558" s="234"/>
      <c r="G2558" s="234"/>
      <c r="H2558" s="234"/>
      <c r="I2558" s="234"/>
      <c r="J2558" s="234"/>
    </row>
    <row r="2559" ht="15.75" customHeight="1">
      <c r="A2559" s="234"/>
      <c r="B2559" s="234"/>
      <c r="C2559" s="234"/>
      <c r="D2559" s="234"/>
      <c r="E2559" s="234"/>
      <c r="F2559" s="234"/>
      <c r="G2559" s="234"/>
      <c r="H2559" s="234"/>
      <c r="I2559" s="234"/>
      <c r="J2559" s="234"/>
    </row>
    <row r="2560" ht="15.75" customHeight="1">
      <c r="A2560" s="234"/>
      <c r="B2560" s="234"/>
      <c r="C2560" s="234"/>
      <c r="D2560" s="234"/>
      <c r="E2560" s="234"/>
      <c r="F2560" s="234"/>
      <c r="G2560" s="234"/>
      <c r="H2560" s="234"/>
      <c r="I2560" s="234"/>
      <c r="J2560" s="234"/>
    </row>
    <row r="2561" ht="15.75" customHeight="1">
      <c r="A2561" s="234"/>
      <c r="B2561" s="234"/>
      <c r="C2561" s="234"/>
      <c r="D2561" s="234"/>
      <c r="E2561" s="234"/>
      <c r="F2561" s="234"/>
      <c r="G2561" s="234"/>
      <c r="H2561" s="234"/>
      <c r="I2561" s="234"/>
      <c r="J2561" s="234"/>
    </row>
    <row r="2562" ht="15.75" customHeight="1">
      <c r="A2562" s="234"/>
      <c r="B2562" s="234"/>
      <c r="C2562" s="234"/>
      <c r="D2562" s="234"/>
      <c r="E2562" s="234"/>
      <c r="F2562" s="234"/>
      <c r="G2562" s="234"/>
      <c r="H2562" s="234"/>
      <c r="I2562" s="234"/>
      <c r="J2562" s="234"/>
    </row>
    <row r="2563" ht="15.75" customHeight="1">
      <c r="A2563" s="234"/>
      <c r="B2563" s="234"/>
      <c r="C2563" s="234"/>
      <c r="D2563" s="234"/>
      <c r="E2563" s="234"/>
      <c r="F2563" s="234"/>
      <c r="G2563" s="234"/>
      <c r="H2563" s="234"/>
      <c r="I2563" s="234"/>
      <c r="J2563" s="234"/>
    </row>
    <row r="2564" ht="15.75" customHeight="1">
      <c r="A2564" s="234"/>
      <c r="B2564" s="234"/>
      <c r="C2564" s="234"/>
      <c r="D2564" s="234"/>
      <c r="E2564" s="234"/>
      <c r="F2564" s="234"/>
      <c r="G2564" s="234"/>
      <c r="H2564" s="234"/>
      <c r="I2564" s="234"/>
      <c r="J2564" s="234"/>
    </row>
    <row r="2565" ht="15.75" customHeight="1">
      <c r="A2565" s="234"/>
      <c r="B2565" s="234"/>
      <c r="C2565" s="234"/>
      <c r="D2565" s="234"/>
      <c r="E2565" s="234"/>
      <c r="F2565" s="234"/>
      <c r="G2565" s="234"/>
      <c r="H2565" s="234"/>
      <c r="I2565" s="234"/>
      <c r="J2565" s="234"/>
    </row>
    <row r="2566" ht="15.75" customHeight="1">
      <c r="A2566" s="234"/>
      <c r="B2566" s="234"/>
      <c r="C2566" s="234"/>
      <c r="D2566" s="234"/>
      <c r="E2566" s="234"/>
      <c r="F2566" s="234"/>
      <c r="G2566" s="234"/>
      <c r="H2566" s="234"/>
      <c r="I2566" s="234"/>
      <c r="J2566" s="234"/>
    </row>
    <row r="2567" ht="15.75" customHeight="1">
      <c r="A2567" s="234"/>
      <c r="B2567" s="234"/>
      <c r="C2567" s="234"/>
      <c r="D2567" s="234"/>
      <c r="E2567" s="234"/>
      <c r="F2567" s="234"/>
      <c r="G2567" s="234"/>
      <c r="H2567" s="234"/>
      <c r="I2567" s="234"/>
      <c r="J2567" s="234"/>
    </row>
    <row r="2568" ht="15.75" customHeight="1">
      <c r="A2568" s="234"/>
      <c r="B2568" s="234"/>
      <c r="C2568" s="234"/>
      <c r="D2568" s="234"/>
      <c r="E2568" s="234"/>
      <c r="F2568" s="234"/>
      <c r="G2568" s="234"/>
      <c r="H2568" s="234"/>
      <c r="I2568" s="234"/>
      <c r="J2568" s="234"/>
    </row>
    <row r="2569" ht="15.75" customHeight="1">
      <c r="A2569" s="234"/>
      <c r="B2569" s="234"/>
      <c r="C2569" s="234"/>
      <c r="D2569" s="234"/>
      <c r="E2569" s="234"/>
      <c r="F2569" s="234"/>
      <c r="G2569" s="234"/>
      <c r="H2569" s="234"/>
      <c r="I2569" s="234"/>
      <c r="J2569" s="234"/>
    </row>
    <row r="2570" ht="15.75" customHeight="1">
      <c r="A2570" s="234"/>
      <c r="B2570" s="234"/>
      <c r="C2570" s="234"/>
      <c r="D2570" s="234"/>
      <c r="E2570" s="234"/>
      <c r="F2570" s="234"/>
      <c r="G2570" s="234"/>
      <c r="H2570" s="234"/>
      <c r="I2570" s="234"/>
      <c r="J2570" s="234"/>
    </row>
    <row r="2571" ht="15.75" customHeight="1">
      <c r="A2571" s="234"/>
      <c r="B2571" s="234"/>
      <c r="C2571" s="234"/>
      <c r="D2571" s="234"/>
      <c r="E2571" s="234"/>
      <c r="F2571" s="234"/>
      <c r="G2571" s="234"/>
      <c r="H2571" s="234"/>
      <c r="I2571" s="234"/>
      <c r="J2571" s="234"/>
    </row>
    <row r="2572" ht="15.75" customHeight="1">
      <c r="A2572" s="234"/>
      <c r="B2572" s="234"/>
      <c r="C2572" s="234"/>
      <c r="D2572" s="234"/>
      <c r="E2572" s="234"/>
      <c r="F2572" s="234"/>
      <c r="G2572" s="234"/>
      <c r="H2572" s="234"/>
      <c r="I2572" s="234"/>
      <c r="J2572" s="234"/>
    </row>
    <row r="2573" ht="15.75" customHeight="1">
      <c r="A2573" s="234"/>
      <c r="B2573" s="234"/>
      <c r="C2573" s="234"/>
      <c r="D2573" s="234"/>
      <c r="E2573" s="234"/>
      <c r="F2573" s="234"/>
      <c r="G2573" s="234"/>
      <c r="H2573" s="234"/>
      <c r="I2573" s="234"/>
      <c r="J2573" s="234"/>
    </row>
    <row r="2574" ht="15.75" customHeight="1">
      <c r="A2574" s="234"/>
      <c r="B2574" s="234"/>
      <c r="C2574" s="234"/>
      <c r="D2574" s="234"/>
      <c r="E2574" s="234"/>
      <c r="F2574" s="234"/>
      <c r="G2574" s="234"/>
      <c r="H2574" s="234"/>
      <c r="I2574" s="234"/>
      <c r="J2574" s="234"/>
    </row>
    <row r="2575" ht="15.75" customHeight="1">
      <c r="A2575" s="234"/>
      <c r="B2575" s="234"/>
      <c r="C2575" s="234"/>
      <c r="D2575" s="234"/>
      <c r="E2575" s="234"/>
      <c r="F2575" s="234"/>
      <c r="G2575" s="234"/>
      <c r="H2575" s="234"/>
      <c r="I2575" s="234"/>
      <c r="J2575" s="234"/>
    </row>
    <row r="2576" ht="15.75" customHeight="1">
      <c r="A2576" s="234"/>
      <c r="B2576" s="234"/>
      <c r="C2576" s="234"/>
      <c r="D2576" s="234"/>
      <c r="E2576" s="234"/>
      <c r="F2576" s="234"/>
      <c r="G2576" s="234"/>
      <c r="H2576" s="234"/>
      <c r="I2576" s="234"/>
      <c r="J2576" s="234"/>
    </row>
    <row r="2577" ht="15.75" customHeight="1">
      <c r="A2577" s="234"/>
      <c r="B2577" s="234"/>
      <c r="C2577" s="234"/>
      <c r="D2577" s="234"/>
      <c r="E2577" s="234"/>
      <c r="F2577" s="234"/>
      <c r="G2577" s="234"/>
      <c r="H2577" s="234"/>
      <c r="I2577" s="234"/>
      <c r="J2577" s="234"/>
    </row>
    <row r="2578" ht="15.75" customHeight="1">
      <c r="A2578" s="234"/>
      <c r="B2578" s="234"/>
      <c r="C2578" s="234"/>
      <c r="D2578" s="234"/>
      <c r="E2578" s="234"/>
      <c r="F2578" s="234"/>
      <c r="G2578" s="234"/>
      <c r="H2578" s="234"/>
      <c r="I2578" s="234"/>
      <c r="J2578" s="234"/>
    </row>
    <row r="2579" ht="15.75" customHeight="1">
      <c r="A2579" s="234"/>
      <c r="B2579" s="234"/>
      <c r="C2579" s="234"/>
      <c r="D2579" s="234"/>
      <c r="E2579" s="234"/>
      <c r="F2579" s="234"/>
      <c r="G2579" s="234"/>
      <c r="H2579" s="234"/>
      <c r="I2579" s="234"/>
      <c r="J2579" s="234"/>
    </row>
    <row r="2580" ht="15.75" customHeight="1">
      <c r="A2580" s="234"/>
      <c r="B2580" s="234"/>
      <c r="C2580" s="234"/>
      <c r="D2580" s="234"/>
      <c r="E2580" s="234"/>
      <c r="F2580" s="234"/>
      <c r="G2580" s="234"/>
      <c r="H2580" s="234"/>
      <c r="I2580" s="234"/>
      <c r="J2580" s="234"/>
    </row>
    <row r="2581" ht="15.75" customHeight="1">
      <c r="A2581" s="234"/>
      <c r="B2581" s="234"/>
      <c r="C2581" s="234"/>
      <c r="D2581" s="234"/>
      <c r="E2581" s="234"/>
      <c r="F2581" s="234"/>
      <c r="G2581" s="234"/>
      <c r="H2581" s="234"/>
      <c r="I2581" s="234"/>
      <c r="J2581" s="234"/>
    </row>
    <row r="2582" ht="15.75" customHeight="1">
      <c r="A2582" s="234"/>
      <c r="B2582" s="234"/>
      <c r="C2582" s="234"/>
      <c r="D2582" s="234"/>
      <c r="E2582" s="234"/>
      <c r="F2582" s="234"/>
      <c r="G2582" s="234"/>
      <c r="H2582" s="234"/>
      <c r="I2582" s="234"/>
      <c r="J2582" s="234"/>
    </row>
    <row r="2583" ht="15.75" customHeight="1">
      <c r="A2583" s="234"/>
      <c r="B2583" s="234"/>
      <c r="C2583" s="234"/>
      <c r="D2583" s="234"/>
      <c r="E2583" s="234"/>
      <c r="F2583" s="234"/>
      <c r="G2583" s="234"/>
      <c r="H2583" s="234"/>
      <c r="I2583" s="234"/>
      <c r="J2583" s="234"/>
    </row>
    <row r="2584" ht="15.75" customHeight="1">
      <c r="A2584" s="234"/>
      <c r="B2584" s="234"/>
      <c r="C2584" s="234"/>
      <c r="D2584" s="234"/>
      <c r="E2584" s="234"/>
      <c r="F2584" s="234"/>
      <c r="G2584" s="234"/>
      <c r="H2584" s="234"/>
      <c r="I2584" s="234"/>
      <c r="J2584" s="234"/>
    </row>
    <row r="2585" ht="15.75" customHeight="1">
      <c r="A2585" s="234"/>
      <c r="B2585" s="234"/>
      <c r="C2585" s="234"/>
      <c r="D2585" s="234"/>
      <c r="E2585" s="234"/>
      <c r="F2585" s="234"/>
      <c r="G2585" s="234"/>
      <c r="H2585" s="234"/>
      <c r="I2585" s="234"/>
      <c r="J2585" s="234"/>
    </row>
    <row r="2586" ht="15.75" customHeight="1">
      <c r="A2586" s="234"/>
      <c r="B2586" s="234"/>
      <c r="C2586" s="234"/>
      <c r="D2586" s="234"/>
      <c r="E2586" s="234"/>
      <c r="F2586" s="234"/>
      <c r="G2586" s="234"/>
      <c r="H2586" s="234"/>
      <c r="I2586" s="234"/>
      <c r="J2586" s="234"/>
    </row>
    <row r="2587" ht="15.75" customHeight="1">
      <c r="A2587" s="234"/>
      <c r="B2587" s="234"/>
      <c r="C2587" s="234"/>
      <c r="D2587" s="234"/>
      <c r="E2587" s="234"/>
      <c r="F2587" s="234"/>
      <c r="G2587" s="234"/>
      <c r="H2587" s="234"/>
      <c r="I2587" s="234"/>
      <c r="J2587" s="234"/>
    </row>
    <row r="2588" ht="15.75" customHeight="1">
      <c r="A2588" s="234"/>
      <c r="B2588" s="234"/>
      <c r="C2588" s="234"/>
      <c r="D2588" s="234"/>
      <c r="E2588" s="234"/>
      <c r="F2588" s="234"/>
      <c r="G2588" s="234"/>
      <c r="H2588" s="234"/>
      <c r="I2588" s="234"/>
      <c r="J2588" s="234"/>
    </row>
    <row r="2589" ht="15.75" customHeight="1">
      <c r="A2589" s="234"/>
      <c r="B2589" s="234"/>
      <c r="C2589" s="234"/>
      <c r="D2589" s="234"/>
      <c r="E2589" s="234"/>
      <c r="F2589" s="234"/>
      <c r="G2589" s="234"/>
      <c r="H2589" s="234"/>
      <c r="I2589" s="234"/>
      <c r="J2589" s="234"/>
    </row>
    <row r="2590" ht="15.75" customHeight="1">
      <c r="A2590" s="234"/>
      <c r="B2590" s="234"/>
      <c r="C2590" s="234"/>
      <c r="D2590" s="234"/>
      <c r="E2590" s="234"/>
      <c r="F2590" s="234"/>
      <c r="G2590" s="234"/>
      <c r="H2590" s="234"/>
      <c r="I2590" s="234"/>
      <c r="J2590" s="234"/>
    </row>
    <row r="2591" ht="15.75" customHeight="1">
      <c r="A2591" s="234"/>
      <c r="B2591" s="234"/>
      <c r="C2591" s="234"/>
      <c r="D2591" s="234"/>
      <c r="E2591" s="234"/>
      <c r="F2591" s="234"/>
      <c r="G2591" s="234"/>
      <c r="H2591" s="234"/>
      <c r="I2591" s="234"/>
      <c r="J2591" s="234"/>
    </row>
    <row r="2592" ht="15.75" customHeight="1">
      <c r="A2592" s="234"/>
      <c r="B2592" s="234"/>
      <c r="C2592" s="234"/>
      <c r="D2592" s="234"/>
      <c r="E2592" s="234"/>
      <c r="F2592" s="234"/>
      <c r="G2592" s="234"/>
      <c r="H2592" s="234"/>
      <c r="I2592" s="234"/>
      <c r="J2592" s="234"/>
    </row>
    <row r="2593" ht="15.75" customHeight="1">
      <c r="A2593" s="234"/>
      <c r="B2593" s="234"/>
      <c r="C2593" s="234"/>
      <c r="D2593" s="234"/>
      <c r="E2593" s="234"/>
      <c r="F2593" s="234"/>
      <c r="G2593" s="234"/>
      <c r="H2593" s="234"/>
      <c r="I2593" s="234"/>
      <c r="J2593" s="234"/>
    </row>
    <row r="2594" ht="15.75" customHeight="1">
      <c r="A2594" s="234"/>
      <c r="B2594" s="234"/>
      <c r="C2594" s="234"/>
      <c r="D2594" s="234"/>
      <c r="E2594" s="234"/>
      <c r="F2594" s="234"/>
      <c r="G2594" s="234"/>
      <c r="H2594" s="234"/>
      <c r="I2594" s="234"/>
      <c r="J2594" s="234"/>
    </row>
    <row r="2595" ht="15.75" customHeight="1">
      <c r="A2595" s="234"/>
      <c r="B2595" s="234"/>
      <c r="C2595" s="234"/>
      <c r="D2595" s="234"/>
      <c r="E2595" s="234"/>
      <c r="F2595" s="234"/>
      <c r="G2595" s="234"/>
      <c r="H2595" s="234"/>
      <c r="I2595" s="234"/>
      <c r="J2595" s="234"/>
    </row>
    <row r="2596" ht="15.75" customHeight="1">
      <c r="A2596" s="234"/>
      <c r="B2596" s="234"/>
      <c r="C2596" s="234"/>
      <c r="D2596" s="234"/>
      <c r="E2596" s="234"/>
      <c r="F2596" s="234"/>
      <c r="G2596" s="234"/>
      <c r="H2596" s="234"/>
      <c r="I2596" s="234"/>
      <c r="J2596" s="234"/>
    </row>
    <row r="2597" ht="15.75" customHeight="1">
      <c r="A2597" s="234"/>
      <c r="B2597" s="234"/>
      <c r="C2597" s="234"/>
      <c r="D2597" s="234"/>
      <c r="E2597" s="234"/>
      <c r="F2597" s="234"/>
      <c r="G2597" s="234"/>
      <c r="H2597" s="234"/>
      <c r="I2597" s="234"/>
      <c r="J2597" s="234"/>
    </row>
    <row r="2598" ht="15.75" customHeight="1">
      <c r="A2598" s="234"/>
      <c r="B2598" s="234"/>
      <c r="C2598" s="234"/>
      <c r="D2598" s="234"/>
      <c r="E2598" s="234"/>
      <c r="F2598" s="234"/>
      <c r="G2598" s="234"/>
      <c r="H2598" s="234"/>
      <c r="I2598" s="234"/>
      <c r="J2598" s="234"/>
    </row>
    <row r="2599" ht="15.75" customHeight="1">
      <c r="A2599" s="234"/>
      <c r="B2599" s="234"/>
      <c r="C2599" s="234"/>
      <c r="D2599" s="234"/>
      <c r="E2599" s="234"/>
      <c r="F2599" s="234"/>
      <c r="G2599" s="234"/>
      <c r="H2599" s="234"/>
      <c r="I2599" s="234"/>
      <c r="J2599" s="234"/>
    </row>
    <row r="2600" ht="15.75" customHeight="1">
      <c r="A2600" s="234"/>
      <c r="B2600" s="234"/>
      <c r="C2600" s="234"/>
      <c r="D2600" s="234"/>
      <c r="E2600" s="234"/>
      <c r="F2600" s="234"/>
      <c r="G2600" s="234"/>
      <c r="H2600" s="234"/>
      <c r="I2600" s="234"/>
      <c r="J2600" s="234"/>
    </row>
    <row r="2601" ht="15.75" customHeight="1">
      <c r="A2601" s="234"/>
      <c r="B2601" s="234"/>
      <c r="C2601" s="234"/>
      <c r="D2601" s="234"/>
      <c r="E2601" s="234"/>
      <c r="F2601" s="234"/>
      <c r="G2601" s="234"/>
      <c r="H2601" s="234"/>
      <c r="I2601" s="234"/>
      <c r="J2601" s="234"/>
    </row>
    <row r="2602" ht="15.75" customHeight="1">
      <c r="A2602" s="234"/>
      <c r="B2602" s="234"/>
      <c r="C2602" s="234"/>
      <c r="D2602" s="234"/>
      <c r="E2602" s="234"/>
      <c r="F2602" s="234"/>
      <c r="G2602" s="234"/>
      <c r="H2602" s="234"/>
      <c r="I2602" s="234"/>
      <c r="J2602" s="234"/>
    </row>
    <row r="2603" ht="15.75" customHeight="1">
      <c r="A2603" s="234"/>
      <c r="B2603" s="234"/>
      <c r="C2603" s="234"/>
      <c r="D2603" s="234"/>
      <c r="E2603" s="234"/>
      <c r="F2603" s="234"/>
      <c r="G2603" s="234"/>
      <c r="H2603" s="234"/>
      <c r="I2603" s="234"/>
      <c r="J2603" s="234"/>
    </row>
    <row r="2604" ht="15.75" customHeight="1">
      <c r="A2604" s="234"/>
      <c r="B2604" s="234"/>
      <c r="C2604" s="234"/>
      <c r="D2604" s="234"/>
      <c r="E2604" s="234"/>
      <c r="F2604" s="234"/>
      <c r="G2604" s="234"/>
      <c r="H2604" s="234"/>
      <c r="I2604" s="234"/>
      <c r="J2604" s="234"/>
    </row>
    <row r="2605" ht="15.75" customHeight="1">
      <c r="A2605" s="234"/>
      <c r="B2605" s="234"/>
      <c r="C2605" s="234"/>
      <c r="D2605" s="234"/>
      <c r="E2605" s="234"/>
      <c r="F2605" s="234"/>
      <c r="G2605" s="234"/>
      <c r="H2605" s="234"/>
      <c r="I2605" s="234"/>
      <c r="J2605" s="234"/>
    </row>
    <row r="2606" ht="15.75" customHeight="1">
      <c r="A2606" s="234"/>
      <c r="B2606" s="234"/>
      <c r="C2606" s="234"/>
      <c r="D2606" s="234"/>
      <c r="E2606" s="234"/>
      <c r="F2606" s="234"/>
      <c r="G2606" s="234"/>
      <c r="H2606" s="234"/>
      <c r="I2606" s="234"/>
      <c r="J2606" s="234"/>
    </row>
    <row r="2607" ht="15.75" customHeight="1">
      <c r="A2607" s="234"/>
      <c r="B2607" s="234"/>
      <c r="C2607" s="234"/>
      <c r="D2607" s="234"/>
      <c r="E2607" s="234"/>
      <c r="F2607" s="234"/>
      <c r="G2607" s="234"/>
      <c r="H2607" s="234"/>
      <c r="I2607" s="234"/>
      <c r="J2607" s="234"/>
    </row>
    <row r="2608" ht="15.75" customHeight="1">
      <c r="A2608" s="234"/>
      <c r="B2608" s="234"/>
      <c r="C2608" s="234"/>
      <c r="D2608" s="234"/>
      <c r="E2608" s="234"/>
      <c r="F2608" s="234"/>
      <c r="G2608" s="234"/>
      <c r="H2608" s="234"/>
      <c r="I2608" s="234"/>
      <c r="J2608" s="234"/>
    </row>
    <row r="2609" ht="15.75" customHeight="1">
      <c r="A2609" s="234"/>
      <c r="B2609" s="234"/>
      <c r="C2609" s="234"/>
      <c r="D2609" s="234"/>
      <c r="E2609" s="234"/>
      <c r="F2609" s="234"/>
      <c r="G2609" s="234"/>
      <c r="H2609" s="234"/>
      <c r="I2609" s="234"/>
      <c r="J2609" s="234"/>
    </row>
    <row r="2610" ht="15.75" customHeight="1">
      <c r="A2610" s="234"/>
      <c r="B2610" s="234"/>
      <c r="C2610" s="234"/>
      <c r="D2610" s="234"/>
      <c r="E2610" s="234"/>
      <c r="F2610" s="234"/>
      <c r="G2610" s="234"/>
      <c r="H2610" s="234"/>
      <c r="I2610" s="234"/>
      <c r="J2610" s="234"/>
    </row>
    <row r="2611" ht="15.75" customHeight="1">
      <c r="A2611" s="234"/>
      <c r="B2611" s="234"/>
      <c r="C2611" s="234"/>
      <c r="D2611" s="234"/>
      <c r="E2611" s="234"/>
      <c r="F2611" s="234"/>
      <c r="G2611" s="234"/>
      <c r="H2611" s="234"/>
      <c r="I2611" s="234"/>
      <c r="J2611" s="234"/>
    </row>
    <row r="2612" ht="15.75" customHeight="1">
      <c r="A2612" s="234"/>
      <c r="B2612" s="234"/>
      <c r="C2612" s="234"/>
      <c r="D2612" s="234"/>
      <c r="E2612" s="234"/>
      <c r="F2612" s="234"/>
      <c r="G2612" s="234"/>
      <c r="H2612" s="234"/>
      <c r="I2612" s="234"/>
      <c r="J2612" s="234"/>
    </row>
    <row r="2613" ht="15.75" customHeight="1">
      <c r="A2613" s="234"/>
      <c r="B2613" s="234"/>
      <c r="C2613" s="234"/>
      <c r="D2613" s="234"/>
      <c r="E2613" s="234"/>
      <c r="F2613" s="234"/>
      <c r="G2613" s="234"/>
      <c r="H2613" s="234"/>
      <c r="I2613" s="234"/>
      <c r="J2613" s="234"/>
    </row>
    <row r="2614" ht="15.75" customHeight="1">
      <c r="A2614" s="234"/>
      <c r="B2614" s="234"/>
      <c r="C2614" s="234"/>
      <c r="D2614" s="234"/>
      <c r="E2614" s="234"/>
      <c r="F2614" s="234"/>
      <c r="G2614" s="234"/>
      <c r="H2614" s="234"/>
      <c r="I2614" s="234"/>
      <c r="J2614" s="234"/>
    </row>
    <row r="2615" ht="15.75" customHeight="1">
      <c r="A2615" s="234"/>
      <c r="B2615" s="234"/>
      <c r="C2615" s="234"/>
      <c r="D2615" s="234"/>
      <c r="E2615" s="234"/>
      <c r="F2615" s="234"/>
      <c r="G2615" s="234"/>
      <c r="H2615" s="234"/>
      <c r="I2615" s="234"/>
      <c r="J2615" s="234"/>
    </row>
    <row r="2616" ht="15.75" customHeight="1">
      <c r="A2616" s="234"/>
      <c r="B2616" s="234"/>
      <c r="C2616" s="234"/>
      <c r="D2616" s="234"/>
      <c r="E2616" s="234"/>
      <c r="F2616" s="234"/>
      <c r="G2616" s="234"/>
      <c r="H2616" s="234"/>
      <c r="I2616" s="234"/>
      <c r="J2616" s="234"/>
    </row>
    <row r="2617" ht="15.75" customHeight="1">
      <c r="A2617" s="234"/>
      <c r="B2617" s="234"/>
      <c r="C2617" s="234"/>
      <c r="D2617" s="234"/>
      <c r="E2617" s="234"/>
      <c r="F2617" s="234"/>
      <c r="G2617" s="234"/>
      <c r="H2617" s="234"/>
      <c r="I2617" s="234"/>
      <c r="J2617" s="234"/>
    </row>
    <row r="2618" ht="15.75" customHeight="1">
      <c r="A2618" s="234"/>
      <c r="B2618" s="234"/>
      <c r="C2618" s="234"/>
      <c r="D2618" s="234"/>
      <c r="E2618" s="234"/>
      <c r="F2618" s="234"/>
      <c r="G2618" s="234"/>
      <c r="H2618" s="234"/>
      <c r="I2618" s="234"/>
      <c r="J2618" s="234"/>
    </row>
    <row r="2619" ht="15.75" customHeight="1">
      <c r="A2619" s="234"/>
      <c r="B2619" s="234"/>
      <c r="C2619" s="234"/>
      <c r="D2619" s="234"/>
      <c r="E2619" s="234"/>
      <c r="F2619" s="234"/>
      <c r="G2619" s="234"/>
      <c r="H2619" s="234"/>
      <c r="I2619" s="234"/>
      <c r="J2619" s="234"/>
    </row>
    <row r="2620" ht="15.75" customHeight="1">
      <c r="A2620" s="234"/>
      <c r="B2620" s="234"/>
      <c r="C2620" s="234"/>
      <c r="D2620" s="234"/>
      <c r="E2620" s="234"/>
      <c r="F2620" s="234"/>
      <c r="G2620" s="234"/>
      <c r="H2620" s="234"/>
      <c r="I2620" s="234"/>
      <c r="J2620" s="234"/>
    </row>
    <row r="2621" ht="15.75" customHeight="1">
      <c r="A2621" s="234"/>
      <c r="B2621" s="234"/>
      <c r="C2621" s="234"/>
      <c r="D2621" s="234"/>
      <c r="E2621" s="234"/>
      <c r="F2621" s="234"/>
      <c r="G2621" s="234"/>
      <c r="H2621" s="234"/>
      <c r="I2621" s="234"/>
      <c r="J2621" s="234"/>
    </row>
    <row r="2622" ht="15.75" customHeight="1">
      <c r="A2622" s="234"/>
      <c r="B2622" s="234"/>
      <c r="C2622" s="234"/>
      <c r="D2622" s="234"/>
      <c r="E2622" s="234"/>
      <c r="F2622" s="234"/>
      <c r="G2622" s="234"/>
      <c r="H2622" s="234"/>
      <c r="I2622" s="234"/>
      <c r="J2622" s="234"/>
    </row>
    <row r="2623" ht="15.75" customHeight="1">
      <c r="A2623" s="234"/>
      <c r="B2623" s="234"/>
      <c r="C2623" s="234"/>
      <c r="D2623" s="234"/>
      <c r="E2623" s="234"/>
      <c r="F2623" s="234"/>
      <c r="G2623" s="234"/>
      <c r="H2623" s="234"/>
      <c r="I2623" s="234"/>
      <c r="J2623" s="234"/>
    </row>
    <row r="2624" ht="15.75" customHeight="1">
      <c r="A2624" s="234"/>
      <c r="B2624" s="234"/>
      <c r="C2624" s="234"/>
      <c r="D2624" s="234"/>
      <c r="E2624" s="234"/>
      <c r="F2624" s="234"/>
      <c r="G2624" s="234"/>
      <c r="H2624" s="234"/>
      <c r="I2624" s="234"/>
      <c r="J2624" s="234"/>
    </row>
    <row r="2625" ht="15.75" customHeight="1">
      <c r="A2625" s="234"/>
      <c r="B2625" s="234"/>
      <c r="C2625" s="234"/>
      <c r="D2625" s="234"/>
      <c r="E2625" s="234"/>
      <c r="F2625" s="234"/>
      <c r="G2625" s="234"/>
      <c r="H2625" s="234"/>
      <c r="I2625" s="234"/>
      <c r="J2625" s="234"/>
    </row>
    <row r="2626" ht="15.75" customHeight="1">
      <c r="A2626" s="234"/>
      <c r="B2626" s="234"/>
      <c r="C2626" s="234"/>
      <c r="D2626" s="234"/>
      <c r="E2626" s="234"/>
      <c r="F2626" s="234"/>
      <c r="G2626" s="234"/>
      <c r="H2626" s="234"/>
      <c r="I2626" s="234"/>
      <c r="J2626" s="234"/>
    </row>
    <row r="2627" ht="15.75" customHeight="1">
      <c r="A2627" s="234"/>
      <c r="B2627" s="234"/>
      <c r="C2627" s="234"/>
      <c r="D2627" s="234"/>
      <c r="E2627" s="234"/>
      <c r="F2627" s="234"/>
      <c r="G2627" s="234"/>
      <c r="H2627" s="234"/>
      <c r="I2627" s="234"/>
      <c r="J2627" s="234"/>
    </row>
    <row r="2628" ht="15.75" customHeight="1">
      <c r="A2628" s="234"/>
      <c r="B2628" s="234"/>
      <c r="C2628" s="234"/>
      <c r="D2628" s="234"/>
      <c r="E2628" s="234"/>
      <c r="F2628" s="234"/>
      <c r="G2628" s="234"/>
      <c r="H2628" s="234"/>
      <c r="I2628" s="234"/>
      <c r="J2628" s="234"/>
    </row>
    <row r="2629" ht="15.75" customHeight="1">
      <c r="A2629" s="234"/>
      <c r="B2629" s="234"/>
      <c r="C2629" s="234"/>
      <c r="D2629" s="234"/>
      <c r="E2629" s="234"/>
      <c r="F2629" s="234"/>
      <c r="G2629" s="234"/>
      <c r="H2629" s="234"/>
      <c r="I2629" s="234"/>
      <c r="J2629" s="234"/>
    </row>
    <row r="2630" ht="15.75" customHeight="1">
      <c r="A2630" s="234"/>
      <c r="B2630" s="234"/>
      <c r="C2630" s="234"/>
      <c r="D2630" s="234"/>
      <c r="E2630" s="234"/>
      <c r="F2630" s="234"/>
      <c r="G2630" s="234"/>
      <c r="H2630" s="234"/>
      <c r="I2630" s="234"/>
      <c r="J2630" s="234"/>
    </row>
    <row r="2631" ht="15.75" customHeight="1">
      <c r="A2631" s="234"/>
      <c r="B2631" s="234"/>
      <c r="C2631" s="234"/>
      <c r="D2631" s="234"/>
      <c r="E2631" s="234"/>
      <c r="F2631" s="234"/>
      <c r="G2631" s="234"/>
      <c r="H2631" s="234"/>
      <c r="I2631" s="234"/>
      <c r="J2631" s="234"/>
    </row>
    <row r="2632" ht="15.75" customHeight="1">
      <c r="A2632" s="234"/>
      <c r="B2632" s="234"/>
      <c r="C2632" s="234"/>
      <c r="D2632" s="234"/>
      <c r="E2632" s="234"/>
      <c r="F2632" s="234"/>
      <c r="G2632" s="234"/>
      <c r="H2632" s="234"/>
      <c r="I2632" s="234"/>
      <c r="J2632" s="234"/>
    </row>
    <row r="2633" ht="15.75" customHeight="1">
      <c r="A2633" s="234"/>
      <c r="B2633" s="234"/>
      <c r="C2633" s="234"/>
      <c r="D2633" s="234"/>
      <c r="E2633" s="234"/>
      <c r="F2633" s="234"/>
      <c r="G2633" s="234"/>
      <c r="H2633" s="234"/>
      <c r="I2633" s="234"/>
      <c r="J2633" s="234"/>
    </row>
    <row r="2634" ht="15.75" customHeight="1">
      <c r="A2634" s="234"/>
      <c r="B2634" s="234"/>
      <c r="C2634" s="234"/>
      <c r="D2634" s="234"/>
      <c r="E2634" s="234"/>
      <c r="F2634" s="234"/>
      <c r="G2634" s="234"/>
      <c r="H2634" s="234"/>
      <c r="I2634" s="234"/>
      <c r="J2634" s="234"/>
    </row>
    <row r="2635" ht="15.75" customHeight="1">
      <c r="A2635" s="234"/>
      <c r="B2635" s="234"/>
      <c r="C2635" s="234"/>
      <c r="D2635" s="234"/>
      <c r="E2635" s="234"/>
      <c r="F2635" s="234"/>
      <c r="G2635" s="234"/>
      <c r="H2635" s="234"/>
      <c r="I2635" s="234"/>
      <c r="J2635" s="234"/>
    </row>
    <row r="2636" ht="15.75" customHeight="1">
      <c r="A2636" s="234"/>
      <c r="B2636" s="234"/>
      <c r="C2636" s="234"/>
      <c r="D2636" s="234"/>
      <c r="E2636" s="234"/>
      <c r="F2636" s="234"/>
      <c r="G2636" s="234"/>
      <c r="H2636" s="234"/>
      <c r="I2636" s="234"/>
      <c r="J2636" s="234"/>
    </row>
    <row r="2637" ht="15.75" customHeight="1">
      <c r="A2637" s="234"/>
      <c r="B2637" s="234"/>
      <c r="C2637" s="234"/>
      <c r="D2637" s="234"/>
      <c r="E2637" s="234"/>
      <c r="F2637" s="234"/>
      <c r="G2637" s="234"/>
      <c r="H2637" s="234"/>
      <c r="I2637" s="234"/>
      <c r="J2637" s="234"/>
    </row>
    <row r="2638" ht="15.75" customHeight="1">
      <c r="A2638" s="234"/>
      <c r="B2638" s="234"/>
      <c r="C2638" s="234"/>
      <c r="D2638" s="234"/>
      <c r="E2638" s="234"/>
      <c r="F2638" s="234"/>
      <c r="G2638" s="234"/>
      <c r="H2638" s="234"/>
      <c r="I2638" s="234"/>
      <c r="J2638" s="234"/>
    </row>
    <row r="2639" ht="15.75" customHeight="1">
      <c r="A2639" s="234"/>
      <c r="B2639" s="234"/>
      <c r="C2639" s="234"/>
      <c r="D2639" s="234"/>
      <c r="E2639" s="234"/>
      <c r="F2639" s="234"/>
      <c r="G2639" s="234"/>
      <c r="H2639" s="234"/>
      <c r="I2639" s="234"/>
      <c r="J2639" s="234"/>
    </row>
    <row r="2640" ht="15.75" customHeight="1">
      <c r="A2640" s="234"/>
      <c r="B2640" s="234"/>
      <c r="C2640" s="234"/>
      <c r="D2640" s="234"/>
      <c r="E2640" s="234"/>
      <c r="F2640" s="234"/>
      <c r="G2640" s="234"/>
      <c r="H2640" s="234"/>
      <c r="I2640" s="234"/>
      <c r="J2640" s="234"/>
    </row>
    <row r="2641" ht="15.75" customHeight="1">
      <c r="A2641" s="234"/>
      <c r="B2641" s="234"/>
      <c r="C2641" s="234"/>
      <c r="D2641" s="234"/>
      <c r="E2641" s="234"/>
      <c r="F2641" s="234"/>
      <c r="G2641" s="234"/>
      <c r="H2641" s="234"/>
      <c r="I2641" s="234"/>
      <c r="J2641" s="234"/>
    </row>
    <row r="2642" ht="15.75" customHeight="1">
      <c r="A2642" s="234"/>
      <c r="B2642" s="234"/>
      <c r="C2642" s="234"/>
      <c r="D2642" s="234"/>
      <c r="E2642" s="234"/>
      <c r="F2642" s="234"/>
      <c r="G2642" s="234"/>
      <c r="H2642" s="234"/>
      <c r="I2642" s="234"/>
      <c r="J2642" s="234"/>
    </row>
    <row r="2643" ht="15.75" customHeight="1">
      <c r="A2643" s="234"/>
      <c r="B2643" s="234"/>
      <c r="C2643" s="234"/>
      <c r="D2643" s="234"/>
      <c r="E2643" s="234"/>
      <c r="F2643" s="234"/>
      <c r="G2643" s="234"/>
      <c r="H2643" s="234"/>
      <c r="I2643" s="234"/>
      <c r="J2643" s="234"/>
    </row>
    <row r="2644" ht="15.75" customHeight="1">
      <c r="A2644" s="234"/>
      <c r="B2644" s="234"/>
      <c r="C2644" s="234"/>
      <c r="D2644" s="234"/>
      <c r="E2644" s="234"/>
      <c r="F2644" s="234"/>
      <c r="G2644" s="234"/>
      <c r="H2644" s="234"/>
      <c r="I2644" s="234"/>
      <c r="J2644" s="234"/>
    </row>
    <row r="2645" ht="15.75" customHeight="1">
      <c r="A2645" s="234"/>
      <c r="B2645" s="234"/>
      <c r="C2645" s="234"/>
      <c r="D2645" s="234"/>
      <c r="E2645" s="234"/>
      <c r="F2645" s="234"/>
      <c r="G2645" s="234"/>
      <c r="H2645" s="234"/>
      <c r="I2645" s="234"/>
      <c r="J2645" s="234"/>
    </row>
    <row r="2646" ht="15.75" customHeight="1">
      <c r="A2646" s="234"/>
      <c r="B2646" s="234"/>
      <c r="C2646" s="234"/>
      <c r="D2646" s="234"/>
      <c r="E2646" s="234"/>
      <c r="F2646" s="234"/>
      <c r="G2646" s="234"/>
      <c r="H2646" s="234"/>
      <c r="I2646" s="234"/>
      <c r="J2646" s="234"/>
    </row>
    <row r="2647" ht="15.75" customHeight="1">
      <c r="A2647" s="234"/>
      <c r="B2647" s="234"/>
      <c r="C2647" s="234"/>
      <c r="D2647" s="234"/>
      <c r="E2647" s="234"/>
      <c r="F2647" s="234"/>
      <c r="G2647" s="234"/>
      <c r="H2647" s="234"/>
      <c r="I2647" s="234"/>
      <c r="J2647" s="234"/>
    </row>
    <row r="2648" ht="15.75" customHeight="1">
      <c r="A2648" s="234"/>
      <c r="B2648" s="234"/>
      <c r="C2648" s="234"/>
      <c r="D2648" s="234"/>
      <c r="E2648" s="234"/>
      <c r="F2648" s="234"/>
      <c r="G2648" s="234"/>
      <c r="H2648" s="234"/>
      <c r="I2648" s="234"/>
      <c r="J2648" s="234"/>
    </row>
    <row r="2649" ht="15.75" customHeight="1">
      <c r="A2649" s="234"/>
      <c r="B2649" s="234"/>
      <c r="C2649" s="234"/>
      <c r="D2649" s="234"/>
      <c r="E2649" s="234"/>
      <c r="F2649" s="234"/>
      <c r="G2649" s="234"/>
      <c r="H2649" s="234"/>
      <c r="I2649" s="234"/>
      <c r="J2649" s="234"/>
    </row>
    <row r="2650" ht="15.75" customHeight="1">
      <c r="A2650" s="234"/>
      <c r="B2650" s="234"/>
      <c r="C2650" s="234"/>
      <c r="D2650" s="234"/>
      <c r="E2650" s="234"/>
      <c r="F2650" s="234"/>
      <c r="G2650" s="234"/>
      <c r="H2650" s="234"/>
      <c r="I2650" s="234"/>
      <c r="J2650" s="234"/>
    </row>
    <row r="2651" ht="15.75" customHeight="1">
      <c r="A2651" s="234"/>
      <c r="B2651" s="234"/>
      <c r="C2651" s="234"/>
      <c r="D2651" s="234"/>
      <c r="E2651" s="234"/>
      <c r="F2651" s="234"/>
      <c r="G2651" s="234"/>
      <c r="H2651" s="234"/>
      <c r="I2651" s="234"/>
      <c r="J2651" s="234"/>
    </row>
    <row r="2652" ht="15.75" customHeight="1">
      <c r="A2652" s="234"/>
      <c r="B2652" s="234"/>
      <c r="C2652" s="234"/>
      <c r="D2652" s="234"/>
      <c r="E2652" s="234"/>
      <c r="F2652" s="234"/>
      <c r="G2652" s="234"/>
      <c r="H2652" s="234"/>
      <c r="I2652" s="234"/>
      <c r="J2652" s="234"/>
    </row>
    <row r="2653" ht="15.75" customHeight="1">
      <c r="A2653" s="234"/>
      <c r="B2653" s="234"/>
      <c r="C2653" s="234"/>
      <c r="D2653" s="234"/>
      <c r="E2653" s="234"/>
      <c r="F2653" s="234"/>
      <c r="G2653" s="234"/>
      <c r="H2653" s="234"/>
      <c r="I2653" s="234"/>
      <c r="J2653" s="234"/>
    </row>
    <row r="2654" ht="15.75" customHeight="1">
      <c r="A2654" s="234"/>
      <c r="B2654" s="234"/>
      <c r="C2654" s="234"/>
      <c r="D2654" s="234"/>
      <c r="E2654" s="234"/>
      <c r="F2654" s="234"/>
      <c r="G2654" s="234"/>
      <c r="H2654" s="234"/>
      <c r="I2654" s="234"/>
      <c r="J2654" s="234"/>
    </row>
    <row r="2655" ht="15.75" customHeight="1">
      <c r="A2655" s="234"/>
      <c r="B2655" s="234"/>
      <c r="C2655" s="234"/>
      <c r="D2655" s="234"/>
      <c r="E2655" s="234"/>
      <c r="F2655" s="234"/>
      <c r="G2655" s="234"/>
      <c r="H2655" s="234"/>
      <c r="I2655" s="234"/>
      <c r="J2655" s="234"/>
    </row>
    <row r="2656" ht="15.75" customHeight="1">
      <c r="A2656" s="234"/>
      <c r="B2656" s="234"/>
      <c r="C2656" s="234"/>
      <c r="D2656" s="234"/>
      <c r="E2656" s="234"/>
      <c r="F2656" s="234"/>
      <c r="G2656" s="234"/>
      <c r="H2656" s="234"/>
      <c r="I2656" s="234"/>
      <c r="J2656" s="234"/>
    </row>
    <row r="2657" ht="15.75" customHeight="1">
      <c r="A2657" s="234"/>
      <c r="B2657" s="234"/>
      <c r="C2657" s="234"/>
      <c r="D2657" s="234"/>
      <c r="E2657" s="234"/>
      <c r="F2657" s="234"/>
      <c r="G2657" s="234"/>
      <c r="H2657" s="234"/>
      <c r="I2657" s="234"/>
      <c r="J2657" s="234"/>
    </row>
    <row r="2658" ht="15.75" customHeight="1">
      <c r="A2658" s="234"/>
      <c r="B2658" s="234"/>
      <c r="C2658" s="234"/>
      <c r="D2658" s="234"/>
      <c r="E2658" s="234"/>
      <c r="F2658" s="234"/>
      <c r="G2658" s="234"/>
      <c r="H2658" s="234"/>
      <c r="I2658" s="234"/>
      <c r="J2658" s="234"/>
    </row>
    <row r="2659" ht="15.75" customHeight="1">
      <c r="A2659" s="234"/>
      <c r="B2659" s="234"/>
      <c r="C2659" s="234"/>
      <c r="D2659" s="234"/>
      <c r="E2659" s="234"/>
      <c r="F2659" s="234"/>
      <c r="G2659" s="234"/>
      <c r="H2659" s="234"/>
      <c r="I2659" s="234"/>
      <c r="J2659" s="234"/>
    </row>
    <row r="2660" ht="15.75" customHeight="1">
      <c r="A2660" s="234"/>
      <c r="B2660" s="234"/>
      <c r="C2660" s="234"/>
      <c r="D2660" s="234"/>
      <c r="E2660" s="234"/>
      <c r="F2660" s="234"/>
      <c r="G2660" s="234"/>
      <c r="H2660" s="234"/>
      <c r="I2660" s="234"/>
      <c r="J2660" s="234"/>
    </row>
    <row r="2661" ht="15.75" customHeight="1">
      <c r="A2661" s="234"/>
      <c r="B2661" s="234"/>
      <c r="C2661" s="234"/>
      <c r="D2661" s="234"/>
      <c r="E2661" s="234"/>
      <c r="F2661" s="234"/>
      <c r="G2661" s="234"/>
      <c r="H2661" s="234"/>
      <c r="I2661" s="234"/>
      <c r="J2661" s="234"/>
    </row>
    <row r="2662" ht="15.75" customHeight="1">
      <c r="A2662" s="234"/>
      <c r="B2662" s="234"/>
      <c r="C2662" s="234"/>
      <c r="D2662" s="234"/>
      <c r="E2662" s="234"/>
      <c r="F2662" s="234"/>
      <c r="G2662" s="234"/>
      <c r="H2662" s="234"/>
      <c r="I2662" s="234"/>
      <c r="J2662" s="234"/>
    </row>
    <row r="2663" ht="15.75" customHeight="1">
      <c r="A2663" s="234"/>
      <c r="B2663" s="234"/>
      <c r="C2663" s="234"/>
      <c r="D2663" s="234"/>
      <c r="E2663" s="234"/>
      <c r="F2663" s="234"/>
      <c r="G2663" s="234"/>
      <c r="H2663" s="234"/>
      <c r="I2663" s="234"/>
      <c r="J2663" s="234"/>
    </row>
    <row r="2664" ht="15.75" customHeight="1">
      <c r="A2664" s="234"/>
      <c r="B2664" s="234"/>
      <c r="C2664" s="234"/>
      <c r="D2664" s="234"/>
      <c r="E2664" s="234"/>
      <c r="F2664" s="234"/>
      <c r="G2664" s="234"/>
      <c r="H2664" s="234"/>
      <c r="I2664" s="234"/>
      <c r="J2664" s="234"/>
    </row>
    <row r="2665" ht="15.75" customHeight="1">
      <c r="A2665" s="234"/>
      <c r="B2665" s="234"/>
      <c r="C2665" s="234"/>
      <c r="D2665" s="234"/>
      <c r="E2665" s="234"/>
      <c r="F2665" s="234"/>
      <c r="G2665" s="234"/>
      <c r="H2665" s="234"/>
      <c r="I2665" s="234"/>
      <c r="J2665" s="234"/>
    </row>
    <row r="2666" ht="15.75" customHeight="1">
      <c r="A2666" s="234"/>
      <c r="B2666" s="234"/>
      <c r="C2666" s="234"/>
      <c r="D2666" s="234"/>
      <c r="E2666" s="234"/>
      <c r="F2666" s="234"/>
      <c r="G2666" s="234"/>
      <c r="H2666" s="234"/>
      <c r="I2666" s="234"/>
      <c r="J2666" s="234"/>
    </row>
    <row r="2667" ht="15.75" customHeight="1">
      <c r="A2667" s="234"/>
      <c r="B2667" s="234"/>
      <c r="C2667" s="234"/>
      <c r="D2667" s="234"/>
      <c r="E2667" s="234"/>
      <c r="F2667" s="234"/>
      <c r="G2667" s="234"/>
      <c r="H2667" s="234"/>
      <c r="I2667" s="234"/>
      <c r="J2667" s="234"/>
    </row>
    <row r="2668" ht="15.75" customHeight="1">
      <c r="A2668" s="234"/>
      <c r="B2668" s="234"/>
      <c r="C2668" s="234"/>
      <c r="D2668" s="234"/>
      <c r="E2668" s="234"/>
      <c r="F2668" s="234"/>
      <c r="G2668" s="234"/>
      <c r="H2668" s="234"/>
      <c r="I2668" s="234"/>
      <c r="J2668" s="234"/>
    </row>
    <row r="2669" ht="15.75" customHeight="1">
      <c r="A2669" s="234"/>
      <c r="B2669" s="234"/>
      <c r="C2669" s="234"/>
      <c r="D2669" s="234"/>
      <c r="E2669" s="234"/>
      <c r="F2669" s="234"/>
      <c r="G2669" s="234"/>
      <c r="H2669" s="234"/>
      <c r="I2669" s="234"/>
      <c r="J2669" s="234"/>
    </row>
    <row r="2670" ht="15.75" customHeight="1">
      <c r="A2670" s="234"/>
      <c r="B2670" s="234"/>
      <c r="C2670" s="234"/>
      <c r="D2670" s="234"/>
      <c r="E2670" s="234"/>
      <c r="F2670" s="234"/>
      <c r="G2670" s="234"/>
      <c r="H2670" s="234"/>
      <c r="I2670" s="234"/>
      <c r="J2670" s="234"/>
    </row>
    <row r="2671" ht="15.75" customHeight="1">
      <c r="A2671" s="234"/>
      <c r="B2671" s="234"/>
      <c r="C2671" s="234"/>
      <c r="D2671" s="234"/>
      <c r="E2671" s="234"/>
      <c r="F2671" s="234"/>
      <c r="G2671" s="234"/>
      <c r="H2671" s="234"/>
      <c r="I2671" s="234"/>
      <c r="J2671" s="234"/>
    </row>
    <row r="2672" ht="15.75" customHeight="1">
      <c r="A2672" s="234"/>
      <c r="B2672" s="234"/>
      <c r="C2672" s="234"/>
      <c r="D2672" s="234"/>
      <c r="E2672" s="234"/>
      <c r="F2672" s="234"/>
      <c r="G2672" s="234"/>
      <c r="H2672" s="234"/>
      <c r="I2672" s="234"/>
      <c r="J2672" s="234"/>
    </row>
    <row r="2673" ht="15.75" customHeight="1">
      <c r="A2673" s="234"/>
      <c r="B2673" s="234"/>
      <c r="C2673" s="234"/>
      <c r="D2673" s="234"/>
      <c r="E2673" s="234"/>
      <c r="F2673" s="234"/>
      <c r="G2673" s="234"/>
      <c r="H2673" s="234"/>
      <c r="I2673" s="234"/>
      <c r="J2673" s="234"/>
    </row>
    <row r="2674" ht="15.75" customHeight="1">
      <c r="A2674" s="234"/>
      <c r="B2674" s="234"/>
      <c r="C2674" s="234"/>
      <c r="D2674" s="234"/>
      <c r="E2674" s="234"/>
      <c r="F2674" s="234"/>
      <c r="G2674" s="234"/>
      <c r="H2674" s="234"/>
      <c r="I2674" s="234"/>
      <c r="J2674" s="234"/>
    </row>
    <row r="2675" ht="15.75" customHeight="1">
      <c r="A2675" s="234"/>
      <c r="B2675" s="234"/>
      <c r="C2675" s="234"/>
      <c r="D2675" s="234"/>
      <c r="E2675" s="234"/>
      <c r="F2675" s="234"/>
      <c r="G2675" s="234"/>
      <c r="H2675" s="234"/>
      <c r="I2675" s="234"/>
      <c r="J2675" s="234"/>
    </row>
    <row r="2676" ht="15.75" customHeight="1">
      <c r="A2676" s="234"/>
      <c r="B2676" s="234"/>
      <c r="C2676" s="234"/>
      <c r="D2676" s="234"/>
      <c r="E2676" s="234"/>
      <c r="F2676" s="234"/>
      <c r="G2676" s="234"/>
      <c r="H2676" s="234"/>
      <c r="I2676" s="234"/>
      <c r="J2676" s="234"/>
    </row>
    <row r="2677" ht="15.75" customHeight="1">
      <c r="A2677" s="234"/>
      <c r="B2677" s="234"/>
      <c r="C2677" s="234"/>
      <c r="D2677" s="234"/>
      <c r="E2677" s="234"/>
      <c r="F2677" s="234"/>
      <c r="G2677" s="234"/>
      <c r="H2677" s="234"/>
      <c r="I2677" s="234"/>
      <c r="J2677" s="234"/>
    </row>
    <row r="2678" ht="15.75" customHeight="1">
      <c r="A2678" s="234"/>
      <c r="B2678" s="234"/>
      <c r="C2678" s="234"/>
      <c r="D2678" s="234"/>
      <c r="E2678" s="234"/>
      <c r="F2678" s="234"/>
      <c r="G2678" s="234"/>
      <c r="H2678" s="234"/>
      <c r="I2678" s="234"/>
      <c r="J2678" s="234"/>
    </row>
    <row r="2679" ht="15.75" customHeight="1">
      <c r="A2679" s="234"/>
      <c r="B2679" s="234"/>
      <c r="C2679" s="234"/>
      <c r="D2679" s="234"/>
      <c r="E2679" s="234"/>
      <c r="F2679" s="234"/>
      <c r="G2679" s="234"/>
      <c r="H2679" s="234"/>
      <c r="I2679" s="234"/>
      <c r="J2679" s="234"/>
    </row>
    <row r="2680" ht="15.75" customHeight="1">
      <c r="A2680" s="234"/>
      <c r="B2680" s="234"/>
      <c r="C2680" s="234"/>
      <c r="D2680" s="234"/>
      <c r="E2680" s="234"/>
      <c r="F2680" s="234"/>
      <c r="G2680" s="234"/>
      <c r="H2680" s="234"/>
      <c r="I2680" s="234"/>
      <c r="J2680" s="234"/>
    </row>
    <row r="2681" ht="15.75" customHeight="1">
      <c r="A2681" s="234"/>
      <c r="B2681" s="234"/>
      <c r="C2681" s="234"/>
      <c r="D2681" s="234"/>
      <c r="E2681" s="234"/>
      <c r="F2681" s="234"/>
      <c r="G2681" s="234"/>
      <c r="H2681" s="234"/>
      <c r="I2681" s="234"/>
      <c r="J2681" s="234"/>
    </row>
    <row r="2682" ht="15.75" customHeight="1">
      <c r="A2682" s="234"/>
      <c r="B2682" s="234"/>
      <c r="C2682" s="234"/>
      <c r="D2682" s="234"/>
      <c r="E2682" s="234"/>
      <c r="F2682" s="234"/>
      <c r="G2682" s="234"/>
      <c r="H2682" s="234"/>
      <c r="I2682" s="234"/>
      <c r="J2682" s="234"/>
    </row>
    <row r="2683" ht="15.75" customHeight="1">
      <c r="A2683" s="234"/>
      <c r="B2683" s="234"/>
      <c r="C2683" s="234"/>
      <c r="D2683" s="234"/>
      <c r="E2683" s="234"/>
      <c r="F2683" s="234"/>
      <c r="G2683" s="234"/>
      <c r="H2683" s="234"/>
      <c r="I2683" s="234"/>
      <c r="J2683" s="234"/>
    </row>
    <row r="2684" ht="15.75" customHeight="1">
      <c r="A2684" s="234"/>
      <c r="B2684" s="234"/>
      <c r="C2684" s="234"/>
      <c r="D2684" s="234"/>
      <c r="E2684" s="234"/>
      <c r="F2684" s="234"/>
      <c r="G2684" s="234"/>
      <c r="H2684" s="234"/>
      <c r="I2684" s="234"/>
      <c r="J2684" s="234"/>
    </row>
    <row r="2685" ht="15.75" customHeight="1">
      <c r="A2685" s="234"/>
      <c r="B2685" s="234"/>
      <c r="C2685" s="234"/>
      <c r="D2685" s="234"/>
      <c r="E2685" s="234"/>
      <c r="F2685" s="234"/>
      <c r="G2685" s="234"/>
      <c r="H2685" s="234"/>
      <c r="I2685" s="234"/>
      <c r="J2685" s="234"/>
    </row>
    <row r="2686" ht="15.75" customHeight="1">
      <c r="A2686" s="234"/>
      <c r="B2686" s="234"/>
      <c r="C2686" s="234"/>
      <c r="D2686" s="234"/>
      <c r="E2686" s="234"/>
      <c r="F2686" s="234"/>
      <c r="G2686" s="234"/>
      <c r="H2686" s="234"/>
      <c r="I2686" s="234"/>
      <c r="J2686" s="234"/>
    </row>
    <row r="2687" ht="15.75" customHeight="1">
      <c r="A2687" s="234"/>
      <c r="B2687" s="234"/>
      <c r="C2687" s="234"/>
      <c r="D2687" s="234"/>
      <c r="E2687" s="234"/>
      <c r="F2687" s="234"/>
      <c r="G2687" s="234"/>
      <c r="H2687" s="234"/>
      <c r="I2687" s="234"/>
      <c r="J2687" s="234"/>
    </row>
    <row r="2688" ht="15.75" customHeight="1">
      <c r="A2688" s="234"/>
      <c r="B2688" s="234"/>
      <c r="C2688" s="234"/>
      <c r="D2688" s="234"/>
      <c r="E2688" s="234"/>
      <c r="F2688" s="234"/>
      <c r="G2688" s="234"/>
      <c r="H2688" s="234"/>
      <c r="I2688" s="234"/>
      <c r="J2688" s="234"/>
    </row>
    <row r="2689" ht="15.75" customHeight="1">
      <c r="A2689" s="234"/>
      <c r="B2689" s="234"/>
      <c r="C2689" s="234"/>
      <c r="D2689" s="234"/>
      <c r="E2689" s="234"/>
      <c r="F2689" s="234"/>
      <c r="G2689" s="234"/>
      <c r="H2689" s="234"/>
      <c r="I2689" s="234"/>
      <c r="J2689" s="234"/>
    </row>
    <row r="2690" ht="15.75" customHeight="1">
      <c r="A2690" s="234"/>
      <c r="B2690" s="234"/>
      <c r="C2690" s="234"/>
      <c r="D2690" s="234"/>
      <c r="E2690" s="234"/>
      <c r="F2690" s="234"/>
      <c r="G2690" s="234"/>
      <c r="H2690" s="234"/>
      <c r="I2690" s="234"/>
      <c r="J2690" s="234"/>
    </row>
    <row r="2691" ht="15.75" customHeight="1">
      <c r="A2691" s="234"/>
      <c r="B2691" s="234"/>
      <c r="C2691" s="234"/>
      <c r="D2691" s="234"/>
      <c r="E2691" s="234"/>
      <c r="F2691" s="234"/>
      <c r="G2691" s="234"/>
      <c r="H2691" s="234"/>
      <c r="I2691" s="234"/>
      <c r="J2691" s="234"/>
    </row>
    <row r="2692" ht="15.75" customHeight="1">
      <c r="A2692" s="234"/>
      <c r="B2692" s="234"/>
      <c r="C2692" s="234"/>
      <c r="D2692" s="234"/>
      <c r="E2692" s="234"/>
      <c r="F2692" s="234"/>
      <c r="G2692" s="234"/>
      <c r="H2692" s="234"/>
      <c r="I2692" s="234"/>
      <c r="J2692" s="234"/>
    </row>
    <row r="2693" ht="15.75" customHeight="1">
      <c r="A2693" s="234"/>
      <c r="B2693" s="234"/>
      <c r="C2693" s="234"/>
      <c r="D2693" s="234"/>
      <c r="E2693" s="234"/>
      <c r="F2693" s="234"/>
      <c r="G2693" s="234"/>
      <c r="H2693" s="234"/>
      <c r="I2693" s="234"/>
      <c r="J2693" s="234"/>
    </row>
    <row r="2694" ht="15.75" customHeight="1">
      <c r="A2694" s="234"/>
      <c r="B2694" s="234"/>
      <c r="C2694" s="234"/>
      <c r="D2694" s="234"/>
      <c r="E2694" s="234"/>
      <c r="F2694" s="234"/>
      <c r="G2694" s="234"/>
      <c r="H2694" s="234"/>
      <c r="I2694" s="234"/>
      <c r="J2694" s="234"/>
    </row>
    <row r="2695" ht="15.75" customHeight="1">
      <c r="A2695" s="234"/>
      <c r="B2695" s="234"/>
      <c r="C2695" s="234"/>
      <c r="D2695" s="234"/>
      <c r="E2695" s="234"/>
      <c r="F2695" s="234"/>
      <c r="G2695" s="234"/>
      <c r="H2695" s="234"/>
      <c r="I2695" s="234"/>
      <c r="J2695" s="234"/>
    </row>
    <row r="2696" ht="15.75" customHeight="1">
      <c r="A2696" s="234"/>
      <c r="B2696" s="234"/>
      <c r="C2696" s="234"/>
      <c r="D2696" s="234"/>
      <c r="E2696" s="234"/>
      <c r="F2696" s="234"/>
      <c r="G2696" s="234"/>
      <c r="H2696" s="234"/>
      <c r="I2696" s="234"/>
      <c r="J2696" s="234"/>
    </row>
    <row r="2697" ht="15.75" customHeight="1">
      <c r="A2697" s="234"/>
      <c r="B2697" s="234"/>
      <c r="C2697" s="234"/>
      <c r="D2697" s="234"/>
      <c r="E2697" s="234"/>
      <c r="F2697" s="234"/>
      <c r="G2697" s="234"/>
      <c r="H2697" s="234"/>
      <c r="I2697" s="234"/>
      <c r="J2697" s="234"/>
    </row>
    <row r="2698" ht="15.75" customHeight="1">
      <c r="A2698" s="234"/>
      <c r="B2698" s="234"/>
      <c r="C2698" s="234"/>
      <c r="D2698" s="234"/>
      <c r="E2698" s="234"/>
      <c r="F2698" s="234"/>
      <c r="G2698" s="234"/>
      <c r="H2698" s="234"/>
      <c r="I2698" s="234"/>
      <c r="J2698" s="234"/>
    </row>
    <row r="2699" ht="15.75" customHeight="1">
      <c r="A2699" s="234"/>
      <c r="B2699" s="234"/>
      <c r="C2699" s="234"/>
      <c r="D2699" s="234"/>
      <c r="E2699" s="234"/>
      <c r="F2699" s="234"/>
      <c r="G2699" s="234"/>
      <c r="H2699" s="234"/>
      <c r="I2699" s="234"/>
      <c r="J2699" s="234"/>
    </row>
    <row r="2700" ht="15.75" customHeight="1">
      <c r="A2700" s="234"/>
      <c r="B2700" s="234"/>
      <c r="C2700" s="234"/>
      <c r="D2700" s="234"/>
      <c r="E2700" s="234"/>
      <c r="F2700" s="234"/>
      <c r="G2700" s="234"/>
      <c r="H2700" s="234"/>
      <c r="I2700" s="234"/>
      <c r="J2700" s="234"/>
    </row>
    <row r="2701" ht="15.75" customHeight="1">
      <c r="A2701" s="234"/>
      <c r="B2701" s="234"/>
      <c r="C2701" s="234"/>
      <c r="D2701" s="234"/>
      <c r="E2701" s="234"/>
      <c r="F2701" s="234"/>
      <c r="G2701" s="234"/>
      <c r="H2701" s="234"/>
      <c r="I2701" s="234"/>
      <c r="J2701" s="234"/>
    </row>
    <row r="2702" ht="15.75" customHeight="1">
      <c r="A2702" s="234"/>
      <c r="B2702" s="234"/>
      <c r="C2702" s="234"/>
      <c r="D2702" s="234"/>
      <c r="E2702" s="234"/>
      <c r="F2702" s="234"/>
      <c r="G2702" s="234"/>
      <c r="H2702" s="234"/>
      <c r="I2702" s="234"/>
      <c r="J2702" s="234"/>
    </row>
    <row r="2703" ht="15.75" customHeight="1">
      <c r="A2703" s="234"/>
      <c r="B2703" s="234"/>
      <c r="C2703" s="234"/>
      <c r="D2703" s="234"/>
      <c r="E2703" s="234"/>
      <c r="F2703" s="234"/>
      <c r="G2703" s="234"/>
      <c r="H2703" s="234"/>
      <c r="I2703" s="234"/>
      <c r="J2703" s="234"/>
    </row>
    <row r="2704" ht="15.75" customHeight="1">
      <c r="A2704" s="234"/>
      <c r="B2704" s="234"/>
      <c r="C2704" s="234"/>
      <c r="D2704" s="234"/>
      <c r="E2704" s="234"/>
      <c r="F2704" s="234"/>
      <c r="G2704" s="234"/>
      <c r="H2704" s="234"/>
      <c r="I2704" s="234"/>
      <c r="J2704" s="234"/>
    </row>
    <row r="2705" ht="15.75" customHeight="1">
      <c r="A2705" s="234"/>
      <c r="B2705" s="234"/>
      <c r="C2705" s="234"/>
      <c r="D2705" s="234"/>
      <c r="E2705" s="234"/>
      <c r="F2705" s="234"/>
      <c r="G2705" s="234"/>
      <c r="H2705" s="234"/>
      <c r="I2705" s="234"/>
      <c r="J2705" s="234"/>
    </row>
    <row r="2706" ht="15.75" customHeight="1">
      <c r="A2706" s="234"/>
      <c r="B2706" s="234"/>
      <c r="C2706" s="234"/>
      <c r="D2706" s="234"/>
      <c r="E2706" s="234"/>
      <c r="F2706" s="234"/>
      <c r="G2706" s="234"/>
      <c r="H2706" s="234"/>
      <c r="I2706" s="234"/>
      <c r="J2706" s="234"/>
    </row>
    <row r="2707" ht="15.75" customHeight="1">
      <c r="A2707" s="234"/>
      <c r="B2707" s="234"/>
      <c r="C2707" s="234"/>
      <c r="D2707" s="234"/>
      <c r="E2707" s="234"/>
      <c r="F2707" s="234"/>
      <c r="G2707" s="234"/>
      <c r="H2707" s="234"/>
      <c r="I2707" s="234"/>
      <c r="J2707" s="234"/>
    </row>
    <row r="2708" ht="15.75" customHeight="1">
      <c r="A2708" s="234"/>
      <c r="B2708" s="234"/>
      <c r="C2708" s="234"/>
      <c r="D2708" s="234"/>
      <c r="E2708" s="234"/>
      <c r="F2708" s="234"/>
      <c r="G2708" s="234"/>
      <c r="H2708" s="234"/>
      <c r="I2708" s="234"/>
      <c r="J2708" s="234"/>
    </row>
    <row r="2709" ht="15.75" customHeight="1">
      <c r="A2709" s="234"/>
      <c r="B2709" s="234"/>
      <c r="C2709" s="234"/>
      <c r="D2709" s="234"/>
      <c r="E2709" s="234"/>
      <c r="F2709" s="234"/>
      <c r="G2709" s="234"/>
      <c r="H2709" s="234"/>
      <c r="I2709" s="234"/>
      <c r="J2709" s="234"/>
    </row>
    <row r="2710" ht="15.75" customHeight="1">
      <c r="A2710" s="234"/>
      <c r="B2710" s="234"/>
      <c r="C2710" s="234"/>
      <c r="D2710" s="234"/>
      <c r="E2710" s="234"/>
      <c r="F2710" s="234"/>
      <c r="G2710" s="234"/>
      <c r="H2710" s="234"/>
      <c r="I2710" s="234"/>
      <c r="J2710" s="234"/>
    </row>
    <row r="2711" ht="15.75" customHeight="1">
      <c r="A2711" s="234"/>
      <c r="B2711" s="234"/>
      <c r="C2711" s="234"/>
      <c r="D2711" s="234"/>
      <c r="E2711" s="234"/>
      <c r="F2711" s="234"/>
      <c r="G2711" s="234"/>
      <c r="H2711" s="234"/>
      <c r="I2711" s="234"/>
      <c r="J2711" s="234"/>
    </row>
    <row r="2712" ht="15.75" customHeight="1">
      <c r="A2712" s="234"/>
      <c r="B2712" s="234"/>
      <c r="C2712" s="234"/>
      <c r="D2712" s="234"/>
      <c r="E2712" s="234"/>
      <c r="F2712" s="234"/>
      <c r="G2712" s="234"/>
      <c r="H2712" s="234"/>
      <c r="I2712" s="234"/>
      <c r="J2712" s="234"/>
    </row>
    <row r="2713" ht="15.75" customHeight="1">
      <c r="A2713" s="234"/>
      <c r="B2713" s="234"/>
      <c r="C2713" s="234"/>
      <c r="D2713" s="234"/>
      <c r="E2713" s="234"/>
      <c r="F2713" s="234"/>
      <c r="G2713" s="234"/>
      <c r="H2713" s="234"/>
      <c r="I2713" s="234"/>
      <c r="J2713" s="234"/>
    </row>
    <row r="2714" ht="15.75" customHeight="1">
      <c r="A2714" s="234"/>
      <c r="B2714" s="234"/>
      <c r="C2714" s="234"/>
      <c r="D2714" s="234"/>
      <c r="E2714" s="234"/>
      <c r="F2714" s="234"/>
      <c r="G2714" s="234"/>
      <c r="H2714" s="234"/>
      <c r="I2714" s="234"/>
      <c r="J2714" s="234"/>
    </row>
    <row r="2715" ht="15.75" customHeight="1">
      <c r="A2715" s="234"/>
      <c r="B2715" s="234"/>
      <c r="C2715" s="234"/>
      <c r="D2715" s="234"/>
      <c r="E2715" s="234"/>
      <c r="F2715" s="234"/>
      <c r="G2715" s="234"/>
      <c r="H2715" s="234"/>
      <c r="I2715" s="234"/>
      <c r="J2715" s="234"/>
    </row>
    <row r="2716" ht="15.75" customHeight="1">
      <c r="A2716" s="234"/>
      <c r="B2716" s="234"/>
      <c r="C2716" s="234"/>
      <c r="D2716" s="234"/>
      <c r="E2716" s="234"/>
      <c r="F2716" s="234"/>
      <c r="G2716" s="234"/>
      <c r="H2716" s="234"/>
      <c r="I2716" s="234"/>
      <c r="J2716" s="234"/>
    </row>
    <row r="2717" ht="15.75" customHeight="1">
      <c r="A2717" s="234"/>
      <c r="B2717" s="234"/>
      <c r="C2717" s="234"/>
      <c r="D2717" s="234"/>
      <c r="E2717" s="234"/>
      <c r="F2717" s="234"/>
      <c r="G2717" s="234"/>
      <c r="H2717" s="234"/>
      <c r="I2717" s="234"/>
      <c r="J2717" s="234"/>
    </row>
    <row r="2718" ht="15.75" customHeight="1">
      <c r="A2718" s="234"/>
      <c r="B2718" s="234"/>
      <c r="C2718" s="234"/>
      <c r="D2718" s="234"/>
      <c r="E2718" s="234"/>
      <c r="F2718" s="234"/>
      <c r="G2718" s="234"/>
      <c r="H2718" s="234"/>
      <c r="I2718" s="234"/>
      <c r="J2718" s="234"/>
    </row>
    <row r="2719" ht="15.75" customHeight="1">
      <c r="A2719" s="234"/>
      <c r="B2719" s="234"/>
      <c r="C2719" s="234"/>
      <c r="D2719" s="234"/>
      <c r="E2719" s="234"/>
      <c r="F2719" s="234"/>
      <c r="G2719" s="234"/>
      <c r="H2719" s="234"/>
      <c r="I2719" s="234"/>
      <c r="J2719" s="234"/>
    </row>
    <row r="2720" ht="15.75" customHeight="1">
      <c r="A2720" s="234"/>
      <c r="B2720" s="234"/>
      <c r="C2720" s="234"/>
      <c r="D2720" s="234"/>
      <c r="E2720" s="234"/>
      <c r="F2720" s="234"/>
      <c r="G2720" s="234"/>
      <c r="H2720" s="234"/>
      <c r="I2720" s="234"/>
      <c r="J2720" s="234"/>
    </row>
    <row r="2721" ht="15.75" customHeight="1">
      <c r="A2721" s="234"/>
      <c r="B2721" s="234"/>
      <c r="C2721" s="234"/>
      <c r="D2721" s="234"/>
      <c r="E2721" s="234"/>
      <c r="F2721" s="234"/>
      <c r="G2721" s="234"/>
      <c r="H2721" s="234"/>
      <c r="I2721" s="234"/>
      <c r="J2721" s="234"/>
    </row>
    <row r="2722" ht="15.75" customHeight="1">
      <c r="A2722" s="234"/>
      <c r="B2722" s="234"/>
      <c r="C2722" s="234"/>
      <c r="D2722" s="234"/>
      <c r="E2722" s="234"/>
      <c r="F2722" s="234"/>
      <c r="G2722" s="234"/>
      <c r="H2722" s="234"/>
      <c r="I2722" s="234"/>
      <c r="J2722" s="234"/>
    </row>
    <row r="2723" ht="15.75" customHeight="1">
      <c r="A2723" s="234"/>
      <c r="B2723" s="234"/>
      <c r="C2723" s="234"/>
      <c r="D2723" s="234"/>
      <c r="E2723" s="234"/>
      <c r="F2723" s="234"/>
      <c r="G2723" s="234"/>
      <c r="H2723" s="234"/>
      <c r="I2723" s="234"/>
      <c r="J2723" s="234"/>
    </row>
    <row r="2724" ht="15.75" customHeight="1">
      <c r="A2724" s="234"/>
      <c r="B2724" s="234"/>
      <c r="C2724" s="234"/>
      <c r="D2724" s="234"/>
      <c r="E2724" s="234"/>
      <c r="F2724" s="234"/>
      <c r="G2724" s="234"/>
      <c r="H2724" s="234"/>
      <c r="I2724" s="234"/>
      <c r="J2724" s="234"/>
    </row>
    <row r="2725" ht="15.75" customHeight="1">
      <c r="A2725" s="234"/>
      <c r="B2725" s="234"/>
      <c r="C2725" s="234"/>
      <c r="D2725" s="234"/>
      <c r="E2725" s="234"/>
      <c r="F2725" s="234"/>
      <c r="G2725" s="234"/>
      <c r="H2725" s="234"/>
      <c r="I2725" s="234"/>
      <c r="J2725" s="234"/>
    </row>
    <row r="2726" ht="15.75" customHeight="1">
      <c r="A2726" s="234"/>
      <c r="B2726" s="234"/>
      <c r="C2726" s="234"/>
      <c r="D2726" s="234"/>
      <c r="E2726" s="234"/>
      <c r="F2726" s="234"/>
      <c r="G2726" s="234"/>
      <c r="H2726" s="234"/>
      <c r="I2726" s="234"/>
      <c r="J2726" s="234"/>
    </row>
    <row r="2727" ht="15.75" customHeight="1">
      <c r="A2727" s="234"/>
      <c r="B2727" s="234"/>
      <c r="C2727" s="234"/>
      <c r="D2727" s="234"/>
      <c r="E2727" s="234"/>
      <c r="F2727" s="234"/>
      <c r="G2727" s="234"/>
      <c r="H2727" s="234"/>
      <c r="I2727" s="234"/>
      <c r="J2727" s="234"/>
    </row>
    <row r="2728" ht="15.75" customHeight="1">
      <c r="A2728" s="234"/>
      <c r="B2728" s="234"/>
      <c r="C2728" s="234"/>
      <c r="D2728" s="234"/>
      <c r="E2728" s="234"/>
      <c r="F2728" s="234"/>
      <c r="G2728" s="234"/>
      <c r="H2728" s="234"/>
      <c r="I2728" s="234"/>
      <c r="J2728" s="234"/>
    </row>
    <row r="2729" ht="15.75" customHeight="1">
      <c r="A2729" s="234"/>
      <c r="B2729" s="234"/>
      <c r="C2729" s="234"/>
      <c r="D2729" s="234"/>
      <c r="E2729" s="234"/>
      <c r="F2729" s="234"/>
      <c r="G2729" s="234"/>
      <c r="H2729" s="234"/>
      <c r="I2729" s="234"/>
      <c r="J2729" s="234"/>
    </row>
    <row r="2730" ht="15.75" customHeight="1">
      <c r="A2730" s="234"/>
      <c r="B2730" s="234"/>
      <c r="C2730" s="234"/>
      <c r="D2730" s="234"/>
      <c r="E2730" s="234"/>
      <c r="F2730" s="234"/>
      <c r="G2730" s="234"/>
      <c r="H2730" s="234"/>
      <c r="I2730" s="234"/>
      <c r="J2730" s="234"/>
    </row>
    <row r="2731" ht="15.75" customHeight="1">
      <c r="A2731" s="234"/>
      <c r="B2731" s="234"/>
      <c r="C2731" s="234"/>
      <c r="D2731" s="234"/>
      <c r="E2731" s="234"/>
      <c r="F2731" s="234"/>
      <c r="G2731" s="234"/>
      <c r="H2731" s="234"/>
      <c r="I2731" s="234"/>
      <c r="J2731" s="234"/>
    </row>
    <row r="2732" ht="15.75" customHeight="1">
      <c r="A2732" s="234"/>
      <c r="B2732" s="234"/>
      <c r="C2732" s="234"/>
      <c r="D2732" s="234"/>
      <c r="E2732" s="234"/>
      <c r="F2732" s="234"/>
      <c r="G2732" s="234"/>
      <c r="H2732" s="234"/>
      <c r="I2732" s="234"/>
      <c r="J2732" s="234"/>
    </row>
    <row r="2733" ht="15.75" customHeight="1">
      <c r="A2733" s="234"/>
      <c r="B2733" s="234"/>
      <c r="C2733" s="234"/>
      <c r="D2733" s="234"/>
      <c r="E2733" s="234"/>
      <c r="F2733" s="234"/>
      <c r="G2733" s="234"/>
      <c r="H2733" s="234"/>
      <c r="I2733" s="234"/>
      <c r="J2733" s="234"/>
    </row>
    <row r="2734" ht="15.75" customHeight="1">
      <c r="A2734" s="234"/>
      <c r="B2734" s="234"/>
      <c r="C2734" s="234"/>
      <c r="D2734" s="234"/>
      <c r="E2734" s="234"/>
      <c r="F2734" s="234"/>
      <c r="G2734" s="234"/>
      <c r="H2734" s="234"/>
      <c r="I2734" s="234"/>
      <c r="J2734" s="234"/>
    </row>
    <row r="2735" ht="15.75" customHeight="1">
      <c r="A2735" s="234"/>
      <c r="B2735" s="234"/>
      <c r="C2735" s="234"/>
      <c r="D2735" s="234"/>
      <c r="E2735" s="234"/>
      <c r="F2735" s="234"/>
      <c r="G2735" s="234"/>
      <c r="H2735" s="234"/>
      <c r="I2735" s="234"/>
      <c r="J2735" s="234"/>
    </row>
    <row r="2736" ht="15.75" customHeight="1">
      <c r="A2736" s="234"/>
      <c r="B2736" s="234"/>
      <c r="C2736" s="234"/>
      <c r="D2736" s="234"/>
      <c r="E2736" s="234"/>
      <c r="F2736" s="234"/>
      <c r="G2736" s="234"/>
      <c r="H2736" s="234"/>
      <c r="I2736" s="234"/>
      <c r="J2736" s="234"/>
    </row>
    <row r="2737" ht="15.75" customHeight="1">
      <c r="A2737" s="234"/>
      <c r="B2737" s="234"/>
      <c r="C2737" s="234"/>
      <c r="D2737" s="234"/>
      <c r="E2737" s="234"/>
      <c r="F2737" s="234"/>
      <c r="G2737" s="234"/>
      <c r="H2737" s="234"/>
      <c r="I2737" s="234"/>
      <c r="J2737" s="234"/>
    </row>
    <row r="2738" ht="15.75" customHeight="1">
      <c r="A2738" s="234"/>
      <c r="B2738" s="234"/>
      <c r="C2738" s="234"/>
      <c r="D2738" s="234"/>
      <c r="E2738" s="234"/>
      <c r="F2738" s="234"/>
      <c r="G2738" s="234"/>
      <c r="H2738" s="234"/>
      <c r="I2738" s="234"/>
      <c r="J2738" s="234"/>
    </row>
    <row r="2739" ht="15.75" customHeight="1">
      <c r="A2739" s="234"/>
      <c r="B2739" s="234"/>
      <c r="C2739" s="234"/>
      <c r="D2739" s="234"/>
      <c r="E2739" s="234"/>
      <c r="F2739" s="234"/>
      <c r="G2739" s="234"/>
      <c r="H2739" s="234"/>
      <c r="I2739" s="234"/>
      <c r="J2739" s="234"/>
    </row>
    <row r="2740" ht="15.75" customHeight="1">
      <c r="A2740" s="234"/>
      <c r="B2740" s="234"/>
      <c r="C2740" s="234"/>
      <c r="D2740" s="234"/>
      <c r="E2740" s="234"/>
      <c r="F2740" s="234"/>
      <c r="G2740" s="234"/>
      <c r="H2740" s="234"/>
      <c r="I2740" s="234"/>
      <c r="J2740" s="234"/>
    </row>
    <row r="2741" ht="15.75" customHeight="1">
      <c r="A2741" s="234"/>
      <c r="B2741" s="234"/>
      <c r="C2741" s="234"/>
      <c r="D2741" s="234"/>
      <c r="E2741" s="234"/>
      <c r="F2741" s="234"/>
      <c r="G2741" s="234"/>
      <c r="H2741" s="234"/>
      <c r="I2741" s="234"/>
      <c r="J2741" s="234"/>
    </row>
    <row r="2742" ht="15.75" customHeight="1">
      <c r="A2742" s="234"/>
      <c r="B2742" s="234"/>
      <c r="C2742" s="234"/>
      <c r="D2742" s="234"/>
      <c r="E2742" s="234"/>
      <c r="F2742" s="234"/>
      <c r="G2742" s="234"/>
      <c r="H2742" s="234"/>
      <c r="I2742" s="234"/>
      <c r="J2742" s="234"/>
    </row>
    <row r="2743" ht="15.75" customHeight="1">
      <c r="A2743" s="234"/>
      <c r="B2743" s="234"/>
      <c r="C2743" s="234"/>
      <c r="D2743" s="234"/>
      <c r="E2743" s="234"/>
      <c r="F2743" s="234"/>
      <c r="G2743" s="234"/>
      <c r="H2743" s="234"/>
      <c r="I2743" s="234"/>
      <c r="J2743" s="234"/>
    </row>
    <row r="2744" ht="15.75" customHeight="1">
      <c r="A2744" s="234"/>
      <c r="B2744" s="234"/>
      <c r="C2744" s="234"/>
      <c r="D2744" s="234"/>
      <c r="E2744" s="234"/>
      <c r="F2744" s="234"/>
      <c r="G2744" s="234"/>
      <c r="H2744" s="234"/>
      <c r="I2744" s="234"/>
      <c r="J2744" s="234"/>
    </row>
    <row r="2745" ht="15.75" customHeight="1">
      <c r="A2745" s="234"/>
      <c r="B2745" s="234"/>
      <c r="C2745" s="234"/>
      <c r="D2745" s="234"/>
      <c r="E2745" s="234"/>
      <c r="F2745" s="234"/>
      <c r="G2745" s="234"/>
      <c r="H2745" s="234"/>
      <c r="I2745" s="234"/>
      <c r="J2745" s="234"/>
    </row>
    <row r="2746" ht="15.75" customHeight="1">
      <c r="A2746" s="234"/>
      <c r="B2746" s="234"/>
      <c r="C2746" s="234"/>
      <c r="D2746" s="234"/>
      <c r="E2746" s="234"/>
      <c r="F2746" s="234"/>
      <c r="G2746" s="234"/>
      <c r="H2746" s="234"/>
      <c r="I2746" s="234"/>
      <c r="J2746" s="234"/>
    </row>
    <row r="2747" ht="15.75" customHeight="1">
      <c r="A2747" s="234"/>
      <c r="B2747" s="234"/>
      <c r="C2747" s="234"/>
      <c r="D2747" s="234"/>
      <c r="E2747" s="234"/>
      <c r="F2747" s="234"/>
      <c r="G2747" s="234"/>
      <c r="H2747" s="234"/>
      <c r="I2747" s="234"/>
      <c r="J2747" s="234"/>
    </row>
    <row r="2748" ht="15.75" customHeight="1">
      <c r="A2748" s="234"/>
      <c r="B2748" s="234"/>
      <c r="C2748" s="234"/>
      <c r="D2748" s="234"/>
      <c r="E2748" s="234"/>
      <c r="F2748" s="234"/>
      <c r="G2748" s="234"/>
      <c r="H2748" s="234"/>
      <c r="I2748" s="234"/>
      <c r="J2748" s="234"/>
    </row>
    <row r="2749" ht="15.75" customHeight="1">
      <c r="A2749" s="234"/>
      <c r="B2749" s="234"/>
      <c r="C2749" s="234"/>
      <c r="D2749" s="234"/>
      <c r="E2749" s="234"/>
      <c r="F2749" s="234"/>
      <c r="G2749" s="234"/>
      <c r="H2749" s="234"/>
      <c r="I2749" s="234"/>
      <c r="J2749" s="234"/>
    </row>
    <row r="2750" ht="15.75" customHeight="1">
      <c r="A2750" s="234"/>
      <c r="B2750" s="234"/>
      <c r="C2750" s="234"/>
      <c r="D2750" s="234"/>
      <c r="E2750" s="234"/>
      <c r="F2750" s="234"/>
      <c r="G2750" s="234"/>
      <c r="H2750" s="234"/>
      <c r="I2750" s="234"/>
      <c r="J2750" s="234"/>
    </row>
    <row r="2751" ht="15.75" customHeight="1">
      <c r="A2751" s="234"/>
      <c r="B2751" s="234"/>
      <c r="C2751" s="234"/>
      <c r="D2751" s="234"/>
      <c r="E2751" s="234"/>
      <c r="F2751" s="234"/>
      <c r="G2751" s="234"/>
      <c r="H2751" s="234"/>
      <c r="I2751" s="234"/>
      <c r="J2751" s="234"/>
    </row>
    <row r="2752" ht="15.75" customHeight="1">
      <c r="A2752" s="234"/>
      <c r="B2752" s="234"/>
      <c r="C2752" s="234"/>
      <c r="D2752" s="234"/>
      <c r="E2752" s="234"/>
      <c r="F2752" s="234"/>
      <c r="G2752" s="234"/>
      <c r="H2752" s="234"/>
      <c r="I2752" s="234"/>
      <c r="J2752" s="234"/>
    </row>
    <row r="2753" ht="15.75" customHeight="1">
      <c r="A2753" s="234"/>
      <c r="B2753" s="234"/>
      <c r="C2753" s="234"/>
      <c r="D2753" s="234"/>
      <c r="E2753" s="234"/>
      <c r="F2753" s="234"/>
      <c r="G2753" s="234"/>
      <c r="H2753" s="234"/>
      <c r="I2753" s="234"/>
      <c r="J2753" s="234"/>
    </row>
    <row r="2754" ht="15.75" customHeight="1">
      <c r="A2754" s="234"/>
      <c r="B2754" s="234"/>
      <c r="C2754" s="234"/>
      <c r="D2754" s="234"/>
      <c r="E2754" s="234"/>
      <c r="F2754" s="234"/>
      <c r="G2754" s="234"/>
      <c r="H2754" s="234"/>
      <c r="I2754" s="234"/>
      <c r="J2754" s="234"/>
    </row>
    <row r="2755" ht="15.75" customHeight="1">
      <c r="A2755" s="234"/>
      <c r="B2755" s="234"/>
      <c r="C2755" s="234"/>
      <c r="D2755" s="234"/>
      <c r="E2755" s="234"/>
      <c r="F2755" s="234"/>
      <c r="G2755" s="234"/>
      <c r="H2755" s="234"/>
      <c r="I2755" s="234"/>
      <c r="J2755" s="234"/>
    </row>
    <row r="2756" ht="15.75" customHeight="1">
      <c r="A2756" s="234"/>
      <c r="B2756" s="234"/>
      <c r="C2756" s="234"/>
      <c r="D2756" s="234"/>
      <c r="E2756" s="234"/>
      <c r="F2756" s="234"/>
      <c r="G2756" s="234"/>
      <c r="H2756" s="234"/>
      <c r="I2756" s="234"/>
      <c r="J2756" s="234"/>
    </row>
    <row r="2757" ht="15.75" customHeight="1">
      <c r="A2757" s="234"/>
      <c r="B2757" s="234"/>
      <c r="C2757" s="234"/>
      <c r="D2757" s="234"/>
      <c r="E2757" s="234"/>
      <c r="F2757" s="234"/>
      <c r="G2757" s="234"/>
      <c r="H2757" s="234"/>
      <c r="I2757" s="234"/>
      <c r="J2757" s="234"/>
    </row>
    <row r="2758" ht="15.75" customHeight="1">
      <c r="A2758" s="234"/>
      <c r="B2758" s="234"/>
      <c r="C2758" s="234"/>
      <c r="D2758" s="234"/>
      <c r="E2758" s="234"/>
      <c r="F2758" s="234"/>
      <c r="G2758" s="234"/>
      <c r="H2758" s="234"/>
      <c r="I2758" s="234"/>
      <c r="J2758" s="234"/>
    </row>
    <row r="2759" ht="15.75" customHeight="1">
      <c r="A2759" s="234"/>
      <c r="B2759" s="234"/>
      <c r="C2759" s="234"/>
      <c r="D2759" s="234"/>
      <c r="E2759" s="234"/>
      <c r="F2759" s="234"/>
      <c r="G2759" s="234"/>
      <c r="H2759" s="234"/>
      <c r="I2759" s="234"/>
      <c r="J2759" s="234"/>
    </row>
    <row r="2760" ht="15.75" customHeight="1">
      <c r="A2760" s="234"/>
      <c r="B2760" s="234"/>
      <c r="C2760" s="234"/>
      <c r="D2760" s="234"/>
      <c r="E2760" s="234"/>
      <c r="F2760" s="234"/>
      <c r="G2760" s="234"/>
      <c r="H2760" s="234"/>
      <c r="I2760" s="234"/>
      <c r="J2760" s="234"/>
    </row>
    <row r="2761" ht="15.75" customHeight="1">
      <c r="A2761" s="234"/>
      <c r="B2761" s="234"/>
      <c r="C2761" s="234"/>
      <c r="D2761" s="234"/>
      <c r="E2761" s="234"/>
      <c r="F2761" s="234"/>
      <c r="G2761" s="234"/>
      <c r="H2761" s="234"/>
      <c r="I2761" s="234"/>
      <c r="J2761" s="234"/>
    </row>
    <row r="2762" ht="15.75" customHeight="1">
      <c r="A2762" s="234"/>
      <c r="B2762" s="234"/>
      <c r="C2762" s="234"/>
      <c r="D2762" s="234"/>
      <c r="E2762" s="234"/>
      <c r="F2762" s="234"/>
      <c r="G2762" s="234"/>
      <c r="H2762" s="234"/>
      <c r="I2762" s="234"/>
      <c r="J2762" s="234"/>
    </row>
    <row r="2763" ht="15.75" customHeight="1">
      <c r="A2763" s="234"/>
      <c r="B2763" s="234"/>
      <c r="C2763" s="234"/>
      <c r="D2763" s="234"/>
      <c r="E2763" s="234"/>
      <c r="F2763" s="234"/>
      <c r="G2763" s="234"/>
      <c r="H2763" s="234"/>
      <c r="I2763" s="234"/>
      <c r="J2763" s="234"/>
    </row>
    <row r="2764" ht="15.75" customHeight="1">
      <c r="A2764" s="234"/>
      <c r="B2764" s="234"/>
      <c r="C2764" s="234"/>
      <c r="D2764" s="234"/>
      <c r="E2764" s="234"/>
      <c r="F2764" s="234"/>
      <c r="G2764" s="234"/>
      <c r="H2764" s="234"/>
      <c r="I2764" s="234"/>
      <c r="J2764" s="234"/>
    </row>
    <row r="2765" ht="15.75" customHeight="1">
      <c r="A2765" s="234"/>
      <c r="B2765" s="234"/>
      <c r="C2765" s="234"/>
      <c r="D2765" s="234"/>
      <c r="E2765" s="234"/>
      <c r="F2765" s="234"/>
      <c r="G2765" s="234"/>
      <c r="H2765" s="234"/>
      <c r="I2765" s="234"/>
      <c r="J2765" s="234"/>
    </row>
    <row r="2766" ht="15.75" customHeight="1">
      <c r="A2766" s="234"/>
      <c r="B2766" s="234"/>
      <c r="C2766" s="234"/>
      <c r="D2766" s="234"/>
      <c r="E2766" s="234"/>
      <c r="F2766" s="234"/>
      <c r="G2766" s="234"/>
      <c r="H2766" s="234"/>
      <c r="I2766" s="234"/>
      <c r="J2766" s="234"/>
    </row>
    <row r="2767" ht="15.75" customHeight="1">
      <c r="A2767" s="234"/>
      <c r="B2767" s="234"/>
      <c r="C2767" s="234"/>
      <c r="D2767" s="234"/>
      <c r="E2767" s="234"/>
      <c r="F2767" s="234"/>
      <c r="G2767" s="234"/>
      <c r="H2767" s="234"/>
      <c r="I2767" s="234"/>
      <c r="J2767" s="234"/>
    </row>
    <row r="2768" ht="15.75" customHeight="1">
      <c r="A2768" s="234"/>
      <c r="B2768" s="234"/>
      <c r="C2768" s="234"/>
      <c r="D2768" s="234"/>
      <c r="E2768" s="234"/>
      <c r="F2768" s="234"/>
      <c r="G2768" s="234"/>
      <c r="H2768" s="234"/>
      <c r="I2768" s="234"/>
      <c r="J2768" s="234"/>
    </row>
    <row r="2769" ht="15.75" customHeight="1">
      <c r="A2769" s="234"/>
      <c r="B2769" s="234"/>
      <c r="C2769" s="234"/>
      <c r="D2769" s="234"/>
      <c r="E2769" s="234"/>
      <c r="F2769" s="234"/>
      <c r="G2769" s="234"/>
      <c r="H2769" s="234"/>
      <c r="I2769" s="234"/>
      <c r="J2769" s="234"/>
    </row>
    <row r="2770" ht="15.75" customHeight="1">
      <c r="A2770" s="234"/>
      <c r="B2770" s="234"/>
      <c r="C2770" s="234"/>
      <c r="D2770" s="234"/>
      <c r="E2770" s="234"/>
      <c r="F2770" s="234"/>
      <c r="G2770" s="234"/>
      <c r="H2770" s="234"/>
      <c r="I2770" s="234"/>
      <c r="J2770" s="234"/>
    </row>
    <row r="2771" ht="15.75" customHeight="1">
      <c r="A2771" s="234"/>
      <c r="B2771" s="234"/>
      <c r="C2771" s="234"/>
      <c r="D2771" s="234"/>
      <c r="E2771" s="234"/>
      <c r="F2771" s="234"/>
      <c r="G2771" s="234"/>
      <c r="H2771" s="234"/>
      <c r="I2771" s="234"/>
      <c r="J2771" s="234"/>
    </row>
    <row r="2772" ht="15.75" customHeight="1">
      <c r="A2772" s="234"/>
      <c r="B2772" s="234"/>
      <c r="C2772" s="234"/>
      <c r="D2772" s="234"/>
      <c r="E2772" s="234"/>
      <c r="F2772" s="234"/>
      <c r="G2772" s="234"/>
      <c r="H2772" s="234"/>
      <c r="I2772" s="234"/>
      <c r="J2772" s="234"/>
    </row>
    <row r="2773" ht="15.75" customHeight="1">
      <c r="A2773" s="234"/>
      <c r="B2773" s="234"/>
      <c r="C2773" s="234"/>
      <c r="D2773" s="234"/>
      <c r="E2773" s="234"/>
      <c r="F2773" s="234"/>
      <c r="G2773" s="234"/>
      <c r="H2773" s="234"/>
      <c r="I2773" s="234"/>
      <c r="J2773" s="234"/>
    </row>
    <row r="2774" ht="15.75" customHeight="1">
      <c r="A2774" s="234"/>
      <c r="B2774" s="234"/>
      <c r="C2774" s="234"/>
      <c r="D2774" s="234"/>
      <c r="E2774" s="234"/>
      <c r="F2774" s="234"/>
      <c r="G2774" s="234"/>
      <c r="H2774" s="234"/>
      <c r="I2774" s="234"/>
      <c r="J2774" s="234"/>
    </row>
    <row r="2775" ht="15.75" customHeight="1">
      <c r="A2775" s="234"/>
      <c r="B2775" s="234"/>
      <c r="C2775" s="234"/>
      <c r="D2775" s="234"/>
      <c r="E2775" s="234"/>
      <c r="F2775" s="234"/>
      <c r="G2775" s="234"/>
      <c r="H2775" s="234"/>
      <c r="I2775" s="234"/>
      <c r="J2775" s="234"/>
    </row>
    <row r="2776" ht="15.75" customHeight="1">
      <c r="A2776" s="234"/>
      <c r="B2776" s="234"/>
      <c r="C2776" s="234"/>
      <c r="D2776" s="234"/>
      <c r="E2776" s="234"/>
      <c r="F2776" s="234"/>
      <c r="G2776" s="234"/>
      <c r="H2776" s="234"/>
      <c r="I2776" s="234"/>
      <c r="J2776" s="234"/>
    </row>
    <row r="2777" ht="15.75" customHeight="1">
      <c r="A2777" s="234"/>
      <c r="B2777" s="234"/>
      <c r="C2777" s="234"/>
      <c r="D2777" s="234"/>
      <c r="E2777" s="234"/>
      <c r="F2777" s="234"/>
      <c r="G2777" s="234"/>
      <c r="H2777" s="234"/>
      <c r="I2777" s="234"/>
      <c r="J2777" s="234"/>
    </row>
    <row r="2778" ht="15.75" customHeight="1">
      <c r="A2778" s="234"/>
      <c r="B2778" s="234"/>
      <c r="C2778" s="234"/>
      <c r="D2778" s="234"/>
      <c r="E2778" s="234"/>
      <c r="F2778" s="234"/>
      <c r="G2778" s="234"/>
      <c r="H2778" s="234"/>
      <c r="I2778" s="234"/>
      <c r="J2778" s="234"/>
    </row>
    <row r="2779" ht="15.75" customHeight="1">
      <c r="A2779" s="234"/>
      <c r="B2779" s="234"/>
      <c r="C2779" s="234"/>
      <c r="D2779" s="234"/>
      <c r="E2779" s="234"/>
      <c r="F2779" s="234"/>
      <c r="G2779" s="234"/>
      <c r="H2779" s="234"/>
      <c r="I2779" s="234"/>
      <c r="J2779" s="234"/>
    </row>
    <row r="2780" ht="15.75" customHeight="1">
      <c r="A2780" s="234"/>
      <c r="B2780" s="234"/>
      <c r="C2780" s="234"/>
      <c r="D2780" s="234"/>
      <c r="E2780" s="234"/>
      <c r="F2780" s="234"/>
      <c r="G2780" s="234"/>
      <c r="H2780" s="234"/>
      <c r="I2780" s="234"/>
      <c r="J2780" s="234"/>
    </row>
    <row r="2781" ht="15.75" customHeight="1">
      <c r="A2781" s="234"/>
      <c r="B2781" s="234"/>
      <c r="C2781" s="234"/>
      <c r="D2781" s="234"/>
      <c r="E2781" s="234"/>
      <c r="F2781" s="234"/>
      <c r="G2781" s="234"/>
      <c r="H2781" s="234"/>
      <c r="I2781" s="234"/>
      <c r="J2781" s="234"/>
    </row>
    <row r="2782" ht="15.75" customHeight="1">
      <c r="A2782" s="234"/>
      <c r="B2782" s="234"/>
      <c r="C2782" s="234"/>
      <c r="D2782" s="234"/>
      <c r="E2782" s="234"/>
      <c r="F2782" s="234"/>
      <c r="G2782" s="234"/>
      <c r="H2782" s="234"/>
      <c r="I2782" s="234"/>
      <c r="J2782" s="234"/>
    </row>
    <row r="2783" ht="15.75" customHeight="1">
      <c r="A2783" s="234"/>
      <c r="B2783" s="234"/>
      <c r="C2783" s="234"/>
      <c r="D2783" s="234"/>
      <c r="E2783" s="234"/>
      <c r="F2783" s="234"/>
      <c r="G2783" s="234"/>
      <c r="H2783" s="234"/>
      <c r="I2783" s="234"/>
      <c r="J2783" s="234"/>
    </row>
    <row r="2784" ht="15.75" customHeight="1">
      <c r="A2784" s="234"/>
      <c r="B2784" s="234"/>
      <c r="C2784" s="234"/>
      <c r="D2784" s="234"/>
      <c r="E2784" s="234"/>
      <c r="F2784" s="234"/>
      <c r="G2784" s="234"/>
      <c r="H2784" s="234"/>
      <c r="I2784" s="234"/>
      <c r="J2784" s="234"/>
    </row>
    <row r="2785" ht="15.75" customHeight="1">
      <c r="A2785" s="234"/>
      <c r="B2785" s="234"/>
      <c r="C2785" s="234"/>
      <c r="D2785" s="234"/>
      <c r="E2785" s="234"/>
      <c r="F2785" s="234"/>
      <c r="G2785" s="234"/>
      <c r="H2785" s="234"/>
      <c r="I2785" s="234"/>
      <c r="J2785" s="234"/>
    </row>
    <row r="2786" ht="15.75" customHeight="1">
      <c r="A2786" s="234"/>
      <c r="B2786" s="234"/>
      <c r="C2786" s="234"/>
      <c r="D2786" s="234"/>
      <c r="E2786" s="234"/>
      <c r="F2786" s="234"/>
      <c r="G2786" s="234"/>
      <c r="H2786" s="234"/>
      <c r="I2786" s="234"/>
      <c r="J2786" s="234"/>
    </row>
    <row r="2787" ht="15.75" customHeight="1">
      <c r="A2787" s="234"/>
      <c r="B2787" s="234"/>
      <c r="C2787" s="234"/>
      <c r="D2787" s="234"/>
      <c r="E2787" s="234"/>
      <c r="F2787" s="234"/>
      <c r="G2787" s="234"/>
      <c r="H2787" s="234"/>
      <c r="I2787" s="234"/>
      <c r="J2787" s="234"/>
    </row>
    <row r="2788" ht="15.75" customHeight="1">
      <c r="A2788" s="234"/>
      <c r="B2788" s="234"/>
      <c r="C2788" s="234"/>
      <c r="D2788" s="234"/>
      <c r="E2788" s="234"/>
      <c r="F2788" s="234"/>
      <c r="G2788" s="234"/>
      <c r="H2788" s="234"/>
      <c r="I2788" s="234"/>
      <c r="J2788" s="234"/>
    </row>
    <row r="2789" ht="15.75" customHeight="1">
      <c r="A2789" s="234"/>
      <c r="B2789" s="234"/>
      <c r="C2789" s="234"/>
      <c r="D2789" s="234"/>
      <c r="E2789" s="234"/>
      <c r="F2789" s="234"/>
      <c r="G2789" s="234"/>
      <c r="H2789" s="234"/>
      <c r="I2789" s="234"/>
      <c r="J2789" s="234"/>
    </row>
    <row r="2790" ht="15.75" customHeight="1">
      <c r="A2790" s="234"/>
      <c r="B2790" s="234"/>
      <c r="C2790" s="234"/>
      <c r="D2790" s="234"/>
      <c r="E2790" s="234"/>
      <c r="F2790" s="234"/>
      <c r="G2790" s="234"/>
      <c r="H2790" s="234"/>
      <c r="I2790" s="234"/>
      <c r="J2790" s="234"/>
    </row>
    <row r="2791" ht="15.75" customHeight="1">
      <c r="A2791" s="234"/>
      <c r="B2791" s="234"/>
      <c r="C2791" s="234"/>
      <c r="D2791" s="234"/>
      <c r="E2791" s="234"/>
      <c r="F2791" s="234"/>
      <c r="G2791" s="234"/>
      <c r="H2791" s="234"/>
      <c r="I2791" s="234"/>
      <c r="J2791" s="234"/>
    </row>
    <row r="2792" ht="15.75" customHeight="1">
      <c r="A2792" s="234"/>
      <c r="B2792" s="234"/>
      <c r="C2792" s="234"/>
      <c r="D2792" s="234"/>
      <c r="E2792" s="234"/>
      <c r="F2792" s="234"/>
      <c r="G2792" s="234"/>
      <c r="H2792" s="234"/>
      <c r="I2792" s="234"/>
      <c r="J2792" s="234"/>
    </row>
    <row r="2793" ht="15.75" customHeight="1">
      <c r="A2793" s="234"/>
      <c r="B2793" s="234"/>
      <c r="C2793" s="234"/>
      <c r="D2793" s="234"/>
      <c r="E2793" s="234"/>
      <c r="F2793" s="234"/>
      <c r="G2793" s="234"/>
      <c r="H2793" s="234"/>
      <c r="I2793" s="234"/>
      <c r="J2793" s="234"/>
    </row>
    <row r="2794" ht="15.75" customHeight="1">
      <c r="A2794" s="234"/>
      <c r="B2794" s="234"/>
      <c r="C2794" s="234"/>
      <c r="D2794" s="234"/>
      <c r="E2794" s="234"/>
      <c r="F2794" s="234"/>
      <c r="G2794" s="234"/>
      <c r="H2794" s="234"/>
      <c r="I2794" s="234"/>
      <c r="J2794" s="234"/>
    </row>
    <row r="2795" ht="15.75" customHeight="1">
      <c r="A2795" s="234"/>
      <c r="B2795" s="234"/>
      <c r="C2795" s="234"/>
      <c r="D2795" s="234"/>
      <c r="E2795" s="234"/>
      <c r="F2795" s="234"/>
      <c r="G2795" s="234"/>
      <c r="H2795" s="234"/>
      <c r="I2795" s="234"/>
      <c r="J2795" s="234"/>
    </row>
    <row r="2796" ht="15.75" customHeight="1">
      <c r="A2796" s="234"/>
      <c r="B2796" s="234"/>
      <c r="C2796" s="234"/>
      <c r="D2796" s="234"/>
      <c r="E2796" s="234"/>
      <c r="F2796" s="234"/>
      <c r="G2796" s="234"/>
      <c r="H2796" s="234"/>
      <c r="I2796" s="234"/>
      <c r="J2796" s="234"/>
    </row>
    <row r="2797" ht="15.75" customHeight="1">
      <c r="A2797" s="234"/>
      <c r="B2797" s="234"/>
      <c r="C2797" s="234"/>
      <c r="D2797" s="234"/>
      <c r="E2797" s="234"/>
      <c r="F2797" s="234"/>
      <c r="G2797" s="234"/>
      <c r="H2797" s="234"/>
      <c r="I2797" s="234"/>
      <c r="J2797" s="234"/>
    </row>
    <row r="2798" ht="15.75" customHeight="1">
      <c r="A2798" s="234"/>
      <c r="B2798" s="234"/>
      <c r="C2798" s="234"/>
      <c r="D2798" s="234"/>
      <c r="E2798" s="234"/>
      <c r="F2798" s="234"/>
      <c r="G2798" s="234"/>
      <c r="H2798" s="234"/>
      <c r="I2798" s="234"/>
      <c r="J2798" s="234"/>
    </row>
    <row r="2799" ht="15.75" customHeight="1">
      <c r="A2799" s="234"/>
      <c r="B2799" s="234"/>
      <c r="C2799" s="234"/>
      <c r="D2799" s="234"/>
      <c r="E2799" s="234"/>
      <c r="F2799" s="234"/>
      <c r="G2799" s="234"/>
      <c r="H2799" s="234"/>
      <c r="I2799" s="234"/>
      <c r="J2799" s="234"/>
    </row>
    <row r="2800" ht="15.75" customHeight="1">
      <c r="A2800" s="234"/>
      <c r="B2800" s="234"/>
      <c r="C2800" s="234"/>
      <c r="D2800" s="234"/>
      <c r="E2800" s="234"/>
      <c r="F2800" s="234"/>
      <c r="G2800" s="234"/>
      <c r="H2800" s="234"/>
      <c r="I2800" s="234"/>
      <c r="J2800" s="234"/>
    </row>
    <row r="2801" ht="15.75" customHeight="1">
      <c r="A2801" s="234"/>
      <c r="B2801" s="234"/>
      <c r="C2801" s="234"/>
      <c r="D2801" s="234"/>
      <c r="E2801" s="234"/>
      <c r="F2801" s="234"/>
      <c r="G2801" s="234"/>
      <c r="H2801" s="234"/>
      <c r="I2801" s="234"/>
      <c r="J2801" s="234"/>
    </row>
    <row r="2802" ht="15.75" customHeight="1">
      <c r="A2802" s="234"/>
      <c r="B2802" s="234"/>
      <c r="C2802" s="234"/>
      <c r="D2802" s="234"/>
      <c r="E2802" s="234"/>
      <c r="F2802" s="234"/>
      <c r="G2802" s="234"/>
      <c r="H2802" s="234"/>
      <c r="I2802" s="234"/>
      <c r="J2802" s="234"/>
    </row>
    <row r="2803" ht="15.75" customHeight="1">
      <c r="A2803" s="234"/>
      <c r="B2803" s="234"/>
      <c r="C2803" s="234"/>
      <c r="D2803" s="234"/>
      <c r="E2803" s="234"/>
      <c r="F2803" s="234"/>
      <c r="G2803" s="234"/>
      <c r="H2803" s="234"/>
      <c r="I2803" s="234"/>
      <c r="J2803" s="234"/>
    </row>
    <row r="2804" ht="15.75" customHeight="1">
      <c r="A2804" s="234"/>
      <c r="B2804" s="234"/>
      <c r="C2804" s="234"/>
      <c r="D2804" s="234"/>
      <c r="E2804" s="234"/>
      <c r="F2804" s="234"/>
      <c r="G2804" s="234"/>
      <c r="H2804" s="234"/>
      <c r="I2804" s="234"/>
      <c r="J2804" s="234"/>
    </row>
    <row r="2805" ht="15.75" customHeight="1">
      <c r="A2805" s="234"/>
      <c r="B2805" s="234"/>
      <c r="C2805" s="234"/>
      <c r="D2805" s="234"/>
      <c r="E2805" s="234"/>
      <c r="F2805" s="234"/>
      <c r="G2805" s="234"/>
      <c r="H2805" s="234"/>
      <c r="I2805" s="234"/>
      <c r="J2805" s="234"/>
    </row>
    <row r="2806" ht="15.75" customHeight="1">
      <c r="A2806" s="234"/>
      <c r="B2806" s="234"/>
      <c r="C2806" s="234"/>
      <c r="D2806" s="234"/>
      <c r="E2806" s="234"/>
      <c r="F2806" s="234"/>
      <c r="G2806" s="234"/>
      <c r="H2806" s="234"/>
      <c r="I2806" s="234"/>
      <c r="J2806" s="234"/>
    </row>
    <row r="2807" ht="15.75" customHeight="1">
      <c r="A2807" s="234"/>
      <c r="B2807" s="234"/>
      <c r="C2807" s="234"/>
      <c r="D2807" s="234"/>
      <c r="E2807" s="234"/>
      <c r="F2807" s="234"/>
      <c r="G2807" s="234"/>
      <c r="H2807" s="234"/>
      <c r="I2807" s="234"/>
      <c r="J2807" s="234"/>
    </row>
    <row r="2808" ht="15.75" customHeight="1">
      <c r="A2808" s="234"/>
      <c r="B2808" s="234"/>
      <c r="C2808" s="234"/>
      <c r="D2808" s="234"/>
      <c r="E2808" s="234"/>
      <c r="F2808" s="234"/>
      <c r="G2808" s="234"/>
      <c r="H2808" s="234"/>
      <c r="I2808" s="234"/>
      <c r="J2808" s="234"/>
    </row>
    <row r="2809" ht="15.75" customHeight="1">
      <c r="A2809" s="234"/>
      <c r="B2809" s="234"/>
      <c r="C2809" s="234"/>
      <c r="D2809" s="234"/>
      <c r="E2809" s="234"/>
      <c r="F2809" s="234"/>
      <c r="G2809" s="234"/>
      <c r="H2809" s="234"/>
      <c r="I2809" s="234"/>
      <c r="J2809" s="234"/>
    </row>
    <row r="2810" ht="15.75" customHeight="1">
      <c r="A2810" s="234"/>
      <c r="B2810" s="234"/>
      <c r="C2810" s="234"/>
      <c r="D2810" s="234"/>
      <c r="E2810" s="234"/>
      <c r="F2810" s="234"/>
      <c r="G2810" s="234"/>
      <c r="H2810" s="234"/>
      <c r="I2810" s="234"/>
      <c r="J2810" s="234"/>
    </row>
    <row r="2811" ht="15.75" customHeight="1">
      <c r="A2811" s="234"/>
      <c r="B2811" s="234"/>
      <c r="C2811" s="234"/>
      <c r="D2811" s="234"/>
      <c r="E2811" s="234"/>
      <c r="F2811" s="234"/>
      <c r="G2811" s="234"/>
      <c r="H2811" s="234"/>
      <c r="I2811" s="234"/>
      <c r="J2811" s="234"/>
    </row>
    <row r="2812" ht="15.75" customHeight="1">
      <c r="A2812" s="234"/>
      <c r="B2812" s="234"/>
      <c r="C2812" s="234"/>
      <c r="D2812" s="234"/>
      <c r="E2812" s="234"/>
      <c r="F2812" s="234"/>
      <c r="G2812" s="234"/>
      <c r="H2812" s="234"/>
      <c r="I2812" s="234"/>
      <c r="J2812" s="234"/>
    </row>
    <row r="2813" ht="15.75" customHeight="1">
      <c r="A2813" s="234"/>
      <c r="B2813" s="234"/>
      <c r="C2813" s="234"/>
      <c r="D2813" s="234"/>
      <c r="E2813" s="234"/>
      <c r="F2813" s="234"/>
      <c r="G2813" s="234"/>
      <c r="H2813" s="234"/>
      <c r="I2813" s="234"/>
      <c r="J2813" s="234"/>
    </row>
    <row r="2814" ht="15.75" customHeight="1">
      <c r="A2814" s="234"/>
      <c r="B2814" s="234"/>
      <c r="C2814" s="234"/>
      <c r="D2814" s="234"/>
      <c r="E2814" s="234"/>
      <c r="F2814" s="234"/>
      <c r="G2814" s="234"/>
      <c r="H2814" s="234"/>
      <c r="I2814" s="234"/>
      <c r="J2814" s="234"/>
    </row>
    <row r="2815" ht="15.75" customHeight="1">
      <c r="A2815" s="234"/>
      <c r="B2815" s="234"/>
      <c r="C2815" s="234"/>
      <c r="D2815" s="234"/>
      <c r="E2815" s="234"/>
      <c r="F2815" s="234"/>
      <c r="G2815" s="234"/>
      <c r="H2815" s="234"/>
      <c r="I2815" s="234"/>
      <c r="J2815" s="234"/>
    </row>
    <row r="2816" ht="15.75" customHeight="1">
      <c r="A2816" s="234"/>
      <c r="B2816" s="234"/>
      <c r="C2816" s="234"/>
      <c r="D2816" s="234"/>
      <c r="E2816" s="234"/>
      <c r="F2816" s="234"/>
      <c r="G2816" s="234"/>
      <c r="H2816" s="234"/>
      <c r="I2816" s="234"/>
      <c r="J2816" s="234"/>
    </row>
    <row r="2817" ht="15.75" customHeight="1">
      <c r="A2817" s="234"/>
      <c r="B2817" s="234"/>
      <c r="C2817" s="234"/>
      <c r="D2817" s="234"/>
      <c r="E2817" s="234"/>
      <c r="F2817" s="234"/>
      <c r="G2817" s="234"/>
      <c r="H2817" s="234"/>
      <c r="I2817" s="234"/>
      <c r="J2817" s="234"/>
    </row>
    <row r="2818" ht="15.75" customHeight="1">
      <c r="A2818" s="234"/>
      <c r="B2818" s="234"/>
      <c r="C2818" s="234"/>
      <c r="D2818" s="234"/>
      <c r="E2818" s="234"/>
      <c r="F2818" s="234"/>
      <c r="G2818" s="234"/>
      <c r="H2818" s="234"/>
      <c r="I2818" s="234"/>
      <c r="J2818" s="234"/>
    </row>
    <row r="2819" ht="15.75" customHeight="1">
      <c r="A2819" s="234"/>
      <c r="B2819" s="234"/>
      <c r="C2819" s="234"/>
      <c r="D2819" s="234"/>
      <c r="E2819" s="234"/>
      <c r="F2819" s="234"/>
      <c r="G2819" s="234"/>
      <c r="H2819" s="234"/>
      <c r="I2819" s="234"/>
      <c r="J2819" s="234"/>
    </row>
    <row r="2820" ht="15.75" customHeight="1">
      <c r="A2820" s="234"/>
      <c r="B2820" s="234"/>
      <c r="C2820" s="234"/>
      <c r="D2820" s="234"/>
      <c r="E2820" s="234"/>
      <c r="F2820" s="234"/>
      <c r="G2820" s="234"/>
      <c r="H2820" s="234"/>
      <c r="I2820" s="234"/>
      <c r="J2820" s="234"/>
    </row>
    <row r="2821" ht="15.75" customHeight="1">
      <c r="A2821" s="234"/>
      <c r="B2821" s="234"/>
      <c r="C2821" s="234"/>
      <c r="D2821" s="234"/>
      <c r="E2821" s="234"/>
      <c r="F2821" s="234"/>
      <c r="G2821" s="234"/>
      <c r="H2821" s="234"/>
      <c r="I2821" s="234"/>
      <c r="J2821" s="234"/>
    </row>
    <row r="2822" ht="15.75" customHeight="1">
      <c r="A2822" s="234"/>
      <c r="B2822" s="234"/>
      <c r="C2822" s="234"/>
      <c r="D2822" s="234"/>
      <c r="E2822" s="234"/>
      <c r="F2822" s="234"/>
      <c r="G2822" s="234"/>
      <c r="H2822" s="234"/>
      <c r="I2822" s="234"/>
      <c r="J2822" s="234"/>
    </row>
    <row r="2823" ht="15.75" customHeight="1">
      <c r="A2823" s="234"/>
      <c r="B2823" s="234"/>
      <c r="C2823" s="234"/>
      <c r="D2823" s="234"/>
      <c r="E2823" s="234"/>
      <c r="F2823" s="234"/>
      <c r="G2823" s="234"/>
      <c r="H2823" s="234"/>
      <c r="I2823" s="234"/>
      <c r="J2823" s="234"/>
    </row>
    <row r="2824" ht="15.75" customHeight="1">
      <c r="A2824" s="234"/>
      <c r="B2824" s="234"/>
      <c r="C2824" s="234"/>
      <c r="D2824" s="234"/>
      <c r="E2824" s="234"/>
      <c r="F2824" s="234"/>
      <c r="G2824" s="234"/>
      <c r="H2824" s="234"/>
      <c r="I2824" s="234"/>
      <c r="J2824" s="234"/>
    </row>
    <row r="2825" ht="15.75" customHeight="1">
      <c r="A2825" s="234"/>
      <c r="B2825" s="234"/>
      <c r="C2825" s="234"/>
      <c r="D2825" s="234"/>
      <c r="E2825" s="234"/>
      <c r="F2825" s="234"/>
      <c r="G2825" s="234"/>
      <c r="H2825" s="234"/>
      <c r="I2825" s="234"/>
      <c r="J2825" s="234"/>
    </row>
    <row r="2826" ht="15.75" customHeight="1">
      <c r="A2826" s="234"/>
      <c r="B2826" s="234"/>
      <c r="C2826" s="234"/>
      <c r="D2826" s="234"/>
      <c r="E2826" s="234"/>
      <c r="F2826" s="234"/>
      <c r="G2826" s="234"/>
      <c r="H2826" s="234"/>
      <c r="I2826" s="234"/>
      <c r="J2826" s="234"/>
    </row>
    <row r="2827" ht="15.75" customHeight="1">
      <c r="A2827" s="234"/>
      <c r="B2827" s="234"/>
      <c r="C2827" s="234"/>
      <c r="D2827" s="234"/>
      <c r="E2827" s="234"/>
      <c r="F2827" s="234"/>
      <c r="G2827" s="234"/>
      <c r="H2827" s="234"/>
      <c r="I2827" s="234"/>
      <c r="J2827" s="234"/>
    </row>
    <row r="2828" ht="15.75" customHeight="1">
      <c r="A2828" s="234"/>
      <c r="B2828" s="234"/>
      <c r="C2828" s="234"/>
      <c r="D2828" s="234"/>
      <c r="E2828" s="234"/>
      <c r="F2828" s="234"/>
      <c r="G2828" s="234"/>
      <c r="H2828" s="234"/>
      <c r="I2828" s="234"/>
      <c r="J2828" s="234"/>
    </row>
    <row r="2829" ht="15.75" customHeight="1">
      <c r="A2829" s="234"/>
      <c r="B2829" s="234"/>
      <c r="C2829" s="234"/>
      <c r="D2829" s="234"/>
      <c r="E2829" s="234"/>
      <c r="F2829" s="234"/>
      <c r="G2829" s="234"/>
      <c r="H2829" s="234"/>
      <c r="I2829" s="234"/>
      <c r="J2829" s="234"/>
    </row>
    <row r="2830" ht="15.75" customHeight="1">
      <c r="A2830" s="234"/>
      <c r="B2830" s="234"/>
      <c r="C2830" s="234"/>
      <c r="D2830" s="234"/>
      <c r="E2830" s="234"/>
      <c r="F2830" s="234"/>
      <c r="G2830" s="234"/>
      <c r="H2830" s="234"/>
      <c r="I2830" s="234"/>
      <c r="J2830" s="234"/>
    </row>
    <row r="2831" ht="15.75" customHeight="1">
      <c r="A2831" s="234"/>
      <c r="B2831" s="234"/>
      <c r="C2831" s="234"/>
      <c r="D2831" s="234"/>
      <c r="E2831" s="234"/>
      <c r="F2831" s="234"/>
      <c r="G2831" s="234"/>
      <c r="H2831" s="234"/>
      <c r="I2831" s="234"/>
      <c r="J2831" s="234"/>
    </row>
    <row r="2832" ht="15.75" customHeight="1">
      <c r="A2832" s="234"/>
      <c r="B2832" s="234"/>
      <c r="C2832" s="234"/>
      <c r="D2832" s="234"/>
      <c r="E2832" s="234"/>
      <c r="F2832" s="234"/>
      <c r="G2832" s="234"/>
      <c r="H2832" s="234"/>
      <c r="I2832" s="234"/>
      <c r="J2832" s="234"/>
    </row>
    <row r="2833" ht="15.75" customHeight="1">
      <c r="A2833" s="234"/>
      <c r="B2833" s="234"/>
      <c r="C2833" s="234"/>
      <c r="D2833" s="234"/>
      <c r="E2833" s="234"/>
      <c r="F2833" s="234"/>
      <c r="G2833" s="234"/>
      <c r="H2833" s="234"/>
      <c r="I2833" s="234"/>
      <c r="J2833" s="234"/>
    </row>
    <row r="2834" ht="15.75" customHeight="1">
      <c r="A2834" s="234"/>
      <c r="B2834" s="234"/>
      <c r="C2834" s="234"/>
      <c r="D2834" s="234"/>
      <c r="E2834" s="234"/>
      <c r="F2834" s="234"/>
      <c r="G2834" s="234"/>
      <c r="H2834" s="234"/>
      <c r="I2834" s="234"/>
      <c r="J2834" s="234"/>
    </row>
    <row r="2835" ht="15.75" customHeight="1">
      <c r="A2835" s="234"/>
      <c r="B2835" s="234"/>
      <c r="C2835" s="234"/>
      <c r="D2835" s="234"/>
      <c r="E2835" s="234"/>
      <c r="F2835" s="234"/>
      <c r="G2835" s="234"/>
      <c r="H2835" s="234"/>
      <c r="I2835" s="234"/>
      <c r="J2835" s="234"/>
    </row>
    <row r="2836" ht="15.75" customHeight="1">
      <c r="A2836" s="234"/>
      <c r="B2836" s="234"/>
      <c r="C2836" s="234"/>
      <c r="D2836" s="234"/>
      <c r="E2836" s="234"/>
      <c r="F2836" s="234"/>
      <c r="G2836" s="234"/>
      <c r="H2836" s="234"/>
      <c r="I2836" s="234"/>
      <c r="J2836" s="234"/>
    </row>
    <row r="2837" ht="15.75" customHeight="1">
      <c r="A2837" s="234"/>
      <c r="B2837" s="234"/>
      <c r="C2837" s="234"/>
      <c r="D2837" s="234"/>
      <c r="E2837" s="234"/>
      <c r="F2837" s="234"/>
      <c r="G2837" s="234"/>
      <c r="H2837" s="234"/>
      <c r="I2837" s="234"/>
      <c r="J2837" s="234"/>
    </row>
    <row r="2838" ht="15.75" customHeight="1">
      <c r="A2838" s="234"/>
      <c r="B2838" s="234"/>
      <c r="C2838" s="234"/>
      <c r="D2838" s="234"/>
      <c r="E2838" s="234"/>
      <c r="F2838" s="234"/>
      <c r="G2838" s="234"/>
      <c r="H2838" s="234"/>
      <c r="I2838" s="234"/>
      <c r="J2838" s="234"/>
    </row>
    <row r="2839" ht="15.75" customHeight="1">
      <c r="A2839" s="234"/>
      <c r="B2839" s="234"/>
      <c r="C2839" s="234"/>
      <c r="D2839" s="234"/>
      <c r="E2839" s="234"/>
      <c r="F2839" s="234"/>
      <c r="G2839" s="234"/>
      <c r="H2839" s="234"/>
      <c r="I2839" s="234"/>
      <c r="J2839" s="234"/>
    </row>
    <row r="2840" ht="15.75" customHeight="1">
      <c r="A2840" s="234"/>
      <c r="B2840" s="234"/>
      <c r="C2840" s="234"/>
      <c r="D2840" s="234"/>
      <c r="E2840" s="234"/>
      <c r="F2840" s="234"/>
      <c r="G2840" s="234"/>
      <c r="H2840" s="234"/>
      <c r="I2840" s="234"/>
      <c r="J2840" s="234"/>
    </row>
    <row r="2841" ht="15.75" customHeight="1">
      <c r="A2841" s="234"/>
      <c r="B2841" s="234"/>
      <c r="C2841" s="234"/>
      <c r="D2841" s="234"/>
      <c r="E2841" s="234"/>
      <c r="F2841" s="234"/>
      <c r="G2841" s="234"/>
      <c r="H2841" s="234"/>
      <c r="I2841" s="234"/>
      <c r="J2841" s="234"/>
    </row>
    <row r="2842" ht="15.75" customHeight="1">
      <c r="A2842" s="234"/>
      <c r="B2842" s="234"/>
      <c r="C2842" s="234"/>
      <c r="D2842" s="234"/>
      <c r="E2842" s="234"/>
      <c r="F2842" s="234"/>
      <c r="G2842" s="234"/>
      <c r="H2842" s="234"/>
      <c r="I2842" s="234"/>
      <c r="J2842" s="234"/>
    </row>
    <row r="2843" ht="15.75" customHeight="1">
      <c r="A2843" s="234"/>
      <c r="B2843" s="234"/>
      <c r="C2843" s="234"/>
      <c r="D2843" s="234"/>
      <c r="E2843" s="234"/>
      <c r="F2843" s="234"/>
      <c r="G2843" s="234"/>
      <c r="H2843" s="234"/>
      <c r="I2843" s="234"/>
      <c r="J2843" s="234"/>
    </row>
    <row r="2844" ht="15.75" customHeight="1">
      <c r="A2844" s="234"/>
      <c r="B2844" s="234"/>
      <c r="C2844" s="234"/>
      <c r="D2844" s="234"/>
      <c r="E2844" s="234"/>
      <c r="F2844" s="234"/>
      <c r="G2844" s="234"/>
      <c r="H2844" s="234"/>
      <c r="I2844" s="234"/>
      <c r="J2844" s="234"/>
    </row>
    <row r="2845" ht="15.75" customHeight="1">
      <c r="A2845" s="234"/>
      <c r="B2845" s="234"/>
      <c r="C2845" s="234"/>
      <c r="D2845" s="234"/>
      <c r="E2845" s="234"/>
      <c r="F2845" s="234"/>
      <c r="G2845" s="234"/>
      <c r="H2845" s="234"/>
      <c r="I2845" s="234"/>
      <c r="J2845" s="234"/>
    </row>
    <row r="2846" ht="15.75" customHeight="1">
      <c r="A2846" s="234"/>
      <c r="B2846" s="234"/>
      <c r="C2846" s="234"/>
      <c r="D2846" s="234"/>
      <c r="E2846" s="234"/>
      <c r="F2846" s="234"/>
      <c r="G2846" s="234"/>
      <c r="H2846" s="234"/>
      <c r="I2846" s="234"/>
      <c r="J2846" s="234"/>
    </row>
    <row r="2847" ht="15.75" customHeight="1">
      <c r="A2847" s="234"/>
      <c r="B2847" s="234"/>
      <c r="C2847" s="234"/>
      <c r="D2847" s="234"/>
      <c r="E2847" s="234"/>
      <c r="F2847" s="234"/>
      <c r="G2847" s="234"/>
      <c r="H2847" s="234"/>
      <c r="I2847" s="234"/>
      <c r="J2847" s="234"/>
    </row>
    <row r="2848" ht="15.75" customHeight="1">
      <c r="A2848" s="234"/>
      <c r="B2848" s="234"/>
      <c r="C2848" s="234"/>
      <c r="D2848" s="234"/>
      <c r="E2848" s="234"/>
      <c r="F2848" s="234"/>
      <c r="G2848" s="234"/>
      <c r="H2848" s="234"/>
      <c r="I2848" s="234"/>
      <c r="J2848" s="234"/>
    </row>
    <row r="2849" ht="15.75" customHeight="1">
      <c r="A2849" s="234"/>
      <c r="B2849" s="234"/>
      <c r="C2849" s="234"/>
      <c r="D2849" s="234"/>
      <c r="E2849" s="234"/>
      <c r="F2849" s="234"/>
      <c r="G2849" s="234"/>
      <c r="H2849" s="234"/>
      <c r="I2849" s="234"/>
      <c r="J2849" s="234"/>
    </row>
    <row r="2850" ht="15.75" customHeight="1">
      <c r="A2850" s="234"/>
      <c r="B2850" s="234"/>
      <c r="C2850" s="234"/>
      <c r="D2850" s="234"/>
      <c r="E2850" s="234"/>
      <c r="F2850" s="234"/>
      <c r="G2850" s="234"/>
      <c r="H2850" s="234"/>
      <c r="I2850" s="234"/>
      <c r="J2850" s="234"/>
    </row>
    <row r="2851" ht="15.75" customHeight="1">
      <c r="A2851" s="234"/>
      <c r="B2851" s="234"/>
      <c r="C2851" s="234"/>
      <c r="D2851" s="234"/>
      <c r="E2851" s="234"/>
      <c r="F2851" s="234"/>
      <c r="G2851" s="234"/>
      <c r="H2851" s="234"/>
      <c r="I2851" s="234"/>
      <c r="J2851" s="234"/>
    </row>
    <row r="2852" ht="15.75" customHeight="1">
      <c r="A2852" s="234"/>
      <c r="B2852" s="234"/>
      <c r="C2852" s="234"/>
      <c r="D2852" s="234"/>
      <c r="E2852" s="234"/>
      <c r="F2852" s="234"/>
      <c r="G2852" s="234"/>
      <c r="H2852" s="234"/>
      <c r="I2852" s="234"/>
      <c r="J2852" s="234"/>
    </row>
    <row r="2853" ht="15.75" customHeight="1">
      <c r="A2853" s="234"/>
      <c r="B2853" s="234"/>
      <c r="C2853" s="234"/>
      <c r="D2853" s="234"/>
      <c r="E2853" s="234"/>
      <c r="F2853" s="234"/>
      <c r="G2853" s="234"/>
      <c r="H2853" s="234"/>
      <c r="I2853" s="234"/>
      <c r="J2853" s="234"/>
    </row>
    <row r="2854" ht="15.75" customHeight="1">
      <c r="A2854" s="234"/>
      <c r="B2854" s="234"/>
      <c r="C2854" s="234"/>
      <c r="D2854" s="234"/>
      <c r="E2854" s="234"/>
      <c r="F2854" s="234"/>
      <c r="G2854" s="234"/>
      <c r="H2854" s="234"/>
      <c r="I2854" s="234"/>
      <c r="J2854" s="234"/>
    </row>
    <row r="2855" ht="15.75" customHeight="1">
      <c r="A2855" s="234"/>
      <c r="B2855" s="234"/>
      <c r="C2855" s="234"/>
      <c r="D2855" s="234"/>
      <c r="E2855" s="234"/>
      <c r="F2855" s="234"/>
      <c r="G2855" s="234"/>
      <c r="H2855" s="234"/>
      <c r="I2855" s="234"/>
      <c r="J2855" s="234"/>
    </row>
    <row r="2856" ht="15.75" customHeight="1">
      <c r="A2856" s="234"/>
      <c r="B2856" s="234"/>
      <c r="C2856" s="234"/>
      <c r="D2856" s="234"/>
      <c r="E2856" s="234"/>
      <c r="F2856" s="234"/>
      <c r="G2856" s="234"/>
      <c r="H2856" s="234"/>
      <c r="I2856" s="234"/>
      <c r="J2856" s="234"/>
    </row>
    <row r="2857" ht="15.75" customHeight="1">
      <c r="A2857" s="234"/>
      <c r="B2857" s="234"/>
      <c r="C2857" s="234"/>
      <c r="D2857" s="234"/>
      <c r="E2857" s="234"/>
      <c r="F2857" s="234"/>
      <c r="G2857" s="234"/>
      <c r="H2857" s="234"/>
      <c r="I2857" s="234"/>
      <c r="J2857" s="234"/>
    </row>
    <row r="2858" ht="15.75" customHeight="1">
      <c r="A2858" s="234"/>
      <c r="B2858" s="234"/>
      <c r="C2858" s="234"/>
      <c r="D2858" s="234"/>
      <c r="E2858" s="234"/>
      <c r="F2858" s="234"/>
      <c r="G2858" s="234"/>
      <c r="H2858" s="234"/>
      <c r="I2858" s="234"/>
      <c r="J2858" s="234"/>
    </row>
    <row r="2859" ht="15.75" customHeight="1">
      <c r="A2859" s="234"/>
      <c r="B2859" s="234"/>
      <c r="C2859" s="234"/>
      <c r="D2859" s="234"/>
      <c r="E2859" s="234"/>
      <c r="F2859" s="234"/>
      <c r="G2859" s="234"/>
      <c r="H2859" s="234"/>
      <c r="I2859" s="234"/>
      <c r="J2859" s="234"/>
    </row>
    <row r="2860" ht="15.75" customHeight="1">
      <c r="A2860" s="234"/>
      <c r="B2860" s="234"/>
      <c r="C2860" s="234"/>
      <c r="D2860" s="234"/>
      <c r="E2860" s="234"/>
      <c r="F2860" s="234"/>
      <c r="G2860" s="234"/>
      <c r="H2860" s="234"/>
      <c r="I2860" s="234"/>
      <c r="J2860" s="234"/>
    </row>
    <row r="2861" ht="15.75" customHeight="1">
      <c r="A2861" s="234"/>
      <c r="B2861" s="234"/>
      <c r="C2861" s="234"/>
      <c r="D2861" s="234"/>
      <c r="E2861" s="234"/>
      <c r="F2861" s="234"/>
      <c r="G2861" s="234"/>
      <c r="H2861" s="234"/>
      <c r="I2861" s="234"/>
      <c r="J2861" s="234"/>
    </row>
    <row r="2862" ht="15.75" customHeight="1">
      <c r="A2862" s="234"/>
      <c r="B2862" s="234"/>
      <c r="C2862" s="234"/>
      <c r="D2862" s="234"/>
      <c r="E2862" s="234"/>
      <c r="F2862" s="234"/>
      <c r="G2862" s="234"/>
      <c r="H2862" s="234"/>
      <c r="I2862" s="234"/>
      <c r="J2862" s="234"/>
    </row>
    <row r="2863" ht="15.75" customHeight="1">
      <c r="A2863" s="234"/>
      <c r="B2863" s="234"/>
      <c r="C2863" s="234"/>
      <c r="D2863" s="234"/>
      <c r="E2863" s="234"/>
      <c r="F2863" s="234"/>
      <c r="G2863" s="234"/>
      <c r="H2863" s="234"/>
      <c r="I2863" s="234"/>
      <c r="J2863" s="234"/>
    </row>
    <row r="2864" ht="15.75" customHeight="1">
      <c r="A2864" s="234"/>
      <c r="B2864" s="234"/>
      <c r="C2864" s="234"/>
      <c r="D2864" s="234"/>
      <c r="E2864" s="234"/>
      <c r="F2864" s="234"/>
      <c r="G2864" s="234"/>
      <c r="H2864" s="234"/>
      <c r="I2864" s="234"/>
      <c r="J2864" s="234"/>
    </row>
    <row r="2865" ht="15.75" customHeight="1">
      <c r="A2865" s="234"/>
      <c r="B2865" s="234"/>
      <c r="C2865" s="234"/>
      <c r="D2865" s="234"/>
      <c r="E2865" s="234"/>
      <c r="F2865" s="234"/>
      <c r="G2865" s="234"/>
      <c r="H2865" s="234"/>
      <c r="I2865" s="234"/>
      <c r="J2865" s="234"/>
    </row>
    <row r="2866" ht="15.75" customHeight="1">
      <c r="A2866" s="234"/>
      <c r="B2866" s="234"/>
      <c r="C2866" s="234"/>
      <c r="D2866" s="234"/>
      <c r="E2866" s="234"/>
      <c r="F2866" s="234"/>
      <c r="G2866" s="234"/>
      <c r="H2866" s="234"/>
      <c r="I2866" s="234"/>
      <c r="J2866" s="234"/>
    </row>
    <row r="2867" ht="15.75" customHeight="1">
      <c r="A2867" s="234"/>
      <c r="B2867" s="234"/>
      <c r="C2867" s="234"/>
      <c r="D2867" s="234"/>
      <c r="E2867" s="234"/>
      <c r="F2867" s="234"/>
      <c r="G2867" s="234"/>
      <c r="H2867" s="234"/>
      <c r="I2867" s="234"/>
      <c r="J2867" s="234"/>
    </row>
    <row r="2868" ht="15.75" customHeight="1">
      <c r="A2868" s="234"/>
      <c r="B2868" s="234"/>
      <c r="C2868" s="234"/>
      <c r="D2868" s="234"/>
      <c r="E2868" s="234"/>
      <c r="F2868" s="234"/>
      <c r="G2868" s="234"/>
      <c r="H2868" s="234"/>
      <c r="I2868" s="234"/>
      <c r="J2868" s="234"/>
    </row>
    <row r="2869" ht="15.75" customHeight="1">
      <c r="A2869" s="234"/>
      <c r="B2869" s="234"/>
      <c r="C2869" s="234"/>
      <c r="D2869" s="234"/>
      <c r="E2869" s="234"/>
      <c r="F2869" s="234"/>
      <c r="G2869" s="234"/>
      <c r="H2869" s="234"/>
      <c r="I2869" s="234"/>
      <c r="J2869" s="234"/>
    </row>
    <row r="2870" ht="15.75" customHeight="1">
      <c r="A2870" s="234"/>
      <c r="B2870" s="234"/>
      <c r="C2870" s="234"/>
      <c r="D2870" s="234"/>
      <c r="E2870" s="234"/>
      <c r="F2870" s="234"/>
      <c r="G2870" s="234"/>
      <c r="H2870" s="234"/>
      <c r="I2870" s="234"/>
      <c r="J2870" s="234"/>
    </row>
    <row r="2871" ht="15.75" customHeight="1">
      <c r="A2871" s="234"/>
      <c r="B2871" s="234"/>
      <c r="C2871" s="234"/>
      <c r="D2871" s="234"/>
      <c r="E2871" s="234"/>
      <c r="F2871" s="234"/>
      <c r="G2871" s="234"/>
      <c r="H2871" s="234"/>
      <c r="I2871" s="234"/>
      <c r="J2871" s="234"/>
    </row>
    <row r="2872" ht="15.75" customHeight="1">
      <c r="A2872" s="234"/>
      <c r="B2872" s="234"/>
      <c r="C2872" s="234"/>
      <c r="D2872" s="234"/>
      <c r="E2872" s="234"/>
      <c r="F2872" s="234"/>
      <c r="G2872" s="234"/>
      <c r="H2872" s="234"/>
      <c r="I2872" s="234"/>
      <c r="J2872" s="234"/>
    </row>
    <row r="2873" ht="15.75" customHeight="1">
      <c r="A2873" s="234"/>
      <c r="B2873" s="234"/>
      <c r="C2873" s="234"/>
      <c r="D2873" s="234"/>
      <c r="E2873" s="234"/>
      <c r="F2873" s="234"/>
      <c r="G2873" s="234"/>
      <c r="H2873" s="234"/>
      <c r="I2873" s="234"/>
      <c r="J2873" s="234"/>
    </row>
    <row r="2874" ht="15.75" customHeight="1">
      <c r="A2874" s="234"/>
      <c r="B2874" s="234"/>
      <c r="C2874" s="234"/>
      <c r="D2874" s="234"/>
      <c r="E2874" s="234"/>
      <c r="F2874" s="234"/>
      <c r="G2874" s="234"/>
      <c r="H2874" s="234"/>
      <c r="I2874" s="234"/>
      <c r="J2874" s="234"/>
    </row>
    <row r="2875" ht="15.75" customHeight="1">
      <c r="A2875" s="234"/>
      <c r="B2875" s="234"/>
      <c r="C2875" s="234"/>
      <c r="D2875" s="234"/>
      <c r="E2875" s="234"/>
      <c r="F2875" s="234"/>
      <c r="G2875" s="234"/>
      <c r="H2875" s="234"/>
      <c r="I2875" s="234"/>
      <c r="J2875" s="234"/>
    </row>
    <row r="2876" ht="15.75" customHeight="1">
      <c r="A2876" s="234"/>
      <c r="B2876" s="234"/>
      <c r="C2876" s="234"/>
      <c r="D2876" s="234"/>
      <c r="E2876" s="234"/>
      <c r="F2876" s="234"/>
      <c r="G2876" s="234"/>
      <c r="H2876" s="234"/>
      <c r="I2876" s="234"/>
      <c r="J2876" s="234"/>
    </row>
    <row r="2877" ht="15.75" customHeight="1">
      <c r="A2877" s="234"/>
      <c r="B2877" s="234"/>
      <c r="C2877" s="234"/>
      <c r="D2877" s="234"/>
      <c r="E2877" s="234"/>
      <c r="F2877" s="234"/>
      <c r="G2877" s="234"/>
      <c r="H2877" s="234"/>
      <c r="I2877" s="234"/>
      <c r="J2877" s="234"/>
    </row>
    <row r="2878" ht="15.75" customHeight="1">
      <c r="A2878" s="234"/>
      <c r="B2878" s="234"/>
      <c r="C2878" s="234"/>
      <c r="D2878" s="234"/>
      <c r="E2878" s="234"/>
      <c r="F2878" s="234"/>
      <c r="G2878" s="234"/>
      <c r="H2878" s="234"/>
      <c r="I2878" s="234"/>
      <c r="J2878" s="234"/>
    </row>
    <row r="2879" ht="15.75" customHeight="1">
      <c r="A2879" s="234"/>
      <c r="B2879" s="234"/>
      <c r="C2879" s="234"/>
      <c r="D2879" s="234"/>
      <c r="E2879" s="234"/>
      <c r="F2879" s="234"/>
      <c r="G2879" s="234"/>
      <c r="H2879" s="234"/>
      <c r="I2879" s="234"/>
      <c r="J2879" s="234"/>
    </row>
    <row r="2880" ht="15.75" customHeight="1">
      <c r="A2880" s="234"/>
      <c r="B2880" s="234"/>
      <c r="C2880" s="234"/>
      <c r="D2880" s="234"/>
      <c r="E2880" s="234"/>
      <c r="F2880" s="234"/>
      <c r="G2880" s="234"/>
      <c r="H2880" s="234"/>
      <c r="I2880" s="234"/>
      <c r="J2880" s="234"/>
    </row>
    <row r="2881" ht="15.75" customHeight="1">
      <c r="A2881" s="234"/>
      <c r="B2881" s="234"/>
      <c r="C2881" s="234"/>
      <c r="D2881" s="234"/>
      <c r="E2881" s="234"/>
      <c r="F2881" s="234"/>
      <c r="G2881" s="234"/>
      <c r="H2881" s="234"/>
      <c r="I2881" s="234"/>
      <c r="J2881" s="234"/>
    </row>
    <row r="2882" ht="15.75" customHeight="1">
      <c r="A2882" s="234"/>
      <c r="B2882" s="234"/>
      <c r="C2882" s="234"/>
      <c r="D2882" s="234"/>
      <c r="E2882" s="234"/>
      <c r="F2882" s="234"/>
      <c r="G2882" s="234"/>
      <c r="H2882" s="234"/>
      <c r="I2882" s="234"/>
      <c r="J2882" s="234"/>
    </row>
    <row r="2883" ht="15.75" customHeight="1">
      <c r="A2883" s="234"/>
      <c r="B2883" s="234"/>
      <c r="C2883" s="234"/>
      <c r="D2883" s="234"/>
      <c r="E2883" s="234"/>
      <c r="F2883" s="234"/>
      <c r="G2883" s="234"/>
      <c r="H2883" s="234"/>
      <c r="I2883" s="234"/>
      <c r="J2883" s="234"/>
    </row>
    <row r="2884" ht="15.75" customHeight="1">
      <c r="A2884" s="234"/>
      <c r="B2884" s="234"/>
      <c r="C2884" s="234"/>
      <c r="D2884" s="234"/>
      <c r="E2884" s="234"/>
      <c r="F2884" s="234"/>
      <c r="G2884" s="234"/>
      <c r="H2884" s="234"/>
      <c r="I2884" s="234"/>
      <c r="J2884" s="234"/>
    </row>
    <row r="2885" ht="15.75" customHeight="1">
      <c r="A2885" s="234"/>
      <c r="B2885" s="234"/>
      <c r="C2885" s="234"/>
      <c r="D2885" s="234"/>
      <c r="E2885" s="234"/>
      <c r="F2885" s="234"/>
      <c r="G2885" s="234"/>
      <c r="H2885" s="234"/>
      <c r="I2885" s="234"/>
      <c r="J2885" s="234"/>
    </row>
    <row r="2886" ht="15.75" customHeight="1">
      <c r="A2886" s="234"/>
      <c r="B2886" s="234"/>
      <c r="C2886" s="234"/>
      <c r="D2886" s="234"/>
      <c r="E2886" s="234"/>
      <c r="F2886" s="234"/>
      <c r="G2886" s="234"/>
      <c r="H2886" s="234"/>
      <c r="I2886" s="234"/>
      <c r="J2886" s="234"/>
    </row>
    <row r="2887" ht="15.75" customHeight="1">
      <c r="A2887" s="234"/>
      <c r="B2887" s="234"/>
      <c r="C2887" s="234"/>
      <c r="D2887" s="234"/>
      <c r="E2887" s="234"/>
      <c r="F2887" s="234"/>
      <c r="G2887" s="234"/>
      <c r="H2887" s="234"/>
      <c r="I2887" s="234"/>
      <c r="J2887" s="234"/>
    </row>
    <row r="2888" ht="15.75" customHeight="1">
      <c r="A2888" s="234"/>
      <c r="B2888" s="234"/>
      <c r="C2888" s="234"/>
      <c r="D2888" s="234"/>
      <c r="E2888" s="234"/>
      <c r="F2888" s="234"/>
      <c r="G2888" s="234"/>
      <c r="H2888" s="234"/>
      <c r="I2888" s="234"/>
      <c r="J2888" s="234"/>
    </row>
    <row r="2889" ht="15.75" customHeight="1">
      <c r="A2889" s="234"/>
      <c r="B2889" s="234"/>
      <c r="C2889" s="234"/>
      <c r="D2889" s="234"/>
      <c r="E2889" s="234"/>
      <c r="F2889" s="234"/>
      <c r="G2889" s="234"/>
      <c r="H2889" s="234"/>
      <c r="I2889" s="234"/>
      <c r="J2889" s="234"/>
    </row>
    <row r="2890" ht="15.75" customHeight="1">
      <c r="A2890" s="234"/>
      <c r="B2890" s="234"/>
      <c r="C2890" s="234"/>
      <c r="D2890" s="234"/>
      <c r="E2890" s="234"/>
      <c r="F2890" s="234"/>
      <c r="G2890" s="234"/>
      <c r="H2890" s="234"/>
      <c r="I2890" s="234"/>
      <c r="J2890" s="234"/>
    </row>
    <row r="2891" ht="15.75" customHeight="1">
      <c r="A2891" s="234"/>
      <c r="B2891" s="234"/>
      <c r="C2891" s="234"/>
      <c r="D2891" s="234"/>
      <c r="E2891" s="234"/>
      <c r="F2891" s="234"/>
      <c r="G2891" s="234"/>
      <c r="H2891" s="234"/>
      <c r="I2891" s="234"/>
      <c r="J2891" s="234"/>
    </row>
    <row r="2892" ht="15.75" customHeight="1">
      <c r="A2892" s="234"/>
      <c r="B2892" s="234"/>
      <c r="C2892" s="234"/>
      <c r="D2892" s="234"/>
      <c r="E2892" s="234"/>
      <c r="F2892" s="234"/>
      <c r="G2892" s="234"/>
      <c r="H2892" s="234"/>
      <c r="I2892" s="234"/>
      <c r="J2892" s="234"/>
    </row>
    <row r="2893" ht="15.75" customHeight="1">
      <c r="A2893" s="234"/>
      <c r="B2893" s="234"/>
      <c r="C2893" s="234"/>
      <c r="D2893" s="234"/>
      <c r="E2893" s="234"/>
      <c r="F2893" s="234"/>
      <c r="G2893" s="234"/>
      <c r="H2893" s="234"/>
      <c r="I2893" s="234"/>
      <c r="J2893" s="234"/>
    </row>
    <row r="2894" ht="15.75" customHeight="1">
      <c r="A2894" s="234"/>
      <c r="B2894" s="234"/>
      <c r="C2894" s="234"/>
      <c r="D2894" s="234"/>
      <c r="E2894" s="234"/>
      <c r="F2894" s="234"/>
      <c r="G2894" s="234"/>
      <c r="H2894" s="234"/>
      <c r="I2894" s="234"/>
      <c r="J2894" s="234"/>
    </row>
    <row r="2895" ht="15.75" customHeight="1">
      <c r="A2895" s="234"/>
      <c r="B2895" s="234"/>
      <c r="C2895" s="234"/>
      <c r="D2895" s="234"/>
      <c r="E2895" s="234"/>
      <c r="F2895" s="234"/>
      <c r="G2895" s="234"/>
      <c r="H2895" s="234"/>
      <c r="I2895" s="234"/>
      <c r="J2895" s="234"/>
    </row>
    <row r="2896" ht="15.75" customHeight="1">
      <c r="A2896" s="234"/>
      <c r="B2896" s="234"/>
      <c r="C2896" s="234"/>
      <c r="D2896" s="234"/>
      <c r="E2896" s="234"/>
      <c r="F2896" s="234"/>
      <c r="G2896" s="234"/>
      <c r="H2896" s="234"/>
      <c r="I2896" s="234"/>
      <c r="J2896" s="234"/>
    </row>
    <row r="2897" ht="15.75" customHeight="1">
      <c r="A2897" s="234"/>
      <c r="B2897" s="234"/>
      <c r="C2897" s="234"/>
      <c r="D2897" s="234"/>
      <c r="E2897" s="234"/>
      <c r="F2897" s="234"/>
      <c r="G2897" s="234"/>
      <c r="H2897" s="234"/>
      <c r="I2897" s="234"/>
      <c r="J2897" s="234"/>
    </row>
    <row r="2898" ht="15.75" customHeight="1">
      <c r="A2898" s="234"/>
      <c r="B2898" s="234"/>
      <c r="C2898" s="234"/>
      <c r="D2898" s="234"/>
      <c r="E2898" s="234"/>
      <c r="F2898" s="234"/>
      <c r="G2898" s="234"/>
      <c r="H2898" s="234"/>
      <c r="I2898" s="234"/>
      <c r="J2898" s="234"/>
    </row>
    <row r="2899" ht="15.75" customHeight="1">
      <c r="A2899" s="234"/>
      <c r="B2899" s="234"/>
      <c r="C2899" s="234"/>
      <c r="D2899" s="234"/>
      <c r="E2899" s="234"/>
      <c r="F2899" s="234"/>
      <c r="G2899" s="234"/>
      <c r="H2899" s="234"/>
      <c r="I2899" s="234"/>
      <c r="J2899" s="234"/>
    </row>
    <row r="2900" ht="15.75" customHeight="1">
      <c r="A2900" s="234"/>
      <c r="B2900" s="234"/>
      <c r="C2900" s="234"/>
      <c r="D2900" s="234"/>
      <c r="E2900" s="234"/>
      <c r="F2900" s="234"/>
      <c r="G2900" s="234"/>
      <c r="H2900" s="234"/>
      <c r="I2900" s="234"/>
      <c r="J2900" s="234"/>
    </row>
    <row r="2901" ht="15.75" customHeight="1">
      <c r="A2901" s="234"/>
      <c r="B2901" s="234"/>
      <c r="C2901" s="234"/>
      <c r="D2901" s="234"/>
      <c r="E2901" s="234"/>
      <c r="F2901" s="234"/>
      <c r="G2901" s="234"/>
      <c r="H2901" s="234"/>
      <c r="I2901" s="234"/>
      <c r="J2901" s="234"/>
    </row>
    <row r="2902" ht="15.75" customHeight="1">
      <c r="A2902" s="234"/>
      <c r="B2902" s="234"/>
      <c r="C2902" s="234"/>
      <c r="D2902" s="234"/>
      <c r="E2902" s="234"/>
      <c r="F2902" s="234"/>
      <c r="G2902" s="234"/>
      <c r="H2902" s="234"/>
      <c r="I2902" s="234"/>
      <c r="J2902" s="234"/>
    </row>
    <row r="2903" ht="15.75" customHeight="1">
      <c r="A2903" s="234"/>
      <c r="B2903" s="234"/>
      <c r="C2903" s="234"/>
      <c r="D2903" s="234"/>
      <c r="E2903" s="234"/>
      <c r="F2903" s="234"/>
      <c r="G2903" s="234"/>
      <c r="H2903" s="234"/>
      <c r="I2903" s="234"/>
      <c r="J2903" s="234"/>
    </row>
    <row r="2904" ht="15.75" customHeight="1">
      <c r="A2904" s="234"/>
      <c r="B2904" s="234"/>
      <c r="C2904" s="234"/>
      <c r="D2904" s="234"/>
      <c r="E2904" s="234"/>
      <c r="F2904" s="234"/>
      <c r="G2904" s="234"/>
      <c r="H2904" s="234"/>
      <c r="I2904" s="234"/>
      <c r="J2904" s="234"/>
    </row>
    <row r="2905" ht="15.75" customHeight="1">
      <c r="A2905" s="234"/>
      <c r="B2905" s="234"/>
      <c r="C2905" s="234"/>
      <c r="D2905" s="234"/>
      <c r="E2905" s="234"/>
      <c r="F2905" s="234"/>
      <c r="G2905" s="234"/>
      <c r="H2905" s="234"/>
      <c r="I2905" s="234"/>
      <c r="J2905" s="234"/>
    </row>
    <row r="2906" ht="15.75" customHeight="1">
      <c r="A2906" s="234"/>
      <c r="B2906" s="234"/>
      <c r="C2906" s="234"/>
      <c r="D2906" s="234"/>
      <c r="E2906" s="234"/>
      <c r="F2906" s="234"/>
      <c r="G2906" s="234"/>
      <c r="H2906" s="234"/>
      <c r="I2906" s="234"/>
      <c r="J2906" s="234"/>
    </row>
    <row r="2907" ht="15.75" customHeight="1">
      <c r="A2907" s="234"/>
      <c r="B2907" s="234"/>
      <c r="C2907" s="234"/>
      <c r="D2907" s="234"/>
      <c r="E2907" s="234"/>
      <c r="F2907" s="234"/>
      <c r="G2907" s="234"/>
      <c r="H2907" s="234"/>
      <c r="I2907" s="234"/>
      <c r="J2907" s="234"/>
    </row>
    <row r="2908" ht="15.75" customHeight="1">
      <c r="A2908" s="234"/>
      <c r="B2908" s="234"/>
      <c r="C2908" s="234"/>
      <c r="D2908" s="234"/>
      <c r="E2908" s="234"/>
      <c r="F2908" s="234"/>
      <c r="G2908" s="234"/>
      <c r="H2908" s="234"/>
      <c r="I2908" s="234"/>
      <c r="J2908" s="234"/>
    </row>
    <row r="2909" ht="15.75" customHeight="1">
      <c r="A2909" s="234"/>
      <c r="B2909" s="234"/>
      <c r="C2909" s="234"/>
      <c r="D2909" s="234"/>
      <c r="E2909" s="234"/>
      <c r="F2909" s="234"/>
      <c r="G2909" s="234"/>
      <c r="H2909" s="234"/>
      <c r="I2909" s="234"/>
      <c r="J2909" s="234"/>
    </row>
    <row r="2910" ht="15.75" customHeight="1">
      <c r="A2910" s="234"/>
      <c r="B2910" s="234"/>
      <c r="C2910" s="234"/>
      <c r="D2910" s="234"/>
      <c r="E2910" s="234"/>
      <c r="F2910" s="234"/>
      <c r="G2910" s="234"/>
      <c r="H2910" s="234"/>
      <c r="I2910" s="234"/>
      <c r="J2910" s="234"/>
    </row>
    <row r="2911" ht="15.75" customHeight="1">
      <c r="A2911" s="234"/>
      <c r="B2911" s="234"/>
      <c r="C2911" s="234"/>
      <c r="D2911" s="234"/>
      <c r="E2911" s="234"/>
      <c r="F2911" s="234"/>
      <c r="G2911" s="234"/>
      <c r="H2911" s="234"/>
      <c r="I2911" s="234"/>
      <c r="J2911" s="234"/>
    </row>
    <row r="2912" ht="15.75" customHeight="1">
      <c r="A2912" s="234"/>
      <c r="B2912" s="234"/>
      <c r="C2912" s="234"/>
      <c r="D2912" s="234"/>
      <c r="E2912" s="234"/>
      <c r="F2912" s="234"/>
      <c r="G2912" s="234"/>
      <c r="H2912" s="234"/>
      <c r="I2912" s="234"/>
      <c r="J2912" s="234"/>
    </row>
    <row r="2913" ht="15.75" customHeight="1">
      <c r="A2913" s="234"/>
      <c r="B2913" s="234"/>
      <c r="C2913" s="234"/>
      <c r="D2913" s="234"/>
      <c r="E2913" s="234"/>
      <c r="F2913" s="234"/>
      <c r="G2913" s="234"/>
      <c r="H2913" s="234"/>
      <c r="I2913" s="234"/>
      <c r="J2913" s="234"/>
    </row>
    <row r="2914" ht="15.75" customHeight="1">
      <c r="A2914" s="234"/>
      <c r="B2914" s="234"/>
      <c r="C2914" s="234"/>
      <c r="D2914" s="234"/>
      <c r="E2914" s="234"/>
      <c r="F2914" s="234"/>
      <c r="G2914" s="234"/>
      <c r="H2914" s="234"/>
      <c r="I2914" s="234"/>
      <c r="J2914" s="234"/>
    </row>
    <row r="2915" ht="15.75" customHeight="1">
      <c r="A2915" s="234"/>
      <c r="B2915" s="234"/>
      <c r="C2915" s="234"/>
      <c r="D2915" s="234"/>
      <c r="E2915" s="234"/>
      <c r="F2915" s="234"/>
      <c r="G2915" s="234"/>
      <c r="H2915" s="234"/>
      <c r="I2915" s="234"/>
      <c r="J2915" s="234"/>
    </row>
    <row r="2916" ht="15.75" customHeight="1">
      <c r="A2916" s="234"/>
      <c r="B2916" s="234"/>
      <c r="C2916" s="234"/>
      <c r="D2916" s="234"/>
      <c r="E2916" s="234"/>
      <c r="F2916" s="234"/>
      <c r="G2916" s="234"/>
      <c r="H2916" s="234"/>
      <c r="I2916" s="234"/>
      <c r="J2916" s="234"/>
    </row>
    <row r="2917" ht="15.75" customHeight="1">
      <c r="A2917" s="234"/>
      <c r="B2917" s="234"/>
      <c r="C2917" s="234"/>
      <c r="D2917" s="234"/>
      <c r="E2917" s="234"/>
      <c r="F2917" s="234"/>
      <c r="G2917" s="234"/>
      <c r="H2917" s="234"/>
      <c r="I2917" s="234"/>
      <c r="J2917" s="234"/>
    </row>
    <row r="2918" ht="15.75" customHeight="1">
      <c r="A2918" s="234"/>
      <c r="B2918" s="234"/>
      <c r="C2918" s="234"/>
      <c r="D2918" s="234"/>
      <c r="E2918" s="234"/>
      <c r="F2918" s="234"/>
      <c r="G2918" s="234"/>
      <c r="H2918" s="234"/>
      <c r="I2918" s="234"/>
      <c r="J2918" s="234"/>
    </row>
    <row r="2919" ht="15.75" customHeight="1">
      <c r="A2919" s="234"/>
      <c r="B2919" s="234"/>
      <c r="C2919" s="234"/>
      <c r="D2919" s="234"/>
      <c r="E2919" s="234"/>
      <c r="F2919" s="234"/>
      <c r="G2919" s="234"/>
      <c r="H2919" s="234"/>
      <c r="I2919" s="234"/>
      <c r="J2919" s="234"/>
    </row>
    <row r="2920" ht="15.75" customHeight="1">
      <c r="A2920" s="234"/>
      <c r="B2920" s="234"/>
      <c r="C2920" s="234"/>
      <c r="D2920" s="234"/>
      <c r="E2920" s="234"/>
      <c r="F2920" s="234"/>
      <c r="G2920" s="234"/>
      <c r="H2920" s="234"/>
      <c r="I2920" s="234"/>
      <c r="J2920" s="234"/>
    </row>
    <row r="2921" ht="15.75" customHeight="1">
      <c r="A2921" s="234"/>
      <c r="B2921" s="234"/>
      <c r="C2921" s="234"/>
      <c r="D2921" s="234"/>
      <c r="E2921" s="234"/>
      <c r="F2921" s="234"/>
      <c r="G2921" s="234"/>
      <c r="H2921" s="234"/>
      <c r="I2921" s="234"/>
      <c r="J2921" s="234"/>
    </row>
    <row r="2922" ht="15.75" customHeight="1">
      <c r="A2922" s="234"/>
      <c r="B2922" s="234"/>
      <c r="C2922" s="234"/>
      <c r="D2922" s="234"/>
      <c r="E2922" s="234"/>
      <c r="F2922" s="234"/>
      <c r="G2922" s="234"/>
      <c r="H2922" s="234"/>
      <c r="I2922" s="234"/>
      <c r="J2922" s="234"/>
    </row>
    <row r="2923" ht="15.75" customHeight="1">
      <c r="A2923" s="234"/>
      <c r="B2923" s="234"/>
      <c r="C2923" s="234"/>
      <c r="D2923" s="234"/>
      <c r="E2923" s="234"/>
      <c r="F2923" s="234"/>
      <c r="G2923" s="234"/>
      <c r="H2923" s="234"/>
      <c r="I2923" s="234"/>
      <c r="J2923" s="234"/>
    </row>
    <row r="2924" ht="15.75" customHeight="1">
      <c r="A2924" s="234"/>
      <c r="B2924" s="234"/>
      <c r="C2924" s="234"/>
      <c r="D2924" s="234"/>
      <c r="E2924" s="234"/>
      <c r="F2924" s="234"/>
      <c r="G2924" s="234"/>
      <c r="H2924" s="234"/>
      <c r="I2924" s="234"/>
      <c r="J2924" s="234"/>
    </row>
    <row r="2925" ht="15.75" customHeight="1">
      <c r="A2925" s="234"/>
      <c r="B2925" s="234"/>
      <c r="C2925" s="234"/>
      <c r="D2925" s="234"/>
      <c r="E2925" s="234"/>
      <c r="F2925" s="234"/>
      <c r="G2925" s="234"/>
      <c r="H2925" s="234"/>
      <c r="I2925" s="234"/>
      <c r="J2925" s="234"/>
    </row>
    <row r="2926" ht="15.75" customHeight="1">
      <c r="A2926" s="234"/>
      <c r="B2926" s="234"/>
      <c r="C2926" s="234"/>
      <c r="D2926" s="234"/>
      <c r="E2926" s="234"/>
      <c r="F2926" s="234"/>
      <c r="G2926" s="234"/>
      <c r="H2926" s="234"/>
      <c r="I2926" s="234"/>
      <c r="J2926" s="234"/>
    </row>
    <row r="2927" ht="15.75" customHeight="1">
      <c r="A2927" s="234"/>
      <c r="B2927" s="234"/>
      <c r="C2927" s="234"/>
      <c r="D2927" s="234"/>
      <c r="E2927" s="234"/>
      <c r="F2927" s="234"/>
      <c r="G2927" s="234"/>
      <c r="H2927" s="234"/>
      <c r="I2927" s="234"/>
      <c r="J2927" s="234"/>
    </row>
    <row r="2928" ht="15.75" customHeight="1">
      <c r="A2928" s="234"/>
      <c r="B2928" s="234"/>
      <c r="C2928" s="234"/>
      <c r="D2928" s="234"/>
      <c r="E2928" s="234"/>
      <c r="F2928" s="234"/>
      <c r="G2928" s="234"/>
      <c r="H2928" s="234"/>
      <c r="I2928" s="234"/>
      <c r="J2928" s="234"/>
    </row>
    <row r="2929" ht="15.75" customHeight="1">
      <c r="A2929" s="234"/>
      <c r="B2929" s="234"/>
      <c r="C2929" s="234"/>
      <c r="D2929" s="234"/>
      <c r="E2929" s="234"/>
      <c r="F2929" s="234"/>
      <c r="G2929" s="234"/>
      <c r="H2929" s="234"/>
      <c r="I2929" s="234"/>
      <c r="J2929" s="234"/>
    </row>
    <row r="2930" ht="15.75" customHeight="1">
      <c r="A2930" s="234"/>
      <c r="B2930" s="234"/>
      <c r="C2930" s="234"/>
      <c r="D2930" s="234"/>
      <c r="E2930" s="234"/>
      <c r="F2930" s="234"/>
      <c r="G2930" s="234"/>
      <c r="H2930" s="234"/>
      <c r="I2930" s="234"/>
      <c r="J2930" s="234"/>
    </row>
    <row r="2931" ht="15.75" customHeight="1">
      <c r="A2931" s="234"/>
      <c r="B2931" s="234"/>
      <c r="C2931" s="234"/>
      <c r="D2931" s="234"/>
      <c r="E2931" s="234"/>
      <c r="F2931" s="234"/>
      <c r="G2931" s="234"/>
      <c r="H2931" s="234"/>
      <c r="I2931" s="234"/>
      <c r="J2931" s="234"/>
    </row>
    <row r="2932" ht="15.75" customHeight="1">
      <c r="A2932" s="234"/>
      <c r="B2932" s="234"/>
      <c r="C2932" s="234"/>
      <c r="D2932" s="234"/>
      <c r="E2932" s="234"/>
      <c r="F2932" s="234"/>
      <c r="G2932" s="234"/>
      <c r="H2932" s="234"/>
      <c r="I2932" s="234"/>
      <c r="J2932" s="234"/>
    </row>
    <row r="2933" ht="15.75" customHeight="1">
      <c r="A2933" s="234"/>
      <c r="B2933" s="234"/>
      <c r="C2933" s="234"/>
      <c r="D2933" s="234"/>
      <c r="E2933" s="234"/>
      <c r="F2933" s="234"/>
      <c r="G2933" s="234"/>
      <c r="H2933" s="234"/>
      <c r="I2933" s="234"/>
      <c r="J2933" s="234"/>
    </row>
    <row r="2934" ht="15.75" customHeight="1">
      <c r="A2934" s="234"/>
      <c r="B2934" s="234"/>
      <c r="C2934" s="234"/>
      <c r="D2934" s="234"/>
      <c r="E2934" s="234"/>
      <c r="F2934" s="234"/>
      <c r="G2934" s="234"/>
      <c r="H2934" s="234"/>
      <c r="I2934" s="234"/>
      <c r="J2934" s="234"/>
    </row>
    <row r="2935" ht="15.75" customHeight="1">
      <c r="A2935" s="234"/>
      <c r="B2935" s="234"/>
      <c r="C2935" s="234"/>
      <c r="D2935" s="234"/>
      <c r="E2935" s="234"/>
      <c r="F2935" s="234"/>
      <c r="G2935" s="234"/>
      <c r="H2935" s="234"/>
      <c r="I2935" s="234"/>
      <c r="J2935" s="234"/>
    </row>
    <row r="2936" ht="15.75" customHeight="1">
      <c r="A2936" s="234"/>
      <c r="B2936" s="234"/>
      <c r="C2936" s="234"/>
      <c r="D2936" s="234"/>
      <c r="E2936" s="234"/>
      <c r="F2936" s="234"/>
      <c r="G2936" s="234"/>
      <c r="H2936" s="234"/>
      <c r="I2936" s="234"/>
      <c r="J2936" s="234"/>
    </row>
    <row r="2937" ht="15.75" customHeight="1">
      <c r="A2937" s="234"/>
      <c r="B2937" s="234"/>
      <c r="C2937" s="234"/>
      <c r="D2937" s="234"/>
      <c r="E2937" s="234"/>
      <c r="F2937" s="234"/>
      <c r="G2937" s="234"/>
      <c r="H2937" s="234"/>
      <c r="I2937" s="234"/>
      <c r="J2937" s="234"/>
    </row>
    <row r="2938" ht="15.75" customHeight="1">
      <c r="A2938" s="234"/>
      <c r="B2938" s="234"/>
      <c r="C2938" s="234"/>
      <c r="D2938" s="234"/>
      <c r="E2938" s="234"/>
      <c r="F2938" s="234"/>
      <c r="G2938" s="234"/>
      <c r="H2938" s="234"/>
      <c r="I2938" s="234"/>
      <c r="J2938" s="234"/>
    </row>
    <row r="2939" ht="15.75" customHeight="1">
      <c r="A2939" s="234"/>
      <c r="B2939" s="234"/>
      <c r="C2939" s="234"/>
      <c r="D2939" s="234"/>
      <c r="E2939" s="234"/>
      <c r="F2939" s="234"/>
      <c r="G2939" s="234"/>
      <c r="H2939" s="234"/>
      <c r="I2939" s="234"/>
      <c r="J2939" s="234"/>
    </row>
    <row r="2940" ht="15.75" customHeight="1">
      <c r="A2940" s="234"/>
      <c r="B2940" s="234"/>
      <c r="C2940" s="234"/>
      <c r="D2940" s="234"/>
      <c r="E2940" s="234"/>
      <c r="F2940" s="234"/>
      <c r="G2940" s="234"/>
      <c r="H2940" s="234"/>
      <c r="I2940" s="234"/>
      <c r="J2940" s="234"/>
    </row>
    <row r="2941" ht="15.75" customHeight="1">
      <c r="A2941" s="234"/>
      <c r="B2941" s="234"/>
      <c r="C2941" s="234"/>
      <c r="D2941" s="234"/>
      <c r="E2941" s="234"/>
      <c r="F2941" s="234"/>
      <c r="G2941" s="234"/>
      <c r="H2941" s="234"/>
      <c r="I2941" s="234"/>
      <c r="J2941" s="234"/>
    </row>
    <row r="2942" ht="15.75" customHeight="1">
      <c r="A2942" s="234"/>
      <c r="B2942" s="234"/>
      <c r="C2942" s="234"/>
      <c r="D2942" s="234"/>
      <c r="E2942" s="234"/>
      <c r="F2942" s="234"/>
      <c r="G2942" s="234"/>
      <c r="H2942" s="234"/>
      <c r="I2942" s="234"/>
      <c r="J2942" s="234"/>
    </row>
    <row r="2943" ht="15.75" customHeight="1">
      <c r="A2943" s="234"/>
      <c r="B2943" s="234"/>
      <c r="C2943" s="234"/>
      <c r="D2943" s="234"/>
      <c r="E2943" s="234"/>
      <c r="F2943" s="234"/>
      <c r="G2943" s="234"/>
      <c r="H2943" s="234"/>
      <c r="I2943" s="234"/>
      <c r="J2943" s="234"/>
    </row>
    <row r="2944" ht="15.75" customHeight="1">
      <c r="A2944" s="234"/>
      <c r="B2944" s="234"/>
      <c r="C2944" s="234"/>
      <c r="D2944" s="234"/>
      <c r="E2944" s="234"/>
      <c r="F2944" s="234"/>
      <c r="G2944" s="234"/>
      <c r="H2944" s="234"/>
      <c r="I2944" s="234"/>
      <c r="J2944" s="234"/>
    </row>
    <row r="2945" ht="15.75" customHeight="1">
      <c r="A2945" s="234"/>
      <c r="B2945" s="234"/>
      <c r="C2945" s="234"/>
      <c r="D2945" s="234"/>
      <c r="E2945" s="234"/>
      <c r="F2945" s="234"/>
      <c r="G2945" s="234"/>
      <c r="H2945" s="234"/>
      <c r="I2945" s="234"/>
      <c r="J2945" s="234"/>
    </row>
    <row r="2946" ht="15.75" customHeight="1">
      <c r="A2946" s="234"/>
      <c r="B2946" s="234"/>
      <c r="C2946" s="234"/>
      <c r="D2946" s="234"/>
      <c r="E2946" s="234"/>
      <c r="F2946" s="234"/>
      <c r="G2946" s="234"/>
      <c r="H2946" s="234"/>
      <c r="I2946" s="234"/>
      <c r="J2946" s="234"/>
    </row>
    <row r="2947" ht="15.75" customHeight="1">
      <c r="A2947" s="234"/>
      <c r="B2947" s="234"/>
      <c r="C2947" s="234"/>
      <c r="D2947" s="234"/>
      <c r="E2947" s="234"/>
      <c r="F2947" s="234"/>
      <c r="G2947" s="234"/>
      <c r="H2947" s="234"/>
      <c r="I2947" s="234"/>
      <c r="J2947" s="234"/>
    </row>
    <row r="2948" ht="15.75" customHeight="1">
      <c r="A2948" s="234"/>
      <c r="B2948" s="234"/>
      <c r="C2948" s="234"/>
      <c r="D2948" s="234"/>
      <c r="E2948" s="234"/>
      <c r="F2948" s="234"/>
      <c r="G2948" s="234"/>
      <c r="H2948" s="234"/>
      <c r="I2948" s="234"/>
      <c r="J2948" s="234"/>
    </row>
    <row r="2949" ht="15.75" customHeight="1">
      <c r="A2949" s="234"/>
      <c r="B2949" s="234"/>
      <c r="C2949" s="234"/>
      <c r="D2949" s="234"/>
      <c r="E2949" s="234"/>
      <c r="F2949" s="234"/>
      <c r="G2949" s="234"/>
      <c r="H2949" s="234"/>
      <c r="I2949" s="234"/>
      <c r="J2949" s="234"/>
    </row>
    <row r="2950" ht="15.75" customHeight="1">
      <c r="A2950" s="234"/>
      <c r="B2950" s="234"/>
      <c r="C2950" s="234"/>
      <c r="D2950" s="234"/>
      <c r="E2950" s="234"/>
      <c r="F2950" s="234"/>
      <c r="G2950" s="234"/>
      <c r="H2950" s="234"/>
      <c r="I2950" s="234"/>
      <c r="J2950" s="234"/>
    </row>
    <row r="2951" ht="15.75" customHeight="1">
      <c r="A2951" s="234"/>
      <c r="B2951" s="234"/>
      <c r="C2951" s="234"/>
      <c r="D2951" s="234"/>
      <c r="E2951" s="234"/>
      <c r="F2951" s="234"/>
      <c r="G2951" s="234"/>
      <c r="H2951" s="234"/>
      <c r="I2951" s="234"/>
      <c r="J2951" s="234"/>
    </row>
    <row r="2952" ht="15.75" customHeight="1">
      <c r="A2952" s="234"/>
      <c r="B2952" s="234"/>
      <c r="C2952" s="234"/>
      <c r="D2952" s="234"/>
      <c r="E2952" s="234"/>
      <c r="F2952" s="234"/>
      <c r="G2952" s="234"/>
      <c r="H2952" s="234"/>
      <c r="I2952" s="234"/>
      <c r="J2952" s="234"/>
    </row>
    <row r="2953" ht="15.75" customHeight="1">
      <c r="A2953" s="234"/>
      <c r="B2953" s="234"/>
      <c r="C2953" s="234"/>
      <c r="D2953" s="234"/>
      <c r="E2953" s="234"/>
      <c r="F2953" s="234"/>
      <c r="G2953" s="234"/>
      <c r="H2953" s="234"/>
      <c r="I2953" s="234"/>
      <c r="J2953" s="234"/>
    </row>
    <row r="2954" ht="15.75" customHeight="1">
      <c r="A2954" s="234"/>
      <c r="B2954" s="234"/>
      <c r="C2954" s="234"/>
      <c r="D2954" s="234"/>
      <c r="E2954" s="234"/>
      <c r="F2954" s="234"/>
      <c r="G2954" s="234"/>
      <c r="H2954" s="234"/>
      <c r="I2954" s="234"/>
      <c r="J2954" s="234"/>
    </row>
    <row r="2955" ht="15.75" customHeight="1">
      <c r="A2955" s="234"/>
      <c r="B2955" s="234"/>
      <c r="C2955" s="234"/>
      <c r="D2955" s="234"/>
      <c r="E2955" s="234"/>
      <c r="F2955" s="234"/>
      <c r="G2955" s="234"/>
      <c r="H2955" s="234"/>
      <c r="I2955" s="234"/>
      <c r="J2955" s="234"/>
    </row>
    <row r="2956" ht="15.75" customHeight="1">
      <c r="A2956" s="234"/>
      <c r="B2956" s="234"/>
      <c r="C2956" s="234"/>
      <c r="D2956" s="234"/>
      <c r="E2956" s="234"/>
      <c r="F2956" s="234"/>
      <c r="G2956" s="234"/>
      <c r="H2956" s="234"/>
      <c r="I2956" s="234"/>
      <c r="J2956" s="234"/>
    </row>
    <row r="2957" ht="15.75" customHeight="1">
      <c r="A2957" s="234"/>
      <c r="B2957" s="234"/>
      <c r="C2957" s="234"/>
      <c r="D2957" s="234"/>
      <c r="E2957" s="234"/>
      <c r="F2957" s="234"/>
      <c r="G2957" s="234"/>
      <c r="H2957" s="234"/>
      <c r="I2957" s="234"/>
      <c r="J2957" s="234"/>
    </row>
    <row r="2958" ht="15.75" customHeight="1">
      <c r="A2958" s="234"/>
      <c r="B2958" s="234"/>
      <c r="C2958" s="234"/>
      <c r="D2958" s="234"/>
      <c r="E2958" s="234"/>
      <c r="F2958" s="234"/>
      <c r="G2958" s="234"/>
      <c r="H2958" s="234"/>
      <c r="I2958" s="234"/>
      <c r="J2958" s="234"/>
    </row>
    <row r="2959" ht="15.75" customHeight="1">
      <c r="A2959" s="234"/>
      <c r="B2959" s="234"/>
      <c r="C2959" s="234"/>
      <c r="D2959" s="234"/>
      <c r="E2959" s="234"/>
      <c r="F2959" s="234"/>
      <c r="G2959" s="234"/>
      <c r="H2959" s="234"/>
      <c r="I2959" s="234"/>
      <c r="J2959" s="234"/>
    </row>
    <row r="2960" ht="15.75" customHeight="1">
      <c r="A2960" s="234"/>
      <c r="B2960" s="234"/>
      <c r="C2960" s="234"/>
      <c r="D2960" s="234"/>
      <c r="E2960" s="234"/>
      <c r="F2960" s="234"/>
      <c r="G2960" s="234"/>
      <c r="H2960" s="234"/>
      <c r="I2960" s="234"/>
      <c r="J2960" s="234"/>
    </row>
    <row r="2961" ht="15.75" customHeight="1">
      <c r="A2961" s="234"/>
      <c r="B2961" s="234"/>
      <c r="C2961" s="234"/>
      <c r="D2961" s="234"/>
      <c r="E2961" s="234"/>
      <c r="F2961" s="234"/>
      <c r="G2961" s="234"/>
      <c r="H2961" s="234"/>
      <c r="I2961" s="234"/>
      <c r="J2961" s="234"/>
    </row>
    <row r="2962" ht="15.75" customHeight="1">
      <c r="A2962" s="234"/>
      <c r="B2962" s="234"/>
      <c r="C2962" s="234"/>
      <c r="D2962" s="234"/>
      <c r="E2962" s="234"/>
      <c r="F2962" s="234"/>
      <c r="G2962" s="234"/>
      <c r="H2962" s="234"/>
      <c r="I2962" s="234"/>
      <c r="J2962" s="234"/>
    </row>
    <row r="2963" ht="15.75" customHeight="1">
      <c r="A2963" s="234"/>
      <c r="B2963" s="234"/>
      <c r="C2963" s="234"/>
      <c r="D2963" s="234"/>
      <c r="E2963" s="234"/>
      <c r="F2963" s="234"/>
      <c r="G2963" s="234"/>
      <c r="H2963" s="234"/>
      <c r="I2963" s="234"/>
      <c r="J2963" s="234"/>
    </row>
    <row r="2964" ht="15.75" customHeight="1">
      <c r="A2964" s="234"/>
      <c r="B2964" s="234"/>
      <c r="C2964" s="234"/>
      <c r="D2964" s="234"/>
      <c r="E2964" s="234"/>
      <c r="F2964" s="234"/>
      <c r="G2964" s="234"/>
      <c r="H2964" s="234"/>
      <c r="I2964" s="234"/>
      <c r="J2964" s="234"/>
    </row>
    <row r="2965" ht="15.75" customHeight="1">
      <c r="A2965" s="234"/>
      <c r="B2965" s="234"/>
      <c r="C2965" s="234"/>
      <c r="D2965" s="234"/>
      <c r="E2965" s="234"/>
      <c r="F2965" s="234"/>
      <c r="G2965" s="234"/>
      <c r="H2965" s="234"/>
      <c r="I2965" s="234"/>
      <c r="J2965" s="234"/>
    </row>
    <row r="2966" ht="15.75" customHeight="1">
      <c r="A2966" s="234"/>
      <c r="B2966" s="234"/>
      <c r="C2966" s="234"/>
      <c r="D2966" s="234"/>
      <c r="E2966" s="234"/>
      <c r="F2966" s="234"/>
      <c r="G2966" s="234"/>
      <c r="H2966" s="234"/>
      <c r="I2966" s="234"/>
      <c r="J2966" s="234"/>
    </row>
    <row r="2967" ht="15.75" customHeight="1">
      <c r="A2967" s="234"/>
      <c r="B2967" s="234"/>
      <c r="C2967" s="234"/>
      <c r="D2967" s="234"/>
      <c r="E2967" s="234"/>
      <c r="F2967" s="234"/>
      <c r="G2967" s="234"/>
      <c r="H2967" s="234"/>
      <c r="I2967" s="234"/>
      <c r="J2967" s="234"/>
    </row>
    <row r="2968" ht="15.75" customHeight="1">
      <c r="A2968" s="234"/>
      <c r="B2968" s="234"/>
      <c r="C2968" s="234"/>
      <c r="D2968" s="234"/>
      <c r="E2968" s="234"/>
      <c r="F2968" s="234"/>
      <c r="G2968" s="234"/>
      <c r="H2968" s="234"/>
      <c r="I2968" s="234"/>
      <c r="J2968" s="234"/>
    </row>
    <row r="2969" ht="15.75" customHeight="1">
      <c r="A2969" s="234"/>
      <c r="B2969" s="234"/>
      <c r="C2969" s="234"/>
      <c r="D2969" s="234"/>
      <c r="E2969" s="234"/>
      <c r="F2969" s="234"/>
      <c r="G2969" s="234"/>
      <c r="H2969" s="234"/>
      <c r="I2969" s="234"/>
      <c r="J2969" s="234"/>
    </row>
    <row r="2970" ht="15.75" customHeight="1">
      <c r="A2970" s="234"/>
      <c r="B2970" s="234"/>
      <c r="C2970" s="234"/>
      <c r="D2970" s="234"/>
      <c r="E2970" s="234"/>
      <c r="F2970" s="234"/>
      <c r="G2970" s="234"/>
      <c r="H2970" s="234"/>
      <c r="I2970" s="234"/>
      <c r="J2970" s="234"/>
    </row>
    <row r="2971" ht="15.75" customHeight="1">
      <c r="A2971" s="234"/>
      <c r="B2971" s="234"/>
      <c r="C2971" s="234"/>
      <c r="D2971" s="234"/>
      <c r="E2971" s="234"/>
      <c r="F2971" s="234"/>
      <c r="G2971" s="234"/>
      <c r="H2971" s="234"/>
      <c r="I2971" s="234"/>
      <c r="J2971" s="234"/>
    </row>
    <row r="2972" ht="15.75" customHeight="1">
      <c r="A2972" s="234"/>
      <c r="B2972" s="234"/>
      <c r="C2972" s="234"/>
      <c r="D2972" s="234"/>
      <c r="E2972" s="234"/>
      <c r="F2972" s="234"/>
      <c r="G2972" s="234"/>
      <c r="H2972" s="234"/>
      <c r="I2972" s="234"/>
      <c r="J2972" s="234"/>
    </row>
    <row r="2973" ht="15.75" customHeight="1">
      <c r="A2973" s="234"/>
      <c r="B2973" s="234"/>
      <c r="C2973" s="234"/>
      <c r="D2973" s="234"/>
      <c r="E2973" s="234"/>
      <c r="F2973" s="234"/>
      <c r="G2973" s="234"/>
      <c r="H2973" s="234"/>
      <c r="I2973" s="234"/>
      <c r="J2973" s="234"/>
    </row>
    <row r="2974" ht="15.75" customHeight="1">
      <c r="A2974" s="234"/>
      <c r="B2974" s="234"/>
      <c r="C2974" s="234"/>
      <c r="D2974" s="234"/>
      <c r="E2974" s="234"/>
      <c r="F2974" s="234"/>
      <c r="G2974" s="234"/>
      <c r="H2974" s="234"/>
      <c r="I2974" s="234"/>
      <c r="J2974" s="234"/>
    </row>
    <row r="2975" ht="15.75" customHeight="1">
      <c r="A2975" s="234"/>
      <c r="B2975" s="234"/>
      <c r="C2975" s="234"/>
      <c r="D2975" s="234"/>
      <c r="E2975" s="234"/>
      <c r="F2975" s="234"/>
      <c r="G2975" s="234"/>
      <c r="H2975" s="234"/>
      <c r="I2975" s="234"/>
      <c r="J2975" s="234"/>
    </row>
    <row r="2976" ht="15.75" customHeight="1">
      <c r="A2976" s="234"/>
      <c r="B2976" s="234"/>
      <c r="C2976" s="234"/>
      <c r="D2976" s="234"/>
      <c r="E2976" s="234"/>
      <c r="F2976" s="234"/>
      <c r="G2976" s="234"/>
      <c r="H2976" s="234"/>
      <c r="I2976" s="234"/>
      <c r="J2976" s="234"/>
    </row>
    <row r="2977" ht="15.75" customHeight="1">
      <c r="A2977" s="234"/>
      <c r="B2977" s="234"/>
      <c r="C2977" s="234"/>
      <c r="D2977" s="234"/>
      <c r="E2977" s="234"/>
      <c r="F2977" s="234"/>
      <c r="G2977" s="234"/>
      <c r="H2977" s="234"/>
      <c r="I2977" s="234"/>
      <c r="J2977" s="234"/>
    </row>
    <row r="2978" ht="15.75" customHeight="1">
      <c r="A2978" s="234"/>
      <c r="B2978" s="234"/>
      <c r="C2978" s="234"/>
      <c r="D2978" s="234"/>
      <c r="E2978" s="234"/>
      <c r="F2978" s="234"/>
      <c r="G2978" s="234"/>
      <c r="H2978" s="234"/>
      <c r="I2978" s="234"/>
      <c r="J2978" s="234"/>
    </row>
    <row r="2979" ht="15.75" customHeight="1">
      <c r="A2979" s="234"/>
      <c r="B2979" s="234"/>
      <c r="C2979" s="234"/>
      <c r="D2979" s="234"/>
      <c r="E2979" s="234"/>
      <c r="F2979" s="234"/>
      <c r="G2979" s="234"/>
      <c r="H2979" s="234"/>
      <c r="I2979" s="234"/>
      <c r="J2979" s="234"/>
    </row>
    <row r="2980" ht="15.75" customHeight="1">
      <c r="A2980" s="234"/>
      <c r="B2980" s="234"/>
      <c r="C2980" s="234"/>
      <c r="D2980" s="234"/>
      <c r="E2980" s="234"/>
      <c r="F2980" s="234"/>
      <c r="G2980" s="234"/>
      <c r="H2980" s="234"/>
      <c r="I2980" s="234"/>
      <c r="J2980" s="234"/>
    </row>
    <row r="2981" ht="15.75" customHeight="1">
      <c r="A2981" s="234"/>
      <c r="B2981" s="234"/>
      <c r="C2981" s="234"/>
      <c r="D2981" s="234"/>
      <c r="E2981" s="234"/>
      <c r="F2981" s="234"/>
      <c r="G2981" s="234"/>
      <c r="H2981" s="234"/>
      <c r="I2981" s="234"/>
      <c r="J2981" s="234"/>
    </row>
  </sheetData>
  <autoFilter ref="$A$1:$Z$2981"/>
  <conditionalFormatting sqref="A2:J2981">
    <cfRule type="expression" dxfId="7" priority="1" stopIfTrue="1">
      <formula>OR($A2="YouTube",$A2="Reddit",$A2="Quora",$A2="Medium",$A2="TripAdvisor",$A2="Facebook",$A2="LinkedIn")</formula>
    </cfRule>
  </conditionalFormatting>
  <conditionalFormatting sqref="A2:J2981">
    <cfRule type="expression" dxfId="8" priority="2" stopIfTrue="1">
      <formula>OR($A2="Mentioned = yes",$A2="Mentioned = no")</formula>
    </cfRule>
  </conditionalFormatting>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6"/>
    <hyperlink r:id="rId12" ref="A17"/>
    <hyperlink r:id="rId13" ref="A18"/>
    <hyperlink r:id="rId14" ref="A19"/>
    <hyperlink r:id="rId15" ref="A20"/>
    <hyperlink r:id="rId16" ref="A21"/>
    <hyperlink r:id="rId17" ref="A22"/>
    <hyperlink r:id="rId18" ref="A23"/>
    <hyperlink r:id="rId19" ref="A24"/>
    <hyperlink r:id="rId20" ref="A25"/>
    <hyperlink r:id="rId21" ref="A26"/>
    <hyperlink r:id="rId22" ref="A27"/>
    <hyperlink r:id="rId23" ref="A28"/>
    <hyperlink r:id="rId24" ref="A29"/>
    <hyperlink r:id="rId25" ref="A30"/>
    <hyperlink r:id="rId26" ref="A31"/>
    <hyperlink r:id="rId27" ref="A32"/>
    <hyperlink r:id="rId28" ref="A33"/>
    <hyperlink r:id="rId29" ref="A34"/>
    <hyperlink r:id="rId30" ref="A35"/>
    <hyperlink r:id="rId31" ref="A36"/>
    <hyperlink r:id="rId32" ref="A37"/>
    <hyperlink r:id="rId33" ref="A38"/>
    <hyperlink r:id="rId34" ref="A39"/>
    <hyperlink r:id="rId35" ref="A40"/>
    <hyperlink r:id="rId36" ref="A41"/>
    <hyperlink r:id="rId37" ref="A42"/>
    <hyperlink r:id="rId38" location=":~:text=In%20this%20video%2C%20I'll%20show%20you%20the,Known%20for%20clear%20results%20and%20honest%20reporting." ref="A43"/>
    <hyperlink r:id="rId39" ref="A44"/>
    <hyperlink r:id="rId40" ref="A45"/>
    <hyperlink r:id="rId41" ref="A46"/>
    <hyperlink r:id="rId42" ref="A47"/>
    <hyperlink r:id="rId43" ref="A48"/>
    <hyperlink r:id="rId44" ref="D48"/>
    <hyperlink r:id="rId45" location=":~:text=Multi%2Dplatform%20expertise%20across%20Meta%2C%20LinkedIn%2C%20TikTok%2C%20YouTube%2C,Best%20for%20Paid%20Social%20ROAS%20at%20Scale." ref="A49"/>
    <hyperlink r:id="rId46" ref="D49"/>
    <hyperlink r:id="rId47" ref="A50"/>
    <hyperlink r:id="rId48" ref="D50"/>
    <hyperlink r:id="rId49" ref="A51"/>
    <hyperlink r:id="rId50" ref="D51"/>
    <hyperlink r:id="rId51" ref="A52"/>
    <hyperlink r:id="rId52" ref="D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A74"/>
    <hyperlink r:id="rId70" ref="A75"/>
    <hyperlink r:id="rId71" ref="A76"/>
    <hyperlink r:id="rId72" ref="A77"/>
    <hyperlink r:id="rId73" ref="A78"/>
    <hyperlink r:id="rId74" ref="A79"/>
    <hyperlink r:id="rId75" ref="A80"/>
    <hyperlink r:id="rId76" location=":~:text=Conductor%20is%20the%20enterprise%20tool%20behind%20the,else%20is%20doing.%20Lemonshadehere.%20%E2%80%A2%204mo%20ago." ref="A81"/>
    <hyperlink r:id="rId77" ref="A82"/>
    <hyperlink r:id="rId78" ref="A83"/>
    <hyperlink r:id="rId79" ref="A84"/>
    <hyperlink r:id="rId80" ref="A85"/>
    <hyperlink r:id="rId81" ref="A86"/>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8"/>
    <hyperlink r:id="rId93" ref="A99"/>
    <hyperlink r:id="rId94" ref="A100"/>
    <hyperlink r:id="rId95" ref="A101"/>
    <hyperlink r:id="rId96" ref="A102"/>
    <hyperlink r:id="rId97" ref="A103"/>
    <hyperlink r:id="rId98" ref="A104"/>
    <hyperlink r:id="rId99" ref="A105"/>
    <hyperlink r:id="rId100" ref="A106"/>
    <hyperlink r:id="rId101" ref="A107"/>
    <hyperlink r:id="rId102" ref="A108"/>
    <hyperlink r:id="rId103" ref="A109"/>
    <hyperlink r:id="rId104" ref="A110"/>
    <hyperlink r:id="rId105" ref="A111"/>
    <hyperlink r:id="rId106" ref="A112"/>
    <hyperlink r:id="rId107" ref="A113"/>
    <hyperlink r:id="rId108" ref="A114"/>
    <hyperlink r:id="rId109" ref="A115"/>
    <hyperlink r:id="rId110" ref="A116"/>
    <hyperlink r:id="rId111" ref="A117"/>
    <hyperlink r:id="rId112" location=":~:text=So%20instead%20of%20just%20ranking%20on%20a,even%20on%20platforms%20like%20Google's%20answer%20box." ref="A118"/>
    <hyperlink r:id="rId113" ref="A119"/>
    <hyperlink r:id="rId114" ref="A120"/>
    <hyperlink r:id="rId115" ref="A121"/>
    <hyperlink r:id="rId116" ref="A122"/>
    <hyperlink r:id="rId117" ref="A123"/>
    <hyperlink r:id="rId118" ref="A124"/>
    <hyperlink r:id="rId119" ref="A125"/>
    <hyperlink r:id="rId120" ref="A126"/>
    <hyperlink r:id="rId121" ref="A127"/>
    <hyperlink r:id="rId122" location=":~:text=In%20the%20UK%2C%20many%20big,enjoy%20the%20outstanding%20training%20programs." ref="A128"/>
    <hyperlink r:id="rId123" ref="A129"/>
    <hyperlink r:id="rId124" ref="A130"/>
    <hyperlink r:id="rId125" ref="A131"/>
    <hyperlink r:id="rId126" ref="A133"/>
    <hyperlink r:id="rId127" ref="A134"/>
    <hyperlink r:id="rId128" ref="A135"/>
    <hyperlink r:id="rId129" ref="A136"/>
    <hyperlink r:id="rId130" ref="A137"/>
    <hyperlink r:id="rId131" ref="A138"/>
    <hyperlink r:id="rId132" ref="A139"/>
    <hyperlink r:id="rId133" ref="A140"/>
    <hyperlink r:id="rId134" ref="A141"/>
    <hyperlink r:id="rId135" ref="A142"/>
    <hyperlink r:id="rId136" ref="A143"/>
    <hyperlink r:id="rId137" ref="D143"/>
    <hyperlink r:id="rId138" ref="A144"/>
    <hyperlink r:id="rId139" ref="D144"/>
    <hyperlink r:id="rId140" location=":~:text=Chain%20Reaction%20is%20a%20well,8." ref="A145"/>
    <hyperlink r:id="rId141" ref="D145"/>
    <hyperlink r:id="rId142" ref="A146"/>
    <hyperlink r:id="rId143" ref="D146"/>
    <hyperlink r:id="rId144" ref="A147"/>
    <hyperlink r:id="rId145" ref="D147"/>
    <hyperlink r:id="rId146" ref="A148"/>
    <hyperlink r:id="rId147" ref="D148"/>
    <hyperlink r:id="rId148" ref="A149"/>
    <hyperlink r:id="rId149" ref="D149"/>
    <hyperlink r:id="rId150" ref="A150"/>
    <hyperlink r:id="rId151" ref="D150"/>
    <hyperlink r:id="rId152" ref="A151"/>
    <hyperlink r:id="rId153" ref="D151"/>
    <hyperlink r:id="rId154" ref="A152"/>
    <hyperlink r:id="rId155" ref="D152"/>
    <hyperlink r:id="rId156" ref="A153"/>
    <hyperlink r:id="rId157" ref="D153"/>
    <hyperlink r:id="rId158" ref="A154"/>
    <hyperlink r:id="rId159" ref="D154"/>
    <hyperlink r:id="rId160" ref="A155"/>
    <hyperlink r:id="rId161" ref="A156"/>
    <hyperlink r:id="rId162" ref="A157"/>
    <hyperlink r:id="rId163" ref="A158"/>
    <hyperlink r:id="rId164" ref="A159"/>
    <hyperlink r:id="rId165" ref="A160"/>
    <hyperlink r:id="rId166" ref="A161"/>
    <hyperlink r:id="rId167" ref="A162"/>
    <hyperlink r:id="rId168" ref="A163"/>
    <hyperlink r:id="rId169" ref="A164"/>
    <hyperlink r:id="rId170" ref="A165"/>
    <hyperlink r:id="rId171" ref="A166"/>
    <hyperlink r:id="rId172" ref="A167"/>
    <hyperlink r:id="rId173" ref="A168"/>
    <hyperlink r:id="rId174" ref="A169"/>
    <hyperlink r:id="rId175" ref="A170"/>
    <hyperlink r:id="rId176" ref="A171"/>
    <hyperlink r:id="rId177" ref="A172"/>
    <hyperlink r:id="rId178" ref="A173"/>
    <hyperlink r:id="rId179" ref="A174"/>
    <hyperlink r:id="rId180" ref="A180"/>
    <hyperlink r:id="rId181" ref="A181"/>
    <hyperlink r:id="rId182" ref="A182"/>
    <hyperlink r:id="rId183" ref="A184"/>
    <hyperlink r:id="rId184" ref="A190"/>
    <hyperlink r:id="rId185" ref="A191"/>
    <hyperlink r:id="rId186" ref="A192"/>
    <hyperlink r:id="rId187" ref="A193"/>
    <hyperlink r:id="rId188" ref="D193"/>
    <hyperlink r:id="rId189" ref="A204"/>
    <hyperlink r:id="rId190" ref="A205"/>
    <hyperlink r:id="rId191" ref="A206"/>
    <hyperlink r:id="rId192" ref="A207"/>
    <hyperlink r:id="rId193" ref="A208"/>
    <hyperlink r:id="rId194" ref="A209"/>
    <hyperlink r:id="rId195" ref="D209"/>
    <hyperlink r:id="rId196" ref="A210"/>
    <hyperlink r:id="rId197" ref="A214"/>
    <hyperlink r:id="rId198" ref="A216"/>
    <hyperlink r:id="rId199" ref="A217"/>
    <hyperlink r:id="rId200" ref="A218"/>
    <hyperlink r:id="rId201" ref="A219"/>
    <hyperlink r:id="rId202" ref="A220"/>
    <hyperlink r:id="rId203" ref="A221"/>
    <hyperlink r:id="rId204" ref="A222"/>
    <hyperlink r:id="rId205" ref="A223"/>
    <hyperlink r:id="rId206" ref="A224"/>
    <hyperlink r:id="rId207" ref="A225"/>
    <hyperlink r:id="rId208" ref="A226"/>
    <hyperlink r:id="rId209" ref="A227"/>
    <hyperlink r:id="rId210" ref="A228"/>
    <hyperlink r:id="rId211" ref="A229"/>
    <hyperlink r:id="rId212" ref="A230"/>
    <hyperlink r:id="rId213" ref="A231"/>
    <hyperlink r:id="rId214" ref="A232"/>
    <hyperlink r:id="rId215" ref="A233"/>
    <hyperlink r:id="rId216" ref="A234"/>
    <hyperlink r:id="rId217" ref="A235"/>
    <hyperlink r:id="rId218" ref="A236"/>
    <hyperlink r:id="rId219" ref="A237"/>
    <hyperlink r:id="rId220" ref="A238"/>
    <hyperlink r:id="rId221" ref="A239"/>
    <hyperlink r:id="rId222" ref="A240"/>
    <hyperlink r:id="rId223" ref="A241"/>
    <hyperlink r:id="rId224" ref="A242"/>
    <hyperlink r:id="rId225" ref="A243"/>
    <hyperlink r:id="rId226" ref="A244"/>
    <hyperlink r:id="rId227" ref="A245"/>
    <hyperlink r:id="rId228" ref="A246"/>
    <hyperlink r:id="rId229" ref="A247"/>
    <hyperlink r:id="rId230" ref="A248"/>
    <hyperlink r:id="rId231" ref="A249"/>
    <hyperlink r:id="rId232" ref="A250"/>
    <hyperlink r:id="rId233" ref="A251"/>
    <hyperlink r:id="rId234" ref="A252"/>
    <hyperlink r:id="rId235" ref="A253"/>
    <hyperlink r:id="rId236" ref="A254"/>
    <hyperlink r:id="rId237" ref="A255"/>
    <hyperlink r:id="rId238" ref="D255"/>
    <hyperlink r:id="rId239" ref="A256"/>
    <hyperlink r:id="rId240" ref="D256"/>
    <hyperlink r:id="rId241" location=":~:text=Multi%2Dplatform%20expertise%20across%20Meta%2C%20LinkedIn%2C%20TikTok%2C%20YouTube%2C,Best%20for%20Paid%20Social%20ROAS%20at%20Scale." ref="A257"/>
    <hyperlink r:id="rId242" ref="D257"/>
    <hyperlink r:id="rId243" ref="A258"/>
    <hyperlink r:id="rId244" ref="D258"/>
    <hyperlink r:id="rId245" ref="A259"/>
    <hyperlink r:id="rId246" ref="D259"/>
    <hyperlink r:id="rId247" ref="A260"/>
    <hyperlink r:id="rId248" ref="D260"/>
    <hyperlink r:id="rId249" ref="A261"/>
    <hyperlink r:id="rId250" ref="D261"/>
    <hyperlink r:id="rId251" ref="A262"/>
    <hyperlink r:id="rId252" ref="D262"/>
    <hyperlink r:id="rId253" ref="A263"/>
    <hyperlink r:id="rId254" ref="D263"/>
    <hyperlink r:id="rId255" ref="A264"/>
    <hyperlink r:id="rId256" ref="D264"/>
    <hyperlink r:id="rId257" ref="A265"/>
    <hyperlink r:id="rId258" ref="D265"/>
    <hyperlink r:id="rId259" ref="A266"/>
    <hyperlink r:id="rId260" ref="D266"/>
    <hyperlink r:id="rId261" ref="A267"/>
    <hyperlink r:id="rId262" ref="D267"/>
    <hyperlink r:id="rId263" ref="A268"/>
    <hyperlink r:id="rId264" ref="D268"/>
    <hyperlink r:id="rId265" ref="A269"/>
    <hyperlink r:id="rId266" ref="D269"/>
    <hyperlink r:id="rId267" ref="A270"/>
    <hyperlink r:id="rId268" ref="D270"/>
    <hyperlink r:id="rId269" ref="A271"/>
    <hyperlink r:id="rId270" ref="D271"/>
    <hyperlink r:id="rId271" ref="A272"/>
    <hyperlink r:id="rId272" ref="D272"/>
    <hyperlink r:id="rId273" ref="A273"/>
    <hyperlink r:id="rId274" ref="D273"/>
    <hyperlink r:id="rId275" ref="A274"/>
    <hyperlink r:id="rId276" ref="D274"/>
    <hyperlink r:id="rId277" ref="A275"/>
    <hyperlink r:id="rId278" ref="D275"/>
    <hyperlink r:id="rId279" ref="A276"/>
    <hyperlink r:id="rId280" ref="D276"/>
    <hyperlink r:id="rId281" ref="A277"/>
    <hyperlink r:id="rId282" ref="D277"/>
    <hyperlink r:id="rId283" ref="A278"/>
    <hyperlink r:id="rId284" ref="A279"/>
    <hyperlink r:id="rId285" ref="A280"/>
    <hyperlink r:id="rId286" ref="A281"/>
    <hyperlink r:id="rId287" ref="A282"/>
    <hyperlink r:id="rId288" ref="A283"/>
    <hyperlink r:id="rId289" ref="A284"/>
    <hyperlink r:id="rId290" ref="A285"/>
    <hyperlink r:id="rId291" ref="A286"/>
    <hyperlink r:id="rId292" ref="A287"/>
    <hyperlink r:id="rId293" ref="A288"/>
    <hyperlink r:id="rId294" ref="A289"/>
    <hyperlink r:id="rId295" ref="A290"/>
    <hyperlink r:id="rId296" ref="A291"/>
    <hyperlink r:id="rId297" ref="A292"/>
    <hyperlink r:id="rId298" ref="A293"/>
    <hyperlink r:id="rId299" ref="A294"/>
    <hyperlink r:id="rId300" ref="A295"/>
    <hyperlink r:id="rId301" ref="A296"/>
    <hyperlink r:id="rId302" ref="A297"/>
    <hyperlink r:id="rId303" ref="A298"/>
    <hyperlink r:id="rId304" ref="A299"/>
    <hyperlink r:id="rId305" ref="A300"/>
  </hyperlinks>
  <drawing r:id="rId30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44"/>
    <col customWidth="1" min="2" max="2" width="26.33"/>
  </cols>
  <sheetData>
    <row r="1">
      <c r="A1" s="239" t="s">
        <v>10036</v>
      </c>
      <c r="B1" s="239" t="s">
        <v>44</v>
      </c>
      <c r="C1" s="239" t="s">
        <v>10037</v>
      </c>
      <c r="D1" s="239" t="s">
        <v>10038</v>
      </c>
      <c r="E1" s="239" t="s">
        <v>10039</v>
      </c>
      <c r="F1" s="239" t="s">
        <v>10040</v>
      </c>
    </row>
    <row r="2">
      <c r="A2" s="240">
        <v>1.0</v>
      </c>
      <c r="B2" s="240" t="s">
        <v>760</v>
      </c>
      <c r="C2" s="241">
        <v>0.2606</v>
      </c>
      <c r="D2" s="241">
        <v>0.0555</v>
      </c>
      <c r="E2" s="240">
        <v>61.0</v>
      </c>
      <c r="F2" s="240" t="s">
        <v>10041</v>
      </c>
    </row>
    <row r="3">
      <c r="A3" s="240">
        <v>2.0</v>
      </c>
      <c r="B3" s="240" t="s">
        <v>582</v>
      </c>
      <c r="C3" s="241">
        <v>0.2411</v>
      </c>
      <c r="D3" s="241">
        <v>0.0454</v>
      </c>
      <c r="E3" s="240">
        <v>64.0</v>
      </c>
      <c r="F3" s="240" t="s">
        <v>10042</v>
      </c>
    </row>
    <row r="4">
      <c r="A4" s="240">
        <v>3.0</v>
      </c>
      <c r="B4" s="240" t="s">
        <v>780</v>
      </c>
      <c r="C4" s="241">
        <v>0.2377</v>
      </c>
      <c r="D4" s="241">
        <v>0.0458</v>
      </c>
      <c r="E4" s="240">
        <v>62.0</v>
      </c>
      <c r="F4" s="240" t="s">
        <v>10043</v>
      </c>
    </row>
    <row r="5">
      <c r="A5" s="240">
        <v>4.0</v>
      </c>
      <c r="B5" s="240" t="s">
        <v>790</v>
      </c>
      <c r="C5" s="241">
        <v>0.2204</v>
      </c>
      <c r="D5" s="241">
        <v>0.0464</v>
      </c>
      <c r="E5" s="240">
        <v>61.0</v>
      </c>
      <c r="F5" s="240" t="s">
        <v>10044</v>
      </c>
    </row>
    <row r="6">
      <c r="A6" s="240">
        <v>5.0</v>
      </c>
      <c r="B6" s="240" t="s">
        <v>799</v>
      </c>
      <c r="C6" s="241">
        <v>0.1699</v>
      </c>
      <c r="D6" s="241">
        <v>0.0353</v>
      </c>
      <c r="E6" s="240">
        <v>65.0</v>
      </c>
      <c r="F6" s="240" t="s">
        <v>10045</v>
      </c>
    </row>
    <row r="7">
      <c r="A7" s="240">
        <v>6.0</v>
      </c>
      <c r="B7" s="240" t="s">
        <v>812</v>
      </c>
      <c r="C7" s="241">
        <v>0.1435</v>
      </c>
      <c r="D7" s="241">
        <v>0.0268</v>
      </c>
      <c r="E7" s="240">
        <v>65.0</v>
      </c>
      <c r="F7" s="240" t="s">
        <v>10046</v>
      </c>
    </row>
    <row r="8">
      <c r="A8" s="240">
        <v>7.0</v>
      </c>
      <c r="B8" s="240" t="s">
        <v>823</v>
      </c>
      <c r="C8" s="241">
        <v>0.132</v>
      </c>
      <c r="D8" s="241">
        <v>0.0225</v>
      </c>
      <c r="E8" s="240">
        <v>66.0</v>
      </c>
      <c r="F8" s="240" t="s">
        <v>10047</v>
      </c>
    </row>
    <row r="9">
      <c r="A9" s="240">
        <v>8.0</v>
      </c>
      <c r="B9" s="240" t="s">
        <v>833</v>
      </c>
      <c r="C9" s="241">
        <v>0.1263</v>
      </c>
      <c r="D9" s="241">
        <v>0.034</v>
      </c>
      <c r="E9" s="240">
        <v>56.0</v>
      </c>
      <c r="F9" s="240" t="s">
        <v>10048</v>
      </c>
    </row>
    <row r="10">
      <c r="A10" s="240">
        <v>9.0</v>
      </c>
      <c r="B10" s="240" t="s">
        <v>843</v>
      </c>
      <c r="C10" s="241">
        <v>0.1206</v>
      </c>
      <c r="D10" s="241">
        <v>0.0226</v>
      </c>
      <c r="E10" s="240">
        <v>63.0</v>
      </c>
      <c r="F10" s="240" t="s">
        <v>10043</v>
      </c>
    </row>
    <row r="11">
      <c r="A11" s="240">
        <v>10.0</v>
      </c>
      <c r="B11" s="240" t="s">
        <v>853</v>
      </c>
      <c r="C11" s="241">
        <v>0.1102</v>
      </c>
      <c r="D11" s="241">
        <v>0.0195</v>
      </c>
      <c r="E11" s="240">
        <v>60.0</v>
      </c>
      <c r="F11" s="240" t="s">
        <v>10049</v>
      </c>
    </row>
    <row r="12">
      <c r="A12" s="240">
        <v>11.0</v>
      </c>
      <c r="B12" s="240" t="s">
        <v>862</v>
      </c>
      <c r="C12" s="241">
        <v>0.0976</v>
      </c>
      <c r="D12" s="241">
        <v>0.0171</v>
      </c>
      <c r="E12" s="240">
        <v>68.0</v>
      </c>
      <c r="F12" s="240" t="s">
        <v>10050</v>
      </c>
    </row>
    <row r="13">
      <c r="A13" s="240">
        <v>12.0</v>
      </c>
      <c r="B13" s="240" t="s">
        <v>870</v>
      </c>
      <c r="C13" s="241">
        <v>0.0953</v>
      </c>
      <c r="D13" s="241">
        <v>0.0223</v>
      </c>
      <c r="E13" s="240">
        <v>62.0</v>
      </c>
      <c r="F13" s="240" t="s">
        <v>10046</v>
      </c>
    </row>
    <row r="14">
      <c r="A14" s="240">
        <v>13.0</v>
      </c>
      <c r="B14" s="240" t="s">
        <v>877</v>
      </c>
      <c r="C14" s="241">
        <v>0.0884</v>
      </c>
      <c r="D14" s="241">
        <v>0.0133</v>
      </c>
      <c r="E14" s="240">
        <v>66.0</v>
      </c>
      <c r="F14" s="240" t="s">
        <v>10044</v>
      </c>
    </row>
    <row r="15">
      <c r="A15" s="240">
        <v>14.0</v>
      </c>
      <c r="B15" s="240" t="s">
        <v>887</v>
      </c>
      <c r="C15" s="241">
        <v>0.0827</v>
      </c>
      <c r="D15" s="241">
        <v>0.0143</v>
      </c>
      <c r="E15" s="240">
        <v>69.0</v>
      </c>
      <c r="F15" s="240" t="s">
        <v>10051</v>
      </c>
    </row>
    <row r="16">
      <c r="A16" s="240">
        <v>15.0</v>
      </c>
      <c r="B16" s="240" t="s">
        <v>904</v>
      </c>
      <c r="C16" s="241">
        <v>0.0769</v>
      </c>
      <c r="D16" s="241">
        <v>0.015</v>
      </c>
      <c r="E16" s="240">
        <v>60.0</v>
      </c>
      <c r="F16" s="240" t="s">
        <v>10052</v>
      </c>
    </row>
    <row r="17">
      <c r="A17" s="240">
        <v>16.0</v>
      </c>
      <c r="B17" s="240" t="s">
        <v>895</v>
      </c>
      <c r="C17" s="241">
        <v>0.0769</v>
      </c>
      <c r="D17" s="241">
        <v>0.0116</v>
      </c>
      <c r="E17" s="240">
        <v>64.0</v>
      </c>
      <c r="F17" s="240" t="s">
        <v>10053</v>
      </c>
    </row>
    <row r="18">
      <c r="A18" s="240">
        <v>17.0</v>
      </c>
      <c r="B18" s="240" t="s">
        <v>912</v>
      </c>
      <c r="C18" s="241">
        <v>0.0758</v>
      </c>
      <c r="D18" s="241">
        <v>0.0176</v>
      </c>
      <c r="E18" s="240">
        <v>60.0</v>
      </c>
      <c r="F18" s="240" t="s">
        <v>10054</v>
      </c>
    </row>
    <row r="19">
      <c r="A19" s="240">
        <v>18.0</v>
      </c>
      <c r="B19" s="240" t="s">
        <v>923</v>
      </c>
      <c r="C19" s="241">
        <v>0.0735</v>
      </c>
      <c r="D19" s="241">
        <v>0.014</v>
      </c>
      <c r="E19" s="240">
        <v>62.0</v>
      </c>
      <c r="F19" s="240" t="s">
        <v>10055</v>
      </c>
    </row>
    <row r="20">
      <c r="A20" s="240">
        <v>19.0</v>
      </c>
      <c r="B20" s="240" t="s">
        <v>931</v>
      </c>
      <c r="C20" s="241">
        <v>0.0712</v>
      </c>
      <c r="D20" s="241">
        <v>0.0124</v>
      </c>
      <c r="E20" s="240">
        <v>66.0</v>
      </c>
      <c r="F20" s="240" t="s">
        <v>10056</v>
      </c>
    </row>
    <row r="21">
      <c r="A21" s="240">
        <v>20.0</v>
      </c>
      <c r="B21" s="240" t="s">
        <v>941</v>
      </c>
      <c r="C21" s="241">
        <v>0.0689</v>
      </c>
      <c r="D21" s="241">
        <v>0.0138</v>
      </c>
      <c r="E21" s="240">
        <v>68.0</v>
      </c>
      <c r="F21" s="240" t="s">
        <v>10055</v>
      </c>
    </row>
    <row r="22">
      <c r="A22" s="240">
        <v>21.0</v>
      </c>
      <c r="B22" s="240" t="s">
        <v>950</v>
      </c>
      <c r="C22" s="241">
        <v>0.0667</v>
      </c>
      <c r="D22" s="241">
        <v>0.0015</v>
      </c>
      <c r="E22" s="240">
        <v>48.0</v>
      </c>
      <c r="F22" s="240" t="s">
        <v>10042</v>
      </c>
    </row>
    <row r="23">
      <c r="A23" s="240">
        <v>22.0</v>
      </c>
      <c r="B23" s="240" t="s">
        <v>960</v>
      </c>
      <c r="C23" s="241">
        <v>0.0654</v>
      </c>
      <c r="D23" s="241">
        <v>0.0116</v>
      </c>
      <c r="E23" s="240">
        <v>72.0</v>
      </c>
      <c r="F23" s="240" t="s">
        <v>10057</v>
      </c>
    </row>
    <row r="24">
      <c r="A24" s="240">
        <v>23.0</v>
      </c>
      <c r="B24" s="240" t="s">
        <v>970</v>
      </c>
      <c r="C24" s="241">
        <v>0.0631</v>
      </c>
      <c r="D24" s="241">
        <v>0.0115</v>
      </c>
      <c r="E24" s="240">
        <v>64.0</v>
      </c>
      <c r="F24" s="240" t="s">
        <v>10058</v>
      </c>
    </row>
    <row r="25">
      <c r="A25" s="240">
        <v>24.0</v>
      </c>
      <c r="B25" s="240" t="s">
        <v>380</v>
      </c>
      <c r="C25" s="241">
        <v>0.0586</v>
      </c>
      <c r="D25" s="241">
        <v>0.0125</v>
      </c>
      <c r="E25" s="240">
        <v>63.0</v>
      </c>
      <c r="F25" s="240" t="s">
        <v>10052</v>
      </c>
    </row>
    <row r="26">
      <c r="A26" s="240">
        <v>25.0</v>
      </c>
      <c r="B26" s="240" t="s">
        <v>992</v>
      </c>
      <c r="C26" s="241">
        <v>0.0563</v>
      </c>
      <c r="D26" s="241">
        <v>0.0133</v>
      </c>
      <c r="E26" s="240">
        <v>60.0</v>
      </c>
      <c r="F26" s="240" t="s">
        <v>10059</v>
      </c>
    </row>
    <row r="27">
      <c r="A27" s="240">
        <v>26.0</v>
      </c>
      <c r="B27" s="240" t="s">
        <v>8733</v>
      </c>
      <c r="C27" s="241">
        <v>0.054</v>
      </c>
      <c r="D27" s="241">
        <v>0.008</v>
      </c>
      <c r="E27" s="240">
        <v>68.0</v>
      </c>
      <c r="F27" s="240" t="s">
        <v>10060</v>
      </c>
    </row>
    <row r="28">
      <c r="A28" s="240">
        <v>27.0</v>
      </c>
      <c r="B28" s="240" t="s">
        <v>8656</v>
      </c>
      <c r="C28" s="241">
        <v>0.0517</v>
      </c>
      <c r="D28" s="241">
        <v>0.0096</v>
      </c>
      <c r="E28" s="240">
        <v>61.0</v>
      </c>
      <c r="F28" s="240" t="s">
        <v>10061</v>
      </c>
    </row>
    <row r="29">
      <c r="A29" s="240">
        <v>28.0</v>
      </c>
      <c r="B29" s="240" t="s">
        <v>10062</v>
      </c>
      <c r="C29" s="241">
        <v>0.0505</v>
      </c>
      <c r="D29" s="241">
        <v>0.0082</v>
      </c>
      <c r="E29" s="240">
        <v>73.0</v>
      </c>
      <c r="F29" s="240" t="s">
        <v>10063</v>
      </c>
    </row>
    <row r="30">
      <c r="A30" s="240">
        <v>29.0</v>
      </c>
      <c r="B30" s="240" t="s">
        <v>10064</v>
      </c>
      <c r="C30" s="241">
        <v>0.0505</v>
      </c>
      <c r="D30" s="241">
        <v>0.0071</v>
      </c>
      <c r="E30" s="240">
        <v>71.0</v>
      </c>
      <c r="F30" s="240" t="s">
        <v>10065</v>
      </c>
    </row>
    <row r="31">
      <c r="A31" s="240">
        <v>30.0</v>
      </c>
      <c r="B31" s="240" t="s">
        <v>10066</v>
      </c>
      <c r="C31" s="241">
        <v>0.0459</v>
      </c>
      <c r="D31" s="241">
        <v>0.0106</v>
      </c>
      <c r="E31" s="240">
        <v>64.0</v>
      </c>
      <c r="F31" s="240" t="s">
        <v>10041</v>
      </c>
    </row>
    <row r="32">
      <c r="A32" s="240">
        <v>31.0</v>
      </c>
      <c r="B32" s="240" t="s">
        <v>10067</v>
      </c>
      <c r="C32" s="241">
        <v>0.0459</v>
      </c>
      <c r="D32" s="241">
        <v>0.0101</v>
      </c>
      <c r="E32" s="240">
        <v>62.0</v>
      </c>
      <c r="F32" s="240" t="s">
        <v>10061</v>
      </c>
    </row>
    <row r="33">
      <c r="A33" s="240">
        <v>32.0</v>
      </c>
      <c r="B33" s="240" t="s">
        <v>10068</v>
      </c>
      <c r="C33" s="241">
        <v>0.0448</v>
      </c>
      <c r="D33" s="241">
        <v>0.0068</v>
      </c>
      <c r="E33" s="240">
        <v>67.0</v>
      </c>
      <c r="F33" s="240" t="s">
        <v>10069</v>
      </c>
    </row>
    <row r="34">
      <c r="A34" s="240">
        <v>33.0</v>
      </c>
      <c r="B34" s="240" t="s">
        <v>27</v>
      </c>
      <c r="C34" s="241">
        <v>0.0436</v>
      </c>
      <c r="D34" s="241">
        <v>0.0114</v>
      </c>
      <c r="E34" s="240">
        <v>47.0</v>
      </c>
      <c r="F34" s="240" t="s">
        <v>10070</v>
      </c>
    </row>
    <row r="35">
      <c r="A35" s="240">
        <v>34.0</v>
      </c>
      <c r="B35" s="240" t="s">
        <v>10071</v>
      </c>
      <c r="C35" s="241">
        <v>0.0436</v>
      </c>
      <c r="D35" s="241">
        <v>0.0058</v>
      </c>
      <c r="E35" s="240">
        <v>68.0</v>
      </c>
      <c r="F35" s="240" t="s">
        <v>10047</v>
      </c>
    </row>
    <row r="36">
      <c r="A36" s="240">
        <v>35.0</v>
      </c>
      <c r="B36" s="240" t="s">
        <v>10072</v>
      </c>
      <c r="C36" s="241">
        <v>0.0425</v>
      </c>
      <c r="D36" s="241">
        <v>0.0086</v>
      </c>
      <c r="E36" s="240">
        <v>68.0</v>
      </c>
      <c r="F36" s="240" t="s">
        <v>10073</v>
      </c>
    </row>
    <row r="37">
      <c r="A37" s="240">
        <v>36.0</v>
      </c>
      <c r="B37" s="240" t="s">
        <v>10074</v>
      </c>
      <c r="C37" s="241">
        <v>0.0413</v>
      </c>
      <c r="D37" s="241">
        <v>0.0057</v>
      </c>
      <c r="E37" s="240">
        <v>65.0</v>
      </c>
      <c r="F37" s="240" t="s">
        <v>10057</v>
      </c>
    </row>
    <row r="38">
      <c r="A38" s="240">
        <v>37.0</v>
      </c>
      <c r="B38" s="240" t="s">
        <v>1342</v>
      </c>
      <c r="C38" s="241">
        <v>0.0402</v>
      </c>
      <c r="D38" s="241">
        <v>0.0086</v>
      </c>
      <c r="E38" s="240">
        <v>65.0</v>
      </c>
      <c r="F38" s="240" t="s">
        <v>10042</v>
      </c>
    </row>
    <row r="39">
      <c r="A39" s="240">
        <v>38.0</v>
      </c>
      <c r="B39" s="240" t="s">
        <v>7687</v>
      </c>
      <c r="C39" s="241">
        <v>0.039</v>
      </c>
      <c r="D39" s="241">
        <v>0.007</v>
      </c>
      <c r="E39" s="240">
        <v>71.0</v>
      </c>
      <c r="F39" s="240" t="s">
        <v>10075</v>
      </c>
    </row>
    <row r="40">
      <c r="A40" s="240">
        <v>39.0</v>
      </c>
      <c r="B40" s="240" t="s">
        <v>7487</v>
      </c>
      <c r="C40" s="241">
        <v>0.039</v>
      </c>
      <c r="D40" s="241">
        <v>0.0066</v>
      </c>
      <c r="E40" s="240">
        <v>68.0</v>
      </c>
      <c r="F40" s="240" t="s">
        <v>10046</v>
      </c>
    </row>
    <row r="41">
      <c r="A41" s="240">
        <v>40.0</v>
      </c>
      <c r="B41" s="240" t="s">
        <v>2096</v>
      </c>
      <c r="C41" s="241">
        <v>0.039</v>
      </c>
      <c r="D41" s="241">
        <v>0.0053</v>
      </c>
      <c r="E41" s="240">
        <v>63.0</v>
      </c>
      <c r="F41" s="240" t="s">
        <v>10076</v>
      </c>
    </row>
    <row r="42">
      <c r="A42" s="240">
        <v>41.0</v>
      </c>
      <c r="B42" s="240" t="s">
        <v>7952</v>
      </c>
      <c r="C42" s="241">
        <v>0.0356</v>
      </c>
      <c r="D42" s="241">
        <v>0.0066</v>
      </c>
      <c r="E42" s="240">
        <v>66.0</v>
      </c>
      <c r="F42" s="240" t="s">
        <v>10044</v>
      </c>
    </row>
    <row r="43">
      <c r="A43" s="240">
        <v>42.0</v>
      </c>
      <c r="B43" s="240" t="s">
        <v>10077</v>
      </c>
      <c r="C43" s="241">
        <v>0.0356</v>
      </c>
      <c r="D43" s="241">
        <v>0.0049</v>
      </c>
      <c r="E43" s="240">
        <v>68.0</v>
      </c>
      <c r="F43" s="240" t="s">
        <v>10046</v>
      </c>
    </row>
    <row r="44">
      <c r="A44" s="240">
        <v>43.0</v>
      </c>
      <c r="B44" s="240" t="s">
        <v>9197</v>
      </c>
      <c r="C44" s="241">
        <v>0.0321</v>
      </c>
      <c r="D44" s="241">
        <v>0.0077</v>
      </c>
      <c r="E44" s="240">
        <v>64.0</v>
      </c>
      <c r="F44" s="240" t="s">
        <v>10046</v>
      </c>
    </row>
    <row r="45">
      <c r="A45" s="240">
        <v>44.0</v>
      </c>
      <c r="B45" s="240" t="s">
        <v>10078</v>
      </c>
      <c r="C45" s="241">
        <v>0.0321</v>
      </c>
      <c r="D45" s="241">
        <v>0.0053</v>
      </c>
      <c r="E45" s="240">
        <v>67.0</v>
      </c>
      <c r="F45" s="240" t="s">
        <v>10049</v>
      </c>
    </row>
    <row r="46">
      <c r="A46" s="240">
        <v>45.0</v>
      </c>
      <c r="B46" s="240" t="s">
        <v>10079</v>
      </c>
      <c r="C46" s="241">
        <v>0.0321</v>
      </c>
      <c r="D46" s="241">
        <v>0.0052</v>
      </c>
      <c r="E46" s="240">
        <v>54.0</v>
      </c>
      <c r="F46" s="240" t="s">
        <v>10080</v>
      </c>
    </row>
    <row r="47">
      <c r="A47" s="240">
        <v>46.0</v>
      </c>
      <c r="B47" s="240" t="s">
        <v>1012</v>
      </c>
      <c r="C47" s="241">
        <v>0.0321</v>
      </c>
      <c r="D47" s="241">
        <v>0.0048</v>
      </c>
      <c r="E47" s="240">
        <v>60.0</v>
      </c>
      <c r="F47" s="240" t="s">
        <v>10081</v>
      </c>
    </row>
    <row r="48">
      <c r="A48" s="240">
        <v>47.0</v>
      </c>
      <c r="B48" s="240" t="s">
        <v>3522</v>
      </c>
      <c r="C48" s="241">
        <v>0.0321</v>
      </c>
      <c r="D48" s="241">
        <v>0.0043</v>
      </c>
      <c r="E48" s="240">
        <v>65.0</v>
      </c>
      <c r="F48" s="240" t="s">
        <v>10051</v>
      </c>
    </row>
    <row r="49">
      <c r="A49" s="240">
        <v>48.0</v>
      </c>
      <c r="B49" s="240" t="s">
        <v>10082</v>
      </c>
      <c r="C49" s="241">
        <v>0.031</v>
      </c>
      <c r="D49" s="241">
        <v>0.0082</v>
      </c>
      <c r="E49" s="240">
        <v>70.0</v>
      </c>
      <c r="F49" s="240" t="s">
        <v>10041</v>
      </c>
    </row>
    <row r="50">
      <c r="A50" s="240">
        <v>49.0</v>
      </c>
      <c r="B50" s="240" t="s">
        <v>1282</v>
      </c>
      <c r="C50" s="241">
        <v>0.031</v>
      </c>
      <c r="D50" s="241">
        <v>0.0076</v>
      </c>
      <c r="E50" s="240">
        <v>57.0</v>
      </c>
      <c r="F50" s="240" t="s">
        <v>10083</v>
      </c>
    </row>
    <row r="51">
      <c r="A51" s="240">
        <v>50.0</v>
      </c>
      <c r="B51" s="240" t="s">
        <v>10084</v>
      </c>
      <c r="C51" s="241">
        <v>0.031</v>
      </c>
      <c r="D51" s="241">
        <v>0.0072</v>
      </c>
      <c r="E51" s="240">
        <v>49.0</v>
      </c>
      <c r="F51" s="240" t="s">
        <v>10053</v>
      </c>
    </row>
    <row r="52">
      <c r="A52" s="240">
        <v>51.0</v>
      </c>
      <c r="B52" s="240" t="s">
        <v>3616</v>
      </c>
      <c r="C52" s="241">
        <v>0.031</v>
      </c>
      <c r="D52" s="241">
        <v>0.0056</v>
      </c>
      <c r="E52" s="240">
        <v>59.0</v>
      </c>
      <c r="F52" s="240" t="s">
        <v>10050</v>
      </c>
    </row>
    <row r="53">
      <c r="A53" s="240">
        <v>52.0</v>
      </c>
      <c r="B53" s="240" t="s">
        <v>10085</v>
      </c>
      <c r="C53" s="241">
        <v>0.0299</v>
      </c>
      <c r="D53" s="241">
        <v>0.0064</v>
      </c>
      <c r="E53" s="240">
        <v>54.0</v>
      </c>
      <c r="F53" s="240" t="s">
        <v>10075</v>
      </c>
    </row>
    <row r="54">
      <c r="A54" s="240">
        <v>53.0</v>
      </c>
      <c r="B54" s="240" t="s">
        <v>10086</v>
      </c>
      <c r="C54" s="241">
        <v>0.0299</v>
      </c>
      <c r="D54" s="241">
        <v>0.0043</v>
      </c>
      <c r="E54" s="240">
        <v>67.0</v>
      </c>
      <c r="F54" s="240" t="s">
        <v>10056</v>
      </c>
    </row>
    <row r="55">
      <c r="A55" s="240">
        <v>54.0</v>
      </c>
      <c r="B55" s="240" t="s">
        <v>10087</v>
      </c>
      <c r="C55" s="241">
        <v>0.0287</v>
      </c>
      <c r="D55" s="241">
        <v>0.0047</v>
      </c>
      <c r="E55" s="240">
        <v>65.0</v>
      </c>
      <c r="F55" s="240" t="s">
        <v>10073</v>
      </c>
    </row>
    <row r="56">
      <c r="A56" s="240">
        <v>55.0</v>
      </c>
      <c r="B56" s="240" t="s">
        <v>10088</v>
      </c>
      <c r="C56" s="241">
        <v>0.0276</v>
      </c>
      <c r="D56" s="241">
        <v>0.0051</v>
      </c>
      <c r="E56" s="240">
        <v>55.0</v>
      </c>
      <c r="F56" s="240" t="s">
        <v>10089</v>
      </c>
    </row>
    <row r="57">
      <c r="A57" s="240">
        <v>56.0</v>
      </c>
      <c r="B57" s="240" t="s">
        <v>10090</v>
      </c>
      <c r="C57" s="241">
        <v>0.0276</v>
      </c>
      <c r="D57" s="241">
        <v>0.0046</v>
      </c>
      <c r="E57" s="240">
        <v>53.0</v>
      </c>
      <c r="F57" s="240" t="s">
        <v>10091</v>
      </c>
    </row>
    <row r="58">
      <c r="A58" s="240">
        <v>57.0</v>
      </c>
      <c r="B58" s="240" t="s">
        <v>10092</v>
      </c>
      <c r="C58" s="241">
        <v>0.0264</v>
      </c>
      <c r="D58" s="241">
        <v>0.0042</v>
      </c>
      <c r="E58" s="240">
        <v>69.0</v>
      </c>
      <c r="F58" s="240" t="s">
        <v>10093</v>
      </c>
    </row>
    <row r="59">
      <c r="A59" s="240">
        <v>58.0</v>
      </c>
      <c r="B59" s="240" t="s">
        <v>10094</v>
      </c>
      <c r="C59" s="241">
        <v>0.0264</v>
      </c>
      <c r="D59" s="241">
        <v>0.0039</v>
      </c>
      <c r="E59" s="240">
        <v>64.0</v>
      </c>
      <c r="F59" s="240" t="s">
        <v>10061</v>
      </c>
    </row>
    <row r="60">
      <c r="A60" s="240">
        <v>59.0</v>
      </c>
      <c r="B60" s="240" t="s">
        <v>10095</v>
      </c>
      <c r="C60" s="241">
        <v>0.0253</v>
      </c>
      <c r="D60" s="241">
        <v>0.0096</v>
      </c>
      <c r="E60" s="240">
        <v>55.0</v>
      </c>
      <c r="F60" s="240" t="s">
        <v>10049</v>
      </c>
    </row>
    <row r="61">
      <c r="A61" s="240">
        <v>60.0</v>
      </c>
      <c r="B61" s="240" t="s">
        <v>10096</v>
      </c>
      <c r="C61" s="241">
        <v>0.0253</v>
      </c>
      <c r="D61" s="241">
        <v>0.0056</v>
      </c>
      <c r="E61" s="240">
        <v>65.0</v>
      </c>
      <c r="F61" s="240" t="s">
        <v>10097</v>
      </c>
    </row>
    <row r="62">
      <c r="A62" s="240">
        <v>61.0</v>
      </c>
      <c r="B62" s="240" t="s">
        <v>3658</v>
      </c>
      <c r="C62" s="241">
        <v>0.0253</v>
      </c>
      <c r="D62" s="241">
        <v>0.0051</v>
      </c>
      <c r="E62" s="240">
        <v>62.0</v>
      </c>
      <c r="F62" s="240" t="s">
        <v>10046</v>
      </c>
    </row>
    <row r="63">
      <c r="A63" s="240">
        <v>62.0</v>
      </c>
      <c r="B63" s="240" t="s">
        <v>10098</v>
      </c>
      <c r="C63" s="241">
        <v>0.0253</v>
      </c>
      <c r="D63" s="241">
        <v>0.0049</v>
      </c>
      <c r="E63" s="240">
        <v>66.0</v>
      </c>
      <c r="F63" s="240" t="s">
        <v>10099</v>
      </c>
    </row>
    <row r="64">
      <c r="A64" s="240">
        <v>63.0</v>
      </c>
      <c r="B64" s="240" t="s">
        <v>10100</v>
      </c>
      <c r="C64" s="241">
        <v>0.0241</v>
      </c>
      <c r="D64" s="241">
        <v>0.0058</v>
      </c>
      <c r="E64" s="240">
        <v>57.0</v>
      </c>
      <c r="F64" s="240" t="s">
        <v>10054</v>
      </c>
    </row>
    <row r="65">
      <c r="A65" s="240">
        <v>64.0</v>
      </c>
      <c r="B65" s="240" t="s">
        <v>1021</v>
      </c>
      <c r="C65" s="241">
        <v>0.0241</v>
      </c>
      <c r="D65" s="241">
        <v>0.0056</v>
      </c>
      <c r="E65" s="240">
        <v>55.0</v>
      </c>
      <c r="F65" s="240" t="s">
        <v>10075</v>
      </c>
    </row>
    <row r="66">
      <c r="A66" s="240">
        <v>65.0</v>
      </c>
      <c r="B66" s="240" t="s">
        <v>10101</v>
      </c>
      <c r="C66" s="241">
        <v>0.0241</v>
      </c>
      <c r="D66" s="241">
        <v>0.004</v>
      </c>
      <c r="E66" s="240">
        <v>73.0</v>
      </c>
      <c r="F66" s="240" t="s">
        <v>10075</v>
      </c>
    </row>
    <row r="67">
      <c r="A67" s="240">
        <v>66.0</v>
      </c>
      <c r="B67" s="240" t="s">
        <v>1327</v>
      </c>
      <c r="C67" s="241">
        <v>0.0241</v>
      </c>
      <c r="D67" s="241">
        <v>0.004</v>
      </c>
      <c r="E67" s="240">
        <v>66.0</v>
      </c>
      <c r="F67" s="240" t="s">
        <v>10061</v>
      </c>
    </row>
    <row r="68">
      <c r="A68" s="240">
        <v>67.0</v>
      </c>
      <c r="B68" s="240" t="s">
        <v>10102</v>
      </c>
      <c r="C68" s="241">
        <v>0.023</v>
      </c>
      <c r="D68" s="241">
        <v>0.0057</v>
      </c>
      <c r="E68" s="240">
        <v>55.0</v>
      </c>
      <c r="F68" s="240" t="s">
        <v>10054</v>
      </c>
    </row>
    <row r="69">
      <c r="A69" s="240">
        <v>68.0</v>
      </c>
      <c r="B69" s="240" t="s">
        <v>10103</v>
      </c>
      <c r="C69" s="241">
        <v>0.023</v>
      </c>
      <c r="D69" s="241">
        <v>0.0047</v>
      </c>
      <c r="E69" s="240">
        <v>61.0</v>
      </c>
      <c r="F69" s="240" t="s">
        <v>10104</v>
      </c>
    </row>
    <row r="70">
      <c r="A70" s="240">
        <v>69.0</v>
      </c>
      <c r="B70" s="240" t="s">
        <v>7291</v>
      </c>
      <c r="C70" s="241">
        <v>0.023</v>
      </c>
      <c r="D70" s="241">
        <v>0.0044</v>
      </c>
      <c r="E70" s="240">
        <v>44.0</v>
      </c>
      <c r="F70" s="240" t="s">
        <v>10105</v>
      </c>
    </row>
    <row r="71">
      <c r="A71" s="240">
        <v>70.0</v>
      </c>
      <c r="B71" s="240" t="s">
        <v>10106</v>
      </c>
      <c r="C71" s="241">
        <v>0.023</v>
      </c>
      <c r="D71" s="241">
        <v>0.004</v>
      </c>
      <c r="E71" s="240">
        <v>61.0</v>
      </c>
      <c r="F71" s="240" t="s">
        <v>10046</v>
      </c>
    </row>
    <row r="72">
      <c r="A72" s="240">
        <v>71.0</v>
      </c>
      <c r="B72" s="240" t="s">
        <v>10107</v>
      </c>
      <c r="C72" s="241">
        <v>0.023</v>
      </c>
      <c r="D72" s="241">
        <v>0.0038</v>
      </c>
      <c r="E72" s="240">
        <v>56.0</v>
      </c>
      <c r="F72" s="240" t="s">
        <v>10053</v>
      </c>
    </row>
    <row r="73">
      <c r="A73" s="240">
        <v>72.0</v>
      </c>
      <c r="B73" s="240" t="s">
        <v>10108</v>
      </c>
      <c r="C73" s="241">
        <v>0.023</v>
      </c>
      <c r="D73" s="241">
        <v>0.0037</v>
      </c>
      <c r="E73" s="240">
        <v>66.0</v>
      </c>
      <c r="F73" s="240" t="s">
        <v>10058</v>
      </c>
    </row>
    <row r="74">
      <c r="A74" s="240">
        <v>73.0</v>
      </c>
      <c r="B74" s="240" t="s">
        <v>10109</v>
      </c>
      <c r="C74" s="241">
        <v>0.023</v>
      </c>
      <c r="D74" s="241">
        <v>0.0037</v>
      </c>
      <c r="E74" s="240">
        <v>56.0</v>
      </c>
      <c r="F74" s="240" t="s">
        <v>10057</v>
      </c>
    </row>
    <row r="75">
      <c r="A75" s="240">
        <v>74.0</v>
      </c>
      <c r="B75" s="240" t="s">
        <v>2070</v>
      </c>
      <c r="C75" s="241">
        <v>0.023</v>
      </c>
      <c r="D75" s="241">
        <v>0.0027</v>
      </c>
      <c r="E75" s="240">
        <v>54.0</v>
      </c>
      <c r="F75" s="240" t="s">
        <v>10110</v>
      </c>
    </row>
    <row r="76">
      <c r="A76" s="240">
        <v>75.0</v>
      </c>
      <c r="B76" s="240" t="s">
        <v>10111</v>
      </c>
      <c r="C76" s="241">
        <v>0.0218</v>
      </c>
      <c r="D76" s="241">
        <v>0.0052</v>
      </c>
      <c r="E76" s="240">
        <v>57.0</v>
      </c>
      <c r="F76" s="240" t="s">
        <v>10091</v>
      </c>
    </row>
    <row r="77">
      <c r="A77" s="240">
        <v>76.0</v>
      </c>
      <c r="B77" s="240" t="s">
        <v>9715</v>
      </c>
      <c r="C77" s="241">
        <v>0.0218</v>
      </c>
      <c r="D77" s="241">
        <v>0.0037</v>
      </c>
      <c r="E77" s="240">
        <v>66.0</v>
      </c>
      <c r="F77" s="240" t="s">
        <v>10046</v>
      </c>
    </row>
    <row r="78">
      <c r="A78" s="240">
        <v>77.0</v>
      </c>
      <c r="B78" s="240" t="s">
        <v>2895</v>
      </c>
      <c r="C78" s="241">
        <v>0.0218</v>
      </c>
      <c r="D78" s="241">
        <v>0.0025</v>
      </c>
      <c r="E78" s="240">
        <v>67.0</v>
      </c>
      <c r="F78" s="240" t="s">
        <v>10112</v>
      </c>
    </row>
    <row r="79">
      <c r="A79" s="240">
        <v>78.0</v>
      </c>
      <c r="B79" s="240" t="s">
        <v>10113</v>
      </c>
      <c r="C79" s="241">
        <v>0.0207</v>
      </c>
      <c r="D79" s="241">
        <v>0.0048</v>
      </c>
      <c r="E79" s="240">
        <v>59.0</v>
      </c>
      <c r="F79" s="240" t="s">
        <v>10114</v>
      </c>
    </row>
    <row r="80">
      <c r="A80" s="240">
        <v>79.0</v>
      </c>
      <c r="B80" s="240" t="s">
        <v>10115</v>
      </c>
      <c r="C80" s="241">
        <v>0.0207</v>
      </c>
      <c r="D80" s="241">
        <v>0.0047</v>
      </c>
      <c r="E80" s="240">
        <v>65.0</v>
      </c>
      <c r="F80" s="240" t="s">
        <v>10105</v>
      </c>
    </row>
    <row r="81">
      <c r="A81" s="240">
        <v>80.0</v>
      </c>
      <c r="B81" s="240" t="s">
        <v>10116</v>
      </c>
      <c r="C81" s="241">
        <v>0.0207</v>
      </c>
      <c r="D81" s="241">
        <v>0.0038</v>
      </c>
      <c r="E81" s="240">
        <v>65.0</v>
      </c>
      <c r="F81" s="240" t="s">
        <v>10117</v>
      </c>
    </row>
    <row r="82">
      <c r="A82" s="240">
        <v>81.0</v>
      </c>
      <c r="B82" s="240" t="s">
        <v>10118</v>
      </c>
      <c r="C82" s="241">
        <v>0.0207</v>
      </c>
      <c r="D82" s="241">
        <v>0.0035</v>
      </c>
      <c r="E82" s="240">
        <v>60.0</v>
      </c>
      <c r="F82" s="240" t="s">
        <v>10104</v>
      </c>
    </row>
    <row r="83">
      <c r="A83" s="240">
        <v>82.0</v>
      </c>
      <c r="B83" s="240" t="s">
        <v>10119</v>
      </c>
      <c r="C83" s="241">
        <v>0.0207</v>
      </c>
      <c r="D83" s="241">
        <v>0.0034</v>
      </c>
      <c r="E83" s="240">
        <v>58.0</v>
      </c>
      <c r="F83" s="240" t="s">
        <v>10056</v>
      </c>
    </row>
    <row r="84">
      <c r="A84" s="240">
        <v>83.0</v>
      </c>
      <c r="B84" s="240" t="s">
        <v>7087</v>
      </c>
      <c r="C84" s="241">
        <v>0.0207</v>
      </c>
      <c r="D84" s="241">
        <v>0.0032</v>
      </c>
      <c r="E84" s="240">
        <v>61.0</v>
      </c>
      <c r="F84" s="240" t="s">
        <v>10046</v>
      </c>
    </row>
    <row r="85">
      <c r="A85" s="240">
        <v>84.0</v>
      </c>
      <c r="B85" s="240" t="s">
        <v>10120</v>
      </c>
      <c r="C85" s="241">
        <v>0.0195</v>
      </c>
      <c r="D85" s="241">
        <v>0.0037</v>
      </c>
      <c r="E85" s="240">
        <v>62.0</v>
      </c>
      <c r="F85" s="240" t="s">
        <v>10045</v>
      </c>
    </row>
    <row r="86">
      <c r="A86" s="240">
        <v>85.0</v>
      </c>
      <c r="B86" s="240" t="s">
        <v>10121</v>
      </c>
      <c r="C86" s="241">
        <v>0.0195</v>
      </c>
      <c r="D86" s="241">
        <v>0.0033</v>
      </c>
      <c r="E86" s="240">
        <v>63.0</v>
      </c>
      <c r="F86" s="240" t="s">
        <v>10105</v>
      </c>
    </row>
    <row r="87">
      <c r="A87" s="240">
        <v>86.0</v>
      </c>
      <c r="B87" s="240" t="s">
        <v>2001</v>
      </c>
      <c r="C87" s="241">
        <v>0.0195</v>
      </c>
      <c r="D87" s="241">
        <v>0.0029</v>
      </c>
      <c r="E87" s="240">
        <v>49.0</v>
      </c>
      <c r="F87" s="240" t="s">
        <v>10122</v>
      </c>
    </row>
    <row r="88">
      <c r="A88" s="240">
        <v>87.0</v>
      </c>
      <c r="B88" s="240" t="s">
        <v>10123</v>
      </c>
      <c r="C88" s="241">
        <v>0.0195</v>
      </c>
      <c r="D88" s="241">
        <v>0.0028</v>
      </c>
      <c r="E88" s="240">
        <v>77.0</v>
      </c>
      <c r="F88" s="240" t="s">
        <v>10073</v>
      </c>
    </row>
    <row r="89">
      <c r="A89" s="240">
        <v>88.0</v>
      </c>
      <c r="B89" s="240" t="s">
        <v>10124</v>
      </c>
      <c r="C89" s="241">
        <v>0.0195</v>
      </c>
      <c r="D89" s="241">
        <v>0.0027</v>
      </c>
      <c r="E89" s="240">
        <v>61.0</v>
      </c>
      <c r="F89" s="240" t="s">
        <v>10065</v>
      </c>
    </row>
    <row r="90">
      <c r="A90" s="240">
        <v>89.0</v>
      </c>
      <c r="B90" s="240" t="s">
        <v>10125</v>
      </c>
      <c r="C90" s="241">
        <v>0.0195</v>
      </c>
      <c r="D90" s="241">
        <v>0.0021</v>
      </c>
      <c r="E90" s="240">
        <v>62.0</v>
      </c>
      <c r="F90" s="240" t="s">
        <v>10091</v>
      </c>
    </row>
    <row r="91">
      <c r="A91" s="240">
        <v>90.0</v>
      </c>
      <c r="B91" s="240" t="s">
        <v>7901</v>
      </c>
      <c r="C91" s="241">
        <v>0.0184</v>
      </c>
      <c r="D91" s="241">
        <v>0.0032</v>
      </c>
      <c r="E91" s="240">
        <v>68.0</v>
      </c>
      <c r="F91" s="240" t="s">
        <v>10091</v>
      </c>
    </row>
    <row r="92">
      <c r="A92" s="240">
        <v>91.0</v>
      </c>
      <c r="B92" s="240" t="s">
        <v>10126</v>
      </c>
      <c r="C92" s="241">
        <v>0.0184</v>
      </c>
      <c r="D92" s="241">
        <v>0.0029</v>
      </c>
      <c r="E92" s="240">
        <v>64.0</v>
      </c>
      <c r="F92" s="240" t="s">
        <v>10105</v>
      </c>
    </row>
    <row r="93">
      <c r="A93" s="240">
        <v>92.0</v>
      </c>
      <c r="B93" s="240" t="s">
        <v>7629</v>
      </c>
      <c r="C93" s="241">
        <v>0.0184</v>
      </c>
      <c r="D93" s="241">
        <v>0.0028</v>
      </c>
      <c r="E93" s="240">
        <v>67.0</v>
      </c>
      <c r="F93" s="240" t="s">
        <v>10093</v>
      </c>
    </row>
    <row r="94">
      <c r="A94" s="240">
        <v>93.0</v>
      </c>
      <c r="B94" s="240" t="s">
        <v>5756</v>
      </c>
      <c r="C94" s="241">
        <v>0.0184</v>
      </c>
      <c r="D94" s="241">
        <v>0.0028</v>
      </c>
      <c r="E94" s="240">
        <v>61.0</v>
      </c>
      <c r="F94" s="240" t="s">
        <v>10043</v>
      </c>
    </row>
    <row r="95">
      <c r="A95" s="240">
        <v>94.0</v>
      </c>
      <c r="B95" s="240" t="s">
        <v>2040</v>
      </c>
      <c r="C95" s="241">
        <v>0.0184</v>
      </c>
      <c r="D95" s="241">
        <v>0.0027</v>
      </c>
      <c r="E95" s="240">
        <v>70.0</v>
      </c>
      <c r="F95" s="240" t="s">
        <v>10075</v>
      </c>
    </row>
    <row r="96">
      <c r="A96" s="240">
        <v>95.0</v>
      </c>
      <c r="B96" s="240">
        <v>0.375</v>
      </c>
      <c r="C96" s="241">
        <v>0.0184</v>
      </c>
      <c r="D96" s="241">
        <v>0.0023</v>
      </c>
      <c r="E96" s="240">
        <v>65.0</v>
      </c>
      <c r="F96" s="240" t="s">
        <v>10105</v>
      </c>
    </row>
    <row r="97">
      <c r="A97" s="240">
        <v>96.0</v>
      </c>
      <c r="B97" s="240" t="s">
        <v>10127</v>
      </c>
      <c r="C97" s="241">
        <v>0.0184</v>
      </c>
      <c r="D97" s="241">
        <v>0.002</v>
      </c>
      <c r="E97" s="240">
        <v>65.0</v>
      </c>
      <c r="F97" s="240" t="s">
        <v>10128</v>
      </c>
    </row>
    <row r="98">
      <c r="A98" s="240">
        <v>97.0</v>
      </c>
      <c r="B98" s="240" t="s">
        <v>10129</v>
      </c>
      <c r="C98" s="241">
        <v>0.0172</v>
      </c>
      <c r="D98" s="241">
        <v>0.0027</v>
      </c>
      <c r="E98" s="240">
        <v>64.0</v>
      </c>
      <c r="F98" s="240" t="s">
        <v>10048</v>
      </c>
    </row>
    <row r="99">
      <c r="A99" s="240">
        <v>98.0</v>
      </c>
      <c r="B99" s="240" t="s">
        <v>10130</v>
      </c>
      <c r="C99" s="241">
        <v>0.0172</v>
      </c>
      <c r="D99" s="241">
        <v>0.0025</v>
      </c>
      <c r="E99" s="240">
        <v>56.0</v>
      </c>
      <c r="F99" s="240" t="s">
        <v>10059</v>
      </c>
    </row>
    <row r="100">
      <c r="A100" s="240">
        <v>99.0</v>
      </c>
      <c r="B100" s="240" t="s">
        <v>10131</v>
      </c>
      <c r="C100" s="241">
        <v>0.0172</v>
      </c>
      <c r="D100" s="241">
        <v>0.0021</v>
      </c>
      <c r="E100" s="240">
        <v>61.0</v>
      </c>
      <c r="F100" s="240" t="s">
        <v>10128</v>
      </c>
    </row>
    <row r="101">
      <c r="A101" s="240">
        <v>100.0</v>
      </c>
      <c r="B101" s="240" t="s">
        <v>7201</v>
      </c>
      <c r="C101" s="241">
        <v>0.0172</v>
      </c>
      <c r="D101" s="241">
        <v>0.002</v>
      </c>
      <c r="E101" s="240">
        <v>74.0</v>
      </c>
      <c r="F101" s="240" t="s">
        <v>10091</v>
      </c>
    </row>
    <row r="102">
      <c r="A102" s="240">
        <v>101.0</v>
      </c>
      <c r="B102" s="240" t="s">
        <v>10132</v>
      </c>
      <c r="C102" s="241">
        <v>0.0161</v>
      </c>
      <c r="D102" s="241">
        <v>0.004</v>
      </c>
      <c r="E102" s="240">
        <v>61.0</v>
      </c>
      <c r="F102" s="240" t="s">
        <v>10057</v>
      </c>
    </row>
    <row r="103">
      <c r="A103" s="240">
        <v>102.0</v>
      </c>
      <c r="B103" s="240" t="s">
        <v>10133</v>
      </c>
      <c r="C103" s="241">
        <v>0.0161</v>
      </c>
      <c r="D103" s="241">
        <v>0.0035</v>
      </c>
      <c r="E103" s="240">
        <v>70.0</v>
      </c>
      <c r="F103" s="240" t="s">
        <v>10054</v>
      </c>
    </row>
    <row r="104">
      <c r="A104" s="240">
        <v>103.0</v>
      </c>
      <c r="B104" s="240" t="s">
        <v>1225</v>
      </c>
      <c r="C104" s="241">
        <v>0.0161</v>
      </c>
      <c r="D104" s="241">
        <v>0.003</v>
      </c>
      <c r="E104" s="240">
        <v>70.0</v>
      </c>
      <c r="F104" s="240" t="s">
        <v>10134</v>
      </c>
    </row>
    <row r="105">
      <c r="A105" s="240">
        <v>104.0</v>
      </c>
      <c r="B105" s="240" t="s">
        <v>7484</v>
      </c>
      <c r="C105" s="241">
        <v>0.0161</v>
      </c>
      <c r="D105" s="241">
        <v>0.0028</v>
      </c>
      <c r="E105" s="240">
        <v>50.0</v>
      </c>
      <c r="F105" s="240" t="s">
        <v>10091</v>
      </c>
    </row>
    <row r="106">
      <c r="A106" s="240">
        <v>105.0</v>
      </c>
      <c r="B106" s="240" t="s">
        <v>10135</v>
      </c>
      <c r="C106" s="241">
        <v>0.0161</v>
      </c>
      <c r="D106" s="241">
        <v>0.0025</v>
      </c>
      <c r="E106" s="240">
        <v>60.0</v>
      </c>
      <c r="F106" s="240" t="s">
        <v>10042</v>
      </c>
    </row>
    <row r="107">
      <c r="A107" s="240">
        <v>106.0</v>
      </c>
      <c r="B107" s="240" t="s">
        <v>1029</v>
      </c>
      <c r="C107" s="241">
        <v>0.0161</v>
      </c>
      <c r="D107" s="241">
        <v>0.002</v>
      </c>
      <c r="E107" s="240">
        <v>54.0</v>
      </c>
      <c r="F107" s="240" t="s">
        <v>10083</v>
      </c>
    </row>
    <row r="108">
      <c r="A108" s="240">
        <v>107.0</v>
      </c>
      <c r="B108" s="240" t="s">
        <v>3836</v>
      </c>
      <c r="C108" s="241">
        <v>0.0149</v>
      </c>
      <c r="D108" s="241">
        <v>0.0042</v>
      </c>
      <c r="E108" s="240">
        <v>55.0</v>
      </c>
      <c r="F108" s="240" t="s">
        <v>10049</v>
      </c>
    </row>
    <row r="109">
      <c r="A109" s="240">
        <v>108.0</v>
      </c>
      <c r="B109" s="240" t="s">
        <v>7467</v>
      </c>
      <c r="C109" s="241">
        <v>0.0149</v>
      </c>
      <c r="D109" s="241">
        <v>0.0039</v>
      </c>
      <c r="E109" s="240">
        <v>58.0</v>
      </c>
      <c r="F109" s="240" t="s">
        <v>10112</v>
      </c>
    </row>
    <row r="110">
      <c r="A110" s="240">
        <v>109.0</v>
      </c>
      <c r="B110" s="240" t="s">
        <v>2778</v>
      </c>
      <c r="C110" s="241">
        <v>0.0138</v>
      </c>
      <c r="D110" s="241">
        <v>0.0021</v>
      </c>
      <c r="E110" s="240">
        <v>61.0</v>
      </c>
      <c r="F110" s="240" t="s">
        <v>10057</v>
      </c>
    </row>
    <row r="111">
      <c r="A111" s="240">
        <v>110.0</v>
      </c>
      <c r="B111" s="240" t="s">
        <v>10136</v>
      </c>
      <c r="C111" s="241">
        <v>0.0126</v>
      </c>
      <c r="D111" s="241">
        <v>0.0023</v>
      </c>
      <c r="E111" s="240">
        <v>57.0</v>
      </c>
      <c r="F111" s="240" t="s">
        <v>10137</v>
      </c>
    </row>
    <row r="112">
      <c r="A112" s="240">
        <v>111.0</v>
      </c>
      <c r="B112" s="240" t="s">
        <v>10138</v>
      </c>
      <c r="C112" s="241">
        <v>0.0126</v>
      </c>
      <c r="D112" s="241">
        <v>0.0019</v>
      </c>
      <c r="E112" s="240">
        <v>52.0</v>
      </c>
      <c r="F112" s="240" t="s">
        <v>10139</v>
      </c>
    </row>
    <row r="113">
      <c r="A113" s="240">
        <v>112.0</v>
      </c>
      <c r="B113" s="240" t="s">
        <v>2418</v>
      </c>
      <c r="C113" s="241">
        <v>0.0126</v>
      </c>
      <c r="D113" s="241">
        <v>0.0019</v>
      </c>
      <c r="E113" s="240">
        <v>58.0</v>
      </c>
      <c r="F113" s="240" t="s">
        <v>10137</v>
      </c>
    </row>
    <row r="114">
      <c r="A114" s="240">
        <v>113.0</v>
      </c>
      <c r="B114" s="240" t="s">
        <v>1039</v>
      </c>
      <c r="C114" s="241">
        <v>0.0115</v>
      </c>
      <c r="D114" s="241">
        <v>0.002</v>
      </c>
      <c r="E114" s="240">
        <v>56.0</v>
      </c>
      <c r="F114" s="240" t="s">
        <v>10140</v>
      </c>
    </row>
    <row r="115">
      <c r="A115" s="240">
        <v>114.0</v>
      </c>
      <c r="B115" s="240" t="s">
        <v>1046</v>
      </c>
      <c r="C115" s="241">
        <v>0.0115</v>
      </c>
      <c r="D115" s="241">
        <v>0.0016</v>
      </c>
      <c r="E115" s="240">
        <v>57.0</v>
      </c>
      <c r="F115" s="240" t="s">
        <v>10137</v>
      </c>
    </row>
    <row r="116">
      <c r="A116" s="240">
        <v>115.0</v>
      </c>
      <c r="B116" s="240" t="s">
        <v>10141</v>
      </c>
      <c r="C116" s="241">
        <v>0.0103</v>
      </c>
      <c r="D116" s="241">
        <v>0.0037</v>
      </c>
      <c r="E116" s="240">
        <v>55.0</v>
      </c>
      <c r="F116" s="240" t="s">
        <v>10081</v>
      </c>
    </row>
    <row r="117">
      <c r="A117" s="240">
        <v>116.0</v>
      </c>
      <c r="B117" s="240" t="s">
        <v>10142</v>
      </c>
      <c r="C117" s="241">
        <v>0.0103</v>
      </c>
      <c r="D117" s="241">
        <v>0.0025</v>
      </c>
      <c r="E117" s="240">
        <v>55.0</v>
      </c>
      <c r="F117" s="240" t="s">
        <v>10143</v>
      </c>
    </row>
    <row r="118">
      <c r="A118" s="240">
        <v>117.0</v>
      </c>
      <c r="B118" s="240" t="s">
        <v>348</v>
      </c>
      <c r="C118" s="241">
        <v>0.0103</v>
      </c>
      <c r="D118" s="241">
        <v>0.0014</v>
      </c>
      <c r="E118" s="240">
        <v>70.0</v>
      </c>
      <c r="F118" s="240" t="s">
        <v>10073</v>
      </c>
    </row>
    <row r="119">
      <c r="A119" s="240">
        <v>118.0</v>
      </c>
      <c r="B119" s="240" t="s">
        <v>8553</v>
      </c>
      <c r="C119" s="241">
        <v>0.0103</v>
      </c>
      <c r="D119" s="241">
        <v>0.0013</v>
      </c>
      <c r="E119" s="240">
        <v>67.0</v>
      </c>
      <c r="F119" s="240" t="s">
        <v>10144</v>
      </c>
    </row>
    <row r="120">
      <c r="A120" s="240">
        <v>119.0</v>
      </c>
      <c r="B120" s="240" t="s">
        <v>10145</v>
      </c>
      <c r="C120" s="241">
        <v>0.0092</v>
      </c>
      <c r="D120" s="241">
        <v>0.001</v>
      </c>
      <c r="E120" s="240">
        <v>66.0</v>
      </c>
      <c r="F120" s="240" t="s">
        <v>10081</v>
      </c>
    </row>
    <row r="121">
      <c r="A121" s="240">
        <v>120.0</v>
      </c>
      <c r="B121" s="240" t="s">
        <v>10146</v>
      </c>
      <c r="C121" s="241">
        <v>0.0092</v>
      </c>
      <c r="D121" s="241">
        <v>0.001</v>
      </c>
      <c r="E121" s="240">
        <v>55.0</v>
      </c>
      <c r="F121" s="240" t="s">
        <v>10147</v>
      </c>
    </row>
    <row r="122">
      <c r="A122" s="240">
        <v>121.0</v>
      </c>
      <c r="B122" s="240" t="s">
        <v>10148</v>
      </c>
      <c r="C122" s="241">
        <v>0.008</v>
      </c>
      <c r="D122" s="241">
        <v>0.0014</v>
      </c>
      <c r="E122" s="240">
        <v>54.0</v>
      </c>
      <c r="F122" s="240" t="s">
        <v>10053</v>
      </c>
    </row>
    <row r="123">
      <c r="A123" s="240">
        <v>122.0</v>
      </c>
      <c r="B123" s="240" t="s">
        <v>10149</v>
      </c>
      <c r="C123" s="241">
        <v>0.008</v>
      </c>
      <c r="D123" s="241">
        <v>0.001</v>
      </c>
      <c r="E123" s="240">
        <v>73.0</v>
      </c>
      <c r="F123" s="240" t="s">
        <v>10044</v>
      </c>
    </row>
    <row r="124">
      <c r="A124" s="240">
        <v>123.0</v>
      </c>
      <c r="B124" s="240" t="s">
        <v>1055</v>
      </c>
      <c r="C124" s="241">
        <v>0.0069</v>
      </c>
      <c r="D124" s="241">
        <v>0.0015</v>
      </c>
      <c r="E124" s="240">
        <v>57.0</v>
      </c>
      <c r="F124" s="240" t="s">
        <v>10140</v>
      </c>
    </row>
    <row r="125">
      <c r="A125" s="240">
        <v>124.0</v>
      </c>
      <c r="B125" s="240" t="s">
        <v>1274</v>
      </c>
      <c r="C125" s="241">
        <v>0.0069</v>
      </c>
      <c r="D125" s="241">
        <v>9.0E-4</v>
      </c>
      <c r="E125" s="240">
        <v>84.0</v>
      </c>
      <c r="F125" s="240" t="s">
        <v>10150</v>
      </c>
    </row>
    <row r="126">
      <c r="A126" s="240">
        <v>125.0</v>
      </c>
      <c r="B126" s="240" t="s">
        <v>376</v>
      </c>
      <c r="C126" s="241">
        <v>0.0069</v>
      </c>
      <c r="D126" s="241">
        <v>9.0E-4</v>
      </c>
      <c r="E126" s="240">
        <v>70.0</v>
      </c>
      <c r="F126" s="240" t="s">
        <v>10050</v>
      </c>
    </row>
    <row r="127">
      <c r="A127" s="240">
        <v>126.0</v>
      </c>
      <c r="B127" s="240" t="s">
        <v>1087</v>
      </c>
      <c r="C127" s="241">
        <v>0.0069</v>
      </c>
      <c r="D127" s="241">
        <v>9.0E-4</v>
      </c>
      <c r="E127" s="240">
        <v>69.0</v>
      </c>
      <c r="F127" s="240" t="s">
        <v>10056</v>
      </c>
    </row>
    <row r="128">
      <c r="A128" s="240">
        <v>127.0</v>
      </c>
      <c r="B128" s="240" t="s">
        <v>3556</v>
      </c>
      <c r="C128" s="241">
        <v>0.0057</v>
      </c>
      <c r="D128" s="241">
        <v>0.0016</v>
      </c>
      <c r="E128" s="240">
        <v>53.0</v>
      </c>
      <c r="F128" s="240" t="s">
        <v>10134</v>
      </c>
    </row>
    <row r="129">
      <c r="A129" s="240">
        <v>128.0</v>
      </c>
      <c r="B129" s="240" t="s">
        <v>1064</v>
      </c>
      <c r="C129" s="241">
        <v>0.0057</v>
      </c>
      <c r="D129" s="241">
        <v>0.0016</v>
      </c>
      <c r="E129" s="240">
        <v>54.0</v>
      </c>
      <c r="F129" s="240" t="s">
        <v>10139</v>
      </c>
    </row>
    <row r="130">
      <c r="A130" s="240">
        <v>129.0</v>
      </c>
      <c r="B130" s="240" t="s">
        <v>1072</v>
      </c>
      <c r="C130" s="241">
        <v>0.0057</v>
      </c>
      <c r="D130" s="241">
        <v>0.0011</v>
      </c>
      <c r="E130" s="240">
        <v>64.0</v>
      </c>
      <c r="F130" s="240" t="s">
        <v>10151</v>
      </c>
    </row>
    <row r="131">
      <c r="A131" s="240">
        <v>130.0</v>
      </c>
      <c r="B131" s="240" t="s">
        <v>10152</v>
      </c>
      <c r="C131" s="241">
        <v>0.0057</v>
      </c>
      <c r="D131" s="241">
        <v>6.0E-4</v>
      </c>
      <c r="E131" s="240">
        <v>73.0</v>
      </c>
      <c r="F131" s="240" t="s">
        <v>10049</v>
      </c>
    </row>
    <row r="132">
      <c r="A132" s="240">
        <v>131.0</v>
      </c>
      <c r="B132" s="240" t="s">
        <v>1078</v>
      </c>
      <c r="C132" s="241">
        <v>0.0046</v>
      </c>
      <c r="D132" s="241">
        <v>0.0011</v>
      </c>
      <c r="E132" s="240">
        <v>50.0</v>
      </c>
      <c r="F132" s="240" t="s">
        <v>10153</v>
      </c>
    </row>
    <row r="133">
      <c r="A133" s="240">
        <v>132.0</v>
      </c>
      <c r="B133" s="240" t="s">
        <v>1003</v>
      </c>
      <c r="C133" s="241">
        <v>0.0046</v>
      </c>
      <c r="D133" s="241">
        <v>0.001</v>
      </c>
      <c r="E133" s="240">
        <v>73.0</v>
      </c>
      <c r="F133" s="240" t="s">
        <v>10154</v>
      </c>
    </row>
    <row r="134">
      <c r="A134" s="240">
        <v>133.0</v>
      </c>
      <c r="B134" s="240" t="s">
        <v>1297</v>
      </c>
      <c r="C134" s="241">
        <v>0.0046</v>
      </c>
      <c r="D134" s="241">
        <v>8.0E-4</v>
      </c>
      <c r="E134" s="240">
        <v>59.0</v>
      </c>
      <c r="F134" s="240" t="s">
        <v>10043</v>
      </c>
    </row>
    <row r="135">
      <c r="A135" s="240">
        <v>134.0</v>
      </c>
      <c r="B135" s="240" t="s">
        <v>1201</v>
      </c>
      <c r="C135" s="241">
        <v>0.0046</v>
      </c>
      <c r="D135" s="241">
        <v>5.0E-4</v>
      </c>
      <c r="E135" s="240">
        <v>71.0</v>
      </c>
      <c r="F135" s="240" t="s">
        <v>10134</v>
      </c>
    </row>
    <row r="136">
      <c r="A136" s="240">
        <v>135.0</v>
      </c>
      <c r="B136" s="240" t="s">
        <v>1319</v>
      </c>
      <c r="C136" s="241">
        <v>0.0034</v>
      </c>
      <c r="D136" s="241">
        <v>5.0E-4</v>
      </c>
      <c r="E136" s="240">
        <v>65.0</v>
      </c>
      <c r="F136" s="240" t="s">
        <v>10055</v>
      </c>
    </row>
    <row r="137">
      <c r="A137" s="240">
        <v>136.0</v>
      </c>
      <c r="B137" s="240" t="s">
        <v>10155</v>
      </c>
      <c r="C137" s="241">
        <v>0.0034</v>
      </c>
      <c r="D137" s="241">
        <v>4.0E-4</v>
      </c>
      <c r="E137" s="240">
        <v>71.0</v>
      </c>
      <c r="F137" s="240" t="s">
        <v>10156</v>
      </c>
    </row>
    <row r="138">
      <c r="A138" s="240">
        <v>137.0</v>
      </c>
      <c r="B138" s="240" t="s">
        <v>1091</v>
      </c>
      <c r="C138" s="241">
        <v>0.0034</v>
      </c>
      <c r="D138" s="241">
        <v>4.0E-4</v>
      </c>
      <c r="E138" s="240">
        <v>63.0</v>
      </c>
      <c r="F138" s="240" t="s">
        <v>10140</v>
      </c>
    </row>
    <row r="139">
      <c r="A139" s="240">
        <v>138.0</v>
      </c>
      <c r="B139" s="240" t="s">
        <v>8195</v>
      </c>
      <c r="C139" s="241">
        <v>0.0034</v>
      </c>
      <c r="D139" s="241">
        <v>4.0E-4</v>
      </c>
      <c r="E139" s="240">
        <v>50.0</v>
      </c>
      <c r="F139" s="240" t="s">
        <v>10157</v>
      </c>
    </row>
    <row r="140">
      <c r="A140" s="240">
        <v>139.0</v>
      </c>
      <c r="B140" s="240" t="s">
        <v>4725</v>
      </c>
      <c r="C140" s="241">
        <v>0.0023</v>
      </c>
      <c r="D140" s="241">
        <v>3.0E-4</v>
      </c>
      <c r="E140" s="240">
        <v>69.0</v>
      </c>
      <c r="F140" s="240" t="s">
        <v>10045</v>
      </c>
    </row>
    <row r="141">
      <c r="A141" s="240">
        <v>140.0</v>
      </c>
      <c r="B141" s="240" t="s">
        <v>1252</v>
      </c>
      <c r="C141" s="241">
        <v>0.0023</v>
      </c>
      <c r="D141" s="241">
        <v>3.0E-4</v>
      </c>
      <c r="E141" s="240">
        <v>74.0</v>
      </c>
      <c r="F141" s="240" t="s">
        <v>10083</v>
      </c>
    </row>
    <row r="142">
      <c r="A142" s="240">
        <v>141.0</v>
      </c>
      <c r="B142" s="240" t="s">
        <v>10158</v>
      </c>
      <c r="C142" s="241">
        <v>0.0023</v>
      </c>
      <c r="D142" s="241">
        <v>3.0E-4</v>
      </c>
      <c r="E142" s="240">
        <v>75.0</v>
      </c>
      <c r="F142" s="240" t="s">
        <v>10049</v>
      </c>
    </row>
    <row r="143">
      <c r="A143" s="240">
        <v>142.0</v>
      </c>
      <c r="B143" s="240" t="s">
        <v>1217</v>
      </c>
      <c r="C143" s="241">
        <v>0.0023</v>
      </c>
      <c r="D143" s="241">
        <v>3.0E-4</v>
      </c>
      <c r="E143" s="240">
        <v>77.0</v>
      </c>
      <c r="F143" s="240" t="s">
        <v>10140</v>
      </c>
    </row>
    <row r="144">
      <c r="A144" s="240">
        <v>143.0</v>
      </c>
      <c r="B144" s="240" t="s">
        <v>1101</v>
      </c>
      <c r="C144" s="241">
        <v>0.0023</v>
      </c>
      <c r="D144" s="241">
        <v>3.0E-4</v>
      </c>
      <c r="E144" s="240">
        <v>54.0</v>
      </c>
      <c r="F144" s="240" t="s">
        <v>10159</v>
      </c>
    </row>
    <row r="145">
      <c r="A145" s="240">
        <v>144.0</v>
      </c>
      <c r="B145" s="240" t="s">
        <v>10160</v>
      </c>
      <c r="C145" s="241">
        <v>0.0011</v>
      </c>
      <c r="D145" s="241">
        <v>1.0E-4</v>
      </c>
      <c r="E145" s="240">
        <v>76.0</v>
      </c>
      <c r="F145" s="240" t="s">
        <v>10134</v>
      </c>
    </row>
    <row r="146">
      <c r="A146" s="240">
        <v>145.0</v>
      </c>
      <c r="B146" s="240" t="s">
        <v>2885</v>
      </c>
      <c r="C146" s="241">
        <v>0.0011</v>
      </c>
      <c r="D146" s="241">
        <v>1.0E-4</v>
      </c>
      <c r="E146" s="240">
        <v>64.0</v>
      </c>
      <c r="F146" s="240" t="s">
        <v>10161</v>
      </c>
    </row>
    <row r="147">
      <c r="A147" s="240">
        <v>146.0</v>
      </c>
      <c r="B147" s="240" t="s">
        <v>1110</v>
      </c>
      <c r="C147" s="241">
        <v>0.0011</v>
      </c>
      <c r="D147" s="241">
        <v>1.0E-4</v>
      </c>
      <c r="E147" s="240"/>
      <c r="F147" s="240"/>
    </row>
    <row r="148">
      <c r="A148" s="240">
        <v>147.0</v>
      </c>
      <c r="B148" s="240" t="s">
        <v>1120</v>
      </c>
      <c r="C148" s="241">
        <v>0.0</v>
      </c>
      <c r="D148" s="241">
        <v>0.0</v>
      </c>
      <c r="E148" s="240"/>
      <c r="F148" s="240"/>
    </row>
    <row r="149">
      <c r="A149" s="240">
        <v>148.0</v>
      </c>
      <c r="B149" s="240" t="s">
        <v>1130</v>
      </c>
      <c r="C149" s="241">
        <v>0.0</v>
      </c>
      <c r="D149" s="241">
        <v>0.0</v>
      </c>
      <c r="E149" s="240"/>
      <c r="F149" s="240"/>
    </row>
    <row r="150">
      <c r="A150" s="240">
        <v>149.0</v>
      </c>
      <c r="B150" s="240" t="s">
        <v>1138</v>
      </c>
      <c r="C150" s="241">
        <v>0.0</v>
      </c>
      <c r="D150" s="241">
        <v>0.0</v>
      </c>
      <c r="E150" s="240"/>
      <c r="F150" s="240"/>
    </row>
    <row r="151">
      <c r="A151" s="240">
        <v>150.0</v>
      </c>
      <c r="B151" s="240" t="s">
        <v>1147</v>
      </c>
      <c r="C151" s="241">
        <v>0.0</v>
      </c>
      <c r="D151" s="241">
        <v>0.0</v>
      </c>
      <c r="E151" s="240"/>
      <c r="F151" s="240"/>
    </row>
    <row r="152">
      <c r="A152" s="240">
        <v>151.0</v>
      </c>
      <c r="B152" s="240" t="s">
        <v>1153</v>
      </c>
      <c r="C152" s="241">
        <v>0.0</v>
      </c>
      <c r="D152" s="241">
        <v>0.0</v>
      </c>
      <c r="E152" s="240"/>
      <c r="F152"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11"/>
    <col customWidth="1" min="2" max="2" width="23.22"/>
  </cols>
  <sheetData>
    <row r="1">
      <c r="A1" s="239" t="s">
        <v>10036</v>
      </c>
      <c r="B1" s="239" t="s">
        <v>44</v>
      </c>
      <c r="C1" s="239" t="s">
        <v>10037</v>
      </c>
      <c r="D1" s="239" t="s">
        <v>10038</v>
      </c>
      <c r="E1" s="239" t="s">
        <v>10039</v>
      </c>
      <c r="F1" s="239" t="s">
        <v>10040</v>
      </c>
    </row>
    <row r="2">
      <c r="A2" s="240">
        <v>1.0</v>
      </c>
      <c r="B2" s="240" t="s">
        <v>1072</v>
      </c>
      <c r="C2" s="241">
        <v>0.2824</v>
      </c>
      <c r="D2" s="241">
        <v>0.0518</v>
      </c>
      <c r="E2" s="240">
        <v>62.0</v>
      </c>
      <c r="F2" s="240" t="s">
        <v>10134</v>
      </c>
    </row>
    <row r="3">
      <c r="A3" s="240">
        <v>2.0</v>
      </c>
      <c r="B3" s="240" t="s">
        <v>1201</v>
      </c>
      <c r="C3" s="241">
        <v>0.2285</v>
      </c>
      <c r="D3" s="241">
        <v>0.0282</v>
      </c>
      <c r="E3" s="240">
        <v>47.0</v>
      </c>
      <c r="F3" s="240" t="s">
        <v>10059</v>
      </c>
    </row>
    <row r="4">
      <c r="A4" s="240">
        <v>3.0</v>
      </c>
      <c r="B4" s="240" t="s">
        <v>1087</v>
      </c>
      <c r="C4" s="241">
        <v>0.2204</v>
      </c>
      <c r="D4" s="241">
        <v>0.0297</v>
      </c>
      <c r="E4" s="240">
        <v>63.0</v>
      </c>
      <c r="F4" s="240" t="s">
        <v>10056</v>
      </c>
    </row>
    <row r="5">
      <c r="A5" s="240">
        <v>4.0</v>
      </c>
      <c r="B5" s="240" t="s">
        <v>1217</v>
      </c>
      <c r="C5" s="241">
        <v>0.1952</v>
      </c>
      <c r="D5" s="241">
        <v>0.0301</v>
      </c>
      <c r="E5" s="240">
        <v>66.0</v>
      </c>
      <c r="F5" s="240" t="s">
        <v>10099</v>
      </c>
    </row>
    <row r="6">
      <c r="A6" s="240">
        <v>5.0</v>
      </c>
      <c r="B6" s="240" t="s">
        <v>1225</v>
      </c>
      <c r="C6" s="241">
        <v>0.1894</v>
      </c>
      <c r="D6" s="241">
        <v>0.0268</v>
      </c>
      <c r="E6" s="240">
        <v>56.0</v>
      </c>
      <c r="F6" s="240" t="s">
        <v>10044</v>
      </c>
    </row>
    <row r="7">
      <c r="A7" s="240">
        <v>6.0</v>
      </c>
      <c r="B7" s="240" t="s">
        <v>1232</v>
      </c>
      <c r="C7" s="241">
        <v>0.1745</v>
      </c>
      <c r="D7" s="241">
        <v>0.0254</v>
      </c>
      <c r="E7" s="240">
        <v>60.0</v>
      </c>
      <c r="F7" s="240" t="s">
        <v>10112</v>
      </c>
    </row>
    <row r="8">
      <c r="A8" s="240">
        <v>7.0</v>
      </c>
      <c r="B8" s="240" t="s">
        <v>1091</v>
      </c>
      <c r="C8" s="241">
        <v>0.1504</v>
      </c>
      <c r="D8" s="241">
        <v>0.0258</v>
      </c>
      <c r="E8" s="240">
        <v>64.0</v>
      </c>
      <c r="F8" s="240" t="s">
        <v>10059</v>
      </c>
    </row>
    <row r="9">
      <c r="A9" s="240">
        <v>8.0</v>
      </c>
      <c r="B9" s="240" t="s">
        <v>1246</v>
      </c>
      <c r="C9" s="241">
        <v>0.1481</v>
      </c>
      <c r="D9" s="241">
        <v>0.0206</v>
      </c>
      <c r="E9" s="240">
        <v>64.0</v>
      </c>
      <c r="F9" s="240" t="s">
        <v>10162</v>
      </c>
    </row>
    <row r="10">
      <c r="A10" s="240">
        <v>9.0</v>
      </c>
      <c r="B10" s="240" t="s">
        <v>254</v>
      </c>
      <c r="C10" s="241">
        <v>0.1366</v>
      </c>
      <c r="D10" s="241">
        <v>0.0135</v>
      </c>
      <c r="E10" s="240">
        <v>65.0</v>
      </c>
      <c r="F10" s="240" t="s">
        <v>10163</v>
      </c>
    </row>
    <row r="11">
      <c r="A11" s="240">
        <v>10.0</v>
      </c>
      <c r="B11" s="240" t="s">
        <v>1259</v>
      </c>
      <c r="C11" s="241">
        <v>0.1355</v>
      </c>
      <c r="D11" s="241">
        <v>0.0222</v>
      </c>
      <c r="E11" s="240">
        <v>61.0</v>
      </c>
      <c r="F11" s="240" t="s">
        <v>10075</v>
      </c>
    </row>
    <row r="12">
      <c r="A12" s="240">
        <v>11.0</v>
      </c>
      <c r="B12" s="240" t="s">
        <v>883</v>
      </c>
      <c r="C12" s="241">
        <v>0.1309</v>
      </c>
      <c r="D12" s="241">
        <v>0.016</v>
      </c>
      <c r="E12" s="240">
        <v>71.0</v>
      </c>
      <c r="F12" s="240" t="s">
        <v>10041</v>
      </c>
    </row>
    <row r="13">
      <c r="A13" s="240">
        <v>12.0</v>
      </c>
      <c r="B13" s="240" t="s">
        <v>1274</v>
      </c>
      <c r="C13" s="241">
        <v>0.1297</v>
      </c>
      <c r="D13" s="241">
        <v>0.0178</v>
      </c>
      <c r="E13" s="240">
        <v>64.0</v>
      </c>
      <c r="F13" s="240" t="s">
        <v>10164</v>
      </c>
    </row>
    <row r="14">
      <c r="A14" s="240">
        <v>13.0</v>
      </c>
      <c r="B14" s="240" t="s">
        <v>1282</v>
      </c>
      <c r="C14" s="241">
        <v>0.1263</v>
      </c>
      <c r="D14" s="241">
        <v>0.0213</v>
      </c>
      <c r="E14" s="240">
        <v>65.0</v>
      </c>
      <c r="F14" s="240" t="s">
        <v>10044</v>
      </c>
    </row>
    <row r="15">
      <c r="A15" s="240">
        <v>14.0</v>
      </c>
      <c r="B15" s="240" t="s">
        <v>1264</v>
      </c>
      <c r="C15" s="241">
        <v>0.124</v>
      </c>
      <c r="D15" s="241">
        <v>0.0182</v>
      </c>
      <c r="E15" s="240">
        <v>61.0</v>
      </c>
      <c r="F15" s="240" t="s">
        <v>10139</v>
      </c>
    </row>
    <row r="16">
      <c r="A16" s="240">
        <v>15.0</v>
      </c>
      <c r="B16" s="240" t="s">
        <v>1297</v>
      </c>
      <c r="C16" s="241">
        <v>0.1137</v>
      </c>
      <c r="D16" s="241">
        <v>0.015</v>
      </c>
      <c r="E16" s="240">
        <v>63.0</v>
      </c>
      <c r="F16" s="240" t="s">
        <v>10050</v>
      </c>
    </row>
    <row r="17">
      <c r="A17" s="240">
        <v>16.0</v>
      </c>
      <c r="B17" s="240" t="s">
        <v>1252</v>
      </c>
      <c r="C17" s="241">
        <v>0.1125</v>
      </c>
      <c r="D17" s="241">
        <v>0.0151</v>
      </c>
      <c r="E17" s="240">
        <v>62.0</v>
      </c>
      <c r="F17" s="240" t="s">
        <v>10054</v>
      </c>
    </row>
    <row r="18">
      <c r="A18" s="240">
        <v>17.0</v>
      </c>
      <c r="B18" s="240" t="s">
        <v>1021</v>
      </c>
      <c r="C18" s="241">
        <v>0.1102</v>
      </c>
      <c r="D18" s="241">
        <v>0.0179</v>
      </c>
      <c r="E18" s="240">
        <v>58.0</v>
      </c>
      <c r="F18" s="240" t="s">
        <v>10046</v>
      </c>
    </row>
    <row r="19">
      <c r="A19" s="240">
        <v>18.0</v>
      </c>
      <c r="B19" s="240" t="s">
        <v>992</v>
      </c>
      <c r="C19" s="241">
        <v>0.1091</v>
      </c>
      <c r="D19" s="241">
        <v>0.0212</v>
      </c>
      <c r="E19" s="240">
        <v>58.0</v>
      </c>
      <c r="F19" s="240" t="s">
        <v>10046</v>
      </c>
    </row>
    <row r="20">
      <c r="A20" s="240">
        <v>19.0</v>
      </c>
      <c r="B20" s="240" t="s">
        <v>1319</v>
      </c>
      <c r="C20" s="241">
        <v>0.1045</v>
      </c>
      <c r="D20" s="241">
        <v>0.0142</v>
      </c>
      <c r="E20" s="240">
        <v>58.0</v>
      </c>
      <c r="F20" s="240" t="s">
        <v>10112</v>
      </c>
    </row>
    <row r="21">
      <c r="A21" s="240">
        <v>20.0</v>
      </c>
      <c r="B21" s="240" t="s">
        <v>1327</v>
      </c>
      <c r="C21" s="241">
        <v>0.1022</v>
      </c>
      <c r="D21" s="241">
        <v>0.0123</v>
      </c>
      <c r="E21" s="240">
        <v>65.0</v>
      </c>
      <c r="F21" s="240" t="s">
        <v>10105</v>
      </c>
    </row>
    <row r="22">
      <c r="A22" s="240">
        <v>21.0</v>
      </c>
      <c r="B22" s="240" t="s">
        <v>380</v>
      </c>
      <c r="C22" s="241">
        <v>0.0964</v>
      </c>
      <c r="D22" s="241">
        <v>0.0211</v>
      </c>
      <c r="E22" s="240">
        <v>58.0</v>
      </c>
      <c r="F22" s="240" t="s">
        <v>10052</v>
      </c>
    </row>
    <row r="23">
      <c r="A23" s="240">
        <v>22.0</v>
      </c>
      <c r="B23" s="240" t="s">
        <v>1342</v>
      </c>
      <c r="C23" s="241">
        <v>0.0804</v>
      </c>
      <c r="D23" s="241">
        <v>0.0113</v>
      </c>
      <c r="E23" s="240">
        <v>68.0</v>
      </c>
      <c r="F23" s="240" t="s">
        <v>10049</v>
      </c>
    </row>
    <row r="24">
      <c r="A24" s="240">
        <v>23.0</v>
      </c>
      <c r="B24" s="240" t="s">
        <v>912</v>
      </c>
      <c r="C24" s="241">
        <v>0.0792</v>
      </c>
      <c r="D24" s="241">
        <v>0.0095</v>
      </c>
      <c r="E24" s="240">
        <v>61.0</v>
      </c>
      <c r="F24" s="240" t="s">
        <v>10065</v>
      </c>
    </row>
    <row r="25">
      <c r="A25" s="240">
        <v>24.0</v>
      </c>
      <c r="B25" s="240" t="s">
        <v>760</v>
      </c>
      <c r="C25" s="241">
        <v>0.0769</v>
      </c>
      <c r="D25" s="241">
        <v>0.0143</v>
      </c>
      <c r="E25" s="240">
        <v>56.0</v>
      </c>
      <c r="F25" s="240" t="s">
        <v>10112</v>
      </c>
    </row>
    <row r="26">
      <c r="A26" s="240">
        <v>25.0</v>
      </c>
      <c r="B26" s="240" t="s">
        <v>1366</v>
      </c>
      <c r="C26" s="241">
        <v>0.0735</v>
      </c>
      <c r="D26" s="241">
        <v>0.0117</v>
      </c>
      <c r="E26" s="240">
        <v>62.0</v>
      </c>
      <c r="F26" s="240" t="s">
        <v>10059</v>
      </c>
    </row>
    <row r="27">
      <c r="A27" s="240">
        <v>26.0</v>
      </c>
      <c r="B27" s="240" t="s">
        <v>2001</v>
      </c>
      <c r="C27" s="241">
        <v>0.0735</v>
      </c>
      <c r="D27" s="241">
        <v>0.0097</v>
      </c>
      <c r="E27" s="240">
        <v>58.0</v>
      </c>
      <c r="F27" s="240" t="s">
        <v>10104</v>
      </c>
    </row>
    <row r="28">
      <c r="A28" s="240">
        <v>27.0</v>
      </c>
      <c r="B28" s="240" t="s">
        <v>10165</v>
      </c>
      <c r="C28" s="241">
        <v>0.07</v>
      </c>
      <c r="D28" s="241">
        <v>0.0112</v>
      </c>
      <c r="E28" s="240">
        <v>63.0</v>
      </c>
      <c r="F28" s="240" t="s">
        <v>10052</v>
      </c>
    </row>
    <row r="29">
      <c r="A29" s="240">
        <v>28.0</v>
      </c>
      <c r="B29" s="240" t="s">
        <v>7201</v>
      </c>
      <c r="C29" s="241">
        <v>0.07</v>
      </c>
      <c r="D29" s="241">
        <v>0.008</v>
      </c>
      <c r="E29" s="240">
        <v>70.0</v>
      </c>
      <c r="F29" s="240" t="s">
        <v>10073</v>
      </c>
    </row>
    <row r="30">
      <c r="A30" s="240">
        <v>29.0</v>
      </c>
      <c r="B30" s="240" t="s">
        <v>3836</v>
      </c>
      <c r="C30" s="241">
        <v>0.0677</v>
      </c>
      <c r="D30" s="241">
        <v>0.0129</v>
      </c>
      <c r="E30" s="240">
        <v>58.0</v>
      </c>
      <c r="F30" s="240" t="s">
        <v>10059</v>
      </c>
    </row>
    <row r="31">
      <c r="A31" s="240">
        <v>30.0</v>
      </c>
      <c r="B31" s="240" t="s">
        <v>1039</v>
      </c>
      <c r="C31" s="241">
        <v>0.0677</v>
      </c>
      <c r="D31" s="241">
        <v>0.0108</v>
      </c>
      <c r="E31" s="240">
        <v>56.0</v>
      </c>
      <c r="F31" s="240" t="s">
        <v>10117</v>
      </c>
    </row>
    <row r="32">
      <c r="A32" s="240">
        <v>31.0</v>
      </c>
      <c r="B32" s="240" t="s">
        <v>10102</v>
      </c>
      <c r="C32" s="241">
        <v>0.0654</v>
      </c>
      <c r="D32" s="241">
        <v>0.014</v>
      </c>
      <c r="E32" s="240">
        <v>58.0</v>
      </c>
      <c r="F32" s="240" t="s">
        <v>10048</v>
      </c>
    </row>
    <row r="33">
      <c r="A33" s="240">
        <v>32.0</v>
      </c>
      <c r="B33" s="240" t="s">
        <v>9715</v>
      </c>
      <c r="C33" s="241">
        <v>0.0654</v>
      </c>
      <c r="D33" s="241">
        <v>0.0139</v>
      </c>
      <c r="E33" s="240">
        <v>63.0</v>
      </c>
      <c r="F33" s="240" t="s">
        <v>10099</v>
      </c>
    </row>
    <row r="34">
      <c r="A34" s="240">
        <v>33.0</v>
      </c>
      <c r="B34" s="240" t="s">
        <v>833</v>
      </c>
      <c r="C34" s="241">
        <v>0.0654</v>
      </c>
      <c r="D34" s="241">
        <v>0.0133</v>
      </c>
      <c r="E34" s="240">
        <v>57.0</v>
      </c>
      <c r="F34" s="240" t="s">
        <v>10054</v>
      </c>
    </row>
    <row r="35">
      <c r="A35" s="240">
        <v>34.0</v>
      </c>
      <c r="B35" s="240" t="s">
        <v>2895</v>
      </c>
      <c r="C35" s="241">
        <v>0.0654</v>
      </c>
      <c r="D35" s="241">
        <v>0.0097</v>
      </c>
      <c r="E35" s="240">
        <v>61.0</v>
      </c>
      <c r="F35" s="240" t="s">
        <v>10091</v>
      </c>
    </row>
    <row r="36">
      <c r="A36" s="240">
        <v>35.0</v>
      </c>
      <c r="B36" s="240" t="s">
        <v>4725</v>
      </c>
      <c r="C36" s="241">
        <v>0.062</v>
      </c>
      <c r="D36" s="241">
        <v>0.0078</v>
      </c>
      <c r="E36" s="240">
        <v>68.0</v>
      </c>
      <c r="F36" s="240" t="s">
        <v>10053</v>
      </c>
    </row>
    <row r="37">
      <c r="A37" s="240">
        <v>36.0</v>
      </c>
      <c r="B37" s="240" t="s">
        <v>10079</v>
      </c>
      <c r="C37" s="241">
        <v>0.062</v>
      </c>
      <c r="D37" s="241">
        <v>0.0078</v>
      </c>
      <c r="E37" s="240">
        <v>59.0</v>
      </c>
      <c r="F37" s="240" t="s">
        <v>10081</v>
      </c>
    </row>
    <row r="38">
      <c r="A38" s="240">
        <v>37.0</v>
      </c>
      <c r="B38" s="240" t="s">
        <v>10166</v>
      </c>
      <c r="C38" s="241">
        <v>0.0597</v>
      </c>
      <c r="D38" s="241">
        <v>0.0114</v>
      </c>
      <c r="E38" s="240">
        <v>62.0</v>
      </c>
      <c r="F38" s="240" t="s">
        <v>10056</v>
      </c>
    </row>
    <row r="39">
      <c r="A39" s="240">
        <v>38.0</v>
      </c>
      <c r="B39" s="240" t="s">
        <v>10167</v>
      </c>
      <c r="C39" s="241">
        <v>0.0597</v>
      </c>
      <c r="D39" s="241">
        <v>0.009</v>
      </c>
      <c r="E39" s="240">
        <v>65.0</v>
      </c>
      <c r="F39" s="240" t="s">
        <v>10080</v>
      </c>
    </row>
    <row r="40">
      <c r="A40" s="240">
        <v>39.0</v>
      </c>
      <c r="B40" s="240" t="s">
        <v>10168</v>
      </c>
      <c r="C40" s="241">
        <v>0.0597</v>
      </c>
      <c r="D40" s="241">
        <v>0.0073</v>
      </c>
      <c r="E40" s="240">
        <v>64.0</v>
      </c>
      <c r="F40" s="240" t="s">
        <v>10169</v>
      </c>
    </row>
    <row r="41">
      <c r="A41" s="240">
        <v>40.0</v>
      </c>
      <c r="B41" s="240" t="s">
        <v>10170</v>
      </c>
      <c r="C41" s="241">
        <v>0.0586</v>
      </c>
      <c r="D41" s="241">
        <v>0.0093</v>
      </c>
      <c r="E41" s="240">
        <v>53.0</v>
      </c>
      <c r="F41" s="240" t="s">
        <v>10128</v>
      </c>
    </row>
    <row r="42">
      <c r="A42" s="240">
        <v>41.0</v>
      </c>
      <c r="B42" s="240" t="s">
        <v>2855</v>
      </c>
      <c r="C42" s="241">
        <v>0.0586</v>
      </c>
      <c r="D42" s="241">
        <v>0.0085</v>
      </c>
      <c r="E42" s="240">
        <v>61.0</v>
      </c>
      <c r="F42" s="240" t="s">
        <v>10099</v>
      </c>
    </row>
    <row r="43">
      <c r="A43" s="240">
        <v>42.0</v>
      </c>
      <c r="B43" s="240" t="s">
        <v>3496</v>
      </c>
      <c r="C43" s="241">
        <v>0.0551</v>
      </c>
      <c r="D43" s="241">
        <v>0.0075</v>
      </c>
      <c r="E43" s="240">
        <v>65.0</v>
      </c>
      <c r="F43" s="240" t="s">
        <v>10059</v>
      </c>
    </row>
    <row r="44">
      <c r="A44" s="240">
        <v>43.0</v>
      </c>
      <c r="B44" s="240" t="s">
        <v>10171</v>
      </c>
      <c r="C44" s="241">
        <v>0.054</v>
      </c>
      <c r="D44" s="241">
        <v>0.0076</v>
      </c>
      <c r="E44" s="240">
        <v>60.0</v>
      </c>
      <c r="F44" s="240" t="s">
        <v>10046</v>
      </c>
    </row>
    <row r="45">
      <c r="A45" s="240">
        <v>44.0</v>
      </c>
      <c r="B45" s="240" t="s">
        <v>569</v>
      </c>
      <c r="C45" s="241">
        <v>0.054</v>
      </c>
      <c r="D45" s="241">
        <v>0.0063</v>
      </c>
      <c r="E45" s="240">
        <v>60.0</v>
      </c>
      <c r="F45" s="240" t="s">
        <v>10172</v>
      </c>
    </row>
    <row r="46">
      <c r="A46" s="240">
        <v>45.0</v>
      </c>
      <c r="B46" s="240" t="s">
        <v>10173</v>
      </c>
      <c r="C46" s="241">
        <v>0.0528</v>
      </c>
      <c r="D46" s="241">
        <v>0.0077</v>
      </c>
      <c r="E46" s="240">
        <v>61.0</v>
      </c>
      <c r="F46" s="240" t="s">
        <v>10104</v>
      </c>
    </row>
    <row r="47">
      <c r="A47" s="240">
        <v>46.0</v>
      </c>
      <c r="B47" s="240" t="s">
        <v>10145</v>
      </c>
      <c r="C47" s="241">
        <v>0.0517</v>
      </c>
      <c r="D47" s="241">
        <v>0.0072</v>
      </c>
      <c r="E47" s="240">
        <v>63.0</v>
      </c>
      <c r="F47" s="240" t="s">
        <v>10174</v>
      </c>
    </row>
    <row r="48">
      <c r="A48" s="240">
        <v>47.0</v>
      </c>
      <c r="B48" s="240" t="s">
        <v>10175</v>
      </c>
      <c r="C48" s="241">
        <v>0.0505</v>
      </c>
      <c r="D48" s="241">
        <v>0.0069</v>
      </c>
      <c r="E48" s="240">
        <v>63.0</v>
      </c>
      <c r="F48" s="240" t="s">
        <v>10069</v>
      </c>
    </row>
    <row r="49">
      <c r="A49" s="240">
        <v>48.0</v>
      </c>
      <c r="B49" s="240" t="s">
        <v>3024</v>
      </c>
      <c r="C49" s="241">
        <v>0.0494</v>
      </c>
      <c r="D49" s="241">
        <v>0.0051</v>
      </c>
      <c r="E49" s="240">
        <v>69.0</v>
      </c>
      <c r="F49" s="240" t="s">
        <v>10060</v>
      </c>
    </row>
    <row r="50">
      <c r="A50" s="240">
        <v>49.0</v>
      </c>
      <c r="B50" s="240" t="s">
        <v>2827</v>
      </c>
      <c r="C50" s="241">
        <v>0.0482</v>
      </c>
      <c r="D50" s="241">
        <v>0.0045</v>
      </c>
      <c r="E50" s="240">
        <v>64.0</v>
      </c>
      <c r="F50" s="240" t="s">
        <v>10080</v>
      </c>
    </row>
    <row r="51">
      <c r="A51" s="240">
        <v>50.0</v>
      </c>
      <c r="B51" s="240" t="s">
        <v>2434</v>
      </c>
      <c r="C51" s="241">
        <v>0.0471</v>
      </c>
      <c r="D51" s="241">
        <v>0.0066</v>
      </c>
      <c r="E51" s="240">
        <v>58.0</v>
      </c>
      <c r="F51" s="240" t="s">
        <v>10128</v>
      </c>
    </row>
    <row r="52">
      <c r="A52" s="240">
        <v>51.0</v>
      </c>
      <c r="B52" s="240" t="s">
        <v>5129</v>
      </c>
      <c r="C52" s="241">
        <v>0.0459</v>
      </c>
      <c r="D52" s="241">
        <v>0.0069</v>
      </c>
      <c r="E52" s="240">
        <v>66.0</v>
      </c>
      <c r="F52" s="240" t="s">
        <v>10051</v>
      </c>
    </row>
    <row r="53">
      <c r="A53" s="240">
        <v>52.0</v>
      </c>
      <c r="B53" s="240" t="s">
        <v>348</v>
      </c>
      <c r="C53" s="241">
        <v>0.0448</v>
      </c>
      <c r="D53" s="241">
        <v>0.0047</v>
      </c>
      <c r="E53" s="240">
        <v>63.0</v>
      </c>
      <c r="F53" s="240" t="s">
        <v>10147</v>
      </c>
    </row>
    <row r="54">
      <c r="A54" s="240">
        <v>53.0</v>
      </c>
      <c r="B54" s="240" t="s">
        <v>10176</v>
      </c>
      <c r="C54" s="241">
        <v>0.0425</v>
      </c>
      <c r="D54" s="241">
        <v>0.0049</v>
      </c>
      <c r="E54" s="240">
        <v>65.0</v>
      </c>
      <c r="F54" s="240" t="s">
        <v>10060</v>
      </c>
    </row>
    <row r="55">
      <c r="A55" s="240">
        <v>54.0</v>
      </c>
      <c r="B55" s="240" t="s">
        <v>2778</v>
      </c>
      <c r="C55" s="241">
        <v>0.0413</v>
      </c>
      <c r="D55" s="241">
        <v>0.0076</v>
      </c>
      <c r="E55" s="240">
        <v>61.0</v>
      </c>
      <c r="F55" s="240" t="s">
        <v>10112</v>
      </c>
    </row>
    <row r="56">
      <c r="A56" s="240">
        <v>55.0</v>
      </c>
      <c r="B56" s="240" t="s">
        <v>2999</v>
      </c>
      <c r="C56" s="241">
        <v>0.0402</v>
      </c>
      <c r="D56" s="241">
        <v>0.0046</v>
      </c>
      <c r="E56" s="240">
        <v>58.0</v>
      </c>
      <c r="F56" s="240" t="s">
        <v>10117</v>
      </c>
    </row>
    <row r="57">
      <c r="A57" s="240">
        <v>56.0</v>
      </c>
      <c r="B57" s="240" t="s">
        <v>10177</v>
      </c>
      <c r="C57" s="241">
        <v>0.0367</v>
      </c>
      <c r="D57" s="241">
        <v>0.0059</v>
      </c>
      <c r="E57" s="240">
        <v>64.0</v>
      </c>
      <c r="F57" s="240" t="s">
        <v>10150</v>
      </c>
    </row>
    <row r="58">
      <c r="A58" s="240">
        <v>57.0</v>
      </c>
      <c r="B58" s="240" t="s">
        <v>10178</v>
      </c>
      <c r="C58" s="241">
        <v>0.0356</v>
      </c>
      <c r="D58" s="241">
        <v>0.0044</v>
      </c>
      <c r="E58" s="240">
        <v>64.0</v>
      </c>
      <c r="F58" s="240" t="s">
        <v>10076</v>
      </c>
    </row>
    <row r="59">
      <c r="A59" s="240">
        <v>58.0</v>
      </c>
      <c r="B59" s="240" t="s">
        <v>10179</v>
      </c>
      <c r="C59" s="241">
        <v>0.0344</v>
      </c>
      <c r="D59" s="241">
        <v>0.0043</v>
      </c>
      <c r="E59" s="240">
        <v>69.0</v>
      </c>
      <c r="F59" s="240" t="s">
        <v>10060</v>
      </c>
    </row>
    <row r="60">
      <c r="A60" s="240">
        <v>59.0</v>
      </c>
      <c r="B60" s="240" t="s">
        <v>3486</v>
      </c>
      <c r="C60" s="241">
        <v>0.0344</v>
      </c>
      <c r="D60" s="241">
        <v>0.0038</v>
      </c>
      <c r="E60" s="240">
        <v>63.0</v>
      </c>
      <c r="F60" s="240" t="s">
        <v>10091</v>
      </c>
    </row>
    <row r="61">
      <c r="A61" s="240">
        <v>60.0</v>
      </c>
      <c r="B61" s="240" t="s">
        <v>10180</v>
      </c>
      <c r="C61" s="241">
        <v>0.0344</v>
      </c>
      <c r="D61" s="241">
        <v>0.0036</v>
      </c>
      <c r="E61" s="240">
        <v>68.0</v>
      </c>
      <c r="F61" s="240" t="s">
        <v>10104</v>
      </c>
    </row>
    <row r="62">
      <c r="A62" s="240">
        <v>61.0</v>
      </c>
      <c r="B62" s="240" t="s">
        <v>823</v>
      </c>
      <c r="C62" s="241">
        <v>0.0344</v>
      </c>
      <c r="D62" s="241">
        <v>0.0032</v>
      </c>
      <c r="E62" s="240">
        <v>75.0</v>
      </c>
      <c r="F62" s="240" t="s">
        <v>10057</v>
      </c>
    </row>
    <row r="63">
      <c r="A63" s="240">
        <v>62.0</v>
      </c>
      <c r="B63" s="240" t="s">
        <v>1046</v>
      </c>
      <c r="C63" s="241">
        <v>0.0333</v>
      </c>
      <c r="D63" s="241">
        <v>0.0075</v>
      </c>
      <c r="E63" s="240">
        <v>54.0</v>
      </c>
      <c r="F63" s="240" t="s">
        <v>10117</v>
      </c>
    </row>
    <row r="64">
      <c r="A64" s="240">
        <v>63.0</v>
      </c>
      <c r="B64" s="240" t="s">
        <v>10181</v>
      </c>
      <c r="C64" s="241">
        <v>0.0333</v>
      </c>
      <c r="D64" s="241">
        <v>0.0066</v>
      </c>
      <c r="E64" s="240">
        <v>62.0</v>
      </c>
      <c r="F64" s="240" t="s">
        <v>10105</v>
      </c>
    </row>
    <row r="65">
      <c r="A65" s="240">
        <v>64.0</v>
      </c>
      <c r="B65" s="240" t="s">
        <v>10182</v>
      </c>
      <c r="C65" s="241">
        <v>0.0333</v>
      </c>
      <c r="D65" s="241">
        <v>0.0042</v>
      </c>
      <c r="E65" s="240">
        <v>57.0</v>
      </c>
      <c r="F65" s="240" t="s">
        <v>10058</v>
      </c>
    </row>
    <row r="66">
      <c r="A66" s="240">
        <v>65.0</v>
      </c>
      <c r="B66" s="240" t="s">
        <v>2885</v>
      </c>
      <c r="C66" s="241">
        <v>0.0333</v>
      </c>
      <c r="D66" s="241">
        <v>0.0035</v>
      </c>
      <c r="E66" s="240">
        <v>65.0</v>
      </c>
      <c r="F66" s="240" t="s">
        <v>10117</v>
      </c>
    </row>
    <row r="67">
      <c r="A67" s="240">
        <v>66.0</v>
      </c>
      <c r="B67" s="240" t="s">
        <v>1029</v>
      </c>
      <c r="C67" s="241">
        <v>0.0333</v>
      </c>
      <c r="D67" s="241">
        <v>0.0032</v>
      </c>
      <c r="E67" s="240">
        <v>60.0</v>
      </c>
      <c r="F67" s="240" t="s">
        <v>10183</v>
      </c>
    </row>
    <row r="68">
      <c r="A68" s="240">
        <v>67.0</v>
      </c>
      <c r="B68" s="240" t="s">
        <v>10160</v>
      </c>
      <c r="C68" s="241">
        <v>0.0321</v>
      </c>
      <c r="D68" s="241">
        <v>0.0041</v>
      </c>
      <c r="E68" s="240">
        <v>67.0</v>
      </c>
      <c r="F68" s="240" t="s">
        <v>10184</v>
      </c>
    </row>
    <row r="69">
      <c r="A69" s="240">
        <v>68.0</v>
      </c>
      <c r="B69" s="240" t="s">
        <v>10141</v>
      </c>
      <c r="C69" s="241">
        <v>0.031</v>
      </c>
      <c r="D69" s="241">
        <v>0.007</v>
      </c>
      <c r="E69" s="240">
        <v>57.0</v>
      </c>
      <c r="F69" s="240" t="s">
        <v>10060</v>
      </c>
    </row>
    <row r="70">
      <c r="A70" s="240">
        <v>69.0</v>
      </c>
      <c r="B70" s="240" t="s">
        <v>10185</v>
      </c>
      <c r="C70" s="241">
        <v>0.031</v>
      </c>
      <c r="D70" s="241">
        <v>0.0043</v>
      </c>
      <c r="E70" s="240">
        <v>66.0</v>
      </c>
      <c r="F70" s="240" t="s">
        <v>10043</v>
      </c>
    </row>
    <row r="71">
      <c r="A71" s="240">
        <v>70.0</v>
      </c>
      <c r="B71" s="240" t="s">
        <v>8195</v>
      </c>
      <c r="C71" s="241">
        <v>0.031</v>
      </c>
      <c r="D71" s="241">
        <v>0.0036</v>
      </c>
      <c r="E71" s="240">
        <v>62.0</v>
      </c>
      <c r="F71" s="240" t="s">
        <v>10143</v>
      </c>
    </row>
    <row r="72">
      <c r="A72" s="240">
        <v>71.0</v>
      </c>
      <c r="B72" s="240" t="s">
        <v>10136</v>
      </c>
      <c r="C72" s="241">
        <v>0.0299</v>
      </c>
      <c r="D72" s="241">
        <v>0.0059</v>
      </c>
      <c r="E72" s="240">
        <v>55.0</v>
      </c>
      <c r="F72" s="240" t="s">
        <v>10073</v>
      </c>
    </row>
    <row r="73">
      <c r="A73" s="240">
        <v>72.0</v>
      </c>
      <c r="B73" s="240" t="s">
        <v>10142</v>
      </c>
      <c r="C73" s="241">
        <v>0.0299</v>
      </c>
      <c r="D73" s="241">
        <v>0.0036</v>
      </c>
      <c r="E73" s="240">
        <v>59.0</v>
      </c>
      <c r="F73" s="240" t="s">
        <v>10186</v>
      </c>
    </row>
    <row r="74">
      <c r="A74" s="240">
        <v>73.0</v>
      </c>
      <c r="B74" s="240" t="s">
        <v>10148</v>
      </c>
      <c r="C74" s="241">
        <v>0.0287</v>
      </c>
      <c r="D74" s="241">
        <v>0.0036</v>
      </c>
      <c r="E74" s="240">
        <v>61.0</v>
      </c>
      <c r="F74" s="240" t="s">
        <v>10049</v>
      </c>
    </row>
    <row r="75">
      <c r="A75" s="240">
        <v>74.0</v>
      </c>
      <c r="B75" s="240" t="s">
        <v>10187</v>
      </c>
      <c r="C75" s="241">
        <v>0.0276</v>
      </c>
      <c r="D75" s="241">
        <v>0.003</v>
      </c>
      <c r="E75" s="240">
        <v>75.0</v>
      </c>
      <c r="F75" s="240" t="s">
        <v>10164</v>
      </c>
    </row>
    <row r="76">
      <c r="A76" s="240">
        <v>75.0</v>
      </c>
      <c r="B76" s="240" t="s">
        <v>4059</v>
      </c>
      <c r="C76" s="241">
        <v>0.0276</v>
      </c>
      <c r="D76" s="241">
        <v>0.0029</v>
      </c>
      <c r="E76" s="240">
        <v>64.0</v>
      </c>
      <c r="F76" s="240" t="s">
        <v>10075</v>
      </c>
    </row>
    <row r="77">
      <c r="A77" s="240">
        <v>76.0</v>
      </c>
      <c r="B77" s="240" t="s">
        <v>10188</v>
      </c>
      <c r="C77" s="241">
        <v>0.0264</v>
      </c>
      <c r="D77" s="241">
        <v>0.004</v>
      </c>
      <c r="E77" s="240">
        <v>57.0</v>
      </c>
      <c r="F77" s="240" t="s">
        <v>10117</v>
      </c>
    </row>
    <row r="78">
      <c r="A78" s="240">
        <v>77.0</v>
      </c>
      <c r="B78" s="240" t="s">
        <v>10158</v>
      </c>
      <c r="C78" s="241">
        <v>0.0264</v>
      </c>
      <c r="D78" s="241">
        <v>0.0039</v>
      </c>
      <c r="E78" s="240">
        <v>74.0</v>
      </c>
      <c r="F78" s="240" t="s">
        <v>10041</v>
      </c>
    </row>
    <row r="79">
      <c r="A79" s="240">
        <v>78.0</v>
      </c>
      <c r="B79" s="240" t="s">
        <v>2867</v>
      </c>
      <c r="C79" s="241">
        <v>0.0241</v>
      </c>
      <c r="D79" s="241">
        <v>0.0042</v>
      </c>
      <c r="E79" s="240">
        <v>58.0</v>
      </c>
      <c r="F79" s="240" t="s">
        <v>10140</v>
      </c>
    </row>
    <row r="80">
      <c r="A80" s="240">
        <v>79.0</v>
      </c>
      <c r="B80" s="240" t="s">
        <v>4840</v>
      </c>
      <c r="C80" s="241">
        <v>0.0241</v>
      </c>
      <c r="D80" s="241">
        <v>0.0036</v>
      </c>
      <c r="E80" s="240">
        <v>61.0</v>
      </c>
      <c r="F80" s="240" t="s">
        <v>10184</v>
      </c>
    </row>
    <row r="81">
      <c r="A81" s="240">
        <v>80.0</v>
      </c>
      <c r="B81" s="240" t="s">
        <v>10152</v>
      </c>
      <c r="C81" s="241">
        <v>0.0241</v>
      </c>
      <c r="D81" s="241">
        <v>0.003</v>
      </c>
      <c r="E81" s="240">
        <v>75.0</v>
      </c>
      <c r="F81" s="240" t="s">
        <v>10059</v>
      </c>
    </row>
    <row r="82">
      <c r="A82" s="240">
        <v>81.0</v>
      </c>
      <c r="B82" s="240" t="s">
        <v>10155</v>
      </c>
      <c r="C82" s="241">
        <v>0.0241</v>
      </c>
      <c r="D82" s="241">
        <v>0.0027</v>
      </c>
      <c r="E82" s="240">
        <v>76.0</v>
      </c>
      <c r="F82" s="240" t="s">
        <v>10189</v>
      </c>
    </row>
    <row r="83">
      <c r="A83" s="240">
        <v>82.0</v>
      </c>
      <c r="B83" s="240" t="s">
        <v>2993</v>
      </c>
      <c r="C83" s="241">
        <v>0.0241</v>
      </c>
      <c r="D83" s="241">
        <v>0.0026</v>
      </c>
      <c r="E83" s="240">
        <v>65.0</v>
      </c>
      <c r="F83" s="240" t="s">
        <v>10184</v>
      </c>
    </row>
    <row r="84">
      <c r="A84" s="240">
        <v>83.0</v>
      </c>
      <c r="B84" s="240" t="s">
        <v>10190</v>
      </c>
      <c r="C84" s="241">
        <v>0.0241</v>
      </c>
      <c r="D84" s="241">
        <v>0.0024</v>
      </c>
      <c r="E84" s="240">
        <v>66.0</v>
      </c>
      <c r="F84" s="240" t="s">
        <v>10080</v>
      </c>
    </row>
    <row r="85">
      <c r="A85" s="240">
        <v>84.0</v>
      </c>
      <c r="B85" s="240" t="s">
        <v>2637</v>
      </c>
      <c r="C85" s="241">
        <v>0.0241</v>
      </c>
      <c r="D85" s="241">
        <v>0.0023</v>
      </c>
      <c r="E85" s="240">
        <v>62.0</v>
      </c>
      <c r="F85" s="240" t="s">
        <v>10164</v>
      </c>
    </row>
    <row r="86">
      <c r="A86" s="240">
        <v>85.0</v>
      </c>
      <c r="B86" s="240" t="s">
        <v>10191</v>
      </c>
      <c r="C86" s="241">
        <v>0.023</v>
      </c>
      <c r="D86" s="241">
        <v>0.0029</v>
      </c>
      <c r="E86" s="240">
        <v>62.0</v>
      </c>
      <c r="F86" s="240" t="s">
        <v>10192</v>
      </c>
    </row>
    <row r="87">
      <c r="A87" s="240">
        <v>86.0</v>
      </c>
      <c r="B87" s="240" t="s">
        <v>10193</v>
      </c>
      <c r="C87" s="241">
        <v>0.023</v>
      </c>
      <c r="D87" s="241">
        <v>0.0025</v>
      </c>
      <c r="E87" s="240">
        <v>67.0</v>
      </c>
      <c r="F87" s="240" t="s">
        <v>10049</v>
      </c>
    </row>
    <row r="88">
      <c r="A88" s="240">
        <v>87.0</v>
      </c>
      <c r="B88" s="240" t="s">
        <v>2840</v>
      </c>
      <c r="C88" s="241">
        <v>0.0218</v>
      </c>
      <c r="D88" s="241">
        <v>0.0031</v>
      </c>
      <c r="E88" s="240">
        <v>61.0</v>
      </c>
      <c r="F88" s="240" t="s">
        <v>10056</v>
      </c>
    </row>
    <row r="89">
      <c r="A89" s="240">
        <v>88.0</v>
      </c>
      <c r="B89" s="240" t="s">
        <v>10194</v>
      </c>
      <c r="C89" s="241">
        <v>0.0218</v>
      </c>
      <c r="D89" s="241">
        <v>0.0026</v>
      </c>
      <c r="E89" s="240">
        <v>71.0</v>
      </c>
      <c r="F89" s="240" t="s">
        <v>10061</v>
      </c>
    </row>
    <row r="90">
      <c r="A90" s="240">
        <v>89.0</v>
      </c>
      <c r="B90" s="240" t="s">
        <v>10195</v>
      </c>
      <c r="C90" s="241">
        <v>0.0218</v>
      </c>
      <c r="D90" s="241">
        <v>0.0024</v>
      </c>
      <c r="E90" s="240">
        <v>63.0</v>
      </c>
      <c r="F90" s="240" t="s">
        <v>10046</v>
      </c>
    </row>
    <row r="91">
      <c r="A91" s="240">
        <v>90.0</v>
      </c>
      <c r="B91" s="240" t="s">
        <v>4403</v>
      </c>
      <c r="C91" s="241">
        <v>0.0218</v>
      </c>
      <c r="D91" s="241">
        <v>0.0023</v>
      </c>
      <c r="E91" s="240">
        <v>76.0</v>
      </c>
      <c r="F91" s="240" t="s">
        <v>10065</v>
      </c>
    </row>
    <row r="92">
      <c r="A92" s="240">
        <v>91.0</v>
      </c>
      <c r="B92" s="240" t="s">
        <v>10138</v>
      </c>
      <c r="C92" s="241">
        <v>0.0218</v>
      </c>
      <c r="D92" s="241">
        <v>0.002</v>
      </c>
      <c r="E92" s="240">
        <v>57.0</v>
      </c>
      <c r="F92" s="240" t="s">
        <v>10089</v>
      </c>
    </row>
    <row r="93">
      <c r="A93" s="240">
        <v>92.0</v>
      </c>
      <c r="B93" s="240" t="s">
        <v>2815</v>
      </c>
      <c r="C93" s="241">
        <v>0.0207</v>
      </c>
      <c r="D93" s="241">
        <v>0.0039</v>
      </c>
      <c r="E93" s="240">
        <v>62.0</v>
      </c>
      <c r="F93" s="240" t="s">
        <v>10047</v>
      </c>
    </row>
    <row r="94">
      <c r="A94" s="240">
        <v>93.0</v>
      </c>
      <c r="B94" s="240" t="s">
        <v>1130</v>
      </c>
      <c r="C94" s="241">
        <v>0.0207</v>
      </c>
      <c r="D94" s="241">
        <v>0.0038</v>
      </c>
      <c r="E94" s="240">
        <v>65.0</v>
      </c>
      <c r="F94" s="240" t="s">
        <v>10099</v>
      </c>
    </row>
    <row r="95">
      <c r="A95" s="240">
        <v>94.0</v>
      </c>
      <c r="B95" s="240" t="s">
        <v>10087</v>
      </c>
      <c r="C95" s="241">
        <v>0.0207</v>
      </c>
      <c r="D95" s="241">
        <v>0.0035</v>
      </c>
      <c r="E95" s="240">
        <v>63.0</v>
      </c>
      <c r="F95" s="240" t="s">
        <v>10053</v>
      </c>
    </row>
    <row r="96">
      <c r="A96" s="240">
        <v>95.0</v>
      </c>
      <c r="B96" s="240" t="s">
        <v>10196</v>
      </c>
      <c r="C96" s="241">
        <v>0.0207</v>
      </c>
      <c r="D96" s="241">
        <v>0.0028</v>
      </c>
      <c r="E96" s="240">
        <v>52.0</v>
      </c>
      <c r="F96" s="240" t="s">
        <v>10061</v>
      </c>
    </row>
    <row r="97">
      <c r="A97" s="240">
        <v>96.0</v>
      </c>
      <c r="B97" s="240" t="s">
        <v>10197</v>
      </c>
      <c r="C97" s="241">
        <v>0.0207</v>
      </c>
      <c r="D97" s="241">
        <v>0.0025</v>
      </c>
      <c r="E97" s="240">
        <v>58.0</v>
      </c>
      <c r="F97" s="240" t="s">
        <v>10105</v>
      </c>
    </row>
    <row r="98">
      <c r="A98" s="240">
        <v>97.0</v>
      </c>
      <c r="B98" s="240" t="s">
        <v>10198</v>
      </c>
      <c r="C98" s="241">
        <v>0.0207</v>
      </c>
      <c r="D98" s="241">
        <v>0.0023</v>
      </c>
      <c r="E98" s="240">
        <v>69.0</v>
      </c>
      <c r="F98" s="240" t="s">
        <v>10047</v>
      </c>
    </row>
    <row r="99">
      <c r="A99" s="240">
        <v>98.0</v>
      </c>
      <c r="B99" s="240" t="s">
        <v>2070</v>
      </c>
      <c r="C99" s="241">
        <v>0.0207</v>
      </c>
      <c r="D99" s="241">
        <v>0.0022</v>
      </c>
      <c r="E99" s="240">
        <v>56.0</v>
      </c>
      <c r="F99" s="240" t="s">
        <v>10199</v>
      </c>
    </row>
    <row r="100">
      <c r="A100" s="240">
        <v>99.0</v>
      </c>
      <c r="B100" s="240" t="s">
        <v>10200</v>
      </c>
      <c r="C100" s="241">
        <v>0.0195</v>
      </c>
      <c r="D100" s="241">
        <v>0.0039</v>
      </c>
      <c r="E100" s="240">
        <v>56.0</v>
      </c>
      <c r="F100" s="240" t="s">
        <v>10174</v>
      </c>
    </row>
    <row r="101">
      <c r="A101" s="240">
        <v>100.0</v>
      </c>
      <c r="B101" s="240" t="s">
        <v>7786</v>
      </c>
      <c r="C101" s="241">
        <v>0.0195</v>
      </c>
      <c r="D101" s="241">
        <v>0.0033</v>
      </c>
      <c r="E101" s="240">
        <v>55.0</v>
      </c>
      <c r="F101" s="240" t="s">
        <v>10143</v>
      </c>
    </row>
    <row r="102">
      <c r="A102" s="240">
        <v>101.0</v>
      </c>
      <c r="B102" s="240" t="s">
        <v>5549</v>
      </c>
      <c r="C102" s="241">
        <v>0.0195</v>
      </c>
      <c r="D102" s="241">
        <v>0.0028</v>
      </c>
      <c r="E102" s="240">
        <v>64.0</v>
      </c>
      <c r="F102" s="240" t="s">
        <v>10091</v>
      </c>
    </row>
    <row r="103">
      <c r="A103" s="240">
        <v>102.0</v>
      </c>
      <c r="B103" s="240" t="s">
        <v>1003</v>
      </c>
      <c r="C103" s="241">
        <v>0.0195</v>
      </c>
      <c r="D103" s="241">
        <v>0.0028</v>
      </c>
      <c r="E103" s="240">
        <v>71.0</v>
      </c>
      <c r="F103" s="240" t="s">
        <v>10043</v>
      </c>
    </row>
    <row r="104">
      <c r="A104" s="240">
        <v>103.0</v>
      </c>
      <c r="B104" s="240" t="s">
        <v>10201</v>
      </c>
      <c r="C104" s="241">
        <v>0.0195</v>
      </c>
      <c r="D104" s="241">
        <v>0.0018</v>
      </c>
      <c r="E104" s="240">
        <v>59.0</v>
      </c>
      <c r="F104" s="240" t="s">
        <v>10117</v>
      </c>
    </row>
    <row r="105">
      <c r="A105" s="240">
        <v>104.0</v>
      </c>
      <c r="B105" s="240" t="s">
        <v>10202</v>
      </c>
      <c r="C105" s="241">
        <v>0.0195</v>
      </c>
      <c r="D105" s="241">
        <v>0.0017</v>
      </c>
      <c r="E105" s="240">
        <v>68.0</v>
      </c>
      <c r="F105" s="240" t="s">
        <v>10172</v>
      </c>
    </row>
    <row r="106">
      <c r="A106" s="240">
        <v>105.0</v>
      </c>
      <c r="B106" s="240" t="s">
        <v>10203</v>
      </c>
      <c r="C106" s="241">
        <v>0.0184</v>
      </c>
      <c r="D106" s="241">
        <v>0.002</v>
      </c>
      <c r="E106" s="240">
        <v>62.0</v>
      </c>
      <c r="F106" s="240" t="s">
        <v>10046</v>
      </c>
    </row>
    <row r="107">
      <c r="A107" s="240">
        <v>106.0</v>
      </c>
      <c r="B107" s="240" t="s">
        <v>4015</v>
      </c>
      <c r="C107" s="241">
        <v>0.0184</v>
      </c>
      <c r="D107" s="241">
        <v>0.002</v>
      </c>
      <c r="E107" s="240">
        <v>74.0</v>
      </c>
      <c r="F107" s="240" t="s">
        <v>10172</v>
      </c>
    </row>
    <row r="108">
      <c r="A108" s="240">
        <v>107.0</v>
      </c>
      <c r="B108" s="240" t="s">
        <v>10204</v>
      </c>
      <c r="C108" s="241">
        <v>0.0184</v>
      </c>
      <c r="D108" s="241">
        <v>0.002</v>
      </c>
      <c r="E108" s="240">
        <v>58.0</v>
      </c>
      <c r="F108" s="240" t="s">
        <v>10192</v>
      </c>
    </row>
    <row r="109">
      <c r="A109" s="240">
        <v>108.0</v>
      </c>
      <c r="B109" s="240" t="s">
        <v>10205</v>
      </c>
      <c r="C109" s="241">
        <v>0.0172</v>
      </c>
      <c r="D109" s="241">
        <v>0.003</v>
      </c>
      <c r="E109" s="240">
        <v>68.0</v>
      </c>
      <c r="F109" s="240" t="s">
        <v>10054</v>
      </c>
    </row>
    <row r="110">
      <c r="A110" s="240">
        <v>109.0</v>
      </c>
      <c r="B110" s="240" t="s">
        <v>10206</v>
      </c>
      <c r="C110" s="241">
        <v>0.0172</v>
      </c>
      <c r="D110" s="241">
        <v>0.0023</v>
      </c>
      <c r="E110" s="240">
        <v>49.0</v>
      </c>
      <c r="F110" s="240" t="s">
        <v>10172</v>
      </c>
    </row>
    <row r="111">
      <c r="A111" s="240">
        <v>110.0</v>
      </c>
      <c r="B111" s="240" t="s">
        <v>10207</v>
      </c>
      <c r="C111" s="241">
        <v>0.0172</v>
      </c>
      <c r="D111" s="241">
        <v>0.0016</v>
      </c>
      <c r="E111" s="240">
        <v>78.0</v>
      </c>
      <c r="F111" s="240" t="s">
        <v>10208</v>
      </c>
    </row>
    <row r="112">
      <c r="A112" s="240">
        <v>111.0</v>
      </c>
      <c r="B112" s="240" t="s">
        <v>10209</v>
      </c>
      <c r="C112" s="241">
        <v>0.0172</v>
      </c>
      <c r="D112" s="241">
        <v>0.0015</v>
      </c>
      <c r="E112" s="240">
        <v>70.0</v>
      </c>
      <c r="F112" s="240" t="s">
        <v>10117</v>
      </c>
    </row>
    <row r="113">
      <c r="A113" s="240">
        <v>112.0</v>
      </c>
      <c r="B113" s="240" t="s">
        <v>10210</v>
      </c>
      <c r="C113" s="241">
        <v>0.0172</v>
      </c>
      <c r="D113" s="241">
        <v>0.0014</v>
      </c>
      <c r="E113" s="240">
        <v>67.0</v>
      </c>
      <c r="F113" s="240" t="s">
        <v>10211</v>
      </c>
    </row>
    <row r="114">
      <c r="A114" s="240">
        <v>113.0</v>
      </c>
      <c r="B114" s="240" t="s">
        <v>10212</v>
      </c>
      <c r="C114" s="241">
        <v>0.0161</v>
      </c>
      <c r="D114" s="241">
        <v>0.0026</v>
      </c>
      <c r="E114" s="240">
        <v>60.0</v>
      </c>
      <c r="F114" s="240" t="s">
        <v>10093</v>
      </c>
    </row>
    <row r="115">
      <c r="A115" s="240">
        <v>114.0</v>
      </c>
      <c r="B115" s="240" t="s">
        <v>10213</v>
      </c>
      <c r="C115" s="241">
        <v>0.0161</v>
      </c>
      <c r="D115" s="241">
        <v>0.0025</v>
      </c>
      <c r="E115" s="240">
        <v>53.0</v>
      </c>
      <c r="F115" s="240" t="s">
        <v>10128</v>
      </c>
    </row>
    <row r="116">
      <c r="A116" s="240">
        <v>115.0</v>
      </c>
      <c r="B116" s="240" t="s">
        <v>3216</v>
      </c>
      <c r="C116" s="241">
        <v>0.0161</v>
      </c>
      <c r="D116" s="241">
        <v>0.0025</v>
      </c>
      <c r="E116" s="240">
        <v>41.0</v>
      </c>
      <c r="F116" s="240" t="s">
        <v>10214</v>
      </c>
    </row>
    <row r="117">
      <c r="A117" s="240">
        <v>116.0</v>
      </c>
      <c r="B117" s="240" t="s">
        <v>10215</v>
      </c>
      <c r="C117" s="241">
        <v>0.0161</v>
      </c>
      <c r="D117" s="241">
        <v>0.0023</v>
      </c>
      <c r="E117" s="240">
        <v>68.0</v>
      </c>
      <c r="F117" s="240" t="s">
        <v>10216</v>
      </c>
    </row>
    <row r="118">
      <c r="A118" s="240">
        <v>117.0</v>
      </c>
      <c r="B118" s="240" t="s">
        <v>10217</v>
      </c>
      <c r="C118" s="241">
        <v>0.0161</v>
      </c>
      <c r="D118" s="241">
        <v>0.002</v>
      </c>
      <c r="E118" s="240">
        <v>62.0</v>
      </c>
      <c r="F118" s="240" t="s">
        <v>10053</v>
      </c>
    </row>
    <row r="119">
      <c r="A119" s="240">
        <v>118.0</v>
      </c>
      <c r="B119" s="240" t="s">
        <v>10218</v>
      </c>
      <c r="C119" s="241">
        <v>0.0161</v>
      </c>
      <c r="D119" s="241">
        <v>0.0016</v>
      </c>
      <c r="E119" s="240">
        <v>63.0</v>
      </c>
      <c r="F119" s="240" t="s">
        <v>10219</v>
      </c>
    </row>
    <row r="120">
      <c r="A120" s="240">
        <v>119.0</v>
      </c>
      <c r="B120" s="240" t="s">
        <v>10220</v>
      </c>
      <c r="C120" s="241">
        <v>0.0161</v>
      </c>
      <c r="D120" s="241">
        <v>0.0015</v>
      </c>
      <c r="E120" s="240">
        <v>66.0</v>
      </c>
      <c r="F120" s="240" t="s">
        <v>10169</v>
      </c>
    </row>
    <row r="121">
      <c r="A121" s="240">
        <v>120.0</v>
      </c>
      <c r="B121" s="240" t="s">
        <v>2918</v>
      </c>
      <c r="C121" s="241">
        <v>0.0149</v>
      </c>
      <c r="D121" s="241">
        <v>0.0029</v>
      </c>
      <c r="E121" s="240">
        <v>55.0</v>
      </c>
      <c r="F121" s="240" t="s">
        <v>10083</v>
      </c>
    </row>
    <row r="122">
      <c r="A122" s="240">
        <v>121.0</v>
      </c>
      <c r="B122" s="240" t="s">
        <v>10221</v>
      </c>
      <c r="C122" s="241">
        <v>0.0149</v>
      </c>
      <c r="D122" s="241">
        <v>0.0029</v>
      </c>
      <c r="E122" s="240">
        <v>56.0</v>
      </c>
      <c r="F122" s="240" t="s">
        <v>10091</v>
      </c>
    </row>
    <row r="123">
      <c r="A123" s="240">
        <v>122.0</v>
      </c>
      <c r="B123" s="240" t="s">
        <v>10222</v>
      </c>
      <c r="C123" s="241">
        <v>0.0149</v>
      </c>
      <c r="D123" s="241">
        <v>0.0016</v>
      </c>
      <c r="E123" s="240">
        <v>70.0</v>
      </c>
      <c r="F123" s="240" t="s">
        <v>10046</v>
      </c>
    </row>
    <row r="124">
      <c r="A124" s="240">
        <v>123.0</v>
      </c>
      <c r="B124" s="240" t="s">
        <v>10223</v>
      </c>
      <c r="C124" s="241">
        <v>0.0138</v>
      </c>
      <c r="D124" s="241">
        <v>0.0017</v>
      </c>
      <c r="E124" s="240">
        <v>59.0</v>
      </c>
      <c r="F124" s="240" t="s">
        <v>10208</v>
      </c>
    </row>
    <row r="125">
      <c r="A125" s="240">
        <v>124.0</v>
      </c>
      <c r="B125" s="240" t="s">
        <v>10224</v>
      </c>
      <c r="C125" s="241">
        <v>0.0138</v>
      </c>
      <c r="D125" s="241">
        <v>0.0016</v>
      </c>
      <c r="E125" s="240">
        <v>58.0</v>
      </c>
      <c r="F125" s="240" t="s">
        <v>10065</v>
      </c>
    </row>
    <row r="126">
      <c r="A126" s="240">
        <v>125.0</v>
      </c>
      <c r="B126" s="240" t="s">
        <v>1559</v>
      </c>
      <c r="C126" s="241">
        <v>0.0138</v>
      </c>
      <c r="D126" s="241">
        <v>0.0013</v>
      </c>
      <c r="E126" s="240">
        <v>59.0</v>
      </c>
      <c r="F126" s="240" t="s">
        <v>10225</v>
      </c>
    </row>
    <row r="127">
      <c r="A127" s="240">
        <v>126.0</v>
      </c>
      <c r="B127" s="240" t="s">
        <v>10226</v>
      </c>
      <c r="C127" s="241">
        <v>0.0138</v>
      </c>
      <c r="D127" s="241">
        <v>0.0012</v>
      </c>
      <c r="E127" s="240">
        <v>61.0</v>
      </c>
      <c r="F127" s="240" t="s">
        <v>10169</v>
      </c>
    </row>
    <row r="128">
      <c r="A128" s="240">
        <v>127.0</v>
      </c>
      <c r="B128" s="240" t="s">
        <v>2808</v>
      </c>
      <c r="C128" s="241">
        <v>0.0126</v>
      </c>
      <c r="D128" s="241">
        <v>0.0022</v>
      </c>
      <c r="E128" s="240">
        <v>49.0</v>
      </c>
      <c r="F128" s="240" t="s">
        <v>10058</v>
      </c>
    </row>
    <row r="129">
      <c r="A129" s="240">
        <v>128.0</v>
      </c>
      <c r="B129" s="240" t="s">
        <v>10227</v>
      </c>
      <c r="C129" s="241">
        <v>0.0126</v>
      </c>
      <c r="D129" s="241">
        <v>0.0017</v>
      </c>
      <c r="E129" s="240">
        <v>65.0</v>
      </c>
      <c r="F129" s="240" t="s">
        <v>10070</v>
      </c>
    </row>
    <row r="130">
      <c r="A130" s="240">
        <v>129.0</v>
      </c>
      <c r="B130" s="240" t="s">
        <v>7629</v>
      </c>
      <c r="C130" s="241">
        <v>0.0126</v>
      </c>
      <c r="D130" s="241">
        <v>0.0015</v>
      </c>
      <c r="E130" s="240">
        <v>68.0</v>
      </c>
      <c r="F130" s="240" t="s">
        <v>10058</v>
      </c>
    </row>
    <row r="131">
      <c r="A131" s="240">
        <v>130.0</v>
      </c>
      <c r="B131" s="240" t="s">
        <v>10133</v>
      </c>
      <c r="C131" s="241">
        <v>0.0126</v>
      </c>
      <c r="D131" s="241">
        <v>0.0011</v>
      </c>
      <c r="E131" s="240">
        <v>65.0</v>
      </c>
      <c r="F131" s="240" t="s">
        <v>10065</v>
      </c>
    </row>
    <row r="132">
      <c r="A132" s="240">
        <v>131.0</v>
      </c>
      <c r="B132" s="240" t="s">
        <v>10228</v>
      </c>
      <c r="C132" s="241">
        <v>0.0126</v>
      </c>
      <c r="D132" s="241">
        <v>0.001</v>
      </c>
      <c r="E132" s="240">
        <v>55.0</v>
      </c>
      <c r="F132" s="240" t="s">
        <v>10147</v>
      </c>
    </row>
    <row r="133">
      <c r="A133" s="240">
        <v>132.0</v>
      </c>
      <c r="B133" s="240" t="s">
        <v>10229</v>
      </c>
      <c r="C133" s="241">
        <v>0.0126</v>
      </c>
      <c r="D133" s="241">
        <v>0.001</v>
      </c>
      <c r="E133" s="240">
        <v>55.0</v>
      </c>
      <c r="F133" s="240" t="s">
        <v>10117</v>
      </c>
    </row>
    <row r="134">
      <c r="A134" s="240">
        <v>133.0</v>
      </c>
      <c r="B134" s="240" t="s">
        <v>10230</v>
      </c>
      <c r="C134" s="241">
        <v>0.0115</v>
      </c>
      <c r="D134" s="241">
        <v>0.0013</v>
      </c>
      <c r="E134" s="240">
        <v>56.0</v>
      </c>
      <c r="F134" s="240" t="s">
        <v>10169</v>
      </c>
    </row>
    <row r="135">
      <c r="A135" s="240">
        <v>134.0</v>
      </c>
      <c r="B135" s="240" t="s">
        <v>9197</v>
      </c>
      <c r="C135" s="241">
        <v>0.0103</v>
      </c>
      <c r="D135" s="241">
        <v>0.002</v>
      </c>
      <c r="E135" s="240">
        <v>58.0</v>
      </c>
      <c r="F135" s="240" t="s">
        <v>10069</v>
      </c>
    </row>
    <row r="136">
      <c r="A136" s="240">
        <v>135.0</v>
      </c>
      <c r="B136" s="240" t="s">
        <v>2784</v>
      </c>
      <c r="C136" s="241">
        <v>0.0103</v>
      </c>
      <c r="D136" s="241">
        <v>0.002</v>
      </c>
      <c r="E136" s="240">
        <v>56.0</v>
      </c>
      <c r="F136" s="240" t="s">
        <v>10093</v>
      </c>
    </row>
    <row r="137">
      <c r="A137" s="240">
        <v>136.0</v>
      </c>
      <c r="B137" s="240" t="s">
        <v>877</v>
      </c>
      <c r="C137" s="241">
        <v>0.0103</v>
      </c>
      <c r="D137" s="241">
        <v>0.001</v>
      </c>
      <c r="E137" s="240">
        <v>73.0</v>
      </c>
      <c r="F137" s="240" t="s">
        <v>10156</v>
      </c>
    </row>
    <row r="138">
      <c r="A138" s="240">
        <v>137.0</v>
      </c>
      <c r="B138" s="240" t="s">
        <v>376</v>
      </c>
      <c r="C138" s="241">
        <v>0.0092</v>
      </c>
      <c r="D138" s="241">
        <v>0.001</v>
      </c>
      <c r="E138" s="240">
        <v>63.0</v>
      </c>
      <c r="F138" s="240" t="s">
        <v>10110</v>
      </c>
    </row>
    <row r="139">
      <c r="A139" s="240">
        <v>138.0</v>
      </c>
      <c r="B139" s="240" t="s">
        <v>10231</v>
      </c>
      <c r="C139" s="241">
        <v>0.0092</v>
      </c>
      <c r="D139" s="241">
        <v>9.0E-4</v>
      </c>
      <c r="E139" s="240">
        <v>63.0</v>
      </c>
      <c r="F139" s="240" t="s">
        <v>10117</v>
      </c>
    </row>
    <row r="140">
      <c r="A140" s="240">
        <v>139.0</v>
      </c>
      <c r="B140" s="242" t="s">
        <v>27</v>
      </c>
      <c r="C140" s="241">
        <v>0.008</v>
      </c>
      <c r="D140" s="241">
        <v>0.0011</v>
      </c>
      <c r="E140" s="240">
        <v>76.0</v>
      </c>
      <c r="F140" s="240" t="s">
        <v>10047</v>
      </c>
    </row>
    <row r="141">
      <c r="A141" s="240">
        <v>140.0</v>
      </c>
      <c r="B141" s="240" t="s">
        <v>1055</v>
      </c>
      <c r="C141" s="241">
        <v>0.008</v>
      </c>
      <c r="D141" s="241">
        <v>8.0E-4</v>
      </c>
      <c r="E141" s="240">
        <v>70.0</v>
      </c>
      <c r="F141" s="240" t="s">
        <v>10046</v>
      </c>
    </row>
    <row r="142">
      <c r="A142" s="240">
        <v>141.0</v>
      </c>
      <c r="B142" s="240" t="s">
        <v>1120</v>
      </c>
      <c r="C142" s="241">
        <v>0.0046</v>
      </c>
      <c r="D142" s="241">
        <v>7.0E-4</v>
      </c>
      <c r="E142" s="240">
        <v>70.0</v>
      </c>
      <c r="F142" s="240" t="s">
        <v>10232</v>
      </c>
    </row>
    <row r="143">
      <c r="A143" s="240">
        <v>142.0</v>
      </c>
      <c r="B143" s="240" t="s">
        <v>10233</v>
      </c>
      <c r="C143" s="241">
        <v>0.0046</v>
      </c>
      <c r="D143" s="241">
        <v>5.0E-4</v>
      </c>
      <c r="E143" s="240">
        <v>66.0</v>
      </c>
      <c r="F143" s="240" t="s">
        <v>10234</v>
      </c>
    </row>
    <row r="144">
      <c r="A144" s="240">
        <v>143.0</v>
      </c>
      <c r="B144" s="240" t="s">
        <v>1101</v>
      </c>
      <c r="C144" s="241">
        <v>0.0046</v>
      </c>
      <c r="D144" s="241">
        <v>4.0E-4</v>
      </c>
      <c r="E144" s="240">
        <v>61.0</v>
      </c>
      <c r="F144" s="240" t="s">
        <v>10186</v>
      </c>
    </row>
    <row r="145">
      <c r="A145" s="240">
        <v>144.0</v>
      </c>
      <c r="B145" s="240" t="s">
        <v>10235</v>
      </c>
      <c r="C145" s="241">
        <v>0.0011</v>
      </c>
      <c r="D145" s="241">
        <v>2.0E-4</v>
      </c>
      <c r="E145" s="240">
        <v>89.0</v>
      </c>
      <c r="F145" s="240" t="s">
        <v>10161</v>
      </c>
    </row>
    <row r="146">
      <c r="A146" s="240">
        <v>145.0</v>
      </c>
      <c r="B146" s="240" t="s">
        <v>1138</v>
      </c>
      <c r="C146" s="241">
        <v>0.0</v>
      </c>
      <c r="D146" s="241">
        <v>0.0</v>
      </c>
      <c r="E146" s="240"/>
      <c r="F146" s="240"/>
    </row>
    <row r="147">
      <c r="A147" s="240">
        <v>146.0</v>
      </c>
      <c r="B147" s="240" t="s">
        <v>1110</v>
      </c>
      <c r="C147" s="241">
        <v>0.0</v>
      </c>
      <c r="D147" s="241">
        <v>0.0</v>
      </c>
      <c r="E147" s="240"/>
      <c r="F147" s="240"/>
    </row>
    <row r="148">
      <c r="A148" s="240">
        <v>147.0</v>
      </c>
      <c r="B148" s="240" t="s">
        <v>790</v>
      </c>
      <c r="C148" s="241">
        <v>0.0</v>
      </c>
      <c r="D148" s="241">
        <v>0.0</v>
      </c>
      <c r="E148" s="240"/>
      <c r="F148" s="240"/>
    </row>
    <row r="149">
      <c r="A149" s="240">
        <v>148.0</v>
      </c>
      <c r="B149" s="240" t="s">
        <v>1012</v>
      </c>
      <c r="C149" s="241">
        <v>0.0</v>
      </c>
      <c r="D149" s="241">
        <v>0.0</v>
      </c>
      <c r="E149" s="240"/>
      <c r="F149" s="240"/>
    </row>
    <row r="150">
      <c r="A150" s="240">
        <v>149.0</v>
      </c>
      <c r="B150" s="240" t="s">
        <v>1064</v>
      </c>
      <c r="C150" s="241">
        <v>0.0</v>
      </c>
      <c r="D150" s="241">
        <v>0.0</v>
      </c>
      <c r="E150" s="240"/>
      <c r="F150" s="240"/>
    </row>
    <row r="151">
      <c r="A151" s="240">
        <v>150.0</v>
      </c>
      <c r="B151" s="240" t="s">
        <v>862</v>
      </c>
      <c r="C151" s="241">
        <v>0.0</v>
      </c>
      <c r="D151" s="241">
        <v>0.0</v>
      </c>
      <c r="E151" s="240"/>
      <c r="F151" s="240"/>
    </row>
    <row r="152">
      <c r="A152" s="240">
        <v>151.0</v>
      </c>
      <c r="B152" s="240" t="s">
        <v>1147</v>
      </c>
      <c r="C152" s="241">
        <v>0.0</v>
      </c>
      <c r="D152" s="241">
        <v>0.0</v>
      </c>
      <c r="E152" s="240"/>
      <c r="F152" s="240"/>
    </row>
    <row r="153">
      <c r="A153" s="240">
        <v>152.0</v>
      </c>
      <c r="B153" s="240" t="s">
        <v>1153</v>
      </c>
      <c r="C153" s="241">
        <v>0.0</v>
      </c>
      <c r="D153" s="241">
        <v>0.0</v>
      </c>
      <c r="E153" s="240"/>
      <c r="F153" s="240"/>
    </row>
    <row r="154">
      <c r="A154" s="240">
        <v>153.0</v>
      </c>
      <c r="B154" s="240" t="s">
        <v>1078</v>
      </c>
      <c r="C154" s="241">
        <v>0.0</v>
      </c>
      <c r="D154" s="241">
        <v>0.0</v>
      </c>
      <c r="E154" s="240"/>
      <c r="F154"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0"/>
    <col customWidth="1" min="2" max="2" width="27.56"/>
  </cols>
  <sheetData>
    <row r="1">
      <c r="A1" s="239" t="s">
        <v>10036</v>
      </c>
      <c r="B1" s="239" t="s">
        <v>44</v>
      </c>
      <c r="C1" s="239" t="s">
        <v>10037</v>
      </c>
      <c r="D1" s="239" t="s">
        <v>10038</v>
      </c>
      <c r="E1" s="239" t="s">
        <v>10039</v>
      </c>
      <c r="F1" s="239" t="s">
        <v>10040</v>
      </c>
    </row>
    <row r="2">
      <c r="A2" s="240">
        <v>1.0</v>
      </c>
      <c r="B2" s="240" t="s">
        <v>1465</v>
      </c>
      <c r="C2" s="241">
        <v>0.246</v>
      </c>
      <c r="D2" s="241">
        <v>0.0452</v>
      </c>
      <c r="E2" s="240">
        <v>62.0</v>
      </c>
      <c r="F2" s="240" t="s">
        <v>10058</v>
      </c>
    </row>
    <row r="3">
      <c r="A3" s="240">
        <v>2.0</v>
      </c>
      <c r="B3" s="240" t="s">
        <v>1477</v>
      </c>
      <c r="C3" s="241">
        <v>0.2349</v>
      </c>
      <c r="D3" s="241">
        <v>0.0436</v>
      </c>
      <c r="E3" s="240">
        <v>67.0</v>
      </c>
      <c r="F3" s="240" t="s">
        <v>10134</v>
      </c>
    </row>
    <row r="4">
      <c r="A4" s="240">
        <v>3.0</v>
      </c>
      <c r="B4" s="240" t="s">
        <v>1370</v>
      </c>
      <c r="C4" s="241">
        <v>0.2027</v>
      </c>
      <c r="D4" s="241">
        <v>0.03</v>
      </c>
      <c r="E4" s="240">
        <v>66.0</v>
      </c>
      <c r="F4" s="240" t="s">
        <v>10057</v>
      </c>
    </row>
    <row r="5">
      <c r="A5" s="240">
        <v>4.0</v>
      </c>
      <c r="B5" s="240" t="s">
        <v>1490</v>
      </c>
      <c r="C5" s="241">
        <v>0.2015</v>
      </c>
      <c r="D5" s="241">
        <v>0.0428</v>
      </c>
      <c r="E5" s="240">
        <v>81.0</v>
      </c>
      <c r="F5" s="240" t="s">
        <v>10056</v>
      </c>
    </row>
    <row r="6">
      <c r="A6" s="240">
        <v>5.0</v>
      </c>
      <c r="B6" s="240" t="s">
        <v>1497</v>
      </c>
      <c r="C6" s="241">
        <v>0.2015</v>
      </c>
      <c r="D6" s="241">
        <v>0.0336</v>
      </c>
      <c r="E6" s="240">
        <v>66.0</v>
      </c>
      <c r="F6" s="240" t="s">
        <v>10117</v>
      </c>
    </row>
    <row r="7">
      <c r="A7" s="240">
        <v>6.0</v>
      </c>
      <c r="B7" s="240" t="s">
        <v>1503</v>
      </c>
      <c r="C7" s="241">
        <v>0.1755</v>
      </c>
      <c r="D7" s="241">
        <v>0.0305</v>
      </c>
      <c r="E7" s="240">
        <v>70.0</v>
      </c>
      <c r="F7" s="240" t="s">
        <v>10044</v>
      </c>
    </row>
    <row r="8">
      <c r="A8" s="240">
        <v>7.0</v>
      </c>
      <c r="B8" s="240" t="s">
        <v>1509</v>
      </c>
      <c r="C8" s="241">
        <v>0.157</v>
      </c>
      <c r="D8" s="241">
        <v>0.0224</v>
      </c>
      <c r="E8" s="240">
        <v>63.0</v>
      </c>
      <c r="F8" s="240" t="s">
        <v>10075</v>
      </c>
    </row>
    <row r="9">
      <c r="A9" s="240">
        <v>8.0</v>
      </c>
      <c r="B9" s="240" t="s">
        <v>1513</v>
      </c>
      <c r="C9" s="241">
        <v>0.1508</v>
      </c>
      <c r="D9" s="241">
        <v>0.0313</v>
      </c>
      <c r="E9" s="240">
        <v>65.0</v>
      </c>
      <c r="F9" s="240" t="s">
        <v>10151</v>
      </c>
    </row>
    <row r="10">
      <c r="A10" s="240">
        <v>9.0</v>
      </c>
      <c r="B10" s="240" t="s">
        <v>1521</v>
      </c>
      <c r="C10" s="241">
        <v>0.1446</v>
      </c>
      <c r="D10" s="241">
        <v>0.0234</v>
      </c>
      <c r="E10" s="240">
        <v>64.0</v>
      </c>
      <c r="F10" s="240" t="s">
        <v>10140</v>
      </c>
    </row>
    <row r="11">
      <c r="A11" s="240">
        <v>10.0</v>
      </c>
      <c r="B11" s="240" t="s">
        <v>1559</v>
      </c>
      <c r="C11" s="241">
        <v>0.1347</v>
      </c>
      <c r="D11" s="241">
        <v>0.019</v>
      </c>
      <c r="E11" s="240">
        <v>64.0</v>
      </c>
      <c r="F11" s="240" t="s">
        <v>10128</v>
      </c>
    </row>
    <row r="12">
      <c r="A12" s="240">
        <v>11.0</v>
      </c>
      <c r="B12" s="240" t="s">
        <v>578</v>
      </c>
      <c r="C12" s="241">
        <v>0.1323</v>
      </c>
      <c r="D12" s="241">
        <v>0.0222</v>
      </c>
      <c r="E12" s="240">
        <v>76.0</v>
      </c>
      <c r="F12" s="240" t="s">
        <v>10056</v>
      </c>
    </row>
    <row r="13">
      <c r="A13" s="240">
        <v>12.0</v>
      </c>
      <c r="B13" s="240" t="s">
        <v>1601</v>
      </c>
      <c r="C13" s="241">
        <v>0.1224</v>
      </c>
      <c r="D13" s="241">
        <v>0.02</v>
      </c>
      <c r="E13" s="240">
        <v>68.0</v>
      </c>
      <c r="F13" s="240" t="s">
        <v>10073</v>
      </c>
    </row>
    <row r="14">
      <c r="A14" s="240">
        <v>13.0</v>
      </c>
      <c r="B14" s="240" t="s">
        <v>760</v>
      </c>
      <c r="C14" s="241">
        <v>0.1211</v>
      </c>
      <c r="D14" s="241">
        <v>0.0202</v>
      </c>
      <c r="E14" s="240">
        <v>69.0</v>
      </c>
      <c r="F14" s="240" t="s">
        <v>10043</v>
      </c>
    </row>
    <row r="15">
      <c r="A15" s="240">
        <v>14.0</v>
      </c>
      <c r="B15" s="240" t="s">
        <v>1635</v>
      </c>
      <c r="C15" s="241">
        <v>0.1199</v>
      </c>
      <c r="D15" s="241">
        <v>0.0177</v>
      </c>
      <c r="E15" s="240">
        <v>63.0</v>
      </c>
      <c r="F15" s="240" t="s">
        <v>10112</v>
      </c>
    </row>
    <row r="16">
      <c r="A16" s="240">
        <v>15.0</v>
      </c>
      <c r="B16" s="240" t="s">
        <v>1654</v>
      </c>
      <c r="C16" s="241">
        <v>0.1162</v>
      </c>
      <c r="D16" s="241">
        <v>0.0205</v>
      </c>
      <c r="E16" s="240">
        <v>67.0</v>
      </c>
      <c r="F16" s="240" t="s">
        <v>10093</v>
      </c>
    </row>
    <row r="17">
      <c r="A17" s="240">
        <v>16.0</v>
      </c>
      <c r="B17" s="240" t="s">
        <v>1670</v>
      </c>
      <c r="C17" s="241">
        <v>0.0902</v>
      </c>
      <c r="D17" s="241">
        <v>0.0124</v>
      </c>
      <c r="E17" s="240">
        <v>67.0</v>
      </c>
      <c r="F17" s="240" t="s">
        <v>10054</v>
      </c>
    </row>
    <row r="18">
      <c r="A18" s="240">
        <v>17.0</v>
      </c>
      <c r="B18" s="240" t="s">
        <v>1687</v>
      </c>
      <c r="C18" s="241">
        <v>0.089</v>
      </c>
      <c r="D18" s="241">
        <v>0.0124</v>
      </c>
      <c r="E18" s="240">
        <v>67.0</v>
      </c>
      <c r="F18" s="240" t="s">
        <v>10080</v>
      </c>
    </row>
    <row r="19">
      <c r="A19" s="240">
        <v>18.0</v>
      </c>
      <c r="B19" s="240" t="s">
        <v>1702</v>
      </c>
      <c r="C19" s="241">
        <v>0.0828</v>
      </c>
      <c r="D19" s="241">
        <v>0.0174</v>
      </c>
      <c r="E19" s="240">
        <v>75.0</v>
      </c>
      <c r="F19" s="240" t="s">
        <v>10099</v>
      </c>
    </row>
    <row r="20">
      <c r="A20" s="240">
        <v>19.0</v>
      </c>
      <c r="B20" s="240" t="s">
        <v>1021</v>
      </c>
      <c r="C20" s="241">
        <v>0.0779</v>
      </c>
      <c r="D20" s="241">
        <v>0.015</v>
      </c>
      <c r="E20" s="240">
        <v>56.0</v>
      </c>
      <c r="F20" s="240" t="s">
        <v>10184</v>
      </c>
    </row>
    <row r="21">
      <c r="A21" s="240">
        <v>20.0</v>
      </c>
      <c r="B21" s="240" t="s">
        <v>1733</v>
      </c>
      <c r="C21" s="241">
        <v>0.0779</v>
      </c>
      <c r="D21" s="241">
        <v>0.0105</v>
      </c>
      <c r="E21" s="240">
        <v>65.0</v>
      </c>
      <c r="F21" s="240" t="s">
        <v>10080</v>
      </c>
    </row>
    <row r="22">
      <c r="A22" s="240">
        <v>21.0</v>
      </c>
      <c r="B22" s="240" t="s">
        <v>1750</v>
      </c>
      <c r="C22" s="241">
        <v>0.0742</v>
      </c>
      <c r="D22" s="241">
        <v>0.0094</v>
      </c>
      <c r="E22" s="240">
        <v>74.0</v>
      </c>
      <c r="F22" s="240" t="s">
        <v>10112</v>
      </c>
    </row>
    <row r="23">
      <c r="A23" s="240">
        <v>22.0</v>
      </c>
      <c r="B23" s="240" t="s">
        <v>380</v>
      </c>
      <c r="C23" s="241">
        <v>0.0717</v>
      </c>
      <c r="D23" s="241">
        <v>0.0149</v>
      </c>
      <c r="E23" s="240">
        <v>62.0</v>
      </c>
      <c r="F23" s="240" t="s">
        <v>10134</v>
      </c>
    </row>
    <row r="24">
      <c r="A24" s="240">
        <v>23.0</v>
      </c>
      <c r="B24" s="240" t="s">
        <v>1778</v>
      </c>
      <c r="C24" s="241">
        <v>0.0667</v>
      </c>
      <c r="D24" s="241">
        <v>0.0105</v>
      </c>
      <c r="E24" s="240">
        <v>55.0</v>
      </c>
      <c r="F24" s="240" t="s">
        <v>10093</v>
      </c>
    </row>
    <row r="25">
      <c r="A25" s="240">
        <v>24.0</v>
      </c>
      <c r="B25" s="240" t="s">
        <v>1406</v>
      </c>
      <c r="C25" s="241">
        <v>0.063</v>
      </c>
      <c r="D25" s="241">
        <v>0.0128</v>
      </c>
      <c r="E25" s="240">
        <v>61.0</v>
      </c>
      <c r="F25" s="240" t="s">
        <v>10041</v>
      </c>
    </row>
    <row r="26">
      <c r="A26" s="240">
        <v>25.0</v>
      </c>
      <c r="B26" s="240" t="s">
        <v>1810</v>
      </c>
      <c r="C26" s="241">
        <v>0.0606</v>
      </c>
      <c r="D26" s="241">
        <v>0.0073</v>
      </c>
      <c r="E26" s="240">
        <v>70.0</v>
      </c>
      <c r="F26" s="240" t="s">
        <v>10112</v>
      </c>
    </row>
    <row r="27">
      <c r="A27" s="240">
        <v>26.0</v>
      </c>
      <c r="B27" s="240" t="s">
        <v>3112</v>
      </c>
      <c r="C27" s="241">
        <v>0.0569</v>
      </c>
      <c r="D27" s="241">
        <v>0.0083</v>
      </c>
      <c r="E27" s="240">
        <v>66.0</v>
      </c>
      <c r="F27" s="240" t="s">
        <v>10091</v>
      </c>
    </row>
    <row r="28">
      <c r="A28" s="240">
        <v>27.0</v>
      </c>
      <c r="B28" s="240" t="s">
        <v>3465</v>
      </c>
      <c r="C28" s="241">
        <v>0.0569</v>
      </c>
      <c r="D28" s="241">
        <v>0.0072</v>
      </c>
      <c r="E28" s="240">
        <v>60.0</v>
      </c>
      <c r="F28" s="240" t="s">
        <v>10117</v>
      </c>
    </row>
    <row r="29">
      <c r="A29" s="240">
        <v>28.0</v>
      </c>
      <c r="B29" s="240" t="s">
        <v>912</v>
      </c>
      <c r="C29" s="241">
        <v>0.0544</v>
      </c>
      <c r="D29" s="241">
        <v>0.0111</v>
      </c>
      <c r="E29" s="240">
        <v>52.0</v>
      </c>
      <c r="F29" s="240" t="s">
        <v>10236</v>
      </c>
    </row>
    <row r="30">
      <c r="A30" s="240">
        <v>29.0</v>
      </c>
      <c r="B30" s="240" t="s">
        <v>10079</v>
      </c>
      <c r="C30" s="241">
        <v>0.0544</v>
      </c>
      <c r="D30" s="241">
        <v>0.0087</v>
      </c>
      <c r="E30" s="240">
        <v>56.0</v>
      </c>
      <c r="F30" s="240" t="s">
        <v>10080</v>
      </c>
    </row>
    <row r="31">
      <c r="A31" s="240">
        <v>30.0</v>
      </c>
      <c r="B31" s="240" t="s">
        <v>3162</v>
      </c>
      <c r="C31" s="241">
        <v>0.0544</v>
      </c>
      <c r="D31" s="241">
        <v>0.008</v>
      </c>
      <c r="E31" s="240">
        <v>73.0</v>
      </c>
      <c r="F31" s="240" t="s">
        <v>10046</v>
      </c>
    </row>
    <row r="32">
      <c r="A32" s="240">
        <v>31.0</v>
      </c>
      <c r="B32" s="240" t="s">
        <v>6299</v>
      </c>
      <c r="C32" s="241">
        <v>0.0532</v>
      </c>
      <c r="D32" s="241">
        <v>0.0085</v>
      </c>
      <c r="E32" s="240">
        <v>58.0</v>
      </c>
      <c r="F32" s="240" t="s">
        <v>10080</v>
      </c>
    </row>
    <row r="33">
      <c r="A33" s="240">
        <v>32.0</v>
      </c>
      <c r="B33" s="240" t="s">
        <v>3239</v>
      </c>
      <c r="C33" s="241">
        <v>0.0532</v>
      </c>
      <c r="D33" s="241">
        <v>0.0066</v>
      </c>
      <c r="E33" s="240">
        <v>61.0</v>
      </c>
      <c r="F33" s="240" t="s">
        <v>10208</v>
      </c>
    </row>
    <row r="34">
      <c r="A34" s="240">
        <v>33.0</v>
      </c>
      <c r="B34" s="240" t="s">
        <v>6409</v>
      </c>
      <c r="C34" s="241">
        <v>0.0519</v>
      </c>
      <c r="D34" s="241">
        <v>0.008</v>
      </c>
      <c r="E34" s="240">
        <v>65.0</v>
      </c>
      <c r="F34" s="240" t="s">
        <v>10054</v>
      </c>
    </row>
    <row r="35">
      <c r="A35" s="240">
        <v>34.0</v>
      </c>
      <c r="B35" s="240" t="s">
        <v>1473</v>
      </c>
      <c r="C35" s="241">
        <v>0.0507</v>
      </c>
      <c r="D35" s="241">
        <v>0.0116</v>
      </c>
      <c r="E35" s="240">
        <v>68.0</v>
      </c>
      <c r="F35" s="240" t="s">
        <v>10151</v>
      </c>
    </row>
    <row r="36">
      <c r="A36" s="240">
        <v>35.0</v>
      </c>
      <c r="B36" s="240" t="s">
        <v>2001</v>
      </c>
      <c r="C36" s="241">
        <v>0.0507</v>
      </c>
      <c r="D36" s="241">
        <v>0.0068</v>
      </c>
      <c r="E36" s="240">
        <v>52.0</v>
      </c>
      <c r="F36" s="240" t="s">
        <v>10110</v>
      </c>
    </row>
    <row r="37">
      <c r="A37" s="240">
        <v>36.0</v>
      </c>
      <c r="B37" s="240" t="s">
        <v>10237</v>
      </c>
      <c r="C37" s="241">
        <v>0.0494</v>
      </c>
      <c r="D37" s="241">
        <v>0.0072</v>
      </c>
      <c r="E37" s="240">
        <v>68.0</v>
      </c>
      <c r="F37" s="240" t="s">
        <v>10151</v>
      </c>
    </row>
    <row r="38">
      <c r="A38" s="240">
        <v>37.0</v>
      </c>
      <c r="B38" s="240" t="s">
        <v>10238</v>
      </c>
      <c r="C38" s="241">
        <v>0.0482</v>
      </c>
      <c r="D38" s="241">
        <v>0.0072</v>
      </c>
      <c r="E38" s="240">
        <v>70.0</v>
      </c>
      <c r="F38" s="240" t="s">
        <v>10042</v>
      </c>
    </row>
    <row r="39">
      <c r="A39" s="240">
        <v>38.0</v>
      </c>
      <c r="B39" s="240" t="s">
        <v>10138</v>
      </c>
      <c r="C39" s="241">
        <v>0.0457</v>
      </c>
      <c r="D39" s="241">
        <v>0.0072</v>
      </c>
      <c r="E39" s="240">
        <v>56.0</v>
      </c>
      <c r="F39" s="240" t="s">
        <v>10192</v>
      </c>
    </row>
    <row r="40">
      <c r="A40" s="240">
        <v>39.0</v>
      </c>
      <c r="B40" s="240" t="s">
        <v>10239</v>
      </c>
      <c r="C40" s="241">
        <v>0.0445</v>
      </c>
      <c r="D40" s="241">
        <v>0.0067</v>
      </c>
      <c r="E40" s="240">
        <v>65.0</v>
      </c>
      <c r="F40" s="240" t="s">
        <v>10144</v>
      </c>
    </row>
    <row r="41">
      <c r="A41" s="240">
        <v>40.0</v>
      </c>
      <c r="B41" s="240" t="s">
        <v>6661</v>
      </c>
      <c r="C41" s="241">
        <v>0.0433</v>
      </c>
      <c r="D41" s="241">
        <v>0.0083</v>
      </c>
      <c r="E41" s="240">
        <v>69.0</v>
      </c>
      <c r="F41" s="240" t="s">
        <v>10073</v>
      </c>
    </row>
    <row r="42">
      <c r="A42" s="240">
        <v>41.0</v>
      </c>
      <c r="B42" s="240" t="s">
        <v>1039</v>
      </c>
      <c r="C42" s="241">
        <v>0.0433</v>
      </c>
      <c r="D42" s="241">
        <v>0.0076</v>
      </c>
      <c r="E42" s="240">
        <v>53.0</v>
      </c>
      <c r="F42" s="240" t="s">
        <v>10112</v>
      </c>
    </row>
    <row r="43">
      <c r="A43" s="240">
        <v>42.0</v>
      </c>
      <c r="B43" s="240" t="s">
        <v>10240</v>
      </c>
      <c r="C43" s="241">
        <v>0.042</v>
      </c>
      <c r="D43" s="241">
        <v>0.0092</v>
      </c>
      <c r="E43" s="240">
        <v>47.0</v>
      </c>
      <c r="F43" s="240" t="s">
        <v>10234</v>
      </c>
    </row>
    <row r="44">
      <c r="A44" s="240">
        <v>43.0</v>
      </c>
      <c r="B44" s="240" t="s">
        <v>3246</v>
      </c>
      <c r="C44" s="241">
        <v>0.042</v>
      </c>
      <c r="D44" s="241">
        <v>0.0073</v>
      </c>
      <c r="E44" s="240">
        <v>66.0</v>
      </c>
      <c r="F44" s="240" t="s">
        <v>10054</v>
      </c>
    </row>
    <row r="45">
      <c r="A45" s="240">
        <v>44.0</v>
      </c>
      <c r="B45" s="240" t="s">
        <v>10241</v>
      </c>
      <c r="C45" s="241">
        <v>0.0408</v>
      </c>
      <c r="D45" s="241">
        <v>0.0057</v>
      </c>
      <c r="E45" s="240">
        <v>66.0</v>
      </c>
      <c r="F45" s="240" t="s">
        <v>10057</v>
      </c>
    </row>
    <row r="46">
      <c r="A46" s="240">
        <v>45.0</v>
      </c>
      <c r="B46" s="240" t="s">
        <v>10242</v>
      </c>
      <c r="C46" s="241">
        <v>0.0396</v>
      </c>
      <c r="D46" s="241">
        <v>0.0049</v>
      </c>
      <c r="E46" s="240">
        <v>56.0</v>
      </c>
      <c r="F46" s="240" t="s">
        <v>10093</v>
      </c>
    </row>
    <row r="47">
      <c r="A47" s="240">
        <v>46.0</v>
      </c>
      <c r="B47" s="240" t="s">
        <v>9715</v>
      </c>
      <c r="C47" s="241">
        <v>0.0358</v>
      </c>
      <c r="D47" s="241">
        <v>0.0066</v>
      </c>
      <c r="E47" s="240">
        <v>65.0</v>
      </c>
      <c r="F47" s="240" t="s">
        <v>10073</v>
      </c>
    </row>
    <row r="48">
      <c r="A48" s="240">
        <v>47.0</v>
      </c>
      <c r="B48" s="240" t="s">
        <v>3421</v>
      </c>
      <c r="C48" s="241">
        <v>0.0358</v>
      </c>
      <c r="D48" s="241">
        <v>0.0062</v>
      </c>
      <c r="E48" s="240">
        <v>63.0</v>
      </c>
      <c r="F48" s="240" t="s">
        <v>10156</v>
      </c>
    </row>
    <row r="49">
      <c r="A49" s="240">
        <v>48.0</v>
      </c>
      <c r="B49" s="240" t="s">
        <v>10243</v>
      </c>
      <c r="C49" s="241">
        <v>0.0358</v>
      </c>
      <c r="D49" s="241">
        <v>0.0053</v>
      </c>
      <c r="E49" s="240">
        <v>68.0</v>
      </c>
      <c r="F49" s="240" t="s">
        <v>10047</v>
      </c>
    </row>
    <row r="50">
      <c r="A50" s="240">
        <v>49.0</v>
      </c>
      <c r="B50" s="240" t="s">
        <v>10244</v>
      </c>
      <c r="C50" s="241">
        <v>0.0346</v>
      </c>
      <c r="D50" s="241">
        <v>0.0051</v>
      </c>
      <c r="E50" s="240">
        <v>68.0</v>
      </c>
      <c r="F50" s="240" t="s">
        <v>10053</v>
      </c>
    </row>
    <row r="51">
      <c r="A51" s="240">
        <v>50.0</v>
      </c>
      <c r="B51" s="240" t="s">
        <v>10245</v>
      </c>
      <c r="C51" s="241">
        <v>0.0334</v>
      </c>
      <c r="D51" s="241">
        <v>0.0043</v>
      </c>
      <c r="E51" s="240">
        <v>70.0</v>
      </c>
      <c r="F51" s="240" t="s">
        <v>10246</v>
      </c>
    </row>
    <row r="52">
      <c r="A52" s="240">
        <v>51.0</v>
      </c>
      <c r="B52" s="240" t="s">
        <v>10247</v>
      </c>
      <c r="C52" s="241">
        <v>0.0334</v>
      </c>
      <c r="D52" s="241">
        <v>0.0043</v>
      </c>
      <c r="E52" s="240">
        <v>60.0</v>
      </c>
      <c r="F52" s="240" t="s">
        <v>10248</v>
      </c>
    </row>
    <row r="53">
      <c r="A53" s="240">
        <v>52.0</v>
      </c>
      <c r="B53" s="240" t="s">
        <v>10249</v>
      </c>
      <c r="C53" s="241">
        <v>0.0321</v>
      </c>
      <c r="D53" s="241">
        <v>0.0058</v>
      </c>
      <c r="E53" s="240">
        <v>68.0</v>
      </c>
      <c r="F53" s="240" t="s">
        <v>10056</v>
      </c>
    </row>
    <row r="54">
      <c r="A54" s="240">
        <v>53.0</v>
      </c>
      <c r="B54" s="240" t="s">
        <v>3305</v>
      </c>
      <c r="C54" s="241">
        <v>0.0321</v>
      </c>
      <c r="D54" s="241">
        <v>0.0057</v>
      </c>
      <c r="E54" s="240">
        <v>66.0</v>
      </c>
      <c r="F54" s="240" t="s">
        <v>10050</v>
      </c>
    </row>
    <row r="55">
      <c r="A55" s="240">
        <v>54.0</v>
      </c>
      <c r="B55" s="240" t="s">
        <v>10250</v>
      </c>
      <c r="C55" s="241">
        <v>0.0309</v>
      </c>
      <c r="D55" s="241">
        <v>0.0091</v>
      </c>
      <c r="E55" s="240">
        <v>54.0</v>
      </c>
      <c r="F55" s="240" t="s">
        <v>10112</v>
      </c>
    </row>
    <row r="56">
      <c r="A56" s="240">
        <v>55.0</v>
      </c>
      <c r="B56" s="240" t="s">
        <v>10251</v>
      </c>
      <c r="C56" s="241">
        <v>0.0309</v>
      </c>
      <c r="D56" s="241">
        <v>0.0047</v>
      </c>
      <c r="E56" s="240">
        <v>58.0</v>
      </c>
      <c r="F56" s="240" t="s">
        <v>10214</v>
      </c>
    </row>
    <row r="57">
      <c r="A57" s="240">
        <v>56.0</v>
      </c>
      <c r="B57" s="240" t="s">
        <v>10068</v>
      </c>
      <c r="C57" s="241">
        <v>0.0297</v>
      </c>
      <c r="D57" s="241">
        <v>0.0047</v>
      </c>
      <c r="E57" s="240">
        <v>75.0</v>
      </c>
      <c r="F57" s="240" t="s">
        <v>10046</v>
      </c>
    </row>
    <row r="58">
      <c r="A58" s="240">
        <v>57.0</v>
      </c>
      <c r="B58" s="240" t="s">
        <v>10252</v>
      </c>
      <c r="C58" s="241">
        <v>0.0297</v>
      </c>
      <c r="D58" s="241">
        <v>0.0038</v>
      </c>
      <c r="E58" s="240">
        <v>57.0</v>
      </c>
      <c r="F58" s="240" t="s">
        <v>10164</v>
      </c>
    </row>
    <row r="59">
      <c r="A59" s="240">
        <v>58.0</v>
      </c>
      <c r="B59" s="240" t="s">
        <v>10253</v>
      </c>
      <c r="C59" s="241">
        <v>0.0297</v>
      </c>
      <c r="D59" s="241">
        <v>0.0034</v>
      </c>
      <c r="E59" s="240">
        <v>61.0</v>
      </c>
      <c r="F59" s="240" t="s">
        <v>10073</v>
      </c>
    </row>
    <row r="60">
      <c r="A60" s="240">
        <v>59.0</v>
      </c>
      <c r="B60" s="240" t="s">
        <v>10254</v>
      </c>
      <c r="C60" s="241">
        <v>0.0284</v>
      </c>
      <c r="D60" s="241">
        <v>0.0059</v>
      </c>
      <c r="E60" s="240">
        <v>67.0</v>
      </c>
      <c r="F60" s="240" t="s">
        <v>10051</v>
      </c>
    </row>
    <row r="61">
      <c r="A61" s="240">
        <v>60.0</v>
      </c>
      <c r="B61" s="243" t="s">
        <v>1466</v>
      </c>
      <c r="C61" s="241">
        <v>0.0284</v>
      </c>
      <c r="D61" s="241">
        <v>0.0048</v>
      </c>
      <c r="E61" s="240">
        <v>66.0</v>
      </c>
      <c r="F61" s="240" t="s">
        <v>10099</v>
      </c>
    </row>
    <row r="62">
      <c r="A62" s="240">
        <v>61.0</v>
      </c>
      <c r="B62" s="240" t="s">
        <v>6014</v>
      </c>
      <c r="C62" s="241">
        <v>0.0284</v>
      </c>
      <c r="D62" s="241">
        <v>0.0032</v>
      </c>
      <c r="E62" s="240">
        <v>65.0</v>
      </c>
      <c r="F62" s="240" t="s">
        <v>10081</v>
      </c>
    </row>
    <row r="63">
      <c r="A63" s="240">
        <v>62.0</v>
      </c>
      <c r="B63" s="240" t="s">
        <v>10255</v>
      </c>
      <c r="C63" s="241">
        <v>0.0272</v>
      </c>
      <c r="D63" s="241">
        <v>0.007</v>
      </c>
      <c r="E63" s="240">
        <v>59.0</v>
      </c>
      <c r="F63" s="240" t="s">
        <v>10189</v>
      </c>
    </row>
    <row r="64">
      <c r="A64" s="240">
        <v>63.0</v>
      </c>
      <c r="B64" s="240" t="s">
        <v>5756</v>
      </c>
      <c r="C64" s="241">
        <v>0.0272</v>
      </c>
      <c r="D64" s="241">
        <v>0.0046</v>
      </c>
      <c r="E64" s="240">
        <v>72.0</v>
      </c>
      <c r="F64" s="240" t="s">
        <v>10184</v>
      </c>
    </row>
    <row r="65">
      <c r="A65" s="240">
        <v>64.0</v>
      </c>
      <c r="B65" s="240" t="s">
        <v>10256</v>
      </c>
      <c r="C65" s="241">
        <v>0.0272</v>
      </c>
      <c r="D65" s="241">
        <v>0.0035</v>
      </c>
      <c r="E65" s="240">
        <v>59.0</v>
      </c>
      <c r="F65" s="240" t="s">
        <v>10081</v>
      </c>
    </row>
    <row r="66">
      <c r="A66" s="240">
        <v>65.0</v>
      </c>
      <c r="B66" s="240" t="s">
        <v>10257</v>
      </c>
      <c r="C66" s="241">
        <v>0.026</v>
      </c>
      <c r="D66" s="241">
        <v>0.0072</v>
      </c>
      <c r="E66" s="240">
        <v>58.0</v>
      </c>
      <c r="F66" s="240" t="s">
        <v>10091</v>
      </c>
    </row>
    <row r="67">
      <c r="A67" s="240">
        <v>66.0</v>
      </c>
      <c r="B67" s="240" t="s">
        <v>10258</v>
      </c>
      <c r="C67" s="241">
        <v>0.026</v>
      </c>
      <c r="D67" s="241">
        <v>0.0046</v>
      </c>
      <c r="E67" s="240">
        <v>66.0</v>
      </c>
      <c r="F67" s="240" t="s">
        <v>10070</v>
      </c>
    </row>
    <row r="68">
      <c r="A68" s="240">
        <v>67.0</v>
      </c>
      <c r="B68" s="240" t="s">
        <v>10259</v>
      </c>
      <c r="C68" s="241">
        <v>0.026</v>
      </c>
      <c r="D68" s="241">
        <v>0.0034</v>
      </c>
      <c r="E68" s="240">
        <v>71.0</v>
      </c>
      <c r="F68" s="240" t="s">
        <v>10093</v>
      </c>
    </row>
    <row r="69">
      <c r="A69" s="240">
        <v>68.0</v>
      </c>
      <c r="B69" s="240" t="s">
        <v>10260</v>
      </c>
      <c r="C69" s="241">
        <v>0.026</v>
      </c>
      <c r="D69" s="241">
        <v>0.0034</v>
      </c>
      <c r="E69" s="240">
        <v>69.0</v>
      </c>
      <c r="F69" s="240" t="s">
        <v>10261</v>
      </c>
    </row>
    <row r="70">
      <c r="A70" s="240">
        <v>69.0</v>
      </c>
      <c r="B70" s="240" t="s">
        <v>3204</v>
      </c>
      <c r="C70" s="241">
        <v>0.026</v>
      </c>
      <c r="D70" s="241">
        <v>0.0033</v>
      </c>
      <c r="E70" s="240">
        <v>63.0</v>
      </c>
      <c r="F70" s="240" t="s">
        <v>10140</v>
      </c>
    </row>
    <row r="71">
      <c r="A71" s="240">
        <v>70.0</v>
      </c>
      <c r="B71" s="240" t="s">
        <v>10262</v>
      </c>
      <c r="C71" s="241">
        <v>0.0247</v>
      </c>
      <c r="D71" s="241">
        <v>0.0052</v>
      </c>
      <c r="E71" s="240">
        <v>63.0</v>
      </c>
      <c r="F71" s="240" t="s">
        <v>10042</v>
      </c>
    </row>
    <row r="72">
      <c r="A72" s="240">
        <v>71.0</v>
      </c>
      <c r="B72" s="240" t="s">
        <v>960</v>
      </c>
      <c r="C72" s="241">
        <v>0.0247</v>
      </c>
      <c r="D72" s="241">
        <v>0.0038</v>
      </c>
      <c r="E72" s="240">
        <v>75.0</v>
      </c>
      <c r="F72" s="240" t="s">
        <v>10069</v>
      </c>
    </row>
    <row r="73">
      <c r="A73" s="240">
        <v>72.0</v>
      </c>
      <c r="B73" s="240" t="s">
        <v>10263</v>
      </c>
      <c r="C73" s="241">
        <v>0.0247</v>
      </c>
      <c r="D73" s="241">
        <v>0.0037</v>
      </c>
      <c r="E73" s="240">
        <v>59.0</v>
      </c>
      <c r="F73" s="240" t="s">
        <v>10199</v>
      </c>
    </row>
    <row r="74">
      <c r="A74" s="240">
        <v>73.0</v>
      </c>
      <c r="B74" s="240" t="s">
        <v>10264</v>
      </c>
      <c r="C74" s="241">
        <v>0.0235</v>
      </c>
      <c r="D74" s="241">
        <v>0.0044</v>
      </c>
      <c r="E74" s="240">
        <v>58.0</v>
      </c>
      <c r="F74" s="240" t="s">
        <v>10058</v>
      </c>
    </row>
    <row r="75">
      <c r="A75" s="240">
        <v>74.0</v>
      </c>
      <c r="B75" s="240" t="s">
        <v>6131</v>
      </c>
      <c r="C75" s="241">
        <v>0.0235</v>
      </c>
      <c r="D75" s="241">
        <v>0.0043</v>
      </c>
      <c r="E75" s="240">
        <v>57.0</v>
      </c>
      <c r="F75" s="240" t="s">
        <v>10153</v>
      </c>
    </row>
    <row r="76">
      <c r="A76" s="240">
        <v>75.0</v>
      </c>
      <c r="B76" s="240" t="s">
        <v>10265</v>
      </c>
      <c r="C76" s="241">
        <v>0.0235</v>
      </c>
      <c r="D76" s="241">
        <v>0.0033</v>
      </c>
      <c r="E76" s="240">
        <v>55.0</v>
      </c>
      <c r="F76" s="240" t="s">
        <v>10093</v>
      </c>
    </row>
    <row r="77">
      <c r="A77" s="240">
        <v>76.0</v>
      </c>
      <c r="B77" s="240" t="s">
        <v>10266</v>
      </c>
      <c r="C77" s="241">
        <v>0.0222</v>
      </c>
      <c r="D77" s="241">
        <v>0.0037</v>
      </c>
      <c r="E77" s="240">
        <v>62.0</v>
      </c>
      <c r="F77" s="240" t="s">
        <v>10164</v>
      </c>
    </row>
    <row r="78">
      <c r="A78" s="240">
        <v>77.0</v>
      </c>
      <c r="B78" s="240" t="s">
        <v>10267</v>
      </c>
      <c r="C78" s="241">
        <v>0.0222</v>
      </c>
      <c r="D78" s="241">
        <v>0.0032</v>
      </c>
      <c r="E78" s="240">
        <v>76.0</v>
      </c>
      <c r="F78" s="240" t="s">
        <v>10184</v>
      </c>
    </row>
    <row r="79">
      <c r="A79" s="240">
        <v>78.0</v>
      </c>
      <c r="B79" s="240" t="s">
        <v>10268</v>
      </c>
      <c r="C79" s="241">
        <v>0.0222</v>
      </c>
      <c r="D79" s="241">
        <v>0.003</v>
      </c>
      <c r="E79" s="240">
        <v>60.0</v>
      </c>
      <c r="F79" s="240" t="s">
        <v>10214</v>
      </c>
    </row>
    <row r="80">
      <c r="A80" s="240">
        <v>79.0</v>
      </c>
      <c r="B80" s="240" t="s">
        <v>10269</v>
      </c>
      <c r="C80" s="241">
        <v>0.0222</v>
      </c>
      <c r="D80" s="241">
        <v>0.0023</v>
      </c>
      <c r="E80" s="240">
        <v>70.0</v>
      </c>
      <c r="F80" s="240" t="s">
        <v>10069</v>
      </c>
    </row>
    <row r="81">
      <c r="A81" s="240">
        <v>80.0</v>
      </c>
      <c r="B81" s="240" t="s">
        <v>10270</v>
      </c>
      <c r="C81" s="241">
        <v>0.0222</v>
      </c>
      <c r="D81" s="241">
        <v>0.0023</v>
      </c>
      <c r="E81" s="240">
        <v>70.0</v>
      </c>
      <c r="F81" s="240" t="s">
        <v>10143</v>
      </c>
    </row>
    <row r="82">
      <c r="A82" s="240">
        <v>81.0</v>
      </c>
      <c r="B82" s="240" t="s">
        <v>10271</v>
      </c>
      <c r="C82" s="241">
        <v>0.0222</v>
      </c>
      <c r="D82" s="241">
        <v>0.0023</v>
      </c>
      <c r="E82" s="240">
        <v>70.0</v>
      </c>
      <c r="F82" s="240" t="s">
        <v>10128</v>
      </c>
    </row>
    <row r="83">
      <c r="A83" s="240">
        <v>82.0</v>
      </c>
      <c r="B83" s="240" t="s">
        <v>10102</v>
      </c>
      <c r="C83" s="241">
        <v>0.021</v>
      </c>
      <c r="D83" s="241">
        <v>0.0047</v>
      </c>
      <c r="E83" s="240">
        <v>61.0</v>
      </c>
      <c r="F83" s="240" t="s">
        <v>10058</v>
      </c>
    </row>
    <row r="84">
      <c r="A84" s="240">
        <v>83.0</v>
      </c>
      <c r="B84" s="240" t="s">
        <v>10272</v>
      </c>
      <c r="C84" s="241">
        <v>0.021</v>
      </c>
      <c r="D84" s="241">
        <v>0.004</v>
      </c>
      <c r="E84" s="240">
        <v>61.0</v>
      </c>
      <c r="F84" s="240" t="s">
        <v>10117</v>
      </c>
    </row>
    <row r="85">
      <c r="A85" s="240">
        <v>84.0</v>
      </c>
      <c r="B85" s="240" t="s">
        <v>3217</v>
      </c>
      <c r="C85" s="241">
        <v>0.021</v>
      </c>
      <c r="D85" s="241">
        <v>0.0039</v>
      </c>
      <c r="E85" s="240">
        <v>68.0</v>
      </c>
      <c r="F85" s="240" t="s">
        <v>10057</v>
      </c>
    </row>
    <row r="86">
      <c r="A86" s="240">
        <v>85.0</v>
      </c>
      <c r="B86" s="240" t="s">
        <v>6424</v>
      </c>
      <c r="C86" s="241">
        <v>0.0198</v>
      </c>
      <c r="D86" s="241">
        <v>0.003</v>
      </c>
      <c r="E86" s="240">
        <v>66.0</v>
      </c>
      <c r="F86" s="240" t="s">
        <v>10053</v>
      </c>
    </row>
    <row r="87">
      <c r="A87" s="240">
        <v>86.0</v>
      </c>
      <c r="B87" s="240" t="s">
        <v>10273</v>
      </c>
      <c r="C87" s="241">
        <v>0.0185</v>
      </c>
      <c r="D87" s="241">
        <v>0.0035</v>
      </c>
      <c r="E87" s="240">
        <v>61.0</v>
      </c>
      <c r="F87" s="240" t="s">
        <v>10274</v>
      </c>
    </row>
    <row r="88">
      <c r="A88" s="240">
        <v>87.0</v>
      </c>
      <c r="B88" s="240" t="s">
        <v>10275</v>
      </c>
      <c r="C88" s="241">
        <v>0.0185</v>
      </c>
      <c r="D88" s="241">
        <v>0.0027</v>
      </c>
      <c r="E88" s="240">
        <v>69.0</v>
      </c>
      <c r="F88" s="240" t="s">
        <v>10052</v>
      </c>
    </row>
    <row r="89">
      <c r="A89" s="240">
        <v>88.0</v>
      </c>
      <c r="B89" s="240" t="s">
        <v>10276</v>
      </c>
      <c r="C89" s="241">
        <v>0.0185</v>
      </c>
      <c r="D89" s="241">
        <v>0.0023</v>
      </c>
      <c r="E89" s="240">
        <v>65.0</v>
      </c>
      <c r="F89" s="240" t="s">
        <v>10055</v>
      </c>
    </row>
    <row r="90">
      <c r="A90" s="240">
        <v>89.0</v>
      </c>
      <c r="B90" s="240" t="s">
        <v>10277</v>
      </c>
      <c r="C90" s="241">
        <v>0.0173</v>
      </c>
      <c r="D90" s="241">
        <v>0.0054</v>
      </c>
      <c r="E90" s="240">
        <v>60.0</v>
      </c>
      <c r="F90" s="240" t="s">
        <v>10048</v>
      </c>
    </row>
    <row r="91">
      <c r="A91" s="240">
        <v>90.0</v>
      </c>
      <c r="B91" s="240" t="s">
        <v>1366</v>
      </c>
      <c r="C91" s="241">
        <v>0.0173</v>
      </c>
      <c r="D91" s="241">
        <v>0.0033</v>
      </c>
      <c r="E91" s="240">
        <v>55.0</v>
      </c>
      <c r="F91" s="240" t="s">
        <v>10089</v>
      </c>
    </row>
    <row r="92">
      <c r="A92" s="240">
        <v>91.0</v>
      </c>
      <c r="B92" s="240" t="s">
        <v>3276</v>
      </c>
      <c r="C92" s="241">
        <v>0.0173</v>
      </c>
      <c r="D92" s="241">
        <v>0.0029</v>
      </c>
      <c r="E92" s="240">
        <v>64.0</v>
      </c>
      <c r="F92" s="240" t="s">
        <v>10144</v>
      </c>
    </row>
    <row r="93">
      <c r="A93" s="240">
        <v>92.0</v>
      </c>
      <c r="B93" s="240" t="s">
        <v>10278</v>
      </c>
      <c r="C93" s="241">
        <v>0.0173</v>
      </c>
      <c r="D93" s="241">
        <v>0.0024</v>
      </c>
      <c r="E93" s="240">
        <v>64.0</v>
      </c>
      <c r="F93" s="240" t="s">
        <v>10076</v>
      </c>
    </row>
    <row r="94">
      <c r="A94" s="240">
        <v>93.0</v>
      </c>
      <c r="B94" s="240" t="s">
        <v>5847</v>
      </c>
      <c r="C94" s="241">
        <v>0.0173</v>
      </c>
      <c r="D94" s="241">
        <v>0.0023</v>
      </c>
      <c r="E94" s="240">
        <v>54.0</v>
      </c>
      <c r="F94" s="240" t="s">
        <v>10279</v>
      </c>
    </row>
    <row r="95">
      <c r="A95" s="240">
        <v>94.0</v>
      </c>
      <c r="B95" s="240" t="s">
        <v>6651</v>
      </c>
      <c r="C95" s="241">
        <v>0.0173</v>
      </c>
      <c r="D95" s="241">
        <v>0.0019</v>
      </c>
      <c r="E95" s="240">
        <v>82.0</v>
      </c>
      <c r="F95" s="240" t="s">
        <v>10093</v>
      </c>
    </row>
    <row r="96">
      <c r="A96" s="240">
        <v>95.0</v>
      </c>
      <c r="B96" s="240" t="s">
        <v>10280</v>
      </c>
      <c r="C96" s="241">
        <v>0.0173</v>
      </c>
      <c r="D96" s="241">
        <v>0.0018</v>
      </c>
      <c r="E96" s="240">
        <v>66.0</v>
      </c>
      <c r="F96" s="240" t="s">
        <v>10281</v>
      </c>
    </row>
    <row r="97">
      <c r="A97" s="240">
        <v>96.0</v>
      </c>
      <c r="B97" s="240" t="s">
        <v>10282</v>
      </c>
      <c r="C97" s="241">
        <v>0.0161</v>
      </c>
      <c r="D97" s="241">
        <v>0.0058</v>
      </c>
      <c r="E97" s="240">
        <v>54.0</v>
      </c>
      <c r="F97" s="240" t="s">
        <v>10050</v>
      </c>
    </row>
    <row r="98">
      <c r="A98" s="240">
        <v>97.0</v>
      </c>
      <c r="B98" s="240" t="s">
        <v>3226</v>
      </c>
      <c r="C98" s="241">
        <v>0.0161</v>
      </c>
      <c r="D98" s="241">
        <v>0.0047</v>
      </c>
      <c r="E98" s="240">
        <v>55.0</v>
      </c>
      <c r="F98" s="240" t="s">
        <v>10283</v>
      </c>
    </row>
    <row r="99">
      <c r="A99" s="240">
        <v>98.0</v>
      </c>
      <c r="B99" s="240" t="s">
        <v>3411</v>
      </c>
      <c r="C99" s="241">
        <v>0.0161</v>
      </c>
      <c r="D99" s="241">
        <v>0.0028</v>
      </c>
      <c r="E99" s="240">
        <v>71.0</v>
      </c>
      <c r="F99" s="240" t="s">
        <v>10097</v>
      </c>
    </row>
    <row r="100">
      <c r="A100" s="240">
        <v>99.0</v>
      </c>
      <c r="B100" s="240" t="s">
        <v>10284</v>
      </c>
      <c r="C100" s="241">
        <v>0.0161</v>
      </c>
      <c r="D100" s="241">
        <v>0.0024</v>
      </c>
      <c r="E100" s="240">
        <v>67.0</v>
      </c>
      <c r="F100" s="240" t="s">
        <v>10097</v>
      </c>
    </row>
    <row r="101">
      <c r="A101" s="240">
        <v>100.0</v>
      </c>
      <c r="B101" s="240" t="s">
        <v>10285</v>
      </c>
      <c r="C101" s="241">
        <v>0.0148</v>
      </c>
      <c r="D101" s="241">
        <v>0.0046</v>
      </c>
      <c r="E101" s="240">
        <v>66.0</v>
      </c>
      <c r="F101" s="240" t="s">
        <v>10041</v>
      </c>
    </row>
    <row r="102">
      <c r="A102" s="240">
        <v>101.0</v>
      </c>
      <c r="B102" s="242" t="s">
        <v>27</v>
      </c>
      <c r="C102" s="241">
        <v>0.0148</v>
      </c>
      <c r="D102" s="241">
        <v>0.0043</v>
      </c>
      <c r="E102" s="240">
        <v>46.0</v>
      </c>
      <c r="F102" s="240" t="s">
        <v>10069</v>
      </c>
    </row>
    <row r="103">
      <c r="A103" s="240">
        <v>102.0</v>
      </c>
      <c r="B103" s="240" t="s">
        <v>10286</v>
      </c>
      <c r="C103" s="241">
        <v>0.0148</v>
      </c>
      <c r="D103" s="241">
        <v>0.0028</v>
      </c>
      <c r="E103" s="240">
        <v>62.0</v>
      </c>
      <c r="F103" s="240" t="s">
        <v>10076</v>
      </c>
    </row>
    <row r="104">
      <c r="A104" s="240">
        <v>103.0</v>
      </c>
      <c r="B104" s="240" t="s">
        <v>569</v>
      </c>
      <c r="C104" s="241">
        <v>0.0148</v>
      </c>
      <c r="D104" s="241">
        <v>0.0024</v>
      </c>
      <c r="E104" s="240">
        <v>85.0</v>
      </c>
      <c r="F104" s="240" t="s">
        <v>10189</v>
      </c>
    </row>
    <row r="105">
      <c r="A105" s="240">
        <v>104.0</v>
      </c>
      <c r="B105" s="240" t="s">
        <v>10287</v>
      </c>
      <c r="C105" s="241">
        <v>0.0148</v>
      </c>
      <c r="D105" s="241">
        <v>0.0024</v>
      </c>
      <c r="E105" s="240">
        <v>57.0</v>
      </c>
      <c r="F105" s="240" t="s">
        <v>10046</v>
      </c>
    </row>
    <row r="106">
      <c r="A106" s="240">
        <v>105.0</v>
      </c>
      <c r="B106" s="240" t="s">
        <v>10288</v>
      </c>
      <c r="C106" s="241">
        <v>0.0148</v>
      </c>
      <c r="D106" s="241">
        <v>0.0021</v>
      </c>
      <c r="E106" s="240">
        <v>59.0</v>
      </c>
      <c r="F106" s="240" t="s">
        <v>10139</v>
      </c>
    </row>
    <row r="107">
      <c r="A107" s="240">
        <v>106.0</v>
      </c>
      <c r="B107" s="240" t="s">
        <v>10289</v>
      </c>
      <c r="C107" s="241">
        <v>0.0148</v>
      </c>
      <c r="D107" s="241">
        <v>0.0021</v>
      </c>
      <c r="E107" s="240">
        <v>83.0</v>
      </c>
      <c r="F107" s="240" t="s">
        <v>10048</v>
      </c>
    </row>
    <row r="108">
      <c r="A108" s="240">
        <v>107.0</v>
      </c>
      <c r="B108" s="240" t="s">
        <v>10290</v>
      </c>
      <c r="C108" s="241">
        <v>0.0148</v>
      </c>
      <c r="D108" s="241">
        <v>0.0021</v>
      </c>
      <c r="E108" s="240">
        <v>72.0</v>
      </c>
      <c r="F108" s="240" t="s">
        <v>10093</v>
      </c>
    </row>
    <row r="109">
      <c r="A109" s="240">
        <v>108.0</v>
      </c>
      <c r="B109" s="240" t="s">
        <v>10291</v>
      </c>
      <c r="C109" s="241">
        <v>0.0148</v>
      </c>
      <c r="D109" s="241">
        <v>0.0016</v>
      </c>
      <c r="E109" s="240">
        <v>69.0</v>
      </c>
      <c r="F109" s="240" t="s">
        <v>10112</v>
      </c>
    </row>
    <row r="110">
      <c r="A110" s="240">
        <v>109.0</v>
      </c>
      <c r="B110" s="240" t="s">
        <v>10292</v>
      </c>
      <c r="C110" s="241">
        <v>0.0136</v>
      </c>
      <c r="D110" s="241">
        <v>0.0044</v>
      </c>
      <c r="E110" s="240">
        <v>55.0</v>
      </c>
      <c r="F110" s="240" t="s">
        <v>10041</v>
      </c>
    </row>
    <row r="111">
      <c r="A111" s="240">
        <v>110.0</v>
      </c>
      <c r="B111" s="240" t="s">
        <v>6270</v>
      </c>
      <c r="C111" s="241">
        <v>0.0136</v>
      </c>
      <c r="D111" s="241">
        <v>0.0027</v>
      </c>
      <c r="E111" s="240">
        <v>85.0</v>
      </c>
      <c r="F111" s="240" t="s">
        <v>10055</v>
      </c>
    </row>
    <row r="112">
      <c r="A112" s="240">
        <v>111.0</v>
      </c>
      <c r="B112" s="240" t="s">
        <v>10293</v>
      </c>
      <c r="C112" s="241">
        <v>0.0136</v>
      </c>
      <c r="D112" s="241">
        <v>0.0027</v>
      </c>
      <c r="E112" s="240">
        <v>66.0</v>
      </c>
      <c r="F112" s="240" t="s">
        <v>10172</v>
      </c>
    </row>
    <row r="113">
      <c r="A113" s="240">
        <v>112.0</v>
      </c>
      <c r="B113" s="240" t="s">
        <v>2784</v>
      </c>
      <c r="C113" s="241">
        <v>0.0136</v>
      </c>
      <c r="D113" s="241">
        <v>0.0024</v>
      </c>
      <c r="E113" s="240">
        <v>60.0</v>
      </c>
      <c r="F113" s="240" t="s">
        <v>10139</v>
      </c>
    </row>
    <row r="114">
      <c r="A114" s="240">
        <v>113.0</v>
      </c>
      <c r="B114" s="240" t="s">
        <v>3116</v>
      </c>
      <c r="C114" s="241">
        <v>0.0136</v>
      </c>
      <c r="D114" s="241">
        <v>0.0024</v>
      </c>
      <c r="E114" s="240">
        <v>63.0</v>
      </c>
      <c r="F114" s="240" t="s">
        <v>10048</v>
      </c>
    </row>
    <row r="115">
      <c r="A115" s="240">
        <v>114.0</v>
      </c>
      <c r="B115" s="240" t="s">
        <v>10294</v>
      </c>
      <c r="C115" s="241">
        <v>0.0136</v>
      </c>
      <c r="D115" s="241">
        <v>0.0023</v>
      </c>
      <c r="E115" s="240">
        <v>64.0</v>
      </c>
      <c r="F115" s="240" t="s">
        <v>10050</v>
      </c>
    </row>
    <row r="116">
      <c r="A116" s="240">
        <v>115.0</v>
      </c>
      <c r="B116" s="240" t="s">
        <v>10295</v>
      </c>
      <c r="C116" s="241">
        <v>0.0136</v>
      </c>
      <c r="D116" s="241">
        <v>0.0021</v>
      </c>
      <c r="E116" s="240">
        <v>64.0</v>
      </c>
      <c r="F116" s="240" t="s">
        <v>10050</v>
      </c>
    </row>
    <row r="117">
      <c r="A117" s="240">
        <v>116.0</v>
      </c>
      <c r="B117" s="240" t="s">
        <v>10296</v>
      </c>
      <c r="C117" s="241">
        <v>0.0136</v>
      </c>
      <c r="D117" s="241">
        <v>0.0021</v>
      </c>
      <c r="E117" s="240">
        <v>56.0</v>
      </c>
      <c r="F117" s="240" t="s">
        <v>10083</v>
      </c>
    </row>
    <row r="118">
      <c r="A118" s="240">
        <v>117.0</v>
      </c>
      <c r="B118" s="240" t="s">
        <v>10297</v>
      </c>
      <c r="C118" s="241">
        <v>0.0136</v>
      </c>
      <c r="D118" s="241">
        <v>0.0018</v>
      </c>
      <c r="E118" s="240">
        <v>84.0</v>
      </c>
      <c r="F118" s="240" t="s">
        <v>10091</v>
      </c>
    </row>
    <row r="119">
      <c r="A119" s="240">
        <v>118.0</v>
      </c>
      <c r="B119" s="240" t="s">
        <v>10298</v>
      </c>
      <c r="C119" s="241">
        <v>0.0136</v>
      </c>
      <c r="D119" s="241">
        <v>0.0015</v>
      </c>
      <c r="E119" s="240">
        <v>90.0</v>
      </c>
      <c r="F119" s="240" t="s">
        <v>10246</v>
      </c>
    </row>
    <row r="120">
      <c r="A120" s="240">
        <v>119.0</v>
      </c>
      <c r="B120" s="240" t="s">
        <v>2096</v>
      </c>
      <c r="C120" s="241">
        <v>0.0136</v>
      </c>
      <c r="D120" s="241">
        <v>0.0015</v>
      </c>
      <c r="E120" s="240">
        <v>82.0</v>
      </c>
      <c r="F120" s="240" t="s">
        <v>10299</v>
      </c>
    </row>
    <row r="121">
      <c r="A121" s="240">
        <v>120.0</v>
      </c>
      <c r="B121" s="240" t="s">
        <v>10300</v>
      </c>
      <c r="C121" s="241">
        <v>0.0124</v>
      </c>
      <c r="D121" s="241">
        <v>0.0038</v>
      </c>
      <c r="E121" s="240">
        <v>55.0</v>
      </c>
      <c r="F121" s="240" t="s">
        <v>10301</v>
      </c>
    </row>
    <row r="122">
      <c r="A122" s="240">
        <v>121.0</v>
      </c>
      <c r="B122" s="240" t="s">
        <v>10302</v>
      </c>
      <c r="C122" s="241">
        <v>0.0124</v>
      </c>
      <c r="D122" s="241">
        <v>0.0034</v>
      </c>
      <c r="E122" s="240">
        <v>55.0</v>
      </c>
      <c r="F122" s="240" t="s">
        <v>10110</v>
      </c>
    </row>
    <row r="123">
      <c r="A123" s="240">
        <v>122.0</v>
      </c>
      <c r="B123" s="240" t="s">
        <v>10303</v>
      </c>
      <c r="C123" s="241">
        <v>0.0124</v>
      </c>
      <c r="D123" s="241">
        <v>0.002</v>
      </c>
      <c r="E123" s="240">
        <v>71.0</v>
      </c>
      <c r="F123" s="240" t="s">
        <v>10169</v>
      </c>
    </row>
    <row r="124">
      <c r="A124" s="240">
        <v>123.0</v>
      </c>
      <c r="B124" s="240" t="s">
        <v>10304</v>
      </c>
      <c r="C124" s="241">
        <v>0.0124</v>
      </c>
      <c r="D124" s="241">
        <v>0.0019</v>
      </c>
      <c r="E124" s="240">
        <v>62.0</v>
      </c>
      <c r="F124" s="240" t="s">
        <v>10117</v>
      </c>
    </row>
    <row r="125">
      <c r="A125" s="240">
        <v>124.0</v>
      </c>
      <c r="B125" s="240" t="s">
        <v>3200</v>
      </c>
      <c r="C125" s="241">
        <v>0.0124</v>
      </c>
      <c r="D125" s="241">
        <v>0.0018</v>
      </c>
      <c r="E125" s="240">
        <v>66.0</v>
      </c>
      <c r="F125" s="240" t="s">
        <v>10073</v>
      </c>
    </row>
    <row r="126">
      <c r="A126" s="240">
        <v>125.0</v>
      </c>
      <c r="B126" s="240" t="s">
        <v>10305</v>
      </c>
      <c r="C126" s="241">
        <v>0.0124</v>
      </c>
      <c r="D126" s="241">
        <v>0.0016</v>
      </c>
      <c r="E126" s="240">
        <v>56.0</v>
      </c>
      <c r="F126" s="240" t="s">
        <v>10151</v>
      </c>
    </row>
    <row r="127">
      <c r="A127" s="240">
        <v>126.0</v>
      </c>
      <c r="B127" s="240" t="s">
        <v>3478</v>
      </c>
      <c r="C127" s="241">
        <v>0.0124</v>
      </c>
      <c r="D127" s="241">
        <v>0.0016</v>
      </c>
      <c r="E127" s="240">
        <v>71.0</v>
      </c>
      <c r="F127" s="240" t="s">
        <v>10041</v>
      </c>
    </row>
    <row r="128">
      <c r="A128" s="240">
        <v>127.0</v>
      </c>
      <c r="B128" s="240" t="s">
        <v>10306</v>
      </c>
      <c r="C128" s="241">
        <v>0.0124</v>
      </c>
      <c r="D128" s="241">
        <v>0.0016</v>
      </c>
      <c r="E128" s="240">
        <v>50.0</v>
      </c>
      <c r="F128" s="240" t="s">
        <v>10110</v>
      </c>
    </row>
    <row r="129">
      <c r="A129" s="240">
        <v>128.0</v>
      </c>
      <c r="B129" s="240" t="s">
        <v>10307</v>
      </c>
      <c r="C129" s="241">
        <v>0.0124</v>
      </c>
      <c r="D129" s="241">
        <v>0.0013</v>
      </c>
      <c r="E129" s="240">
        <v>69.0</v>
      </c>
      <c r="F129" s="240" t="s">
        <v>10308</v>
      </c>
    </row>
    <row r="130">
      <c r="A130" s="240">
        <v>129.0</v>
      </c>
      <c r="B130" s="240" t="s">
        <v>10309</v>
      </c>
      <c r="C130" s="241">
        <v>0.0124</v>
      </c>
      <c r="D130" s="241">
        <v>0.0013</v>
      </c>
      <c r="E130" s="240">
        <v>61.0</v>
      </c>
      <c r="F130" s="240" t="s">
        <v>10164</v>
      </c>
    </row>
    <row r="131">
      <c r="A131" s="240">
        <v>130.0</v>
      </c>
      <c r="B131" s="240" t="s">
        <v>3230</v>
      </c>
      <c r="C131" s="241">
        <v>0.0124</v>
      </c>
      <c r="D131" s="241">
        <v>0.0013</v>
      </c>
      <c r="E131" s="240">
        <v>48.0</v>
      </c>
      <c r="F131" s="240" t="s">
        <v>10080</v>
      </c>
    </row>
    <row r="132">
      <c r="A132" s="240">
        <v>131.0</v>
      </c>
      <c r="B132" s="240" t="s">
        <v>10310</v>
      </c>
      <c r="C132" s="241">
        <v>0.0124</v>
      </c>
      <c r="D132" s="241">
        <v>0.0013</v>
      </c>
      <c r="E132" s="240">
        <v>83.0</v>
      </c>
      <c r="F132" s="240" t="s">
        <v>10046</v>
      </c>
    </row>
    <row r="133">
      <c r="A133" s="240">
        <v>132.0</v>
      </c>
      <c r="B133" s="240" t="s">
        <v>10311</v>
      </c>
      <c r="C133" s="241">
        <v>0.0111</v>
      </c>
      <c r="D133" s="241">
        <v>0.0014</v>
      </c>
      <c r="E133" s="240">
        <v>53.0</v>
      </c>
      <c r="F133" s="240" t="s">
        <v>10174</v>
      </c>
    </row>
    <row r="134">
      <c r="A134" s="240">
        <v>133.0</v>
      </c>
      <c r="B134" s="240" t="s">
        <v>10312</v>
      </c>
      <c r="C134" s="241">
        <v>0.0111</v>
      </c>
      <c r="D134" s="241">
        <v>0.0014</v>
      </c>
      <c r="E134" s="240">
        <v>89.0</v>
      </c>
      <c r="F134" s="240" t="s">
        <v>10097</v>
      </c>
    </row>
    <row r="135">
      <c r="A135" s="240">
        <v>134.0</v>
      </c>
      <c r="B135" s="240" t="s">
        <v>6412</v>
      </c>
      <c r="C135" s="241">
        <v>0.0111</v>
      </c>
      <c r="D135" s="241">
        <v>0.0011</v>
      </c>
      <c r="E135" s="240">
        <v>71.0</v>
      </c>
      <c r="F135" s="240" t="s">
        <v>10049</v>
      </c>
    </row>
    <row r="136">
      <c r="A136" s="240">
        <v>135.0</v>
      </c>
      <c r="B136" s="240" t="s">
        <v>1029</v>
      </c>
      <c r="C136" s="241">
        <v>0.0037</v>
      </c>
      <c r="D136" s="241">
        <v>4.0E-4</v>
      </c>
      <c r="E136" s="240"/>
      <c r="F136" s="240"/>
    </row>
    <row r="137">
      <c r="A137" s="240">
        <v>136.0</v>
      </c>
      <c r="B137" s="240" t="s">
        <v>1101</v>
      </c>
      <c r="C137" s="241">
        <v>0.0037</v>
      </c>
      <c r="D137" s="241">
        <v>4.0E-4</v>
      </c>
      <c r="E137" s="240"/>
      <c r="F137" s="240"/>
    </row>
    <row r="138">
      <c r="A138" s="240">
        <v>137.0</v>
      </c>
      <c r="B138" s="240" t="s">
        <v>1055</v>
      </c>
      <c r="C138" s="241">
        <v>0.0</v>
      </c>
      <c r="D138" s="241">
        <v>0.0</v>
      </c>
      <c r="E138" s="240"/>
      <c r="F138" s="240"/>
    </row>
    <row r="139">
      <c r="A139" s="240">
        <v>138.0</v>
      </c>
      <c r="B139" s="240" t="s">
        <v>1153</v>
      </c>
      <c r="C139" s="241">
        <v>0.0</v>
      </c>
      <c r="D139" s="241">
        <v>0.0</v>
      </c>
      <c r="E139" s="240"/>
      <c r="F139" s="240"/>
    </row>
    <row r="140">
      <c r="A140" s="240">
        <v>139.0</v>
      </c>
      <c r="B140" s="240" t="s">
        <v>1130</v>
      </c>
      <c r="C140" s="241">
        <v>0.0</v>
      </c>
      <c r="D140" s="241">
        <v>0.0</v>
      </c>
      <c r="E140" s="240"/>
      <c r="F140" s="240"/>
    </row>
    <row r="141">
      <c r="A141" s="240">
        <v>140.0</v>
      </c>
      <c r="B141" s="240" t="s">
        <v>1091</v>
      </c>
      <c r="C141" s="241">
        <v>0.0</v>
      </c>
      <c r="D141" s="241">
        <v>0.0</v>
      </c>
      <c r="E141" s="240"/>
      <c r="F141" s="240"/>
    </row>
    <row r="142">
      <c r="A142" s="240">
        <v>141.0</v>
      </c>
      <c r="B142" s="240" t="s">
        <v>1138</v>
      </c>
      <c r="C142" s="241">
        <v>0.0</v>
      </c>
      <c r="D142" s="241">
        <v>0.0</v>
      </c>
      <c r="E142" s="240"/>
      <c r="F142" s="240"/>
    </row>
    <row r="143">
      <c r="A143" s="240">
        <v>142.0</v>
      </c>
      <c r="B143" s="240" t="s">
        <v>1064</v>
      </c>
      <c r="C143" s="241">
        <v>0.0</v>
      </c>
      <c r="D143" s="241">
        <v>0.0</v>
      </c>
      <c r="E143" s="240"/>
      <c r="F143" s="240"/>
    </row>
    <row r="144">
      <c r="A144" s="240">
        <v>143.0</v>
      </c>
      <c r="B144" s="240" t="s">
        <v>1012</v>
      </c>
      <c r="C144" s="241">
        <v>0.0</v>
      </c>
      <c r="D144" s="241">
        <v>0.0</v>
      </c>
      <c r="E144" s="240"/>
      <c r="F144" s="240"/>
    </row>
    <row r="145">
      <c r="A145" s="240">
        <v>144.0</v>
      </c>
      <c r="B145" s="240" t="s">
        <v>1072</v>
      </c>
      <c r="C145" s="241">
        <v>0.0</v>
      </c>
      <c r="D145" s="241">
        <v>0.0</v>
      </c>
      <c r="E145" s="240"/>
      <c r="F145" s="240"/>
    </row>
    <row r="146">
      <c r="A146" s="240">
        <v>145.0</v>
      </c>
      <c r="B146" s="240" t="s">
        <v>862</v>
      </c>
      <c r="C146" s="241">
        <v>0.0</v>
      </c>
      <c r="D146" s="241">
        <v>0.0</v>
      </c>
      <c r="E146" s="240"/>
      <c r="F146" s="240"/>
    </row>
    <row r="147">
      <c r="A147" s="240">
        <v>146.0</v>
      </c>
      <c r="B147" s="240" t="s">
        <v>790</v>
      </c>
      <c r="C147" s="241">
        <v>0.0</v>
      </c>
      <c r="D147" s="241">
        <v>0.0</v>
      </c>
      <c r="E147" s="240"/>
      <c r="F147" s="240"/>
    </row>
    <row r="148">
      <c r="A148" s="240">
        <v>147.0</v>
      </c>
      <c r="B148" s="240" t="s">
        <v>1078</v>
      </c>
      <c r="C148" s="241">
        <v>0.0</v>
      </c>
      <c r="D148" s="241">
        <v>0.0</v>
      </c>
      <c r="E148" s="240"/>
      <c r="F148" s="240"/>
    </row>
    <row r="149">
      <c r="A149" s="240">
        <v>148.0</v>
      </c>
      <c r="B149" s="240" t="s">
        <v>1046</v>
      </c>
      <c r="C149" s="241">
        <v>0.0</v>
      </c>
      <c r="D149" s="241">
        <v>0.0</v>
      </c>
      <c r="E149" s="240"/>
      <c r="F149" s="240"/>
    </row>
    <row r="150">
      <c r="A150" s="240">
        <v>149.0</v>
      </c>
      <c r="B150" s="240" t="s">
        <v>1110</v>
      </c>
      <c r="C150" s="241">
        <v>0.0</v>
      </c>
      <c r="D150" s="241">
        <v>0.0</v>
      </c>
      <c r="E150" s="240"/>
      <c r="F150" s="240"/>
    </row>
    <row r="151">
      <c r="A151" s="240">
        <v>150.0</v>
      </c>
      <c r="B151" s="240" t="s">
        <v>1147</v>
      </c>
      <c r="C151" s="241">
        <v>0.0</v>
      </c>
      <c r="D151" s="241">
        <v>0.0</v>
      </c>
      <c r="E151" s="240"/>
      <c r="F151" s="240"/>
    </row>
    <row r="152">
      <c r="A152" s="240">
        <v>151.0</v>
      </c>
      <c r="B152" s="240" t="s">
        <v>1120</v>
      </c>
      <c r="C152" s="241">
        <v>0.0</v>
      </c>
      <c r="D152" s="241">
        <v>0.0</v>
      </c>
      <c r="E152" s="240"/>
      <c r="F152"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hyperlinks>
    <hyperlink r:id="rId1" ref="B6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11"/>
    <col customWidth="1" min="2" max="2" width="29.44"/>
  </cols>
  <sheetData>
    <row r="1">
      <c r="A1" s="239" t="s">
        <v>10036</v>
      </c>
      <c r="B1" s="239" t="s">
        <v>44</v>
      </c>
      <c r="C1" s="239" t="s">
        <v>10037</v>
      </c>
      <c r="D1" s="239" t="s">
        <v>10038</v>
      </c>
      <c r="E1" s="239" t="s">
        <v>10039</v>
      </c>
      <c r="F1" s="239" t="s">
        <v>10040</v>
      </c>
    </row>
    <row r="2">
      <c r="A2" s="240">
        <v>1.0</v>
      </c>
      <c r="B2" s="240" t="s">
        <v>1965</v>
      </c>
      <c r="C2" s="241">
        <v>0.3044</v>
      </c>
      <c r="D2" s="241">
        <v>0.0771</v>
      </c>
      <c r="E2" s="240">
        <v>65.0</v>
      </c>
      <c r="F2" s="240" t="s">
        <v>10093</v>
      </c>
    </row>
    <row r="3">
      <c r="A3" s="240">
        <v>2.0</v>
      </c>
      <c r="B3" s="240" t="s">
        <v>1977</v>
      </c>
      <c r="C3" s="241">
        <v>0.3032</v>
      </c>
      <c r="D3" s="241">
        <v>0.07</v>
      </c>
      <c r="E3" s="240">
        <v>64.0</v>
      </c>
      <c r="F3" s="240" t="s">
        <v>10047</v>
      </c>
    </row>
    <row r="4">
      <c r="A4" s="240">
        <v>3.0</v>
      </c>
      <c r="B4" s="240" t="s">
        <v>1986</v>
      </c>
      <c r="C4" s="241">
        <v>0.1933</v>
      </c>
      <c r="D4" s="241">
        <v>0.0503</v>
      </c>
      <c r="E4" s="240">
        <v>61.0</v>
      </c>
      <c r="F4" s="240" t="s">
        <v>10043</v>
      </c>
    </row>
    <row r="5">
      <c r="A5" s="240">
        <v>4.0</v>
      </c>
      <c r="B5" s="240" t="s">
        <v>1991</v>
      </c>
      <c r="C5" s="241">
        <v>0.1609</v>
      </c>
      <c r="D5" s="241">
        <v>0.0326</v>
      </c>
      <c r="E5" s="240">
        <v>65.0</v>
      </c>
      <c r="F5" s="240" t="s">
        <v>10144</v>
      </c>
    </row>
    <row r="6">
      <c r="A6" s="240">
        <v>5.0</v>
      </c>
      <c r="B6" s="240" t="s">
        <v>1996</v>
      </c>
      <c r="C6" s="241">
        <v>0.1042</v>
      </c>
      <c r="D6" s="241">
        <v>0.0229</v>
      </c>
      <c r="E6" s="240">
        <v>66.0</v>
      </c>
      <c r="F6" s="240" t="s">
        <v>10053</v>
      </c>
    </row>
    <row r="7">
      <c r="A7" s="240">
        <v>6.0</v>
      </c>
      <c r="B7" s="240" t="s">
        <v>2001</v>
      </c>
      <c r="C7" s="241">
        <v>0.0903</v>
      </c>
      <c r="D7" s="241">
        <v>0.0175</v>
      </c>
      <c r="E7" s="240">
        <v>57.0</v>
      </c>
      <c r="F7" s="240" t="s">
        <v>10075</v>
      </c>
    </row>
    <row r="8">
      <c r="A8" s="240">
        <v>7.0</v>
      </c>
      <c r="B8" s="240" t="s">
        <v>2009</v>
      </c>
      <c r="C8" s="241">
        <v>0.088</v>
      </c>
      <c r="D8" s="241">
        <v>0.0245</v>
      </c>
      <c r="E8" s="240">
        <v>62.0</v>
      </c>
      <c r="F8" s="240" t="s">
        <v>10097</v>
      </c>
    </row>
    <row r="9">
      <c r="A9" s="240">
        <v>8.0</v>
      </c>
      <c r="B9" s="240" t="s">
        <v>2017</v>
      </c>
      <c r="C9" s="241">
        <v>0.0775</v>
      </c>
      <c r="D9" s="241">
        <v>0.0192</v>
      </c>
      <c r="E9" s="240">
        <v>58.0</v>
      </c>
      <c r="F9" s="240" t="s">
        <v>10060</v>
      </c>
    </row>
    <row r="10">
      <c r="A10" s="240">
        <v>9.0</v>
      </c>
      <c r="B10" s="240" t="s">
        <v>2023</v>
      </c>
      <c r="C10" s="241">
        <v>0.0764</v>
      </c>
      <c r="D10" s="241">
        <v>0.0229</v>
      </c>
      <c r="E10" s="240">
        <v>66.0</v>
      </c>
      <c r="F10" s="240" t="s">
        <v>10313</v>
      </c>
    </row>
    <row r="11">
      <c r="A11" s="240">
        <v>10.0</v>
      </c>
      <c r="B11" s="240" t="s">
        <v>2031</v>
      </c>
      <c r="C11" s="241">
        <v>0.0718</v>
      </c>
      <c r="D11" s="241">
        <v>0.0141</v>
      </c>
      <c r="E11" s="240">
        <v>64.0</v>
      </c>
      <c r="F11" s="240" t="s">
        <v>10117</v>
      </c>
    </row>
    <row r="12">
      <c r="A12" s="240">
        <v>11.0</v>
      </c>
      <c r="B12" s="240" t="s">
        <v>2040</v>
      </c>
      <c r="C12" s="241">
        <v>0.0706</v>
      </c>
      <c r="D12" s="241">
        <v>0.014</v>
      </c>
      <c r="E12" s="240">
        <v>68.0</v>
      </c>
      <c r="F12" s="240" t="s">
        <v>10081</v>
      </c>
    </row>
    <row r="13">
      <c r="A13" s="240">
        <v>12.0</v>
      </c>
      <c r="B13" s="240" t="s">
        <v>2045</v>
      </c>
      <c r="C13" s="241">
        <v>0.0683</v>
      </c>
      <c r="D13" s="241">
        <v>0.0135</v>
      </c>
      <c r="E13" s="240">
        <v>64.0</v>
      </c>
      <c r="F13" s="240" t="s">
        <v>10144</v>
      </c>
    </row>
    <row r="14">
      <c r="A14" s="240">
        <v>13.0</v>
      </c>
      <c r="B14" s="240" t="s">
        <v>2050</v>
      </c>
      <c r="C14" s="241">
        <v>0.0671</v>
      </c>
      <c r="D14" s="241">
        <v>0.018</v>
      </c>
      <c r="E14" s="240">
        <v>63.0</v>
      </c>
      <c r="F14" s="240" t="s">
        <v>10151</v>
      </c>
    </row>
    <row r="15">
      <c r="A15" s="240">
        <v>14.0</v>
      </c>
      <c r="B15" s="240" t="s">
        <v>2055</v>
      </c>
      <c r="C15" s="241">
        <v>0.0671</v>
      </c>
      <c r="D15" s="241">
        <v>0.0141</v>
      </c>
      <c r="E15" s="240">
        <v>65.0</v>
      </c>
      <c r="F15" s="240" t="s">
        <v>10043</v>
      </c>
    </row>
    <row r="16">
      <c r="A16" s="240">
        <v>15.0</v>
      </c>
      <c r="B16" s="240" t="s">
        <v>799</v>
      </c>
      <c r="C16" s="241">
        <v>0.0637</v>
      </c>
      <c r="D16" s="241">
        <v>0.0146</v>
      </c>
      <c r="E16" s="240">
        <v>71.0</v>
      </c>
      <c r="F16" s="240" t="s">
        <v>10047</v>
      </c>
    </row>
    <row r="17">
      <c r="A17" s="240">
        <v>16.0</v>
      </c>
      <c r="B17" s="240" t="s">
        <v>2070</v>
      </c>
      <c r="C17" s="241">
        <v>0.0613</v>
      </c>
      <c r="D17" s="241">
        <v>0.0125</v>
      </c>
      <c r="E17" s="240">
        <v>58.0</v>
      </c>
      <c r="F17" s="240" t="s">
        <v>10117</v>
      </c>
    </row>
    <row r="18">
      <c r="A18" s="240">
        <v>17.0</v>
      </c>
      <c r="B18" s="240" t="s">
        <v>2073</v>
      </c>
      <c r="C18" s="241">
        <v>0.0602</v>
      </c>
      <c r="D18" s="241">
        <v>0.0164</v>
      </c>
      <c r="E18" s="240">
        <v>64.0</v>
      </c>
      <c r="F18" s="240" t="s">
        <v>10055</v>
      </c>
    </row>
    <row r="19">
      <c r="A19" s="240">
        <v>18.0</v>
      </c>
      <c r="B19" s="240" t="s">
        <v>2082</v>
      </c>
      <c r="C19" s="241">
        <v>0.0579</v>
      </c>
      <c r="D19" s="241">
        <v>0.014</v>
      </c>
      <c r="E19" s="240">
        <v>55.0</v>
      </c>
      <c r="F19" s="240" t="s">
        <v>10054</v>
      </c>
    </row>
    <row r="20">
      <c r="A20" s="240">
        <v>19.0</v>
      </c>
      <c r="B20" s="240" t="s">
        <v>2090</v>
      </c>
      <c r="C20" s="241">
        <v>0.0567</v>
      </c>
      <c r="D20" s="241">
        <v>0.0166</v>
      </c>
      <c r="E20" s="240">
        <v>60.0</v>
      </c>
      <c r="F20" s="240" t="s">
        <v>10044</v>
      </c>
    </row>
    <row r="21">
      <c r="A21" s="240">
        <v>20.0</v>
      </c>
      <c r="B21" s="240" t="s">
        <v>1366</v>
      </c>
      <c r="C21" s="241">
        <v>0.0556</v>
      </c>
      <c r="D21" s="241">
        <v>0.0133</v>
      </c>
      <c r="E21" s="240">
        <v>62.0</v>
      </c>
      <c r="F21" s="240" t="s">
        <v>10083</v>
      </c>
    </row>
    <row r="22">
      <c r="A22" s="240">
        <v>21.0</v>
      </c>
      <c r="B22" s="240" t="s">
        <v>912</v>
      </c>
      <c r="C22" s="241">
        <v>0.0532</v>
      </c>
      <c r="D22" s="241">
        <v>0.0125</v>
      </c>
      <c r="E22" s="240">
        <v>56.0</v>
      </c>
      <c r="F22" s="240" t="s">
        <v>10143</v>
      </c>
    </row>
    <row r="23">
      <c r="A23" s="240">
        <v>22.0</v>
      </c>
      <c r="B23" s="240" t="s">
        <v>2107</v>
      </c>
      <c r="C23" s="241">
        <v>0.0509</v>
      </c>
      <c r="D23" s="241">
        <v>0.013</v>
      </c>
      <c r="E23" s="240">
        <v>57.0</v>
      </c>
      <c r="F23" s="240" t="s">
        <v>10043</v>
      </c>
    </row>
    <row r="24">
      <c r="A24" s="240">
        <v>23.0</v>
      </c>
      <c r="B24" s="240" t="s">
        <v>2116</v>
      </c>
      <c r="C24" s="241">
        <v>0.0451</v>
      </c>
      <c r="D24" s="241">
        <v>0.0097</v>
      </c>
      <c r="E24" s="240">
        <v>48.0</v>
      </c>
      <c r="F24" s="240" t="s">
        <v>10058</v>
      </c>
    </row>
    <row r="25">
      <c r="A25" s="240">
        <v>24.0</v>
      </c>
      <c r="B25" s="240" t="s">
        <v>2124</v>
      </c>
      <c r="C25" s="241">
        <v>0.0451</v>
      </c>
      <c r="D25" s="241">
        <v>0.0091</v>
      </c>
      <c r="E25" s="240">
        <v>66.0</v>
      </c>
      <c r="F25" s="240" t="s">
        <v>10042</v>
      </c>
    </row>
    <row r="26">
      <c r="A26" s="240">
        <v>25.0</v>
      </c>
      <c r="B26" s="240" t="s">
        <v>2128</v>
      </c>
      <c r="C26" s="241">
        <v>0.0451</v>
      </c>
      <c r="D26" s="241">
        <v>0.0086</v>
      </c>
      <c r="E26" s="240">
        <v>69.0</v>
      </c>
      <c r="F26" s="240" t="s">
        <v>10234</v>
      </c>
    </row>
    <row r="27">
      <c r="A27" s="240">
        <v>26.0</v>
      </c>
      <c r="B27" s="240" t="s">
        <v>380</v>
      </c>
      <c r="C27" s="241">
        <v>0.044</v>
      </c>
      <c r="D27" s="241">
        <v>0.0101</v>
      </c>
      <c r="E27" s="240">
        <v>64.0</v>
      </c>
      <c r="F27" s="240" t="s">
        <v>10052</v>
      </c>
    </row>
    <row r="28">
      <c r="A28" s="240">
        <v>27.0</v>
      </c>
      <c r="B28" s="240" t="s">
        <v>10314</v>
      </c>
      <c r="C28" s="241">
        <v>0.0417</v>
      </c>
      <c r="D28" s="241">
        <v>0.0065</v>
      </c>
      <c r="E28" s="240">
        <v>64.0</v>
      </c>
      <c r="F28" s="240" t="s">
        <v>10139</v>
      </c>
    </row>
    <row r="29">
      <c r="A29" s="240">
        <v>28.0</v>
      </c>
      <c r="B29" s="240" t="s">
        <v>10315</v>
      </c>
      <c r="C29" s="241">
        <v>0.0394</v>
      </c>
      <c r="D29" s="241">
        <v>0.0114</v>
      </c>
      <c r="E29" s="240">
        <v>65.0</v>
      </c>
      <c r="F29" s="240" t="s">
        <v>10162</v>
      </c>
    </row>
    <row r="30">
      <c r="A30" s="240">
        <v>29.0</v>
      </c>
      <c r="B30" s="240" t="s">
        <v>10316</v>
      </c>
      <c r="C30" s="241">
        <v>0.0382</v>
      </c>
      <c r="D30" s="241">
        <v>0.0106</v>
      </c>
      <c r="E30" s="240">
        <v>67.0</v>
      </c>
      <c r="F30" s="240" t="s">
        <v>10216</v>
      </c>
    </row>
    <row r="31">
      <c r="A31" s="240">
        <v>30.0</v>
      </c>
      <c r="B31" s="240" t="s">
        <v>10317</v>
      </c>
      <c r="C31" s="241">
        <v>0.0382</v>
      </c>
      <c r="D31" s="241">
        <v>0.0067</v>
      </c>
      <c r="E31" s="240">
        <v>67.0</v>
      </c>
      <c r="F31" s="240" t="s">
        <v>10139</v>
      </c>
    </row>
    <row r="32">
      <c r="A32" s="240">
        <v>31.0</v>
      </c>
      <c r="B32" s="240" t="s">
        <v>10318</v>
      </c>
      <c r="C32" s="241">
        <v>0.037</v>
      </c>
      <c r="D32" s="241">
        <v>0.0101</v>
      </c>
      <c r="E32" s="240">
        <v>65.0</v>
      </c>
      <c r="F32" s="240" t="s">
        <v>10261</v>
      </c>
    </row>
    <row r="33">
      <c r="A33" s="240">
        <v>32.0</v>
      </c>
      <c r="B33" s="240" t="s">
        <v>3710</v>
      </c>
      <c r="C33" s="241">
        <v>0.037</v>
      </c>
      <c r="D33" s="241">
        <v>0.0075</v>
      </c>
      <c r="E33" s="240">
        <v>66.0</v>
      </c>
      <c r="F33" s="240" t="s">
        <v>10162</v>
      </c>
    </row>
    <row r="34">
      <c r="A34" s="240">
        <v>33.0</v>
      </c>
      <c r="B34" s="240" t="s">
        <v>10319</v>
      </c>
      <c r="C34" s="241">
        <v>0.0359</v>
      </c>
      <c r="D34" s="241">
        <v>0.0063</v>
      </c>
      <c r="E34" s="240">
        <v>70.0</v>
      </c>
      <c r="F34" s="240" t="s">
        <v>10056</v>
      </c>
    </row>
    <row r="35">
      <c r="A35" s="240">
        <v>34.0</v>
      </c>
      <c r="B35" s="240" t="s">
        <v>10320</v>
      </c>
      <c r="C35" s="241">
        <v>0.0359</v>
      </c>
      <c r="D35" s="241">
        <v>0.0058</v>
      </c>
      <c r="E35" s="240">
        <v>71.0</v>
      </c>
      <c r="F35" s="240" t="s">
        <v>10059</v>
      </c>
    </row>
    <row r="36">
      <c r="A36" s="240">
        <v>35.0</v>
      </c>
      <c r="B36" s="240" t="s">
        <v>10205</v>
      </c>
      <c r="C36" s="241">
        <v>0.0347</v>
      </c>
      <c r="D36" s="241">
        <v>0.0068</v>
      </c>
      <c r="E36" s="240">
        <v>69.0</v>
      </c>
      <c r="F36" s="240" t="s">
        <v>10105</v>
      </c>
    </row>
    <row r="37">
      <c r="A37" s="240">
        <v>36.0</v>
      </c>
      <c r="B37" s="240" t="s">
        <v>10251</v>
      </c>
      <c r="C37" s="241">
        <v>0.0347</v>
      </c>
      <c r="D37" s="241">
        <v>0.0068</v>
      </c>
      <c r="E37" s="240">
        <v>60.0</v>
      </c>
      <c r="F37" s="240" t="s">
        <v>10139</v>
      </c>
    </row>
    <row r="38">
      <c r="A38" s="240">
        <v>37.0</v>
      </c>
      <c r="B38" s="240" t="s">
        <v>10079</v>
      </c>
      <c r="C38" s="241">
        <v>0.0347</v>
      </c>
      <c r="D38" s="241">
        <v>0.0063</v>
      </c>
      <c r="E38" s="240">
        <v>57.0</v>
      </c>
      <c r="F38" s="240" t="s">
        <v>10192</v>
      </c>
    </row>
    <row r="39">
      <c r="A39" s="240">
        <v>38.0</v>
      </c>
      <c r="B39" s="240" t="s">
        <v>10321</v>
      </c>
      <c r="C39" s="241">
        <v>0.0336</v>
      </c>
      <c r="D39" s="241">
        <v>0.0097</v>
      </c>
      <c r="E39" s="240">
        <v>51.0</v>
      </c>
      <c r="F39" s="240" t="s">
        <v>10054</v>
      </c>
    </row>
    <row r="40">
      <c r="A40" s="240">
        <v>39.0</v>
      </c>
      <c r="B40" s="240" t="s">
        <v>10322</v>
      </c>
      <c r="C40" s="241">
        <v>0.0336</v>
      </c>
      <c r="D40" s="241">
        <v>0.0058</v>
      </c>
      <c r="E40" s="240">
        <v>74.0</v>
      </c>
      <c r="F40" s="240" t="s">
        <v>10048</v>
      </c>
    </row>
    <row r="41">
      <c r="A41" s="240">
        <v>40.0</v>
      </c>
      <c r="B41" s="240" t="s">
        <v>10323</v>
      </c>
      <c r="C41" s="241">
        <v>0.0324</v>
      </c>
      <c r="D41" s="241">
        <v>0.0057</v>
      </c>
      <c r="E41" s="240">
        <v>72.0</v>
      </c>
      <c r="F41" s="240" t="s">
        <v>10234</v>
      </c>
    </row>
    <row r="42">
      <c r="A42" s="240">
        <v>41.0</v>
      </c>
      <c r="B42" s="240" t="s">
        <v>1559</v>
      </c>
      <c r="C42" s="241">
        <v>0.0324</v>
      </c>
      <c r="D42" s="241">
        <v>0.0055</v>
      </c>
      <c r="E42" s="240">
        <v>64.0</v>
      </c>
      <c r="F42" s="240" t="s">
        <v>10105</v>
      </c>
    </row>
    <row r="43">
      <c r="A43" s="240">
        <v>42.0</v>
      </c>
      <c r="B43" s="240" t="s">
        <v>10324</v>
      </c>
      <c r="C43" s="241">
        <v>0.0313</v>
      </c>
      <c r="D43" s="241">
        <v>0.0073</v>
      </c>
      <c r="E43" s="240">
        <v>62.0</v>
      </c>
      <c r="F43" s="240" t="s">
        <v>10047</v>
      </c>
    </row>
    <row r="44">
      <c r="A44" s="240">
        <v>43.0</v>
      </c>
      <c r="B44" s="240" t="s">
        <v>10325</v>
      </c>
      <c r="C44" s="241">
        <v>0.0313</v>
      </c>
      <c r="D44" s="241">
        <v>0.0073</v>
      </c>
      <c r="E44" s="240">
        <v>64.0</v>
      </c>
      <c r="F44" s="240" t="s">
        <v>10061</v>
      </c>
    </row>
    <row r="45">
      <c r="A45" s="240">
        <v>44.0</v>
      </c>
      <c r="B45" s="240" t="s">
        <v>3717</v>
      </c>
      <c r="C45" s="241">
        <v>0.0301</v>
      </c>
      <c r="D45" s="241">
        <v>0.0067</v>
      </c>
      <c r="E45" s="240">
        <v>67.0</v>
      </c>
      <c r="F45" s="240" t="s">
        <v>10043</v>
      </c>
    </row>
    <row r="46">
      <c r="A46" s="240">
        <v>45.0</v>
      </c>
      <c r="B46" s="240" t="s">
        <v>1021</v>
      </c>
      <c r="C46" s="241">
        <v>0.0289</v>
      </c>
      <c r="D46" s="241">
        <v>0.0067</v>
      </c>
      <c r="E46" s="240">
        <v>57.0</v>
      </c>
      <c r="F46" s="240" t="s">
        <v>10117</v>
      </c>
    </row>
    <row r="47">
      <c r="A47" s="240">
        <v>46.0</v>
      </c>
      <c r="B47" s="240" t="s">
        <v>10326</v>
      </c>
      <c r="C47" s="241">
        <v>0.0289</v>
      </c>
      <c r="D47" s="241">
        <v>0.0052</v>
      </c>
      <c r="E47" s="240">
        <v>68.0</v>
      </c>
      <c r="F47" s="240" t="s">
        <v>10117</v>
      </c>
    </row>
    <row r="48">
      <c r="A48" s="240">
        <v>47.0</v>
      </c>
      <c r="B48" s="240" t="s">
        <v>10074</v>
      </c>
      <c r="C48" s="241">
        <v>0.0289</v>
      </c>
      <c r="D48" s="241">
        <v>0.0049</v>
      </c>
      <c r="E48" s="240">
        <v>60.0</v>
      </c>
      <c r="F48" s="240" t="s">
        <v>10157</v>
      </c>
    </row>
    <row r="49">
      <c r="A49" s="240">
        <v>48.0</v>
      </c>
      <c r="B49" s="240" t="s">
        <v>10327</v>
      </c>
      <c r="C49" s="241">
        <v>0.0278</v>
      </c>
      <c r="D49" s="241">
        <v>0.0071</v>
      </c>
      <c r="E49" s="240">
        <v>51.0</v>
      </c>
      <c r="F49" s="240" t="s">
        <v>10065</v>
      </c>
    </row>
    <row r="50">
      <c r="A50" s="240">
        <v>49.0</v>
      </c>
      <c r="B50" s="240" t="s">
        <v>10328</v>
      </c>
      <c r="C50" s="241">
        <v>0.0278</v>
      </c>
      <c r="D50" s="241">
        <v>0.0058</v>
      </c>
      <c r="E50" s="240">
        <v>74.0</v>
      </c>
      <c r="F50" s="240" t="s">
        <v>10172</v>
      </c>
    </row>
    <row r="51">
      <c r="A51" s="240">
        <v>50.0</v>
      </c>
      <c r="B51" s="240" t="s">
        <v>7484</v>
      </c>
      <c r="C51" s="241">
        <v>0.0278</v>
      </c>
      <c r="D51" s="241">
        <v>0.0045</v>
      </c>
      <c r="E51" s="240">
        <v>51.0</v>
      </c>
      <c r="F51" s="240" t="s">
        <v>10076</v>
      </c>
    </row>
    <row r="52">
      <c r="A52" s="240">
        <v>51.0</v>
      </c>
      <c r="B52" s="240" t="s">
        <v>10256</v>
      </c>
      <c r="C52" s="241">
        <v>0.0278</v>
      </c>
      <c r="D52" s="241">
        <v>0.0041</v>
      </c>
      <c r="E52" s="240">
        <v>48.0</v>
      </c>
      <c r="F52" s="240" t="s">
        <v>10157</v>
      </c>
    </row>
    <row r="53">
      <c r="A53" s="240">
        <v>52.0</v>
      </c>
      <c r="B53" s="240" t="s">
        <v>10329</v>
      </c>
      <c r="C53" s="241">
        <v>0.0266</v>
      </c>
      <c r="D53" s="241">
        <v>0.0063</v>
      </c>
      <c r="E53" s="240">
        <v>55.0</v>
      </c>
      <c r="F53" s="240" t="s">
        <v>10147</v>
      </c>
    </row>
    <row r="54">
      <c r="A54" s="240">
        <v>53.0</v>
      </c>
      <c r="B54" s="240" t="s">
        <v>10330</v>
      </c>
      <c r="C54" s="241">
        <v>0.0255</v>
      </c>
      <c r="D54" s="241">
        <v>0.0054</v>
      </c>
      <c r="E54" s="240">
        <v>59.0</v>
      </c>
      <c r="F54" s="240" t="s">
        <v>10112</v>
      </c>
    </row>
    <row r="55">
      <c r="A55" s="240">
        <v>54.0</v>
      </c>
      <c r="B55" s="240" t="s">
        <v>10138</v>
      </c>
      <c r="C55" s="241">
        <v>0.0255</v>
      </c>
      <c r="D55" s="241">
        <v>0.0052</v>
      </c>
      <c r="E55" s="240">
        <v>56.0</v>
      </c>
      <c r="F55" s="240" t="s">
        <v>10083</v>
      </c>
    </row>
    <row r="56">
      <c r="A56" s="240">
        <v>55.0</v>
      </c>
      <c r="B56" s="240" t="s">
        <v>3684</v>
      </c>
      <c r="C56" s="241">
        <v>0.0255</v>
      </c>
      <c r="D56" s="241">
        <v>0.0042</v>
      </c>
      <c r="E56" s="240">
        <v>72.0</v>
      </c>
      <c r="F56" s="240" t="s">
        <v>10075</v>
      </c>
    </row>
    <row r="57">
      <c r="A57" s="240">
        <v>56.0</v>
      </c>
      <c r="B57" s="240" t="s">
        <v>10331</v>
      </c>
      <c r="C57" s="241">
        <v>0.0255</v>
      </c>
      <c r="D57" s="241">
        <v>0.0039</v>
      </c>
      <c r="E57" s="240">
        <v>64.0</v>
      </c>
      <c r="F57" s="240" t="s">
        <v>10150</v>
      </c>
    </row>
    <row r="58">
      <c r="A58" s="240">
        <v>57.0</v>
      </c>
      <c r="B58" s="240" t="s">
        <v>10332</v>
      </c>
      <c r="C58" s="241">
        <v>0.0243</v>
      </c>
      <c r="D58" s="241">
        <v>0.0052</v>
      </c>
      <c r="E58" s="240">
        <v>62.0</v>
      </c>
      <c r="F58" s="240" t="s">
        <v>10054</v>
      </c>
    </row>
    <row r="59">
      <c r="A59" s="240">
        <v>58.0</v>
      </c>
      <c r="B59" s="240" t="s">
        <v>2205</v>
      </c>
      <c r="C59" s="241">
        <v>0.0243</v>
      </c>
      <c r="D59" s="241">
        <v>0.0047</v>
      </c>
      <c r="E59" s="240">
        <v>61.0</v>
      </c>
      <c r="F59" s="240" t="s">
        <v>10048</v>
      </c>
    </row>
    <row r="60">
      <c r="A60" s="240">
        <v>59.0</v>
      </c>
      <c r="B60" s="240" t="s">
        <v>10333</v>
      </c>
      <c r="C60" s="241">
        <v>0.0231</v>
      </c>
      <c r="D60" s="241">
        <v>0.0091</v>
      </c>
      <c r="E60" s="240">
        <v>70.0</v>
      </c>
      <c r="F60" s="240" t="s">
        <v>10046</v>
      </c>
    </row>
    <row r="61">
      <c r="A61" s="240">
        <v>60.0</v>
      </c>
      <c r="B61" s="242" t="s">
        <v>27</v>
      </c>
      <c r="C61" s="241">
        <v>0.0231</v>
      </c>
      <c r="D61" s="241">
        <v>0.0063</v>
      </c>
      <c r="E61" s="240">
        <v>53.0</v>
      </c>
      <c r="F61" s="240" t="s">
        <v>10099</v>
      </c>
    </row>
    <row r="62">
      <c r="A62" s="240">
        <v>61.0</v>
      </c>
      <c r="B62" s="240" t="s">
        <v>10306</v>
      </c>
      <c r="C62" s="241">
        <v>0.0231</v>
      </c>
      <c r="D62" s="241">
        <v>0.0042</v>
      </c>
      <c r="E62" s="240">
        <v>53.0</v>
      </c>
      <c r="F62" s="240" t="s">
        <v>10334</v>
      </c>
    </row>
    <row r="63">
      <c r="A63" s="240">
        <v>62.0</v>
      </c>
      <c r="B63" s="240" t="s">
        <v>10335</v>
      </c>
      <c r="C63" s="241">
        <v>0.022</v>
      </c>
      <c r="D63" s="241">
        <v>0.0055</v>
      </c>
      <c r="E63" s="240">
        <v>61.0</v>
      </c>
      <c r="F63" s="240" t="s">
        <v>10043</v>
      </c>
    </row>
    <row r="64">
      <c r="A64" s="240">
        <v>63.0</v>
      </c>
      <c r="B64" s="240" t="s">
        <v>10336</v>
      </c>
      <c r="C64" s="241">
        <v>0.022</v>
      </c>
      <c r="D64" s="241">
        <v>0.0049</v>
      </c>
      <c r="E64" s="240">
        <v>66.0</v>
      </c>
      <c r="F64" s="240" t="s">
        <v>10053</v>
      </c>
    </row>
    <row r="65">
      <c r="A65" s="240">
        <v>64.0</v>
      </c>
      <c r="B65" s="243" t="s">
        <v>10337</v>
      </c>
      <c r="C65" s="241">
        <v>0.022</v>
      </c>
      <c r="D65" s="241">
        <v>0.0049</v>
      </c>
      <c r="E65" s="240">
        <v>54.0</v>
      </c>
      <c r="F65" s="240" t="s">
        <v>10041</v>
      </c>
    </row>
    <row r="66">
      <c r="A66" s="240">
        <v>65.0</v>
      </c>
      <c r="B66" s="240" t="s">
        <v>10338</v>
      </c>
      <c r="C66" s="241">
        <v>0.022</v>
      </c>
      <c r="D66" s="241">
        <v>0.0047</v>
      </c>
      <c r="E66" s="240">
        <v>61.0</v>
      </c>
      <c r="F66" s="240" t="s">
        <v>10334</v>
      </c>
    </row>
    <row r="67">
      <c r="A67" s="240">
        <v>66.0</v>
      </c>
      <c r="B67" s="240" t="s">
        <v>5847</v>
      </c>
      <c r="C67" s="241">
        <v>0.022</v>
      </c>
      <c r="D67" s="241">
        <v>0.0042</v>
      </c>
      <c r="E67" s="240">
        <v>65.0</v>
      </c>
      <c r="F67" s="240" t="s">
        <v>10061</v>
      </c>
    </row>
    <row r="68">
      <c r="A68" s="240">
        <v>67.0</v>
      </c>
      <c r="B68" s="240" t="s">
        <v>10339</v>
      </c>
      <c r="C68" s="241">
        <v>0.022</v>
      </c>
      <c r="D68" s="241">
        <v>0.0039</v>
      </c>
      <c r="E68" s="240">
        <v>51.0</v>
      </c>
      <c r="F68" s="240" t="s">
        <v>10169</v>
      </c>
    </row>
    <row r="69">
      <c r="A69" s="240">
        <v>68.0</v>
      </c>
      <c r="B69" s="240" t="s">
        <v>7915</v>
      </c>
      <c r="C69" s="241">
        <v>0.022</v>
      </c>
      <c r="D69" s="241">
        <v>0.0037</v>
      </c>
      <c r="E69" s="240">
        <v>73.0</v>
      </c>
      <c r="F69" s="240" t="s">
        <v>10045</v>
      </c>
    </row>
    <row r="70">
      <c r="A70" s="240">
        <v>69.0</v>
      </c>
      <c r="B70" s="240" t="s">
        <v>10340</v>
      </c>
      <c r="C70" s="241">
        <v>0.022</v>
      </c>
      <c r="D70" s="241">
        <v>0.0036</v>
      </c>
      <c r="E70" s="240">
        <v>66.0</v>
      </c>
      <c r="F70" s="240" t="s">
        <v>10069</v>
      </c>
    </row>
    <row r="71">
      <c r="A71" s="240">
        <v>70.0</v>
      </c>
      <c r="B71" s="240" t="s">
        <v>10341</v>
      </c>
      <c r="C71" s="241">
        <v>0.0208</v>
      </c>
      <c r="D71" s="241">
        <v>0.0045</v>
      </c>
      <c r="E71" s="240">
        <v>58.0</v>
      </c>
      <c r="F71" s="240" t="s">
        <v>10283</v>
      </c>
    </row>
    <row r="72">
      <c r="A72" s="240">
        <v>71.0</v>
      </c>
      <c r="B72" s="240" t="s">
        <v>10342</v>
      </c>
      <c r="C72" s="241">
        <v>0.0208</v>
      </c>
      <c r="D72" s="241">
        <v>0.0045</v>
      </c>
      <c r="E72" s="240">
        <v>63.0</v>
      </c>
      <c r="F72" s="240" t="s">
        <v>10048</v>
      </c>
    </row>
    <row r="73">
      <c r="A73" s="240">
        <v>72.0</v>
      </c>
      <c r="B73" s="240" t="s">
        <v>10343</v>
      </c>
      <c r="C73" s="241">
        <v>0.0208</v>
      </c>
      <c r="D73" s="241">
        <v>0.0044</v>
      </c>
      <c r="E73" s="240">
        <v>65.0</v>
      </c>
      <c r="F73" s="240" t="s">
        <v>10058</v>
      </c>
    </row>
    <row r="74">
      <c r="A74" s="240">
        <v>73.0</v>
      </c>
      <c r="B74" s="240" t="s">
        <v>10344</v>
      </c>
      <c r="C74" s="241">
        <v>0.0208</v>
      </c>
      <c r="D74" s="241">
        <v>0.0042</v>
      </c>
      <c r="E74" s="240">
        <v>67.0</v>
      </c>
      <c r="F74" s="240" t="s">
        <v>10058</v>
      </c>
    </row>
    <row r="75">
      <c r="A75" s="240">
        <v>74.0</v>
      </c>
      <c r="B75" s="240" t="s">
        <v>1225</v>
      </c>
      <c r="C75" s="241">
        <v>0.0208</v>
      </c>
      <c r="D75" s="241">
        <v>0.0041</v>
      </c>
      <c r="E75" s="240">
        <v>63.0</v>
      </c>
      <c r="F75" s="240" t="s">
        <v>10140</v>
      </c>
    </row>
    <row r="76">
      <c r="A76" s="240">
        <v>75.0</v>
      </c>
      <c r="B76" s="240" t="s">
        <v>10345</v>
      </c>
      <c r="C76" s="241">
        <v>0.0208</v>
      </c>
      <c r="D76" s="241">
        <v>0.0031</v>
      </c>
      <c r="E76" s="240">
        <v>62.0</v>
      </c>
      <c r="F76" s="240" t="s">
        <v>10216</v>
      </c>
    </row>
    <row r="77">
      <c r="A77" s="240">
        <v>76.0</v>
      </c>
      <c r="B77" s="240" t="s">
        <v>10346</v>
      </c>
      <c r="C77" s="241">
        <v>0.0197</v>
      </c>
      <c r="D77" s="241">
        <v>0.0052</v>
      </c>
      <c r="E77" s="240">
        <v>67.0</v>
      </c>
      <c r="F77" s="240" t="s">
        <v>10234</v>
      </c>
    </row>
    <row r="78">
      <c r="A78" s="240">
        <v>77.0</v>
      </c>
      <c r="B78" s="240" t="s">
        <v>10347</v>
      </c>
      <c r="C78" s="241">
        <v>0.0197</v>
      </c>
      <c r="D78" s="241">
        <v>0.0041</v>
      </c>
      <c r="E78" s="240">
        <v>53.0</v>
      </c>
      <c r="F78" s="240" t="s">
        <v>10065</v>
      </c>
    </row>
    <row r="79">
      <c r="A79" s="240">
        <v>78.0</v>
      </c>
      <c r="B79" s="240" t="s">
        <v>10247</v>
      </c>
      <c r="C79" s="241">
        <v>0.0197</v>
      </c>
      <c r="D79" s="241">
        <v>0.0034</v>
      </c>
      <c r="E79" s="240">
        <v>61.0</v>
      </c>
      <c r="F79" s="240" t="s">
        <v>10143</v>
      </c>
    </row>
    <row r="80">
      <c r="A80" s="240">
        <v>79.0</v>
      </c>
      <c r="B80" s="240" t="s">
        <v>10348</v>
      </c>
      <c r="C80" s="241">
        <v>0.0197</v>
      </c>
      <c r="D80" s="241">
        <v>0.0032</v>
      </c>
      <c r="E80" s="240">
        <v>71.0</v>
      </c>
      <c r="F80" s="240" t="s">
        <v>10216</v>
      </c>
    </row>
    <row r="81">
      <c r="A81" s="240">
        <v>80.0</v>
      </c>
      <c r="B81" s="240" t="s">
        <v>10349</v>
      </c>
      <c r="C81" s="241">
        <v>0.0197</v>
      </c>
      <c r="D81" s="241">
        <v>0.0031</v>
      </c>
      <c r="E81" s="240">
        <v>78.0</v>
      </c>
      <c r="F81" s="240" t="s">
        <v>10041</v>
      </c>
    </row>
    <row r="82">
      <c r="A82" s="240">
        <v>81.0</v>
      </c>
      <c r="B82" s="240" t="s">
        <v>2096</v>
      </c>
      <c r="C82" s="241">
        <v>0.0197</v>
      </c>
      <c r="D82" s="241">
        <v>0.0031</v>
      </c>
      <c r="E82" s="240">
        <v>67.0</v>
      </c>
      <c r="F82" s="240" t="s">
        <v>10050</v>
      </c>
    </row>
    <row r="83">
      <c r="A83" s="240">
        <v>82.0</v>
      </c>
      <c r="B83" s="240" t="s">
        <v>10350</v>
      </c>
      <c r="C83" s="241">
        <v>0.0185</v>
      </c>
      <c r="D83" s="241">
        <v>0.0049</v>
      </c>
      <c r="E83" s="240">
        <v>60.0</v>
      </c>
      <c r="F83" s="240" t="s">
        <v>10044</v>
      </c>
    </row>
    <row r="84">
      <c r="A84" s="240">
        <v>83.0</v>
      </c>
      <c r="B84" s="240" t="s">
        <v>3801</v>
      </c>
      <c r="C84" s="241">
        <v>0.0185</v>
      </c>
      <c r="D84" s="241">
        <v>0.0044</v>
      </c>
      <c r="E84" s="240">
        <v>73.0</v>
      </c>
      <c r="F84" s="240" t="s">
        <v>10041</v>
      </c>
    </row>
    <row r="85">
      <c r="A85" s="240">
        <v>84.0</v>
      </c>
      <c r="B85" s="240" t="s">
        <v>10351</v>
      </c>
      <c r="C85" s="241">
        <v>0.0185</v>
      </c>
      <c r="D85" s="241">
        <v>0.0041</v>
      </c>
      <c r="E85" s="240">
        <v>69.0</v>
      </c>
      <c r="F85" s="240" t="s">
        <v>10054</v>
      </c>
    </row>
    <row r="86">
      <c r="A86" s="240">
        <v>85.0</v>
      </c>
      <c r="B86" s="240" t="s">
        <v>10352</v>
      </c>
      <c r="C86" s="241">
        <v>0.0185</v>
      </c>
      <c r="D86" s="241">
        <v>0.0034</v>
      </c>
      <c r="E86" s="240">
        <v>75.0</v>
      </c>
      <c r="F86" s="240" t="s">
        <v>10097</v>
      </c>
    </row>
    <row r="87">
      <c r="A87" s="240">
        <v>86.0</v>
      </c>
      <c r="B87" s="240" t="s">
        <v>10353</v>
      </c>
      <c r="C87" s="241">
        <v>0.0185</v>
      </c>
      <c r="D87" s="241">
        <v>0.0034</v>
      </c>
      <c r="E87" s="240">
        <v>65.0</v>
      </c>
      <c r="F87" s="240" t="s">
        <v>10069</v>
      </c>
    </row>
    <row r="88">
      <c r="A88" s="240">
        <v>87.0</v>
      </c>
      <c r="B88" s="240" t="s">
        <v>10354</v>
      </c>
      <c r="C88" s="241">
        <v>0.0185</v>
      </c>
      <c r="D88" s="241">
        <v>0.0031</v>
      </c>
      <c r="E88" s="240">
        <v>74.0</v>
      </c>
      <c r="F88" s="240" t="s">
        <v>10134</v>
      </c>
    </row>
    <row r="89">
      <c r="A89" s="240">
        <v>88.0</v>
      </c>
      <c r="B89" s="240" t="s">
        <v>10355</v>
      </c>
      <c r="C89" s="241">
        <v>0.0174</v>
      </c>
      <c r="D89" s="241">
        <v>0.0049</v>
      </c>
      <c r="E89" s="240">
        <v>48.0</v>
      </c>
      <c r="F89" s="240" t="s">
        <v>10047</v>
      </c>
    </row>
    <row r="90">
      <c r="A90" s="240">
        <v>89.0</v>
      </c>
      <c r="B90" s="240" t="s">
        <v>10356</v>
      </c>
      <c r="C90" s="241">
        <v>0.0174</v>
      </c>
      <c r="D90" s="241">
        <v>0.0047</v>
      </c>
      <c r="E90" s="240">
        <v>68.0</v>
      </c>
      <c r="F90" s="240" t="s">
        <v>10055</v>
      </c>
    </row>
    <row r="91">
      <c r="A91" s="240">
        <v>90.0</v>
      </c>
      <c r="B91" s="240" t="s">
        <v>10357</v>
      </c>
      <c r="C91" s="241">
        <v>0.0174</v>
      </c>
      <c r="D91" s="241">
        <v>0.0042</v>
      </c>
      <c r="E91" s="240">
        <v>57.0</v>
      </c>
      <c r="F91" s="240" t="s">
        <v>10299</v>
      </c>
    </row>
    <row r="92">
      <c r="A92" s="240">
        <v>91.0</v>
      </c>
      <c r="B92" s="240" t="s">
        <v>10358</v>
      </c>
      <c r="C92" s="241">
        <v>0.0174</v>
      </c>
      <c r="D92" s="241">
        <v>0.0041</v>
      </c>
      <c r="E92" s="240">
        <v>64.0</v>
      </c>
      <c r="F92" s="240" t="s">
        <v>10208</v>
      </c>
    </row>
    <row r="93">
      <c r="A93" s="240">
        <v>92.0</v>
      </c>
      <c r="B93" s="240" t="s">
        <v>10359</v>
      </c>
      <c r="C93" s="241">
        <v>0.0174</v>
      </c>
      <c r="D93" s="241">
        <v>0.0026</v>
      </c>
      <c r="E93" s="240">
        <v>58.0</v>
      </c>
      <c r="F93" s="240" t="s">
        <v>10049</v>
      </c>
    </row>
    <row r="94">
      <c r="A94" s="240">
        <v>93.0</v>
      </c>
      <c r="B94" s="240" t="s">
        <v>833</v>
      </c>
      <c r="C94" s="241">
        <v>0.0162</v>
      </c>
      <c r="D94" s="241">
        <v>0.0054</v>
      </c>
      <c r="E94" s="240">
        <v>52.0</v>
      </c>
      <c r="F94" s="240" t="s">
        <v>10162</v>
      </c>
    </row>
    <row r="95">
      <c r="A95" s="240">
        <v>94.0</v>
      </c>
      <c r="B95" s="240" t="s">
        <v>10360</v>
      </c>
      <c r="C95" s="241">
        <v>0.0162</v>
      </c>
      <c r="D95" s="241">
        <v>0.0039</v>
      </c>
      <c r="E95" s="240">
        <v>54.0</v>
      </c>
      <c r="F95" s="240" t="s">
        <v>10069</v>
      </c>
    </row>
    <row r="96">
      <c r="A96" s="240">
        <v>95.0</v>
      </c>
      <c r="B96" s="240" t="s">
        <v>10361</v>
      </c>
      <c r="C96" s="241">
        <v>0.0162</v>
      </c>
      <c r="D96" s="241">
        <v>0.0039</v>
      </c>
      <c r="E96" s="240">
        <v>65.0</v>
      </c>
      <c r="F96" s="240" t="s">
        <v>10047</v>
      </c>
    </row>
    <row r="97">
      <c r="A97" s="240">
        <v>96.0</v>
      </c>
      <c r="B97" s="240" t="s">
        <v>1039</v>
      </c>
      <c r="C97" s="241">
        <v>0.0162</v>
      </c>
      <c r="D97" s="241">
        <v>0.0036</v>
      </c>
      <c r="E97" s="240">
        <v>52.0</v>
      </c>
      <c r="F97" s="240" t="s">
        <v>10117</v>
      </c>
    </row>
    <row r="98">
      <c r="A98" s="240">
        <v>97.0</v>
      </c>
      <c r="B98" s="240" t="s">
        <v>10362</v>
      </c>
      <c r="C98" s="241">
        <v>0.0162</v>
      </c>
      <c r="D98" s="241">
        <v>0.0029</v>
      </c>
      <c r="E98" s="240">
        <v>61.0</v>
      </c>
      <c r="F98" s="240" t="s">
        <v>10056</v>
      </c>
    </row>
    <row r="99">
      <c r="A99" s="240">
        <v>98.0</v>
      </c>
      <c r="B99" s="240" t="s">
        <v>10363</v>
      </c>
      <c r="C99" s="241">
        <v>0.0162</v>
      </c>
      <c r="D99" s="241">
        <v>0.0029</v>
      </c>
      <c r="E99" s="240">
        <v>55.0</v>
      </c>
      <c r="F99" s="240" t="s">
        <v>10172</v>
      </c>
    </row>
    <row r="100">
      <c r="A100" s="240">
        <v>99.0</v>
      </c>
      <c r="B100" s="240" t="s">
        <v>10364</v>
      </c>
      <c r="C100" s="241">
        <v>0.0162</v>
      </c>
      <c r="D100" s="241">
        <v>0.0023</v>
      </c>
      <c r="E100" s="240">
        <v>77.0</v>
      </c>
      <c r="F100" s="240" t="s">
        <v>10065</v>
      </c>
    </row>
    <row r="101">
      <c r="A101" s="240">
        <v>100.0</v>
      </c>
      <c r="B101" s="240" t="s">
        <v>10087</v>
      </c>
      <c r="C101" s="241">
        <v>0.015</v>
      </c>
      <c r="D101" s="241">
        <v>0.0036</v>
      </c>
      <c r="E101" s="240">
        <v>59.0</v>
      </c>
      <c r="F101" s="240" t="s">
        <v>10099</v>
      </c>
    </row>
    <row r="102">
      <c r="A102" s="240">
        <v>101.0</v>
      </c>
      <c r="B102" s="240" t="s">
        <v>10365</v>
      </c>
      <c r="C102" s="241">
        <v>0.015</v>
      </c>
      <c r="D102" s="241">
        <v>0.0024</v>
      </c>
      <c r="E102" s="240">
        <v>61.0</v>
      </c>
      <c r="F102" s="240" t="s">
        <v>10154</v>
      </c>
    </row>
    <row r="103">
      <c r="A103" s="240">
        <v>102.0</v>
      </c>
      <c r="B103" s="240" t="s">
        <v>1342</v>
      </c>
      <c r="C103" s="241">
        <v>0.0139</v>
      </c>
      <c r="D103" s="241">
        <v>0.0042</v>
      </c>
      <c r="E103" s="240">
        <v>53.0</v>
      </c>
      <c r="F103" s="240" t="s">
        <v>10042</v>
      </c>
    </row>
    <row r="104">
      <c r="A104" s="240">
        <v>103.0</v>
      </c>
      <c r="B104" s="240" t="s">
        <v>10366</v>
      </c>
      <c r="C104" s="241">
        <v>0.0139</v>
      </c>
      <c r="D104" s="241">
        <v>0.0032</v>
      </c>
      <c r="E104" s="240">
        <v>64.0</v>
      </c>
      <c r="F104" s="240" t="s">
        <v>10283</v>
      </c>
    </row>
    <row r="105">
      <c r="A105" s="240">
        <v>104.0</v>
      </c>
      <c r="B105" s="240" t="s">
        <v>1101</v>
      </c>
      <c r="C105" s="241">
        <v>0.0139</v>
      </c>
      <c r="D105" s="241">
        <v>0.0021</v>
      </c>
      <c r="E105" s="240">
        <v>58.0</v>
      </c>
      <c r="F105" s="240" t="s">
        <v>10046</v>
      </c>
    </row>
    <row r="106">
      <c r="A106" s="240">
        <v>105.0</v>
      </c>
      <c r="B106" s="240" t="s">
        <v>3836</v>
      </c>
      <c r="C106" s="241">
        <v>0.0127</v>
      </c>
      <c r="D106" s="241">
        <v>0.0047</v>
      </c>
      <c r="E106" s="240">
        <v>64.0</v>
      </c>
      <c r="F106" s="240" t="s">
        <v>10051</v>
      </c>
    </row>
    <row r="107">
      <c r="A107" s="240">
        <v>106.0</v>
      </c>
      <c r="B107" s="240" t="s">
        <v>9715</v>
      </c>
      <c r="C107" s="241">
        <v>0.0127</v>
      </c>
      <c r="D107" s="241">
        <v>0.0029</v>
      </c>
      <c r="E107" s="240">
        <v>64.0</v>
      </c>
      <c r="F107" s="240" t="s">
        <v>10134</v>
      </c>
    </row>
    <row r="108">
      <c r="A108" s="240">
        <v>107.0</v>
      </c>
      <c r="B108" s="240" t="s">
        <v>7201</v>
      </c>
      <c r="C108" s="241">
        <v>0.0127</v>
      </c>
      <c r="D108" s="241">
        <v>0.0024</v>
      </c>
      <c r="E108" s="240">
        <v>75.0</v>
      </c>
      <c r="F108" s="240" t="s">
        <v>10105</v>
      </c>
    </row>
    <row r="109">
      <c r="A109" s="240">
        <v>108.0</v>
      </c>
      <c r="B109" s="240" t="s">
        <v>10367</v>
      </c>
      <c r="C109" s="241">
        <v>0.0127</v>
      </c>
      <c r="D109" s="241">
        <v>0.0023</v>
      </c>
      <c r="E109" s="240">
        <v>69.0</v>
      </c>
      <c r="F109" s="240" t="s">
        <v>10099</v>
      </c>
    </row>
    <row r="110">
      <c r="A110" s="240">
        <v>109.0</v>
      </c>
      <c r="B110" s="240" t="s">
        <v>2895</v>
      </c>
      <c r="C110" s="241">
        <v>0.0127</v>
      </c>
      <c r="D110" s="241">
        <v>0.0021</v>
      </c>
      <c r="E110" s="240">
        <v>65.0</v>
      </c>
      <c r="F110" s="240" t="s">
        <v>10047</v>
      </c>
    </row>
    <row r="111">
      <c r="A111" s="240">
        <v>110.0</v>
      </c>
      <c r="B111" s="240" t="s">
        <v>992</v>
      </c>
      <c r="C111" s="241">
        <v>0.0104</v>
      </c>
      <c r="D111" s="241">
        <v>0.0024</v>
      </c>
      <c r="E111" s="240">
        <v>53.0</v>
      </c>
      <c r="F111" s="240" t="s">
        <v>10172</v>
      </c>
    </row>
    <row r="112">
      <c r="A112" s="240">
        <v>111.0</v>
      </c>
      <c r="B112" s="240" t="s">
        <v>10152</v>
      </c>
      <c r="C112" s="241">
        <v>0.0104</v>
      </c>
      <c r="D112" s="241">
        <v>0.0018</v>
      </c>
      <c r="E112" s="240">
        <v>72.0</v>
      </c>
      <c r="F112" s="240" t="s">
        <v>10052</v>
      </c>
    </row>
    <row r="113">
      <c r="A113" s="240">
        <v>112.0</v>
      </c>
      <c r="B113" s="240" t="s">
        <v>3556</v>
      </c>
      <c r="C113" s="241">
        <v>0.0093</v>
      </c>
      <c r="D113" s="241">
        <v>0.0032</v>
      </c>
      <c r="E113" s="240">
        <v>52.0</v>
      </c>
      <c r="F113" s="240" t="s">
        <v>10081</v>
      </c>
    </row>
    <row r="114">
      <c r="A114" s="240">
        <v>113.0</v>
      </c>
      <c r="B114" s="240" t="s">
        <v>1072</v>
      </c>
      <c r="C114" s="241">
        <v>0.0093</v>
      </c>
      <c r="D114" s="241">
        <v>0.0018</v>
      </c>
      <c r="E114" s="240">
        <v>69.0</v>
      </c>
      <c r="F114" s="240" t="s">
        <v>10169</v>
      </c>
    </row>
    <row r="115">
      <c r="A115" s="240">
        <v>114.0</v>
      </c>
      <c r="B115" s="240" t="s">
        <v>10145</v>
      </c>
      <c r="C115" s="241">
        <v>0.0081</v>
      </c>
      <c r="D115" s="241">
        <v>0.0019</v>
      </c>
      <c r="E115" s="240">
        <v>61.0</v>
      </c>
      <c r="F115" s="240" t="s">
        <v>10069</v>
      </c>
    </row>
    <row r="116">
      <c r="A116" s="240">
        <v>115.0</v>
      </c>
      <c r="B116" s="240" t="s">
        <v>1252</v>
      </c>
      <c r="C116" s="241">
        <v>0.0081</v>
      </c>
      <c r="D116" s="241">
        <v>0.0015</v>
      </c>
      <c r="E116" s="240">
        <v>64.0</v>
      </c>
      <c r="F116" s="240" t="s">
        <v>10368</v>
      </c>
    </row>
    <row r="117">
      <c r="A117" s="240">
        <v>116.0</v>
      </c>
      <c r="B117" s="240" t="s">
        <v>10146</v>
      </c>
      <c r="C117" s="241">
        <v>0.0081</v>
      </c>
      <c r="D117" s="241">
        <v>0.0013</v>
      </c>
      <c r="E117" s="240">
        <v>59.0</v>
      </c>
      <c r="F117" s="240" t="s">
        <v>10056</v>
      </c>
    </row>
    <row r="118">
      <c r="A118" s="240">
        <v>117.0</v>
      </c>
      <c r="B118" s="240" t="s">
        <v>1246</v>
      </c>
      <c r="C118" s="241">
        <v>0.0081</v>
      </c>
      <c r="D118" s="241">
        <v>0.0013</v>
      </c>
      <c r="E118" s="240">
        <v>61.0</v>
      </c>
      <c r="F118" s="240" t="s">
        <v>10065</v>
      </c>
    </row>
    <row r="119">
      <c r="A119" s="240">
        <v>118.0</v>
      </c>
      <c r="B119" s="240" t="s">
        <v>10136</v>
      </c>
      <c r="C119" s="241">
        <v>0.0069</v>
      </c>
      <c r="D119" s="241">
        <v>0.0016</v>
      </c>
      <c r="E119" s="240">
        <v>51.0</v>
      </c>
      <c r="F119" s="240" t="s">
        <v>10369</v>
      </c>
    </row>
    <row r="120">
      <c r="A120" s="240">
        <v>119.0</v>
      </c>
      <c r="B120" s="240" t="s">
        <v>10102</v>
      </c>
      <c r="C120" s="241">
        <v>0.0069</v>
      </c>
      <c r="D120" s="241">
        <v>0.0015</v>
      </c>
      <c r="E120" s="240">
        <v>56.0</v>
      </c>
      <c r="F120" s="240" t="s">
        <v>10143</v>
      </c>
    </row>
    <row r="121">
      <c r="A121" s="240">
        <v>120.0</v>
      </c>
      <c r="B121" s="240" t="s">
        <v>1297</v>
      </c>
      <c r="C121" s="241">
        <v>0.0069</v>
      </c>
      <c r="D121" s="241">
        <v>0.0015</v>
      </c>
      <c r="E121" s="240">
        <v>66.0</v>
      </c>
      <c r="F121" s="240" t="s">
        <v>10232</v>
      </c>
    </row>
    <row r="122">
      <c r="A122" s="240">
        <v>121.0</v>
      </c>
      <c r="B122" s="240" t="s">
        <v>1232</v>
      </c>
      <c r="C122" s="241">
        <v>0.0069</v>
      </c>
      <c r="D122" s="241">
        <v>0.0011</v>
      </c>
      <c r="E122" s="240">
        <v>66.0</v>
      </c>
      <c r="F122" s="240" t="s">
        <v>10144</v>
      </c>
    </row>
    <row r="123">
      <c r="A123" s="240">
        <v>122.0</v>
      </c>
      <c r="B123" s="240" t="s">
        <v>10370</v>
      </c>
      <c r="C123" s="241">
        <v>0.0058</v>
      </c>
      <c r="D123" s="241">
        <v>0.001</v>
      </c>
      <c r="E123" s="240">
        <v>54.0</v>
      </c>
      <c r="F123" s="240" t="s">
        <v>10069</v>
      </c>
    </row>
    <row r="124">
      <c r="A124" s="240">
        <v>123.0</v>
      </c>
      <c r="B124" s="240" t="s">
        <v>1201</v>
      </c>
      <c r="C124" s="241">
        <v>0.0058</v>
      </c>
      <c r="D124" s="241">
        <v>8.0E-4</v>
      </c>
      <c r="E124" s="240">
        <v>55.0</v>
      </c>
      <c r="F124" s="240" t="s">
        <v>10056</v>
      </c>
    </row>
    <row r="125">
      <c r="A125" s="240">
        <v>124.0</v>
      </c>
      <c r="B125" s="240" t="s">
        <v>1087</v>
      </c>
      <c r="C125" s="241">
        <v>0.0058</v>
      </c>
      <c r="D125" s="241">
        <v>8.0E-4</v>
      </c>
      <c r="E125" s="240">
        <v>69.0</v>
      </c>
      <c r="F125" s="240" t="s">
        <v>10147</v>
      </c>
    </row>
    <row r="126">
      <c r="A126" s="240">
        <v>125.0</v>
      </c>
      <c r="B126" s="240" t="s">
        <v>9197</v>
      </c>
      <c r="C126" s="241">
        <v>0.0046</v>
      </c>
      <c r="D126" s="241">
        <v>0.001</v>
      </c>
      <c r="E126" s="240">
        <v>54.0</v>
      </c>
      <c r="F126" s="240" t="s">
        <v>10368</v>
      </c>
    </row>
    <row r="127">
      <c r="A127" s="240">
        <v>126.0</v>
      </c>
      <c r="B127" s="240" t="s">
        <v>1003</v>
      </c>
      <c r="C127" s="241">
        <v>0.0046</v>
      </c>
      <c r="D127" s="241">
        <v>8.0E-4</v>
      </c>
      <c r="E127" s="240">
        <v>73.0</v>
      </c>
      <c r="F127" s="240" t="s">
        <v>10156</v>
      </c>
    </row>
    <row r="128">
      <c r="A128" s="240">
        <v>127.0</v>
      </c>
      <c r="B128" s="240" t="s">
        <v>8195</v>
      </c>
      <c r="C128" s="241">
        <v>0.0046</v>
      </c>
      <c r="D128" s="241">
        <v>8.0E-4</v>
      </c>
      <c r="E128" s="240">
        <v>56.0</v>
      </c>
      <c r="F128" s="240" t="s">
        <v>10140</v>
      </c>
    </row>
    <row r="129">
      <c r="A129" s="240">
        <v>128.0</v>
      </c>
      <c r="B129" s="240" t="s">
        <v>2885</v>
      </c>
      <c r="C129" s="241">
        <v>0.0046</v>
      </c>
      <c r="D129" s="241">
        <v>8.0E-4</v>
      </c>
      <c r="E129" s="240">
        <v>64.0</v>
      </c>
      <c r="F129" s="240" t="s">
        <v>10144</v>
      </c>
    </row>
    <row r="130">
      <c r="A130" s="240">
        <v>129.0</v>
      </c>
      <c r="B130" s="240" t="s">
        <v>1319</v>
      </c>
      <c r="C130" s="241">
        <v>0.0035</v>
      </c>
      <c r="D130" s="241">
        <v>8.0E-4</v>
      </c>
      <c r="E130" s="240">
        <v>57.0</v>
      </c>
      <c r="F130" s="240" t="s">
        <v>10044</v>
      </c>
    </row>
    <row r="131">
      <c r="A131" s="240">
        <v>130.0</v>
      </c>
      <c r="B131" s="240" t="s">
        <v>1217</v>
      </c>
      <c r="C131" s="241">
        <v>0.0035</v>
      </c>
      <c r="D131" s="241">
        <v>8.0E-4</v>
      </c>
      <c r="E131" s="240">
        <v>66.0</v>
      </c>
      <c r="F131" s="240" t="s">
        <v>10128</v>
      </c>
    </row>
    <row r="132">
      <c r="A132" s="240">
        <v>131.0</v>
      </c>
      <c r="B132" s="240" t="s">
        <v>10160</v>
      </c>
      <c r="C132" s="241">
        <v>0.0035</v>
      </c>
      <c r="D132" s="241">
        <v>6.0E-4</v>
      </c>
      <c r="E132" s="240">
        <v>79.0</v>
      </c>
      <c r="F132" s="240" t="s">
        <v>10041</v>
      </c>
    </row>
    <row r="133">
      <c r="A133" s="240">
        <v>132.0</v>
      </c>
      <c r="B133" s="240" t="s">
        <v>1091</v>
      </c>
      <c r="C133" s="241">
        <v>0.0023</v>
      </c>
      <c r="D133" s="241">
        <v>5.0E-4</v>
      </c>
      <c r="E133" s="240">
        <v>59.0</v>
      </c>
      <c r="F133" s="240" t="s">
        <v>10050</v>
      </c>
    </row>
    <row r="134">
      <c r="A134" s="240">
        <v>133.0</v>
      </c>
      <c r="B134" s="240" t="s">
        <v>1078</v>
      </c>
      <c r="C134" s="241">
        <v>0.0023</v>
      </c>
      <c r="D134" s="241">
        <v>5.0E-4</v>
      </c>
      <c r="E134" s="240">
        <v>48.0</v>
      </c>
      <c r="F134" s="240" t="s">
        <v>10083</v>
      </c>
    </row>
    <row r="135">
      <c r="A135" s="240">
        <v>134.0</v>
      </c>
      <c r="B135" s="240" t="s">
        <v>10155</v>
      </c>
      <c r="C135" s="241">
        <v>0.0023</v>
      </c>
      <c r="D135" s="241">
        <v>5.0E-4</v>
      </c>
      <c r="E135" s="240">
        <v>80.0</v>
      </c>
      <c r="F135" s="240" t="s">
        <v>10156</v>
      </c>
    </row>
    <row r="136">
      <c r="A136" s="240">
        <v>135.0</v>
      </c>
      <c r="B136" s="240" t="s">
        <v>1064</v>
      </c>
      <c r="C136" s="241">
        <v>0.0023</v>
      </c>
      <c r="D136" s="241">
        <v>3.0E-4</v>
      </c>
      <c r="E136" s="240">
        <v>65.0</v>
      </c>
      <c r="F136" s="240" t="s">
        <v>10186</v>
      </c>
    </row>
    <row r="137">
      <c r="A137" s="240">
        <v>136.0</v>
      </c>
      <c r="B137" s="240" t="s">
        <v>10158</v>
      </c>
      <c r="C137" s="241">
        <v>0.0023</v>
      </c>
      <c r="D137" s="241">
        <v>3.0E-4</v>
      </c>
      <c r="E137" s="240">
        <v>79.0</v>
      </c>
      <c r="F137" s="240" t="s">
        <v>10059</v>
      </c>
    </row>
    <row r="138">
      <c r="A138" s="240">
        <v>137.0</v>
      </c>
      <c r="B138" s="240" t="s">
        <v>760</v>
      </c>
      <c r="C138" s="241">
        <v>0.0012</v>
      </c>
      <c r="D138" s="241">
        <v>5.0E-4</v>
      </c>
      <c r="E138" s="240">
        <v>59.0</v>
      </c>
      <c r="F138" s="240" t="s">
        <v>10156</v>
      </c>
    </row>
    <row r="139">
      <c r="A139" s="240">
        <v>138.0</v>
      </c>
      <c r="B139" s="240" t="s">
        <v>1120</v>
      </c>
      <c r="C139" s="241">
        <v>0.0012</v>
      </c>
      <c r="D139" s="241">
        <v>3.0E-4</v>
      </c>
      <c r="E139" s="240">
        <v>50.0</v>
      </c>
      <c r="F139" s="240" t="s">
        <v>10140</v>
      </c>
    </row>
    <row r="140">
      <c r="A140" s="240">
        <v>139.0</v>
      </c>
      <c r="B140" s="240" t="s">
        <v>1029</v>
      </c>
      <c r="C140" s="241">
        <v>0.0012</v>
      </c>
      <c r="D140" s="241">
        <v>2.0E-4</v>
      </c>
      <c r="E140" s="240"/>
      <c r="F140" s="240"/>
    </row>
    <row r="141">
      <c r="A141" s="240">
        <v>140.0</v>
      </c>
      <c r="B141" s="240" t="s">
        <v>1130</v>
      </c>
      <c r="C141" s="241">
        <v>0.0</v>
      </c>
      <c r="D141" s="241">
        <v>0.0</v>
      </c>
      <c r="E141" s="240"/>
      <c r="F141" s="240"/>
    </row>
    <row r="142">
      <c r="A142" s="240">
        <v>141.0</v>
      </c>
      <c r="B142" s="240" t="s">
        <v>1153</v>
      </c>
      <c r="C142" s="241">
        <v>0.0</v>
      </c>
      <c r="D142" s="241">
        <v>0.0</v>
      </c>
      <c r="E142" s="240"/>
      <c r="F142" s="240"/>
    </row>
    <row r="143">
      <c r="A143" s="240">
        <v>142.0</v>
      </c>
      <c r="B143" s="240" t="s">
        <v>1147</v>
      </c>
      <c r="C143" s="241">
        <v>0.0</v>
      </c>
      <c r="D143" s="241">
        <v>0.0</v>
      </c>
      <c r="E143" s="240"/>
      <c r="F143" s="240"/>
    </row>
    <row r="144">
      <c r="A144" s="240">
        <v>143.0</v>
      </c>
      <c r="B144" s="240" t="s">
        <v>790</v>
      </c>
      <c r="C144" s="241">
        <v>0.0</v>
      </c>
      <c r="D144" s="241">
        <v>0.0</v>
      </c>
      <c r="E144" s="240"/>
      <c r="F144" s="240"/>
    </row>
    <row r="145">
      <c r="A145" s="240">
        <v>144.0</v>
      </c>
      <c r="B145" s="240" t="s">
        <v>1046</v>
      </c>
      <c r="C145" s="241">
        <v>0.0</v>
      </c>
      <c r="D145" s="241">
        <v>0.0</v>
      </c>
      <c r="E145" s="240"/>
      <c r="F145" s="240"/>
    </row>
    <row r="146">
      <c r="A146" s="240">
        <v>145.0</v>
      </c>
      <c r="B146" s="240" t="s">
        <v>1138</v>
      </c>
      <c r="C146" s="241">
        <v>0.0</v>
      </c>
      <c r="D146" s="241">
        <v>0.0</v>
      </c>
      <c r="E146" s="240"/>
      <c r="F146" s="240"/>
    </row>
    <row r="147">
      <c r="A147" s="240">
        <v>146.0</v>
      </c>
      <c r="B147" s="240" t="s">
        <v>1110</v>
      </c>
      <c r="C147" s="241">
        <v>0.0</v>
      </c>
      <c r="D147" s="241">
        <v>0.0</v>
      </c>
      <c r="E147" s="240"/>
      <c r="F147" s="240"/>
    </row>
    <row r="148">
      <c r="A148" s="240">
        <v>147.0</v>
      </c>
      <c r="B148" s="240" t="s">
        <v>862</v>
      </c>
      <c r="C148" s="241">
        <v>0.0</v>
      </c>
      <c r="D148" s="241">
        <v>0.0</v>
      </c>
      <c r="E148" s="240"/>
      <c r="F148" s="240"/>
    </row>
    <row r="149">
      <c r="A149" s="240">
        <v>148.0</v>
      </c>
      <c r="B149" s="240" t="s">
        <v>1327</v>
      </c>
      <c r="C149" s="241">
        <v>0.0</v>
      </c>
      <c r="D149" s="241">
        <v>0.0</v>
      </c>
      <c r="E149" s="240"/>
      <c r="F149" s="240"/>
    </row>
    <row r="150">
      <c r="A150" s="240">
        <v>149.0</v>
      </c>
      <c r="B150" s="240" t="s">
        <v>1012</v>
      </c>
      <c r="C150" s="241">
        <v>0.0</v>
      </c>
      <c r="D150" s="241">
        <v>0.0</v>
      </c>
      <c r="E150" s="240"/>
      <c r="F150" s="240"/>
    </row>
    <row r="151">
      <c r="A151" s="240">
        <v>150.0</v>
      </c>
      <c r="B151" s="240" t="s">
        <v>1055</v>
      </c>
      <c r="C151" s="241">
        <v>0.0</v>
      </c>
      <c r="D151" s="241">
        <v>0.0</v>
      </c>
      <c r="E151" s="240"/>
      <c r="F151"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hyperlinks>
    <hyperlink r:id="rId1" ref="B65"/>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44"/>
    <col customWidth="1" min="2" max="2" width="28.11"/>
  </cols>
  <sheetData>
    <row r="1">
      <c r="A1" s="239" t="s">
        <v>10036</v>
      </c>
      <c r="B1" s="239" t="s">
        <v>44</v>
      </c>
      <c r="C1" s="239" t="s">
        <v>10037</v>
      </c>
      <c r="D1" s="239" t="s">
        <v>10038</v>
      </c>
      <c r="E1" s="239" t="s">
        <v>10039</v>
      </c>
      <c r="F1" s="239" t="s">
        <v>10040</v>
      </c>
    </row>
    <row r="2">
      <c r="A2" s="240">
        <v>1.0</v>
      </c>
      <c r="B2" s="240" t="s">
        <v>2231</v>
      </c>
      <c r="C2" s="241">
        <v>0.2576</v>
      </c>
      <c r="D2" s="241">
        <v>0.0589</v>
      </c>
      <c r="E2" s="240">
        <v>68.0</v>
      </c>
      <c r="F2" s="240" t="s">
        <v>10047</v>
      </c>
    </row>
    <row r="3">
      <c r="A3" s="240">
        <v>2.0</v>
      </c>
      <c r="B3" s="240" t="s">
        <v>2242</v>
      </c>
      <c r="C3" s="241">
        <v>0.2295</v>
      </c>
      <c r="D3" s="241">
        <v>0.064</v>
      </c>
      <c r="E3" s="240">
        <v>62.0</v>
      </c>
      <c r="F3" s="240" t="s">
        <v>10043</v>
      </c>
    </row>
    <row r="4">
      <c r="A4" s="240">
        <v>3.0</v>
      </c>
      <c r="B4" s="240" t="s">
        <v>2250</v>
      </c>
      <c r="C4" s="241">
        <v>0.1807</v>
      </c>
      <c r="D4" s="241">
        <v>0.0404</v>
      </c>
      <c r="E4" s="240">
        <v>65.0</v>
      </c>
      <c r="F4" s="240" t="s">
        <v>10049</v>
      </c>
    </row>
    <row r="5">
      <c r="A5" s="240">
        <v>4.0</v>
      </c>
      <c r="B5" s="240" t="s">
        <v>2252</v>
      </c>
      <c r="C5" s="241">
        <v>0.1392</v>
      </c>
      <c r="D5" s="241">
        <v>0.0517</v>
      </c>
      <c r="E5" s="240">
        <v>58.0</v>
      </c>
      <c r="F5" s="240" t="s">
        <v>10097</v>
      </c>
    </row>
    <row r="6">
      <c r="A6" s="240">
        <v>5.0</v>
      </c>
      <c r="B6" s="240" t="s">
        <v>2254</v>
      </c>
      <c r="C6" s="241">
        <v>0.138</v>
      </c>
      <c r="D6" s="241">
        <v>0.0292</v>
      </c>
      <c r="E6" s="240">
        <v>64.0</v>
      </c>
      <c r="F6" s="240" t="s">
        <v>10134</v>
      </c>
    </row>
    <row r="7">
      <c r="A7" s="240">
        <v>6.0</v>
      </c>
      <c r="B7" s="240" t="s">
        <v>2259</v>
      </c>
      <c r="C7" s="241">
        <v>0.1184</v>
      </c>
      <c r="D7" s="241">
        <v>0.0239</v>
      </c>
      <c r="E7" s="240">
        <v>62.0</v>
      </c>
      <c r="F7" s="240" t="s">
        <v>10054</v>
      </c>
    </row>
    <row r="8">
      <c r="A8" s="240">
        <v>7.0</v>
      </c>
      <c r="B8" s="240" t="s">
        <v>2338</v>
      </c>
      <c r="C8" s="241">
        <v>0.1136</v>
      </c>
      <c r="D8" s="241">
        <v>0.0228</v>
      </c>
      <c r="E8" s="240">
        <v>69.0</v>
      </c>
      <c r="F8" s="240" t="s">
        <v>10048</v>
      </c>
    </row>
    <row r="9">
      <c r="A9" s="240">
        <v>8.0</v>
      </c>
      <c r="B9" s="240" t="s">
        <v>2343</v>
      </c>
      <c r="C9" s="241">
        <v>0.105</v>
      </c>
      <c r="D9" s="241">
        <v>0.0213</v>
      </c>
      <c r="E9" s="240">
        <v>71.0</v>
      </c>
      <c r="F9" s="240" t="s">
        <v>10216</v>
      </c>
    </row>
    <row r="10">
      <c r="A10" s="240">
        <v>9.0</v>
      </c>
      <c r="B10" s="240" t="s">
        <v>2348</v>
      </c>
      <c r="C10" s="241">
        <v>0.1038</v>
      </c>
      <c r="D10" s="241">
        <v>0.0192</v>
      </c>
      <c r="E10" s="240">
        <v>62.0</v>
      </c>
      <c r="F10" s="240" t="s">
        <v>10069</v>
      </c>
    </row>
    <row r="11">
      <c r="A11" s="240">
        <v>10.0</v>
      </c>
      <c r="B11" s="240" t="s">
        <v>2355</v>
      </c>
      <c r="C11" s="241">
        <v>0.0989</v>
      </c>
      <c r="D11" s="241">
        <v>0.0191</v>
      </c>
      <c r="E11" s="240">
        <v>68.0</v>
      </c>
      <c r="F11" s="240" t="s">
        <v>10073</v>
      </c>
    </row>
    <row r="12">
      <c r="A12" s="240">
        <v>11.0</v>
      </c>
      <c r="B12" s="240" t="s">
        <v>2360</v>
      </c>
      <c r="C12" s="241">
        <v>0.094</v>
      </c>
      <c r="D12" s="241">
        <v>0.025</v>
      </c>
      <c r="E12" s="240">
        <v>65.0</v>
      </c>
      <c r="F12" s="240" t="s">
        <v>10151</v>
      </c>
    </row>
    <row r="13">
      <c r="A13" s="240">
        <v>12.0</v>
      </c>
      <c r="B13" s="240" t="s">
        <v>2370</v>
      </c>
      <c r="C13" s="241">
        <v>0.094</v>
      </c>
      <c r="D13" s="241">
        <v>0.0223</v>
      </c>
      <c r="E13" s="240">
        <v>68.0</v>
      </c>
      <c r="F13" s="240" t="s">
        <v>10054</v>
      </c>
    </row>
    <row r="14">
      <c r="A14" s="240">
        <v>13.0</v>
      </c>
      <c r="B14" s="240" t="s">
        <v>1342</v>
      </c>
      <c r="C14" s="241">
        <v>0.0806</v>
      </c>
      <c r="D14" s="241">
        <v>0.0216</v>
      </c>
      <c r="E14" s="240">
        <v>64.0</v>
      </c>
      <c r="F14" s="240" t="s">
        <v>10073</v>
      </c>
    </row>
    <row r="15">
      <c r="A15" s="240">
        <v>14.0</v>
      </c>
      <c r="B15" s="240" t="s">
        <v>2382</v>
      </c>
      <c r="C15" s="241">
        <v>0.0635</v>
      </c>
      <c r="D15" s="241">
        <v>0.0155</v>
      </c>
      <c r="E15" s="240">
        <v>58.0</v>
      </c>
      <c r="F15" s="240" t="s">
        <v>10070</v>
      </c>
    </row>
    <row r="16">
      <c r="A16" s="240">
        <v>15.0</v>
      </c>
      <c r="B16" s="240" t="s">
        <v>912</v>
      </c>
      <c r="C16" s="241">
        <v>0.0611</v>
      </c>
      <c r="D16" s="241">
        <v>0.0123</v>
      </c>
      <c r="E16" s="240">
        <v>62.0</v>
      </c>
      <c r="F16" s="240" t="s">
        <v>10174</v>
      </c>
    </row>
    <row r="17">
      <c r="A17" s="240">
        <v>16.0</v>
      </c>
      <c r="B17" s="240" t="s">
        <v>2396</v>
      </c>
      <c r="C17" s="241">
        <v>0.0611</v>
      </c>
      <c r="D17" s="241">
        <v>0.0111</v>
      </c>
      <c r="E17" s="240">
        <v>66.0</v>
      </c>
      <c r="F17" s="240" t="s">
        <v>10054</v>
      </c>
    </row>
    <row r="18">
      <c r="A18" s="240">
        <v>17.0</v>
      </c>
      <c r="B18" s="240" t="s">
        <v>2403</v>
      </c>
      <c r="C18" s="241">
        <v>0.0611</v>
      </c>
      <c r="D18" s="241">
        <v>0.0103</v>
      </c>
      <c r="E18" s="240">
        <v>75.0</v>
      </c>
      <c r="F18" s="240" t="s">
        <v>10050</v>
      </c>
    </row>
    <row r="19">
      <c r="A19" s="240">
        <v>18.0</v>
      </c>
      <c r="B19" s="240" t="s">
        <v>2411</v>
      </c>
      <c r="C19" s="241">
        <v>0.0598</v>
      </c>
      <c r="D19" s="241">
        <v>0.0161</v>
      </c>
      <c r="E19" s="240">
        <v>64.0</v>
      </c>
      <c r="F19" s="240" t="s">
        <v>10042</v>
      </c>
    </row>
    <row r="20">
      <c r="A20" s="240">
        <v>19.0</v>
      </c>
      <c r="B20" s="240" t="s">
        <v>380</v>
      </c>
      <c r="C20" s="241">
        <v>0.0598</v>
      </c>
      <c r="D20" s="241">
        <v>0.0139</v>
      </c>
      <c r="E20" s="240">
        <v>63.0</v>
      </c>
      <c r="F20" s="240" t="s">
        <v>10060</v>
      </c>
    </row>
    <row r="21">
      <c r="A21" s="240">
        <v>20.0</v>
      </c>
      <c r="B21" s="240" t="s">
        <v>2418</v>
      </c>
      <c r="C21" s="241">
        <v>0.0598</v>
      </c>
      <c r="D21" s="241">
        <v>0.0092</v>
      </c>
      <c r="E21" s="240">
        <v>64.0</v>
      </c>
      <c r="F21" s="240" t="s">
        <v>10137</v>
      </c>
    </row>
    <row r="22">
      <c r="A22" s="240">
        <v>21.0</v>
      </c>
      <c r="B22" s="240" t="s">
        <v>2420</v>
      </c>
      <c r="C22" s="241">
        <v>0.0586</v>
      </c>
      <c r="D22" s="241">
        <v>0.0107</v>
      </c>
      <c r="E22" s="240">
        <v>67.0</v>
      </c>
      <c r="F22" s="240" t="s">
        <v>10099</v>
      </c>
    </row>
    <row r="23">
      <c r="A23" s="240">
        <v>22.0</v>
      </c>
      <c r="B23" s="240" t="s">
        <v>1021</v>
      </c>
      <c r="C23" s="241">
        <v>0.0574</v>
      </c>
      <c r="D23" s="241">
        <v>0.0161</v>
      </c>
      <c r="E23" s="240">
        <v>56.0</v>
      </c>
      <c r="F23" s="240" t="s">
        <v>10104</v>
      </c>
    </row>
    <row r="24">
      <c r="A24" s="240">
        <v>23.0</v>
      </c>
      <c r="B24" s="240" t="s">
        <v>2434</v>
      </c>
      <c r="C24" s="241">
        <v>0.0549</v>
      </c>
      <c r="D24" s="241">
        <v>0.02</v>
      </c>
      <c r="E24" s="240">
        <v>55.0</v>
      </c>
      <c r="F24" s="240" t="s">
        <v>10046</v>
      </c>
    </row>
    <row r="25">
      <c r="A25" s="240">
        <v>24.0</v>
      </c>
      <c r="B25" s="240" t="s">
        <v>369</v>
      </c>
      <c r="C25" s="241">
        <v>0.0513</v>
      </c>
      <c r="D25" s="241">
        <v>0.0171</v>
      </c>
      <c r="E25" s="240">
        <v>60.0</v>
      </c>
      <c r="F25" s="240" t="s">
        <v>10301</v>
      </c>
    </row>
    <row r="26">
      <c r="A26" s="240">
        <v>25.0</v>
      </c>
      <c r="B26" s="240" t="s">
        <v>2438</v>
      </c>
      <c r="C26" s="241">
        <v>0.0488</v>
      </c>
      <c r="D26" s="241">
        <v>0.0092</v>
      </c>
      <c r="E26" s="240">
        <v>68.0</v>
      </c>
      <c r="F26" s="240" t="s">
        <v>10050</v>
      </c>
    </row>
    <row r="27">
      <c r="A27" s="240">
        <v>26.0</v>
      </c>
      <c r="B27" s="240" t="s">
        <v>10371</v>
      </c>
      <c r="C27" s="241">
        <v>0.0464</v>
      </c>
      <c r="D27" s="241">
        <v>0.0079</v>
      </c>
      <c r="E27" s="240">
        <v>73.0</v>
      </c>
      <c r="F27" s="240" t="s">
        <v>10042</v>
      </c>
    </row>
    <row r="28">
      <c r="A28" s="240">
        <v>27.0</v>
      </c>
      <c r="B28" s="240" t="s">
        <v>10372</v>
      </c>
      <c r="C28" s="241">
        <v>0.0464</v>
      </c>
      <c r="D28" s="241">
        <v>0.0079</v>
      </c>
      <c r="E28" s="240">
        <v>71.0</v>
      </c>
      <c r="F28" s="240" t="s">
        <v>10046</v>
      </c>
    </row>
    <row r="29">
      <c r="A29" s="240">
        <v>28.0</v>
      </c>
      <c r="B29" s="240" t="s">
        <v>2547</v>
      </c>
      <c r="C29" s="241">
        <v>0.044</v>
      </c>
      <c r="D29" s="241">
        <v>0.0095</v>
      </c>
      <c r="E29" s="240">
        <v>72.0</v>
      </c>
      <c r="F29" s="240" t="s">
        <v>10055</v>
      </c>
    </row>
    <row r="30">
      <c r="A30" s="240">
        <v>29.0</v>
      </c>
      <c r="B30" s="240" t="s">
        <v>10087</v>
      </c>
      <c r="C30" s="241">
        <v>0.0427</v>
      </c>
      <c r="D30" s="241">
        <v>0.0099</v>
      </c>
      <c r="E30" s="240">
        <v>58.0</v>
      </c>
      <c r="F30" s="240" t="s">
        <v>10049</v>
      </c>
    </row>
    <row r="31">
      <c r="A31" s="240">
        <v>30.0</v>
      </c>
      <c r="B31" s="240" t="s">
        <v>8929</v>
      </c>
      <c r="C31" s="241">
        <v>0.0427</v>
      </c>
      <c r="D31" s="241">
        <v>0.0073</v>
      </c>
      <c r="E31" s="240">
        <v>61.0</v>
      </c>
      <c r="F31" s="240" t="s">
        <v>10060</v>
      </c>
    </row>
    <row r="32">
      <c r="A32" s="240">
        <v>31.0</v>
      </c>
      <c r="B32" s="240" t="s">
        <v>9288</v>
      </c>
      <c r="C32" s="241">
        <v>0.0391</v>
      </c>
      <c r="D32" s="241">
        <v>0.0103</v>
      </c>
      <c r="E32" s="240">
        <v>58.0</v>
      </c>
      <c r="F32" s="240" t="s">
        <v>10162</v>
      </c>
    </row>
    <row r="33">
      <c r="A33" s="240">
        <v>32.0</v>
      </c>
      <c r="B33" s="240" t="s">
        <v>3891</v>
      </c>
      <c r="C33" s="241">
        <v>0.0391</v>
      </c>
      <c r="D33" s="241">
        <v>0.0089</v>
      </c>
      <c r="E33" s="240">
        <v>54.0</v>
      </c>
      <c r="F33" s="240" t="s">
        <v>10044</v>
      </c>
    </row>
    <row r="34">
      <c r="A34" s="240">
        <v>33.0</v>
      </c>
      <c r="B34" s="240" t="s">
        <v>2001</v>
      </c>
      <c r="C34" s="241">
        <v>0.0391</v>
      </c>
      <c r="D34" s="241">
        <v>0.0086</v>
      </c>
      <c r="E34" s="240">
        <v>52.0</v>
      </c>
      <c r="F34" s="240" t="s">
        <v>10137</v>
      </c>
    </row>
    <row r="35">
      <c r="A35" s="240">
        <v>34.0</v>
      </c>
      <c r="B35" s="240" t="s">
        <v>3844</v>
      </c>
      <c r="C35" s="241">
        <v>0.0379</v>
      </c>
      <c r="D35" s="241">
        <v>0.0071</v>
      </c>
      <c r="E35" s="240">
        <v>69.0</v>
      </c>
      <c r="F35" s="240" t="s">
        <v>10049</v>
      </c>
    </row>
    <row r="36">
      <c r="A36" s="240">
        <v>35.0</v>
      </c>
      <c r="B36" s="240" t="s">
        <v>10373</v>
      </c>
      <c r="C36" s="241">
        <v>0.0366</v>
      </c>
      <c r="D36" s="241">
        <v>0.0055</v>
      </c>
      <c r="E36" s="240">
        <v>66.0</v>
      </c>
      <c r="F36" s="240" t="s">
        <v>10208</v>
      </c>
    </row>
    <row r="37">
      <c r="A37" s="240">
        <v>36.0</v>
      </c>
      <c r="B37" s="240" t="s">
        <v>3862</v>
      </c>
      <c r="C37" s="241">
        <v>0.0354</v>
      </c>
      <c r="D37" s="241">
        <v>0.0073</v>
      </c>
      <c r="E37" s="240">
        <v>59.0</v>
      </c>
      <c r="F37" s="240" t="s">
        <v>10140</v>
      </c>
    </row>
    <row r="38">
      <c r="A38" s="240">
        <v>37.0</v>
      </c>
      <c r="B38" s="240" t="s">
        <v>10079</v>
      </c>
      <c r="C38" s="241">
        <v>0.0354</v>
      </c>
      <c r="D38" s="241">
        <v>0.0055</v>
      </c>
      <c r="E38" s="240">
        <v>61.0</v>
      </c>
      <c r="F38" s="240" t="s">
        <v>10374</v>
      </c>
    </row>
    <row r="39">
      <c r="A39" s="240">
        <v>38.0</v>
      </c>
      <c r="B39" s="240" t="s">
        <v>10138</v>
      </c>
      <c r="C39" s="241">
        <v>0.0342</v>
      </c>
      <c r="D39" s="241">
        <v>0.0068</v>
      </c>
      <c r="E39" s="240">
        <v>57.0</v>
      </c>
      <c r="F39" s="240" t="s">
        <v>10147</v>
      </c>
    </row>
    <row r="40">
      <c r="A40" s="240">
        <v>39.0</v>
      </c>
      <c r="B40" s="240" t="s">
        <v>3791</v>
      </c>
      <c r="C40" s="241">
        <v>0.0342</v>
      </c>
      <c r="D40" s="241">
        <v>0.0063</v>
      </c>
      <c r="E40" s="240">
        <v>70.0</v>
      </c>
      <c r="F40" s="240" t="s">
        <v>10042</v>
      </c>
    </row>
    <row r="41">
      <c r="A41" s="240">
        <v>40.0</v>
      </c>
      <c r="B41" s="242" t="s">
        <v>27</v>
      </c>
      <c r="C41" s="241">
        <v>0.0317</v>
      </c>
      <c r="D41" s="241">
        <v>0.0111</v>
      </c>
      <c r="E41" s="240">
        <v>55.0</v>
      </c>
      <c r="F41" s="240" t="s">
        <v>10045</v>
      </c>
    </row>
    <row r="42">
      <c r="A42" s="240">
        <v>41.0</v>
      </c>
      <c r="B42" s="240" t="s">
        <v>9715</v>
      </c>
      <c r="C42" s="241">
        <v>0.0317</v>
      </c>
      <c r="D42" s="241">
        <v>0.0068</v>
      </c>
      <c r="E42" s="240">
        <v>66.0</v>
      </c>
      <c r="F42" s="240" t="s">
        <v>10043</v>
      </c>
    </row>
    <row r="43">
      <c r="A43" s="240">
        <v>42.0</v>
      </c>
      <c r="B43" s="240" t="s">
        <v>8494</v>
      </c>
      <c r="C43" s="241">
        <v>0.0305</v>
      </c>
      <c r="D43" s="241">
        <v>0.0047</v>
      </c>
      <c r="E43" s="240">
        <v>65.0</v>
      </c>
      <c r="F43" s="240" t="s">
        <v>10169</v>
      </c>
    </row>
    <row r="44">
      <c r="A44" s="240">
        <v>43.0</v>
      </c>
      <c r="B44" s="240" t="s">
        <v>1282</v>
      </c>
      <c r="C44" s="241">
        <v>0.0293</v>
      </c>
      <c r="D44" s="241">
        <v>0.009</v>
      </c>
      <c r="E44" s="240">
        <v>54.0</v>
      </c>
      <c r="F44" s="240" t="s">
        <v>10091</v>
      </c>
    </row>
    <row r="45">
      <c r="A45" s="240">
        <v>44.0</v>
      </c>
      <c r="B45" s="240" t="s">
        <v>2749</v>
      </c>
      <c r="C45" s="241">
        <v>0.0293</v>
      </c>
      <c r="D45" s="241">
        <v>0.0058</v>
      </c>
      <c r="E45" s="240">
        <v>75.0</v>
      </c>
      <c r="F45" s="240" t="s">
        <v>10046</v>
      </c>
    </row>
    <row r="46">
      <c r="A46" s="240">
        <v>45.0</v>
      </c>
      <c r="B46" s="240" t="s">
        <v>9304</v>
      </c>
      <c r="C46" s="241">
        <v>0.0293</v>
      </c>
      <c r="D46" s="241">
        <v>0.0045</v>
      </c>
      <c r="E46" s="240">
        <v>69.0</v>
      </c>
      <c r="F46" s="240" t="s">
        <v>10049</v>
      </c>
    </row>
    <row r="47">
      <c r="A47" s="240">
        <v>46.0</v>
      </c>
      <c r="B47" s="240" t="s">
        <v>1559</v>
      </c>
      <c r="C47" s="241">
        <v>0.0281</v>
      </c>
      <c r="D47" s="241">
        <v>0.0044</v>
      </c>
      <c r="E47" s="240">
        <v>62.0</v>
      </c>
      <c r="F47" s="240" t="s">
        <v>10174</v>
      </c>
    </row>
    <row r="48">
      <c r="A48" s="240">
        <v>47.0</v>
      </c>
      <c r="B48" s="240" t="s">
        <v>8806</v>
      </c>
      <c r="C48" s="241">
        <v>0.0269</v>
      </c>
      <c r="D48" s="241">
        <v>0.0061</v>
      </c>
      <c r="E48" s="240">
        <v>71.0</v>
      </c>
      <c r="F48" s="240" t="s">
        <v>10043</v>
      </c>
    </row>
    <row r="49">
      <c r="A49" s="240">
        <v>48.0</v>
      </c>
      <c r="B49" s="240" t="s">
        <v>10375</v>
      </c>
      <c r="C49" s="241">
        <v>0.0269</v>
      </c>
      <c r="D49" s="241">
        <v>0.0058</v>
      </c>
      <c r="E49" s="240">
        <v>49.0</v>
      </c>
      <c r="F49" s="240" t="s">
        <v>10073</v>
      </c>
    </row>
    <row r="50">
      <c r="A50" s="240">
        <v>49.0</v>
      </c>
      <c r="B50" s="240" t="s">
        <v>9952</v>
      </c>
      <c r="C50" s="241">
        <v>0.0269</v>
      </c>
      <c r="D50" s="241">
        <v>0.0052</v>
      </c>
      <c r="E50" s="240">
        <v>70.0</v>
      </c>
      <c r="F50" s="240" t="s">
        <v>10050</v>
      </c>
    </row>
    <row r="51">
      <c r="A51" s="240">
        <v>50.0</v>
      </c>
      <c r="B51" s="240" t="s">
        <v>3841</v>
      </c>
      <c r="C51" s="241">
        <v>0.0269</v>
      </c>
      <c r="D51" s="241">
        <v>0.005</v>
      </c>
      <c r="E51" s="240">
        <v>65.0</v>
      </c>
      <c r="F51" s="240" t="s">
        <v>10043</v>
      </c>
    </row>
    <row r="52">
      <c r="A52" s="240">
        <v>51.0</v>
      </c>
      <c r="B52" s="240" t="s">
        <v>608</v>
      </c>
      <c r="C52" s="241">
        <v>0.0256</v>
      </c>
      <c r="D52" s="241">
        <v>0.0068</v>
      </c>
      <c r="E52" s="240">
        <v>65.0</v>
      </c>
      <c r="F52" s="240" t="s">
        <v>10097</v>
      </c>
    </row>
    <row r="53">
      <c r="A53" s="240">
        <v>52.0</v>
      </c>
      <c r="B53" s="240" t="s">
        <v>10376</v>
      </c>
      <c r="C53" s="241">
        <v>0.0256</v>
      </c>
      <c r="D53" s="241">
        <v>0.0047</v>
      </c>
      <c r="E53" s="240">
        <v>73.0</v>
      </c>
      <c r="F53" s="240" t="s">
        <v>10053</v>
      </c>
    </row>
    <row r="54">
      <c r="A54" s="240">
        <v>53.0</v>
      </c>
      <c r="B54" s="240" t="s">
        <v>10377</v>
      </c>
      <c r="C54" s="241">
        <v>0.0256</v>
      </c>
      <c r="D54" s="241">
        <v>0.0047</v>
      </c>
      <c r="E54" s="240">
        <v>69.0</v>
      </c>
      <c r="F54" s="240" t="s">
        <v>10246</v>
      </c>
    </row>
    <row r="55">
      <c r="A55" s="240">
        <v>54.0</v>
      </c>
      <c r="B55" s="240" t="s">
        <v>3852</v>
      </c>
      <c r="C55" s="241">
        <v>0.0244</v>
      </c>
      <c r="D55" s="241">
        <v>0.0078</v>
      </c>
      <c r="E55" s="240">
        <v>67.0</v>
      </c>
      <c r="F55" s="240" t="s">
        <v>10050</v>
      </c>
    </row>
    <row r="56">
      <c r="A56" s="240">
        <v>55.0</v>
      </c>
      <c r="B56" s="240" t="s">
        <v>10378</v>
      </c>
      <c r="C56" s="241">
        <v>0.0244</v>
      </c>
      <c r="D56" s="241">
        <v>0.0052</v>
      </c>
      <c r="E56" s="240">
        <v>56.0</v>
      </c>
      <c r="F56" s="240" t="s">
        <v>10104</v>
      </c>
    </row>
    <row r="57">
      <c r="A57" s="240">
        <v>56.0</v>
      </c>
      <c r="B57" s="240" t="s">
        <v>10197</v>
      </c>
      <c r="C57" s="241">
        <v>0.0244</v>
      </c>
      <c r="D57" s="241">
        <v>0.0047</v>
      </c>
      <c r="E57" s="240">
        <v>64.0</v>
      </c>
      <c r="F57" s="240" t="s">
        <v>10379</v>
      </c>
    </row>
    <row r="58">
      <c r="A58" s="240">
        <v>57.0</v>
      </c>
      <c r="B58" s="240" t="s">
        <v>9882</v>
      </c>
      <c r="C58" s="241">
        <v>0.0244</v>
      </c>
      <c r="D58" s="241">
        <v>0.0044</v>
      </c>
      <c r="E58" s="240">
        <v>76.0</v>
      </c>
      <c r="F58" s="240" t="s">
        <v>10042</v>
      </c>
    </row>
    <row r="59">
      <c r="A59" s="240">
        <v>58.0</v>
      </c>
      <c r="B59" s="240" t="s">
        <v>2070</v>
      </c>
      <c r="C59" s="241">
        <v>0.0244</v>
      </c>
      <c r="D59" s="241">
        <v>0.004</v>
      </c>
      <c r="E59" s="240">
        <v>57.0</v>
      </c>
      <c r="F59" s="240" t="s">
        <v>10192</v>
      </c>
    </row>
    <row r="60">
      <c r="A60" s="240">
        <v>59.0</v>
      </c>
      <c r="B60" s="240" t="s">
        <v>10380</v>
      </c>
      <c r="C60" s="241">
        <v>0.0232</v>
      </c>
      <c r="D60" s="241">
        <v>0.0052</v>
      </c>
      <c r="E60" s="240">
        <v>51.0</v>
      </c>
      <c r="F60" s="240" t="s">
        <v>10184</v>
      </c>
    </row>
    <row r="61">
      <c r="A61" s="240">
        <v>60.0</v>
      </c>
      <c r="B61" s="240" t="s">
        <v>9197</v>
      </c>
      <c r="C61" s="241">
        <v>0.0232</v>
      </c>
      <c r="D61" s="241">
        <v>0.0044</v>
      </c>
      <c r="E61" s="240">
        <v>62.0</v>
      </c>
      <c r="F61" s="240" t="s">
        <v>10060</v>
      </c>
    </row>
    <row r="62">
      <c r="A62" s="240">
        <v>61.0</v>
      </c>
      <c r="B62" s="240" t="s">
        <v>10381</v>
      </c>
      <c r="C62" s="241">
        <v>0.0232</v>
      </c>
      <c r="D62" s="241">
        <v>0.0037</v>
      </c>
      <c r="E62" s="240">
        <v>68.0</v>
      </c>
      <c r="F62" s="240" t="s">
        <v>10112</v>
      </c>
    </row>
    <row r="63">
      <c r="A63" s="240">
        <v>62.0</v>
      </c>
      <c r="B63" s="240" t="s">
        <v>604</v>
      </c>
      <c r="C63" s="241">
        <v>0.0232</v>
      </c>
      <c r="D63" s="241">
        <v>0.0037</v>
      </c>
      <c r="E63" s="240">
        <v>72.0</v>
      </c>
      <c r="F63" s="240" t="s">
        <v>10042</v>
      </c>
    </row>
    <row r="64">
      <c r="A64" s="240">
        <v>63.0</v>
      </c>
      <c r="B64" s="240" t="s">
        <v>10306</v>
      </c>
      <c r="C64" s="241">
        <v>0.022</v>
      </c>
      <c r="D64" s="241">
        <v>0.005</v>
      </c>
      <c r="E64" s="240">
        <v>55.0</v>
      </c>
      <c r="F64" s="240" t="s">
        <v>10192</v>
      </c>
    </row>
    <row r="65">
      <c r="A65" s="240">
        <v>64.0</v>
      </c>
      <c r="B65" s="240" t="s">
        <v>10382</v>
      </c>
      <c r="C65" s="241">
        <v>0.022</v>
      </c>
      <c r="D65" s="241">
        <v>0.0044</v>
      </c>
      <c r="E65" s="240">
        <v>67.0</v>
      </c>
      <c r="F65" s="240" t="s">
        <v>10379</v>
      </c>
    </row>
    <row r="66">
      <c r="A66" s="240">
        <v>65.0</v>
      </c>
      <c r="B66" s="240" t="s">
        <v>1039</v>
      </c>
      <c r="C66" s="241">
        <v>0.022</v>
      </c>
      <c r="D66" s="241">
        <v>0.0036</v>
      </c>
      <c r="E66" s="240">
        <v>56.0</v>
      </c>
      <c r="F66" s="240" t="s">
        <v>10261</v>
      </c>
    </row>
    <row r="67">
      <c r="A67" s="240">
        <v>66.0</v>
      </c>
      <c r="B67" s="240" t="s">
        <v>10383</v>
      </c>
      <c r="C67" s="241">
        <v>0.0208</v>
      </c>
      <c r="D67" s="241">
        <v>0.0065</v>
      </c>
      <c r="E67" s="240">
        <v>53.0</v>
      </c>
      <c r="F67" s="240" t="s">
        <v>10099</v>
      </c>
    </row>
    <row r="68">
      <c r="A68" s="240">
        <v>67.0</v>
      </c>
      <c r="B68" s="240" t="s">
        <v>10384</v>
      </c>
      <c r="C68" s="241">
        <v>0.0208</v>
      </c>
      <c r="D68" s="241">
        <v>0.0048</v>
      </c>
      <c r="E68" s="240">
        <v>64.0</v>
      </c>
      <c r="F68" s="240" t="s">
        <v>10385</v>
      </c>
    </row>
    <row r="69">
      <c r="A69" s="240">
        <v>68.0</v>
      </c>
      <c r="B69" s="240" t="s">
        <v>10386</v>
      </c>
      <c r="C69" s="241">
        <v>0.0208</v>
      </c>
      <c r="D69" s="241">
        <v>0.0045</v>
      </c>
      <c r="E69" s="240">
        <v>68.0</v>
      </c>
      <c r="F69" s="240" t="s">
        <v>10063</v>
      </c>
    </row>
    <row r="70">
      <c r="A70" s="240">
        <v>69.0</v>
      </c>
      <c r="B70" s="240" t="s">
        <v>10387</v>
      </c>
      <c r="C70" s="241">
        <v>0.0208</v>
      </c>
      <c r="D70" s="241">
        <v>0.0036</v>
      </c>
      <c r="E70" s="240">
        <v>67.0</v>
      </c>
      <c r="F70" s="240" t="s">
        <v>10184</v>
      </c>
    </row>
    <row r="71">
      <c r="A71" s="240">
        <v>70.0</v>
      </c>
      <c r="B71" s="240" t="s">
        <v>10388</v>
      </c>
      <c r="C71" s="241">
        <v>0.0208</v>
      </c>
      <c r="D71" s="241">
        <v>0.0034</v>
      </c>
      <c r="E71" s="240">
        <v>73.0</v>
      </c>
      <c r="F71" s="240" t="s">
        <v>10093</v>
      </c>
    </row>
    <row r="72">
      <c r="A72" s="240">
        <v>71.0</v>
      </c>
      <c r="B72" s="240" t="s">
        <v>10389</v>
      </c>
      <c r="C72" s="241">
        <v>0.0208</v>
      </c>
      <c r="D72" s="241">
        <v>0.0027</v>
      </c>
      <c r="E72" s="240">
        <v>73.0</v>
      </c>
      <c r="F72" s="240" t="s">
        <v>10049</v>
      </c>
    </row>
    <row r="73">
      <c r="A73" s="240">
        <v>72.0</v>
      </c>
      <c r="B73" s="240" t="s">
        <v>10390</v>
      </c>
      <c r="C73" s="241">
        <v>0.0195</v>
      </c>
      <c r="D73" s="241">
        <v>0.0044</v>
      </c>
      <c r="E73" s="240">
        <v>72.0</v>
      </c>
      <c r="F73" s="240" t="s">
        <v>10112</v>
      </c>
    </row>
    <row r="74">
      <c r="A74" s="240">
        <v>73.0</v>
      </c>
      <c r="B74" s="240" t="s">
        <v>10391</v>
      </c>
      <c r="C74" s="241">
        <v>0.0195</v>
      </c>
      <c r="D74" s="241">
        <v>0.0042</v>
      </c>
      <c r="E74" s="240">
        <v>62.0</v>
      </c>
      <c r="F74" s="240" t="s">
        <v>10044</v>
      </c>
    </row>
    <row r="75">
      <c r="A75" s="240">
        <v>74.0</v>
      </c>
      <c r="B75" s="240" t="s">
        <v>10392</v>
      </c>
      <c r="C75" s="241">
        <v>0.0195</v>
      </c>
      <c r="D75" s="241">
        <v>0.0037</v>
      </c>
      <c r="E75" s="240">
        <v>57.0</v>
      </c>
      <c r="F75" s="240" t="s">
        <v>10075</v>
      </c>
    </row>
    <row r="76">
      <c r="A76" s="240">
        <v>75.0</v>
      </c>
      <c r="B76" s="240" t="s">
        <v>9606</v>
      </c>
      <c r="C76" s="241">
        <v>0.0195</v>
      </c>
      <c r="D76" s="241">
        <v>0.0034</v>
      </c>
      <c r="E76" s="240">
        <v>78.0</v>
      </c>
      <c r="F76" s="240" t="s">
        <v>10048</v>
      </c>
    </row>
    <row r="77">
      <c r="A77" s="240">
        <v>76.0</v>
      </c>
      <c r="B77" s="240" t="s">
        <v>10251</v>
      </c>
      <c r="C77" s="241">
        <v>0.0195</v>
      </c>
      <c r="D77" s="241">
        <v>0.0029</v>
      </c>
      <c r="E77" s="240">
        <v>69.0</v>
      </c>
      <c r="F77" s="240" t="s">
        <v>10122</v>
      </c>
    </row>
    <row r="78">
      <c r="A78" s="240">
        <v>77.0</v>
      </c>
      <c r="B78" s="240" t="s">
        <v>9849</v>
      </c>
      <c r="C78" s="241">
        <v>0.0183</v>
      </c>
      <c r="D78" s="241">
        <v>0.0055</v>
      </c>
      <c r="E78" s="240">
        <v>64.0</v>
      </c>
      <c r="F78" s="240" t="s">
        <v>10051</v>
      </c>
    </row>
    <row r="79">
      <c r="A79" s="240">
        <v>78.0</v>
      </c>
      <c r="B79" s="240" t="s">
        <v>992</v>
      </c>
      <c r="C79" s="241">
        <v>0.0183</v>
      </c>
      <c r="D79" s="241">
        <v>0.005</v>
      </c>
      <c r="E79" s="240">
        <v>59.0</v>
      </c>
      <c r="F79" s="240" t="s">
        <v>10059</v>
      </c>
    </row>
    <row r="80">
      <c r="A80" s="240">
        <v>79.0</v>
      </c>
      <c r="B80" s="240" t="s">
        <v>2778</v>
      </c>
      <c r="C80" s="241">
        <v>0.0183</v>
      </c>
      <c r="D80" s="241">
        <v>0.0039</v>
      </c>
      <c r="E80" s="240">
        <v>62.0</v>
      </c>
      <c r="F80" s="240" t="s">
        <v>10083</v>
      </c>
    </row>
    <row r="81">
      <c r="A81" s="240">
        <v>80.0</v>
      </c>
      <c r="B81" s="240" t="s">
        <v>10393</v>
      </c>
      <c r="C81" s="241">
        <v>0.0183</v>
      </c>
      <c r="D81" s="241">
        <v>0.0029</v>
      </c>
      <c r="E81" s="240">
        <v>67.0</v>
      </c>
      <c r="F81" s="240" t="s">
        <v>10054</v>
      </c>
    </row>
    <row r="82">
      <c r="A82" s="240">
        <v>81.0</v>
      </c>
      <c r="B82" s="240" t="s">
        <v>3836</v>
      </c>
      <c r="C82" s="241">
        <v>0.0171</v>
      </c>
      <c r="D82" s="241">
        <v>0.0053</v>
      </c>
      <c r="E82" s="240">
        <v>64.0</v>
      </c>
      <c r="F82" s="240" t="s">
        <v>10099</v>
      </c>
    </row>
    <row r="83">
      <c r="A83" s="240">
        <v>82.0</v>
      </c>
      <c r="B83" s="240" t="s">
        <v>10394</v>
      </c>
      <c r="C83" s="241">
        <v>0.0171</v>
      </c>
      <c r="D83" s="241">
        <v>0.005</v>
      </c>
      <c r="E83" s="240">
        <v>63.0</v>
      </c>
      <c r="F83" s="240" t="s">
        <v>10097</v>
      </c>
    </row>
    <row r="84">
      <c r="A84" s="240">
        <v>83.0</v>
      </c>
      <c r="B84" s="240" t="s">
        <v>9993</v>
      </c>
      <c r="C84" s="241">
        <v>0.0171</v>
      </c>
      <c r="D84" s="241">
        <v>0.0039</v>
      </c>
      <c r="E84" s="240">
        <v>71.0</v>
      </c>
      <c r="F84" s="240" t="s">
        <v>10053</v>
      </c>
    </row>
    <row r="85">
      <c r="A85" s="240">
        <v>84.0</v>
      </c>
      <c r="B85" s="240" t="s">
        <v>3865</v>
      </c>
      <c r="C85" s="241">
        <v>0.0171</v>
      </c>
      <c r="D85" s="241">
        <v>0.0036</v>
      </c>
      <c r="E85" s="240">
        <v>55.0</v>
      </c>
      <c r="F85" s="240" t="s">
        <v>10047</v>
      </c>
    </row>
    <row r="86">
      <c r="A86" s="240">
        <v>85.0</v>
      </c>
      <c r="B86" s="240" t="s">
        <v>10395</v>
      </c>
      <c r="C86" s="241">
        <v>0.0171</v>
      </c>
      <c r="D86" s="241">
        <v>0.0034</v>
      </c>
      <c r="E86" s="240">
        <v>55.0</v>
      </c>
      <c r="F86" s="240" t="s">
        <v>10080</v>
      </c>
    </row>
    <row r="87">
      <c r="A87" s="240">
        <v>86.0</v>
      </c>
      <c r="B87" s="240" t="s">
        <v>7786</v>
      </c>
      <c r="C87" s="241">
        <v>0.0171</v>
      </c>
      <c r="D87" s="241">
        <v>0.0027</v>
      </c>
      <c r="E87" s="240">
        <v>58.0</v>
      </c>
      <c r="F87" s="240" t="s">
        <v>10128</v>
      </c>
    </row>
    <row r="88">
      <c r="A88" s="240">
        <v>87.0</v>
      </c>
      <c r="B88" s="240" t="s">
        <v>10247</v>
      </c>
      <c r="C88" s="241">
        <v>0.0171</v>
      </c>
      <c r="D88" s="241">
        <v>0.0023</v>
      </c>
      <c r="E88" s="240">
        <v>66.0</v>
      </c>
      <c r="F88" s="240" t="s">
        <v>10396</v>
      </c>
    </row>
    <row r="89">
      <c r="A89" s="240">
        <v>88.0</v>
      </c>
      <c r="B89" s="240" t="s">
        <v>10397</v>
      </c>
      <c r="C89" s="241">
        <v>0.0159</v>
      </c>
      <c r="D89" s="241">
        <v>0.004</v>
      </c>
      <c r="E89" s="240">
        <v>50.0</v>
      </c>
      <c r="F89" s="240" t="s">
        <v>10112</v>
      </c>
    </row>
    <row r="90">
      <c r="A90" s="240">
        <v>89.0</v>
      </c>
      <c r="B90" s="240" t="s">
        <v>10398</v>
      </c>
      <c r="C90" s="241">
        <v>0.0159</v>
      </c>
      <c r="D90" s="241">
        <v>0.0032</v>
      </c>
      <c r="E90" s="240">
        <v>73.0</v>
      </c>
      <c r="F90" s="240" t="s">
        <v>10054</v>
      </c>
    </row>
    <row r="91">
      <c r="A91" s="240">
        <v>90.0</v>
      </c>
      <c r="B91" s="240" t="s">
        <v>10399</v>
      </c>
      <c r="C91" s="241">
        <v>0.0159</v>
      </c>
      <c r="D91" s="241">
        <v>0.0031</v>
      </c>
      <c r="E91" s="240">
        <v>65.0</v>
      </c>
      <c r="F91" s="240" t="s">
        <v>10058</v>
      </c>
    </row>
    <row r="92">
      <c r="A92" s="240">
        <v>91.0</v>
      </c>
      <c r="B92" s="240" t="s">
        <v>8425</v>
      </c>
      <c r="C92" s="241">
        <v>0.0159</v>
      </c>
      <c r="D92" s="241">
        <v>0.0029</v>
      </c>
      <c r="E92" s="240">
        <v>75.0</v>
      </c>
      <c r="F92" s="240" t="s">
        <v>10093</v>
      </c>
    </row>
    <row r="93">
      <c r="A93" s="240">
        <v>92.0</v>
      </c>
      <c r="B93" s="240" t="s">
        <v>10400</v>
      </c>
      <c r="C93" s="241">
        <v>0.0159</v>
      </c>
      <c r="D93" s="241">
        <v>0.0029</v>
      </c>
      <c r="E93" s="240">
        <v>64.0</v>
      </c>
      <c r="F93" s="240" t="s">
        <v>10151</v>
      </c>
    </row>
    <row r="94">
      <c r="A94" s="240">
        <v>93.0</v>
      </c>
      <c r="B94" s="240" t="s">
        <v>3801</v>
      </c>
      <c r="C94" s="241">
        <v>0.0159</v>
      </c>
      <c r="D94" s="241">
        <v>0.0027</v>
      </c>
      <c r="E94" s="240">
        <v>66.0</v>
      </c>
      <c r="F94" s="240" t="s">
        <v>10055</v>
      </c>
    </row>
    <row r="95">
      <c r="A95" s="240">
        <v>94.0</v>
      </c>
      <c r="B95" s="240" t="s">
        <v>760</v>
      </c>
      <c r="C95" s="241">
        <v>0.0147</v>
      </c>
      <c r="D95" s="241">
        <v>0.0029</v>
      </c>
      <c r="E95" s="240">
        <v>63.0</v>
      </c>
      <c r="F95" s="240" t="s">
        <v>10049</v>
      </c>
    </row>
    <row r="96">
      <c r="A96" s="240">
        <v>95.0</v>
      </c>
      <c r="B96" s="240" t="s">
        <v>7484</v>
      </c>
      <c r="C96" s="241">
        <v>0.0147</v>
      </c>
      <c r="D96" s="241">
        <v>0.0024</v>
      </c>
      <c r="E96" s="240">
        <v>53.0</v>
      </c>
      <c r="F96" s="240" t="s">
        <v>10368</v>
      </c>
    </row>
    <row r="97">
      <c r="A97" s="240">
        <v>96.0</v>
      </c>
      <c r="B97" s="240" t="s">
        <v>10136</v>
      </c>
      <c r="C97" s="241">
        <v>0.0134</v>
      </c>
      <c r="D97" s="241">
        <v>0.0027</v>
      </c>
      <c r="E97" s="240">
        <v>61.0</v>
      </c>
      <c r="F97" s="240" t="s">
        <v>10073</v>
      </c>
    </row>
    <row r="98">
      <c r="A98" s="240">
        <v>97.0</v>
      </c>
      <c r="B98" s="240" t="s">
        <v>1225</v>
      </c>
      <c r="C98" s="241">
        <v>0.0134</v>
      </c>
      <c r="D98" s="241">
        <v>0.0021</v>
      </c>
      <c r="E98" s="240">
        <v>58.0</v>
      </c>
      <c r="F98" s="240" t="s">
        <v>10073</v>
      </c>
    </row>
    <row r="99">
      <c r="A99" s="240">
        <v>98.0</v>
      </c>
      <c r="B99" s="240" t="s">
        <v>10102</v>
      </c>
      <c r="C99" s="241">
        <v>0.0122</v>
      </c>
      <c r="D99" s="241">
        <v>0.0036</v>
      </c>
      <c r="E99" s="240">
        <v>54.0</v>
      </c>
      <c r="F99" s="240" t="s">
        <v>10184</v>
      </c>
    </row>
    <row r="100">
      <c r="A100" s="240">
        <v>99.0</v>
      </c>
      <c r="B100" s="240" t="s">
        <v>10401</v>
      </c>
      <c r="C100" s="241">
        <v>0.0122</v>
      </c>
      <c r="D100" s="241">
        <v>0.0026</v>
      </c>
      <c r="E100" s="240">
        <v>60.0</v>
      </c>
      <c r="F100" s="240" t="s">
        <v>10117</v>
      </c>
    </row>
    <row r="101">
      <c r="A101" s="240">
        <v>100.0</v>
      </c>
      <c r="B101" s="240" t="s">
        <v>10181</v>
      </c>
      <c r="C101" s="241">
        <v>0.0122</v>
      </c>
      <c r="D101" s="241">
        <v>0.0024</v>
      </c>
      <c r="E101" s="240">
        <v>54.0</v>
      </c>
      <c r="F101" s="240" t="s">
        <v>10184</v>
      </c>
    </row>
    <row r="102">
      <c r="A102" s="240">
        <v>101.0</v>
      </c>
      <c r="B102" s="240" t="s">
        <v>2895</v>
      </c>
      <c r="C102" s="241">
        <v>0.0122</v>
      </c>
      <c r="D102" s="241">
        <v>0.0019</v>
      </c>
      <c r="E102" s="240">
        <v>64.0</v>
      </c>
      <c r="F102" s="240" t="s">
        <v>10043</v>
      </c>
    </row>
    <row r="103">
      <c r="A103" s="240">
        <v>102.0</v>
      </c>
      <c r="B103" s="240" t="s">
        <v>10152</v>
      </c>
      <c r="C103" s="241">
        <v>0.011</v>
      </c>
      <c r="D103" s="241">
        <v>0.0019</v>
      </c>
      <c r="E103" s="240">
        <v>73.0</v>
      </c>
      <c r="F103" s="240" t="s">
        <v>10054</v>
      </c>
    </row>
    <row r="104">
      <c r="A104" s="240">
        <v>103.0</v>
      </c>
      <c r="B104" s="240" t="s">
        <v>2840</v>
      </c>
      <c r="C104" s="241">
        <v>0.011</v>
      </c>
      <c r="D104" s="241">
        <v>0.0018</v>
      </c>
      <c r="E104" s="240">
        <v>57.0</v>
      </c>
      <c r="F104" s="240" t="s">
        <v>10093</v>
      </c>
    </row>
    <row r="105">
      <c r="A105" s="240">
        <v>104.0</v>
      </c>
      <c r="B105" s="240" t="s">
        <v>10402</v>
      </c>
      <c r="C105" s="241">
        <v>0.0098</v>
      </c>
      <c r="D105" s="241">
        <v>0.0021</v>
      </c>
      <c r="E105" s="240">
        <v>66.0</v>
      </c>
      <c r="F105" s="240" t="s">
        <v>10060</v>
      </c>
    </row>
    <row r="106">
      <c r="A106" s="240">
        <v>105.0</v>
      </c>
      <c r="B106" s="240" t="s">
        <v>9083</v>
      </c>
      <c r="C106" s="241">
        <v>0.0098</v>
      </c>
      <c r="D106" s="241">
        <v>0.0019</v>
      </c>
      <c r="E106" s="240">
        <v>63.0</v>
      </c>
      <c r="F106" s="240" t="s">
        <v>10058</v>
      </c>
    </row>
    <row r="107">
      <c r="A107" s="240">
        <v>106.0</v>
      </c>
      <c r="B107" s="240" t="s">
        <v>348</v>
      </c>
      <c r="C107" s="241">
        <v>0.0098</v>
      </c>
      <c r="D107" s="241">
        <v>0.0015</v>
      </c>
      <c r="E107" s="240">
        <v>68.0</v>
      </c>
      <c r="F107" s="240" t="s">
        <v>10334</v>
      </c>
    </row>
    <row r="108">
      <c r="A108" s="240">
        <v>107.0</v>
      </c>
      <c r="B108" s="240" t="s">
        <v>10146</v>
      </c>
      <c r="C108" s="241">
        <v>0.0098</v>
      </c>
      <c r="D108" s="241">
        <v>0.0013</v>
      </c>
      <c r="E108" s="240">
        <v>52.0</v>
      </c>
      <c r="F108" s="240" t="s">
        <v>10081</v>
      </c>
    </row>
    <row r="109">
      <c r="A109" s="240">
        <v>108.0</v>
      </c>
      <c r="B109" s="240" t="s">
        <v>1029</v>
      </c>
      <c r="C109" s="241">
        <v>0.0098</v>
      </c>
      <c r="D109" s="241">
        <v>0.0013</v>
      </c>
      <c r="E109" s="240"/>
      <c r="F109" s="240"/>
    </row>
    <row r="110">
      <c r="A110" s="240">
        <v>109.0</v>
      </c>
      <c r="B110" s="240" t="s">
        <v>1072</v>
      </c>
      <c r="C110" s="241">
        <v>0.0085</v>
      </c>
      <c r="D110" s="241">
        <v>0.0021</v>
      </c>
      <c r="E110" s="240">
        <v>63.0</v>
      </c>
      <c r="F110" s="240" t="s">
        <v>10048</v>
      </c>
    </row>
    <row r="111">
      <c r="A111" s="240">
        <v>110.0</v>
      </c>
      <c r="B111" s="240" t="s">
        <v>1246</v>
      </c>
      <c r="C111" s="241">
        <v>0.0085</v>
      </c>
      <c r="D111" s="241">
        <v>0.0016</v>
      </c>
      <c r="E111" s="240">
        <v>55.0</v>
      </c>
      <c r="F111" s="240" t="s">
        <v>10172</v>
      </c>
    </row>
    <row r="112">
      <c r="A112" s="240">
        <v>111.0</v>
      </c>
      <c r="B112" s="240" t="s">
        <v>10370</v>
      </c>
      <c r="C112" s="241">
        <v>0.0085</v>
      </c>
      <c r="D112" s="241">
        <v>0.0011</v>
      </c>
      <c r="E112" s="240">
        <v>57.0</v>
      </c>
      <c r="F112" s="240" t="s">
        <v>10061</v>
      </c>
    </row>
    <row r="113">
      <c r="A113" s="240">
        <v>112.0</v>
      </c>
      <c r="B113" s="240" t="s">
        <v>833</v>
      </c>
      <c r="C113" s="241">
        <v>0.0073</v>
      </c>
      <c r="D113" s="241">
        <v>0.0023</v>
      </c>
      <c r="E113" s="240">
        <v>58.0</v>
      </c>
      <c r="F113" s="240" t="s">
        <v>10052</v>
      </c>
    </row>
    <row r="114">
      <c r="A114" s="240">
        <v>113.0</v>
      </c>
      <c r="B114" s="240" t="s">
        <v>1319</v>
      </c>
      <c r="C114" s="241">
        <v>0.0073</v>
      </c>
      <c r="D114" s="241">
        <v>0.0015</v>
      </c>
      <c r="E114" s="240">
        <v>58.0</v>
      </c>
      <c r="F114" s="240" t="s">
        <v>10058</v>
      </c>
    </row>
    <row r="115">
      <c r="A115" s="240">
        <v>114.0</v>
      </c>
      <c r="B115" s="240" t="s">
        <v>10142</v>
      </c>
      <c r="C115" s="241">
        <v>0.0073</v>
      </c>
      <c r="D115" s="241">
        <v>0.0015</v>
      </c>
      <c r="E115" s="240">
        <v>57.0</v>
      </c>
      <c r="F115" s="240" t="s">
        <v>10164</v>
      </c>
    </row>
    <row r="116">
      <c r="A116" s="240">
        <v>115.0</v>
      </c>
      <c r="B116" s="240" t="s">
        <v>8195</v>
      </c>
      <c r="C116" s="241">
        <v>0.0073</v>
      </c>
      <c r="D116" s="241">
        <v>0.0015</v>
      </c>
      <c r="E116" s="240">
        <v>52.0</v>
      </c>
      <c r="F116" s="240" t="s">
        <v>10139</v>
      </c>
    </row>
    <row r="117">
      <c r="A117" s="240">
        <v>116.0</v>
      </c>
      <c r="B117" s="240" t="s">
        <v>1217</v>
      </c>
      <c r="C117" s="241">
        <v>0.0073</v>
      </c>
      <c r="D117" s="241">
        <v>0.0013</v>
      </c>
      <c r="E117" s="240">
        <v>57.0</v>
      </c>
      <c r="F117" s="240" t="s">
        <v>10058</v>
      </c>
    </row>
    <row r="118">
      <c r="A118" s="240">
        <v>117.0</v>
      </c>
      <c r="B118" s="240" t="s">
        <v>376</v>
      </c>
      <c r="C118" s="241">
        <v>0.0073</v>
      </c>
      <c r="D118" s="241">
        <v>0.0011</v>
      </c>
      <c r="E118" s="240"/>
      <c r="F118" s="240"/>
    </row>
    <row r="119">
      <c r="A119" s="240">
        <v>118.0</v>
      </c>
      <c r="B119" s="240" t="s">
        <v>1297</v>
      </c>
      <c r="C119" s="241">
        <v>0.0073</v>
      </c>
      <c r="D119" s="241">
        <v>0.0011</v>
      </c>
      <c r="E119" s="240">
        <v>61.0</v>
      </c>
      <c r="F119" s="240" t="s">
        <v>10164</v>
      </c>
    </row>
    <row r="120">
      <c r="A120" s="240">
        <v>119.0</v>
      </c>
      <c r="B120" s="240" t="s">
        <v>3556</v>
      </c>
      <c r="C120" s="241">
        <v>0.0061</v>
      </c>
      <c r="D120" s="241">
        <v>0.0016</v>
      </c>
      <c r="E120" s="240">
        <v>51.0</v>
      </c>
      <c r="F120" s="240" t="s">
        <v>10189</v>
      </c>
    </row>
    <row r="121">
      <c r="A121" s="240">
        <v>120.0</v>
      </c>
      <c r="B121" s="240" t="s">
        <v>9927</v>
      </c>
      <c r="C121" s="241">
        <v>0.0061</v>
      </c>
      <c r="D121" s="241">
        <v>0.0011</v>
      </c>
      <c r="E121" s="240">
        <v>53.0</v>
      </c>
      <c r="F121" s="240" t="s">
        <v>10299</v>
      </c>
    </row>
    <row r="122">
      <c r="A122" s="240">
        <v>121.0</v>
      </c>
      <c r="B122" s="240" t="s">
        <v>1087</v>
      </c>
      <c r="C122" s="241">
        <v>0.0061</v>
      </c>
      <c r="D122" s="241">
        <v>0.001</v>
      </c>
      <c r="E122" s="240">
        <v>57.0</v>
      </c>
      <c r="F122" s="240" t="s">
        <v>10234</v>
      </c>
    </row>
    <row r="123">
      <c r="A123" s="240">
        <v>122.0</v>
      </c>
      <c r="B123" s="240" t="s">
        <v>10145</v>
      </c>
      <c r="C123" s="241">
        <v>0.0061</v>
      </c>
      <c r="D123" s="241">
        <v>8.0E-4</v>
      </c>
      <c r="E123" s="240">
        <v>60.0</v>
      </c>
      <c r="F123" s="240" t="s">
        <v>10334</v>
      </c>
    </row>
    <row r="124">
      <c r="A124" s="240">
        <v>123.0</v>
      </c>
      <c r="B124" s="240" t="s">
        <v>1003</v>
      </c>
      <c r="C124" s="241">
        <v>0.0049</v>
      </c>
      <c r="D124" s="241">
        <v>0.0011</v>
      </c>
      <c r="E124" s="240">
        <v>71.0</v>
      </c>
      <c r="F124" s="240" t="s">
        <v>10161</v>
      </c>
    </row>
    <row r="125">
      <c r="A125" s="240">
        <v>124.0</v>
      </c>
      <c r="B125" s="240" t="s">
        <v>1252</v>
      </c>
      <c r="C125" s="241">
        <v>0.0049</v>
      </c>
      <c r="D125" s="241">
        <v>8.0E-4</v>
      </c>
      <c r="E125" s="240">
        <v>55.0</v>
      </c>
      <c r="F125" s="240" t="s">
        <v>10061</v>
      </c>
    </row>
    <row r="126">
      <c r="A126" s="240">
        <v>125.0</v>
      </c>
      <c r="B126" s="240" t="s">
        <v>1264</v>
      </c>
      <c r="C126" s="241">
        <v>0.0049</v>
      </c>
      <c r="D126" s="241">
        <v>8.0E-4</v>
      </c>
      <c r="E126" s="240">
        <v>60.0</v>
      </c>
      <c r="F126" s="240" t="s">
        <v>10056</v>
      </c>
    </row>
    <row r="127">
      <c r="A127" s="240">
        <v>126.0</v>
      </c>
      <c r="B127" s="240" t="s">
        <v>1201</v>
      </c>
      <c r="C127" s="241">
        <v>0.0049</v>
      </c>
      <c r="D127" s="241">
        <v>6.0E-4</v>
      </c>
      <c r="E127" s="240">
        <v>36.0</v>
      </c>
      <c r="F127" s="240" t="s">
        <v>10234</v>
      </c>
    </row>
    <row r="128">
      <c r="A128" s="240">
        <v>127.0</v>
      </c>
      <c r="B128" s="240" t="s">
        <v>10148</v>
      </c>
      <c r="C128" s="241">
        <v>0.0049</v>
      </c>
      <c r="D128" s="241">
        <v>6.0E-4</v>
      </c>
      <c r="E128" s="240">
        <v>57.0</v>
      </c>
      <c r="F128" s="240" t="s">
        <v>10164</v>
      </c>
    </row>
    <row r="129">
      <c r="A129" s="240">
        <v>128.0</v>
      </c>
      <c r="B129" s="240" t="s">
        <v>8553</v>
      </c>
      <c r="C129" s="241">
        <v>0.0049</v>
      </c>
      <c r="D129" s="241">
        <v>6.0E-4</v>
      </c>
      <c r="E129" s="240">
        <v>69.0</v>
      </c>
      <c r="F129" s="240" t="s">
        <v>10154</v>
      </c>
    </row>
    <row r="130">
      <c r="A130" s="240">
        <v>129.0</v>
      </c>
      <c r="B130" s="240" t="s">
        <v>1055</v>
      </c>
      <c r="C130" s="241">
        <v>0.0037</v>
      </c>
      <c r="D130" s="241">
        <v>0.0011</v>
      </c>
      <c r="E130" s="240">
        <v>67.0</v>
      </c>
      <c r="F130" s="240" t="s">
        <v>10041</v>
      </c>
    </row>
    <row r="131">
      <c r="A131" s="240">
        <v>130.0</v>
      </c>
      <c r="B131" s="240" t="s">
        <v>1078</v>
      </c>
      <c r="C131" s="241">
        <v>0.0037</v>
      </c>
      <c r="D131" s="241">
        <v>8.0E-4</v>
      </c>
      <c r="E131" s="240">
        <v>45.0</v>
      </c>
      <c r="F131" s="240" t="s">
        <v>10140</v>
      </c>
    </row>
    <row r="132">
      <c r="A132" s="240">
        <v>131.0</v>
      </c>
      <c r="B132" s="240" t="s">
        <v>7201</v>
      </c>
      <c r="C132" s="241">
        <v>0.0037</v>
      </c>
      <c r="D132" s="241">
        <v>5.0E-4</v>
      </c>
      <c r="E132" s="240">
        <v>81.0</v>
      </c>
      <c r="F132" s="240" t="s">
        <v>10049</v>
      </c>
    </row>
    <row r="133">
      <c r="A133" s="240">
        <v>132.0</v>
      </c>
      <c r="B133" s="240" t="s">
        <v>1101</v>
      </c>
      <c r="C133" s="241">
        <v>0.0037</v>
      </c>
      <c r="D133" s="241">
        <v>5.0E-4</v>
      </c>
      <c r="E133" s="240">
        <v>63.0</v>
      </c>
      <c r="F133" s="240" t="s">
        <v>10157</v>
      </c>
    </row>
    <row r="134">
      <c r="A134" s="240">
        <v>133.0</v>
      </c>
      <c r="B134" s="240" t="s">
        <v>1046</v>
      </c>
      <c r="C134" s="241">
        <v>0.0024</v>
      </c>
      <c r="D134" s="241">
        <v>8.0E-4</v>
      </c>
      <c r="E134" s="240">
        <v>72.0</v>
      </c>
      <c r="F134" s="240" t="s">
        <v>10050</v>
      </c>
    </row>
    <row r="135">
      <c r="A135" s="240">
        <v>134.0</v>
      </c>
      <c r="B135" s="240" t="s">
        <v>10227</v>
      </c>
      <c r="C135" s="241">
        <v>0.0024</v>
      </c>
      <c r="D135" s="241">
        <v>5.0E-4</v>
      </c>
      <c r="E135" s="240">
        <v>64.0</v>
      </c>
      <c r="F135" s="240" t="s">
        <v>10134</v>
      </c>
    </row>
    <row r="136">
      <c r="A136" s="240">
        <v>135.0</v>
      </c>
      <c r="B136" s="240" t="s">
        <v>1259</v>
      </c>
      <c r="C136" s="241">
        <v>0.0024</v>
      </c>
      <c r="D136" s="241">
        <v>3.0E-4</v>
      </c>
      <c r="E136" s="240">
        <v>48.0</v>
      </c>
      <c r="F136" s="240" t="s">
        <v>10154</v>
      </c>
    </row>
    <row r="137">
      <c r="A137" s="240">
        <v>136.0</v>
      </c>
      <c r="B137" s="240" t="s">
        <v>10160</v>
      </c>
      <c r="C137" s="241">
        <v>0.0024</v>
      </c>
      <c r="D137" s="241">
        <v>3.0E-4</v>
      </c>
      <c r="E137" s="240">
        <v>85.0</v>
      </c>
      <c r="F137" s="240" t="s">
        <v>10156</v>
      </c>
    </row>
    <row r="138">
      <c r="A138" s="240">
        <v>137.0</v>
      </c>
      <c r="B138" s="240" t="s">
        <v>1110</v>
      </c>
      <c r="C138" s="241">
        <v>0.0024</v>
      </c>
      <c r="D138" s="241">
        <v>3.0E-4</v>
      </c>
      <c r="E138" s="240">
        <v>54.0</v>
      </c>
      <c r="F138" s="240" t="s">
        <v>10403</v>
      </c>
    </row>
    <row r="139">
      <c r="A139" s="240">
        <v>138.0</v>
      </c>
      <c r="B139" s="240" t="s">
        <v>4725</v>
      </c>
      <c r="C139" s="241">
        <v>0.0024</v>
      </c>
      <c r="D139" s="241">
        <v>3.0E-4</v>
      </c>
      <c r="E139" s="240">
        <v>75.0</v>
      </c>
      <c r="F139" s="240" t="s">
        <v>10050</v>
      </c>
    </row>
    <row r="140">
      <c r="A140" s="240">
        <v>139.0</v>
      </c>
      <c r="B140" s="240" t="s">
        <v>2885</v>
      </c>
      <c r="C140" s="241">
        <v>0.0012</v>
      </c>
      <c r="D140" s="241">
        <v>3.0E-4</v>
      </c>
      <c r="E140" s="240">
        <v>60.0</v>
      </c>
      <c r="F140" s="240" t="s">
        <v>10156</v>
      </c>
    </row>
    <row r="141">
      <c r="A141" s="240">
        <v>140.0</v>
      </c>
      <c r="B141" s="240" t="s">
        <v>10155</v>
      </c>
      <c r="C141" s="241">
        <v>0.0012</v>
      </c>
      <c r="D141" s="241">
        <v>2.0E-4</v>
      </c>
      <c r="E141" s="240">
        <v>85.0</v>
      </c>
      <c r="F141" s="240" t="s">
        <v>10134</v>
      </c>
    </row>
    <row r="142">
      <c r="A142" s="240">
        <v>141.0</v>
      </c>
      <c r="B142" s="240" t="s">
        <v>10158</v>
      </c>
      <c r="C142" s="241">
        <v>0.0012</v>
      </c>
      <c r="D142" s="241">
        <v>2.0E-4</v>
      </c>
      <c r="E142" s="240">
        <v>83.0</v>
      </c>
      <c r="F142" s="240" t="s">
        <v>10049</v>
      </c>
    </row>
    <row r="143">
      <c r="A143" s="240">
        <v>142.0</v>
      </c>
      <c r="B143" s="240" t="s">
        <v>10133</v>
      </c>
      <c r="C143" s="241">
        <v>0.0012</v>
      </c>
      <c r="D143" s="241">
        <v>2.0E-4</v>
      </c>
      <c r="E143" s="240">
        <v>64.0</v>
      </c>
      <c r="F143" s="240" t="s">
        <v>10056</v>
      </c>
    </row>
    <row r="144">
      <c r="A144" s="240">
        <v>143.0</v>
      </c>
      <c r="B144" s="240" t="s">
        <v>10173</v>
      </c>
      <c r="C144" s="241">
        <v>0.0012</v>
      </c>
      <c r="D144" s="241">
        <v>2.0E-4</v>
      </c>
      <c r="E144" s="240">
        <v>44.0</v>
      </c>
      <c r="F144" s="240" t="s">
        <v>10140</v>
      </c>
    </row>
    <row r="145">
      <c r="A145" s="240">
        <v>144.0</v>
      </c>
      <c r="B145" s="240" t="s">
        <v>1091</v>
      </c>
      <c r="C145" s="241">
        <v>0.0012</v>
      </c>
      <c r="D145" s="241">
        <v>2.0E-4</v>
      </c>
      <c r="E145" s="240">
        <v>74.0</v>
      </c>
      <c r="F145" s="240" t="s">
        <v>10134</v>
      </c>
    </row>
    <row r="146">
      <c r="A146" s="240">
        <v>145.0</v>
      </c>
      <c r="B146" s="240" t="s">
        <v>790</v>
      </c>
      <c r="C146" s="241">
        <v>0.0</v>
      </c>
      <c r="D146" s="241">
        <v>0.0</v>
      </c>
      <c r="E146" s="240"/>
      <c r="F146" s="240"/>
    </row>
    <row r="147">
      <c r="A147" s="240">
        <v>146.0</v>
      </c>
      <c r="B147" s="240" t="s">
        <v>1064</v>
      </c>
      <c r="C147" s="241">
        <v>0.0</v>
      </c>
      <c r="D147" s="241">
        <v>0.0</v>
      </c>
      <c r="E147" s="240"/>
      <c r="F147" s="240"/>
    </row>
    <row r="148">
      <c r="A148" s="240">
        <v>147.0</v>
      </c>
      <c r="B148" s="240" t="s">
        <v>1138</v>
      </c>
      <c r="C148" s="241">
        <v>0.0</v>
      </c>
      <c r="D148" s="241">
        <v>0.0</v>
      </c>
      <c r="E148" s="240"/>
      <c r="F148" s="240"/>
    </row>
    <row r="149">
      <c r="A149" s="240">
        <v>148.0</v>
      </c>
      <c r="B149" s="240" t="s">
        <v>1120</v>
      </c>
      <c r="C149" s="241">
        <v>0.0</v>
      </c>
      <c r="D149" s="241">
        <v>0.0</v>
      </c>
      <c r="E149" s="240"/>
      <c r="F149" s="240"/>
    </row>
    <row r="150">
      <c r="A150" s="240">
        <v>149.0</v>
      </c>
      <c r="B150" s="240" t="s">
        <v>1147</v>
      </c>
      <c r="C150" s="241">
        <v>0.0</v>
      </c>
      <c r="D150" s="241">
        <v>0.0</v>
      </c>
      <c r="E150" s="240"/>
      <c r="F150" s="240"/>
    </row>
    <row r="151">
      <c r="A151" s="240">
        <v>150.0</v>
      </c>
      <c r="B151" s="240" t="s">
        <v>1012</v>
      </c>
      <c r="C151" s="241">
        <v>0.0</v>
      </c>
      <c r="D151" s="241">
        <v>0.0</v>
      </c>
      <c r="E151" s="240"/>
      <c r="F151" s="240"/>
    </row>
    <row r="152">
      <c r="A152" s="240">
        <v>151.0</v>
      </c>
      <c r="B152" s="240" t="s">
        <v>1153</v>
      </c>
      <c r="C152" s="241">
        <v>0.0</v>
      </c>
      <c r="D152" s="241">
        <v>0.0</v>
      </c>
      <c r="E152" s="240"/>
      <c r="F152" s="240"/>
    </row>
    <row r="153">
      <c r="A153" s="240">
        <v>152.0</v>
      </c>
      <c r="B153" s="240" t="s">
        <v>1130</v>
      </c>
      <c r="C153" s="241">
        <v>0.0</v>
      </c>
      <c r="D153" s="241">
        <v>0.0</v>
      </c>
      <c r="E153" s="240"/>
      <c r="F153" s="240"/>
    </row>
    <row r="154">
      <c r="A154" s="240">
        <v>153.0</v>
      </c>
      <c r="B154" s="240" t="s">
        <v>862</v>
      </c>
      <c r="C154" s="241">
        <v>0.0</v>
      </c>
      <c r="D154" s="241">
        <v>0.0</v>
      </c>
      <c r="E154" s="240"/>
      <c r="F154" s="240"/>
    </row>
  </sheetData>
  <conditionalFormatting sqref="A1:F180">
    <cfRule type="expression" dxfId="5" priority="1">
      <formula>COUNTIF({"Power Digital";"Momentum";"PMG";"Further Group";"MSQ Partners";"Huge";"Brandtech";"Dentsu";"Croud";"New Engen";"Acadia";"Tinuiti";"Adswerve";"Labelium";"IDHL";"Accenture Song";"Deloitte Digital";"Brainlabs";"Making Science";"weDiscover";"Bark London"},A1)&gt;0</formula>
    </cfRule>
  </conditionalFormatting>
  <conditionalFormatting sqref="E43">
    <cfRule type="containsText" dxfId="6" priority="2" operator="containsText" text="Incubeta">
      <formula>NOT(ISERROR(SEARCH(("Incubeta"),(E43))))</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56"/>
    <col customWidth="1" min="2" max="2" width="54.22"/>
    <col customWidth="1" min="3" max="4" width="13.44"/>
    <col customWidth="1" min="5" max="5" width="57.56"/>
    <col customWidth="1" min="6" max="6" width="13.44"/>
    <col customWidth="1" min="7" max="7" width="17.33"/>
    <col customWidth="1" min="8" max="8" width="13.44"/>
    <col customWidth="1" min="9" max="9" width="30.11"/>
    <col customWidth="1" min="10" max="10" width="48.89"/>
    <col customWidth="1" min="11" max="33" width="13.44"/>
  </cols>
  <sheetData>
    <row r="1" ht="33.0" customHeight="1">
      <c r="A1" s="244" t="s">
        <v>10404</v>
      </c>
      <c r="B1" s="244" t="s">
        <v>10405</v>
      </c>
      <c r="C1" s="244"/>
      <c r="D1" s="244"/>
      <c r="E1" s="244"/>
      <c r="F1" s="244"/>
      <c r="G1" s="13"/>
      <c r="H1" s="15"/>
      <c r="I1" s="13"/>
      <c r="J1" s="15"/>
      <c r="K1" s="13"/>
      <c r="L1" s="15"/>
      <c r="M1" s="15"/>
      <c r="N1" s="15"/>
      <c r="O1" s="15"/>
      <c r="P1" s="15"/>
      <c r="Q1" s="15"/>
      <c r="R1" s="15"/>
      <c r="S1" s="15"/>
      <c r="T1" s="15"/>
      <c r="U1" s="15"/>
      <c r="V1" s="15"/>
      <c r="W1" s="15"/>
      <c r="X1" s="15"/>
      <c r="Y1" s="15"/>
      <c r="Z1" s="15"/>
      <c r="AA1" s="245"/>
      <c r="AB1" s="245"/>
      <c r="AC1" s="245"/>
      <c r="AD1" s="245"/>
      <c r="AE1" s="245"/>
      <c r="AF1" s="245"/>
      <c r="AG1" s="245"/>
    </row>
    <row r="2" ht="30.0" customHeight="1">
      <c r="A2" s="246" t="s">
        <v>303</v>
      </c>
      <c r="B2" s="247" t="s">
        <v>10406</v>
      </c>
      <c r="C2" s="248"/>
      <c r="D2" s="249"/>
      <c r="E2" s="249"/>
      <c r="F2" s="249"/>
      <c r="G2" s="250"/>
      <c r="H2" s="251"/>
      <c r="I2" s="252"/>
      <c r="J2" s="252"/>
      <c r="K2" s="252"/>
      <c r="L2" s="251"/>
      <c r="M2" s="251"/>
      <c r="N2" s="251"/>
      <c r="O2" s="251"/>
      <c r="P2" s="251"/>
      <c r="Q2" s="251"/>
      <c r="R2" s="251"/>
      <c r="S2" s="251"/>
      <c r="T2" s="251"/>
      <c r="U2" s="251"/>
      <c r="V2" s="251"/>
      <c r="W2" s="251"/>
      <c r="X2" s="251"/>
      <c r="Y2" s="251"/>
      <c r="Z2" s="251"/>
      <c r="AA2" s="137"/>
      <c r="AB2" s="137"/>
      <c r="AC2" s="137"/>
      <c r="AD2" s="137"/>
      <c r="AE2" s="137"/>
      <c r="AF2" s="137"/>
      <c r="AG2" s="137"/>
    </row>
    <row r="3" ht="30.0" customHeight="1">
      <c r="A3" s="253" t="s">
        <v>311</v>
      </c>
      <c r="B3" s="254" t="s">
        <v>10407</v>
      </c>
      <c r="C3" s="248"/>
      <c r="D3" s="249"/>
      <c r="E3" s="249"/>
      <c r="F3" s="249"/>
      <c r="G3" s="250"/>
      <c r="H3" s="251"/>
      <c r="I3" s="252"/>
      <c r="J3" s="252"/>
      <c r="K3" s="252"/>
      <c r="L3" s="251"/>
      <c r="M3" s="251"/>
      <c r="N3" s="251"/>
      <c r="O3" s="251"/>
      <c r="P3" s="251"/>
      <c r="Q3" s="251"/>
      <c r="R3" s="251"/>
      <c r="S3" s="251"/>
      <c r="T3" s="251"/>
      <c r="U3" s="251"/>
      <c r="V3" s="251"/>
      <c r="W3" s="251"/>
      <c r="X3" s="251"/>
      <c r="Y3" s="251"/>
      <c r="Z3" s="251"/>
      <c r="AA3" s="137"/>
      <c r="AB3" s="137"/>
      <c r="AC3" s="137"/>
      <c r="AD3" s="137"/>
      <c r="AE3" s="137"/>
      <c r="AF3" s="137"/>
      <c r="AG3" s="137"/>
    </row>
    <row r="4" ht="30.0" customHeight="1">
      <c r="A4" s="253" t="s">
        <v>576</v>
      </c>
      <c r="B4" s="247" t="s">
        <v>10408</v>
      </c>
      <c r="C4" s="248"/>
      <c r="D4" s="249"/>
      <c r="E4" s="249"/>
      <c r="F4" s="249"/>
      <c r="G4" s="250"/>
      <c r="H4" s="251"/>
      <c r="I4" s="252"/>
      <c r="J4" s="252"/>
      <c r="K4" s="252"/>
      <c r="L4" s="251"/>
      <c r="M4" s="251"/>
      <c r="N4" s="251"/>
      <c r="O4" s="251"/>
      <c r="P4" s="251"/>
      <c r="Q4" s="251"/>
      <c r="R4" s="251"/>
      <c r="S4" s="251"/>
      <c r="T4" s="251"/>
      <c r="U4" s="251"/>
      <c r="V4" s="251"/>
      <c r="W4" s="251"/>
      <c r="X4" s="251"/>
      <c r="Y4" s="251"/>
      <c r="Z4" s="251"/>
      <c r="AA4" s="137"/>
      <c r="AB4" s="137"/>
      <c r="AC4" s="137"/>
      <c r="AD4" s="137"/>
      <c r="AE4" s="137"/>
      <c r="AF4" s="137"/>
      <c r="AG4" s="137"/>
    </row>
    <row r="5" ht="30.0" customHeight="1">
      <c r="A5" s="253" t="s">
        <v>321</v>
      </c>
      <c r="B5" s="247" t="s">
        <v>10409</v>
      </c>
      <c r="C5" s="248"/>
      <c r="D5" s="249"/>
      <c r="E5" s="249"/>
      <c r="F5" s="249"/>
      <c r="G5" s="250"/>
      <c r="H5" s="251"/>
      <c r="I5" s="252"/>
      <c r="J5" s="252"/>
      <c r="K5" s="252"/>
      <c r="L5" s="251"/>
      <c r="M5" s="251"/>
      <c r="N5" s="251"/>
      <c r="O5" s="251"/>
      <c r="P5" s="251"/>
      <c r="Q5" s="251"/>
      <c r="R5" s="251"/>
      <c r="S5" s="251"/>
      <c r="T5" s="251"/>
      <c r="U5" s="251"/>
      <c r="V5" s="251"/>
      <c r="W5" s="251"/>
      <c r="X5" s="251"/>
      <c r="Y5" s="251"/>
      <c r="Z5" s="251"/>
      <c r="AA5" s="137"/>
      <c r="AB5" s="137"/>
      <c r="AC5" s="137"/>
      <c r="AD5" s="137"/>
      <c r="AE5" s="137"/>
      <c r="AF5" s="137"/>
      <c r="AG5" s="137"/>
    </row>
    <row r="6" ht="30.0" customHeight="1">
      <c r="A6" s="253" t="s">
        <v>315</v>
      </c>
      <c r="B6" s="247" t="s">
        <v>10410</v>
      </c>
      <c r="C6" s="248"/>
      <c r="D6" s="249"/>
      <c r="E6" s="249"/>
      <c r="F6" s="249"/>
      <c r="G6" s="250"/>
      <c r="H6" s="251"/>
      <c r="I6" s="252"/>
      <c r="J6" s="252"/>
      <c r="K6" s="252"/>
      <c r="L6" s="251"/>
      <c r="M6" s="251"/>
      <c r="N6" s="251"/>
      <c r="O6" s="251"/>
      <c r="P6" s="251"/>
      <c r="Q6" s="251"/>
      <c r="R6" s="251"/>
      <c r="S6" s="251"/>
      <c r="T6" s="251"/>
      <c r="U6" s="251"/>
      <c r="V6" s="251"/>
      <c r="W6" s="251"/>
      <c r="X6" s="251"/>
      <c r="Y6" s="251"/>
      <c r="Z6" s="251"/>
      <c r="AA6" s="137"/>
      <c r="AB6" s="137"/>
      <c r="AC6" s="137"/>
      <c r="AD6" s="137"/>
      <c r="AE6" s="137"/>
      <c r="AF6" s="137"/>
      <c r="AG6" s="137"/>
    </row>
    <row r="7" ht="30.0" customHeight="1">
      <c r="A7" s="248"/>
      <c r="B7" s="249"/>
      <c r="C7" s="248"/>
      <c r="D7" s="249"/>
      <c r="E7" s="249"/>
      <c r="F7" s="249"/>
      <c r="G7" s="250"/>
      <c r="H7" s="251"/>
      <c r="I7" s="252"/>
      <c r="J7" s="252"/>
      <c r="K7" s="252"/>
      <c r="L7" s="251"/>
      <c r="M7" s="251"/>
      <c r="N7" s="251"/>
      <c r="O7" s="251"/>
      <c r="P7" s="251"/>
      <c r="Q7" s="251"/>
      <c r="R7" s="251"/>
      <c r="S7" s="251"/>
      <c r="T7" s="251"/>
      <c r="U7" s="251"/>
      <c r="V7" s="251"/>
      <c r="W7" s="251"/>
      <c r="X7" s="251"/>
      <c r="Y7" s="251"/>
      <c r="Z7" s="251"/>
      <c r="AA7" s="137"/>
      <c r="AB7" s="137"/>
      <c r="AC7" s="137"/>
      <c r="AD7" s="137"/>
      <c r="AE7" s="137"/>
      <c r="AF7" s="137"/>
      <c r="AG7" s="137"/>
    </row>
    <row r="8" ht="30.0" customHeight="1">
      <c r="A8" s="248"/>
      <c r="B8" s="249"/>
      <c r="C8" s="248"/>
      <c r="D8" s="249"/>
      <c r="E8" s="249"/>
      <c r="F8" s="249"/>
      <c r="G8" s="250"/>
      <c r="H8" s="251"/>
      <c r="I8" s="252"/>
      <c r="J8" s="252"/>
      <c r="K8" s="252"/>
      <c r="L8" s="251"/>
      <c r="M8" s="251"/>
      <c r="N8" s="251"/>
      <c r="O8" s="251"/>
      <c r="P8" s="251"/>
      <c r="Q8" s="251"/>
      <c r="R8" s="251"/>
      <c r="S8" s="251"/>
      <c r="T8" s="251"/>
      <c r="U8" s="251"/>
      <c r="V8" s="251"/>
      <c r="W8" s="251"/>
      <c r="X8" s="251"/>
      <c r="Y8" s="251"/>
      <c r="Z8" s="251"/>
      <c r="AA8" s="137"/>
      <c r="AB8" s="137"/>
      <c r="AC8" s="137"/>
      <c r="AD8" s="137"/>
      <c r="AE8" s="137"/>
      <c r="AF8" s="137"/>
      <c r="AG8" s="137"/>
    </row>
    <row r="9" ht="30.0" customHeight="1">
      <c r="A9" s="248"/>
      <c r="B9" s="249"/>
      <c r="C9" s="248"/>
      <c r="D9" s="249"/>
      <c r="E9" s="249"/>
      <c r="F9" s="249"/>
      <c r="G9" s="250"/>
      <c r="H9" s="251"/>
      <c r="I9" s="252"/>
      <c r="J9" s="252"/>
      <c r="K9" s="252"/>
      <c r="L9" s="251"/>
      <c r="M9" s="251"/>
      <c r="N9" s="251"/>
      <c r="O9" s="251"/>
      <c r="P9" s="251"/>
      <c r="Q9" s="251"/>
      <c r="R9" s="251"/>
      <c r="S9" s="251"/>
      <c r="T9" s="251"/>
      <c r="U9" s="251"/>
      <c r="V9" s="251"/>
      <c r="W9" s="251"/>
      <c r="X9" s="251"/>
      <c r="Y9" s="251"/>
      <c r="Z9" s="251"/>
      <c r="AA9" s="137"/>
      <c r="AB9" s="137"/>
      <c r="AC9" s="137"/>
      <c r="AD9" s="137"/>
      <c r="AE9" s="137"/>
      <c r="AF9" s="137"/>
      <c r="AG9" s="137"/>
    </row>
    <row r="10" ht="30.0" customHeight="1">
      <c r="A10" s="248"/>
      <c r="B10" s="249"/>
      <c r="C10" s="248"/>
      <c r="D10" s="249"/>
      <c r="E10" s="249"/>
      <c r="F10" s="249"/>
      <c r="G10" s="250"/>
      <c r="H10" s="251"/>
      <c r="I10" s="252"/>
      <c r="J10" s="252"/>
      <c r="K10" s="252"/>
      <c r="L10" s="251"/>
      <c r="M10" s="251"/>
      <c r="N10" s="251"/>
      <c r="O10" s="251"/>
      <c r="P10" s="251"/>
      <c r="Q10" s="251"/>
      <c r="R10" s="251"/>
      <c r="S10" s="251"/>
      <c r="T10" s="251"/>
      <c r="U10" s="251"/>
      <c r="V10" s="251"/>
      <c r="W10" s="251"/>
      <c r="X10" s="251"/>
      <c r="Y10" s="251"/>
      <c r="Z10" s="251"/>
      <c r="AA10" s="137"/>
      <c r="AB10" s="137"/>
      <c r="AC10" s="137"/>
      <c r="AD10" s="137"/>
      <c r="AE10" s="137"/>
      <c r="AF10" s="137"/>
      <c r="AG10" s="137"/>
    </row>
    <row r="11" ht="30.0" customHeight="1">
      <c r="A11" s="248"/>
      <c r="B11" s="249"/>
      <c r="C11" s="248"/>
      <c r="D11" s="249"/>
      <c r="E11" s="249"/>
      <c r="F11" s="249"/>
      <c r="G11" s="250"/>
      <c r="H11" s="251"/>
      <c r="I11" s="252"/>
      <c r="J11" s="252"/>
      <c r="K11" s="252"/>
      <c r="L11" s="251"/>
      <c r="M11" s="251"/>
      <c r="N11" s="251"/>
      <c r="O11" s="251"/>
      <c r="P11" s="251"/>
      <c r="Q11" s="251"/>
      <c r="R11" s="251"/>
      <c r="S11" s="251"/>
      <c r="T11" s="251"/>
      <c r="U11" s="251"/>
      <c r="V11" s="251"/>
      <c r="W11" s="251"/>
      <c r="X11" s="251"/>
      <c r="Y11" s="251"/>
      <c r="Z11" s="251"/>
      <c r="AA11" s="137"/>
      <c r="AB11" s="137"/>
      <c r="AC11" s="137"/>
      <c r="AD11" s="137"/>
      <c r="AE11" s="137"/>
      <c r="AF11" s="137"/>
      <c r="AG11" s="137"/>
    </row>
    <row r="12" ht="30.0" customHeight="1">
      <c r="A12" s="248"/>
      <c r="B12" s="249"/>
      <c r="C12" s="249"/>
      <c r="D12" s="249"/>
      <c r="E12" s="249"/>
      <c r="F12" s="249"/>
      <c r="G12" s="250"/>
      <c r="H12" s="251"/>
      <c r="I12" s="252"/>
      <c r="J12" s="252"/>
      <c r="K12" s="252"/>
      <c r="L12" s="251"/>
      <c r="M12" s="251"/>
      <c r="N12" s="251"/>
      <c r="O12" s="251"/>
      <c r="P12" s="251"/>
      <c r="Q12" s="251"/>
      <c r="R12" s="251"/>
      <c r="S12" s="251"/>
      <c r="T12" s="251"/>
      <c r="U12" s="251"/>
      <c r="V12" s="251"/>
      <c r="W12" s="251"/>
      <c r="X12" s="251"/>
      <c r="Y12" s="251"/>
      <c r="Z12" s="251"/>
      <c r="AA12" s="137"/>
      <c r="AB12" s="137"/>
      <c r="AC12" s="137"/>
      <c r="AD12" s="137"/>
      <c r="AE12" s="137"/>
      <c r="AF12" s="137"/>
      <c r="AG12" s="137"/>
    </row>
    <row r="13" ht="30.0" customHeight="1">
      <c r="A13" s="248"/>
      <c r="B13" s="249"/>
      <c r="C13" s="248"/>
      <c r="D13" s="249"/>
      <c r="E13" s="249"/>
      <c r="F13" s="249"/>
      <c r="G13" s="249"/>
      <c r="H13" s="251"/>
      <c r="I13" s="252"/>
      <c r="J13" s="252"/>
      <c r="K13" s="252"/>
      <c r="L13" s="251"/>
      <c r="M13" s="251"/>
      <c r="N13" s="251"/>
      <c r="O13" s="251"/>
      <c r="P13" s="251"/>
      <c r="Q13" s="251"/>
      <c r="R13" s="251"/>
      <c r="S13" s="251"/>
      <c r="T13" s="251"/>
      <c r="U13" s="251"/>
      <c r="V13" s="251"/>
      <c r="W13" s="251"/>
      <c r="X13" s="251"/>
      <c r="Y13" s="251"/>
      <c r="Z13" s="251"/>
      <c r="AA13" s="137"/>
      <c r="AB13" s="137"/>
      <c r="AC13" s="137"/>
      <c r="AD13" s="137"/>
      <c r="AE13" s="137"/>
      <c r="AF13" s="137"/>
      <c r="AG13" s="137"/>
    </row>
    <row r="14" ht="30.0" customHeight="1">
      <c r="A14" s="248"/>
      <c r="B14" s="249"/>
      <c r="C14" s="248"/>
      <c r="D14" s="249"/>
      <c r="E14" s="249"/>
      <c r="F14" s="249"/>
      <c r="G14" s="249"/>
      <c r="H14" s="251"/>
      <c r="I14" s="252"/>
      <c r="J14" s="252"/>
      <c r="K14" s="252"/>
      <c r="L14" s="251"/>
      <c r="M14" s="251"/>
      <c r="N14" s="251"/>
      <c r="O14" s="251"/>
      <c r="P14" s="251"/>
      <c r="Q14" s="251"/>
      <c r="R14" s="251"/>
      <c r="S14" s="251"/>
      <c r="T14" s="251"/>
      <c r="U14" s="251"/>
      <c r="V14" s="251"/>
      <c r="W14" s="251"/>
      <c r="X14" s="251"/>
      <c r="Y14" s="251"/>
      <c r="Z14" s="251"/>
      <c r="AA14" s="137"/>
      <c r="AB14" s="137"/>
      <c r="AC14" s="137"/>
      <c r="AD14" s="137"/>
      <c r="AE14" s="137"/>
      <c r="AF14" s="137"/>
      <c r="AG14" s="137"/>
    </row>
    <row r="15" ht="30.0" customHeight="1">
      <c r="A15" s="248"/>
      <c r="B15" s="249"/>
      <c r="C15" s="248"/>
      <c r="D15" s="249"/>
      <c r="E15" s="249"/>
      <c r="F15" s="249"/>
      <c r="G15" s="250"/>
      <c r="H15" s="251"/>
      <c r="I15" s="252"/>
      <c r="J15" s="252"/>
      <c r="K15" s="252"/>
      <c r="L15" s="251"/>
      <c r="M15" s="251"/>
      <c r="N15" s="251"/>
      <c r="O15" s="251"/>
      <c r="P15" s="251"/>
      <c r="Q15" s="251"/>
      <c r="R15" s="251"/>
      <c r="S15" s="251"/>
      <c r="T15" s="251"/>
      <c r="U15" s="251"/>
      <c r="V15" s="251"/>
      <c r="W15" s="251"/>
      <c r="X15" s="251"/>
      <c r="Y15" s="251"/>
      <c r="Z15" s="251"/>
      <c r="AA15" s="137"/>
      <c r="AB15" s="137"/>
      <c r="AC15" s="137"/>
      <c r="AD15" s="137"/>
      <c r="AE15" s="137"/>
      <c r="AF15" s="137"/>
      <c r="AG15" s="137"/>
    </row>
    <row r="16" ht="30.0" customHeight="1">
      <c r="A16" s="248"/>
      <c r="B16" s="249"/>
      <c r="C16" s="248"/>
      <c r="D16" s="249"/>
      <c r="E16" s="249"/>
      <c r="F16" s="249"/>
      <c r="G16" s="250"/>
      <c r="H16" s="251"/>
      <c r="I16" s="252"/>
      <c r="J16" s="252"/>
      <c r="K16" s="252"/>
      <c r="L16" s="251"/>
      <c r="M16" s="251"/>
      <c r="N16" s="251"/>
      <c r="O16" s="251"/>
      <c r="P16" s="251"/>
      <c r="Q16" s="251"/>
      <c r="R16" s="251"/>
      <c r="S16" s="251"/>
      <c r="T16" s="251"/>
      <c r="U16" s="251"/>
      <c r="V16" s="251"/>
      <c r="W16" s="251"/>
      <c r="X16" s="251"/>
      <c r="Y16" s="251"/>
      <c r="Z16" s="251"/>
      <c r="AA16" s="137"/>
      <c r="AB16" s="137"/>
      <c r="AC16" s="137"/>
      <c r="AD16" s="137"/>
      <c r="AE16" s="137"/>
      <c r="AF16" s="137"/>
      <c r="AG16" s="137"/>
    </row>
    <row r="17" ht="30.0" customHeight="1">
      <c r="A17" s="248"/>
      <c r="B17" s="249"/>
      <c r="C17" s="248"/>
      <c r="D17" s="249"/>
      <c r="E17" s="249"/>
      <c r="F17" s="249"/>
      <c r="G17" s="250"/>
      <c r="H17" s="251"/>
      <c r="I17" s="252"/>
      <c r="J17" s="252"/>
      <c r="K17" s="252"/>
      <c r="L17" s="251"/>
      <c r="M17" s="251"/>
      <c r="N17" s="251"/>
      <c r="O17" s="251"/>
      <c r="P17" s="251"/>
      <c r="Q17" s="251"/>
      <c r="R17" s="251"/>
      <c r="S17" s="251"/>
      <c r="T17" s="251"/>
      <c r="U17" s="251"/>
      <c r="V17" s="251"/>
      <c r="W17" s="251"/>
      <c r="X17" s="251"/>
      <c r="Y17" s="251"/>
      <c r="Z17" s="251"/>
      <c r="AA17" s="137"/>
      <c r="AB17" s="137"/>
      <c r="AC17" s="137"/>
      <c r="AD17" s="137"/>
      <c r="AE17" s="137"/>
      <c r="AF17" s="137"/>
      <c r="AG17" s="137"/>
    </row>
    <row r="18" ht="30.0" customHeight="1">
      <c r="A18" s="248"/>
      <c r="B18" s="249"/>
      <c r="C18" s="248"/>
      <c r="D18" s="249"/>
      <c r="E18" s="249"/>
      <c r="F18" s="249"/>
      <c r="G18" s="250"/>
      <c r="H18" s="251"/>
      <c r="I18" s="252"/>
      <c r="J18" s="252"/>
      <c r="K18" s="252"/>
      <c r="L18" s="251"/>
      <c r="M18" s="251"/>
      <c r="N18" s="251"/>
      <c r="O18" s="251"/>
      <c r="P18" s="251"/>
      <c r="Q18" s="251"/>
      <c r="R18" s="251"/>
      <c r="S18" s="251"/>
      <c r="T18" s="251"/>
      <c r="U18" s="251"/>
      <c r="V18" s="251"/>
      <c r="W18" s="251"/>
      <c r="X18" s="251"/>
      <c r="Y18" s="251"/>
      <c r="Z18" s="251"/>
      <c r="AA18" s="137"/>
      <c r="AB18" s="137"/>
      <c r="AC18" s="137"/>
      <c r="AD18" s="137"/>
      <c r="AE18" s="137"/>
      <c r="AF18" s="137"/>
      <c r="AG18" s="137"/>
    </row>
    <row r="19" ht="30.0" customHeight="1">
      <c r="A19" s="248"/>
      <c r="B19" s="249"/>
      <c r="C19" s="249"/>
      <c r="D19" s="249"/>
      <c r="E19" s="249"/>
      <c r="F19" s="249"/>
      <c r="G19" s="249"/>
      <c r="H19" s="251"/>
      <c r="I19" s="252"/>
      <c r="J19" s="252"/>
      <c r="K19" s="252"/>
      <c r="L19" s="251"/>
      <c r="M19" s="251"/>
      <c r="N19" s="251"/>
      <c r="O19" s="251"/>
      <c r="P19" s="251"/>
      <c r="Q19" s="251"/>
      <c r="R19" s="251"/>
      <c r="S19" s="251"/>
      <c r="T19" s="251"/>
      <c r="U19" s="251"/>
      <c r="V19" s="251"/>
      <c r="W19" s="251"/>
      <c r="X19" s="251"/>
      <c r="Y19" s="251"/>
      <c r="Z19" s="251"/>
      <c r="AA19" s="137"/>
      <c r="AB19" s="137"/>
      <c r="AC19" s="137"/>
      <c r="AD19" s="137"/>
      <c r="AE19" s="137"/>
      <c r="AF19" s="137"/>
      <c r="AG19" s="137"/>
    </row>
    <row r="20" ht="30.0" customHeight="1">
      <c r="A20" s="248"/>
      <c r="B20" s="249"/>
      <c r="C20" s="248"/>
      <c r="D20" s="249"/>
      <c r="E20" s="249"/>
      <c r="F20" s="249"/>
      <c r="G20" s="250"/>
      <c r="H20" s="251"/>
      <c r="I20" s="252"/>
      <c r="J20" s="252"/>
      <c r="K20" s="252"/>
      <c r="L20" s="251"/>
      <c r="M20" s="251"/>
      <c r="N20" s="251"/>
      <c r="O20" s="251"/>
      <c r="P20" s="251"/>
      <c r="Q20" s="251"/>
      <c r="R20" s="251"/>
      <c r="S20" s="251"/>
      <c r="T20" s="251"/>
      <c r="U20" s="251"/>
      <c r="V20" s="251"/>
      <c r="W20" s="251"/>
      <c r="X20" s="251"/>
      <c r="Y20" s="251"/>
      <c r="Z20" s="251"/>
      <c r="AA20" s="137"/>
      <c r="AB20" s="137"/>
      <c r="AC20" s="137"/>
      <c r="AD20" s="137"/>
      <c r="AE20" s="137"/>
      <c r="AF20" s="137"/>
      <c r="AG20" s="137"/>
    </row>
    <row r="21" ht="30.0" customHeight="1">
      <c r="A21" s="248"/>
      <c r="B21" s="249"/>
      <c r="C21" s="248"/>
      <c r="D21" s="249"/>
      <c r="E21" s="249"/>
      <c r="F21" s="249"/>
      <c r="G21" s="250"/>
      <c r="H21" s="251"/>
      <c r="I21" s="252"/>
      <c r="J21" s="252"/>
      <c r="K21" s="252"/>
      <c r="L21" s="251"/>
      <c r="M21" s="251"/>
      <c r="N21" s="251"/>
      <c r="O21" s="251"/>
      <c r="P21" s="251"/>
      <c r="Q21" s="251"/>
      <c r="R21" s="251"/>
      <c r="S21" s="251"/>
      <c r="T21" s="251"/>
      <c r="U21" s="251"/>
      <c r="V21" s="251"/>
      <c r="W21" s="251"/>
      <c r="X21" s="251"/>
      <c r="Y21" s="251"/>
      <c r="Z21" s="251"/>
      <c r="AA21" s="137"/>
      <c r="AB21" s="137"/>
      <c r="AC21" s="137"/>
      <c r="AD21" s="137"/>
      <c r="AE21" s="137"/>
      <c r="AF21" s="137"/>
      <c r="AG21" s="137"/>
    </row>
    <row r="22" ht="30.0" customHeight="1">
      <c r="A22" s="248"/>
      <c r="B22" s="249"/>
      <c r="C22" s="248"/>
      <c r="D22" s="249"/>
      <c r="E22" s="249"/>
      <c r="F22" s="249"/>
      <c r="G22" s="250"/>
      <c r="H22" s="251"/>
      <c r="I22" s="252"/>
      <c r="J22" s="252"/>
      <c r="K22" s="252"/>
      <c r="L22" s="251"/>
      <c r="M22" s="251"/>
      <c r="N22" s="251"/>
      <c r="O22" s="251"/>
      <c r="P22" s="251"/>
      <c r="Q22" s="251"/>
      <c r="R22" s="251"/>
      <c r="S22" s="251"/>
      <c r="T22" s="251"/>
      <c r="U22" s="251"/>
      <c r="V22" s="251"/>
      <c r="W22" s="251"/>
      <c r="X22" s="251"/>
      <c r="Y22" s="251"/>
      <c r="Z22" s="251"/>
      <c r="AA22" s="137"/>
      <c r="AB22" s="137"/>
      <c r="AC22" s="137"/>
      <c r="AD22" s="137"/>
      <c r="AE22" s="137"/>
      <c r="AF22" s="137"/>
      <c r="AG22" s="137"/>
    </row>
    <row r="23" ht="30.0" customHeight="1">
      <c r="A23" s="248"/>
      <c r="B23" s="249"/>
      <c r="C23" s="248"/>
      <c r="D23" s="249"/>
      <c r="E23" s="249"/>
      <c r="F23" s="249"/>
      <c r="G23" s="250"/>
      <c r="H23" s="251"/>
      <c r="I23" s="252"/>
      <c r="J23" s="252"/>
      <c r="K23" s="252"/>
      <c r="L23" s="251"/>
      <c r="M23" s="251"/>
      <c r="N23" s="251"/>
      <c r="O23" s="251"/>
      <c r="P23" s="251"/>
      <c r="Q23" s="251"/>
      <c r="R23" s="251"/>
      <c r="S23" s="251"/>
      <c r="T23" s="251"/>
      <c r="U23" s="251"/>
      <c r="V23" s="251"/>
      <c r="W23" s="251"/>
      <c r="X23" s="251"/>
      <c r="Y23" s="251"/>
      <c r="Z23" s="251"/>
      <c r="AA23" s="137"/>
      <c r="AB23" s="137"/>
      <c r="AC23" s="137"/>
      <c r="AD23" s="137"/>
      <c r="AE23" s="137"/>
      <c r="AF23" s="137"/>
      <c r="AG23" s="137"/>
    </row>
    <row r="24" ht="30.0" customHeight="1">
      <c r="A24" s="248"/>
      <c r="B24" s="249"/>
      <c r="C24" s="248"/>
      <c r="D24" s="249"/>
      <c r="E24" s="249"/>
      <c r="F24" s="249"/>
      <c r="G24" s="250"/>
      <c r="H24" s="251"/>
      <c r="I24" s="252"/>
      <c r="J24" s="252"/>
      <c r="K24" s="252"/>
      <c r="L24" s="251"/>
      <c r="M24" s="251"/>
      <c r="N24" s="251"/>
      <c r="O24" s="251"/>
      <c r="P24" s="251"/>
      <c r="Q24" s="251"/>
      <c r="R24" s="251"/>
      <c r="S24" s="251"/>
      <c r="T24" s="251"/>
      <c r="U24" s="251"/>
      <c r="V24" s="251"/>
      <c r="W24" s="251"/>
      <c r="X24" s="251"/>
      <c r="Y24" s="251"/>
      <c r="Z24" s="251"/>
      <c r="AA24" s="137"/>
      <c r="AB24" s="137"/>
      <c r="AC24" s="137"/>
      <c r="AD24" s="137"/>
      <c r="AE24" s="137"/>
      <c r="AF24" s="137"/>
      <c r="AG24" s="137"/>
    </row>
    <row r="25" ht="30.0" customHeight="1">
      <c r="A25" s="248"/>
      <c r="B25" s="249"/>
      <c r="C25" s="248"/>
      <c r="D25" s="249"/>
      <c r="E25" s="249"/>
      <c r="F25" s="249"/>
      <c r="G25" s="249"/>
      <c r="H25" s="251"/>
      <c r="I25" s="252"/>
      <c r="J25" s="252"/>
      <c r="K25" s="252"/>
      <c r="L25" s="251"/>
      <c r="M25" s="251"/>
      <c r="N25" s="251"/>
      <c r="O25" s="251"/>
      <c r="P25" s="251"/>
      <c r="Q25" s="251"/>
      <c r="R25" s="251"/>
      <c r="S25" s="251"/>
      <c r="T25" s="251"/>
      <c r="U25" s="251"/>
      <c r="V25" s="251"/>
      <c r="W25" s="251"/>
      <c r="X25" s="251"/>
      <c r="Y25" s="251"/>
      <c r="Z25" s="251"/>
      <c r="AA25" s="137"/>
      <c r="AB25" s="137"/>
      <c r="AC25" s="137"/>
      <c r="AD25" s="137"/>
      <c r="AE25" s="137"/>
      <c r="AF25" s="137"/>
      <c r="AG25" s="137"/>
    </row>
    <row r="26" ht="30.0" customHeight="1">
      <c r="A26" s="248"/>
      <c r="B26" s="249"/>
      <c r="C26" s="248"/>
      <c r="D26" s="249"/>
      <c r="E26" s="249"/>
      <c r="F26" s="249"/>
      <c r="G26" s="250"/>
      <c r="H26" s="251"/>
      <c r="I26" s="252"/>
      <c r="J26" s="252"/>
      <c r="K26" s="252"/>
      <c r="L26" s="251"/>
      <c r="M26" s="251"/>
      <c r="N26" s="251"/>
      <c r="O26" s="251"/>
      <c r="P26" s="251"/>
      <c r="Q26" s="251"/>
      <c r="R26" s="251"/>
      <c r="S26" s="251"/>
      <c r="T26" s="251"/>
      <c r="U26" s="251"/>
      <c r="V26" s="251"/>
      <c r="W26" s="251"/>
      <c r="X26" s="251"/>
      <c r="Y26" s="251"/>
      <c r="Z26" s="251"/>
      <c r="AA26" s="137"/>
      <c r="AB26" s="137"/>
      <c r="AC26" s="137"/>
      <c r="AD26" s="137"/>
      <c r="AE26" s="137"/>
      <c r="AF26" s="137"/>
      <c r="AG26" s="137"/>
    </row>
    <row r="27" ht="30.0" customHeight="1">
      <c r="A27" s="248"/>
      <c r="B27" s="249"/>
      <c r="C27" s="248"/>
      <c r="D27" s="249"/>
      <c r="E27" s="249"/>
      <c r="F27" s="249"/>
      <c r="G27" s="250"/>
      <c r="H27" s="251"/>
      <c r="I27" s="252"/>
      <c r="J27" s="252"/>
      <c r="K27" s="252"/>
      <c r="L27" s="251"/>
      <c r="M27" s="251"/>
      <c r="N27" s="251"/>
      <c r="O27" s="251"/>
      <c r="P27" s="251"/>
      <c r="Q27" s="251"/>
      <c r="R27" s="251"/>
      <c r="S27" s="251"/>
      <c r="T27" s="251"/>
      <c r="U27" s="251"/>
      <c r="V27" s="251"/>
      <c r="W27" s="251"/>
      <c r="X27" s="251"/>
      <c r="Y27" s="251"/>
      <c r="Z27" s="251"/>
      <c r="AA27" s="137"/>
      <c r="AB27" s="137"/>
      <c r="AC27" s="137"/>
      <c r="AD27" s="137"/>
      <c r="AE27" s="137"/>
      <c r="AF27" s="137"/>
      <c r="AG27" s="137"/>
    </row>
    <row r="28" ht="30.0" customHeight="1">
      <c r="A28" s="248"/>
      <c r="B28" s="249"/>
      <c r="C28" s="248"/>
      <c r="D28" s="249"/>
      <c r="E28" s="249"/>
      <c r="F28" s="249"/>
      <c r="G28" s="250"/>
      <c r="H28" s="251"/>
      <c r="I28" s="252"/>
      <c r="J28" s="252"/>
      <c r="K28" s="252"/>
      <c r="L28" s="251"/>
      <c r="M28" s="251"/>
      <c r="N28" s="251"/>
      <c r="O28" s="251"/>
      <c r="P28" s="251"/>
      <c r="Q28" s="251"/>
      <c r="R28" s="251"/>
      <c r="S28" s="251"/>
      <c r="T28" s="251"/>
      <c r="U28" s="251"/>
      <c r="V28" s="251"/>
      <c r="W28" s="251"/>
      <c r="X28" s="251"/>
      <c r="Y28" s="251"/>
      <c r="Z28" s="251"/>
      <c r="AA28" s="137"/>
      <c r="AB28" s="137"/>
      <c r="AC28" s="137"/>
      <c r="AD28" s="137"/>
      <c r="AE28" s="137"/>
      <c r="AF28" s="137"/>
      <c r="AG28" s="137"/>
    </row>
    <row r="29" ht="30.0" customHeight="1">
      <c r="A29" s="248"/>
      <c r="B29" s="249"/>
      <c r="C29" s="248"/>
      <c r="D29" s="249"/>
      <c r="E29" s="249"/>
      <c r="F29" s="249"/>
      <c r="G29" s="250"/>
      <c r="H29" s="251"/>
      <c r="I29" s="252"/>
      <c r="J29" s="252"/>
      <c r="K29" s="252"/>
      <c r="L29" s="251"/>
      <c r="M29" s="251"/>
      <c r="N29" s="251"/>
      <c r="O29" s="251"/>
      <c r="P29" s="251"/>
      <c r="Q29" s="251"/>
      <c r="R29" s="251"/>
      <c r="S29" s="251"/>
      <c r="T29" s="251"/>
      <c r="U29" s="251"/>
      <c r="V29" s="251"/>
      <c r="W29" s="251"/>
      <c r="X29" s="251"/>
      <c r="Y29" s="251"/>
      <c r="Z29" s="251"/>
      <c r="AA29" s="137"/>
      <c r="AB29" s="137"/>
      <c r="AC29" s="137"/>
      <c r="AD29" s="137"/>
      <c r="AE29" s="137"/>
      <c r="AF29" s="137"/>
      <c r="AG29" s="137"/>
    </row>
    <row r="30" ht="30.0" customHeight="1">
      <c r="A30" s="248"/>
      <c r="B30" s="249"/>
      <c r="C30" s="248"/>
      <c r="D30" s="249"/>
      <c r="E30" s="249"/>
      <c r="F30" s="249"/>
      <c r="G30" s="250"/>
      <c r="H30" s="251"/>
      <c r="I30" s="252"/>
      <c r="J30" s="252"/>
      <c r="K30" s="252"/>
      <c r="L30" s="251"/>
      <c r="M30" s="251"/>
      <c r="N30" s="251"/>
      <c r="O30" s="251"/>
      <c r="P30" s="251"/>
      <c r="Q30" s="251"/>
      <c r="R30" s="251"/>
      <c r="S30" s="251"/>
      <c r="T30" s="251"/>
      <c r="U30" s="251"/>
      <c r="V30" s="251"/>
      <c r="W30" s="251"/>
      <c r="X30" s="251"/>
      <c r="Y30" s="251"/>
      <c r="Z30" s="251"/>
      <c r="AA30" s="137"/>
      <c r="AB30" s="137"/>
      <c r="AC30" s="137"/>
      <c r="AD30" s="137"/>
      <c r="AE30" s="137"/>
      <c r="AF30" s="137"/>
      <c r="AG30" s="137"/>
    </row>
    <row r="31" ht="30.0" customHeight="1">
      <c r="A31" s="248"/>
      <c r="B31" s="249"/>
      <c r="C31" s="248"/>
      <c r="D31" s="249"/>
      <c r="E31" s="249"/>
      <c r="F31" s="249"/>
      <c r="G31" s="250"/>
      <c r="H31" s="251"/>
      <c r="I31" s="252"/>
      <c r="J31" s="252"/>
      <c r="K31" s="252"/>
      <c r="L31" s="251"/>
      <c r="M31" s="251"/>
      <c r="N31" s="251"/>
      <c r="O31" s="251"/>
      <c r="P31" s="251"/>
      <c r="Q31" s="251"/>
      <c r="R31" s="251"/>
      <c r="S31" s="251"/>
      <c r="T31" s="251"/>
      <c r="U31" s="251"/>
      <c r="V31" s="251"/>
      <c r="W31" s="251"/>
      <c r="X31" s="251"/>
      <c r="Y31" s="251"/>
      <c r="Z31" s="251"/>
      <c r="AA31" s="137"/>
      <c r="AB31" s="137"/>
      <c r="AC31" s="137"/>
      <c r="AD31" s="137"/>
      <c r="AE31" s="137"/>
      <c r="AF31" s="137"/>
      <c r="AG31" s="137"/>
    </row>
    <row r="32" ht="30.0" customHeight="1">
      <c r="A32" s="248"/>
      <c r="B32" s="249"/>
      <c r="C32" s="248"/>
      <c r="D32" s="249"/>
      <c r="E32" s="249"/>
      <c r="F32" s="249"/>
      <c r="G32" s="250"/>
      <c r="H32" s="251"/>
      <c r="I32" s="252"/>
      <c r="J32" s="252"/>
      <c r="K32" s="252"/>
      <c r="L32" s="251"/>
      <c r="M32" s="251"/>
      <c r="N32" s="251"/>
      <c r="O32" s="251"/>
      <c r="P32" s="251"/>
      <c r="Q32" s="251"/>
      <c r="R32" s="251"/>
      <c r="S32" s="251"/>
      <c r="T32" s="251"/>
      <c r="U32" s="251"/>
      <c r="V32" s="251"/>
      <c r="W32" s="251"/>
      <c r="X32" s="251"/>
      <c r="Y32" s="251"/>
      <c r="Z32" s="251"/>
      <c r="AA32" s="137"/>
      <c r="AB32" s="137"/>
      <c r="AC32" s="137"/>
      <c r="AD32" s="137"/>
      <c r="AE32" s="137"/>
      <c r="AF32" s="137"/>
      <c r="AG32" s="137"/>
    </row>
    <row r="33" ht="30.0" customHeight="1">
      <c r="A33" s="248"/>
      <c r="B33" s="249"/>
      <c r="C33" s="248"/>
      <c r="D33" s="249"/>
      <c r="E33" s="249"/>
      <c r="F33" s="249"/>
      <c r="G33" s="250"/>
      <c r="H33" s="251"/>
      <c r="I33" s="252"/>
      <c r="J33" s="252"/>
      <c r="K33" s="252"/>
      <c r="L33" s="251"/>
      <c r="M33" s="251"/>
      <c r="N33" s="251"/>
      <c r="O33" s="251"/>
      <c r="P33" s="251"/>
      <c r="Q33" s="251"/>
      <c r="R33" s="251"/>
      <c r="S33" s="251"/>
      <c r="T33" s="251"/>
      <c r="U33" s="251"/>
      <c r="V33" s="251"/>
      <c r="W33" s="251"/>
      <c r="X33" s="251"/>
      <c r="Y33" s="251"/>
      <c r="Z33" s="251"/>
      <c r="AA33" s="137"/>
      <c r="AB33" s="137"/>
      <c r="AC33" s="137"/>
      <c r="AD33" s="137"/>
      <c r="AE33" s="137"/>
      <c r="AF33" s="137"/>
      <c r="AG33" s="137"/>
    </row>
    <row r="34" ht="30.0" customHeight="1">
      <c r="A34" s="248"/>
      <c r="B34" s="249"/>
      <c r="C34" s="248"/>
      <c r="D34" s="249"/>
      <c r="E34" s="249"/>
      <c r="F34" s="249"/>
      <c r="G34" s="249"/>
      <c r="H34" s="251"/>
      <c r="I34" s="252"/>
      <c r="J34" s="252"/>
      <c r="K34" s="252"/>
      <c r="L34" s="251"/>
      <c r="M34" s="251"/>
      <c r="N34" s="251"/>
      <c r="O34" s="251"/>
      <c r="P34" s="251"/>
      <c r="Q34" s="251"/>
      <c r="R34" s="251"/>
      <c r="S34" s="251"/>
      <c r="T34" s="251"/>
      <c r="U34" s="251"/>
      <c r="V34" s="251"/>
      <c r="W34" s="251"/>
      <c r="X34" s="251"/>
      <c r="Y34" s="251"/>
      <c r="Z34" s="251"/>
      <c r="AA34" s="137"/>
      <c r="AB34" s="137"/>
      <c r="AC34" s="137"/>
      <c r="AD34" s="137"/>
      <c r="AE34" s="137"/>
      <c r="AF34" s="137"/>
      <c r="AG34" s="137"/>
    </row>
    <row r="35" ht="30.0" customHeight="1">
      <c r="A35" s="248"/>
      <c r="B35" s="249"/>
      <c r="C35" s="248"/>
      <c r="D35" s="249"/>
      <c r="E35" s="249"/>
      <c r="F35" s="249"/>
      <c r="G35" s="250"/>
      <c r="H35" s="251"/>
      <c r="I35" s="252"/>
      <c r="J35" s="252"/>
      <c r="K35" s="252"/>
      <c r="L35" s="251"/>
      <c r="M35" s="251"/>
      <c r="N35" s="251"/>
      <c r="O35" s="251"/>
      <c r="P35" s="251"/>
      <c r="Q35" s="251"/>
      <c r="R35" s="251"/>
      <c r="S35" s="251"/>
      <c r="T35" s="251"/>
      <c r="U35" s="251"/>
      <c r="V35" s="251"/>
      <c r="W35" s="251"/>
      <c r="X35" s="251"/>
      <c r="Y35" s="251"/>
      <c r="Z35" s="251"/>
      <c r="AA35" s="137"/>
      <c r="AB35" s="137"/>
      <c r="AC35" s="137"/>
      <c r="AD35" s="137"/>
      <c r="AE35" s="137"/>
      <c r="AF35" s="137"/>
      <c r="AG35" s="137"/>
    </row>
    <row r="36" ht="30.0" customHeight="1">
      <c r="A36" s="248"/>
      <c r="B36" s="249"/>
      <c r="C36" s="248"/>
      <c r="D36" s="249"/>
      <c r="E36" s="249"/>
      <c r="F36" s="249"/>
      <c r="G36" s="250"/>
      <c r="H36" s="251"/>
      <c r="I36" s="252"/>
      <c r="J36" s="252"/>
      <c r="K36" s="252"/>
      <c r="L36" s="251"/>
      <c r="M36" s="251"/>
      <c r="N36" s="251"/>
      <c r="O36" s="251"/>
      <c r="P36" s="251"/>
      <c r="Q36" s="251"/>
      <c r="R36" s="251"/>
      <c r="S36" s="251"/>
      <c r="T36" s="251"/>
      <c r="U36" s="251"/>
      <c r="V36" s="251"/>
      <c r="W36" s="251"/>
      <c r="X36" s="251"/>
      <c r="Y36" s="251"/>
      <c r="Z36" s="251"/>
      <c r="AA36" s="137"/>
      <c r="AB36" s="137"/>
      <c r="AC36" s="137"/>
      <c r="AD36" s="137"/>
      <c r="AE36" s="137"/>
      <c r="AF36" s="137"/>
      <c r="AG36" s="137"/>
    </row>
    <row r="37" ht="30.0" customHeight="1">
      <c r="A37" s="248"/>
      <c r="B37" s="249"/>
      <c r="C37" s="249"/>
      <c r="D37" s="249"/>
      <c r="E37" s="249"/>
      <c r="F37" s="249"/>
      <c r="G37" s="250"/>
      <c r="H37" s="251"/>
      <c r="I37" s="252"/>
      <c r="J37" s="252"/>
      <c r="K37" s="252"/>
      <c r="L37" s="251"/>
      <c r="M37" s="251"/>
      <c r="N37" s="251"/>
      <c r="O37" s="251"/>
      <c r="P37" s="251"/>
      <c r="Q37" s="251"/>
      <c r="R37" s="251"/>
      <c r="S37" s="251"/>
      <c r="T37" s="251"/>
      <c r="U37" s="251"/>
      <c r="V37" s="251"/>
      <c r="W37" s="251"/>
      <c r="X37" s="251"/>
      <c r="Y37" s="251"/>
      <c r="Z37" s="251"/>
      <c r="AA37" s="137"/>
      <c r="AB37" s="137"/>
      <c r="AC37" s="137"/>
      <c r="AD37" s="137"/>
      <c r="AE37" s="137"/>
      <c r="AF37" s="137"/>
      <c r="AG37" s="137"/>
    </row>
    <row r="38" ht="30.0" customHeight="1">
      <c r="A38" s="248"/>
      <c r="B38" s="249"/>
      <c r="C38" s="248"/>
      <c r="D38" s="249"/>
      <c r="E38" s="249"/>
      <c r="F38" s="249"/>
      <c r="G38" s="249"/>
      <c r="H38" s="251"/>
      <c r="I38" s="252"/>
      <c r="J38" s="252"/>
      <c r="K38" s="252"/>
      <c r="L38" s="251"/>
      <c r="M38" s="251"/>
      <c r="N38" s="251"/>
      <c r="O38" s="251"/>
      <c r="P38" s="251"/>
      <c r="Q38" s="251"/>
      <c r="R38" s="251"/>
      <c r="S38" s="251"/>
      <c r="T38" s="251"/>
      <c r="U38" s="251"/>
      <c r="V38" s="251"/>
      <c r="W38" s="251"/>
      <c r="X38" s="251"/>
      <c r="Y38" s="251"/>
      <c r="Z38" s="251"/>
      <c r="AA38" s="137"/>
      <c r="AB38" s="137"/>
      <c r="AC38" s="137"/>
      <c r="AD38" s="137"/>
      <c r="AE38" s="137"/>
      <c r="AF38" s="137"/>
      <c r="AG38" s="137"/>
    </row>
    <row r="39" ht="30.0" customHeight="1">
      <c r="A39" s="248"/>
      <c r="B39" s="249"/>
      <c r="C39" s="248"/>
      <c r="D39" s="249"/>
      <c r="E39" s="249"/>
      <c r="F39" s="249"/>
      <c r="G39" s="250"/>
      <c r="H39" s="251"/>
      <c r="I39" s="252"/>
      <c r="J39" s="252"/>
      <c r="K39" s="252"/>
      <c r="L39" s="251"/>
      <c r="M39" s="251"/>
      <c r="N39" s="251"/>
      <c r="O39" s="251"/>
      <c r="P39" s="251"/>
      <c r="Q39" s="251"/>
      <c r="R39" s="251"/>
      <c r="S39" s="251"/>
      <c r="T39" s="251"/>
      <c r="U39" s="251"/>
      <c r="V39" s="251"/>
      <c r="W39" s="251"/>
      <c r="X39" s="251"/>
      <c r="Y39" s="251"/>
      <c r="Z39" s="251"/>
      <c r="AA39" s="137"/>
      <c r="AB39" s="137"/>
      <c r="AC39" s="137"/>
      <c r="AD39" s="137"/>
      <c r="AE39" s="137"/>
      <c r="AF39" s="137"/>
      <c r="AG39" s="137"/>
    </row>
    <row r="40" ht="30.0" customHeight="1">
      <c r="A40" s="248"/>
      <c r="B40" s="249"/>
      <c r="C40" s="248"/>
      <c r="D40" s="249"/>
      <c r="E40" s="251"/>
      <c r="F40" s="249"/>
      <c r="G40" s="250"/>
      <c r="H40" s="251"/>
      <c r="I40" s="252"/>
      <c r="J40" s="252"/>
      <c r="K40" s="252"/>
      <c r="L40" s="251"/>
      <c r="M40" s="251"/>
      <c r="N40" s="251"/>
      <c r="O40" s="251"/>
      <c r="P40" s="251"/>
      <c r="Q40" s="251"/>
      <c r="R40" s="251"/>
      <c r="S40" s="251"/>
      <c r="T40" s="251"/>
      <c r="U40" s="251"/>
      <c r="V40" s="251"/>
      <c r="W40" s="251"/>
      <c r="X40" s="251"/>
      <c r="Y40" s="251"/>
      <c r="Z40" s="251"/>
      <c r="AA40" s="137"/>
      <c r="AB40" s="137"/>
      <c r="AC40" s="137"/>
      <c r="AD40" s="137"/>
      <c r="AE40" s="137"/>
      <c r="AF40" s="137"/>
      <c r="AG40" s="137"/>
    </row>
    <row r="41" ht="30.0" customHeight="1">
      <c r="A41" s="248"/>
      <c r="B41" s="249"/>
      <c r="C41" s="248"/>
      <c r="D41" s="249"/>
      <c r="E41" s="249"/>
      <c r="F41" s="249"/>
      <c r="G41" s="250"/>
      <c r="H41" s="251"/>
      <c r="I41" s="252"/>
      <c r="J41" s="252"/>
      <c r="K41" s="252"/>
      <c r="L41" s="251"/>
      <c r="M41" s="251"/>
      <c r="N41" s="251"/>
      <c r="O41" s="251"/>
      <c r="P41" s="251"/>
      <c r="Q41" s="251"/>
      <c r="R41" s="251"/>
      <c r="S41" s="251"/>
      <c r="T41" s="251"/>
      <c r="U41" s="251"/>
      <c r="V41" s="251"/>
      <c r="W41" s="251"/>
      <c r="X41" s="251"/>
      <c r="Y41" s="251"/>
      <c r="Z41" s="251"/>
      <c r="AA41" s="137"/>
      <c r="AB41" s="137"/>
      <c r="AC41" s="137"/>
      <c r="AD41" s="137"/>
      <c r="AE41" s="137"/>
      <c r="AF41" s="137"/>
      <c r="AG41" s="137"/>
    </row>
    <row r="42" ht="30.0" customHeight="1">
      <c r="A42" s="248"/>
      <c r="B42" s="249"/>
      <c r="C42" s="248"/>
      <c r="D42" s="249"/>
      <c r="E42" s="249"/>
      <c r="F42" s="249"/>
      <c r="G42" s="250"/>
      <c r="H42" s="251"/>
      <c r="I42" s="252"/>
      <c r="J42" s="252"/>
      <c r="K42" s="252"/>
      <c r="L42" s="251"/>
      <c r="M42" s="251"/>
      <c r="N42" s="251"/>
      <c r="O42" s="251"/>
      <c r="P42" s="251"/>
      <c r="Q42" s="251"/>
      <c r="R42" s="251"/>
      <c r="S42" s="251"/>
      <c r="T42" s="251"/>
      <c r="U42" s="251"/>
      <c r="V42" s="251"/>
      <c r="W42" s="251"/>
      <c r="X42" s="251"/>
      <c r="Y42" s="251"/>
      <c r="Z42" s="251"/>
      <c r="AA42" s="137"/>
      <c r="AB42" s="137"/>
      <c r="AC42" s="137"/>
      <c r="AD42" s="137"/>
      <c r="AE42" s="137"/>
      <c r="AF42" s="137"/>
      <c r="AG42" s="137"/>
    </row>
    <row r="43" ht="30.0" customHeight="1">
      <c r="A43" s="248"/>
      <c r="B43" s="249"/>
      <c r="C43" s="248"/>
      <c r="D43" s="249"/>
      <c r="E43" s="249"/>
      <c r="F43" s="249"/>
      <c r="G43" s="250"/>
      <c r="H43" s="251"/>
      <c r="I43" s="252"/>
      <c r="J43" s="252"/>
      <c r="K43" s="252"/>
      <c r="L43" s="251"/>
      <c r="M43" s="251"/>
      <c r="N43" s="251"/>
      <c r="O43" s="251"/>
      <c r="P43" s="251"/>
      <c r="Q43" s="251"/>
      <c r="R43" s="251"/>
      <c r="S43" s="251"/>
      <c r="T43" s="251"/>
      <c r="U43" s="251"/>
      <c r="V43" s="251"/>
      <c r="W43" s="251"/>
      <c r="X43" s="251"/>
      <c r="Y43" s="251"/>
      <c r="Z43" s="251"/>
      <c r="AA43" s="137"/>
      <c r="AB43" s="137"/>
      <c r="AC43" s="137"/>
      <c r="AD43" s="137"/>
      <c r="AE43" s="137"/>
      <c r="AF43" s="137"/>
      <c r="AG43" s="137"/>
    </row>
    <row r="44" ht="30.0" customHeight="1">
      <c r="A44" s="248"/>
      <c r="B44" s="249"/>
      <c r="C44" s="248"/>
      <c r="D44" s="249"/>
      <c r="E44" s="249"/>
      <c r="F44" s="249"/>
      <c r="G44" s="250"/>
      <c r="H44" s="251"/>
      <c r="I44" s="252"/>
      <c r="J44" s="252"/>
      <c r="K44" s="252"/>
      <c r="L44" s="251"/>
      <c r="M44" s="251"/>
      <c r="N44" s="251"/>
      <c r="O44" s="251"/>
      <c r="P44" s="251"/>
      <c r="Q44" s="251"/>
      <c r="R44" s="251"/>
      <c r="S44" s="251"/>
      <c r="T44" s="251"/>
      <c r="U44" s="251"/>
      <c r="V44" s="251"/>
      <c r="W44" s="251"/>
      <c r="X44" s="251"/>
      <c r="Y44" s="251"/>
      <c r="Z44" s="251"/>
      <c r="AA44" s="137"/>
      <c r="AB44" s="137"/>
      <c r="AC44" s="137"/>
      <c r="AD44" s="137"/>
      <c r="AE44" s="137"/>
      <c r="AF44" s="137"/>
      <c r="AG44" s="137"/>
    </row>
    <row r="45" ht="30.0" customHeight="1">
      <c r="A45" s="248"/>
      <c r="B45" s="249"/>
      <c r="C45" s="249"/>
      <c r="D45" s="249"/>
      <c r="E45" s="249"/>
      <c r="F45" s="249"/>
      <c r="G45" s="250"/>
      <c r="H45" s="251"/>
      <c r="I45" s="252"/>
      <c r="J45" s="252"/>
      <c r="K45" s="252"/>
      <c r="L45" s="251"/>
      <c r="M45" s="251"/>
      <c r="N45" s="251"/>
      <c r="O45" s="251"/>
      <c r="P45" s="251"/>
      <c r="Q45" s="251"/>
      <c r="R45" s="251"/>
      <c r="S45" s="251"/>
      <c r="T45" s="251"/>
      <c r="U45" s="251"/>
      <c r="V45" s="251"/>
      <c r="W45" s="251"/>
      <c r="X45" s="251"/>
      <c r="Y45" s="251"/>
      <c r="Z45" s="251"/>
      <c r="AA45" s="137"/>
      <c r="AB45" s="137"/>
      <c r="AC45" s="137"/>
      <c r="AD45" s="137"/>
      <c r="AE45" s="137"/>
      <c r="AF45" s="137"/>
      <c r="AG45" s="137"/>
    </row>
    <row r="46" ht="30.0" customHeight="1">
      <c r="A46" s="248"/>
      <c r="B46" s="249"/>
      <c r="C46" s="248"/>
      <c r="D46" s="249"/>
      <c r="E46" s="249"/>
      <c r="F46" s="249"/>
      <c r="G46" s="250"/>
      <c r="H46" s="251"/>
      <c r="I46" s="252"/>
      <c r="J46" s="252"/>
      <c r="K46" s="252"/>
      <c r="L46" s="251"/>
      <c r="M46" s="251"/>
      <c r="N46" s="251"/>
      <c r="O46" s="251"/>
      <c r="P46" s="251"/>
      <c r="Q46" s="251"/>
      <c r="R46" s="251"/>
      <c r="S46" s="251"/>
      <c r="T46" s="251"/>
      <c r="U46" s="251"/>
      <c r="V46" s="251"/>
      <c r="W46" s="251"/>
      <c r="X46" s="251"/>
      <c r="Y46" s="251"/>
      <c r="Z46" s="251"/>
      <c r="AA46" s="137"/>
      <c r="AB46" s="137"/>
      <c r="AC46" s="137"/>
      <c r="AD46" s="137"/>
      <c r="AE46" s="137"/>
      <c r="AF46" s="137"/>
      <c r="AG46" s="137"/>
    </row>
    <row r="47" ht="30.0" customHeight="1">
      <c r="A47" s="248"/>
      <c r="B47" s="249"/>
      <c r="C47" s="248"/>
      <c r="D47" s="249"/>
      <c r="E47" s="249"/>
      <c r="F47" s="249"/>
      <c r="G47" s="250"/>
      <c r="H47" s="251"/>
      <c r="I47" s="252"/>
      <c r="J47" s="252"/>
      <c r="K47" s="252"/>
      <c r="L47" s="251"/>
      <c r="M47" s="251"/>
      <c r="N47" s="251"/>
      <c r="O47" s="251"/>
      <c r="P47" s="251"/>
      <c r="Q47" s="251"/>
      <c r="R47" s="251"/>
      <c r="S47" s="251"/>
      <c r="T47" s="251"/>
      <c r="U47" s="251"/>
      <c r="V47" s="251"/>
      <c r="W47" s="251"/>
      <c r="X47" s="251"/>
      <c r="Y47" s="251"/>
      <c r="Z47" s="251"/>
      <c r="AA47" s="137"/>
      <c r="AB47" s="137"/>
      <c r="AC47" s="137"/>
      <c r="AD47" s="137"/>
      <c r="AE47" s="137"/>
      <c r="AF47" s="137"/>
      <c r="AG47" s="137"/>
    </row>
    <row r="48" ht="30.0" customHeight="1">
      <c r="A48" s="248"/>
      <c r="B48" s="249"/>
      <c r="C48" s="248"/>
      <c r="D48" s="249"/>
      <c r="E48" s="249"/>
      <c r="F48" s="249"/>
      <c r="G48" s="250"/>
      <c r="H48" s="251"/>
      <c r="I48" s="252"/>
      <c r="J48" s="252"/>
      <c r="K48" s="252"/>
      <c r="L48" s="251"/>
      <c r="M48" s="251"/>
      <c r="N48" s="251"/>
      <c r="O48" s="251"/>
      <c r="P48" s="251"/>
      <c r="Q48" s="251"/>
      <c r="R48" s="251"/>
      <c r="S48" s="251"/>
      <c r="T48" s="251"/>
      <c r="U48" s="251"/>
      <c r="V48" s="251"/>
      <c r="W48" s="251"/>
      <c r="X48" s="251"/>
      <c r="Y48" s="251"/>
      <c r="Z48" s="251"/>
      <c r="AA48" s="137"/>
      <c r="AB48" s="137"/>
      <c r="AC48" s="137"/>
      <c r="AD48" s="137"/>
      <c r="AE48" s="137"/>
      <c r="AF48" s="137"/>
      <c r="AG48" s="137"/>
    </row>
    <row r="49" ht="30.0" customHeight="1">
      <c r="A49" s="248"/>
      <c r="B49" s="249"/>
      <c r="C49" s="248"/>
      <c r="D49" s="249"/>
      <c r="E49" s="249"/>
      <c r="F49" s="249"/>
      <c r="G49" s="250"/>
      <c r="H49" s="251"/>
      <c r="I49" s="252"/>
      <c r="J49" s="252"/>
      <c r="K49" s="252"/>
      <c r="L49" s="251"/>
      <c r="M49" s="251"/>
      <c r="N49" s="251"/>
      <c r="O49" s="251"/>
      <c r="P49" s="251"/>
      <c r="Q49" s="251"/>
      <c r="R49" s="251"/>
      <c r="S49" s="251"/>
      <c r="T49" s="251"/>
      <c r="U49" s="251"/>
      <c r="V49" s="251"/>
      <c r="W49" s="251"/>
      <c r="X49" s="251"/>
      <c r="Y49" s="251"/>
      <c r="Z49" s="251"/>
      <c r="AA49" s="137"/>
      <c r="AB49" s="137"/>
      <c r="AC49" s="137"/>
      <c r="AD49" s="137"/>
      <c r="AE49" s="137"/>
      <c r="AF49" s="137"/>
      <c r="AG49" s="137"/>
    </row>
    <row r="50" ht="30.0" customHeight="1">
      <c r="A50" s="248"/>
      <c r="B50" s="249"/>
      <c r="C50" s="248"/>
      <c r="D50" s="249"/>
      <c r="E50" s="249"/>
      <c r="F50" s="249"/>
      <c r="G50" s="249"/>
      <c r="H50" s="251"/>
      <c r="I50" s="252"/>
      <c r="J50" s="252"/>
      <c r="K50" s="252"/>
      <c r="L50" s="251"/>
      <c r="M50" s="251"/>
      <c r="N50" s="251"/>
      <c r="O50" s="251"/>
      <c r="P50" s="251"/>
      <c r="Q50" s="251"/>
      <c r="R50" s="251"/>
      <c r="S50" s="251"/>
      <c r="T50" s="251"/>
      <c r="U50" s="251"/>
      <c r="V50" s="251"/>
      <c r="W50" s="251"/>
      <c r="X50" s="251"/>
      <c r="Y50" s="251"/>
      <c r="Z50" s="251"/>
      <c r="AA50" s="137"/>
      <c r="AB50" s="137"/>
      <c r="AC50" s="137"/>
      <c r="AD50" s="137"/>
      <c r="AE50" s="137"/>
      <c r="AF50" s="137"/>
      <c r="AG50" s="137"/>
    </row>
    <row r="51" ht="30.0" customHeight="1">
      <c r="A51" s="248"/>
      <c r="B51" s="249"/>
      <c r="C51" s="248"/>
      <c r="D51" s="249"/>
      <c r="E51" s="249"/>
      <c r="F51" s="249"/>
      <c r="G51" s="249"/>
      <c r="H51" s="251"/>
      <c r="I51" s="252"/>
      <c r="J51" s="252"/>
      <c r="K51" s="252"/>
      <c r="L51" s="251"/>
      <c r="M51" s="251"/>
      <c r="N51" s="251"/>
      <c r="O51" s="251"/>
      <c r="P51" s="251"/>
      <c r="Q51" s="251"/>
      <c r="R51" s="251"/>
      <c r="S51" s="251"/>
      <c r="T51" s="251"/>
      <c r="U51" s="251"/>
      <c r="V51" s="251"/>
      <c r="W51" s="251"/>
      <c r="X51" s="251"/>
      <c r="Y51" s="251"/>
      <c r="Z51" s="251"/>
      <c r="AA51" s="137"/>
      <c r="AB51" s="137"/>
      <c r="AC51" s="137"/>
      <c r="AD51" s="137"/>
      <c r="AE51" s="137"/>
      <c r="AF51" s="137"/>
      <c r="AG51" s="137"/>
    </row>
    <row r="52" ht="30.0" customHeight="1">
      <c r="A52" s="249"/>
      <c r="B52" s="249"/>
      <c r="C52" s="248"/>
      <c r="D52" s="249"/>
      <c r="E52" s="249"/>
      <c r="F52" s="249"/>
      <c r="G52" s="249"/>
      <c r="H52" s="251"/>
      <c r="I52" s="252"/>
      <c r="J52" s="252"/>
      <c r="K52" s="252"/>
      <c r="L52" s="251"/>
      <c r="M52" s="251"/>
      <c r="N52" s="251"/>
      <c r="O52" s="251"/>
      <c r="P52" s="251"/>
      <c r="Q52" s="251"/>
      <c r="R52" s="251"/>
      <c r="S52" s="251"/>
      <c r="T52" s="251"/>
      <c r="U52" s="251"/>
      <c r="V52" s="251"/>
      <c r="W52" s="251"/>
      <c r="X52" s="251"/>
      <c r="Y52" s="251"/>
      <c r="Z52" s="251"/>
      <c r="AA52" s="137"/>
      <c r="AB52" s="137"/>
      <c r="AC52" s="137"/>
      <c r="AD52" s="137"/>
      <c r="AE52" s="137"/>
      <c r="AF52" s="137"/>
      <c r="AG52" s="137"/>
    </row>
    <row r="53" ht="30.0" customHeight="1">
      <c r="A53" s="248"/>
      <c r="B53" s="249"/>
      <c r="C53" s="248"/>
      <c r="D53" s="249"/>
      <c r="E53" s="249"/>
      <c r="F53" s="249"/>
      <c r="G53" s="250"/>
      <c r="H53" s="251"/>
      <c r="I53" s="252"/>
      <c r="J53" s="252"/>
      <c r="K53" s="252"/>
      <c r="L53" s="251"/>
      <c r="M53" s="251"/>
      <c r="N53" s="251"/>
      <c r="O53" s="251"/>
      <c r="P53" s="251"/>
      <c r="Q53" s="251"/>
      <c r="R53" s="251"/>
      <c r="S53" s="251"/>
      <c r="T53" s="251"/>
      <c r="U53" s="251"/>
      <c r="V53" s="251"/>
      <c r="W53" s="251"/>
      <c r="X53" s="251"/>
      <c r="Y53" s="251"/>
      <c r="Z53" s="251"/>
      <c r="AA53" s="137"/>
      <c r="AB53" s="137"/>
      <c r="AC53" s="137"/>
      <c r="AD53" s="137"/>
      <c r="AE53" s="137"/>
      <c r="AF53" s="137"/>
      <c r="AG53" s="137"/>
    </row>
    <row r="54" ht="30.0" customHeight="1">
      <c r="A54" s="248"/>
      <c r="B54" s="249"/>
      <c r="C54" s="248"/>
      <c r="D54" s="249"/>
      <c r="E54" s="249"/>
      <c r="F54" s="249"/>
      <c r="G54" s="250"/>
      <c r="H54" s="251"/>
      <c r="I54" s="252"/>
      <c r="J54" s="252"/>
      <c r="K54" s="252"/>
      <c r="L54" s="251"/>
      <c r="M54" s="251"/>
      <c r="N54" s="251"/>
      <c r="O54" s="251"/>
      <c r="P54" s="251"/>
      <c r="Q54" s="251"/>
      <c r="R54" s="251"/>
      <c r="S54" s="251"/>
      <c r="T54" s="251"/>
      <c r="U54" s="251"/>
      <c r="V54" s="251"/>
      <c r="W54" s="251"/>
      <c r="X54" s="251"/>
      <c r="Y54" s="251"/>
      <c r="Z54" s="251"/>
      <c r="AA54" s="137"/>
      <c r="AB54" s="137"/>
      <c r="AC54" s="137"/>
      <c r="AD54" s="137"/>
      <c r="AE54" s="137"/>
      <c r="AF54" s="137"/>
      <c r="AG54" s="137"/>
    </row>
    <row r="55" ht="30.0" customHeight="1">
      <c r="A55" s="248"/>
      <c r="B55" s="249"/>
      <c r="C55" s="248"/>
      <c r="D55" s="249"/>
      <c r="E55" s="249"/>
      <c r="F55" s="249"/>
      <c r="G55" s="250"/>
      <c r="H55" s="251"/>
      <c r="I55" s="252"/>
      <c r="J55" s="252"/>
      <c r="K55" s="252"/>
      <c r="L55" s="251"/>
      <c r="M55" s="251"/>
      <c r="N55" s="251"/>
      <c r="O55" s="251"/>
      <c r="P55" s="251"/>
      <c r="Q55" s="251"/>
      <c r="R55" s="251"/>
      <c r="S55" s="251"/>
      <c r="T55" s="251"/>
      <c r="U55" s="251"/>
      <c r="V55" s="251"/>
      <c r="W55" s="251"/>
      <c r="X55" s="251"/>
      <c r="Y55" s="251"/>
      <c r="Z55" s="251"/>
      <c r="AA55" s="137"/>
      <c r="AB55" s="137"/>
      <c r="AC55" s="137"/>
      <c r="AD55" s="137"/>
      <c r="AE55" s="137"/>
      <c r="AF55" s="137"/>
      <c r="AG55" s="137"/>
    </row>
    <row r="56" ht="30.0" customHeight="1">
      <c r="A56" s="248"/>
      <c r="B56" s="249"/>
      <c r="C56" s="248"/>
      <c r="D56" s="249"/>
      <c r="E56" s="249"/>
      <c r="F56" s="249"/>
      <c r="G56" s="250"/>
      <c r="H56" s="251"/>
      <c r="I56" s="252"/>
      <c r="J56" s="252"/>
      <c r="K56" s="252"/>
      <c r="L56" s="251"/>
      <c r="M56" s="251"/>
      <c r="N56" s="251"/>
      <c r="O56" s="251"/>
      <c r="P56" s="251"/>
      <c r="Q56" s="251"/>
      <c r="R56" s="251"/>
      <c r="S56" s="251"/>
      <c r="T56" s="251"/>
      <c r="U56" s="251"/>
      <c r="V56" s="251"/>
      <c r="W56" s="251"/>
      <c r="X56" s="251"/>
      <c r="Y56" s="251"/>
      <c r="Z56" s="251"/>
      <c r="AA56" s="137"/>
      <c r="AB56" s="137"/>
      <c r="AC56" s="137"/>
      <c r="AD56" s="137"/>
      <c r="AE56" s="137"/>
      <c r="AF56" s="137"/>
      <c r="AG56" s="137"/>
    </row>
    <row r="57" ht="30.0" customHeight="1">
      <c r="A57" s="248"/>
      <c r="B57" s="249"/>
      <c r="C57" s="248"/>
      <c r="D57" s="249"/>
      <c r="E57" s="249"/>
      <c r="F57" s="249"/>
      <c r="G57" s="250"/>
      <c r="H57" s="251"/>
      <c r="I57" s="252"/>
      <c r="J57" s="252"/>
      <c r="K57" s="252"/>
      <c r="L57" s="251"/>
      <c r="M57" s="251"/>
      <c r="N57" s="251"/>
      <c r="O57" s="251"/>
      <c r="P57" s="251"/>
      <c r="Q57" s="251"/>
      <c r="R57" s="251"/>
      <c r="S57" s="251"/>
      <c r="T57" s="251"/>
      <c r="U57" s="251"/>
      <c r="V57" s="251"/>
      <c r="W57" s="251"/>
      <c r="X57" s="251"/>
      <c r="Y57" s="251"/>
      <c r="Z57" s="251"/>
      <c r="AA57" s="137"/>
      <c r="AB57" s="137"/>
      <c r="AC57" s="137"/>
      <c r="AD57" s="137"/>
      <c r="AE57" s="137"/>
      <c r="AF57" s="137"/>
      <c r="AG57" s="137"/>
    </row>
    <row r="58" ht="30.0" customHeight="1">
      <c r="A58" s="248"/>
      <c r="B58" s="249"/>
      <c r="C58" s="248"/>
      <c r="D58" s="249"/>
      <c r="E58" s="251"/>
      <c r="F58" s="249"/>
      <c r="G58" s="250"/>
      <c r="H58" s="251"/>
      <c r="I58" s="252"/>
      <c r="J58" s="252"/>
      <c r="K58" s="252"/>
      <c r="L58" s="251"/>
      <c r="M58" s="251"/>
      <c r="N58" s="251"/>
      <c r="O58" s="251"/>
      <c r="P58" s="251"/>
      <c r="Q58" s="251"/>
      <c r="R58" s="251"/>
      <c r="S58" s="251"/>
      <c r="T58" s="251"/>
      <c r="U58" s="251"/>
      <c r="V58" s="251"/>
      <c r="W58" s="251"/>
      <c r="X58" s="251"/>
      <c r="Y58" s="251"/>
      <c r="Z58" s="251"/>
      <c r="AA58" s="137"/>
      <c r="AB58" s="137"/>
      <c r="AC58" s="137"/>
      <c r="AD58" s="137"/>
      <c r="AE58" s="137"/>
      <c r="AF58" s="137"/>
      <c r="AG58" s="137"/>
    </row>
    <row r="59" ht="30.0" customHeight="1">
      <c r="A59" s="248"/>
      <c r="B59" s="249"/>
      <c r="C59" s="248"/>
      <c r="D59" s="249"/>
      <c r="E59" s="249"/>
      <c r="F59" s="249"/>
      <c r="G59" s="249"/>
      <c r="H59" s="251"/>
      <c r="I59" s="252"/>
      <c r="J59" s="252"/>
      <c r="K59" s="252"/>
      <c r="L59" s="251"/>
      <c r="M59" s="251"/>
      <c r="N59" s="251"/>
      <c r="O59" s="251"/>
      <c r="P59" s="251"/>
      <c r="Q59" s="251"/>
      <c r="R59" s="251"/>
      <c r="S59" s="251"/>
      <c r="T59" s="251"/>
      <c r="U59" s="251"/>
      <c r="V59" s="251"/>
      <c r="W59" s="251"/>
      <c r="X59" s="251"/>
      <c r="Y59" s="251"/>
      <c r="Z59" s="251"/>
      <c r="AA59" s="137"/>
      <c r="AB59" s="137"/>
      <c r="AC59" s="137"/>
      <c r="AD59" s="137"/>
      <c r="AE59" s="137"/>
      <c r="AF59" s="137"/>
      <c r="AG59" s="137"/>
    </row>
    <row r="60" ht="30.0" customHeight="1">
      <c r="A60" s="248"/>
      <c r="B60" s="249"/>
      <c r="C60" s="248"/>
      <c r="D60" s="249"/>
      <c r="E60" s="249"/>
      <c r="F60" s="249"/>
      <c r="G60" s="249"/>
      <c r="H60" s="251"/>
      <c r="I60" s="252"/>
      <c r="J60" s="252"/>
      <c r="K60" s="252"/>
      <c r="L60" s="251"/>
      <c r="M60" s="251"/>
      <c r="N60" s="251"/>
      <c r="O60" s="251"/>
      <c r="P60" s="251"/>
      <c r="Q60" s="251"/>
      <c r="R60" s="251"/>
      <c r="S60" s="251"/>
      <c r="T60" s="251"/>
      <c r="U60" s="251"/>
      <c r="V60" s="251"/>
      <c r="W60" s="251"/>
      <c r="X60" s="251"/>
      <c r="Y60" s="251"/>
      <c r="Z60" s="251"/>
      <c r="AA60" s="137"/>
      <c r="AB60" s="137"/>
      <c r="AC60" s="137"/>
      <c r="AD60" s="137"/>
      <c r="AE60" s="137"/>
      <c r="AF60" s="137"/>
      <c r="AG60" s="137"/>
    </row>
    <row r="61" ht="30.0" customHeight="1">
      <c r="A61" s="248"/>
      <c r="B61" s="249"/>
      <c r="C61" s="248"/>
      <c r="D61" s="249"/>
      <c r="E61" s="249"/>
      <c r="F61" s="249"/>
      <c r="G61" s="250"/>
      <c r="H61" s="251"/>
      <c r="I61" s="252"/>
      <c r="J61" s="252"/>
      <c r="K61" s="252"/>
      <c r="L61" s="251"/>
      <c r="M61" s="251"/>
      <c r="N61" s="251"/>
      <c r="O61" s="251"/>
      <c r="P61" s="251"/>
      <c r="Q61" s="251"/>
      <c r="R61" s="251"/>
      <c r="S61" s="251"/>
      <c r="T61" s="251"/>
      <c r="U61" s="251"/>
      <c r="V61" s="251"/>
      <c r="W61" s="251"/>
      <c r="X61" s="251"/>
      <c r="Y61" s="251"/>
      <c r="Z61" s="251"/>
      <c r="AA61" s="137"/>
      <c r="AB61" s="137"/>
      <c r="AC61" s="137"/>
      <c r="AD61" s="137"/>
      <c r="AE61" s="137"/>
      <c r="AF61" s="137"/>
      <c r="AG61" s="137"/>
    </row>
    <row r="62" ht="30.0" customHeight="1">
      <c r="A62" s="248"/>
      <c r="B62" s="249"/>
      <c r="C62" s="248"/>
      <c r="D62" s="249"/>
      <c r="E62" s="249"/>
      <c r="F62" s="249"/>
      <c r="G62" s="250"/>
      <c r="H62" s="251"/>
      <c r="I62" s="252"/>
      <c r="J62" s="252"/>
      <c r="K62" s="252"/>
      <c r="L62" s="251"/>
      <c r="M62" s="251"/>
      <c r="N62" s="251"/>
      <c r="O62" s="251"/>
      <c r="P62" s="251"/>
      <c r="Q62" s="251"/>
      <c r="R62" s="251"/>
      <c r="S62" s="251"/>
      <c r="T62" s="251"/>
      <c r="U62" s="251"/>
      <c r="V62" s="251"/>
      <c r="W62" s="251"/>
      <c r="X62" s="251"/>
      <c r="Y62" s="251"/>
      <c r="Z62" s="251"/>
      <c r="AA62" s="137"/>
      <c r="AB62" s="137"/>
      <c r="AC62" s="137"/>
      <c r="AD62" s="137"/>
      <c r="AE62" s="137"/>
      <c r="AF62" s="137"/>
      <c r="AG62" s="137"/>
    </row>
    <row r="63" ht="30.0" customHeight="1">
      <c r="A63" s="248"/>
      <c r="B63" s="249"/>
      <c r="C63" s="248"/>
      <c r="D63" s="249"/>
      <c r="E63" s="249"/>
      <c r="F63" s="249"/>
      <c r="G63" s="250"/>
      <c r="H63" s="251"/>
      <c r="I63" s="252"/>
      <c r="J63" s="252"/>
      <c r="K63" s="252"/>
      <c r="L63" s="251"/>
      <c r="M63" s="251"/>
      <c r="N63" s="251"/>
      <c r="O63" s="251"/>
      <c r="P63" s="251"/>
      <c r="Q63" s="251"/>
      <c r="R63" s="251"/>
      <c r="S63" s="251"/>
      <c r="T63" s="251"/>
      <c r="U63" s="251"/>
      <c r="V63" s="251"/>
      <c r="W63" s="251"/>
      <c r="X63" s="251"/>
      <c r="Y63" s="251"/>
      <c r="Z63" s="251"/>
      <c r="AA63" s="137"/>
      <c r="AB63" s="137"/>
      <c r="AC63" s="137"/>
      <c r="AD63" s="137"/>
      <c r="AE63" s="137"/>
      <c r="AF63" s="137"/>
      <c r="AG63" s="137"/>
    </row>
    <row r="64" ht="30.0" customHeight="1">
      <c r="A64" s="248"/>
      <c r="B64" s="249"/>
      <c r="C64" s="248"/>
      <c r="D64" s="249"/>
      <c r="E64" s="249"/>
      <c r="F64" s="249"/>
      <c r="G64" s="250"/>
      <c r="H64" s="251"/>
      <c r="I64" s="252"/>
      <c r="J64" s="252"/>
      <c r="K64" s="252"/>
      <c r="L64" s="251"/>
      <c r="M64" s="251"/>
      <c r="N64" s="251"/>
      <c r="O64" s="251"/>
      <c r="P64" s="251"/>
      <c r="Q64" s="251"/>
      <c r="R64" s="251"/>
      <c r="S64" s="251"/>
      <c r="T64" s="251"/>
      <c r="U64" s="251"/>
      <c r="V64" s="251"/>
      <c r="W64" s="251"/>
      <c r="X64" s="251"/>
      <c r="Y64" s="251"/>
      <c r="Z64" s="251"/>
      <c r="AA64" s="137"/>
      <c r="AB64" s="137"/>
      <c r="AC64" s="137"/>
      <c r="AD64" s="137"/>
      <c r="AE64" s="137"/>
      <c r="AF64" s="137"/>
      <c r="AG64" s="137"/>
    </row>
    <row r="65" ht="30.0" customHeight="1">
      <c r="A65" s="248"/>
      <c r="B65" s="249"/>
      <c r="C65" s="248"/>
      <c r="D65" s="249"/>
      <c r="E65" s="249"/>
      <c r="F65" s="249"/>
      <c r="G65" s="250"/>
      <c r="H65" s="251"/>
      <c r="I65" s="252"/>
      <c r="J65" s="252"/>
      <c r="K65" s="252"/>
      <c r="L65" s="251"/>
      <c r="M65" s="251"/>
      <c r="N65" s="251"/>
      <c r="O65" s="251"/>
      <c r="P65" s="251"/>
      <c r="Q65" s="251"/>
      <c r="R65" s="251"/>
      <c r="S65" s="251"/>
      <c r="T65" s="251"/>
      <c r="U65" s="251"/>
      <c r="V65" s="251"/>
      <c r="W65" s="251"/>
      <c r="X65" s="251"/>
      <c r="Y65" s="251"/>
      <c r="Z65" s="251"/>
      <c r="AA65" s="137"/>
      <c r="AB65" s="137"/>
      <c r="AC65" s="137"/>
      <c r="AD65" s="137"/>
      <c r="AE65" s="137"/>
      <c r="AF65" s="137"/>
      <c r="AG65" s="137"/>
    </row>
    <row r="66" ht="30.0" customHeight="1">
      <c r="A66" s="248"/>
      <c r="B66" s="249"/>
      <c r="C66" s="248"/>
      <c r="D66" s="249"/>
      <c r="E66" s="249"/>
      <c r="F66" s="249"/>
      <c r="G66" s="250"/>
      <c r="H66" s="251"/>
      <c r="I66" s="252"/>
      <c r="J66" s="252"/>
      <c r="K66" s="252"/>
      <c r="L66" s="251"/>
      <c r="M66" s="251"/>
      <c r="N66" s="251"/>
      <c r="O66" s="251"/>
      <c r="P66" s="251"/>
      <c r="Q66" s="251"/>
      <c r="R66" s="251"/>
      <c r="S66" s="251"/>
      <c r="T66" s="251"/>
      <c r="U66" s="251"/>
      <c r="V66" s="251"/>
      <c r="W66" s="251"/>
      <c r="X66" s="251"/>
      <c r="Y66" s="251"/>
      <c r="Z66" s="251"/>
      <c r="AA66" s="137"/>
      <c r="AB66" s="137"/>
      <c r="AC66" s="137"/>
      <c r="AD66" s="137"/>
      <c r="AE66" s="137"/>
      <c r="AF66" s="137"/>
      <c r="AG66" s="137"/>
    </row>
    <row r="67" ht="30.0" customHeight="1">
      <c r="A67" s="248"/>
      <c r="B67" s="249"/>
      <c r="C67" s="248"/>
      <c r="D67" s="249"/>
      <c r="E67" s="249"/>
      <c r="F67" s="249"/>
      <c r="G67" s="250"/>
      <c r="H67" s="251"/>
      <c r="I67" s="252"/>
      <c r="J67" s="252"/>
      <c r="K67" s="252"/>
      <c r="L67" s="251"/>
      <c r="M67" s="251"/>
      <c r="N67" s="251"/>
      <c r="O67" s="251"/>
      <c r="P67" s="251"/>
      <c r="Q67" s="251"/>
      <c r="R67" s="251"/>
      <c r="S67" s="251"/>
      <c r="T67" s="251"/>
      <c r="U67" s="251"/>
      <c r="V67" s="251"/>
      <c r="W67" s="251"/>
      <c r="X67" s="251"/>
      <c r="Y67" s="251"/>
      <c r="Z67" s="251"/>
      <c r="AA67" s="137"/>
      <c r="AB67" s="137"/>
      <c r="AC67" s="137"/>
      <c r="AD67" s="137"/>
      <c r="AE67" s="137"/>
      <c r="AF67" s="137"/>
      <c r="AG67" s="137"/>
    </row>
    <row r="68" ht="30.0" customHeight="1">
      <c r="A68" s="248"/>
      <c r="B68" s="249"/>
      <c r="C68" s="248"/>
      <c r="D68" s="249"/>
      <c r="E68" s="249"/>
      <c r="F68" s="249"/>
      <c r="G68" s="250"/>
      <c r="H68" s="251"/>
      <c r="I68" s="252"/>
      <c r="J68" s="252"/>
      <c r="K68" s="252"/>
      <c r="L68" s="251"/>
      <c r="M68" s="251"/>
      <c r="N68" s="251"/>
      <c r="O68" s="251"/>
      <c r="P68" s="251"/>
      <c r="Q68" s="251"/>
      <c r="R68" s="251"/>
      <c r="S68" s="251"/>
      <c r="T68" s="251"/>
      <c r="U68" s="251"/>
      <c r="V68" s="251"/>
      <c r="W68" s="251"/>
      <c r="X68" s="251"/>
      <c r="Y68" s="251"/>
      <c r="Z68" s="251"/>
      <c r="AA68" s="137"/>
      <c r="AB68" s="137"/>
      <c r="AC68" s="137"/>
      <c r="AD68" s="137"/>
      <c r="AE68" s="137"/>
      <c r="AF68" s="137"/>
      <c r="AG68" s="137"/>
    </row>
    <row r="69" ht="30.0" customHeight="1">
      <c r="A69" s="248"/>
      <c r="B69" s="249"/>
      <c r="C69" s="248"/>
      <c r="D69" s="249"/>
      <c r="E69" s="249"/>
      <c r="F69" s="249"/>
      <c r="G69" s="250"/>
      <c r="H69" s="251"/>
      <c r="I69" s="252"/>
      <c r="J69" s="252"/>
      <c r="K69" s="252"/>
      <c r="L69" s="251"/>
      <c r="M69" s="251"/>
      <c r="N69" s="251"/>
      <c r="O69" s="251"/>
      <c r="P69" s="251"/>
      <c r="Q69" s="251"/>
      <c r="R69" s="251"/>
      <c r="S69" s="251"/>
      <c r="T69" s="251"/>
      <c r="U69" s="251"/>
      <c r="V69" s="251"/>
      <c r="W69" s="251"/>
      <c r="X69" s="251"/>
      <c r="Y69" s="251"/>
      <c r="Z69" s="251"/>
      <c r="AA69" s="137"/>
      <c r="AB69" s="137"/>
      <c r="AC69" s="137"/>
      <c r="AD69" s="137"/>
      <c r="AE69" s="137"/>
      <c r="AF69" s="137"/>
      <c r="AG69" s="137"/>
    </row>
    <row r="70" ht="30.0" customHeight="1">
      <c r="A70" s="248"/>
      <c r="B70" s="249"/>
      <c r="C70" s="248"/>
      <c r="D70" s="249"/>
      <c r="E70" s="249"/>
      <c r="F70" s="249"/>
      <c r="G70" s="250"/>
      <c r="H70" s="251"/>
      <c r="I70" s="252"/>
      <c r="J70" s="252"/>
      <c r="K70" s="252"/>
      <c r="L70" s="251"/>
      <c r="M70" s="251"/>
      <c r="N70" s="251"/>
      <c r="O70" s="251"/>
      <c r="P70" s="251"/>
      <c r="Q70" s="251"/>
      <c r="R70" s="251"/>
      <c r="S70" s="251"/>
      <c r="T70" s="251"/>
      <c r="U70" s="251"/>
      <c r="V70" s="251"/>
      <c r="W70" s="251"/>
      <c r="X70" s="251"/>
      <c r="Y70" s="251"/>
      <c r="Z70" s="251"/>
      <c r="AA70" s="137"/>
      <c r="AB70" s="137"/>
      <c r="AC70" s="137"/>
      <c r="AD70" s="137"/>
      <c r="AE70" s="137"/>
      <c r="AF70" s="137"/>
      <c r="AG70" s="137"/>
    </row>
    <row r="71" ht="30.0" customHeight="1">
      <c r="A71" s="248"/>
      <c r="B71" s="249"/>
      <c r="C71" s="248"/>
      <c r="D71" s="249"/>
      <c r="E71" s="249"/>
      <c r="F71" s="249"/>
      <c r="G71" s="250"/>
      <c r="H71" s="251"/>
      <c r="I71" s="252"/>
      <c r="J71" s="252"/>
      <c r="K71" s="252"/>
      <c r="L71" s="251"/>
      <c r="M71" s="251"/>
      <c r="N71" s="251"/>
      <c r="O71" s="251"/>
      <c r="P71" s="251"/>
      <c r="Q71" s="251"/>
      <c r="R71" s="251"/>
      <c r="S71" s="251"/>
      <c r="T71" s="251"/>
      <c r="U71" s="251"/>
      <c r="V71" s="251"/>
      <c r="W71" s="251"/>
      <c r="X71" s="251"/>
      <c r="Y71" s="251"/>
      <c r="Z71" s="251"/>
      <c r="AA71" s="137"/>
      <c r="AB71" s="137"/>
      <c r="AC71" s="137"/>
      <c r="AD71" s="137"/>
      <c r="AE71" s="137"/>
      <c r="AF71" s="137"/>
      <c r="AG71" s="137"/>
    </row>
    <row r="72" ht="30.0" customHeight="1">
      <c r="A72" s="248"/>
      <c r="B72" s="249"/>
      <c r="C72" s="249"/>
      <c r="D72" s="249"/>
      <c r="E72" s="249"/>
      <c r="F72" s="249"/>
      <c r="G72" s="249"/>
      <c r="H72" s="251"/>
      <c r="I72" s="252"/>
      <c r="J72" s="252"/>
      <c r="K72" s="252"/>
      <c r="L72" s="251"/>
      <c r="M72" s="251"/>
      <c r="N72" s="251"/>
      <c r="O72" s="251"/>
      <c r="P72" s="251"/>
      <c r="Q72" s="251"/>
      <c r="R72" s="251"/>
      <c r="S72" s="251"/>
      <c r="T72" s="251"/>
      <c r="U72" s="251"/>
      <c r="V72" s="251"/>
      <c r="W72" s="251"/>
      <c r="X72" s="251"/>
      <c r="Y72" s="251"/>
      <c r="Z72" s="251"/>
      <c r="AA72" s="137"/>
      <c r="AB72" s="137"/>
      <c r="AC72" s="137"/>
      <c r="AD72" s="137"/>
      <c r="AE72" s="137"/>
      <c r="AF72" s="137"/>
      <c r="AG72" s="137"/>
    </row>
    <row r="73" ht="30.0" customHeight="1">
      <c r="A73" s="248"/>
      <c r="B73" s="249"/>
      <c r="C73" s="248"/>
      <c r="D73" s="249"/>
      <c r="E73" s="249"/>
      <c r="F73" s="249"/>
      <c r="G73" s="250"/>
      <c r="H73" s="251"/>
      <c r="I73" s="252"/>
      <c r="J73" s="252"/>
      <c r="K73" s="252"/>
      <c r="L73" s="251"/>
      <c r="M73" s="251"/>
      <c r="N73" s="251"/>
      <c r="O73" s="251"/>
      <c r="P73" s="251"/>
      <c r="Q73" s="251"/>
      <c r="R73" s="251"/>
      <c r="S73" s="251"/>
      <c r="T73" s="251"/>
      <c r="U73" s="251"/>
      <c r="V73" s="251"/>
      <c r="W73" s="251"/>
      <c r="X73" s="251"/>
      <c r="Y73" s="251"/>
      <c r="Z73" s="251"/>
      <c r="AA73" s="137"/>
      <c r="AB73" s="137"/>
      <c r="AC73" s="137"/>
      <c r="AD73" s="137"/>
      <c r="AE73" s="137"/>
      <c r="AF73" s="137"/>
      <c r="AG73" s="137"/>
    </row>
    <row r="74" ht="30.0" customHeight="1">
      <c r="A74" s="248"/>
      <c r="B74" s="249"/>
      <c r="C74" s="248"/>
      <c r="D74" s="249"/>
      <c r="E74" s="249"/>
      <c r="F74" s="249"/>
      <c r="G74" s="250"/>
      <c r="H74" s="251"/>
      <c r="I74" s="252"/>
      <c r="J74" s="252"/>
      <c r="K74" s="252"/>
      <c r="L74" s="251"/>
      <c r="M74" s="251"/>
      <c r="N74" s="251"/>
      <c r="O74" s="251"/>
      <c r="P74" s="251"/>
      <c r="Q74" s="251"/>
      <c r="R74" s="251"/>
      <c r="S74" s="251"/>
      <c r="T74" s="251"/>
      <c r="U74" s="251"/>
      <c r="V74" s="251"/>
      <c r="W74" s="251"/>
      <c r="X74" s="251"/>
      <c r="Y74" s="251"/>
      <c r="Z74" s="251"/>
      <c r="AA74" s="137"/>
      <c r="AB74" s="137"/>
      <c r="AC74" s="137"/>
      <c r="AD74" s="137"/>
      <c r="AE74" s="137"/>
      <c r="AF74" s="137"/>
      <c r="AG74" s="137"/>
    </row>
    <row r="75" ht="30.0" customHeight="1">
      <c r="A75" s="248"/>
      <c r="B75" s="249"/>
      <c r="C75" s="248"/>
      <c r="D75" s="249"/>
      <c r="E75" s="249"/>
      <c r="F75" s="249"/>
      <c r="G75" s="250"/>
      <c r="H75" s="251"/>
      <c r="I75" s="252"/>
      <c r="J75" s="252"/>
      <c r="K75" s="252"/>
      <c r="L75" s="251"/>
      <c r="M75" s="251"/>
      <c r="N75" s="251"/>
      <c r="O75" s="251"/>
      <c r="P75" s="251"/>
      <c r="Q75" s="251"/>
      <c r="R75" s="251"/>
      <c r="S75" s="251"/>
      <c r="T75" s="251"/>
      <c r="U75" s="251"/>
      <c r="V75" s="251"/>
      <c r="W75" s="251"/>
      <c r="X75" s="251"/>
      <c r="Y75" s="251"/>
      <c r="Z75" s="251"/>
      <c r="AA75" s="137"/>
      <c r="AB75" s="137"/>
      <c r="AC75" s="137"/>
      <c r="AD75" s="137"/>
      <c r="AE75" s="137"/>
      <c r="AF75" s="137"/>
      <c r="AG75" s="137"/>
    </row>
    <row r="76" ht="30.0" customHeight="1">
      <c r="A76" s="248"/>
      <c r="B76" s="249"/>
      <c r="C76" s="248"/>
      <c r="D76" s="249"/>
      <c r="E76" s="249"/>
      <c r="F76" s="249"/>
      <c r="G76" s="250"/>
      <c r="H76" s="251"/>
      <c r="I76" s="252"/>
      <c r="J76" s="252"/>
      <c r="K76" s="252"/>
      <c r="L76" s="251"/>
      <c r="M76" s="251"/>
      <c r="N76" s="251"/>
      <c r="O76" s="251"/>
      <c r="P76" s="251"/>
      <c r="Q76" s="251"/>
      <c r="R76" s="251"/>
      <c r="S76" s="251"/>
      <c r="T76" s="251"/>
      <c r="U76" s="251"/>
      <c r="V76" s="251"/>
      <c r="W76" s="251"/>
      <c r="X76" s="251"/>
      <c r="Y76" s="251"/>
      <c r="Z76" s="251"/>
      <c r="AA76" s="137"/>
      <c r="AB76" s="137"/>
      <c r="AC76" s="137"/>
      <c r="AD76" s="137"/>
      <c r="AE76" s="137"/>
      <c r="AF76" s="137"/>
      <c r="AG76" s="137"/>
    </row>
    <row r="77" ht="30.0" customHeight="1">
      <c r="A77" s="248"/>
      <c r="B77" s="249"/>
      <c r="C77" s="248"/>
      <c r="D77" s="249"/>
      <c r="E77" s="249"/>
      <c r="F77" s="249"/>
      <c r="G77" s="250"/>
      <c r="H77" s="251"/>
      <c r="I77" s="252"/>
      <c r="J77" s="252"/>
      <c r="K77" s="252"/>
      <c r="L77" s="251"/>
      <c r="M77" s="251"/>
      <c r="N77" s="251"/>
      <c r="O77" s="251"/>
      <c r="P77" s="251"/>
      <c r="Q77" s="251"/>
      <c r="R77" s="251"/>
      <c r="S77" s="251"/>
      <c r="T77" s="251"/>
      <c r="U77" s="251"/>
      <c r="V77" s="251"/>
      <c r="W77" s="251"/>
      <c r="X77" s="251"/>
      <c r="Y77" s="251"/>
      <c r="Z77" s="251"/>
      <c r="AA77" s="137"/>
      <c r="AB77" s="137"/>
      <c r="AC77" s="137"/>
      <c r="AD77" s="137"/>
      <c r="AE77" s="137"/>
      <c r="AF77" s="137"/>
      <c r="AG77" s="137"/>
    </row>
    <row r="78" ht="30.0" customHeight="1">
      <c r="A78" s="248"/>
      <c r="B78" s="249"/>
      <c r="C78" s="248"/>
      <c r="D78" s="249"/>
      <c r="E78" s="249"/>
      <c r="F78" s="249"/>
      <c r="G78" s="249"/>
      <c r="H78" s="251"/>
      <c r="I78" s="252"/>
      <c r="J78" s="252"/>
      <c r="K78" s="252"/>
      <c r="L78" s="251"/>
      <c r="M78" s="251"/>
      <c r="N78" s="251"/>
      <c r="O78" s="251"/>
      <c r="P78" s="251"/>
      <c r="Q78" s="251"/>
      <c r="R78" s="251"/>
      <c r="S78" s="251"/>
      <c r="T78" s="251"/>
      <c r="U78" s="251"/>
      <c r="V78" s="251"/>
      <c r="W78" s="251"/>
      <c r="X78" s="251"/>
      <c r="Y78" s="251"/>
      <c r="Z78" s="251"/>
      <c r="AA78" s="137"/>
      <c r="AB78" s="137"/>
      <c r="AC78" s="137"/>
      <c r="AD78" s="137"/>
      <c r="AE78" s="137"/>
      <c r="AF78" s="137"/>
      <c r="AG78" s="137"/>
    </row>
    <row r="79" ht="30.0" customHeight="1">
      <c r="A79" s="248"/>
      <c r="B79" s="249"/>
      <c r="C79" s="248"/>
      <c r="D79" s="249"/>
      <c r="E79" s="249"/>
      <c r="F79" s="249"/>
      <c r="G79" s="250"/>
      <c r="H79" s="251"/>
      <c r="I79" s="252"/>
      <c r="J79" s="252"/>
      <c r="K79" s="252"/>
      <c r="L79" s="251"/>
      <c r="M79" s="251"/>
      <c r="N79" s="251"/>
      <c r="O79" s="251"/>
      <c r="P79" s="251"/>
      <c r="Q79" s="251"/>
      <c r="R79" s="251"/>
      <c r="S79" s="251"/>
      <c r="T79" s="251"/>
      <c r="U79" s="251"/>
      <c r="V79" s="251"/>
      <c r="W79" s="251"/>
      <c r="X79" s="251"/>
      <c r="Y79" s="251"/>
      <c r="Z79" s="251"/>
      <c r="AA79" s="137"/>
      <c r="AB79" s="137"/>
      <c r="AC79" s="137"/>
      <c r="AD79" s="137"/>
      <c r="AE79" s="137"/>
      <c r="AF79" s="137"/>
      <c r="AG79" s="137"/>
    </row>
    <row r="80" ht="30.0" customHeight="1">
      <c r="A80" s="248"/>
      <c r="B80" s="249"/>
      <c r="C80" s="248"/>
      <c r="D80" s="249"/>
      <c r="E80" s="249"/>
      <c r="F80" s="249"/>
      <c r="G80" s="250"/>
      <c r="H80" s="251"/>
      <c r="I80" s="252"/>
      <c r="J80" s="252"/>
      <c r="K80" s="252"/>
      <c r="L80" s="251"/>
      <c r="M80" s="251"/>
      <c r="N80" s="251"/>
      <c r="O80" s="251"/>
      <c r="P80" s="251"/>
      <c r="Q80" s="251"/>
      <c r="R80" s="251"/>
      <c r="S80" s="251"/>
      <c r="T80" s="251"/>
      <c r="U80" s="251"/>
      <c r="V80" s="251"/>
      <c r="W80" s="251"/>
      <c r="X80" s="251"/>
      <c r="Y80" s="251"/>
      <c r="Z80" s="251"/>
      <c r="AA80" s="137"/>
      <c r="AB80" s="137"/>
      <c r="AC80" s="137"/>
      <c r="AD80" s="137"/>
      <c r="AE80" s="137"/>
      <c r="AF80" s="137"/>
      <c r="AG80" s="137"/>
    </row>
    <row r="81" ht="30.0" customHeight="1">
      <c r="A81" s="248"/>
      <c r="B81" s="249"/>
      <c r="C81" s="248"/>
      <c r="D81" s="249"/>
      <c r="E81" s="249"/>
      <c r="F81" s="249"/>
      <c r="G81" s="250"/>
      <c r="H81" s="251"/>
      <c r="I81" s="252"/>
      <c r="J81" s="252"/>
      <c r="K81" s="252"/>
      <c r="L81" s="251"/>
      <c r="M81" s="251"/>
      <c r="N81" s="251"/>
      <c r="O81" s="251"/>
      <c r="P81" s="251"/>
      <c r="Q81" s="251"/>
      <c r="R81" s="251"/>
      <c r="S81" s="251"/>
      <c r="T81" s="251"/>
      <c r="U81" s="251"/>
      <c r="V81" s="251"/>
      <c r="W81" s="251"/>
      <c r="X81" s="251"/>
      <c r="Y81" s="251"/>
      <c r="Z81" s="251"/>
      <c r="AA81" s="137"/>
      <c r="AB81" s="137"/>
      <c r="AC81" s="137"/>
      <c r="AD81" s="137"/>
      <c r="AE81" s="137"/>
      <c r="AF81" s="137"/>
      <c r="AG81" s="137"/>
    </row>
    <row r="82" ht="30.0" customHeight="1">
      <c r="A82" s="248"/>
      <c r="B82" s="249"/>
      <c r="C82" s="249"/>
      <c r="D82" s="249"/>
      <c r="E82" s="249"/>
      <c r="F82" s="249"/>
      <c r="G82" s="249"/>
      <c r="H82" s="251"/>
      <c r="I82" s="252"/>
      <c r="J82" s="252"/>
      <c r="K82" s="252"/>
      <c r="L82" s="251"/>
      <c r="M82" s="251"/>
      <c r="N82" s="251"/>
      <c r="O82" s="251"/>
      <c r="P82" s="251"/>
      <c r="Q82" s="251"/>
      <c r="R82" s="251"/>
      <c r="S82" s="251"/>
      <c r="T82" s="251"/>
      <c r="U82" s="251"/>
      <c r="V82" s="251"/>
      <c r="W82" s="251"/>
      <c r="X82" s="251"/>
      <c r="Y82" s="251"/>
      <c r="Z82" s="251"/>
      <c r="AA82" s="137"/>
      <c r="AB82" s="137"/>
      <c r="AC82" s="137"/>
      <c r="AD82" s="137"/>
      <c r="AE82" s="137"/>
      <c r="AF82" s="137"/>
      <c r="AG82" s="137"/>
    </row>
    <row r="83" ht="30.0" customHeight="1">
      <c r="A83" s="248"/>
      <c r="B83" s="249"/>
      <c r="C83" s="248"/>
      <c r="D83" s="249"/>
      <c r="E83" s="251"/>
      <c r="F83" s="249"/>
      <c r="G83" s="250"/>
      <c r="H83" s="251"/>
      <c r="I83" s="252"/>
      <c r="J83" s="252"/>
      <c r="K83" s="252"/>
      <c r="L83" s="251"/>
      <c r="M83" s="251"/>
      <c r="N83" s="251"/>
      <c r="O83" s="251"/>
      <c r="P83" s="251"/>
      <c r="Q83" s="251"/>
      <c r="R83" s="251"/>
      <c r="S83" s="251"/>
      <c r="T83" s="251"/>
      <c r="U83" s="251"/>
      <c r="V83" s="251"/>
      <c r="W83" s="251"/>
      <c r="X83" s="251"/>
      <c r="Y83" s="251"/>
      <c r="Z83" s="251"/>
      <c r="AA83" s="137"/>
      <c r="AB83" s="137"/>
      <c r="AC83" s="137"/>
      <c r="AD83" s="137"/>
      <c r="AE83" s="137"/>
      <c r="AF83" s="137"/>
      <c r="AG83" s="137"/>
    </row>
    <row r="84" ht="30.0" customHeight="1">
      <c r="A84" s="248"/>
      <c r="B84" s="249"/>
      <c r="C84" s="249"/>
      <c r="D84" s="249"/>
      <c r="E84" s="249"/>
      <c r="F84" s="249"/>
      <c r="G84" s="250"/>
      <c r="H84" s="251"/>
      <c r="I84" s="252"/>
      <c r="J84" s="252"/>
      <c r="K84" s="252"/>
      <c r="L84" s="251"/>
      <c r="M84" s="251"/>
      <c r="N84" s="251"/>
      <c r="O84" s="251"/>
      <c r="P84" s="251"/>
      <c r="Q84" s="251"/>
      <c r="R84" s="251"/>
      <c r="S84" s="251"/>
      <c r="T84" s="251"/>
      <c r="U84" s="251"/>
      <c r="V84" s="251"/>
      <c r="W84" s="251"/>
      <c r="X84" s="251"/>
      <c r="Y84" s="251"/>
      <c r="Z84" s="251"/>
      <c r="AA84" s="137"/>
      <c r="AB84" s="137"/>
      <c r="AC84" s="137"/>
      <c r="AD84" s="137"/>
      <c r="AE84" s="137"/>
      <c r="AF84" s="137"/>
      <c r="AG84" s="137"/>
    </row>
    <row r="85" ht="30.0" customHeight="1">
      <c r="A85" s="248"/>
      <c r="B85" s="249"/>
      <c r="C85" s="248"/>
      <c r="D85" s="249"/>
      <c r="E85" s="249"/>
      <c r="F85" s="249"/>
      <c r="G85" s="250"/>
      <c r="H85" s="251"/>
      <c r="I85" s="252"/>
      <c r="J85" s="252"/>
      <c r="K85" s="252"/>
      <c r="L85" s="251"/>
      <c r="M85" s="251"/>
      <c r="N85" s="251"/>
      <c r="O85" s="251"/>
      <c r="P85" s="251"/>
      <c r="Q85" s="251"/>
      <c r="R85" s="251"/>
      <c r="S85" s="251"/>
      <c r="T85" s="251"/>
      <c r="U85" s="251"/>
      <c r="V85" s="251"/>
      <c r="W85" s="251"/>
      <c r="X85" s="251"/>
      <c r="Y85" s="251"/>
      <c r="Z85" s="251"/>
      <c r="AA85" s="137"/>
      <c r="AB85" s="137"/>
      <c r="AC85" s="137"/>
      <c r="AD85" s="137"/>
      <c r="AE85" s="137"/>
      <c r="AF85" s="137"/>
      <c r="AG85" s="137"/>
    </row>
    <row r="86" ht="30.0" customHeight="1">
      <c r="A86" s="248"/>
      <c r="B86" s="251"/>
      <c r="C86" s="248"/>
      <c r="D86" s="249"/>
      <c r="E86" s="249"/>
      <c r="F86" s="249"/>
      <c r="G86" s="250"/>
      <c r="H86" s="251"/>
      <c r="I86" s="252"/>
      <c r="J86" s="252"/>
      <c r="K86" s="252"/>
      <c r="L86" s="251"/>
      <c r="M86" s="251"/>
      <c r="N86" s="251"/>
      <c r="O86" s="251"/>
      <c r="P86" s="251"/>
      <c r="Q86" s="251"/>
      <c r="R86" s="251"/>
      <c r="S86" s="251"/>
      <c r="T86" s="251"/>
      <c r="U86" s="251"/>
      <c r="V86" s="251"/>
      <c r="W86" s="251"/>
      <c r="X86" s="251"/>
      <c r="Y86" s="251"/>
      <c r="Z86" s="251"/>
      <c r="AA86" s="137"/>
      <c r="AB86" s="137"/>
      <c r="AC86" s="137"/>
      <c r="AD86" s="137"/>
      <c r="AE86" s="137"/>
      <c r="AF86" s="137"/>
      <c r="AG86" s="137"/>
    </row>
    <row r="87" ht="30.0" customHeight="1">
      <c r="A87" s="248"/>
      <c r="B87" s="249"/>
      <c r="C87" s="248"/>
      <c r="D87" s="249"/>
      <c r="E87" s="249"/>
      <c r="F87" s="249"/>
      <c r="G87" s="250"/>
      <c r="H87" s="251"/>
      <c r="I87" s="252"/>
      <c r="J87" s="252"/>
      <c r="K87" s="252"/>
      <c r="L87" s="251"/>
      <c r="M87" s="251"/>
      <c r="N87" s="251"/>
      <c r="O87" s="251"/>
      <c r="P87" s="251"/>
      <c r="Q87" s="251"/>
      <c r="R87" s="251"/>
      <c r="S87" s="251"/>
      <c r="T87" s="251"/>
      <c r="U87" s="251"/>
      <c r="V87" s="251"/>
      <c r="W87" s="251"/>
      <c r="X87" s="251"/>
      <c r="Y87" s="251"/>
      <c r="Z87" s="251"/>
      <c r="AA87" s="137"/>
      <c r="AB87" s="137"/>
      <c r="AC87" s="137"/>
      <c r="AD87" s="137"/>
      <c r="AE87" s="137"/>
      <c r="AF87" s="137"/>
      <c r="AG87" s="137"/>
    </row>
    <row r="88" ht="30.0" customHeight="1">
      <c r="A88" s="248"/>
      <c r="B88" s="249"/>
      <c r="C88" s="248"/>
      <c r="D88" s="249"/>
      <c r="E88" s="249"/>
      <c r="F88" s="249"/>
      <c r="G88" s="250"/>
      <c r="H88" s="251"/>
      <c r="I88" s="252"/>
      <c r="J88" s="252"/>
      <c r="K88" s="252"/>
      <c r="L88" s="251"/>
      <c r="M88" s="251"/>
      <c r="N88" s="251"/>
      <c r="O88" s="251"/>
      <c r="P88" s="251"/>
      <c r="Q88" s="251"/>
      <c r="R88" s="251"/>
      <c r="S88" s="251"/>
      <c r="T88" s="251"/>
      <c r="U88" s="251"/>
      <c r="V88" s="251"/>
      <c r="W88" s="251"/>
      <c r="X88" s="251"/>
      <c r="Y88" s="251"/>
      <c r="Z88" s="251"/>
      <c r="AA88" s="137"/>
      <c r="AB88" s="137"/>
      <c r="AC88" s="137"/>
      <c r="AD88" s="137"/>
      <c r="AE88" s="137"/>
      <c r="AF88" s="137"/>
      <c r="AG88" s="137"/>
    </row>
    <row r="89" ht="30.0" customHeight="1">
      <c r="A89" s="248"/>
      <c r="B89" s="249"/>
      <c r="C89" s="248"/>
      <c r="D89" s="249"/>
      <c r="E89" s="249"/>
      <c r="F89" s="249"/>
      <c r="G89" s="250"/>
      <c r="H89" s="251"/>
      <c r="I89" s="252"/>
      <c r="J89" s="252"/>
      <c r="K89" s="252"/>
      <c r="L89" s="251"/>
      <c r="M89" s="251"/>
      <c r="N89" s="251"/>
      <c r="O89" s="251"/>
      <c r="P89" s="251"/>
      <c r="Q89" s="251"/>
      <c r="R89" s="251"/>
      <c r="S89" s="251"/>
      <c r="T89" s="251"/>
      <c r="U89" s="251"/>
      <c r="V89" s="251"/>
      <c r="W89" s="251"/>
      <c r="X89" s="251"/>
      <c r="Y89" s="251"/>
      <c r="Z89" s="251"/>
      <c r="AA89" s="137"/>
      <c r="AB89" s="137"/>
      <c r="AC89" s="137"/>
      <c r="AD89" s="137"/>
      <c r="AE89" s="137"/>
      <c r="AF89" s="137"/>
      <c r="AG89" s="137"/>
    </row>
    <row r="90" ht="30.0" customHeight="1">
      <c r="A90" s="248"/>
      <c r="B90" s="249"/>
      <c r="C90" s="248"/>
      <c r="D90" s="249"/>
      <c r="E90" s="251"/>
      <c r="F90" s="249"/>
      <c r="G90" s="250"/>
      <c r="H90" s="251"/>
      <c r="I90" s="252"/>
      <c r="J90" s="252"/>
      <c r="K90" s="252"/>
      <c r="L90" s="251"/>
      <c r="M90" s="251"/>
      <c r="N90" s="251"/>
      <c r="O90" s="251"/>
      <c r="P90" s="251"/>
      <c r="Q90" s="251"/>
      <c r="R90" s="251"/>
      <c r="S90" s="251"/>
      <c r="T90" s="251"/>
      <c r="U90" s="251"/>
      <c r="V90" s="251"/>
      <c r="W90" s="251"/>
      <c r="X90" s="251"/>
      <c r="Y90" s="251"/>
      <c r="Z90" s="251"/>
      <c r="AA90" s="137"/>
      <c r="AB90" s="137"/>
      <c r="AC90" s="137"/>
      <c r="AD90" s="137"/>
      <c r="AE90" s="137"/>
      <c r="AF90" s="137"/>
      <c r="AG90" s="137"/>
    </row>
    <row r="91" ht="30.0" customHeight="1">
      <c r="A91" s="248"/>
      <c r="B91" s="249"/>
      <c r="C91" s="248"/>
      <c r="D91" s="249"/>
      <c r="E91" s="251"/>
      <c r="F91" s="249"/>
      <c r="G91" s="250"/>
      <c r="H91" s="251"/>
      <c r="I91" s="252"/>
      <c r="J91" s="252"/>
      <c r="K91" s="252"/>
      <c r="L91" s="251"/>
      <c r="M91" s="251"/>
      <c r="N91" s="251"/>
      <c r="O91" s="251"/>
      <c r="P91" s="251"/>
      <c r="Q91" s="251"/>
      <c r="R91" s="251"/>
      <c r="S91" s="251"/>
      <c r="T91" s="251"/>
      <c r="U91" s="251"/>
      <c r="V91" s="251"/>
      <c r="W91" s="251"/>
      <c r="X91" s="251"/>
      <c r="Y91" s="251"/>
      <c r="Z91" s="251"/>
      <c r="AA91" s="137"/>
      <c r="AB91" s="137"/>
      <c r="AC91" s="137"/>
      <c r="AD91" s="137"/>
      <c r="AE91" s="137"/>
      <c r="AF91" s="137"/>
      <c r="AG91" s="137"/>
    </row>
    <row r="92" ht="30.0" customHeight="1">
      <c r="A92" s="248"/>
      <c r="B92" s="249"/>
      <c r="C92" s="248"/>
      <c r="D92" s="249"/>
      <c r="E92" s="249"/>
      <c r="F92" s="249"/>
      <c r="G92" s="250"/>
      <c r="H92" s="251"/>
      <c r="I92" s="252"/>
      <c r="J92" s="252"/>
      <c r="K92" s="252"/>
      <c r="L92" s="251"/>
      <c r="M92" s="251"/>
      <c r="N92" s="251"/>
      <c r="O92" s="251"/>
      <c r="P92" s="251"/>
      <c r="Q92" s="251"/>
      <c r="R92" s="251"/>
      <c r="S92" s="251"/>
      <c r="T92" s="251"/>
      <c r="U92" s="251"/>
      <c r="V92" s="251"/>
      <c r="W92" s="251"/>
      <c r="X92" s="251"/>
      <c r="Y92" s="251"/>
      <c r="Z92" s="251"/>
      <c r="AA92" s="137"/>
      <c r="AB92" s="137"/>
      <c r="AC92" s="137"/>
      <c r="AD92" s="137"/>
      <c r="AE92" s="137"/>
      <c r="AF92" s="137"/>
      <c r="AG92" s="137"/>
    </row>
    <row r="93" ht="30.0" customHeight="1">
      <c r="A93" s="248"/>
      <c r="B93" s="249"/>
      <c r="C93" s="248"/>
      <c r="D93" s="249"/>
      <c r="E93" s="251"/>
      <c r="F93" s="249"/>
      <c r="G93" s="250"/>
      <c r="H93" s="251"/>
      <c r="I93" s="252"/>
      <c r="J93" s="252"/>
      <c r="K93" s="252"/>
      <c r="L93" s="251"/>
      <c r="M93" s="251"/>
      <c r="N93" s="251"/>
      <c r="O93" s="251"/>
      <c r="P93" s="251"/>
      <c r="Q93" s="251"/>
      <c r="R93" s="251"/>
      <c r="S93" s="251"/>
      <c r="T93" s="251"/>
      <c r="U93" s="251"/>
      <c r="V93" s="251"/>
      <c r="W93" s="251"/>
      <c r="X93" s="251"/>
      <c r="Y93" s="251"/>
      <c r="Z93" s="251"/>
      <c r="AA93" s="137"/>
      <c r="AB93" s="137"/>
      <c r="AC93" s="137"/>
      <c r="AD93" s="137"/>
      <c r="AE93" s="137"/>
      <c r="AF93" s="137"/>
      <c r="AG93" s="137"/>
    </row>
    <row r="94" ht="30.0" customHeight="1">
      <c r="A94" s="248"/>
      <c r="B94" s="249"/>
      <c r="C94" s="248"/>
      <c r="D94" s="249"/>
      <c r="E94" s="249"/>
      <c r="F94" s="249"/>
      <c r="G94" s="250"/>
      <c r="H94" s="251"/>
      <c r="I94" s="252"/>
      <c r="J94" s="252"/>
      <c r="K94" s="252"/>
      <c r="L94" s="251"/>
      <c r="M94" s="251"/>
      <c r="N94" s="251"/>
      <c r="O94" s="251"/>
      <c r="P94" s="251"/>
      <c r="Q94" s="251"/>
      <c r="R94" s="251"/>
      <c r="S94" s="251"/>
      <c r="T94" s="251"/>
      <c r="U94" s="251"/>
      <c r="V94" s="251"/>
      <c r="W94" s="251"/>
      <c r="X94" s="251"/>
      <c r="Y94" s="251"/>
      <c r="Z94" s="251"/>
      <c r="AA94" s="137"/>
      <c r="AB94" s="137"/>
      <c r="AC94" s="137"/>
      <c r="AD94" s="137"/>
      <c r="AE94" s="137"/>
      <c r="AF94" s="137"/>
      <c r="AG94" s="137"/>
    </row>
    <row r="95" ht="30.0" customHeight="1">
      <c r="A95" s="248"/>
      <c r="B95" s="249"/>
      <c r="C95" s="248"/>
      <c r="D95" s="249"/>
      <c r="E95" s="249"/>
      <c r="F95" s="249"/>
      <c r="G95" s="250"/>
      <c r="H95" s="251"/>
      <c r="I95" s="252"/>
      <c r="J95" s="252"/>
      <c r="K95" s="252"/>
      <c r="L95" s="251"/>
      <c r="M95" s="251"/>
      <c r="N95" s="251"/>
      <c r="O95" s="251"/>
      <c r="P95" s="251"/>
      <c r="Q95" s="251"/>
      <c r="R95" s="251"/>
      <c r="S95" s="251"/>
      <c r="T95" s="251"/>
      <c r="U95" s="251"/>
      <c r="V95" s="251"/>
      <c r="W95" s="251"/>
      <c r="X95" s="251"/>
      <c r="Y95" s="251"/>
      <c r="Z95" s="251"/>
      <c r="AA95" s="137"/>
      <c r="AB95" s="137"/>
      <c r="AC95" s="137"/>
      <c r="AD95" s="137"/>
      <c r="AE95" s="137"/>
      <c r="AF95" s="137"/>
      <c r="AG95" s="137"/>
    </row>
    <row r="96" ht="30.0" customHeight="1">
      <c r="A96" s="248"/>
      <c r="B96" s="249"/>
      <c r="C96" s="248"/>
      <c r="D96" s="249"/>
      <c r="E96" s="251"/>
      <c r="F96" s="249"/>
      <c r="G96" s="250"/>
      <c r="H96" s="251"/>
      <c r="I96" s="252"/>
      <c r="J96" s="252"/>
      <c r="K96" s="252"/>
      <c r="L96" s="251"/>
      <c r="M96" s="251"/>
      <c r="N96" s="251"/>
      <c r="O96" s="251"/>
      <c r="P96" s="251"/>
      <c r="Q96" s="251"/>
      <c r="R96" s="251"/>
      <c r="S96" s="251"/>
      <c r="T96" s="251"/>
      <c r="U96" s="251"/>
      <c r="V96" s="251"/>
      <c r="W96" s="251"/>
      <c r="X96" s="251"/>
      <c r="Y96" s="251"/>
      <c r="Z96" s="251"/>
      <c r="AA96" s="137"/>
      <c r="AB96" s="137"/>
      <c r="AC96" s="137"/>
      <c r="AD96" s="137"/>
      <c r="AE96" s="137"/>
      <c r="AF96" s="137"/>
      <c r="AG96" s="137"/>
    </row>
    <row r="97" ht="30.0" customHeight="1">
      <c r="A97" s="248"/>
      <c r="B97" s="249"/>
      <c r="C97" s="248"/>
      <c r="D97" s="249"/>
      <c r="E97" s="251"/>
      <c r="F97" s="249"/>
      <c r="G97" s="250"/>
      <c r="H97" s="251"/>
      <c r="I97" s="252"/>
      <c r="J97" s="252"/>
      <c r="K97" s="252"/>
      <c r="L97" s="251"/>
      <c r="M97" s="251"/>
      <c r="N97" s="251"/>
      <c r="O97" s="251"/>
      <c r="P97" s="251"/>
      <c r="Q97" s="251"/>
      <c r="R97" s="251"/>
      <c r="S97" s="251"/>
      <c r="T97" s="251"/>
      <c r="U97" s="251"/>
      <c r="V97" s="251"/>
      <c r="W97" s="251"/>
      <c r="X97" s="251"/>
      <c r="Y97" s="251"/>
      <c r="Z97" s="251"/>
      <c r="AA97" s="137"/>
      <c r="AB97" s="137"/>
      <c r="AC97" s="137"/>
      <c r="AD97" s="137"/>
      <c r="AE97" s="137"/>
      <c r="AF97" s="137"/>
      <c r="AG97" s="137"/>
    </row>
    <row r="98" ht="30.0" customHeight="1">
      <c r="A98" s="248"/>
      <c r="B98" s="249"/>
      <c r="C98" s="248"/>
      <c r="D98" s="249"/>
      <c r="E98" s="249"/>
      <c r="F98" s="249"/>
      <c r="G98" s="249"/>
      <c r="H98" s="251"/>
      <c r="I98" s="252"/>
      <c r="J98" s="252"/>
      <c r="K98" s="252"/>
      <c r="L98" s="251"/>
      <c r="M98" s="251"/>
      <c r="N98" s="251"/>
      <c r="O98" s="251"/>
      <c r="P98" s="251"/>
      <c r="Q98" s="251"/>
      <c r="R98" s="251"/>
      <c r="S98" s="251"/>
      <c r="T98" s="251"/>
      <c r="U98" s="251"/>
      <c r="V98" s="251"/>
      <c r="W98" s="251"/>
      <c r="X98" s="251"/>
      <c r="Y98" s="251"/>
      <c r="Z98" s="251"/>
      <c r="AA98" s="137"/>
      <c r="AB98" s="137"/>
      <c r="AC98" s="137"/>
      <c r="AD98" s="137"/>
      <c r="AE98" s="137"/>
      <c r="AF98" s="137"/>
      <c r="AG98" s="137"/>
    </row>
    <row r="99" ht="30.0" customHeight="1">
      <c r="A99" s="248"/>
      <c r="B99" s="249"/>
      <c r="C99" s="248"/>
      <c r="D99" s="249"/>
      <c r="E99" s="249"/>
      <c r="F99" s="249"/>
      <c r="G99" s="250"/>
      <c r="H99" s="251"/>
      <c r="I99" s="252"/>
      <c r="J99" s="252"/>
      <c r="K99" s="252"/>
      <c r="L99" s="251"/>
      <c r="M99" s="251"/>
      <c r="N99" s="251"/>
      <c r="O99" s="251"/>
      <c r="P99" s="251"/>
      <c r="Q99" s="251"/>
      <c r="R99" s="251"/>
      <c r="S99" s="251"/>
      <c r="T99" s="251"/>
      <c r="U99" s="251"/>
      <c r="V99" s="251"/>
      <c r="W99" s="251"/>
      <c r="X99" s="251"/>
      <c r="Y99" s="251"/>
      <c r="Z99" s="251"/>
      <c r="AA99" s="137"/>
      <c r="AB99" s="137"/>
      <c r="AC99" s="137"/>
      <c r="AD99" s="137"/>
      <c r="AE99" s="137"/>
      <c r="AF99" s="137"/>
      <c r="AG99" s="137"/>
    </row>
    <row r="100" ht="30.0" customHeight="1">
      <c r="A100" s="248"/>
      <c r="B100" s="249"/>
      <c r="C100" s="248"/>
      <c r="D100" s="249"/>
      <c r="E100" s="249"/>
      <c r="F100" s="249"/>
      <c r="G100" s="250"/>
      <c r="H100" s="251"/>
      <c r="I100" s="252"/>
      <c r="J100" s="252"/>
      <c r="K100" s="252"/>
      <c r="L100" s="251"/>
      <c r="M100" s="251"/>
      <c r="N100" s="251"/>
      <c r="O100" s="251"/>
      <c r="P100" s="251"/>
      <c r="Q100" s="251"/>
      <c r="R100" s="251"/>
      <c r="S100" s="251"/>
      <c r="T100" s="251"/>
      <c r="U100" s="251"/>
      <c r="V100" s="251"/>
      <c r="W100" s="251"/>
      <c r="X100" s="251"/>
      <c r="Y100" s="251"/>
      <c r="Z100" s="251"/>
      <c r="AA100" s="137"/>
      <c r="AB100" s="137"/>
      <c r="AC100" s="137"/>
      <c r="AD100" s="137"/>
      <c r="AE100" s="137"/>
      <c r="AF100" s="137"/>
      <c r="AG100" s="137"/>
    </row>
    <row r="101" ht="30.0" customHeight="1">
      <c r="A101" s="248"/>
      <c r="B101" s="249"/>
      <c r="C101" s="249"/>
      <c r="D101" s="249"/>
      <c r="E101" s="249"/>
      <c r="F101" s="249"/>
      <c r="G101" s="250"/>
      <c r="H101" s="251"/>
      <c r="I101" s="252"/>
      <c r="J101" s="252"/>
      <c r="K101" s="252"/>
      <c r="L101" s="251"/>
      <c r="M101" s="251"/>
      <c r="N101" s="251"/>
      <c r="O101" s="251"/>
      <c r="P101" s="251"/>
      <c r="Q101" s="251"/>
      <c r="R101" s="251"/>
      <c r="S101" s="251"/>
      <c r="T101" s="251"/>
      <c r="U101" s="251"/>
      <c r="V101" s="251"/>
      <c r="W101" s="251"/>
      <c r="X101" s="251"/>
      <c r="Y101" s="251"/>
      <c r="Z101" s="251"/>
      <c r="AA101" s="137"/>
      <c r="AB101" s="137"/>
      <c r="AC101" s="137"/>
      <c r="AD101" s="137"/>
      <c r="AE101" s="137"/>
      <c r="AF101" s="137"/>
      <c r="AG101" s="137"/>
    </row>
    <row r="102" ht="30.0" customHeight="1">
      <c r="A102" s="248"/>
      <c r="B102" s="249"/>
      <c r="C102" s="248"/>
      <c r="D102" s="249"/>
      <c r="E102" s="249"/>
      <c r="F102" s="249"/>
      <c r="G102" s="250"/>
      <c r="H102" s="251"/>
      <c r="I102" s="252"/>
      <c r="J102" s="252"/>
      <c r="K102" s="252"/>
      <c r="L102" s="251"/>
      <c r="M102" s="251"/>
      <c r="N102" s="251"/>
      <c r="O102" s="251"/>
      <c r="P102" s="251"/>
      <c r="Q102" s="251"/>
      <c r="R102" s="251"/>
      <c r="S102" s="251"/>
      <c r="T102" s="251"/>
      <c r="U102" s="251"/>
      <c r="V102" s="251"/>
      <c r="W102" s="251"/>
      <c r="X102" s="251"/>
      <c r="Y102" s="251"/>
      <c r="Z102" s="251"/>
      <c r="AA102" s="137"/>
      <c r="AB102" s="137"/>
      <c r="AC102" s="137"/>
      <c r="AD102" s="137"/>
      <c r="AE102" s="137"/>
      <c r="AF102" s="137"/>
      <c r="AG102" s="137"/>
    </row>
    <row r="103" ht="30.0" customHeight="1">
      <c r="A103" s="248"/>
      <c r="B103" s="249"/>
      <c r="C103" s="248"/>
      <c r="D103" s="249"/>
      <c r="E103" s="251"/>
      <c r="F103" s="249"/>
      <c r="G103" s="249"/>
      <c r="H103" s="251"/>
      <c r="I103" s="252"/>
      <c r="J103" s="252"/>
      <c r="K103" s="252"/>
      <c r="L103" s="251"/>
      <c r="M103" s="251"/>
      <c r="N103" s="251"/>
      <c r="O103" s="251"/>
      <c r="P103" s="251"/>
      <c r="Q103" s="251"/>
      <c r="R103" s="251"/>
      <c r="S103" s="251"/>
      <c r="T103" s="251"/>
      <c r="U103" s="251"/>
      <c r="V103" s="251"/>
      <c r="W103" s="251"/>
      <c r="X103" s="251"/>
      <c r="Y103" s="251"/>
      <c r="Z103" s="251"/>
      <c r="AA103" s="137"/>
      <c r="AB103" s="137"/>
      <c r="AC103" s="137"/>
      <c r="AD103" s="137"/>
      <c r="AE103" s="137"/>
      <c r="AF103" s="137"/>
      <c r="AG103" s="137"/>
    </row>
    <row r="104" ht="30.0" customHeight="1">
      <c r="A104" s="248"/>
      <c r="B104" s="249"/>
      <c r="C104" s="248"/>
      <c r="D104" s="249"/>
      <c r="E104" s="249"/>
      <c r="F104" s="249"/>
      <c r="G104" s="250"/>
      <c r="H104" s="251"/>
      <c r="I104" s="252"/>
      <c r="J104" s="252"/>
      <c r="K104" s="252"/>
      <c r="L104" s="251"/>
      <c r="M104" s="251"/>
      <c r="N104" s="251"/>
      <c r="O104" s="251"/>
      <c r="P104" s="251"/>
      <c r="Q104" s="251"/>
      <c r="R104" s="251"/>
      <c r="S104" s="251"/>
      <c r="T104" s="251"/>
      <c r="U104" s="251"/>
      <c r="V104" s="251"/>
      <c r="W104" s="251"/>
      <c r="X104" s="251"/>
      <c r="Y104" s="251"/>
      <c r="Z104" s="251"/>
      <c r="AA104" s="137"/>
      <c r="AB104" s="137"/>
      <c r="AC104" s="137"/>
      <c r="AD104" s="137"/>
      <c r="AE104" s="137"/>
      <c r="AF104" s="137"/>
      <c r="AG104" s="137"/>
    </row>
    <row r="105" ht="30.0" customHeight="1">
      <c r="A105" s="248"/>
      <c r="B105" s="249"/>
      <c r="C105" s="248"/>
      <c r="D105" s="249"/>
      <c r="E105" s="251"/>
      <c r="F105" s="249"/>
      <c r="G105" s="250"/>
      <c r="H105" s="251"/>
      <c r="I105" s="252"/>
      <c r="J105" s="252"/>
      <c r="K105" s="252"/>
      <c r="L105" s="251"/>
      <c r="M105" s="251"/>
      <c r="N105" s="251"/>
      <c r="O105" s="251"/>
      <c r="P105" s="251"/>
      <c r="Q105" s="251"/>
      <c r="R105" s="251"/>
      <c r="S105" s="251"/>
      <c r="T105" s="251"/>
      <c r="U105" s="251"/>
      <c r="V105" s="251"/>
      <c r="W105" s="251"/>
      <c r="X105" s="251"/>
      <c r="Y105" s="251"/>
      <c r="Z105" s="251"/>
      <c r="AA105" s="137"/>
      <c r="AB105" s="137"/>
      <c r="AC105" s="137"/>
      <c r="AD105" s="137"/>
      <c r="AE105" s="137"/>
      <c r="AF105" s="137"/>
      <c r="AG105" s="137"/>
    </row>
    <row r="106" ht="30.0" customHeight="1">
      <c r="A106" s="248"/>
      <c r="B106" s="249"/>
      <c r="C106" s="248"/>
      <c r="D106" s="249"/>
      <c r="E106" s="251"/>
      <c r="F106" s="249"/>
      <c r="G106" s="250"/>
      <c r="H106" s="251"/>
      <c r="I106" s="252"/>
      <c r="J106" s="252"/>
      <c r="K106" s="252"/>
      <c r="L106" s="251"/>
      <c r="M106" s="251"/>
      <c r="N106" s="251"/>
      <c r="O106" s="251"/>
      <c r="P106" s="251"/>
      <c r="Q106" s="251"/>
      <c r="R106" s="251"/>
      <c r="S106" s="251"/>
      <c r="T106" s="251"/>
      <c r="U106" s="251"/>
      <c r="V106" s="251"/>
      <c r="W106" s="251"/>
      <c r="X106" s="251"/>
      <c r="Y106" s="251"/>
      <c r="Z106" s="251"/>
      <c r="AA106" s="137"/>
      <c r="AB106" s="137"/>
      <c r="AC106" s="137"/>
      <c r="AD106" s="137"/>
      <c r="AE106" s="137"/>
      <c r="AF106" s="137"/>
      <c r="AG106" s="137"/>
    </row>
    <row r="107" ht="30.0" customHeight="1">
      <c r="A107" s="248"/>
      <c r="B107" s="249"/>
      <c r="C107" s="248"/>
      <c r="D107" s="249"/>
      <c r="E107" s="251"/>
      <c r="F107" s="249"/>
      <c r="G107" s="250"/>
      <c r="H107" s="251"/>
      <c r="I107" s="252"/>
      <c r="J107" s="252"/>
      <c r="K107" s="252"/>
      <c r="L107" s="251"/>
      <c r="M107" s="251"/>
      <c r="N107" s="251"/>
      <c r="O107" s="251"/>
      <c r="P107" s="251"/>
      <c r="Q107" s="251"/>
      <c r="R107" s="251"/>
      <c r="S107" s="251"/>
      <c r="T107" s="251"/>
      <c r="U107" s="251"/>
      <c r="V107" s="251"/>
      <c r="W107" s="251"/>
      <c r="X107" s="251"/>
      <c r="Y107" s="251"/>
      <c r="Z107" s="251"/>
      <c r="AA107" s="137"/>
      <c r="AB107" s="137"/>
      <c r="AC107" s="137"/>
      <c r="AD107" s="137"/>
      <c r="AE107" s="137"/>
      <c r="AF107" s="137"/>
      <c r="AG107" s="137"/>
    </row>
    <row r="108" ht="30.0" customHeight="1">
      <c r="A108" s="248"/>
      <c r="B108" s="249"/>
      <c r="C108" s="248"/>
      <c r="D108" s="249"/>
      <c r="E108" s="249"/>
      <c r="F108" s="249"/>
      <c r="G108" s="250"/>
      <c r="H108" s="251"/>
      <c r="I108" s="252"/>
      <c r="J108" s="252"/>
      <c r="K108" s="252"/>
      <c r="L108" s="251"/>
      <c r="M108" s="251"/>
      <c r="N108" s="251"/>
      <c r="O108" s="251"/>
      <c r="P108" s="251"/>
      <c r="Q108" s="251"/>
      <c r="R108" s="251"/>
      <c r="S108" s="251"/>
      <c r="T108" s="251"/>
      <c r="U108" s="251"/>
      <c r="V108" s="251"/>
      <c r="W108" s="251"/>
      <c r="X108" s="251"/>
      <c r="Y108" s="251"/>
      <c r="Z108" s="251"/>
      <c r="AA108" s="137"/>
      <c r="AB108" s="137"/>
      <c r="AC108" s="137"/>
      <c r="AD108" s="137"/>
      <c r="AE108" s="137"/>
      <c r="AF108" s="137"/>
      <c r="AG108" s="137"/>
    </row>
    <row r="109" ht="30.0" customHeight="1">
      <c r="A109" s="248"/>
      <c r="B109" s="249"/>
      <c r="C109" s="248"/>
      <c r="D109" s="249"/>
      <c r="E109" s="249"/>
      <c r="F109" s="249"/>
      <c r="G109" s="249"/>
      <c r="H109" s="251"/>
      <c r="I109" s="252"/>
      <c r="J109" s="252"/>
      <c r="K109" s="252"/>
      <c r="L109" s="251"/>
      <c r="M109" s="251"/>
      <c r="N109" s="251"/>
      <c r="O109" s="251"/>
      <c r="P109" s="251"/>
      <c r="Q109" s="251"/>
      <c r="R109" s="251"/>
      <c r="S109" s="251"/>
      <c r="T109" s="251"/>
      <c r="U109" s="251"/>
      <c r="V109" s="251"/>
      <c r="W109" s="251"/>
      <c r="X109" s="251"/>
      <c r="Y109" s="251"/>
      <c r="Z109" s="251"/>
      <c r="AA109" s="137"/>
      <c r="AB109" s="137"/>
      <c r="AC109" s="137"/>
      <c r="AD109" s="137"/>
      <c r="AE109" s="137"/>
      <c r="AF109" s="137"/>
      <c r="AG109" s="137"/>
    </row>
    <row r="110" ht="30.0" customHeight="1">
      <c r="A110" s="248"/>
      <c r="B110" s="249"/>
      <c r="C110" s="248"/>
      <c r="D110" s="249"/>
      <c r="E110" s="249"/>
      <c r="F110" s="249"/>
      <c r="G110" s="250"/>
      <c r="H110" s="251"/>
      <c r="I110" s="252"/>
      <c r="J110" s="252"/>
      <c r="K110" s="252"/>
      <c r="L110" s="251"/>
      <c r="M110" s="251"/>
      <c r="N110" s="251"/>
      <c r="O110" s="251"/>
      <c r="P110" s="251"/>
      <c r="Q110" s="251"/>
      <c r="R110" s="251"/>
      <c r="S110" s="251"/>
      <c r="T110" s="251"/>
      <c r="U110" s="251"/>
      <c r="V110" s="251"/>
      <c r="W110" s="251"/>
      <c r="X110" s="251"/>
      <c r="Y110" s="251"/>
      <c r="Z110" s="251"/>
      <c r="AA110" s="137"/>
      <c r="AB110" s="137"/>
      <c r="AC110" s="137"/>
      <c r="AD110" s="137"/>
      <c r="AE110" s="137"/>
      <c r="AF110" s="137"/>
      <c r="AG110" s="137"/>
    </row>
    <row r="111" ht="30.0" customHeight="1">
      <c r="A111" s="248"/>
      <c r="B111" s="249"/>
      <c r="C111" s="248"/>
      <c r="D111" s="249"/>
      <c r="E111" s="249"/>
      <c r="F111" s="249"/>
      <c r="G111" s="250"/>
      <c r="H111" s="251"/>
      <c r="I111" s="252"/>
      <c r="J111" s="252"/>
      <c r="K111" s="252"/>
      <c r="L111" s="251"/>
      <c r="M111" s="251"/>
      <c r="N111" s="251"/>
      <c r="O111" s="251"/>
      <c r="P111" s="251"/>
      <c r="Q111" s="251"/>
      <c r="R111" s="251"/>
      <c r="S111" s="251"/>
      <c r="T111" s="251"/>
      <c r="U111" s="251"/>
      <c r="V111" s="251"/>
      <c r="W111" s="251"/>
      <c r="X111" s="251"/>
      <c r="Y111" s="251"/>
      <c r="Z111" s="251"/>
      <c r="AA111" s="137"/>
      <c r="AB111" s="137"/>
      <c r="AC111" s="137"/>
      <c r="AD111" s="137"/>
      <c r="AE111" s="137"/>
      <c r="AF111" s="137"/>
      <c r="AG111" s="137"/>
    </row>
    <row r="112" ht="30.0" customHeight="1">
      <c r="A112" s="248"/>
      <c r="B112" s="249"/>
      <c r="C112" s="248"/>
      <c r="D112" s="249"/>
      <c r="E112" s="251"/>
      <c r="F112" s="249"/>
      <c r="G112" s="250"/>
      <c r="H112" s="251"/>
      <c r="I112" s="252"/>
      <c r="J112" s="252"/>
      <c r="K112" s="252"/>
      <c r="L112" s="251"/>
      <c r="M112" s="251"/>
      <c r="N112" s="251"/>
      <c r="O112" s="251"/>
      <c r="P112" s="251"/>
      <c r="Q112" s="251"/>
      <c r="R112" s="251"/>
      <c r="S112" s="251"/>
      <c r="T112" s="251"/>
      <c r="U112" s="251"/>
      <c r="V112" s="251"/>
      <c r="W112" s="251"/>
      <c r="X112" s="251"/>
      <c r="Y112" s="251"/>
      <c r="Z112" s="251"/>
      <c r="AA112" s="137"/>
      <c r="AB112" s="137"/>
      <c r="AC112" s="137"/>
      <c r="AD112" s="137"/>
      <c r="AE112" s="137"/>
      <c r="AF112" s="137"/>
      <c r="AG112" s="137"/>
    </row>
    <row r="113" ht="30.0" customHeight="1">
      <c r="A113" s="248"/>
      <c r="B113" s="251"/>
      <c r="C113" s="248"/>
      <c r="D113" s="249"/>
      <c r="E113" s="249"/>
      <c r="F113" s="249"/>
      <c r="G113" s="250"/>
      <c r="H113" s="251"/>
      <c r="I113" s="252"/>
      <c r="J113" s="252"/>
      <c r="K113" s="252"/>
      <c r="L113" s="251"/>
      <c r="M113" s="251"/>
      <c r="N113" s="251"/>
      <c r="O113" s="251"/>
      <c r="P113" s="251"/>
      <c r="Q113" s="251"/>
      <c r="R113" s="251"/>
      <c r="S113" s="251"/>
      <c r="T113" s="251"/>
      <c r="U113" s="251"/>
      <c r="V113" s="251"/>
      <c r="W113" s="251"/>
      <c r="X113" s="251"/>
      <c r="Y113" s="251"/>
      <c r="Z113" s="251"/>
      <c r="AA113" s="137"/>
      <c r="AB113" s="137"/>
      <c r="AC113" s="137"/>
      <c r="AD113" s="137"/>
      <c r="AE113" s="137"/>
      <c r="AF113" s="137"/>
      <c r="AG113" s="137"/>
    </row>
    <row r="114" ht="30.0" customHeight="1">
      <c r="A114" s="248"/>
      <c r="B114" s="249"/>
      <c r="C114" s="248"/>
      <c r="D114" s="249"/>
      <c r="E114" s="249"/>
      <c r="F114" s="249"/>
      <c r="G114" s="250"/>
      <c r="H114" s="251"/>
      <c r="I114" s="252"/>
      <c r="J114" s="252"/>
      <c r="K114" s="252"/>
      <c r="L114" s="251"/>
      <c r="M114" s="251"/>
      <c r="N114" s="251"/>
      <c r="O114" s="251"/>
      <c r="P114" s="251"/>
      <c r="Q114" s="251"/>
      <c r="R114" s="251"/>
      <c r="S114" s="251"/>
      <c r="T114" s="251"/>
      <c r="U114" s="251"/>
      <c r="V114" s="251"/>
      <c r="W114" s="251"/>
      <c r="X114" s="251"/>
      <c r="Y114" s="251"/>
      <c r="Z114" s="251"/>
      <c r="AA114" s="137"/>
      <c r="AB114" s="137"/>
      <c r="AC114" s="137"/>
      <c r="AD114" s="137"/>
      <c r="AE114" s="137"/>
      <c r="AF114" s="137"/>
      <c r="AG114" s="137"/>
    </row>
    <row r="115" ht="30.0" customHeight="1">
      <c r="A115" s="248"/>
      <c r="B115" s="249"/>
      <c r="C115" s="248"/>
      <c r="D115" s="249"/>
      <c r="E115" s="249"/>
      <c r="F115" s="249"/>
      <c r="G115" s="250"/>
      <c r="H115" s="251"/>
      <c r="I115" s="252"/>
      <c r="J115" s="252"/>
      <c r="K115" s="252"/>
      <c r="L115" s="251"/>
      <c r="M115" s="251"/>
      <c r="N115" s="251"/>
      <c r="O115" s="251"/>
      <c r="P115" s="251"/>
      <c r="Q115" s="251"/>
      <c r="R115" s="251"/>
      <c r="S115" s="251"/>
      <c r="T115" s="251"/>
      <c r="U115" s="251"/>
      <c r="V115" s="251"/>
      <c r="W115" s="251"/>
      <c r="X115" s="251"/>
      <c r="Y115" s="251"/>
      <c r="Z115" s="251"/>
      <c r="AA115" s="137"/>
      <c r="AB115" s="137"/>
      <c r="AC115" s="137"/>
      <c r="AD115" s="137"/>
      <c r="AE115" s="137"/>
      <c r="AF115" s="137"/>
      <c r="AG115" s="137"/>
    </row>
    <row r="116" ht="30.0" customHeight="1">
      <c r="A116" s="248"/>
      <c r="B116" s="249"/>
      <c r="C116" s="248"/>
      <c r="D116" s="249"/>
      <c r="E116" s="249"/>
      <c r="F116" s="249"/>
      <c r="G116" s="250"/>
      <c r="H116" s="251"/>
      <c r="I116" s="252"/>
      <c r="J116" s="252"/>
      <c r="K116" s="252"/>
      <c r="L116" s="251"/>
      <c r="M116" s="251"/>
      <c r="N116" s="251"/>
      <c r="O116" s="251"/>
      <c r="P116" s="251"/>
      <c r="Q116" s="251"/>
      <c r="R116" s="251"/>
      <c r="S116" s="251"/>
      <c r="T116" s="251"/>
      <c r="U116" s="251"/>
      <c r="V116" s="251"/>
      <c r="W116" s="251"/>
      <c r="X116" s="251"/>
      <c r="Y116" s="251"/>
      <c r="Z116" s="251"/>
      <c r="AA116" s="137"/>
      <c r="AB116" s="137"/>
      <c r="AC116" s="137"/>
      <c r="AD116" s="137"/>
      <c r="AE116" s="137"/>
      <c r="AF116" s="137"/>
      <c r="AG116" s="137"/>
    </row>
    <row r="117" ht="30.0" customHeight="1">
      <c r="A117" s="248"/>
      <c r="B117" s="249"/>
      <c r="C117" s="248"/>
      <c r="D117" s="249"/>
      <c r="E117" s="251"/>
      <c r="F117" s="249"/>
      <c r="G117" s="250"/>
      <c r="H117" s="251"/>
      <c r="I117" s="252"/>
      <c r="J117" s="252"/>
      <c r="K117" s="252"/>
      <c r="L117" s="251"/>
      <c r="M117" s="251"/>
      <c r="N117" s="251"/>
      <c r="O117" s="251"/>
      <c r="P117" s="251"/>
      <c r="Q117" s="251"/>
      <c r="R117" s="251"/>
      <c r="S117" s="251"/>
      <c r="T117" s="251"/>
      <c r="U117" s="251"/>
      <c r="V117" s="251"/>
      <c r="W117" s="251"/>
      <c r="X117" s="251"/>
      <c r="Y117" s="251"/>
      <c r="Z117" s="251"/>
      <c r="AA117" s="137"/>
      <c r="AB117" s="137"/>
      <c r="AC117" s="137"/>
      <c r="AD117" s="137"/>
      <c r="AE117" s="137"/>
      <c r="AF117" s="137"/>
      <c r="AG117" s="137"/>
    </row>
    <row r="118" ht="30.0" customHeight="1">
      <c r="A118" s="248"/>
      <c r="B118" s="249"/>
      <c r="C118" s="248"/>
      <c r="D118" s="249"/>
      <c r="E118" s="249"/>
      <c r="F118" s="249"/>
      <c r="G118" s="250"/>
      <c r="H118" s="251"/>
      <c r="I118" s="252"/>
      <c r="J118" s="252"/>
      <c r="K118" s="252"/>
      <c r="L118" s="251"/>
      <c r="M118" s="251"/>
      <c r="N118" s="251"/>
      <c r="O118" s="251"/>
      <c r="P118" s="251"/>
      <c r="Q118" s="251"/>
      <c r="R118" s="251"/>
      <c r="S118" s="251"/>
      <c r="T118" s="251"/>
      <c r="U118" s="251"/>
      <c r="V118" s="251"/>
      <c r="W118" s="251"/>
      <c r="X118" s="251"/>
      <c r="Y118" s="251"/>
      <c r="Z118" s="251"/>
      <c r="AA118" s="137"/>
      <c r="AB118" s="137"/>
      <c r="AC118" s="137"/>
      <c r="AD118" s="137"/>
      <c r="AE118" s="137"/>
      <c r="AF118" s="137"/>
      <c r="AG118" s="137"/>
    </row>
    <row r="119" ht="30.0" customHeight="1">
      <c r="A119" s="248"/>
      <c r="B119" s="249"/>
      <c r="C119" s="248"/>
      <c r="D119" s="249"/>
      <c r="E119" s="251"/>
      <c r="F119" s="249"/>
      <c r="G119" s="250"/>
      <c r="H119" s="251"/>
      <c r="I119" s="252"/>
      <c r="J119" s="252"/>
      <c r="K119" s="252"/>
      <c r="L119" s="251"/>
      <c r="M119" s="251"/>
      <c r="N119" s="251"/>
      <c r="O119" s="251"/>
      <c r="P119" s="251"/>
      <c r="Q119" s="251"/>
      <c r="R119" s="251"/>
      <c r="S119" s="251"/>
      <c r="T119" s="251"/>
      <c r="U119" s="251"/>
      <c r="V119" s="251"/>
      <c r="W119" s="251"/>
      <c r="X119" s="251"/>
      <c r="Y119" s="251"/>
      <c r="Z119" s="251"/>
      <c r="AA119" s="137"/>
      <c r="AB119" s="137"/>
      <c r="AC119" s="137"/>
      <c r="AD119" s="137"/>
      <c r="AE119" s="137"/>
      <c r="AF119" s="137"/>
      <c r="AG119" s="137"/>
    </row>
    <row r="120" ht="30.0" customHeight="1">
      <c r="A120" s="248"/>
      <c r="B120" s="249"/>
      <c r="C120" s="248"/>
      <c r="D120" s="249"/>
      <c r="E120" s="251"/>
      <c r="F120" s="249"/>
      <c r="G120" s="250"/>
      <c r="H120" s="251"/>
      <c r="I120" s="252"/>
      <c r="J120" s="252"/>
      <c r="K120" s="252"/>
      <c r="L120" s="251"/>
      <c r="M120" s="251"/>
      <c r="N120" s="251"/>
      <c r="O120" s="251"/>
      <c r="P120" s="251"/>
      <c r="Q120" s="251"/>
      <c r="R120" s="251"/>
      <c r="S120" s="251"/>
      <c r="T120" s="251"/>
      <c r="U120" s="251"/>
      <c r="V120" s="251"/>
      <c r="W120" s="251"/>
      <c r="X120" s="251"/>
      <c r="Y120" s="251"/>
      <c r="Z120" s="251"/>
      <c r="AA120" s="137"/>
      <c r="AB120" s="137"/>
      <c r="AC120" s="137"/>
      <c r="AD120" s="137"/>
      <c r="AE120" s="137"/>
      <c r="AF120" s="137"/>
      <c r="AG120" s="137"/>
    </row>
    <row r="121" ht="30.0" customHeight="1">
      <c r="A121" s="248"/>
      <c r="B121" s="249"/>
      <c r="C121" s="248"/>
      <c r="D121" s="249"/>
      <c r="E121" s="249"/>
      <c r="F121" s="249"/>
      <c r="G121" s="250"/>
      <c r="H121" s="251"/>
      <c r="I121" s="252"/>
      <c r="J121" s="252"/>
      <c r="K121" s="252"/>
      <c r="L121" s="251"/>
      <c r="M121" s="251"/>
      <c r="N121" s="251"/>
      <c r="O121" s="251"/>
      <c r="P121" s="251"/>
      <c r="Q121" s="251"/>
      <c r="R121" s="251"/>
      <c r="S121" s="251"/>
      <c r="T121" s="251"/>
      <c r="U121" s="251"/>
      <c r="V121" s="251"/>
      <c r="W121" s="251"/>
      <c r="X121" s="251"/>
      <c r="Y121" s="251"/>
      <c r="Z121" s="251"/>
      <c r="AA121" s="137"/>
      <c r="AB121" s="137"/>
      <c r="AC121" s="137"/>
      <c r="AD121" s="137"/>
      <c r="AE121" s="137"/>
      <c r="AF121" s="137"/>
      <c r="AG121" s="137"/>
    </row>
    <row r="122" ht="30.0" customHeight="1">
      <c r="A122" s="248"/>
      <c r="B122" s="249"/>
      <c r="C122" s="248"/>
      <c r="D122" s="249"/>
      <c r="E122" s="249"/>
      <c r="F122" s="249"/>
      <c r="G122" s="250"/>
      <c r="H122" s="251"/>
      <c r="I122" s="252"/>
      <c r="J122" s="252"/>
      <c r="K122" s="252"/>
      <c r="L122" s="251"/>
      <c r="M122" s="251"/>
      <c r="N122" s="251"/>
      <c r="O122" s="251"/>
      <c r="P122" s="251"/>
      <c r="Q122" s="251"/>
      <c r="R122" s="251"/>
      <c r="S122" s="251"/>
      <c r="T122" s="251"/>
      <c r="U122" s="251"/>
      <c r="V122" s="251"/>
      <c r="W122" s="251"/>
      <c r="X122" s="251"/>
      <c r="Y122" s="251"/>
      <c r="Z122" s="251"/>
      <c r="AA122" s="137"/>
      <c r="AB122" s="137"/>
      <c r="AC122" s="137"/>
      <c r="AD122" s="137"/>
      <c r="AE122" s="137"/>
      <c r="AF122" s="137"/>
      <c r="AG122" s="137"/>
    </row>
    <row r="123" ht="30.0" customHeight="1">
      <c r="A123" s="248"/>
      <c r="B123" s="249"/>
      <c r="C123" s="248"/>
      <c r="D123" s="249"/>
      <c r="E123" s="249"/>
      <c r="F123" s="249"/>
      <c r="G123" s="250"/>
      <c r="H123" s="251"/>
      <c r="I123" s="252"/>
      <c r="J123" s="252"/>
      <c r="K123" s="252"/>
      <c r="L123" s="251"/>
      <c r="M123" s="251"/>
      <c r="N123" s="251"/>
      <c r="O123" s="251"/>
      <c r="P123" s="251"/>
      <c r="Q123" s="251"/>
      <c r="R123" s="251"/>
      <c r="S123" s="251"/>
      <c r="T123" s="251"/>
      <c r="U123" s="251"/>
      <c r="V123" s="251"/>
      <c r="W123" s="251"/>
      <c r="X123" s="251"/>
      <c r="Y123" s="251"/>
      <c r="Z123" s="251"/>
      <c r="AA123" s="137"/>
      <c r="AB123" s="137"/>
      <c r="AC123" s="137"/>
      <c r="AD123" s="137"/>
      <c r="AE123" s="137"/>
      <c r="AF123" s="137"/>
      <c r="AG123" s="137"/>
    </row>
    <row r="124" ht="30.0" customHeight="1">
      <c r="A124" s="248"/>
      <c r="B124" s="249"/>
      <c r="C124" s="248"/>
      <c r="D124" s="249"/>
      <c r="E124" s="249"/>
      <c r="F124" s="249"/>
      <c r="G124" s="250"/>
      <c r="H124" s="251"/>
      <c r="I124" s="252"/>
      <c r="J124" s="252"/>
      <c r="K124" s="252"/>
      <c r="L124" s="251"/>
      <c r="M124" s="251"/>
      <c r="N124" s="251"/>
      <c r="O124" s="251"/>
      <c r="P124" s="251"/>
      <c r="Q124" s="251"/>
      <c r="R124" s="251"/>
      <c r="S124" s="251"/>
      <c r="T124" s="251"/>
      <c r="U124" s="251"/>
      <c r="V124" s="251"/>
      <c r="W124" s="251"/>
      <c r="X124" s="251"/>
      <c r="Y124" s="251"/>
      <c r="Z124" s="251"/>
      <c r="AA124" s="137"/>
      <c r="AB124" s="137"/>
      <c r="AC124" s="137"/>
      <c r="AD124" s="137"/>
      <c r="AE124" s="137"/>
      <c r="AF124" s="137"/>
      <c r="AG124" s="137"/>
    </row>
    <row r="125" ht="30.0" customHeight="1">
      <c r="A125" s="248"/>
      <c r="B125" s="249"/>
      <c r="C125" s="248"/>
      <c r="D125" s="249"/>
      <c r="E125" s="249"/>
      <c r="F125" s="249"/>
      <c r="G125" s="250"/>
      <c r="H125" s="251"/>
      <c r="I125" s="252"/>
      <c r="J125" s="252"/>
      <c r="K125" s="252"/>
      <c r="L125" s="251"/>
      <c r="M125" s="251"/>
      <c r="N125" s="251"/>
      <c r="O125" s="251"/>
      <c r="P125" s="251"/>
      <c r="Q125" s="251"/>
      <c r="R125" s="251"/>
      <c r="S125" s="251"/>
      <c r="T125" s="251"/>
      <c r="U125" s="251"/>
      <c r="V125" s="251"/>
      <c r="W125" s="251"/>
      <c r="X125" s="251"/>
      <c r="Y125" s="251"/>
      <c r="Z125" s="251"/>
      <c r="AA125" s="137"/>
      <c r="AB125" s="137"/>
      <c r="AC125" s="137"/>
      <c r="AD125" s="137"/>
      <c r="AE125" s="137"/>
      <c r="AF125" s="137"/>
      <c r="AG125" s="137"/>
    </row>
    <row r="126" ht="30.0" customHeight="1">
      <c r="A126" s="248"/>
      <c r="B126" s="251"/>
      <c r="C126" s="248"/>
      <c r="D126" s="249"/>
      <c r="E126" s="249"/>
      <c r="F126" s="249"/>
      <c r="G126" s="250"/>
      <c r="H126" s="251"/>
      <c r="I126" s="252"/>
      <c r="J126" s="252"/>
      <c r="K126" s="252"/>
      <c r="L126" s="251"/>
      <c r="M126" s="251"/>
      <c r="N126" s="251"/>
      <c r="O126" s="251"/>
      <c r="P126" s="251"/>
      <c r="Q126" s="251"/>
      <c r="R126" s="251"/>
      <c r="S126" s="251"/>
      <c r="T126" s="251"/>
      <c r="U126" s="251"/>
      <c r="V126" s="251"/>
      <c r="W126" s="251"/>
      <c r="X126" s="251"/>
      <c r="Y126" s="251"/>
      <c r="Z126" s="251"/>
      <c r="AA126" s="137"/>
      <c r="AB126" s="137"/>
      <c r="AC126" s="137"/>
      <c r="AD126" s="137"/>
      <c r="AE126" s="137"/>
      <c r="AF126" s="137"/>
      <c r="AG126" s="137"/>
    </row>
    <row r="127" ht="30.0" customHeight="1">
      <c r="A127" s="248"/>
      <c r="B127" s="249"/>
      <c r="C127" s="249"/>
      <c r="D127" s="249"/>
      <c r="E127" s="249"/>
      <c r="F127" s="249"/>
      <c r="G127" s="250"/>
      <c r="H127" s="251"/>
      <c r="I127" s="252"/>
      <c r="J127" s="252"/>
      <c r="K127" s="252"/>
      <c r="L127" s="251"/>
      <c r="M127" s="251"/>
      <c r="N127" s="251"/>
      <c r="O127" s="251"/>
      <c r="P127" s="251"/>
      <c r="Q127" s="251"/>
      <c r="R127" s="251"/>
      <c r="S127" s="251"/>
      <c r="T127" s="251"/>
      <c r="U127" s="251"/>
      <c r="V127" s="251"/>
      <c r="W127" s="251"/>
      <c r="X127" s="251"/>
      <c r="Y127" s="251"/>
      <c r="Z127" s="251"/>
      <c r="AA127" s="137"/>
      <c r="AB127" s="137"/>
      <c r="AC127" s="137"/>
      <c r="AD127" s="137"/>
      <c r="AE127" s="137"/>
      <c r="AF127" s="137"/>
      <c r="AG127" s="137"/>
    </row>
    <row r="128" ht="30.0" customHeight="1">
      <c r="A128" s="248"/>
      <c r="B128" s="249"/>
      <c r="C128" s="248"/>
      <c r="D128" s="249"/>
      <c r="E128" s="249"/>
      <c r="F128" s="249"/>
      <c r="G128" s="249"/>
      <c r="H128" s="251"/>
      <c r="I128" s="252"/>
      <c r="J128" s="252"/>
      <c r="K128" s="252"/>
      <c r="L128" s="251"/>
      <c r="M128" s="251"/>
      <c r="N128" s="251"/>
      <c r="O128" s="251"/>
      <c r="P128" s="251"/>
      <c r="Q128" s="251"/>
      <c r="R128" s="251"/>
      <c r="S128" s="251"/>
      <c r="T128" s="251"/>
      <c r="U128" s="251"/>
      <c r="V128" s="251"/>
      <c r="W128" s="251"/>
      <c r="X128" s="251"/>
      <c r="Y128" s="251"/>
      <c r="Z128" s="251"/>
      <c r="AA128" s="137"/>
      <c r="AB128" s="137"/>
      <c r="AC128" s="137"/>
      <c r="AD128" s="137"/>
      <c r="AE128" s="137"/>
      <c r="AF128" s="137"/>
      <c r="AG128" s="137"/>
    </row>
    <row r="129" ht="30.0" customHeight="1">
      <c r="A129" s="248"/>
      <c r="B129" s="249"/>
      <c r="C129" s="248"/>
      <c r="D129" s="249"/>
      <c r="E129" s="249"/>
      <c r="F129" s="249"/>
      <c r="G129" s="250"/>
      <c r="H129" s="251"/>
      <c r="I129" s="252"/>
      <c r="J129" s="252"/>
      <c r="K129" s="252"/>
      <c r="L129" s="251"/>
      <c r="M129" s="251"/>
      <c r="N129" s="251"/>
      <c r="O129" s="251"/>
      <c r="P129" s="251"/>
      <c r="Q129" s="251"/>
      <c r="R129" s="251"/>
      <c r="S129" s="251"/>
      <c r="T129" s="251"/>
      <c r="U129" s="251"/>
      <c r="V129" s="251"/>
      <c r="W129" s="251"/>
      <c r="X129" s="251"/>
      <c r="Y129" s="251"/>
      <c r="Z129" s="251"/>
      <c r="AA129" s="137"/>
      <c r="AB129" s="137"/>
      <c r="AC129" s="137"/>
      <c r="AD129" s="137"/>
      <c r="AE129" s="137"/>
      <c r="AF129" s="137"/>
      <c r="AG129" s="137"/>
    </row>
    <row r="130" ht="30.0" customHeight="1">
      <c r="A130" s="248"/>
      <c r="B130" s="249"/>
      <c r="C130" s="248"/>
      <c r="D130" s="249"/>
      <c r="E130" s="249"/>
      <c r="F130" s="249"/>
      <c r="G130" s="250"/>
      <c r="H130" s="251"/>
      <c r="I130" s="252"/>
      <c r="J130" s="252"/>
      <c r="K130" s="252"/>
      <c r="L130" s="251"/>
      <c r="M130" s="251"/>
      <c r="N130" s="251"/>
      <c r="O130" s="251"/>
      <c r="P130" s="251"/>
      <c r="Q130" s="251"/>
      <c r="R130" s="251"/>
      <c r="S130" s="251"/>
      <c r="T130" s="251"/>
      <c r="U130" s="251"/>
      <c r="V130" s="251"/>
      <c r="W130" s="251"/>
      <c r="X130" s="251"/>
      <c r="Y130" s="251"/>
      <c r="Z130" s="251"/>
      <c r="AA130" s="137"/>
      <c r="AB130" s="137"/>
      <c r="AC130" s="137"/>
      <c r="AD130" s="137"/>
      <c r="AE130" s="137"/>
      <c r="AF130" s="137"/>
      <c r="AG130" s="137"/>
    </row>
    <row r="131" ht="30.0" customHeight="1">
      <c r="A131" s="248"/>
      <c r="B131" s="249"/>
      <c r="C131" s="248"/>
      <c r="D131" s="249"/>
      <c r="E131" s="249"/>
      <c r="F131" s="249"/>
      <c r="G131" s="250"/>
      <c r="H131" s="251"/>
      <c r="I131" s="252"/>
      <c r="J131" s="252"/>
      <c r="K131" s="252"/>
      <c r="L131" s="251"/>
      <c r="M131" s="251"/>
      <c r="N131" s="251"/>
      <c r="O131" s="251"/>
      <c r="P131" s="251"/>
      <c r="Q131" s="251"/>
      <c r="R131" s="251"/>
      <c r="S131" s="251"/>
      <c r="T131" s="251"/>
      <c r="U131" s="251"/>
      <c r="V131" s="251"/>
      <c r="W131" s="251"/>
      <c r="X131" s="251"/>
      <c r="Y131" s="251"/>
      <c r="Z131" s="251"/>
      <c r="AA131" s="137"/>
      <c r="AB131" s="137"/>
      <c r="AC131" s="137"/>
      <c r="AD131" s="137"/>
      <c r="AE131" s="137"/>
      <c r="AF131" s="137"/>
      <c r="AG131" s="137"/>
    </row>
    <row r="132" ht="30.0" customHeight="1">
      <c r="A132" s="248"/>
      <c r="B132" s="249"/>
      <c r="C132" s="248"/>
      <c r="D132" s="249"/>
      <c r="E132" s="249"/>
      <c r="F132" s="249"/>
      <c r="G132" s="250"/>
      <c r="H132" s="251"/>
      <c r="I132" s="252"/>
      <c r="J132" s="252"/>
      <c r="K132" s="252"/>
      <c r="L132" s="251"/>
      <c r="M132" s="251"/>
      <c r="N132" s="251"/>
      <c r="O132" s="251"/>
      <c r="P132" s="251"/>
      <c r="Q132" s="251"/>
      <c r="R132" s="251"/>
      <c r="S132" s="251"/>
      <c r="T132" s="251"/>
      <c r="U132" s="251"/>
      <c r="V132" s="251"/>
      <c r="W132" s="251"/>
      <c r="X132" s="251"/>
      <c r="Y132" s="251"/>
      <c r="Z132" s="251"/>
      <c r="AA132" s="137"/>
      <c r="AB132" s="137"/>
      <c r="AC132" s="137"/>
      <c r="AD132" s="137"/>
      <c r="AE132" s="137"/>
      <c r="AF132" s="137"/>
      <c r="AG132" s="137"/>
    </row>
    <row r="133" ht="30.0" customHeight="1">
      <c r="A133" s="248"/>
      <c r="B133" s="249"/>
      <c r="C133" s="248"/>
      <c r="D133" s="249"/>
      <c r="E133" s="249"/>
      <c r="F133" s="249"/>
      <c r="G133" s="250"/>
      <c r="H133" s="251"/>
      <c r="I133" s="252"/>
      <c r="J133" s="252"/>
      <c r="K133" s="252"/>
      <c r="L133" s="251"/>
      <c r="M133" s="251"/>
      <c r="N133" s="251"/>
      <c r="O133" s="251"/>
      <c r="P133" s="251"/>
      <c r="Q133" s="251"/>
      <c r="R133" s="251"/>
      <c r="S133" s="251"/>
      <c r="T133" s="251"/>
      <c r="U133" s="251"/>
      <c r="V133" s="251"/>
      <c r="W133" s="251"/>
      <c r="X133" s="251"/>
      <c r="Y133" s="251"/>
      <c r="Z133" s="251"/>
      <c r="AA133" s="137"/>
      <c r="AB133" s="137"/>
      <c r="AC133" s="137"/>
      <c r="AD133" s="137"/>
      <c r="AE133" s="137"/>
      <c r="AF133" s="137"/>
      <c r="AG133" s="137"/>
    </row>
    <row r="134" ht="30.0" customHeight="1">
      <c r="A134" s="248"/>
      <c r="B134" s="249"/>
      <c r="C134" s="248"/>
      <c r="D134" s="249"/>
      <c r="E134" s="249"/>
      <c r="F134" s="249"/>
      <c r="G134" s="249"/>
      <c r="H134" s="251"/>
      <c r="I134" s="252"/>
      <c r="J134" s="252"/>
      <c r="K134" s="252"/>
      <c r="L134" s="251"/>
      <c r="M134" s="251"/>
      <c r="N134" s="251"/>
      <c r="O134" s="251"/>
      <c r="P134" s="251"/>
      <c r="Q134" s="251"/>
      <c r="R134" s="251"/>
      <c r="S134" s="251"/>
      <c r="T134" s="251"/>
      <c r="U134" s="251"/>
      <c r="V134" s="251"/>
      <c r="W134" s="251"/>
      <c r="X134" s="251"/>
      <c r="Y134" s="251"/>
      <c r="Z134" s="251"/>
      <c r="AA134" s="137"/>
      <c r="AB134" s="137"/>
      <c r="AC134" s="137"/>
      <c r="AD134" s="137"/>
      <c r="AE134" s="137"/>
      <c r="AF134" s="137"/>
      <c r="AG134" s="137"/>
    </row>
    <row r="135" ht="30.0" customHeight="1">
      <c r="A135" s="248"/>
      <c r="B135" s="249"/>
      <c r="C135" s="248"/>
      <c r="D135" s="249"/>
      <c r="E135" s="249"/>
      <c r="F135" s="249"/>
      <c r="G135" s="250"/>
      <c r="H135" s="251"/>
      <c r="I135" s="252"/>
      <c r="J135" s="252"/>
      <c r="K135" s="252"/>
      <c r="L135" s="251"/>
      <c r="M135" s="251"/>
      <c r="N135" s="251"/>
      <c r="O135" s="251"/>
      <c r="P135" s="251"/>
      <c r="Q135" s="251"/>
      <c r="R135" s="251"/>
      <c r="S135" s="251"/>
      <c r="T135" s="251"/>
      <c r="U135" s="251"/>
      <c r="V135" s="251"/>
      <c r="W135" s="251"/>
      <c r="X135" s="251"/>
      <c r="Y135" s="251"/>
      <c r="Z135" s="251"/>
      <c r="AA135" s="137"/>
      <c r="AB135" s="137"/>
      <c r="AC135" s="137"/>
      <c r="AD135" s="137"/>
      <c r="AE135" s="137"/>
      <c r="AF135" s="137"/>
      <c r="AG135" s="137"/>
    </row>
    <row r="136" ht="30.0" customHeight="1">
      <c r="A136" s="248"/>
      <c r="B136" s="249"/>
      <c r="C136" s="248"/>
      <c r="D136" s="249"/>
      <c r="E136" s="249"/>
      <c r="F136" s="249"/>
      <c r="G136" s="250"/>
      <c r="H136" s="251"/>
      <c r="I136" s="252"/>
      <c r="J136" s="252"/>
      <c r="K136" s="252"/>
      <c r="L136" s="251"/>
      <c r="M136" s="251"/>
      <c r="N136" s="251"/>
      <c r="O136" s="251"/>
      <c r="P136" s="251"/>
      <c r="Q136" s="251"/>
      <c r="R136" s="251"/>
      <c r="S136" s="251"/>
      <c r="T136" s="251"/>
      <c r="U136" s="251"/>
      <c r="V136" s="251"/>
      <c r="W136" s="251"/>
      <c r="X136" s="251"/>
      <c r="Y136" s="251"/>
      <c r="Z136" s="251"/>
      <c r="AA136" s="137"/>
      <c r="AB136" s="137"/>
      <c r="AC136" s="137"/>
      <c r="AD136" s="137"/>
      <c r="AE136" s="137"/>
      <c r="AF136" s="137"/>
      <c r="AG136" s="137"/>
    </row>
    <row r="137" ht="30.0" customHeight="1">
      <c r="A137" s="248"/>
      <c r="B137" s="249"/>
      <c r="C137" s="248"/>
      <c r="D137" s="249"/>
      <c r="E137" s="249"/>
      <c r="F137" s="249"/>
      <c r="G137" s="250"/>
      <c r="H137" s="251"/>
      <c r="I137" s="252"/>
      <c r="J137" s="252"/>
      <c r="K137" s="252"/>
      <c r="L137" s="251"/>
      <c r="M137" s="251"/>
      <c r="N137" s="251"/>
      <c r="O137" s="251"/>
      <c r="P137" s="251"/>
      <c r="Q137" s="251"/>
      <c r="R137" s="251"/>
      <c r="S137" s="251"/>
      <c r="T137" s="251"/>
      <c r="U137" s="251"/>
      <c r="V137" s="251"/>
      <c r="W137" s="251"/>
      <c r="X137" s="251"/>
      <c r="Y137" s="251"/>
      <c r="Z137" s="251"/>
      <c r="AA137" s="137"/>
      <c r="AB137" s="137"/>
      <c r="AC137" s="137"/>
      <c r="AD137" s="137"/>
      <c r="AE137" s="137"/>
      <c r="AF137" s="137"/>
      <c r="AG137" s="137"/>
    </row>
    <row r="138" ht="30.0" customHeight="1">
      <c r="A138" s="248"/>
      <c r="B138" s="249"/>
      <c r="C138" s="248"/>
      <c r="D138" s="249"/>
      <c r="E138" s="249"/>
      <c r="F138" s="249"/>
      <c r="G138" s="250"/>
      <c r="H138" s="251"/>
      <c r="I138" s="252"/>
      <c r="J138" s="252"/>
      <c r="K138" s="252"/>
      <c r="L138" s="251"/>
      <c r="M138" s="251"/>
      <c r="N138" s="251"/>
      <c r="O138" s="251"/>
      <c r="P138" s="251"/>
      <c r="Q138" s="251"/>
      <c r="R138" s="251"/>
      <c r="S138" s="251"/>
      <c r="T138" s="251"/>
      <c r="U138" s="251"/>
      <c r="V138" s="251"/>
      <c r="W138" s="251"/>
      <c r="X138" s="251"/>
      <c r="Y138" s="251"/>
      <c r="Z138" s="251"/>
      <c r="AA138" s="137"/>
      <c r="AB138" s="137"/>
      <c r="AC138" s="137"/>
      <c r="AD138" s="137"/>
      <c r="AE138" s="137"/>
      <c r="AF138" s="137"/>
      <c r="AG138" s="137"/>
    </row>
    <row r="139" ht="30.0" customHeight="1">
      <c r="A139" s="248"/>
      <c r="B139" s="249"/>
      <c r="C139" s="248"/>
      <c r="D139" s="249"/>
      <c r="E139" s="249"/>
      <c r="F139" s="249"/>
      <c r="G139" s="250"/>
      <c r="H139" s="251"/>
      <c r="I139" s="252"/>
      <c r="J139" s="252"/>
      <c r="K139" s="252"/>
      <c r="L139" s="251"/>
      <c r="M139" s="251"/>
      <c r="N139" s="251"/>
      <c r="O139" s="251"/>
      <c r="P139" s="251"/>
      <c r="Q139" s="251"/>
      <c r="R139" s="251"/>
      <c r="S139" s="251"/>
      <c r="T139" s="251"/>
      <c r="U139" s="251"/>
      <c r="V139" s="251"/>
      <c r="W139" s="251"/>
      <c r="X139" s="251"/>
      <c r="Y139" s="251"/>
      <c r="Z139" s="251"/>
      <c r="AA139" s="137"/>
      <c r="AB139" s="137"/>
      <c r="AC139" s="137"/>
      <c r="AD139" s="137"/>
      <c r="AE139" s="137"/>
      <c r="AF139" s="137"/>
      <c r="AG139" s="137"/>
    </row>
    <row r="140" ht="30.0" customHeight="1">
      <c r="A140" s="248"/>
      <c r="B140" s="249"/>
      <c r="C140" s="248"/>
      <c r="D140" s="249"/>
      <c r="E140" s="249"/>
      <c r="F140" s="249"/>
      <c r="G140" s="249"/>
      <c r="H140" s="251"/>
      <c r="I140" s="252"/>
      <c r="J140" s="252"/>
      <c r="K140" s="252"/>
      <c r="L140" s="251"/>
      <c r="M140" s="251"/>
      <c r="N140" s="251"/>
      <c r="O140" s="251"/>
      <c r="P140" s="251"/>
      <c r="Q140" s="251"/>
      <c r="R140" s="251"/>
      <c r="S140" s="251"/>
      <c r="T140" s="251"/>
      <c r="U140" s="251"/>
      <c r="V140" s="251"/>
      <c r="W140" s="251"/>
      <c r="X140" s="251"/>
      <c r="Y140" s="251"/>
      <c r="Z140" s="251"/>
      <c r="AA140" s="137"/>
      <c r="AB140" s="137"/>
      <c r="AC140" s="137"/>
      <c r="AD140" s="137"/>
      <c r="AE140" s="137"/>
      <c r="AF140" s="137"/>
      <c r="AG140" s="137"/>
    </row>
    <row r="141" ht="30.0" customHeight="1">
      <c r="A141" s="248"/>
      <c r="B141" s="249"/>
      <c r="C141" s="248"/>
      <c r="D141" s="249"/>
      <c r="E141" s="251"/>
      <c r="F141" s="249"/>
      <c r="G141" s="250"/>
      <c r="H141" s="251"/>
      <c r="I141" s="252"/>
      <c r="J141" s="252"/>
      <c r="K141" s="252"/>
      <c r="L141" s="251"/>
      <c r="M141" s="251"/>
      <c r="N141" s="251"/>
      <c r="O141" s="251"/>
      <c r="P141" s="251"/>
      <c r="Q141" s="251"/>
      <c r="R141" s="251"/>
      <c r="S141" s="251"/>
      <c r="T141" s="251"/>
      <c r="U141" s="251"/>
      <c r="V141" s="251"/>
      <c r="W141" s="251"/>
      <c r="X141" s="251"/>
      <c r="Y141" s="251"/>
      <c r="Z141" s="251"/>
      <c r="AA141" s="137"/>
      <c r="AB141" s="137"/>
      <c r="AC141" s="137"/>
      <c r="AD141" s="137"/>
      <c r="AE141" s="137"/>
      <c r="AF141" s="137"/>
      <c r="AG141" s="137"/>
    </row>
    <row r="142" ht="30.0" customHeight="1">
      <c r="A142" s="248"/>
      <c r="B142" s="249"/>
      <c r="C142" s="248"/>
      <c r="D142" s="249"/>
      <c r="E142" s="249"/>
      <c r="F142" s="249"/>
      <c r="G142" s="250"/>
      <c r="H142" s="251"/>
      <c r="I142" s="252"/>
      <c r="J142" s="252"/>
      <c r="K142" s="252"/>
      <c r="L142" s="251"/>
      <c r="M142" s="251"/>
      <c r="N142" s="251"/>
      <c r="O142" s="251"/>
      <c r="P142" s="251"/>
      <c r="Q142" s="251"/>
      <c r="R142" s="251"/>
      <c r="S142" s="251"/>
      <c r="T142" s="251"/>
      <c r="U142" s="251"/>
      <c r="V142" s="251"/>
      <c r="W142" s="251"/>
      <c r="X142" s="251"/>
      <c r="Y142" s="251"/>
      <c r="Z142" s="251"/>
      <c r="AA142" s="137"/>
      <c r="AB142" s="137"/>
      <c r="AC142" s="137"/>
      <c r="AD142" s="137"/>
      <c r="AE142" s="137"/>
      <c r="AF142" s="137"/>
      <c r="AG142" s="137"/>
    </row>
    <row r="143" ht="30.0" customHeight="1">
      <c r="A143" s="248"/>
      <c r="B143" s="249"/>
      <c r="C143" s="248"/>
      <c r="D143" s="249"/>
      <c r="E143" s="249"/>
      <c r="F143" s="249"/>
      <c r="G143" s="250"/>
      <c r="H143" s="251"/>
      <c r="I143" s="252"/>
      <c r="J143" s="252"/>
      <c r="K143" s="252"/>
      <c r="L143" s="251"/>
      <c r="M143" s="251"/>
      <c r="N143" s="251"/>
      <c r="O143" s="251"/>
      <c r="P143" s="251"/>
      <c r="Q143" s="251"/>
      <c r="R143" s="251"/>
      <c r="S143" s="251"/>
      <c r="T143" s="251"/>
      <c r="U143" s="251"/>
      <c r="V143" s="251"/>
      <c r="W143" s="251"/>
      <c r="X143" s="251"/>
      <c r="Y143" s="251"/>
      <c r="Z143" s="251"/>
      <c r="AA143" s="137"/>
      <c r="AB143" s="137"/>
      <c r="AC143" s="137"/>
      <c r="AD143" s="137"/>
      <c r="AE143" s="137"/>
      <c r="AF143" s="137"/>
      <c r="AG143" s="137"/>
    </row>
    <row r="144" ht="30.0" customHeight="1">
      <c r="A144" s="248"/>
      <c r="B144" s="249"/>
      <c r="C144" s="248"/>
      <c r="D144" s="249"/>
      <c r="E144" s="251"/>
      <c r="F144" s="249"/>
      <c r="G144" s="250"/>
      <c r="H144" s="251"/>
      <c r="I144" s="252"/>
      <c r="J144" s="252"/>
      <c r="K144" s="252"/>
      <c r="L144" s="251"/>
      <c r="M144" s="251"/>
      <c r="N144" s="251"/>
      <c r="O144" s="251"/>
      <c r="P144" s="251"/>
      <c r="Q144" s="251"/>
      <c r="R144" s="251"/>
      <c r="S144" s="251"/>
      <c r="T144" s="251"/>
      <c r="U144" s="251"/>
      <c r="V144" s="251"/>
      <c r="W144" s="251"/>
      <c r="X144" s="251"/>
      <c r="Y144" s="251"/>
      <c r="Z144" s="251"/>
      <c r="AA144" s="137"/>
      <c r="AB144" s="137"/>
      <c r="AC144" s="137"/>
      <c r="AD144" s="137"/>
      <c r="AE144" s="137"/>
      <c r="AF144" s="137"/>
      <c r="AG144" s="137"/>
    </row>
    <row r="145" ht="30.0" customHeight="1">
      <c r="A145" s="248"/>
      <c r="B145" s="249"/>
      <c r="C145" s="248"/>
      <c r="D145" s="249"/>
      <c r="E145" s="249"/>
      <c r="F145" s="249"/>
      <c r="G145" s="250"/>
      <c r="H145" s="251"/>
      <c r="I145" s="252"/>
      <c r="J145" s="252"/>
      <c r="K145" s="252"/>
      <c r="L145" s="251"/>
      <c r="M145" s="251"/>
      <c r="N145" s="251"/>
      <c r="O145" s="251"/>
      <c r="P145" s="251"/>
      <c r="Q145" s="251"/>
      <c r="R145" s="251"/>
      <c r="S145" s="251"/>
      <c r="T145" s="251"/>
      <c r="U145" s="251"/>
      <c r="V145" s="251"/>
      <c r="W145" s="251"/>
      <c r="X145" s="251"/>
      <c r="Y145" s="251"/>
      <c r="Z145" s="251"/>
      <c r="AA145" s="137"/>
      <c r="AB145" s="137"/>
      <c r="AC145" s="137"/>
      <c r="AD145" s="137"/>
      <c r="AE145" s="137"/>
      <c r="AF145" s="137"/>
      <c r="AG145" s="137"/>
    </row>
    <row r="146" ht="30.0" customHeight="1">
      <c r="A146" s="248"/>
      <c r="B146" s="249"/>
      <c r="C146" s="248"/>
      <c r="D146" s="249"/>
      <c r="E146" s="249"/>
      <c r="F146" s="249"/>
      <c r="G146" s="250"/>
      <c r="H146" s="251"/>
      <c r="I146" s="252"/>
      <c r="J146" s="252"/>
      <c r="K146" s="252"/>
      <c r="L146" s="251"/>
      <c r="M146" s="251"/>
      <c r="N146" s="251"/>
      <c r="O146" s="251"/>
      <c r="P146" s="251"/>
      <c r="Q146" s="251"/>
      <c r="R146" s="251"/>
      <c r="S146" s="251"/>
      <c r="T146" s="251"/>
      <c r="U146" s="251"/>
      <c r="V146" s="251"/>
      <c r="W146" s="251"/>
      <c r="X146" s="251"/>
      <c r="Y146" s="251"/>
      <c r="Z146" s="251"/>
      <c r="AA146" s="137"/>
      <c r="AB146" s="137"/>
      <c r="AC146" s="137"/>
      <c r="AD146" s="137"/>
      <c r="AE146" s="137"/>
      <c r="AF146" s="137"/>
      <c r="AG146" s="137"/>
    </row>
    <row r="147" ht="30.0" customHeight="1">
      <c r="A147" s="248"/>
      <c r="B147" s="249"/>
      <c r="C147" s="248"/>
      <c r="D147" s="249"/>
      <c r="E147" s="249"/>
      <c r="F147" s="249"/>
      <c r="G147" s="250"/>
      <c r="H147" s="251"/>
      <c r="I147" s="252"/>
      <c r="J147" s="252"/>
      <c r="K147" s="252"/>
      <c r="L147" s="251"/>
      <c r="M147" s="251"/>
      <c r="N147" s="251"/>
      <c r="O147" s="251"/>
      <c r="P147" s="251"/>
      <c r="Q147" s="251"/>
      <c r="R147" s="251"/>
      <c r="S147" s="251"/>
      <c r="T147" s="251"/>
      <c r="U147" s="251"/>
      <c r="V147" s="251"/>
      <c r="W147" s="251"/>
      <c r="X147" s="251"/>
      <c r="Y147" s="251"/>
      <c r="Z147" s="251"/>
      <c r="AA147" s="137"/>
      <c r="AB147" s="137"/>
      <c r="AC147" s="137"/>
      <c r="AD147" s="137"/>
      <c r="AE147" s="137"/>
      <c r="AF147" s="137"/>
      <c r="AG147" s="137"/>
    </row>
    <row r="148" ht="30.0" customHeight="1">
      <c r="A148" s="248"/>
      <c r="B148" s="249"/>
      <c r="C148" s="248"/>
      <c r="D148" s="249"/>
      <c r="E148" s="249"/>
      <c r="F148" s="249"/>
      <c r="G148" s="250"/>
      <c r="H148" s="251"/>
      <c r="I148" s="252"/>
      <c r="J148" s="252"/>
      <c r="K148" s="252"/>
      <c r="L148" s="251"/>
      <c r="M148" s="251"/>
      <c r="N148" s="251"/>
      <c r="O148" s="251"/>
      <c r="P148" s="251"/>
      <c r="Q148" s="251"/>
      <c r="R148" s="251"/>
      <c r="S148" s="251"/>
      <c r="T148" s="251"/>
      <c r="U148" s="251"/>
      <c r="V148" s="251"/>
      <c r="W148" s="251"/>
      <c r="X148" s="251"/>
      <c r="Y148" s="251"/>
      <c r="Z148" s="251"/>
      <c r="AA148" s="137"/>
      <c r="AB148" s="137"/>
      <c r="AC148" s="137"/>
      <c r="AD148" s="137"/>
      <c r="AE148" s="137"/>
      <c r="AF148" s="137"/>
      <c r="AG148" s="137"/>
    </row>
    <row r="149" ht="30.0" customHeight="1">
      <c r="A149" s="248"/>
      <c r="B149" s="249"/>
      <c r="C149" s="248"/>
      <c r="D149" s="249"/>
      <c r="E149" s="249"/>
      <c r="F149" s="249"/>
      <c r="G149" s="250"/>
      <c r="H149" s="251"/>
      <c r="I149" s="252"/>
      <c r="J149" s="252"/>
      <c r="K149" s="252"/>
      <c r="L149" s="251"/>
      <c r="M149" s="251"/>
      <c r="N149" s="251"/>
      <c r="O149" s="251"/>
      <c r="P149" s="251"/>
      <c r="Q149" s="251"/>
      <c r="R149" s="251"/>
      <c r="S149" s="251"/>
      <c r="T149" s="251"/>
      <c r="U149" s="251"/>
      <c r="V149" s="251"/>
      <c r="W149" s="251"/>
      <c r="X149" s="251"/>
      <c r="Y149" s="251"/>
      <c r="Z149" s="251"/>
      <c r="AA149" s="137"/>
      <c r="AB149" s="137"/>
      <c r="AC149" s="137"/>
      <c r="AD149" s="137"/>
      <c r="AE149" s="137"/>
      <c r="AF149" s="137"/>
      <c r="AG149" s="137"/>
    </row>
    <row r="150" ht="30.0" customHeight="1">
      <c r="A150" s="248"/>
      <c r="B150" s="249"/>
      <c r="C150" s="248"/>
      <c r="D150" s="249"/>
      <c r="E150" s="251"/>
      <c r="F150" s="249"/>
      <c r="G150" s="250"/>
      <c r="H150" s="251"/>
      <c r="I150" s="252"/>
      <c r="J150" s="252"/>
      <c r="K150" s="252"/>
      <c r="L150" s="251"/>
      <c r="M150" s="251"/>
      <c r="N150" s="251"/>
      <c r="O150" s="251"/>
      <c r="P150" s="251"/>
      <c r="Q150" s="251"/>
      <c r="R150" s="251"/>
      <c r="S150" s="251"/>
      <c r="T150" s="251"/>
      <c r="U150" s="251"/>
      <c r="V150" s="251"/>
      <c r="W150" s="251"/>
      <c r="X150" s="251"/>
      <c r="Y150" s="251"/>
      <c r="Z150" s="251"/>
      <c r="AA150" s="137"/>
      <c r="AB150" s="137"/>
      <c r="AC150" s="137"/>
      <c r="AD150" s="137"/>
      <c r="AE150" s="137"/>
      <c r="AF150" s="137"/>
      <c r="AG150" s="137"/>
    </row>
    <row r="151" ht="30.0" customHeight="1">
      <c r="A151" s="248"/>
      <c r="B151" s="249"/>
      <c r="C151" s="248"/>
      <c r="D151" s="249"/>
      <c r="E151" s="251"/>
      <c r="F151" s="249"/>
      <c r="G151" s="250"/>
      <c r="H151" s="251"/>
      <c r="I151" s="252"/>
      <c r="J151" s="252"/>
      <c r="K151" s="252"/>
      <c r="L151" s="251"/>
      <c r="M151" s="251"/>
      <c r="N151" s="251"/>
      <c r="O151" s="251"/>
      <c r="P151" s="251"/>
      <c r="Q151" s="251"/>
      <c r="R151" s="251"/>
      <c r="S151" s="251"/>
      <c r="T151" s="251"/>
      <c r="U151" s="251"/>
      <c r="V151" s="251"/>
      <c r="W151" s="251"/>
      <c r="X151" s="251"/>
      <c r="Y151" s="251"/>
      <c r="Z151" s="251"/>
      <c r="AA151" s="137"/>
      <c r="AB151" s="137"/>
      <c r="AC151" s="137"/>
      <c r="AD151" s="137"/>
      <c r="AE151" s="137"/>
      <c r="AF151" s="137"/>
      <c r="AG151" s="137"/>
    </row>
    <row r="152" ht="30.0" customHeight="1">
      <c r="A152" s="248"/>
      <c r="B152" s="249"/>
      <c r="C152" s="248"/>
      <c r="D152" s="249"/>
      <c r="E152" s="251"/>
      <c r="F152" s="249"/>
      <c r="G152" s="250"/>
      <c r="H152" s="251"/>
      <c r="I152" s="252"/>
      <c r="J152" s="252"/>
      <c r="K152" s="252"/>
      <c r="L152" s="251"/>
      <c r="M152" s="251"/>
      <c r="N152" s="251"/>
      <c r="O152" s="251"/>
      <c r="P152" s="251"/>
      <c r="Q152" s="251"/>
      <c r="R152" s="251"/>
      <c r="S152" s="251"/>
      <c r="T152" s="251"/>
      <c r="U152" s="251"/>
      <c r="V152" s="251"/>
      <c r="W152" s="251"/>
      <c r="X152" s="251"/>
      <c r="Y152" s="251"/>
      <c r="Z152" s="251"/>
      <c r="AA152" s="137"/>
      <c r="AB152" s="137"/>
      <c r="AC152" s="137"/>
      <c r="AD152" s="137"/>
      <c r="AE152" s="137"/>
      <c r="AF152" s="137"/>
      <c r="AG152" s="137"/>
    </row>
    <row r="153" ht="30.0" customHeight="1">
      <c r="A153" s="248"/>
      <c r="B153" s="249"/>
      <c r="C153" s="248"/>
      <c r="D153" s="249"/>
      <c r="E153" s="251"/>
      <c r="F153" s="249"/>
      <c r="G153" s="250"/>
      <c r="H153" s="251"/>
      <c r="I153" s="252"/>
      <c r="J153" s="252"/>
      <c r="K153" s="252"/>
      <c r="L153" s="251"/>
      <c r="M153" s="251"/>
      <c r="N153" s="251"/>
      <c r="O153" s="251"/>
      <c r="P153" s="251"/>
      <c r="Q153" s="251"/>
      <c r="R153" s="251"/>
      <c r="S153" s="251"/>
      <c r="T153" s="251"/>
      <c r="U153" s="251"/>
      <c r="V153" s="251"/>
      <c r="W153" s="251"/>
      <c r="X153" s="251"/>
      <c r="Y153" s="251"/>
      <c r="Z153" s="251"/>
      <c r="AA153" s="137"/>
      <c r="AB153" s="137"/>
      <c r="AC153" s="137"/>
      <c r="AD153" s="137"/>
      <c r="AE153" s="137"/>
      <c r="AF153" s="137"/>
      <c r="AG153" s="137"/>
    </row>
    <row r="154" ht="30.0" customHeight="1">
      <c r="A154" s="248"/>
      <c r="B154" s="249"/>
      <c r="C154" s="248"/>
      <c r="D154" s="249"/>
      <c r="E154" s="249"/>
      <c r="F154" s="249"/>
      <c r="G154" s="250"/>
      <c r="H154" s="251"/>
      <c r="I154" s="252"/>
      <c r="J154" s="252"/>
      <c r="K154" s="252"/>
      <c r="L154" s="251"/>
      <c r="M154" s="251"/>
      <c r="N154" s="251"/>
      <c r="O154" s="251"/>
      <c r="P154" s="251"/>
      <c r="Q154" s="251"/>
      <c r="R154" s="251"/>
      <c r="S154" s="251"/>
      <c r="T154" s="251"/>
      <c r="U154" s="251"/>
      <c r="V154" s="251"/>
      <c r="W154" s="251"/>
      <c r="X154" s="251"/>
      <c r="Y154" s="251"/>
      <c r="Z154" s="251"/>
      <c r="AA154" s="137"/>
      <c r="AB154" s="137"/>
      <c r="AC154" s="137"/>
      <c r="AD154" s="137"/>
      <c r="AE154" s="137"/>
      <c r="AF154" s="137"/>
      <c r="AG154" s="137"/>
    </row>
    <row r="155" ht="30.0" customHeight="1">
      <c r="A155" s="248"/>
      <c r="B155" s="249"/>
      <c r="C155" s="248"/>
      <c r="D155" s="249"/>
      <c r="E155" s="251"/>
      <c r="F155" s="249"/>
      <c r="G155" s="249"/>
      <c r="H155" s="251"/>
      <c r="I155" s="252"/>
      <c r="J155" s="252"/>
      <c r="K155" s="252"/>
      <c r="L155" s="251"/>
      <c r="M155" s="251"/>
      <c r="N155" s="251"/>
      <c r="O155" s="251"/>
      <c r="P155" s="251"/>
      <c r="Q155" s="251"/>
      <c r="R155" s="251"/>
      <c r="S155" s="251"/>
      <c r="T155" s="251"/>
      <c r="U155" s="251"/>
      <c r="V155" s="251"/>
      <c r="W155" s="251"/>
      <c r="X155" s="251"/>
      <c r="Y155" s="251"/>
      <c r="Z155" s="251"/>
      <c r="AA155" s="137"/>
      <c r="AB155" s="137"/>
      <c r="AC155" s="137"/>
      <c r="AD155" s="137"/>
      <c r="AE155" s="137"/>
      <c r="AF155" s="137"/>
      <c r="AG155" s="137"/>
    </row>
    <row r="156" ht="30.0" customHeight="1">
      <c r="A156" s="248"/>
      <c r="B156" s="249"/>
      <c r="C156" s="248"/>
      <c r="D156" s="249"/>
      <c r="E156" s="251"/>
      <c r="F156" s="249"/>
      <c r="G156" s="249"/>
      <c r="H156" s="251"/>
      <c r="I156" s="252"/>
      <c r="J156" s="252"/>
      <c r="K156" s="252"/>
      <c r="L156" s="251"/>
      <c r="M156" s="251"/>
      <c r="N156" s="251"/>
      <c r="O156" s="251"/>
      <c r="P156" s="251"/>
      <c r="Q156" s="251"/>
      <c r="R156" s="251"/>
      <c r="S156" s="251"/>
      <c r="T156" s="251"/>
      <c r="U156" s="251"/>
      <c r="V156" s="251"/>
      <c r="W156" s="251"/>
      <c r="X156" s="251"/>
      <c r="Y156" s="251"/>
      <c r="Z156" s="251"/>
      <c r="AA156" s="137"/>
      <c r="AB156" s="137"/>
      <c r="AC156" s="137"/>
      <c r="AD156" s="137"/>
      <c r="AE156" s="137"/>
      <c r="AF156" s="137"/>
      <c r="AG156" s="137"/>
    </row>
    <row r="157" ht="30.0" customHeight="1">
      <c r="A157" s="248"/>
      <c r="B157" s="249"/>
      <c r="C157" s="248"/>
      <c r="D157" s="249"/>
      <c r="E157" s="249"/>
      <c r="F157" s="249"/>
      <c r="G157" s="250"/>
      <c r="H157" s="251"/>
      <c r="I157" s="252"/>
      <c r="J157" s="252"/>
      <c r="K157" s="252"/>
      <c r="L157" s="251"/>
      <c r="M157" s="251"/>
      <c r="N157" s="251"/>
      <c r="O157" s="251"/>
      <c r="P157" s="251"/>
      <c r="Q157" s="251"/>
      <c r="R157" s="251"/>
      <c r="S157" s="251"/>
      <c r="T157" s="251"/>
      <c r="U157" s="251"/>
      <c r="V157" s="251"/>
      <c r="W157" s="251"/>
      <c r="X157" s="251"/>
      <c r="Y157" s="251"/>
      <c r="Z157" s="251"/>
      <c r="AA157" s="137"/>
      <c r="AB157" s="137"/>
      <c r="AC157" s="137"/>
      <c r="AD157" s="137"/>
      <c r="AE157" s="137"/>
      <c r="AF157" s="137"/>
      <c r="AG157" s="137"/>
    </row>
    <row r="158" ht="30.0" customHeight="1">
      <c r="A158" s="248"/>
      <c r="B158" s="249"/>
      <c r="C158" s="248"/>
      <c r="D158" s="249"/>
      <c r="E158" s="249"/>
      <c r="F158" s="249"/>
      <c r="G158" s="250"/>
      <c r="H158" s="251"/>
      <c r="I158" s="252"/>
      <c r="J158" s="252"/>
      <c r="K158" s="252"/>
      <c r="L158" s="251"/>
      <c r="M158" s="251"/>
      <c r="N158" s="251"/>
      <c r="O158" s="251"/>
      <c r="P158" s="251"/>
      <c r="Q158" s="251"/>
      <c r="R158" s="251"/>
      <c r="S158" s="251"/>
      <c r="T158" s="251"/>
      <c r="U158" s="251"/>
      <c r="V158" s="251"/>
      <c r="W158" s="251"/>
      <c r="X158" s="251"/>
      <c r="Y158" s="251"/>
      <c r="Z158" s="251"/>
      <c r="AA158" s="137"/>
      <c r="AB158" s="137"/>
      <c r="AC158" s="137"/>
      <c r="AD158" s="137"/>
      <c r="AE158" s="137"/>
      <c r="AF158" s="137"/>
      <c r="AG158" s="137"/>
    </row>
    <row r="159" ht="30.0" customHeight="1">
      <c r="A159" s="248"/>
      <c r="B159" s="249"/>
      <c r="C159" s="249"/>
      <c r="D159" s="249"/>
      <c r="E159" s="249"/>
      <c r="F159" s="249"/>
      <c r="G159" s="249"/>
      <c r="H159" s="251"/>
      <c r="I159" s="252"/>
      <c r="J159" s="252"/>
      <c r="K159" s="252"/>
      <c r="L159" s="251"/>
      <c r="M159" s="251"/>
      <c r="N159" s="251"/>
      <c r="O159" s="251"/>
      <c r="P159" s="251"/>
      <c r="Q159" s="251"/>
      <c r="R159" s="251"/>
      <c r="S159" s="251"/>
      <c r="T159" s="251"/>
      <c r="U159" s="251"/>
      <c r="V159" s="251"/>
      <c r="W159" s="251"/>
      <c r="X159" s="251"/>
      <c r="Y159" s="251"/>
      <c r="Z159" s="251"/>
      <c r="AA159" s="137"/>
      <c r="AB159" s="137"/>
      <c r="AC159" s="137"/>
      <c r="AD159" s="137"/>
      <c r="AE159" s="137"/>
      <c r="AF159" s="137"/>
      <c r="AG159" s="137"/>
    </row>
    <row r="160" ht="30.0" customHeight="1">
      <c r="A160" s="248"/>
      <c r="B160" s="249"/>
      <c r="C160" s="248"/>
      <c r="D160" s="249"/>
      <c r="E160" s="249"/>
      <c r="F160" s="249"/>
      <c r="G160" s="250"/>
      <c r="H160" s="251"/>
      <c r="I160" s="252"/>
      <c r="J160" s="252"/>
      <c r="K160" s="252"/>
      <c r="L160" s="251"/>
      <c r="M160" s="251"/>
      <c r="N160" s="251"/>
      <c r="O160" s="251"/>
      <c r="P160" s="251"/>
      <c r="Q160" s="251"/>
      <c r="R160" s="251"/>
      <c r="S160" s="251"/>
      <c r="T160" s="251"/>
      <c r="U160" s="251"/>
      <c r="V160" s="251"/>
      <c r="W160" s="251"/>
      <c r="X160" s="251"/>
      <c r="Y160" s="251"/>
      <c r="Z160" s="251"/>
      <c r="AA160" s="137"/>
      <c r="AB160" s="137"/>
      <c r="AC160" s="137"/>
      <c r="AD160" s="137"/>
      <c r="AE160" s="137"/>
      <c r="AF160" s="137"/>
      <c r="AG160" s="137"/>
    </row>
    <row r="161" ht="30.0" customHeight="1">
      <c r="A161" s="248"/>
      <c r="B161" s="249"/>
      <c r="C161" s="248"/>
      <c r="D161" s="249"/>
      <c r="E161" s="249"/>
      <c r="F161" s="249"/>
      <c r="G161" s="250"/>
      <c r="H161" s="251"/>
      <c r="I161" s="252"/>
      <c r="J161" s="252"/>
      <c r="K161" s="252"/>
      <c r="L161" s="251"/>
      <c r="M161" s="251"/>
      <c r="N161" s="251"/>
      <c r="O161" s="251"/>
      <c r="P161" s="251"/>
      <c r="Q161" s="251"/>
      <c r="R161" s="251"/>
      <c r="S161" s="251"/>
      <c r="T161" s="251"/>
      <c r="U161" s="251"/>
      <c r="V161" s="251"/>
      <c r="W161" s="251"/>
      <c r="X161" s="251"/>
      <c r="Y161" s="251"/>
      <c r="Z161" s="251"/>
      <c r="AA161" s="137"/>
      <c r="AB161" s="137"/>
      <c r="AC161" s="137"/>
      <c r="AD161" s="137"/>
      <c r="AE161" s="137"/>
      <c r="AF161" s="137"/>
      <c r="AG161" s="137"/>
    </row>
    <row r="162" ht="30.0" customHeight="1">
      <c r="A162" s="248"/>
      <c r="B162" s="249"/>
      <c r="C162" s="248"/>
      <c r="D162" s="249"/>
      <c r="E162" s="251"/>
      <c r="F162" s="249"/>
      <c r="G162" s="250"/>
      <c r="H162" s="251"/>
      <c r="I162" s="252"/>
      <c r="J162" s="252"/>
      <c r="K162" s="252"/>
      <c r="L162" s="251"/>
      <c r="M162" s="251"/>
      <c r="N162" s="251"/>
      <c r="O162" s="251"/>
      <c r="P162" s="251"/>
      <c r="Q162" s="251"/>
      <c r="R162" s="251"/>
      <c r="S162" s="251"/>
      <c r="T162" s="251"/>
      <c r="U162" s="251"/>
      <c r="V162" s="251"/>
      <c r="W162" s="251"/>
      <c r="X162" s="251"/>
      <c r="Y162" s="251"/>
      <c r="Z162" s="251"/>
      <c r="AA162" s="137"/>
      <c r="AB162" s="137"/>
      <c r="AC162" s="137"/>
      <c r="AD162" s="137"/>
      <c r="AE162" s="137"/>
      <c r="AF162" s="137"/>
      <c r="AG162" s="137"/>
    </row>
    <row r="163" ht="30.0" customHeight="1">
      <c r="A163" s="248"/>
      <c r="B163" s="249"/>
      <c r="C163" s="248"/>
      <c r="D163" s="249"/>
      <c r="E163" s="249"/>
      <c r="F163" s="249"/>
      <c r="G163" s="250"/>
      <c r="H163" s="251"/>
      <c r="I163" s="252"/>
      <c r="J163" s="252"/>
      <c r="K163" s="252"/>
      <c r="L163" s="251"/>
      <c r="M163" s="251"/>
      <c r="N163" s="251"/>
      <c r="O163" s="251"/>
      <c r="P163" s="251"/>
      <c r="Q163" s="251"/>
      <c r="R163" s="251"/>
      <c r="S163" s="251"/>
      <c r="T163" s="251"/>
      <c r="U163" s="251"/>
      <c r="V163" s="251"/>
      <c r="W163" s="251"/>
      <c r="X163" s="251"/>
      <c r="Y163" s="251"/>
      <c r="Z163" s="251"/>
      <c r="AA163" s="137"/>
      <c r="AB163" s="137"/>
      <c r="AC163" s="137"/>
      <c r="AD163" s="137"/>
      <c r="AE163" s="137"/>
      <c r="AF163" s="137"/>
      <c r="AG163" s="137"/>
    </row>
    <row r="164" ht="30.0" customHeight="1">
      <c r="A164" s="248"/>
      <c r="B164" s="249"/>
      <c r="C164" s="248"/>
      <c r="D164" s="249"/>
      <c r="E164" s="249"/>
      <c r="F164" s="249"/>
      <c r="G164" s="249"/>
      <c r="H164" s="251"/>
      <c r="I164" s="252"/>
      <c r="J164" s="252"/>
      <c r="K164" s="252"/>
      <c r="L164" s="251"/>
      <c r="M164" s="251"/>
      <c r="N164" s="251"/>
      <c r="O164" s="251"/>
      <c r="P164" s="251"/>
      <c r="Q164" s="251"/>
      <c r="R164" s="251"/>
      <c r="S164" s="251"/>
      <c r="T164" s="251"/>
      <c r="U164" s="251"/>
      <c r="V164" s="251"/>
      <c r="W164" s="251"/>
      <c r="X164" s="251"/>
      <c r="Y164" s="251"/>
      <c r="Z164" s="251"/>
      <c r="AA164" s="137"/>
      <c r="AB164" s="137"/>
      <c r="AC164" s="137"/>
      <c r="AD164" s="137"/>
      <c r="AE164" s="137"/>
      <c r="AF164" s="137"/>
      <c r="AG164" s="137"/>
    </row>
    <row r="165" ht="30.0" customHeight="1">
      <c r="A165" s="248"/>
      <c r="B165" s="249"/>
      <c r="C165" s="248"/>
      <c r="D165" s="249"/>
      <c r="E165" s="249"/>
      <c r="F165" s="249"/>
      <c r="G165" s="249"/>
      <c r="H165" s="251"/>
      <c r="I165" s="252"/>
      <c r="J165" s="252"/>
      <c r="K165" s="252"/>
      <c r="L165" s="251"/>
      <c r="M165" s="251"/>
      <c r="N165" s="251"/>
      <c r="O165" s="251"/>
      <c r="P165" s="251"/>
      <c r="Q165" s="251"/>
      <c r="R165" s="251"/>
      <c r="S165" s="251"/>
      <c r="T165" s="251"/>
      <c r="U165" s="251"/>
      <c r="V165" s="251"/>
      <c r="W165" s="251"/>
      <c r="X165" s="251"/>
      <c r="Y165" s="251"/>
      <c r="Z165" s="251"/>
      <c r="AA165" s="137"/>
      <c r="AB165" s="137"/>
      <c r="AC165" s="137"/>
      <c r="AD165" s="137"/>
      <c r="AE165" s="137"/>
      <c r="AF165" s="137"/>
      <c r="AG165" s="137"/>
    </row>
    <row r="166" ht="30.0" customHeight="1">
      <c r="A166" s="248"/>
      <c r="B166" s="249"/>
      <c r="C166" s="248"/>
      <c r="D166" s="249"/>
      <c r="E166" s="249"/>
      <c r="F166" s="249"/>
      <c r="G166" s="250"/>
      <c r="H166" s="251"/>
      <c r="I166" s="252"/>
      <c r="J166" s="252"/>
      <c r="K166" s="252"/>
      <c r="L166" s="251"/>
      <c r="M166" s="251"/>
      <c r="N166" s="251"/>
      <c r="O166" s="251"/>
      <c r="P166" s="251"/>
      <c r="Q166" s="251"/>
      <c r="R166" s="251"/>
      <c r="S166" s="251"/>
      <c r="T166" s="251"/>
      <c r="U166" s="251"/>
      <c r="V166" s="251"/>
      <c r="W166" s="251"/>
      <c r="X166" s="251"/>
      <c r="Y166" s="251"/>
      <c r="Z166" s="251"/>
      <c r="AA166" s="137"/>
      <c r="AB166" s="137"/>
      <c r="AC166" s="137"/>
      <c r="AD166" s="137"/>
      <c r="AE166" s="137"/>
      <c r="AF166" s="137"/>
      <c r="AG166" s="137"/>
    </row>
    <row r="167" ht="30.0" customHeight="1">
      <c r="A167" s="248"/>
      <c r="B167" s="249"/>
      <c r="C167" s="248"/>
      <c r="D167" s="249"/>
      <c r="E167" s="249"/>
      <c r="F167" s="249"/>
      <c r="G167" s="250"/>
      <c r="H167" s="251"/>
      <c r="I167" s="252"/>
      <c r="J167" s="252"/>
      <c r="K167" s="252"/>
      <c r="L167" s="251"/>
      <c r="M167" s="251"/>
      <c r="N167" s="251"/>
      <c r="O167" s="251"/>
      <c r="P167" s="251"/>
      <c r="Q167" s="251"/>
      <c r="R167" s="251"/>
      <c r="S167" s="251"/>
      <c r="T167" s="251"/>
      <c r="U167" s="251"/>
      <c r="V167" s="251"/>
      <c r="W167" s="251"/>
      <c r="X167" s="251"/>
      <c r="Y167" s="251"/>
      <c r="Z167" s="251"/>
      <c r="AA167" s="137"/>
      <c r="AB167" s="137"/>
      <c r="AC167" s="137"/>
      <c r="AD167" s="137"/>
      <c r="AE167" s="137"/>
      <c r="AF167" s="137"/>
      <c r="AG167" s="137"/>
    </row>
    <row r="168" ht="30.0" customHeight="1">
      <c r="A168" s="248"/>
      <c r="B168" s="249"/>
      <c r="C168" s="248"/>
      <c r="D168" s="249"/>
      <c r="E168" s="249"/>
      <c r="F168" s="249"/>
      <c r="G168" s="250"/>
      <c r="H168" s="251"/>
      <c r="I168" s="252"/>
      <c r="J168" s="252"/>
      <c r="K168" s="252"/>
      <c r="L168" s="251"/>
      <c r="M168" s="251"/>
      <c r="N168" s="251"/>
      <c r="O168" s="251"/>
      <c r="P168" s="251"/>
      <c r="Q168" s="251"/>
      <c r="R168" s="251"/>
      <c r="S168" s="251"/>
      <c r="T168" s="251"/>
      <c r="U168" s="251"/>
      <c r="V168" s="251"/>
      <c r="W168" s="251"/>
      <c r="X168" s="251"/>
      <c r="Y168" s="251"/>
      <c r="Z168" s="251"/>
      <c r="AA168" s="137"/>
      <c r="AB168" s="137"/>
      <c r="AC168" s="137"/>
      <c r="AD168" s="137"/>
      <c r="AE168" s="137"/>
      <c r="AF168" s="137"/>
      <c r="AG168" s="137"/>
    </row>
    <row r="169" ht="30.0" customHeight="1">
      <c r="A169" s="248"/>
      <c r="B169" s="249"/>
      <c r="C169" s="248"/>
      <c r="D169" s="249"/>
      <c r="E169" s="251"/>
      <c r="F169" s="249"/>
      <c r="G169" s="250"/>
      <c r="H169" s="251"/>
      <c r="I169" s="252"/>
      <c r="J169" s="252"/>
      <c r="K169" s="252"/>
      <c r="L169" s="251"/>
      <c r="M169" s="251"/>
      <c r="N169" s="251"/>
      <c r="O169" s="251"/>
      <c r="P169" s="251"/>
      <c r="Q169" s="251"/>
      <c r="R169" s="251"/>
      <c r="S169" s="251"/>
      <c r="T169" s="251"/>
      <c r="U169" s="251"/>
      <c r="V169" s="251"/>
      <c r="W169" s="251"/>
      <c r="X169" s="251"/>
      <c r="Y169" s="251"/>
      <c r="Z169" s="251"/>
      <c r="AA169" s="137"/>
      <c r="AB169" s="137"/>
      <c r="AC169" s="137"/>
      <c r="AD169" s="137"/>
      <c r="AE169" s="137"/>
      <c r="AF169" s="137"/>
      <c r="AG169" s="137"/>
    </row>
    <row r="170" ht="30.0" customHeight="1">
      <c r="A170" s="248"/>
      <c r="B170" s="249"/>
      <c r="C170" s="248"/>
      <c r="D170" s="249"/>
      <c r="E170" s="249"/>
      <c r="F170" s="249"/>
      <c r="G170" s="250"/>
      <c r="H170" s="251"/>
      <c r="I170" s="252"/>
      <c r="J170" s="252"/>
      <c r="K170" s="252"/>
      <c r="L170" s="251"/>
      <c r="M170" s="251"/>
      <c r="N170" s="251"/>
      <c r="O170" s="251"/>
      <c r="P170" s="251"/>
      <c r="Q170" s="251"/>
      <c r="R170" s="251"/>
      <c r="S170" s="251"/>
      <c r="T170" s="251"/>
      <c r="U170" s="251"/>
      <c r="V170" s="251"/>
      <c r="W170" s="251"/>
      <c r="X170" s="251"/>
      <c r="Y170" s="251"/>
      <c r="Z170" s="251"/>
      <c r="AA170" s="137"/>
      <c r="AB170" s="137"/>
      <c r="AC170" s="137"/>
      <c r="AD170" s="137"/>
      <c r="AE170" s="137"/>
      <c r="AF170" s="137"/>
      <c r="AG170" s="137"/>
    </row>
    <row r="171" ht="30.0" customHeight="1">
      <c r="A171" s="248"/>
      <c r="B171" s="249"/>
      <c r="C171" s="248"/>
      <c r="D171" s="249"/>
      <c r="E171" s="249"/>
      <c r="F171" s="249"/>
      <c r="G171" s="250"/>
      <c r="H171" s="251"/>
      <c r="I171" s="252"/>
      <c r="J171" s="252"/>
      <c r="K171" s="252"/>
      <c r="L171" s="251"/>
      <c r="M171" s="251"/>
      <c r="N171" s="251"/>
      <c r="O171" s="251"/>
      <c r="P171" s="251"/>
      <c r="Q171" s="251"/>
      <c r="R171" s="251"/>
      <c r="S171" s="251"/>
      <c r="T171" s="251"/>
      <c r="U171" s="251"/>
      <c r="V171" s="251"/>
      <c r="W171" s="251"/>
      <c r="X171" s="251"/>
      <c r="Y171" s="251"/>
      <c r="Z171" s="251"/>
      <c r="AA171" s="137"/>
      <c r="AB171" s="137"/>
      <c r="AC171" s="137"/>
      <c r="AD171" s="137"/>
      <c r="AE171" s="137"/>
      <c r="AF171" s="137"/>
      <c r="AG171" s="137"/>
    </row>
    <row r="172" ht="30.0" customHeight="1">
      <c r="A172" s="248"/>
      <c r="B172" s="249"/>
      <c r="C172" s="248"/>
      <c r="D172" s="249"/>
      <c r="E172" s="249"/>
      <c r="F172" s="249"/>
      <c r="G172" s="250"/>
      <c r="H172" s="251"/>
      <c r="I172" s="252"/>
      <c r="J172" s="252"/>
      <c r="K172" s="252"/>
      <c r="L172" s="251"/>
      <c r="M172" s="251"/>
      <c r="N172" s="251"/>
      <c r="O172" s="251"/>
      <c r="P172" s="251"/>
      <c r="Q172" s="251"/>
      <c r="R172" s="251"/>
      <c r="S172" s="251"/>
      <c r="T172" s="251"/>
      <c r="U172" s="251"/>
      <c r="V172" s="251"/>
      <c r="W172" s="251"/>
      <c r="X172" s="251"/>
      <c r="Y172" s="251"/>
      <c r="Z172" s="251"/>
      <c r="AA172" s="137"/>
      <c r="AB172" s="137"/>
      <c r="AC172" s="137"/>
      <c r="AD172" s="137"/>
      <c r="AE172" s="137"/>
      <c r="AF172" s="137"/>
      <c r="AG172" s="137"/>
    </row>
    <row r="173" ht="30.0" customHeight="1">
      <c r="A173" s="248"/>
      <c r="B173" s="249"/>
      <c r="C173" s="248"/>
      <c r="D173" s="249"/>
      <c r="E173" s="251"/>
      <c r="F173" s="249"/>
      <c r="G173" s="250"/>
      <c r="H173" s="251"/>
      <c r="I173" s="252"/>
      <c r="J173" s="252"/>
      <c r="K173" s="252"/>
      <c r="L173" s="251"/>
      <c r="M173" s="251"/>
      <c r="N173" s="251"/>
      <c r="O173" s="251"/>
      <c r="P173" s="251"/>
      <c r="Q173" s="251"/>
      <c r="R173" s="251"/>
      <c r="S173" s="251"/>
      <c r="T173" s="251"/>
      <c r="U173" s="251"/>
      <c r="V173" s="251"/>
      <c r="W173" s="251"/>
      <c r="X173" s="251"/>
      <c r="Y173" s="251"/>
      <c r="Z173" s="251"/>
      <c r="AA173" s="137"/>
      <c r="AB173" s="137"/>
      <c r="AC173" s="137"/>
      <c r="AD173" s="137"/>
      <c r="AE173" s="137"/>
      <c r="AF173" s="137"/>
      <c r="AG173" s="137"/>
    </row>
    <row r="174" ht="30.0" customHeight="1">
      <c r="A174" s="248"/>
      <c r="B174" s="249"/>
      <c r="C174" s="248"/>
      <c r="D174" s="249"/>
      <c r="E174" s="249"/>
      <c r="F174" s="249"/>
      <c r="G174" s="250"/>
      <c r="H174" s="251"/>
      <c r="I174" s="252"/>
      <c r="J174" s="252"/>
      <c r="K174" s="252"/>
      <c r="L174" s="251"/>
      <c r="M174" s="251"/>
      <c r="N174" s="251"/>
      <c r="O174" s="251"/>
      <c r="P174" s="251"/>
      <c r="Q174" s="251"/>
      <c r="R174" s="251"/>
      <c r="S174" s="251"/>
      <c r="T174" s="251"/>
      <c r="U174" s="251"/>
      <c r="V174" s="251"/>
      <c r="W174" s="251"/>
      <c r="X174" s="251"/>
      <c r="Y174" s="251"/>
      <c r="Z174" s="251"/>
      <c r="AA174" s="137"/>
      <c r="AB174" s="137"/>
      <c r="AC174" s="137"/>
      <c r="AD174" s="137"/>
      <c r="AE174" s="137"/>
      <c r="AF174" s="137"/>
      <c r="AG174" s="137"/>
    </row>
    <row r="175" ht="30.0" customHeight="1">
      <c r="A175" s="248"/>
      <c r="B175" s="249"/>
      <c r="C175" s="248"/>
      <c r="D175" s="249"/>
      <c r="E175" s="249"/>
      <c r="F175" s="249"/>
      <c r="G175" s="250"/>
      <c r="H175" s="251"/>
      <c r="I175" s="252"/>
      <c r="J175" s="252"/>
      <c r="K175" s="252"/>
      <c r="L175" s="251"/>
      <c r="M175" s="251"/>
      <c r="N175" s="251"/>
      <c r="O175" s="251"/>
      <c r="P175" s="251"/>
      <c r="Q175" s="251"/>
      <c r="R175" s="251"/>
      <c r="S175" s="251"/>
      <c r="T175" s="251"/>
      <c r="U175" s="251"/>
      <c r="V175" s="251"/>
      <c r="W175" s="251"/>
      <c r="X175" s="251"/>
      <c r="Y175" s="251"/>
      <c r="Z175" s="251"/>
      <c r="AA175" s="137"/>
      <c r="AB175" s="137"/>
      <c r="AC175" s="137"/>
      <c r="AD175" s="137"/>
      <c r="AE175" s="137"/>
      <c r="AF175" s="137"/>
      <c r="AG175" s="137"/>
    </row>
    <row r="176" ht="30.0" customHeight="1">
      <c r="A176" s="248"/>
      <c r="B176" s="249"/>
      <c r="C176" s="248"/>
      <c r="D176" s="249"/>
      <c r="E176" s="249"/>
      <c r="F176" s="249"/>
      <c r="G176" s="250"/>
      <c r="H176" s="251"/>
      <c r="I176" s="252"/>
      <c r="J176" s="252"/>
      <c r="K176" s="252"/>
      <c r="L176" s="251"/>
      <c r="M176" s="251"/>
      <c r="N176" s="251"/>
      <c r="O176" s="251"/>
      <c r="P176" s="251"/>
      <c r="Q176" s="251"/>
      <c r="R176" s="251"/>
      <c r="S176" s="251"/>
      <c r="T176" s="251"/>
      <c r="U176" s="251"/>
      <c r="V176" s="251"/>
      <c r="W176" s="251"/>
      <c r="X176" s="251"/>
      <c r="Y176" s="251"/>
      <c r="Z176" s="251"/>
      <c r="AA176" s="137"/>
      <c r="AB176" s="137"/>
      <c r="AC176" s="137"/>
      <c r="AD176" s="137"/>
      <c r="AE176" s="137"/>
      <c r="AF176" s="137"/>
      <c r="AG176" s="137"/>
    </row>
    <row r="177" ht="30.0" customHeight="1">
      <c r="A177" s="248"/>
      <c r="B177" s="249"/>
      <c r="C177" s="248"/>
      <c r="D177" s="249"/>
      <c r="E177" s="249"/>
      <c r="F177" s="249"/>
      <c r="G177" s="250"/>
      <c r="H177" s="251"/>
      <c r="I177" s="252"/>
      <c r="J177" s="252"/>
      <c r="K177" s="252"/>
      <c r="L177" s="251"/>
      <c r="M177" s="251"/>
      <c r="N177" s="251"/>
      <c r="O177" s="251"/>
      <c r="P177" s="251"/>
      <c r="Q177" s="251"/>
      <c r="R177" s="251"/>
      <c r="S177" s="251"/>
      <c r="T177" s="251"/>
      <c r="U177" s="251"/>
      <c r="V177" s="251"/>
      <c r="W177" s="251"/>
      <c r="X177" s="251"/>
      <c r="Y177" s="251"/>
      <c r="Z177" s="251"/>
      <c r="AA177" s="137"/>
      <c r="AB177" s="137"/>
      <c r="AC177" s="137"/>
      <c r="AD177" s="137"/>
      <c r="AE177" s="137"/>
      <c r="AF177" s="137"/>
      <c r="AG177" s="137"/>
    </row>
    <row r="178" ht="30.0" customHeight="1">
      <c r="A178" s="248"/>
      <c r="B178" s="249"/>
      <c r="C178" s="248"/>
      <c r="D178" s="249"/>
      <c r="E178" s="249"/>
      <c r="F178" s="249"/>
      <c r="G178" s="250"/>
      <c r="H178" s="251"/>
      <c r="I178" s="252"/>
      <c r="J178" s="252"/>
      <c r="K178" s="252"/>
      <c r="L178" s="251"/>
      <c r="M178" s="251"/>
      <c r="N178" s="251"/>
      <c r="O178" s="251"/>
      <c r="P178" s="251"/>
      <c r="Q178" s="251"/>
      <c r="R178" s="251"/>
      <c r="S178" s="251"/>
      <c r="T178" s="251"/>
      <c r="U178" s="251"/>
      <c r="V178" s="251"/>
      <c r="W178" s="251"/>
      <c r="X178" s="251"/>
      <c r="Y178" s="251"/>
      <c r="Z178" s="251"/>
      <c r="AA178" s="137"/>
      <c r="AB178" s="137"/>
      <c r="AC178" s="137"/>
      <c r="AD178" s="137"/>
      <c r="AE178" s="137"/>
      <c r="AF178" s="137"/>
      <c r="AG178" s="137"/>
    </row>
    <row r="179" ht="30.0" customHeight="1">
      <c r="A179" s="248"/>
      <c r="B179" s="249"/>
      <c r="C179" s="248"/>
      <c r="D179" s="249"/>
      <c r="E179" s="249"/>
      <c r="F179" s="249"/>
      <c r="G179" s="250"/>
      <c r="H179" s="251"/>
      <c r="I179" s="252"/>
      <c r="J179" s="252"/>
      <c r="K179" s="252"/>
      <c r="L179" s="251"/>
      <c r="M179" s="251"/>
      <c r="N179" s="251"/>
      <c r="O179" s="251"/>
      <c r="P179" s="251"/>
      <c r="Q179" s="251"/>
      <c r="R179" s="251"/>
      <c r="S179" s="251"/>
      <c r="T179" s="251"/>
      <c r="U179" s="251"/>
      <c r="V179" s="251"/>
      <c r="W179" s="251"/>
      <c r="X179" s="251"/>
      <c r="Y179" s="251"/>
      <c r="Z179" s="251"/>
      <c r="AA179" s="137"/>
      <c r="AB179" s="137"/>
      <c r="AC179" s="137"/>
      <c r="AD179" s="137"/>
      <c r="AE179" s="137"/>
      <c r="AF179" s="137"/>
      <c r="AG179" s="137"/>
    </row>
    <row r="180" ht="30.0" customHeight="1">
      <c r="A180" s="248"/>
      <c r="B180" s="249"/>
      <c r="C180" s="248"/>
      <c r="D180" s="249"/>
      <c r="E180" s="249"/>
      <c r="F180" s="249"/>
      <c r="G180" s="250"/>
      <c r="H180" s="251"/>
      <c r="I180" s="252"/>
      <c r="J180" s="252"/>
      <c r="K180" s="252"/>
      <c r="L180" s="251"/>
      <c r="M180" s="251"/>
      <c r="N180" s="251"/>
      <c r="O180" s="251"/>
      <c r="P180" s="251"/>
      <c r="Q180" s="251"/>
      <c r="R180" s="251"/>
      <c r="S180" s="251"/>
      <c r="T180" s="251"/>
      <c r="U180" s="251"/>
      <c r="V180" s="251"/>
      <c r="W180" s="251"/>
      <c r="X180" s="251"/>
      <c r="Y180" s="251"/>
      <c r="Z180" s="251"/>
      <c r="AA180" s="137"/>
      <c r="AB180" s="137"/>
      <c r="AC180" s="137"/>
      <c r="AD180" s="137"/>
      <c r="AE180" s="137"/>
      <c r="AF180" s="137"/>
      <c r="AG180" s="137"/>
    </row>
    <row r="181" ht="30.0" customHeight="1">
      <c r="A181" s="248"/>
      <c r="B181" s="249"/>
      <c r="C181" s="248"/>
      <c r="D181" s="249"/>
      <c r="E181" s="249"/>
      <c r="F181" s="249"/>
      <c r="G181" s="250"/>
      <c r="H181" s="251"/>
      <c r="I181" s="252"/>
      <c r="J181" s="252"/>
      <c r="K181" s="252"/>
      <c r="L181" s="251"/>
      <c r="M181" s="251"/>
      <c r="N181" s="251"/>
      <c r="O181" s="251"/>
      <c r="P181" s="251"/>
      <c r="Q181" s="251"/>
      <c r="R181" s="251"/>
      <c r="S181" s="251"/>
      <c r="T181" s="251"/>
      <c r="U181" s="251"/>
      <c r="V181" s="251"/>
      <c r="W181" s="251"/>
      <c r="X181" s="251"/>
      <c r="Y181" s="251"/>
      <c r="Z181" s="251"/>
      <c r="AA181" s="137"/>
      <c r="AB181" s="137"/>
      <c r="AC181" s="137"/>
      <c r="AD181" s="137"/>
      <c r="AE181" s="137"/>
      <c r="AF181" s="137"/>
      <c r="AG181" s="137"/>
    </row>
    <row r="182" ht="30.0" customHeight="1">
      <c r="A182" s="248"/>
      <c r="B182" s="249"/>
      <c r="C182" s="248"/>
      <c r="D182" s="249"/>
      <c r="E182" s="249"/>
      <c r="F182" s="249"/>
      <c r="G182" s="250"/>
      <c r="H182" s="251"/>
      <c r="I182" s="252"/>
      <c r="J182" s="252"/>
      <c r="K182" s="252"/>
      <c r="L182" s="251"/>
      <c r="M182" s="251"/>
      <c r="N182" s="251"/>
      <c r="O182" s="251"/>
      <c r="P182" s="251"/>
      <c r="Q182" s="251"/>
      <c r="R182" s="251"/>
      <c r="S182" s="251"/>
      <c r="T182" s="251"/>
      <c r="U182" s="251"/>
      <c r="V182" s="251"/>
      <c r="W182" s="251"/>
      <c r="X182" s="251"/>
      <c r="Y182" s="251"/>
      <c r="Z182" s="251"/>
      <c r="AA182" s="137"/>
      <c r="AB182" s="137"/>
      <c r="AC182" s="137"/>
      <c r="AD182" s="137"/>
      <c r="AE182" s="137"/>
      <c r="AF182" s="137"/>
      <c r="AG182" s="137"/>
    </row>
    <row r="183" ht="30.0" customHeight="1">
      <c r="A183" s="248"/>
      <c r="B183" s="249"/>
      <c r="C183" s="248"/>
      <c r="D183" s="249"/>
      <c r="E183" s="251"/>
      <c r="F183" s="249"/>
      <c r="G183" s="250"/>
      <c r="H183" s="251"/>
      <c r="I183" s="252"/>
      <c r="J183" s="252"/>
      <c r="K183" s="252"/>
      <c r="L183" s="251"/>
      <c r="M183" s="251"/>
      <c r="N183" s="251"/>
      <c r="O183" s="251"/>
      <c r="P183" s="251"/>
      <c r="Q183" s="251"/>
      <c r="R183" s="251"/>
      <c r="S183" s="251"/>
      <c r="T183" s="251"/>
      <c r="U183" s="251"/>
      <c r="V183" s="251"/>
      <c r="W183" s="251"/>
      <c r="X183" s="251"/>
      <c r="Y183" s="251"/>
      <c r="Z183" s="251"/>
      <c r="AA183" s="137"/>
      <c r="AB183" s="137"/>
      <c r="AC183" s="137"/>
      <c r="AD183" s="137"/>
      <c r="AE183" s="137"/>
      <c r="AF183" s="137"/>
      <c r="AG183" s="137"/>
    </row>
    <row r="184" ht="30.0" customHeight="1">
      <c r="A184" s="248"/>
      <c r="B184" s="249"/>
      <c r="C184" s="248"/>
      <c r="D184" s="249"/>
      <c r="E184" s="249"/>
      <c r="F184" s="249"/>
      <c r="G184" s="250"/>
      <c r="H184" s="251"/>
      <c r="I184" s="252"/>
      <c r="J184" s="252"/>
      <c r="K184" s="252"/>
      <c r="L184" s="251"/>
      <c r="M184" s="251"/>
      <c r="N184" s="251"/>
      <c r="O184" s="251"/>
      <c r="P184" s="251"/>
      <c r="Q184" s="251"/>
      <c r="R184" s="251"/>
      <c r="S184" s="251"/>
      <c r="T184" s="251"/>
      <c r="U184" s="251"/>
      <c r="V184" s="251"/>
      <c r="W184" s="251"/>
      <c r="X184" s="251"/>
      <c r="Y184" s="251"/>
      <c r="Z184" s="251"/>
      <c r="AA184" s="137"/>
      <c r="AB184" s="137"/>
      <c r="AC184" s="137"/>
      <c r="AD184" s="137"/>
      <c r="AE184" s="137"/>
      <c r="AF184" s="137"/>
      <c r="AG184" s="137"/>
    </row>
    <row r="185" ht="30.0" customHeight="1">
      <c r="A185" s="248"/>
      <c r="B185" s="249"/>
      <c r="C185" s="248"/>
      <c r="D185" s="249"/>
      <c r="E185" s="249"/>
      <c r="F185" s="249"/>
      <c r="G185" s="250"/>
      <c r="H185" s="251"/>
      <c r="I185" s="252"/>
      <c r="J185" s="252"/>
      <c r="K185" s="252"/>
      <c r="L185" s="251"/>
      <c r="M185" s="251"/>
      <c r="N185" s="251"/>
      <c r="O185" s="251"/>
      <c r="P185" s="251"/>
      <c r="Q185" s="251"/>
      <c r="R185" s="251"/>
      <c r="S185" s="251"/>
      <c r="T185" s="251"/>
      <c r="U185" s="251"/>
      <c r="V185" s="251"/>
      <c r="W185" s="251"/>
      <c r="X185" s="251"/>
      <c r="Y185" s="251"/>
      <c r="Z185" s="251"/>
      <c r="AA185" s="137"/>
      <c r="AB185" s="137"/>
      <c r="AC185" s="137"/>
      <c r="AD185" s="137"/>
      <c r="AE185" s="137"/>
      <c r="AF185" s="137"/>
      <c r="AG185" s="137"/>
    </row>
    <row r="186" ht="30.0" customHeight="1">
      <c r="A186" s="248"/>
      <c r="B186" s="249"/>
      <c r="C186" s="248"/>
      <c r="D186" s="249"/>
      <c r="E186" s="251"/>
      <c r="F186" s="249"/>
      <c r="G186" s="250"/>
      <c r="H186" s="251"/>
      <c r="I186" s="252"/>
      <c r="J186" s="252"/>
      <c r="K186" s="252"/>
      <c r="L186" s="251"/>
      <c r="M186" s="251"/>
      <c r="N186" s="251"/>
      <c r="O186" s="251"/>
      <c r="P186" s="251"/>
      <c r="Q186" s="251"/>
      <c r="R186" s="251"/>
      <c r="S186" s="251"/>
      <c r="T186" s="251"/>
      <c r="U186" s="251"/>
      <c r="V186" s="251"/>
      <c r="W186" s="251"/>
      <c r="X186" s="251"/>
      <c r="Y186" s="251"/>
      <c r="Z186" s="251"/>
      <c r="AA186" s="137"/>
      <c r="AB186" s="137"/>
      <c r="AC186" s="137"/>
      <c r="AD186" s="137"/>
      <c r="AE186" s="137"/>
      <c r="AF186" s="137"/>
      <c r="AG186" s="137"/>
    </row>
    <row r="187" ht="30.0" customHeight="1">
      <c r="A187" s="248"/>
      <c r="B187" s="249"/>
      <c r="C187" s="248"/>
      <c r="D187" s="249"/>
      <c r="E187" s="251"/>
      <c r="F187" s="249"/>
      <c r="G187" s="250"/>
      <c r="H187" s="251"/>
      <c r="I187" s="252"/>
      <c r="J187" s="252"/>
      <c r="K187" s="252"/>
      <c r="L187" s="251"/>
      <c r="M187" s="251"/>
      <c r="N187" s="251"/>
      <c r="O187" s="251"/>
      <c r="P187" s="251"/>
      <c r="Q187" s="251"/>
      <c r="R187" s="251"/>
      <c r="S187" s="251"/>
      <c r="T187" s="251"/>
      <c r="U187" s="251"/>
      <c r="V187" s="251"/>
      <c r="W187" s="251"/>
      <c r="X187" s="251"/>
      <c r="Y187" s="251"/>
      <c r="Z187" s="251"/>
      <c r="AA187" s="137"/>
      <c r="AB187" s="137"/>
      <c r="AC187" s="137"/>
      <c r="AD187" s="137"/>
      <c r="AE187" s="137"/>
      <c r="AF187" s="137"/>
      <c r="AG187" s="137"/>
    </row>
    <row r="188" ht="30.0" customHeight="1">
      <c r="A188" s="248"/>
      <c r="B188" s="249"/>
      <c r="C188" s="248"/>
      <c r="D188" s="249"/>
      <c r="E188" s="251"/>
      <c r="F188" s="249"/>
      <c r="G188" s="250"/>
      <c r="H188" s="251"/>
      <c r="I188" s="252"/>
      <c r="J188" s="252"/>
      <c r="K188" s="252"/>
      <c r="L188" s="251"/>
      <c r="M188" s="251"/>
      <c r="N188" s="251"/>
      <c r="O188" s="251"/>
      <c r="P188" s="251"/>
      <c r="Q188" s="251"/>
      <c r="R188" s="251"/>
      <c r="S188" s="251"/>
      <c r="T188" s="251"/>
      <c r="U188" s="251"/>
      <c r="V188" s="251"/>
      <c r="W188" s="251"/>
      <c r="X188" s="251"/>
      <c r="Y188" s="251"/>
      <c r="Z188" s="251"/>
      <c r="AA188" s="137"/>
      <c r="AB188" s="137"/>
      <c r="AC188" s="137"/>
      <c r="AD188" s="137"/>
      <c r="AE188" s="137"/>
      <c r="AF188" s="137"/>
      <c r="AG188" s="137"/>
    </row>
    <row r="189" ht="30.0" customHeight="1">
      <c r="A189" s="248"/>
      <c r="B189" s="249"/>
      <c r="C189" s="248"/>
      <c r="D189" s="249"/>
      <c r="E189" s="251"/>
      <c r="F189" s="249"/>
      <c r="G189" s="250"/>
      <c r="H189" s="251"/>
      <c r="I189" s="252"/>
      <c r="J189" s="252"/>
      <c r="K189" s="252"/>
      <c r="L189" s="251"/>
      <c r="M189" s="251"/>
      <c r="N189" s="251"/>
      <c r="O189" s="251"/>
      <c r="P189" s="251"/>
      <c r="Q189" s="251"/>
      <c r="R189" s="251"/>
      <c r="S189" s="251"/>
      <c r="T189" s="251"/>
      <c r="U189" s="251"/>
      <c r="V189" s="251"/>
      <c r="W189" s="251"/>
      <c r="X189" s="251"/>
      <c r="Y189" s="251"/>
      <c r="Z189" s="251"/>
      <c r="AA189" s="137"/>
      <c r="AB189" s="137"/>
      <c r="AC189" s="137"/>
      <c r="AD189" s="137"/>
      <c r="AE189" s="137"/>
      <c r="AF189" s="137"/>
      <c r="AG189" s="137"/>
    </row>
    <row r="190" ht="30.0" customHeight="1">
      <c r="A190" s="248"/>
      <c r="B190" s="249"/>
      <c r="C190" s="248"/>
      <c r="D190" s="249"/>
      <c r="E190" s="251"/>
      <c r="F190" s="249"/>
      <c r="G190" s="250"/>
      <c r="H190" s="251"/>
      <c r="I190" s="252"/>
      <c r="J190" s="252"/>
      <c r="K190" s="252"/>
      <c r="L190" s="251"/>
      <c r="M190" s="251"/>
      <c r="N190" s="251"/>
      <c r="O190" s="251"/>
      <c r="P190" s="251"/>
      <c r="Q190" s="251"/>
      <c r="R190" s="251"/>
      <c r="S190" s="251"/>
      <c r="T190" s="251"/>
      <c r="U190" s="251"/>
      <c r="V190" s="251"/>
      <c r="W190" s="251"/>
      <c r="X190" s="251"/>
      <c r="Y190" s="251"/>
      <c r="Z190" s="251"/>
      <c r="AA190" s="137"/>
      <c r="AB190" s="137"/>
      <c r="AC190" s="137"/>
      <c r="AD190" s="137"/>
      <c r="AE190" s="137"/>
      <c r="AF190" s="137"/>
      <c r="AG190" s="137"/>
    </row>
    <row r="191" ht="30.0" customHeight="1">
      <c r="A191" s="248"/>
      <c r="B191" s="249"/>
      <c r="C191" s="248"/>
      <c r="D191" s="249"/>
      <c r="E191" s="251"/>
      <c r="F191" s="249"/>
      <c r="G191" s="250"/>
      <c r="H191" s="251"/>
      <c r="I191" s="252"/>
      <c r="J191" s="252"/>
      <c r="K191" s="252"/>
      <c r="L191" s="251"/>
      <c r="M191" s="251"/>
      <c r="N191" s="251"/>
      <c r="O191" s="251"/>
      <c r="P191" s="251"/>
      <c r="Q191" s="251"/>
      <c r="R191" s="251"/>
      <c r="S191" s="251"/>
      <c r="T191" s="251"/>
      <c r="U191" s="251"/>
      <c r="V191" s="251"/>
      <c r="W191" s="251"/>
      <c r="X191" s="251"/>
      <c r="Y191" s="251"/>
      <c r="Z191" s="251"/>
      <c r="AA191" s="137"/>
      <c r="AB191" s="137"/>
      <c r="AC191" s="137"/>
      <c r="AD191" s="137"/>
      <c r="AE191" s="137"/>
      <c r="AF191" s="137"/>
      <c r="AG191" s="137"/>
    </row>
    <row r="192" ht="30.0" customHeight="1">
      <c r="A192" s="248"/>
      <c r="B192" s="249"/>
      <c r="C192" s="248"/>
      <c r="D192" s="249"/>
      <c r="E192" s="251"/>
      <c r="F192" s="249"/>
      <c r="G192" s="250"/>
      <c r="H192" s="251"/>
      <c r="I192" s="252"/>
      <c r="J192" s="252"/>
      <c r="K192" s="252"/>
      <c r="L192" s="251"/>
      <c r="M192" s="251"/>
      <c r="N192" s="251"/>
      <c r="O192" s="251"/>
      <c r="P192" s="251"/>
      <c r="Q192" s="251"/>
      <c r="R192" s="251"/>
      <c r="S192" s="251"/>
      <c r="T192" s="251"/>
      <c r="U192" s="251"/>
      <c r="V192" s="251"/>
      <c r="W192" s="251"/>
      <c r="X192" s="251"/>
      <c r="Y192" s="251"/>
      <c r="Z192" s="251"/>
      <c r="AA192" s="137"/>
      <c r="AB192" s="137"/>
      <c r="AC192" s="137"/>
      <c r="AD192" s="137"/>
      <c r="AE192" s="137"/>
      <c r="AF192" s="137"/>
      <c r="AG192" s="137"/>
    </row>
    <row r="193" ht="30.0" customHeight="1">
      <c r="A193" s="248"/>
      <c r="B193" s="249"/>
      <c r="C193" s="248"/>
      <c r="D193" s="249"/>
      <c r="E193" s="249"/>
      <c r="F193" s="249"/>
      <c r="G193" s="250"/>
      <c r="H193" s="251"/>
      <c r="I193" s="252"/>
      <c r="J193" s="252"/>
      <c r="K193" s="252"/>
      <c r="L193" s="251"/>
      <c r="M193" s="251"/>
      <c r="N193" s="251"/>
      <c r="O193" s="251"/>
      <c r="P193" s="251"/>
      <c r="Q193" s="251"/>
      <c r="R193" s="251"/>
      <c r="S193" s="251"/>
      <c r="T193" s="251"/>
      <c r="U193" s="251"/>
      <c r="V193" s="251"/>
      <c r="W193" s="251"/>
      <c r="X193" s="251"/>
      <c r="Y193" s="251"/>
      <c r="Z193" s="251"/>
      <c r="AA193" s="137"/>
      <c r="AB193" s="137"/>
      <c r="AC193" s="137"/>
      <c r="AD193" s="137"/>
      <c r="AE193" s="137"/>
      <c r="AF193" s="137"/>
      <c r="AG193" s="137"/>
    </row>
    <row r="194" ht="30.0" customHeight="1">
      <c r="A194" s="248"/>
      <c r="B194" s="249"/>
      <c r="C194" s="248"/>
      <c r="D194" s="249"/>
      <c r="E194" s="249"/>
      <c r="F194" s="249"/>
      <c r="G194" s="250"/>
      <c r="H194" s="251"/>
      <c r="I194" s="252"/>
      <c r="J194" s="252"/>
      <c r="K194" s="252"/>
      <c r="L194" s="251"/>
      <c r="M194" s="251"/>
      <c r="N194" s="251"/>
      <c r="O194" s="251"/>
      <c r="P194" s="251"/>
      <c r="Q194" s="251"/>
      <c r="R194" s="251"/>
      <c r="S194" s="251"/>
      <c r="T194" s="251"/>
      <c r="U194" s="251"/>
      <c r="V194" s="251"/>
      <c r="W194" s="251"/>
      <c r="X194" s="251"/>
      <c r="Y194" s="251"/>
      <c r="Z194" s="251"/>
      <c r="AA194" s="137"/>
      <c r="AB194" s="137"/>
      <c r="AC194" s="137"/>
      <c r="AD194" s="137"/>
      <c r="AE194" s="137"/>
      <c r="AF194" s="137"/>
      <c r="AG194" s="137"/>
    </row>
    <row r="195" ht="30.0" customHeight="1">
      <c r="A195" s="248"/>
      <c r="B195" s="249"/>
      <c r="C195" s="248"/>
      <c r="D195" s="249"/>
      <c r="E195" s="249"/>
      <c r="F195" s="249"/>
      <c r="G195" s="250"/>
      <c r="H195" s="251"/>
      <c r="I195" s="252"/>
      <c r="J195" s="252"/>
      <c r="K195" s="252"/>
      <c r="L195" s="251"/>
      <c r="M195" s="251"/>
      <c r="N195" s="251"/>
      <c r="O195" s="251"/>
      <c r="P195" s="251"/>
      <c r="Q195" s="251"/>
      <c r="R195" s="251"/>
      <c r="S195" s="251"/>
      <c r="T195" s="251"/>
      <c r="U195" s="251"/>
      <c r="V195" s="251"/>
      <c r="W195" s="251"/>
      <c r="X195" s="251"/>
      <c r="Y195" s="251"/>
      <c r="Z195" s="251"/>
      <c r="AA195" s="137"/>
      <c r="AB195" s="137"/>
      <c r="AC195" s="137"/>
      <c r="AD195" s="137"/>
      <c r="AE195" s="137"/>
      <c r="AF195" s="137"/>
      <c r="AG195" s="137"/>
    </row>
    <row r="196" ht="30.0" customHeight="1">
      <c r="A196" s="248"/>
      <c r="B196" s="249"/>
      <c r="C196" s="249"/>
      <c r="D196" s="249"/>
      <c r="E196" s="249"/>
      <c r="F196" s="249"/>
      <c r="G196" s="250"/>
      <c r="H196" s="251"/>
      <c r="I196" s="252"/>
      <c r="J196" s="252"/>
      <c r="K196" s="252"/>
      <c r="L196" s="251"/>
      <c r="M196" s="251"/>
      <c r="N196" s="251"/>
      <c r="O196" s="251"/>
      <c r="P196" s="251"/>
      <c r="Q196" s="251"/>
      <c r="R196" s="251"/>
      <c r="S196" s="251"/>
      <c r="T196" s="251"/>
      <c r="U196" s="251"/>
      <c r="V196" s="251"/>
      <c r="W196" s="251"/>
      <c r="X196" s="251"/>
      <c r="Y196" s="251"/>
      <c r="Z196" s="251"/>
      <c r="AA196" s="137"/>
      <c r="AB196" s="137"/>
      <c r="AC196" s="137"/>
      <c r="AD196" s="137"/>
      <c r="AE196" s="137"/>
      <c r="AF196" s="137"/>
      <c r="AG196" s="137"/>
    </row>
    <row r="197" ht="30.0" customHeight="1">
      <c r="A197" s="248"/>
      <c r="B197" s="249"/>
      <c r="C197" s="248"/>
      <c r="D197" s="249"/>
      <c r="E197" s="249"/>
      <c r="F197" s="249"/>
      <c r="G197" s="250"/>
      <c r="H197" s="251"/>
      <c r="I197" s="252"/>
      <c r="J197" s="252"/>
      <c r="K197" s="252"/>
      <c r="L197" s="251"/>
      <c r="M197" s="251"/>
      <c r="N197" s="251"/>
      <c r="O197" s="251"/>
      <c r="P197" s="251"/>
      <c r="Q197" s="251"/>
      <c r="R197" s="251"/>
      <c r="S197" s="251"/>
      <c r="T197" s="251"/>
      <c r="U197" s="251"/>
      <c r="V197" s="251"/>
      <c r="W197" s="251"/>
      <c r="X197" s="251"/>
      <c r="Y197" s="251"/>
      <c r="Z197" s="251"/>
      <c r="AA197" s="137"/>
      <c r="AB197" s="137"/>
      <c r="AC197" s="137"/>
      <c r="AD197" s="137"/>
      <c r="AE197" s="137"/>
      <c r="AF197" s="137"/>
      <c r="AG197" s="137"/>
    </row>
    <row r="198" ht="30.0" customHeight="1">
      <c r="A198" s="248"/>
      <c r="B198" s="249"/>
      <c r="C198" s="248"/>
      <c r="D198" s="249"/>
      <c r="E198" s="249"/>
      <c r="F198" s="249"/>
      <c r="G198" s="250"/>
      <c r="H198" s="251"/>
      <c r="I198" s="252"/>
      <c r="J198" s="252"/>
      <c r="K198" s="252"/>
      <c r="L198" s="251"/>
      <c r="M198" s="251"/>
      <c r="N198" s="251"/>
      <c r="O198" s="251"/>
      <c r="P198" s="251"/>
      <c r="Q198" s="251"/>
      <c r="R198" s="251"/>
      <c r="S198" s="251"/>
      <c r="T198" s="251"/>
      <c r="U198" s="251"/>
      <c r="V198" s="251"/>
      <c r="W198" s="251"/>
      <c r="X198" s="251"/>
      <c r="Y198" s="251"/>
      <c r="Z198" s="251"/>
      <c r="AA198" s="137"/>
      <c r="AB198" s="137"/>
      <c r="AC198" s="137"/>
      <c r="AD198" s="137"/>
      <c r="AE198" s="137"/>
      <c r="AF198" s="137"/>
      <c r="AG198" s="137"/>
    </row>
    <row r="199" ht="30.0" customHeight="1">
      <c r="A199" s="248"/>
      <c r="B199" s="249"/>
      <c r="C199" s="248"/>
      <c r="D199" s="249"/>
      <c r="E199" s="251"/>
      <c r="F199" s="249"/>
      <c r="G199" s="250"/>
      <c r="H199" s="251"/>
      <c r="I199" s="252"/>
      <c r="J199" s="252"/>
      <c r="K199" s="252"/>
      <c r="L199" s="251"/>
      <c r="M199" s="251"/>
      <c r="N199" s="251"/>
      <c r="O199" s="251"/>
      <c r="P199" s="251"/>
      <c r="Q199" s="251"/>
      <c r="R199" s="251"/>
      <c r="S199" s="251"/>
      <c r="T199" s="251"/>
      <c r="U199" s="251"/>
      <c r="V199" s="251"/>
      <c r="W199" s="251"/>
      <c r="X199" s="251"/>
      <c r="Y199" s="251"/>
      <c r="Z199" s="251"/>
      <c r="AA199" s="137"/>
      <c r="AB199" s="137"/>
      <c r="AC199" s="137"/>
      <c r="AD199" s="137"/>
      <c r="AE199" s="137"/>
      <c r="AF199" s="137"/>
      <c r="AG199" s="137"/>
    </row>
    <row r="200" ht="30.0" customHeight="1">
      <c r="A200" s="248"/>
      <c r="B200" s="249"/>
      <c r="C200" s="248"/>
      <c r="D200" s="249"/>
      <c r="E200" s="251"/>
      <c r="F200" s="249"/>
      <c r="G200" s="250"/>
      <c r="H200" s="251"/>
      <c r="I200" s="252"/>
      <c r="J200" s="252"/>
      <c r="K200" s="252"/>
      <c r="L200" s="251"/>
      <c r="M200" s="251"/>
      <c r="N200" s="251"/>
      <c r="O200" s="251"/>
      <c r="P200" s="251"/>
      <c r="Q200" s="251"/>
      <c r="R200" s="251"/>
      <c r="S200" s="251"/>
      <c r="T200" s="251"/>
      <c r="U200" s="251"/>
      <c r="V200" s="251"/>
      <c r="W200" s="251"/>
      <c r="X200" s="251"/>
      <c r="Y200" s="251"/>
      <c r="Z200" s="251"/>
      <c r="AA200" s="137"/>
      <c r="AB200" s="137"/>
      <c r="AC200" s="137"/>
      <c r="AD200" s="137"/>
      <c r="AE200" s="137"/>
      <c r="AF200" s="137"/>
      <c r="AG200" s="137"/>
    </row>
    <row r="201" ht="30.0" customHeight="1">
      <c r="A201" s="248"/>
      <c r="B201" s="249"/>
      <c r="C201" s="249"/>
      <c r="D201" s="249"/>
      <c r="E201" s="251"/>
      <c r="F201" s="249"/>
      <c r="G201" s="250"/>
      <c r="H201" s="251"/>
      <c r="I201" s="252"/>
      <c r="J201" s="252"/>
      <c r="K201" s="252"/>
      <c r="L201" s="251"/>
      <c r="M201" s="251"/>
      <c r="N201" s="251"/>
      <c r="O201" s="251"/>
      <c r="P201" s="251"/>
      <c r="Q201" s="251"/>
      <c r="R201" s="251"/>
      <c r="S201" s="251"/>
      <c r="T201" s="251"/>
      <c r="U201" s="251"/>
      <c r="V201" s="251"/>
      <c r="W201" s="251"/>
      <c r="X201" s="251"/>
      <c r="Y201" s="251"/>
      <c r="Z201" s="251"/>
      <c r="AA201" s="137"/>
      <c r="AB201" s="137"/>
      <c r="AC201" s="137"/>
      <c r="AD201" s="137"/>
      <c r="AE201" s="137"/>
      <c r="AF201" s="137"/>
      <c r="AG201" s="137"/>
    </row>
    <row r="202" ht="30.0" customHeight="1">
      <c r="A202" s="248"/>
      <c r="B202" s="249"/>
      <c r="C202" s="248"/>
      <c r="D202" s="249"/>
      <c r="E202" s="249"/>
      <c r="F202" s="249"/>
      <c r="G202" s="250"/>
      <c r="H202" s="251"/>
      <c r="I202" s="252"/>
      <c r="J202" s="252"/>
      <c r="K202" s="252"/>
      <c r="L202" s="251"/>
      <c r="M202" s="251"/>
      <c r="N202" s="251"/>
      <c r="O202" s="251"/>
      <c r="P202" s="251"/>
      <c r="Q202" s="251"/>
      <c r="R202" s="251"/>
      <c r="S202" s="251"/>
      <c r="T202" s="251"/>
      <c r="U202" s="251"/>
      <c r="V202" s="251"/>
      <c r="W202" s="251"/>
      <c r="X202" s="251"/>
      <c r="Y202" s="251"/>
      <c r="Z202" s="251"/>
      <c r="AA202" s="137"/>
      <c r="AB202" s="137"/>
      <c r="AC202" s="137"/>
      <c r="AD202" s="137"/>
      <c r="AE202" s="137"/>
      <c r="AF202" s="137"/>
      <c r="AG202" s="137"/>
    </row>
    <row r="203" ht="30.0" customHeight="1">
      <c r="A203" s="248"/>
      <c r="B203" s="249"/>
      <c r="C203" s="248"/>
      <c r="D203" s="249"/>
      <c r="E203" s="249"/>
      <c r="F203" s="249"/>
      <c r="G203" s="250"/>
      <c r="H203" s="251"/>
      <c r="I203" s="252"/>
      <c r="J203" s="252"/>
      <c r="K203" s="252"/>
      <c r="L203" s="251"/>
      <c r="M203" s="251"/>
      <c r="N203" s="251"/>
      <c r="O203" s="251"/>
      <c r="P203" s="251"/>
      <c r="Q203" s="251"/>
      <c r="R203" s="251"/>
      <c r="S203" s="251"/>
      <c r="T203" s="251"/>
      <c r="U203" s="251"/>
      <c r="V203" s="251"/>
      <c r="W203" s="251"/>
      <c r="X203" s="251"/>
      <c r="Y203" s="251"/>
      <c r="Z203" s="251"/>
      <c r="AA203" s="137"/>
      <c r="AB203" s="137"/>
      <c r="AC203" s="137"/>
      <c r="AD203" s="137"/>
      <c r="AE203" s="137"/>
      <c r="AF203" s="137"/>
      <c r="AG203" s="137"/>
    </row>
    <row r="204" ht="30.0" customHeight="1">
      <c r="A204" s="248"/>
      <c r="B204" s="249"/>
      <c r="C204" s="248"/>
      <c r="D204" s="249"/>
      <c r="E204" s="249"/>
      <c r="F204" s="249"/>
      <c r="G204" s="250"/>
      <c r="H204" s="251"/>
      <c r="I204" s="252"/>
      <c r="J204" s="252"/>
      <c r="K204" s="252"/>
      <c r="L204" s="251"/>
      <c r="M204" s="251"/>
      <c r="N204" s="251"/>
      <c r="O204" s="251"/>
      <c r="P204" s="251"/>
      <c r="Q204" s="251"/>
      <c r="R204" s="251"/>
      <c r="S204" s="251"/>
      <c r="T204" s="251"/>
      <c r="U204" s="251"/>
      <c r="V204" s="251"/>
      <c r="W204" s="251"/>
      <c r="X204" s="251"/>
      <c r="Y204" s="251"/>
      <c r="Z204" s="251"/>
      <c r="AA204" s="137"/>
      <c r="AB204" s="137"/>
      <c r="AC204" s="137"/>
      <c r="AD204" s="137"/>
      <c r="AE204" s="137"/>
      <c r="AF204" s="137"/>
      <c r="AG204" s="137"/>
    </row>
    <row r="205" ht="30.0" customHeight="1">
      <c r="A205" s="248"/>
      <c r="B205" s="249"/>
      <c r="C205" s="248"/>
      <c r="D205" s="249"/>
      <c r="E205" s="249"/>
      <c r="F205" s="249"/>
      <c r="G205" s="249"/>
      <c r="H205" s="251"/>
      <c r="I205" s="252"/>
      <c r="J205" s="252"/>
      <c r="K205" s="252"/>
      <c r="L205" s="251"/>
      <c r="M205" s="251"/>
      <c r="N205" s="251"/>
      <c r="O205" s="251"/>
      <c r="P205" s="251"/>
      <c r="Q205" s="251"/>
      <c r="R205" s="251"/>
      <c r="S205" s="251"/>
      <c r="T205" s="251"/>
      <c r="U205" s="251"/>
      <c r="V205" s="251"/>
      <c r="W205" s="251"/>
      <c r="X205" s="251"/>
      <c r="Y205" s="251"/>
      <c r="Z205" s="251"/>
      <c r="AA205" s="137"/>
      <c r="AB205" s="137"/>
      <c r="AC205" s="137"/>
      <c r="AD205" s="137"/>
      <c r="AE205" s="137"/>
      <c r="AF205" s="137"/>
      <c r="AG205" s="137"/>
    </row>
    <row r="206" ht="30.0" customHeight="1">
      <c r="A206" s="248"/>
      <c r="B206" s="249"/>
      <c r="C206" s="248"/>
      <c r="D206" s="249"/>
      <c r="E206" s="249"/>
      <c r="F206" s="249"/>
      <c r="G206" s="250"/>
      <c r="H206" s="251"/>
      <c r="I206" s="252"/>
      <c r="J206" s="252"/>
      <c r="K206" s="252"/>
      <c r="L206" s="251"/>
      <c r="M206" s="251"/>
      <c r="N206" s="251"/>
      <c r="O206" s="251"/>
      <c r="P206" s="251"/>
      <c r="Q206" s="251"/>
      <c r="R206" s="251"/>
      <c r="S206" s="251"/>
      <c r="T206" s="251"/>
      <c r="U206" s="251"/>
      <c r="V206" s="251"/>
      <c r="W206" s="251"/>
      <c r="X206" s="251"/>
      <c r="Y206" s="251"/>
      <c r="Z206" s="251"/>
      <c r="AA206" s="137"/>
      <c r="AB206" s="137"/>
      <c r="AC206" s="137"/>
      <c r="AD206" s="137"/>
      <c r="AE206" s="137"/>
      <c r="AF206" s="137"/>
      <c r="AG206" s="137"/>
    </row>
    <row r="207" ht="30.0" customHeight="1">
      <c r="A207" s="248"/>
      <c r="B207" s="249"/>
      <c r="C207" s="249"/>
      <c r="D207" s="249"/>
      <c r="E207" s="249"/>
      <c r="F207" s="249"/>
      <c r="G207" s="250"/>
      <c r="H207" s="251"/>
      <c r="I207" s="252"/>
      <c r="J207" s="252"/>
      <c r="K207" s="252"/>
      <c r="L207" s="251"/>
      <c r="M207" s="251"/>
      <c r="N207" s="251"/>
      <c r="O207" s="251"/>
      <c r="P207" s="251"/>
      <c r="Q207" s="251"/>
      <c r="R207" s="251"/>
      <c r="S207" s="251"/>
      <c r="T207" s="251"/>
      <c r="U207" s="251"/>
      <c r="V207" s="251"/>
      <c r="W207" s="251"/>
      <c r="X207" s="251"/>
      <c r="Y207" s="251"/>
      <c r="Z207" s="251"/>
      <c r="AA207" s="137"/>
      <c r="AB207" s="137"/>
      <c r="AC207" s="137"/>
      <c r="AD207" s="137"/>
      <c r="AE207" s="137"/>
      <c r="AF207" s="137"/>
      <c r="AG207" s="137"/>
    </row>
    <row r="208" ht="30.0" customHeight="1">
      <c r="A208" s="248"/>
      <c r="B208" s="249"/>
      <c r="C208" s="249"/>
      <c r="D208" s="249"/>
      <c r="E208" s="249"/>
      <c r="F208" s="249"/>
      <c r="G208" s="250"/>
      <c r="H208" s="251"/>
      <c r="I208" s="252"/>
      <c r="J208" s="252"/>
      <c r="K208" s="252"/>
      <c r="L208" s="251"/>
      <c r="M208" s="251"/>
      <c r="N208" s="251"/>
      <c r="O208" s="251"/>
      <c r="P208" s="251"/>
      <c r="Q208" s="251"/>
      <c r="R208" s="251"/>
      <c r="S208" s="251"/>
      <c r="T208" s="251"/>
      <c r="U208" s="251"/>
      <c r="V208" s="251"/>
      <c r="W208" s="251"/>
      <c r="X208" s="251"/>
      <c r="Y208" s="251"/>
      <c r="Z208" s="251"/>
      <c r="AA208" s="137"/>
      <c r="AB208" s="137"/>
      <c r="AC208" s="137"/>
      <c r="AD208" s="137"/>
      <c r="AE208" s="137"/>
      <c r="AF208" s="137"/>
      <c r="AG208" s="137"/>
    </row>
    <row r="209" ht="30.0" customHeight="1">
      <c r="A209" s="248"/>
      <c r="B209" s="249"/>
      <c r="C209" s="248"/>
      <c r="D209" s="249"/>
      <c r="E209" s="249"/>
      <c r="F209" s="249"/>
      <c r="G209" s="250"/>
      <c r="H209" s="251"/>
      <c r="I209" s="252"/>
      <c r="J209" s="252"/>
      <c r="K209" s="252"/>
      <c r="L209" s="251"/>
      <c r="M209" s="251"/>
      <c r="N209" s="251"/>
      <c r="O209" s="251"/>
      <c r="P209" s="251"/>
      <c r="Q209" s="251"/>
      <c r="R209" s="251"/>
      <c r="S209" s="251"/>
      <c r="T209" s="251"/>
      <c r="U209" s="251"/>
      <c r="V209" s="251"/>
      <c r="W209" s="251"/>
      <c r="X209" s="251"/>
      <c r="Y209" s="251"/>
      <c r="Z209" s="251"/>
      <c r="AA209" s="137"/>
      <c r="AB209" s="137"/>
      <c r="AC209" s="137"/>
      <c r="AD209" s="137"/>
      <c r="AE209" s="137"/>
      <c r="AF209" s="137"/>
      <c r="AG209" s="137"/>
    </row>
    <row r="210" ht="30.0" customHeight="1">
      <c r="A210" s="248"/>
      <c r="B210" s="249"/>
      <c r="C210" s="248"/>
      <c r="D210" s="249"/>
      <c r="E210" s="249"/>
      <c r="F210" s="249"/>
      <c r="G210" s="250"/>
      <c r="H210" s="251"/>
      <c r="I210" s="252"/>
      <c r="J210" s="252"/>
      <c r="K210" s="252"/>
      <c r="L210" s="251"/>
      <c r="M210" s="251"/>
      <c r="N210" s="251"/>
      <c r="O210" s="251"/>
      <c r="P210" s="251"/>
      <c r="Q210" s="251"/>
      <c r="R210" s="251"/>
      <c r="S210" s="251"/>
      <c r="T210" s="251"/>
      <c r="U210" s="251"/>
      <c r="V210" s="251"/>
      <c r="W210" s="251"/>
      <c r="X210" s="251"/>
      <c r="Y210" s="251"/>
      <c r="Z210" s="251"/>
      <c r="AA210" s="137"/>
      <c r="AB210" s="137"/>
      <c r="AC210" s="137"/>
      <c r="AD210" s="137"/>
      <c r="AE210" s="137"/>
      <c r="AF210" s="137"/>
      <c r="AG210" s="137"/>
    </row>
    <row r="211" ht="30.0" customHeight="1">
      <c r="A211" s="248"/>
      <c r="B211" s="249"/>
      <c r="C211" s="248"/>
      <c r="D211" s="249"/>
      <c r="E211" s="251"/>
      <c r="F211" s="249"/>
      <c r="G211" s="250"/>
      <c r="H211" s="251"/>
      <c r="I211" s="252"/>
      <c r="J211" s="252"/>
      <c r="K211" s="252"/>
      <c r="L211" s="251"/>
      <c r="M211" s="251"/>
      <c r="N211" s="251"/>
      <c r="O211" s="251"/>
      <c r="P211" s="251"/>
      <c r="Q211" s="251"/>
      <c r="R211" s="251"/>
      <c r="S211" s="251"/>
      <c r="T211" s="251"/>
      <c r="U211" s="251"/>
      <c r="V211" s="251"/>
      <c r="W211" s="251"/>
      <c r="X211" s="251"/>
      <c r="Y211" s="251"/>
      <c r="Z211" s="251"/>
      <c r="AA211" s="137"/>
      <c r="AB211" s="137"/>
      <c r="AC211" s="137"/>
      <c r="AD211" s="137"/>
      <c r="AE211" s="137"/>
      <c r="AF211" s="137"/>
      <c r="AG211" s="137"/>
    </row>
    <row r="212" ht="30.0" customHeight="1">
      <c r="A212" s="248"/>
      <c r="B212" s="249"/>
      <c r="C212" s="248"/>
      <c r="D212" s="249"/>
      <c r="E212" s="251"/>
      <c r="F212" s="249"/>
      <c r="G212" s="250"/>
      <c r="H212" s="251"/>
      <c r="I212" s="252"/>
      <c r="J212" s="252"/>
      <c r="K212" s="252"/>
      <c r="L212" s="251"/>
      <c r="M212" s="251"/>
      <c r="N212" s="251"/>
      <c r="O212" s="251"/>
      <c r="P212" s="251"/>
      <c r="Q212" s="251"/>
      <c r="R212" s="251"/>
      <c r="S212" s="251"/>
      <c r="T212" s="251"/>
      <c r="U212" s="251"/>
      <c r="V212" s="251"/>
      <c r="W212" s="251"/>
      <c r="X212" s="251"/>
      <c r="Y212" s="251"/>
      <c r="Z212" s="251"/>
      <c r="AA212" s="137"/>
      <c r="AB212" s="137"/>
      <c r="AC212" s="137"/>
      <c r="AD212" s="137"/>
      <c r="AE212" s="137"/>
      <c r="AF212" s="137"/>
      <c r="AG212" s="137"/>
    </row>
    <row r="213" ht="30.0" customHeight="1">
      <c r="A213" s="248"/>
      <c r="B213" s="249"/>
      <c r="C213" s="248"/>
      <c r="D213" s="249"/>
      <c r="E213" s="251"/>
      <c r="F213" s="249"/>
      <c r="G213" s="250"/>
      <c r="H213" s="251"/>
      <c r="I213" s="252"/>
      <c r="J213" s="252"/>
      <c r="K213" s="252"/>
      <c r="L213" s="251"/>
      <c r="M213" s="251"/>
      <c r="N213" s="251"/>
      <c r="O213" s="251"/>
      <c r="P213" s="251"/>
      <c r="Q213" s="251"/>
      <c r="R213" s="251"/>
      <c r="S213" s="251"/>
      <c r="T213" s="251"/>
      <c r="U213" s="251"/>
      <c r="V213" s="251"/>
      <c r="W213" s="251"/>
      <c r="X213" s="251"/>
      <c r="Y213" s="251"/>
      <c r="Z213" s="251"/>
      <c r="AA213" s="137"/>
      <c r="AB213" s="137"/>
      <c r="AC213" s="137"/>
      <c r="AD213" s="137"/>
      <c r="AE213" s="137"/>
      <c r="AF213" s="137"/>
      <c r="AG213" s="137"/>
    </row>
    <row r="214" ht="30.0" customHeight="1">
      <c r="A214" s="248"/>
      <c r="B214" s="249"/>
      <c r="C214" s="248"/>
      <c r="D214" s="249"/>
      <c r="E214" s="251"/>
      <c r="F214" s="249"/>
      <c r="G214" s="250"/>
      <c r="H214" s="251"/>
      <c r="I214" s="252"/>
      <c r="J214" s="252"/>
      <c r="K214" s="252"/>
      <c r="L214" s="251"/>
      <c r="M214" s="251"/>
      <c r="N214" s="251"/>
      <c r="O214" s="251"/>
      <c r="P214" s="251"/>
      <c r="Q214" s="251"/>
      <c r="R214" s="251"/>
      <c r="S214" s="251"/>
      <c r="T214" s="251"/>
      <c r="U214" s="251"/>
      <c r="V214" s="251"/>
      <c r="W214" s="251"/>
      <c r="X214" s="251"/>
      <c r="Y214" s="251"/>
      <c r="Z214" s="251"/>
      <c r="AA214" s="137"/>
      <c r="AB214" s="137"/>
      <c r="AC214" s="137"/>
      <c r="AD214" s="137"/>
      <c r="AE214" s="137"/>
      <c r="AF214" s="137"/>
      <c r="AG214" s="137"/>
    </row>
    <row r="215" ht="30.0" customHeight="1">
      <c r="A215" s="248"/>
      <c r="B215" s="249"/>
      <c r="C215" s="248"/>
      <c r="D215" s="249"/>
      <c r="E215" s="251"/>
      <c r="F215" s="249"/>
      <c r="G215" s="250"/>
      <c r="H215" s="251"/>
      <c r="I215" s="252"/>
      <c r="J215" s="252"/>
      <c r="K215" s="252"/>
      <c r="L215" s="251"/>
      <c r="M215" s="251"/>
      <c r="N215" s="251"/>
      <c r="O215" s="251"/>
      <c r="P215" s="251"/>
      <c r="Q215" s="251"/>
      <c r="R215" s="251"/>
      <c r="S215" s="251"/>
      <c r="T215" s="251"/>
      <c r="U215" s="251"/>
      <c r="V215" s="251"/>
      <c r="W215" s="251"/>
      <c r="X215" s="251"/>
      <c r="Y215" s="251"/>
      <c r="Z215" s="251"/>
      <c r="AA215" s="137"/>
      <c r="AB215" s="137"/>
      <c r="AC215" s="137"/>
      <c r="AD215" s="137"/>
      <c r="AE215" s="137"/>
      <c r="AF215" s="137"/>
      <c r="AG215" s="137"/>
    </row>
    <row r="216" ht="30.0" customHeight="1">
      <c r="A216" s="248"/>
      <c r="B216" s="249"/>
      <c r="C216" s="248"/>
      <c r="D216" s="249"/>
      <c r="E216" s="251"/>
      <c r="F216" s="249"/>
      <c r="G216" s="250"/>
      <c r="H216" s="251"/>
      <c r="I216" s="252"/>
      <c r="J216" s="252"/>
      <c r="K216" s="252"/>
      <c r="L216" s="251"/>
      <c r="M216" s="251"/>
      <c r="N216" s="251"/>
      <c r="O216" s="251"/>
      <c r="P216" s="251"/>
      <c r="Q216" s="251"/>
      <c r="R216" s="251"/>
      <c r="S216" s="251"/>
      <c r="T216" s="251"/>
      <c r="U216" s="251"/>
      <c r="V216" s="251"/>
      <c r="W216" s="251"/>
      <c r="X216" s="251"/>
      <c r="Y216" s="251"/>
      <c r="Z216" s="251"/>
      <c r="AA216" s="137"/>
      <c r="AB216" s="137"/>
      <c r="AC216" s="137"/>
      <c r="AD216" s="137"/>
      <c r="AE216" s="137"/>
      <c r="AF216" s="137"/>
      <c r="AG216" s="137"/>
    </row>
    <row r="217" ht="30.0" customHeight="1">
      <c r="A217" s="248"/>
      <c r="B217" s="249"/>
      <c r="C217" s="248"/>
      <c r="D217" s="249"/>
      <c r="E217" s="251"/>
      <c r="F217" s="249"/>
      <c r="G217" s="250"/>
      <c r="H217" s="251"/>
      <c r="I217" s="252"/>
      <c r="J217" s="252"/>
      <c r="K217" s="252"/>
      <c r="L217" s="251"/>
      <c r="M217" s="251"/>
      <c r="N217" s="251"/>
      <c r="O217" s="251"/>
      <c r="P217" s="251"/>
      <c r="Q217" s="251"/>
      <c r="R217" s="251"/>
      <c r="S217" s="251"/>
      <c r="T217" s="251"/>
      <c r="U217" s="251"/>
      <c r="V217" s="251"/>
      <c r="W217" s="251"/>
      <c r="X217" s="251"/>
      <c r="Y217" s="251"/>
      <c r="Z217" s="251"/>
      <c r="AA217" s="137"/>
      <c r="AB217" s="137"/>
      <c r="AC217" s="137"/>
      <c r="AD217" s="137"/>
      <c r="AE217" s="137"/>
      <c r="AF217" s="137"/>
      <c r="AG217" s="137"/>
    </row>
    <row r="218" ht="30.0" customHeight="1">
      <c r="A218" s="248"/>
      <c r="B218" s="249"/>
      <c r="C218" s="248"/>
      <c r="D218" s="249"/>
      <c r="E218" s="251"/>
      <c r="F218" s="249"/>
      <c r="G218" s="250"/>
      <c r="H218" s="251"/>
      <c r="I218" s="252"/>
      <c r="J218" s="252"/>
      <c r="K218" s="252"/>
      <c r="L218" s="251"/>
      <c r="M218" s="251"/>
      <c r="N218" s="251"/>
      <c r="O218" s="251"/>
      <c r="P218" s="251"/>
      <c r="Q218" s="251"/>
      <c r="R218" s="251"/>
      <c r="S218" s="251"/>
      <c r="T218" s="251"/>
      <c r="U218" s="251"/>
      <c r="V218" s="251"/>
      <c r="W218" s="251"/>
      <c r="X218" s="251"/>
      <c r="Y218" s="251"/>
      <c r="Z218" s="251"/>
      <c r="AA218" s="137"/>
      <c r="AB218" s="137"/>
      <c r="AC218" s="137"/>
      <c r="AD218" s="137"/>
      <c r="AE218" s="137"/>
      <c r="AF218" s="137"/>
      <c r="AG218" s="137"/>
    </row>
    <row r="219" ht="30.0" customHeight="1">
      <c r="A219" s="248"/>
      <c r="B219" s="249"/>
      <c r="C219" s="248"/>
      <c r="D219" s="249"/>
      <c r="E219" s="249"/>
      <c r="F219" s="249"/>
      <c r="G219" s="250"/>
      <c r="H219" s="251"/>
      <c r="I219" s="252"/>
      <c r="J219" s="252"/>
      <c r="K219" s="252"/>
      <c r="L219" s="251"/>
      <c r="M219" s="251"/>
      <c r="N219" s="251"/>
      <c r="O219" s="251"/>
      <c r="P219" s="251"/>
      <c r="Q219" s="251"/>
      <c r="R219" s="251"/>
      <c r="S219" s="251"/>
      <c r="T219" s="251"/>
      <c r="U219" s="251"/>
      <c r="V219" s="251"/>
      <c r="W219" s="251"/>
      <c r="X219" s="251"/>
      <c r="Y219" s="251"/>
      <c r="Z219" s="251"/>
      <c r="AA219" s="137"/>
      <c r="AB219" s="137"/>
      <c r="AC219" s="137"/>
      <c r="AD219" s="137"/>
      <c r="AE219" s="137"/>
      <c r="AF219" s="137"/>
      <c r="AG219" s="137"/>
    </row>
    <row r="220" ht="30.0" customHeight="1">
      <c r="A220" s="248"/>
      <c r="B220" s="249"/>
      <c r="C220" s="248"/>
      <c r="D220" s="249"/>
      <c r="E220" s="251"/>
      <c r="F220" s="249"/>
      <c r="G220" s="250"/>
      <c r="H220" s="251"/>
      <c r="I220" s="252"/>
      <c r="J220" s="252"/>
      <c r="K220" s="252"/>
      <c r="L220" s="251"/>
      <c r="M220" s="251"/>
      <c r="N220" s="251"/>
      <c r="O220" s="251"/>
      <c r="P220" s="251"/>
      <c r="Q220" s="251"/>
      <c r="R220" s="251"/>
      <c r="S220" s="251"/>
      <c r="T220" s="251"/>
      <c r="U220" s="251"/>
      <c r="V220" s="251"/>
      <c r="W220" s="251"/>
      <c r="X220" s="251"/>
      <c r="Y220" s="251"/>
      <c r="Z220" s="251"/>
      <c r="AA220" s="137"/>
      <c r="AB220" s="137"/>
      <c r="AC220" s="137"/>
      <c r="AD220" s="137"/>
      <c r="AE220" s="137"/>
      <c r="AF220" s="137"/>
      <c r="AG220" s="137"/>
    </row>
    <row r="221" ht="30.0" customHeight="1">
      <c r="A221" s="248"/>
      <c r="B221" s="249"/>
      <c r="C221" s="248"/>
      <c r="D221" s="249"/>
      <c r="E221" s="251"/>
      <c r="F221" s="249"/>
      <c r="G221" s="250"/>
      <c r="H221" s="251"/>
      <c r="I221" s="252"/>
      <c r="J221" s="252"/>
      <c r="K221" s="252"/>
      <c r="L221" s="251"/>
      <c r="M221" s="251"/>
      <c r="N221" s="251"/>
      <c r="O221" s="251"/>
      <c r="P221" s="251"/>
      <c r="Q221" s="251"/>
      <c r="R221" s="251"/>
      <c r="S221" s="251"/>
      <c r="T221" s="251"/>
      <c r="U221" s="251"/>
      <c r="V221" s="251"/>
      <c r="W221" s="251"/>
      <c r="X221" s="251"/>
      <c r="Y221" s="251"/>
      <c r="Z221" s="251"/>
      <c r="AA221" s="137"/>
      <c r="AB221" s="137"/>
      <c r="AC221" s="137"/>
      <c r="AD221" s="137"/>
      <c r="AE221" s="137"/>
      <c r="AF221" s="137"/>
      <c r="AG221" s="137"/>
    </row>
    <row r="222" ht="30.0" customHeight="1">
      <c r="A222" s="248"/>
      <c r="B222" s="249"/>
      <c r="C222" s="248"/>
      <c r="D222" s="249"/>
      <c r="E222" s="249"/>
      <c r="F222" s="249"/>
      <c r="G222" s="250"/>
      <c r="H222" s="251"/>
      <c r="I222" s="252"/>
      <c r="J222" s="252"/>
      <c r="K222" s="252"/>
      <c r="L222" s="251"/>
      <c r="M222" s="251"/>
      <c r="N222" s="251"/>
      <c r="O222" s="251"/>
      <c r="P222" s="251"/>
      <c r="Q222" s="251"/>
      <c r="R222" s="251"/>
      <c r="S222" s="251"/>
      <c r="T222" s="251"/>
      <c r="U222" s="251"/>
      <c r="V222" s="251"/>
      <c r="W222" s="251"/>
      <c r="X222" s="251"/>
      <c r="Y222" s="251"/>
      <c r="Z222" s="251"/>
      <c r="AA222" s="137"/>
      <c r="AB222" s="137"/>
      <c r="AC222" s="137"/>
      <c r="AD222" s="137"/>
      <c r="AE222" s="137"/>
      <c r="AF222" s="137"/>
      <c r="AG222" s="137"/>
    </row>
    <row r="223" ht="30.0" customHeight="1">
      <c r="A223" s="248"/>
      <c r="B223" s="249"/>
      <c r="C223" s="248"/>
      <c r="D223" s="249"/>
      <c r="E223" s="249"/>
      <c r="F223" s="249"/>
      <c r="G223" s="250"/>
      <c r="H223" s="251"/>
      <c r="I223" s="252"/>
      <c r="J223" s="252"/>
      <c r="K223" s="252"/>
      <c r="L223" s="251"/>
      <c r="M223" s="251"/>
      <c r="N223" s="251"/>
      <c r="O223" s="251"/>
      <c r="P223" s="251"/>
      <c r="Q223" s="251"/>
      <c r="R223" s="251"/>
      <c r="S223" s="251"/>
      <c r="T223" s="251"/>
      <c r="U223" s="251"/>
      <c r="V223" s="251"/>
      <c r="W223" s="251"/>
      <c r="X223" s="251"/>
      <c r="Y223" s="251"/>
      <c r="Z223" s="251"/>
      <c r="AA223" s="137"/>
      <c r="AB223" s="137"/>
      <c r="AC223" s="137"/>
      <c r="AD223" s="137"/>
      <c r="AE223" s="137"/>
      <c r="AF223" s="137"/>
      <c r="AG223" s="137"/>
    </row>
    <row r="224" ht="30.0" customHeight="1">
      <c r="A224" s="248"/>
      <c r="B224" s="249"/>
      <c r="C224" s="249"/>
      <c r="D224" s="249"/>
      <c r="E224" s="249"/>
      <c r="F224" s="249"/>
      <c r="G224" s="250"/>
      <c r="H224" s="251"/>
      <c r="I224" s="252"/>
      <c r="J224" s="252"/>
      <c r="K224" s="252"/>
      <c r="L224" s="251"/>
      <c r="M224" s="251"/>
      <c r="N224" s="251"/>
      <c r="O224" s="251"/>
      <c r="P224" s="251"/>
      <c r="Q224" s="251"/>
      <c r="R224" s="251"/>
      <c r="S224" s="251"/>
      <c r="T224" s="251"/>
      <c r="U224" s="251"/>
      <c r="V224" s="251"/>
      <c r="W224" s="251"/>
      <c r="X224" s="251"/>
      <c r="Y224" s="251"/>
      <c r="Z224" s="251"/>
      <c r="AA224" s="137"/>
      <c r="AB224" s="137"/>
      <c r="AC224" s="137"/>
      <c r="AD224" s="137"/>
      <c r="AE224" s="137"/>
      <c r="AF224" s="137"/>
      <c r="AG224" s="137"/>
    </row>
    <row r="225" ht="30.0" customHeight="1">
      <c r="A225" s="248"/>
      <c r="B225" s="249"/>
      <c r="C225" s="248"/>
      <c r="D225" s="249"/>
      <c r="E225" s="249"/>
      <c r="F225" s="249"/>
      <c r="G225" s="250"/>
      <c r="H225" s="251"/>
      <c r="I225" s="252"/>
      <c r="J225" s="252"/>
      <c r="K225" s="252"/>
      <c r="L225" s="251"/>
      <c r="M225" s="251"/>
      <c r="N225" s="251"/>
      <c r="O225" s="251"/>
      <c r="P225" s="251"/>
      <c r="Q225" s="251"/>
      <c r="R225" s="251"/>
      <c r="S225" s="251"/>
      <c r="T225" s="251"/>
      <c r="U225" s="251"/>
      <c r="V225" s="251"/>
      <c r="W225" s="251"/>
      <c r="X225" s="251"/>
      <c r="Y225" s="251"/>
      <c r="Z225" s="251"/>
      <c r="AA225" s="137"/>
      <c r="AB225" s="137"/>
      <c r="AC225" s="137"/>
      <c r="AD225" s="137"/>
      <c r="AE225" s="137"/>
      <c r="AF225" s="137"/>
      <c r="AG225" s="137"/>
    </row>
    <row r="226" ht="30.0" customHeight="1">
      <c r="A226" s="248"/>
      <c r="B226" s="249"/>
      <c r="C226" s="248"/>
      <c r="D226" s="249"/>
      <c r="E226" s="251"/>
      <c r="F226" s="249"/>
      <c r="G226" s="250"/>
      <c r="H226" s="251"/>
      <c r="I226" s="252"/>
      <c r="J226" s="252"/>
      <c r="K226" s="252"/>
      <c r="L226" s="251"/>
      <c r="M226" s="251"/>
      <c r="N226" s="251"/>
      <c r="O226" s="251"/>
      <c r="P226" s="251"/>
      <c r="Q226" s="251"/>
      <c r="R226" s="251"/>
      <c r="S226" s="251"/>
      <c r="T226" s="251"/>
      <c r="U226" s="251"/>
      <c r="V226" s="251"/>
      <c r="W226" s="251"/>
      <c r="X226" s="251"/>
      <c r="Y226" s="251"/>
      <c r="Z226" s="251"/>
      <c r="AA226" s="137"/>
      <c r="AB226" s="137"/>
      <c r="AC226" s="137"/>
      <c r="AD226" s="137"/>
      <c r="AE226" s="137"/>
      <c r="AF226" s="137"/>
      <c r="AG226" s="137"/>
    </row>
    <row r="227" ht="30.0" customHeight="1">
      <c r="A227" s="248"/>
      <c r="B227" s="249"/>
      <c r="C227" s="248"/>
      <c r="D227" s="249"/>
      <c r="E227" s="249"/>
      <c r="F227" s="249"/>
      <c r="G227" s="250"/>
      <c r="H227" s="251"/>
      <c r="I227" s="252"/>
      <c r="J227" s="252"/>
      <c r="K227" s="252"/>
      <c r="L227" s="251"/>
      <c r="M227" s="251"/>
      <c r="N227" s="251"/>
      <c r="O227" s="251"/>
      <c r="P227" s="251"/>
      <c r="Q227" s="251"/>
      <c r="R227" s="251"/>
      <c r="S227" s="251"/>
      <c r="T227" s="251"/>
      <c r="U227" s="251"/>
      <c r="V227" s="251"/>
      <c r="W227" s="251"/>
      <c r="X227" s="251"/>
      <c r="Y227" s="251"/>
      <c r="Z227" s="251"/>
      <c r="AA227" s="137"/>
      <c r="AB227" s="137"/>
      <c r="AC227" s="137"/>
      <c r="AD227" s="137"/>
      <c r="AE227" s="137"/>
      <c r="AF227" s="137"/>
      <c r="AG227" s="137"/>
    </row>
    <row r="228" ht="30.0" customHeight="1">
      <c r="A228" s="248"/>
      <c r="B228" s="249"/>
      <c r="C228" s="248"/>
      <c r="D228" s="249"/>
      <c r="E228" s="251"/>
      <c r="F228" s="249"/>
      <c r="G228" s="250"/>
      <c r="H228" s="251"/>
      <c r="I228" s="252"/>
      <c r="J228" s="252"/>
      <c r="K228" s="252"/>
      <c r="L228" s="251"/>
      <c r="M228" s="251"/>
      <c r="N228" s="251"/>
      <c r="O228" s="251"/>
      <c r="P228" s="251"/>
      <c r="Q228" s="251"/>
      <c r="R228" s="251"/>
      <c r="S228" s="251"/>
      <c r="T228" s="251"/>
      <c r="U228" s="251"/>
      <c r="V228" s="251"/>
      <c r="W228" s="251"/>
      <c r="X228" s="251"/>
      <c r="Y228" s="251"/>
      <c r="Z228" s="251"/>
      <c r="AA228" s="137"/>
      <c r="AB228" s="137"/>
      <c r="AC228" s="137"/>
      <c r="AD228" s="137"/>
      <c r="AE228" s="137"/>
      <c r="AF228" s="137"/>
      <c r="AG228" s="137"/>
    </row>
    <row r="229" ht="30.0" customHeight="1">
      <c r="A229" s="248"/>
      <c r="B229" s="249"/>
      <c r="C229" s="248"/>
      <c r="D229" s="249"/>
      <c r="E229" s="249"/>
      <c r="F229" s="249"/>
      <c r="G229" s="250"/>
      <c r="H229" s="251"/>
      <c r="I229" s="252"/>
      <c r="J229" s="252"/>
      <c r="K229" s="252"/>
      <c r="L229" s="251"/>
      <c r="M229" s="251"/>
      <c r="N229" s="251"/>
      <c r="O229" s="251"/>
      <c r="P229" s="251"/>
      <c r="Q229" s="251"/>
      <c r="R229" s="251"/>
      <c r="S229" s="251"/>
      <c r="T229" s="251"/>
      <c r="U229" s="251"/>
      <c r="V229" s="251"/>
      <c r="W229" s="251"/>
      <c r="X229" s="251"/>
      <c r="Y229" s="251"/>
      <c r="Z229" s="251"/>
      <c r="AA229" s="137"/>
      <c r="AB229" s="137"/>
      <c r="AC229" s="137"/>
      <c r="AD229" s="137"/>
      <c r="AE229" s="137"/>
      <c r="AF229" s="137"/>
      <c r="AG229" s="137"/>
    </row>
    <row r="230" ht="30.0" customHeight="1">
      <c r="A230" s="248"/>
      <c r="B230" s="249"/>
      <c r="C230" s="248"/>
      <c r="D230" s="249"/>
      <c r="E230" s="249"/>
      <c r="F230" s="249"/>
      <c r="G230" s="250"/>
      <c r="H230" s="251"/>
      <c r="I230" s="252"/>
      <c r="J230" s="252"/>
      <c r="K230" s="252"/>
      <c r="L230" s="251"/>
      <c r="M230" s="251"/>
      <c r="N230" s="251"/>
      <c r="O230" s="251"/>
      <c r="P230" s="251"/>
      <c r="Q230" s="251"/>
      <c r="R230" s="251"/>
      <c r="S230" s="251"/>
      <c r="T230" s="251"/>
      <c r="U230" s="251"/>
      <c r="V230" s="251"/>
      <c r="W230" s="251"/>
      <c r="X230" s="251"/>
      <c r="Y230" s="251"/>
      <c r="Z230" s="251"/>
      <c r="AA230" s="137"/>
      <c r="AB230" s="137"/>
      <c r="AC230" s="137"/>
      <c r="AD230" s="137"/>
      <c r="AE230" s="137"/>
      <c r="AF230" s="137"/>
      <c r="AG230" s="137"/>
    </row>
    <row r="231" ht="30.0" customHeight="1">
      <c r="A231" s="248"/>
      <c r="B231" s="249"/>
      <c r="C231" s="248"/>
      <c r="D231" s="249"/>
      <c r="E231" s="249"/>
      <c r="F231" s="249"/>
      <c r="G231" s="250"/>
      <c r="H231" s="251"/>
      <c r="I231" s="252"/>
      <c r="J231" s="252"/>
      <c r="K231" s="252"/>
      <c r="L231" s="251"/>
      <c r="M231" s="251"/>
      <c r="N231" s="251"/>
      <c r="O231" s="251"/>
      <c r="P231" s="251"/>
      <c r="Q231" s="251"/>
      <c r="R231" s="251"/>
      <c r="S231" s="251"/>
      <c r="T231" s="251"/>
      <c r="U231" s="251"/>
      <c r="V231" s="251"/>
      <c r="W231" s="251"/>
      <c r="X231" s="251"/>
      <c r="Y231" s="251"/>
      <c r="Z231" s="251"/>
      <c r="AA231" s="137"/>
      <c r="AB231" s="137"/>
      <c r="AC231" s="137"/>
      <c r="AD231" s="137"/>
      <c r="AE231" s="137"/>
      <c r="AF231" s="137"/>
      <c r="AG231" s="137"/>
    </row>
    <row r="232" ht="30.0" customHeight="1">
      <c r="A232" s="248"/>
      <c r="B232" s="249"/>
      <c r="C232" s="249"/>
      <c r="D232" s="249"/>
      <c r="E232" s="249"/>
      <c r="F232" s="249"/>
      <c r="G232" s="250"/>
      <c r="H232" s="251"/>
      <c r="I232" s="252"/>
      <c r="J232" s="252"/>
      <c r="K232" s="252"/>
      <c r="L232" s="251"/>
      <c r="M232" s="251"/>
      <c r="N232" s="251"/>
      <c r="O232" s="251"/>
      <c r="P232" s="251"/>
      <c r="Q232" s="251"/>
      <c r="R232" s="251"/>
      <c r="S232" s="251"/>
      <c r="T232" s="251"/>
      <c r="U232" s="251"/>
      <c r="V232" s="251"/>
      <c r="W232" s="251"/>
      <c r="X232" s="251"/>
      <c r="Y232" s="251"/>
      <c r="Z232" s="251"/>
      <c r="AA232" s="137"/>
      <c r="AB232" s="137"/>
      <c r="AC232" s="137"/>
      <c r="AD232" s="137"/>
      <c r="AE232" s="137"/>
      <c r="AF232" s="137"/>
      <c r="AG232" s="137"/>
    </row>
    <row r="233" ht="30.0" customHeight="1">
      <c r="A233" s="248"/>
      <c r="B233" s="249"/>
      <c r="C233" s="248"/>
      <c r="D233" s="249"/>
      <c r="E233" s="251"/>
      <c r="F233" s="249"/>
      <c r="G233" s="250"/>
      <c r="H233" s="251"/>
      <c r="I233" s="252"/>
      <c r="J233" s="252"/>
      <c r="K233" s="252"/>
      <c r="L233" s="251"/>
      <c r="M233" s="251"/>
      <c r="N233" s="251"/>
      <c r="O233" s="251"/>
      <c r="P233" s="251"/>
      <c r="Q233" s="251"/>
      <c r="R233" s="251"/>
      <c r="S233" s="251"/>
      <c r="T233" s="251"/>
      <c r="U233" s="251"/>
      <c r="V233" s="251"/>
      <c r="W233" s="251"/>
      <c r="X233" s="251"/>
      <c r="Y233" s="251"/>
      <c r="Z233" s="251"/>
      <c r="AA233" s="137"/>
      <c r="AB233" s="137"/>
      <c r="AC233" s="137"/>
      <c r="AD233" s="137"/>
      <c r="AE233" s="137"/>
      <c r="AF233" s="137"/>
      <c r="AG233" s="137"/>
    </row>
    <row r="234" ht="30.0" customHeight="1">
      <c r="A234" s="248"/>
      <c r="B234" s="249"/>
      <c r="C234" s="248"/>
      <c r="D234" s="249"/>
      <c r="E234" s="249"/>
      <c r="F234" s="249"/>
      <c r="G234" s="250"/>
      <c r="H234" s="251"/>
      <c r="I234" s="252"/>
      <c r="J234" s="252"/>
      <c r="K234" s="252"/>
      <c r="L234" s="251"/>
      <c r="M234" s="251"/>
      <c r="N234" s="251"/>
      <c r="O234" s="251"/>
      <c r="P234" s="251"/>
      <c r="Q234" s="251"/>
      <c r="R234" s="251"/>
      <c r="S234" s="251"/>
      <c r="T234" s="251"/>
      <c r="U234" s="251"/>
      <c r="V234" s="251"/>
      <c r="W234" s="251"/>
      <c r="X234" s="251"/>
      <c r="Y234" s="251"/>
      <c r="Z234" s="251"/>
      <c r="AA234" s="137"/>
      <c r="AB234" s="137"/>
      <c r="AC234" s="137"/>
      <c r="AD234" s="137"/>
      <c r="AE234" s="137"/>
      <c r="AF234" s="137"/>
      <c r="AG234" s="137"/>
    </row>
    <row r="235" ht="30.0" customHeight="1">
      <c r="A235" s="249"/>
      <c r="B235" s="249"/>
      <c r="C235" s="248"/>
      <c r="D235" s="249"/>
      <c r="E235" s="249"/>
      <c r="F235" s="249"/>
      <c r="G235" s="250"/>
      <c r="H235" s="251"/>
      <c r="I235" s="252"/>
      <c r="J235" s="252"/>
      <c r="K235" s="252"/>
      <c r="L235" s="251"/>
      <c r="M235" s="251"/>
      <c r="N235" s="251"/>
      <c r="O235" s="251"/>
      <c r="P235" s="251"/>
      <c r="Q235" s="251"/>
      <c r="R235" s="251"/>
      <c r="S235" s="251"/>
      <c r="T235" s="251"/>
      <c r="U235" s="251"/>
      <c r="V235" s="251"/>
      <c r="W235" s="251"/>
      <c r="X235" s="251"/>
      <c r="Y235" s="251"/>
      <c r="Z235" s="251"/>
      <c r="AA235" s="137"/>
      <c r="AB235" s="137"/>
      <c r="AC235" s="137"/>
      <c r="AD235" s="137"/>
      <c r="AE235" s="137"/>
      <c r="AF235" s="137"/>
      <c r="AG235" s="137"/>
    </row>
    <row r="236" ht="30.0" customHeight="1">
      <c r="A236" s="248"/>
      <c r="B236" s="249"/>
      <c r="C236" s="249"/>
      <c r="D236" s="249"/>
      <c r="E236" s="251"/>
      <c r="F236" s="249"/>
      <c r="G236" s="250"/>
      <c r="H236" s="251"/>
      <c r="I236" s="252"/>
      <c r="J236" s="252"/>
      <c r="K236" s="252"/>
      <c r="L236" s="251"/>
      <c r="M236" s="251"/>
      <c r="N236" s="251"/>
      <c r="O236" s="251"/>
      <c r="P236" s="251"/>
      <c r="Q236" s="251"/>
      <c r="R236" s="251"/>
      <c r="S236" s="251"/>
      <c r="T236" s="251"/>
      <c r="U236" s="251"/>
      <c r="V236" s="251"/>
      <c r="W236" s="251"/>
      <c r="X236" s="251"/>
      <c r="Y236" s="251"/>
      <c r="Z236" s="251"/>
      <c r="AA236" s="137"/>
      <c r="AB236" s="137"/>
      <c r="AC236" s="137"/>
      <c r="AD236" s="137"/>
      <c r="AE236" s="137"/>
      <c r="AF236" s="137"/>
      <c r="AG236" s="137"/>
    </row>
    <row r="237" ht="30.0" customHeight="1">
      <c r="A237" s="248"/>
      <c r="B237" s="249"/>
      <c r="C237" s="249"/>
      <c r="D237" s="249"/>
      <c r="E237" s="249"/>
      <c r="F237" s="249"/>
      <c r="G237" s="249"/>
      <c r="H237" s="251"/>
      <c r="I237" s="252"/>
      <c r="J237" s="252"/>
      <c r="K237" s="252"/>
      <c r="L237" s="251"/>
      <c r="M237" s="251"/>
      <c r="N237" s="251"/>
      <c r="O237" s="251"/>
      <c r="P237" s="251"/>
      <c r="Q237" s="251"/>
      <c r="R237" s="251"/>
      <c r="S237" s="251"/>
      <c r="T237" s="251"/>
      <c r="U237" s="251"/>
      <c r="V237" s="251"/>
      <c r="W237" s="251"/>
      <c r="X237" s="251"/>
      <c r="Y237" s="251"/>
      <c r="Z237" s="251"/>
      <c r="AA237" s="137"/>
      <c r="AB237" s="137"/>
      <c r="AC237" s="137"/>
      <c r="AD237" s="137"/>
      <c r="AE237" s="137"/>
      <c r="AF237" s="137"/>
      <c r="AG237" s="137"/>
    </row>
    <row r="238" ht="30.0" customHeight="1">
      <c r="A238" s="248"/>
      <c r="B238" s="249"/>
      <c r="C238" s="248"/>
      <c r="D238" s="249"/>
      <c r="E238" s="249"/>
      <c r="F238" s="249"/>
      <c r="G238" s="250"/>
      <c r="H238" s="251"/>
      <c r="I238" s="252"/>
      <c r="J238" s="252"/>
      <c r="K238" s="252"/>
      <c r="L238" s="251"/>
      <c r="M238" s="251"/>
      <c r="N238" s="251"/>
      <c r="O238" s="251"/>
      <c r="P238" s="251"/>
      <c r="Q238" s="251"/>
      <c r="R238" s="251"/>
      <c r="S238" s="251"/>
      <c r="T238" s="251"/>
      <c r="U238" s="251"/>
      <c r="V238" s="251"/>
      <c r="W238" s="251"/>
      <c r="X238" s="251"/>
      <c r="Y238" s="251"/>
      <c r="Z238" s="251"/>
      <c r="AA238" s="137"/>
      <c r="AB238" s="137"/>
      <c r="AC238" s="137"/>
      <c r="AD238" s="137"/>
      <c r="AE238" s="137"/>
      <c r="AF238" s="137"/>
      <c r="AG238" s="137"/>
    </row>
    <row r="239" ht="30.0" customHeight="1">
      <c r="A239" s="248"/>
      <c r="B239" s="249"/>
      <c r="C239" s="248"/>
      <c r="D239" s="249"/>
      <c r="E239" s="249"/>
      <c r="F239" s="249"/>
      <c r="G239" s="250"/>
      <c r="H239" s="251"/>
      <c r="I239" s="252"/>
      <c r="J239" s="252"/>
      <c r="K239" s="252"/>
      <c r="L239" s="251"/>
      <c r="M239" s="251"/>
      <c r="N239" s="251"/>
      <c r="O239" s="251"/>
      <c r="P239" s="251"/>
      <c r="Q239" s="251"/>
      <c r="R239" s="251"/>
      <c r="S239" s="251"/>
      <c r="T239" s="251"/>
      <c r="U239" s="251"/>
      <c r="V239" s="251"/>
      <c r="W239" s="251"/>
      <c r="X239" s="251"/>
      <c r="Y239" s="251"/>
      <c r="Z239" s="251"/>
      <c r="AA239" s="137"/>
      <c r="AB239" s="137"/>
      <c r="AC239" s="137"/>
      <c r="AD239" s="137"/>
      <c r="AE239" s="137"/>
      <c r="AF239" s="137"/>
      <c r="AG239" s="137"/>
    </row>
    <row r="240" ht="30.0" customHeight="1">
      <c r="A240" s="248"/>
      <c r="B240" s="249"/>
      <c r="C240" s="248"/>
      <c r="D240" s="249"/>
      <c r="E240" s="251"/>
      <c r="F240" s="249"/>
      <c r="G240" s="250"/>
      <c r="H240" s="251"/>
      <c r="I240" s="252"/>
      <c r="J240" s="252"/>
      <c r="K240" s="252"/>
      <c r="L240" s="251"/>
      <c r="M240" s="251"/>
      <c r="N240" s="251"/>
      <c r="O240" s="251"/>
      <c r="P240" s="251"/>
      <c r="Q240" s="251"/>
      <c r="R240" s="251"/>
      <c r="S240" s="251"/>
      <c r="T240" s="251"/>
      <c r="U240" s="251"/>
      <c r="V240" s="251"/>
      <c r="W240" s="251"/>
      <c r="X240" s="251"/>
      <c r="Y240" s="251"/>
      <c r="Z240" s="251"/>
      <c r="AA240" s="137"/>
      <c r="AB240" s="137"/>
      <c r="AC240" s="137"/>
      <c r="AD240" s="137"/>
      <c r="AE240" s="137"/>
      <c r="AF240" s="137"/>
      <c r="AG240" s="137"/>
    </row>
    <row r="241" ht="30.0" customHeight="1">
      <c r="A241" s="248"/>
      <c r="B241" s="249"/>
      <c r="C241" s="248"/>
      <c r="D241" s="249"/>
      <c r="E241" s="249"/>
      <c r="F241" s="249"/>
      <c r="G241" s="250"/>
      <c r="H241" s="251"/>
      <c r="I241" s="252"/>
      <c r="J241" s="252"/>
      <c r="K241" s="252"/>
      <c r="L241" s="251"/>
      <c r="M241" s="251"/>
      <c r="N241" s="251"/>
      <c r="O241" s="251"/>
      <c r="P241" s="251"/>
      <c r="Q241" s="251"/>
      <c r="R241" s="251"/>
      <c r="S241" s="251"/>
      <c r="T241" s="251"/>
      <c r="U241" s="251"/>
      <c r="V241" s="251"/>
      <c r="W241" s="251"/>
      <c r="X241" s="251"/>
      <c r="Y241" s="251"/>
      <c r="Z241" s="251"/>
      <c r="AA241" s="137"/>
      <c r="AB241" s="137"/>
      <c r="AC241" s="137"/>
      <c r="AD241" s="137"/>
      <c r="AE241" s="137"/>
      <c r="AF241" s="137"/>
      <c r="AG241" s="137"/>
    </row>
    <row r="242" ht="30.0" customHeight="1">
      <c r="A242" s="248"/>
      <c r="B242" s="249"/>
      <c r="C242" s="248"/>
      <c r="D242" s="249"/>
      <c r="E242" s="251"/>
      <c r="F242" s="249"/>
      <c r="G242" s="250"/>
      <c r="H242" s="251"/>
      <c r="I242" s="252"/>
      <c r="J242" s="252"/>
      <c r="K242" s="252"/>
      <c r="L242" s="251"/>
      <c r="M242" s="251"/>
      <c r="N242" s="251"/>
      <c r="O242" s="251"/>
      <c r="P242" s="251"/>
      <c r="Q242" s="251"/>
      <c r="R242" s="251"/>
      <c r="S242" s="251"/>
      <c r="T242" s="251"/>
      <c r="U242" s="251"/>
      <c r="V242" s="251"/>
      <c r="W242" s="251"/>
      <c r="X242" s="251"/>
      <c r="Y242" s="251"/>
      <c r="Z242" s="251"/>
      <c r="AA242" s="137"/>
      <c r="AB242" s="137"/>
      <c r="AC242" s="137"/>
      <c r="AD242" s="137"/>
      <c r="AE242" s="137"/>
      <c r="AF242" s="137"/>
      <c r="AG242" s="137"/>
    </row>
    <row r="243" ht="30.0" customHeight="1">
      <c r="A243" s="248"/>
      <c r="B243" s="249"/>
      <c r="C243" s="248"/>
      <c r="D243" s="249"/>
      <c r="E243" s="251"/>
      <c r="F243" s="249"/>
      <c r="G243" s="250"/>
      <c r="H243" s="251"/>
      <c r="I243" s="252"/>
      <c r="J243" s="252"/>
      <c r="K243" s="252"/>
      <c r="L243" s="251"/>
      <c r="M243" s="251"/>
      <c r="N243" s="251"/>
      <c r="O243" s="251"/>
      <c r="P243" s="251"/>
      <c r="Q243" s="251"/>
      <c r="R243" s="251"/>
      <c r="S243" s="251"/>
      <c r="T243" s="251"/>
      <c r="U243" s="251"/>
      <c r="V243" s="251"/>
      <c r="W243" s="251"/>
      <c r="X243" s="251"/>
      <c r="Y243" s="251"/>
      <c r="Z243" s="251"/>
      <c r="AA243" s="137"/>
      <c r="AB243" s="137"/>
      <c r="AC243" s="137"/>
      <c r="AD243" s="137"/>
      <c r="AE243" s="137"/>
      <c r="AF243" s="137"/>
      <c r="AG243" s="137"/>
    </row>
    <row r="244" ht="30.0" customHeight="1">
      <c r="A244" s="248"/>
      <c r="B244" s="249"/>
      <c r="C244" s="248"/>
      <c r="D244" s="249"/>
      <c r="E244" s="251"/>
      <c r="F244" s="249"/>
      <c r="G244" s="250"/>
      <c r="H244" s="251"/>
      <c r="I244" s="252"/>
      <c r="J244" s="252"/>
      <c r="K244" s="252"/>
      <c r="L244" s="251"/>
      <c r="M244" s="251"/>
      <c r="N244" s="251"/>
      <c r="O244" s="251"/>
      <c r="P244" s="251"/>
      <c r="Q244" s="251"/>
      <c r="R244" s="251"/>
      <c r="S244" s="251"/>
      <c r="T244" s="251"/>
      <c r="U244" s="251"/>
      <c r="V244" s="251"/>
      <c r="W244" s="251"/>
      <c r="X244" s="251"/>
      <c r="Y244" s="251"/>
      <c r="Z244" s="251"/>
      <c r="AA244" s="137"/>
      <c r="AB244" s="137"/>
      <c r="AC244" s="137"/>
      <c r="AD244" s="137"/>
      <c r="AE244" s="137"/>
      <c r="AF244" s="137"/>
      <c r="AG244" s="137"/>
    </row>
    <row r="245" ht="30.0" customHeight="1">
      <c r="A245" s="248"/>
      <c r="B245" s="249"/>
      <c r="C245" s="248"/>
      <c r="D245" s="249"/>
      <c r="E245" s="249"/>
      <c r="F245" s="249"/>
      <c r="G245" s="250"/>
      <c r="H245" s="251"/>
      <c r="I245" s="252"/>
      <c r="J245" s="252"/>
      <c r="K245" s="252"/>
      <c r="L245" s="251"/>
      <c r="M245" s="251"/>
      <c r="N245" s="251"/>
      <c r="O245" s="251"/>
      <c r="P245" s="251"/>
      <c r="Q245" s="251"/>
      <c r="R245" s="251"/>
      <c r="S245" s="251"/>
      <c r="T245" s="251"/>
      <c r="U245" s="251"/>
      <c r="V245" s="251"/>
      <c r="W245" s="251"/>
      <c r="X245" s="251"/>
      <c r="Y245" s="251"/>
      <c r="Z245" s="251"/>
      <c r="AA245" s="137"/>
      <c r="AB245" s="137"/>
      <c r="AC245" s="137"/>
      <c r="AD245" s="137"/>
      <c r="AE245" s="137"/>
      <c r="AF245" s="137"/>
      <c r="AG245" s="137"/>
    </row>
    <row r="246" ht="30.0" customHeight="1">
      <c r="A246" s="248"/>
      <c r="B246" s="249"/>
      <c r="C246" s="248"/>
      <c r="D246" s="249"/>
      <c r="E246" s="249"/>
      <c r="F246" s="249"/>
      <c r="G246" s="250"/>
      <c r="H246" s="251"/>
      <c r="I246" s="252"/>
      <c r="J246" s="252"/>
      <c r="K246" s="252"/>
      <c r="L246" s="251"/>
      <c r="M246" s="251"/>
      <c r="N246" s="251"/>
      <c r="O246" s="251"/>
      <c r="P246" s="251"/>
      <c r="Q246" s="251"/>
      <c r="R246" s="251"/>
      <c r="S246" s="251"/>
      <c r="T246" s="251"/>
      <c r="U246" s="251"/>
      <c r="V246" s="251"/>
      <c r="W246" s="251"/>
      <c r="X246" s="251"/>
      <c r="Y246" s="251"/>
      <c r="Z246" s="251"/>
      <c r="AA246" s="137"/>
      <c r="AB246" s="137"/>
      <c r="AC246" s="137"/>
      <c r="AD246" s="137"/>
      <c r="AE246" s="137"/>
      <c r="AF246" s="137"/>
      <c r="AG246" s="137"/>
    </row>
    <row r="247" ht="30.0" customHeight="1">
      <c r="A247" s="248"/>
      <c r="B247" s="249"/>
      <c r="C247" s="248"/>
      <c r="D247" s="249"/>
      <c r="E247" s="249"/>
      <c r="F247" s="249"/>
      <c r="G247" s="250"/>
      <c r="H247" s="251"/>
      <c r="I247" s="252"/>
      <c r="J247" s="252"/>
      <c r="K247" s="252"/>
      <c r="L247" s="251"/>
      <c r="M247" s="251"/>
      <c r="N247" s="251"/>
      <c r="O247" s="251"/>
      <c r="P247" s="251"/>
      <c r="Q247" s="251"/>
      <c r="R247" s="251"/>
      <c r="S247" s="251"/>
      <c r="T247" s="251"/>
      <c r="U247" s="251"/>
      <c r="V247" s="251"/>
      <c r="W247" s="251"/>
      <c r="X247" s="251"/>
      <c r="Y247" s="251"/>
      <c r="Z247" s="251"/>
      <c r="AA247" s="137"/>
      <c r="AB247" s="137"/>
      <c r="AC247" s="137"/>
      <c r="AD247" s="137"/>
      <c r="AE247" s="137"/>
      <c r="AF247" s="137"/>
      <c r="AG247" s="137"/>
    </row>
    <row r="248" ht="30.0" customHeight="1">
      <c r="A248" s="248"/>
      <c r="B248" s="249"/>
      <c r="C248" s="249"/>
      <c r="D248" s="249"/>
      <c r="E248" s="249"/>
      <c r="F248" s="249"/>
      <c r="G248" s="249"/>
      <c r="H248" s="251"/>
      <c r="I248" s="252"/>
      <c r="J248" s="252"/>
      <c r="K248" s="252"/>
      <c r="L248" s="251"/>
      <c r="M248" s="251"/>
      <c r="N248" s="251"/>
      <c r="O248" s="251"/>
      <c r="P248" s="251"/>
      <c r="Q248" s="251"/>
      <c r="R248" s="251"/>
      <c r="S248" s="251"/>
      <c r="T248" s="251"/>
      <c r="U248" s="251"/>
      <c r="V248" s="251"/>
      <c r="W248" s="251"/>
      <c r="X248" s="251"/>
      <c r="Y248" s="251"/>
      <c r="Z248" s="251"/>
      <c r="AA248" s="137"/>
      <c r="AB248" s="137"/>
      <c r="AC248" s="137"/>
      <c r="AD248" s="137"/>
      <c r="AE248" s="137"/>
      <c r="AF248" s="137"/>
      <c r="AG248" s="137"/>
    </row>
    <row r="249" ht="30.0" customHeight="1">
      <c r="A249" s="248"/>
      <c r="B249" s="249"/>
      <c r="C249" s="248"/>
      <c r="D249" s="249"/>
      <c r="E249" s="249"/>
      <c r="F249" s="249"/>
      <c r="G249" s="249"/>
      <c r="H249" s="251"/>
      <c r="I249" s="252"/>
      <c r="J249" s="252"/>
      <c r="K249" s="252"/>
      <c r="L249" s="251"/>
      <c r="M249" s="251"/>
      <c r="N249" s="251"/>
      <c r="O249" s="251"/>
      <c r="P249" s="251"/>
      <c r="Q249" s="251"/>
      <c r="R249" s="251"/>
      <c r="S249" s="251"/>
      <c r="T249" s="251"/>
      <c r="U249" s="251"/>
      <c r="V249" s="251"/>
      <c r="W249" s="251"/>
      <c r="X249" s="251"/>
      <c r="Y249" s="251"/>
      <c r="Z249" s="251"/>
      <c r="AA249" s="137"/>
      <c r="AB249" s="137"/>
      <c r="AC249" s="137"/>
      <c r="AD249" s="137"/>
      <c r="AE249" s="137"/>
      <c r="AF249" s="137"/>
      <c r="AG249" s="137"/>
    </row>
    <row r="250" ht="30.0" customHeight="1">
      <c r="A250" s="248"/>
      <c r="B250" s="249"/>
      <c r="C250" s="248"/>
      <c r="D250" s="249"/>
      <c r="E250" s="249"/>
      <c r="F250" s="249"/>
      <c r="G250" s="250"/>
      <c r="H250" s="251"/>
      <c r="I250" s="252"/>
      <c r="J250" s="252"/>
      <c r="K250" s="252"/>
      <c r="L250" s="251"/>
      <c r="M250" s="251"/>
      <c r="N250" s="251"/>
      <c r="O250" s="251"/>
      <c r="P250" s="251"/>
      <c r="Q250" s="251"/>
      <c r="R250" s="251"/>
      <c r="S250" s="251"/>
      <c r="T250" s="251"/>
      <c r="U250" s="251"/>
      <c r="V250" s="251"/>
      <c r="W250" s="251"/>
      <c r="X250" s="251"/>
      <c r="Y250" s="251"/>
      <c r="Z250" s="251"/>
      <c r="AA250" s="137"/>
      <c r="AB250" s="137"/>
      <c r="AC250" s="137"/>
      <c r="AD250" s="137"/>
      <c r="AE250" s="137"/>
      <c r="AF250" s="137"/>
      <c r="AG250" s="137"/>
    </row>
    <row r="251" ht="30.0" customHeight="1">
      <c r="A251" s="248"/>
      <c r="B251" s="249"/>
      <c r="C251" s="248"/>
      <c r="D251" s="249"/>
      <c r="E251" s="249"/>
      <c r="F251" s="249"/>
      <c r="G251" s="250"/>
      <c r="H251" s="251"/>
      <c r="I251" s="252"/>
      <c r="J251" s="252"/>
      <c r="K251" s="252"/>
      <c r="L251" s="251"/>
      <c r="M251" s="251"/>
      <c r="N251" s="251"/>
      <c r="O251" s="251"/>
      <c r="P251" s="251"/>
      <c r="Q251" s="251"/>
      <c r="R251" s="251"/>
      <c r="S251" s="251"/>
      <c r="T251" s="251"/>
      <c r="U251" s="251"/>
      <c r="V251" s="251"/>
      <c r="W251" s="251"/>
      <c r="X251" s="251"/>
      <c r="Y251" s="251"/>
      <c r="Z251" s="251"/>
      <c r="AA251" s="137"/>
      <c r="AB251" s="137"/>
      <c r="AC251" s="137"/>
      <c r="AD251" s="137"/>
      <c r="AE251" s="137"/>
      <c r="AF251" s="137"/>
      <c r="AG251" s="137"/>
    </row>
    <row r="252" ht="30.0" customHeight="1">
      <c r="A252" s="248"/>
      <c r="B252" s="249"/>
      <c r="C252" s="248"/>
      <c r="D252" s="249"/>
      <c r="E252" s="249"/>
      <c r="F252" s="249"/>
      <c r="G252" s="250"/>
      <c r="H252" s="251"/>
      <c r="I252" s="252"/>
      <c r="J252" s="252"/>
      <c r="K252" s="252"/>
      <c r="L252" s="251"/>
      <c r="M252" s="251"/>
      <c r="N252" s="251"/>
      <c r="O252" s="251"/>
      <c r="P252" s="251"/>
      <c r="Q252" s="251"/>
      <c r="R252" s="251"/>
      <c r="S252" s="251"/>
      <c r="T252" s="251"/>
      <c r="U252" s="251"/>
      <c r="V252" s="251"/>
      <c r="W252" s="251"/>
      <c r="X252" s="251"/>
      <c r="Y252" s="251"/>
      <c r="Z252" s="251"/>
      <c r="AA252" s="137"/>
      <c r="AB252" s="137"/>
      <c r="AC252" s="137"/>
      <c r="AD252" s="137"/>
      <c r="AE252" s="137"/>
      <c r="AF252" s="137"/>
      <c r="AG252" s="137"/>
    </row>
    <row r="253" ht="30.0" customHeight="1">
      <c r="A253" s="248"/>
      <c r="B253" s="249"/>
      <c r="C253" s="248"/>
      <c r="D253" s="249"/>
      <c r="E253" s="249"/>
      <c r="F253" s="249"/>
      <c r="G253" s="249"/>
      <c r="H253" s="251"/>
      <c r="I253" s="252"/>
      <c r="J253" s="252"/>
      <c r="K253" s="252"/>
      <c r="L253" s="251"/>
      <c r="M253" s="251"/>
      <c r="N253" s="251"/>
      <c r="O253" s="251"/>
      <c r="P253" s="251"/>
      <c r="Q253" s="251"/>
      <c r="R253" s="251"/>
      <c r="S253" s="251"/>
      <c r="T253" s="251"/>
      <c r="U253" s="251"/>
      <c r="V253" s="251"/>
      <c r="W253" s="251"/>
      <c r="X253" s="251"/>
      <c r="Y253" s="251"/>
      <c r="Z253" s="251"/>
      <c r="AA253" s="137"/>
      <c r="AB253" s="137"/>
      <c r="AC253" s="137"/>
      <c r="AD253" s="137"/>
      <c r="AE253" s="137"/>
      <c r="AF253" s="137"/>
      <c r="AG253" s="137"/>
    </row>
    <row r="254" ht="30.0" customHeight="1">
      <c r="A254" s="248"/>
      <c r="B254" s="249"/>
      <c r="C254" s="248"/>
      <c r="D254" s="249"/>
      <c r="E254" s="249"/>
      <c r="F254" s="249"/>
      <c r="G254" s="250"/>
      <c r="H254" s="251"/>
      <c r="I254" s="252"/>
      <c r="J254" s="252"/>
      <c r="K254" s="252"/>
      <c r="L254" s="251"/>
      <c r="M254" s="251"/>
      <c r="N254" s="251"/>
      <c r="O254" s="251"/>
      <c r="P254" s="251"/>
      <c r="Q254" s="251"/>
      <c r="R254" s="251"/>
      <c r="S254" s="251"/>
      <c r="T254" s="251"/>
      <c r="U254" s="251"/>
      <c r="V254" s="251"/>
      <c r="W254" s="251"/>
      <c r="X254" s="251"/>
      <c r="Y254" s="251"/>
      <c r="Z254" s="251"/>
      <c r="AA254" s="137"/>
      <c r="AB254" s="137"/>
      <c r="AC254" s="137"/>
      <c r="AD254" s="137"/>
      <c r="AE254" s="137"/>
      <c r="AF254" s="137"/>
      <c r="AG254" s="137"/>
    </row>
    <row r="255" ht="30.0" customHeight="1">
      <c r="A255" s="248"/>
      <c r="B255" s="249"/>
      <c r="C255" s="248"/>
      <c r="D255" s="249"/>
      <c r="E255" s="249"/>
      <c r="F255" s="249"/>
      <c r="G255" s="250"/>
      <c r="H255" s="251"/>
      <c r="I255" s="252"/>
      <c r="J255" s="252"/>
      <c r="K255" s="252"/>
      <c r="L255" s="251"/>
      <c r="M255" s="251"/>
      <c r="N255" s="251"/>
      <c r="O255" s="251"/>
      <c r="P255" s="251"/>
      <c r="Q255" s="251"/>
      <c r="R255" s="251"/>
      <c r="S255" s="251"/>
      <c r="T255" s="251"/>
      <c r="U255" s="251"/>
      <c r="V255" s="251"/>
      <c r="W255" s="251"/>
      <c r="X255" s="251"/>
      <c r="Y255" s="251"/>
      <c r="Z255" s="251"/>
      <c r="AA255" s="137"/>
      <c r="AB255" s="137"/>
      <c r="AC255" s="137"/>
      <c r="AD255" s="137"/>
      <c r="AE255" s="137"/>
      <c r="AF255" s="137"/>
      <c r="AG255" s="137"/>
    </row>
    <row r="256" ht="30.0" customHeight="1">
      <c r="A256" s="248"/>
      <c r="B256" s="249"/>
      <c r="C256" s="248"/>
      <c r="D256" s="249"/>
      <c r="E256" s="249"/>
      <c r="F256" s="249"/>
      <c r="G256" s="250"/>
      <c r="H256" s="251"/>
      <c r="I256" s="252"/>
      <c r="J256" s="252"/>
      <c r="K256" s="252"/>
      <c r="L256" s="251"/>
      <c r="M256" s="251"/>
      <c r="N256" s="251"/>
      <c r="O256" s="251"/>
      <c r="P256" s="251"/>
      <c r="Q256" s="251"/>
      <c r="R256" s="251"/>
      <c r="S256" s="251"/>
      <c r="T256" s="251"/>
      <c r="U256" s="251"/>
      <c r="V256" s="251"/>
      <c r="W256" s="251"/>
      <c r="X256" s="251"/>
      <c r="Y256" s="251"/>
      <c r="Z256" s="251"/>
      <c r="AA256" s="137"/>
      <c r="AB256" s="137"/>
      <c r="AC256" s="137"/>
      <c r="AD256" s="137"/>
      <c r="AE256" s="137"/>
      <c r="AF256" s="137"/>
      <c r="AG256" s="137"/>
    </row>
    <row r="257" ht="30.0" customHeight="1">
      <c r="A257" s="248"/>
      <c r="B257" s="249"/>
      <c r="C257" s="248"/>
      <c r="D257" s="249"/>
      <c r="E257" s="251"/>
      <c r="F257" s="249"/>
      <c r="G257" s="250"/>
      <c r="H257" s="251"/>
      <c r="I257" s="252"/>
      <c r="J257" s="252"/>
      <c r="K257" s="252"/>
      <c r="L257" s="251"/>
      <c r="M257" s="251"/>
      <c r="N257" s="251"/>
      <c r="O257" s="251"/>
      <c r="P257" s="251"/>
      <c r="Q257" s="251"/>
      <c r="R257" s="251"/>
      <c r="S257" s="251"/>
      <c r="T257" s="251"/>
      <c r="U257" s="251"/>
      <c r="V257" s="251"/>
      <c r="W257" s="251"/>
      <c r="X257" s="251"/>
      <c r="Y257" s="251"/>
      <c r="Z257" s="251"/>
      <c r="AA257" s="137"/>
      <c r="AB257" s="137"/>
      <c r="AC257" s="137"/>
      <c r="AD257" s="137"/>
      <c r="AE257" s="137"/>
      <c r="AF257" s="137"/>
      <c r="AG257" s="137"/>
    </row>
    <row r="258" ht="30.0" customHeight="1">
      <c r="A258" s="248"/>
      <c r="B258" s="249"/>
      <c r="C258" s="248"/>
      <c r="D258" s="249"/>
      <c r="E258" s="251"/>
      <c r="F258" s="249"/>
      <c r="G258" s="250"/>
      <c r="H258" s="251"/>
      <c r="I258" s="252"/>
      <c r="J258" s="252"/>
      <c r="K258" s="252"/>
      <c r="L258" s="251"/>
      <c r="M258" s="251"/>
      <c r="N258" s="251"/>
      <c r="O258" s="251"/>
      <c r="P258" s="251"/>
      <c r="Q258" s="251"/>
      <c r="R258" s="251"/>
      <c r="S258" s="251"/>
      <c r="T258" s="251"/>
      <c r="U258" s="251"/>
      <c r="V258" s="251"/>
      <c r="W258" s="251"/>
      <c r="X258" s="251"/>
      <c r="Y258" s="251"/>
      <c r="Z258" s="251"/>
      <c r="AA258" s="137"/>
      <c r="AB258" s="137"/>
      <c r="AC258" s="137"/>
      <c r="AD258" s="137"/>
      <c r="AE258" s="137"/>
      <c r="AF258" s="137"/>
      <c r="AG258" s="137"/>
    </row>
    <row r="259" ht="30.0" customHeight="1">
      <c r="A259" s="248"/>
      <c r="B259" s="249"/>
      <c r="C259" s="248"/>
      <c r="D259" s="249"/>
      <c r="E259" s="249"/>
      <c r="F259" s="249"/>
      <c r="G259" s="250"/>
      <c r="H259" s="251"/>
      <c r="I259" s="252"/>
      <c r="J259" s="252"/>
      <c r="K259" s="252"/>
      <c r="L259" s="251"/>
      <c r="M259" s="251"/>
      <c r="N259" s="251"/>
      <c r="O259" s="251"/>
      <c r="P259" s="251"/>
      <c r="Q259" s="251"/>
      <c r="R259" s="251"/>
      <c r="S259" s="251"/>
      <c r="T259" s="251"/>
      <c r="U259" s="251"/>
      <c r="V259" s="251"/>
      <c r="W259" s="251"/>
      <c r="X259" s="251"/>
      <c r="Y259" s="251"/>
      <c r="Z259" s="251"/>
      <c r="AA259" s="137"/>
      <c r="AB259" s="137"/>
      <c r="AC259" s="137"/>
      <c r="AD259" s="137"/>
      <c r="AE259" s="137"/>
      <c r="AF259" s="137"/>
      <c r="AG259" s="137"/>
    </row>
    <row r="260" ht="30.0" customHeight="1">
      <c r="A260" s="248"/>
      <c r="B260" s="249"/>
      <c r="C260" s="248"/>
      <c r="D260" s="249"/>
      <c r="E260" s="249"/>
      <c r="F260" s="249"/>
      <c r="G260" s="249"/>
      <c r="H260" s="251"/>
      <c r="I260" s="252"/>
      <c r="J260" s="252"/>
      <c r="K260" s="252"/>
      <c r="L260" s="251"/>
      <c r="M260" s="251"/>
      <c r="N260" s="251"/>
      <c r="O260" s="251"/>
      <c r="P260" s="251"/>
      <c r="Q260" s="251"/>
      <c r="R260" s="251"/>
      <c r="S260" s="251"/>
      <c r="T260" s="251"/>
      <c r="U260" s="251"/>
      <c r="V260" s="251"/>
      <c r="W260" s="251"/>
      <c r="X260" s="251"/>
      <c r="Y260" s="251"/>
      <c r="Z260" s="251"/>
      <c r="AA260" s="137"/>
      <c r="AB260" s="137"/>
      <c r="AC260" s="137"/>
      <c r="AD260" s="137"/>
      <c r="AE260" s="137"/>
      <c r="AF260" s="137"/>
      <c r="AG260" s="137"/>
    </row>
    <row r="261" ht="30.0" customHeight="1">
      <c r="A261" s="248"/>
      <c r="B261" s="249"/>
      <c r="C261" s="248"/>
      <c r="D261" s="249"/>
      <c r="E261" s="251"/>
      <c r="F261" s="249"/>
      <c r="G261" s="249"/>
      <c r="H261" s="251"/>
      <c r="I261" s="252"/>
      <c r="J261" s="252"/>
      <c r="K261" s="252"/>
      <c r="L261" s="251"/>
      <c r="M261" s="251"/>
      <c r="N261" s="251"/>
      <c r="O261" s="251"/>
      <c r="P261" s="251"/>
      <c r="Q261" s="251"/>
      <c r="R261" s="251"/>
      <c r="S261" s="251"/>
      <c r="T261" s="251"/>
      <c r="U261" s="251"/>
      <c r="V261" s="251"/>
      <c r="W261" s="251"/>
      <c r="X261" s="251"/>
      <c r="Y261" s="251"/>
      <c r="Z261" s="251"/>
      <c r="AA261" s="137"/>
      <c r="AB261" s="137"/>
      <c r="AC261" s="137"/>
      <c r="AD261" s="137"/>
      <c r="AE261" s="137"/>
      <c r="AF261" s="137"/>
      <c r="AG261" s="137"/>
    </row>
    <row r="262" ht="30.0" customHeight="1">
      <c r="A262" s="248"/>
      <c r="B262" s="249"/>
      <c r="C262" s="249"/>
      <c r="D262" s="249"/>
      <c r="E262" s="251"/>
      <c r="F262" s="249"/>
      <c r="G262" s="250"/>
      <c r="H262" s="251"/>
      <c r="I262" s="252"/>
      <c r="J262" s="252"/>
      <c r="K262" s="252"/>
      <c r="L262" s="251"/>
      <c r="M262" s="251"/>
      <c r="N262" s="251"/>
      <c r="O262" s="251"/>
      <c r="P262" s="251"/>
      <c r="Q262" s="251"/>
      <c r="R262" s="251"/>
      <c r="S262" s="251"/>
      <c r="T262" s="251"/>
      <c r="U262" s="251"/>
      <c r="V262" s="251"/>
      <c r="W262" s="251"/>
      <c r="X262" s="251"/>
      <c r="Y262" s="251"/>
      <c r="Z262" s="251"/>
      <c r="AA262" s="137"/>
      <c r="AB262" s="137"/>
      <c r="AC262" s="137"/>
      <c r="AD262" s="137"/>
      <c r="AE262" s="137"/>
      <c r="AF262" s="137"/>
      <c r="AG262" s="137"/>
    </row>
    <row r="263" ht="30.0" customHeight="1">
      <c r="A263" s="248"/>
      <c r="B263" s="249"/>
      <c r="C263" s="248"/>
      <c r="D263" s="249"/>
      <c r="E263" s="249"/>
      <c r="F263" s="249"/>
      <c r="G263" s="250"/>
      <c r="H263" s="251"/>
      <c r="I263" s="252"/>
      <c r="J263" s="252"/>
      <c r="K263" s="252"/>
      <c r="L263" s="251"/>
      <c r="M263" s="251"/>
      <c r="N263" s="251"/>
      <c r="O263" s="251"/>
      <c r="P263" s="251"/>
      <c r="Q263" s="251"/>
      <c r="R263" s="251"/>
      <c r="S263" s="251"/>
      <c r="T263" s="251"/>
      <c r="U263" s="251"/>
      <c r="V263" s="251"/>
      <c r="W263" s="251"/>
      <c r="X263" s="251"/>
      <c r="Y263" s="251"/>
      <c r="Z263" s="251"/>
      <c r="AA263" s="137"/>
      <c r="AB263" s="137"/>
      <c r="AC263" s="137"/>
      <c r="AD263" s="137"/>
      <c r="AE263" s="137"/>
      <c r="AF263" s="137"/>
      <c r="AG263" s="137"/>
    </row>
    <row r="264" ht="30.0" customHeight="1">
      <c r="A264" s="248"/>
      <c r="B264" s="249"/>
      <c r="C264" s="248"/>
      <c r="D264" s="249"/>
      <c r="E264" s="249"/>
      <c r="F264" s="249"/>
      <c r="G264" s="250"/>
      <c r="H264" s="251"/>
      <c r="I264" s="252"/>
      <c r="J264" s="252"/>
      <c r="K264" s="252"/>
      <c r="L264" s="251"/>
      <c r="M264" s="251"/>
      <c r="N264" s="251"/>
      <c r="O264" s="251"/>
      <c r="P264" s="251"/>
      <c r="Q264" s="251"/>
      <c r="R264" s="251"/>
      <c r="S264" s="251"/>
      <c r="T264" s="251"/>
      <c r="U264" s="251"/>
      <c r="V264" s="251"/>
      <c r="W264" s="251"/>
      <c r="X264" s="251"/>
      <c r="Y264" s="251"/>
      <c r="Z264" s="251"/>
      <c r="AA264" s="137"/>
      <c r="AB264" s="137"/>
      <c r="AC264" s="137"/>
      <c r="AD264" s="137"/>
      <c r="AE264" s="137"/>
      <c r="AF264" s="137"/>
      <c r="AG264" s="137"/>
    </row>
    <row r="265" ht="30.0" customHeight="1">
      <c r="A265" s="248"/>
      <c r="B265" s="249"/>
      <c r="C265" s="248"/>
      <c r="D265" s="249"/>
      <c r="E265" s="249"/>
      <c r="F265" s="249"/>
      <c r="G265" s="249"/>
      <c r="H265" s="251"/>
      <c r="I265" s="252"/>
      <c r="J265" s="252"/>
      <c r="K265" s="252"/>
      <c r="L265" s="251"/>
      <c r="M265" s="251"/>
      <c r="N265" s="251"/>
      <c r="O265" s="251"/>
      <c r="P265" s="251"/>
      <c r="Q265" s="251"/>
      <c r="R265" s="251"/>
      <c r="S265" s="251"/>
      <c r="T265" s="251"/>
      <c r="U265" s="251"/>
      <c r="V265" s="251"/>
      <c r="W265" s="251"/>
      <c r="X265" s="251"/>
      <c r="Y265" s="251"/>
      <c r="Z265" s="251"/>
      <c r="AA265" s="137"/>
      <c r="AB265" s="137"/>
      <c r="AC265" s="137"/>
      <c r="AD265" s="137"/>
      <c r="AE265" s="137"/>
      <c r="AF265" s="137"/>
      <c r="AG265" s="137"/>
    </row>
    <row r="266" ht="30.0" customHeight="1">
      <c r="A266" s="248"/>
      <c r="B266" s="249"/>
      <c r="C266" s="248"/>
      <c r="D266" s="249"/>
      <c r="E266" s="249"/>
      <c r="F266" s="249"/>
      <c r="G266" s="250"/>
      <c r="H266" s="251"/>
      <c r="I266" s="252"/>
      <c r="J266" s="252"/>
      <c r="K266" s="252"/>
      <c r="L266" s="251"/>
      <c r="M266" s="251"/>
      <c r="N266" s="251"/>
      <c r="O266" s="251"/>
      <c r="P266" s="251"/>
      <c r="Q266" s="251"/>
      <c r="R266" s="251"/>
      <c r="S266" s="251"/>
      <c r="T266" s="251"/>
      <c r="U266" s="251"/>
      <c r="V266" s="251"/>
      <c r="W266" s="251"/>
      <c r="X266" s="251"/>
      <c r="Y266" s="251"/>
      <c r="Z266" s="251"/>
      <c r="AA266" s="137"/>
      <c r="AB266" s="137"/>
      <c r="AC266" s="137"/>
      <c r="AD266" s="137"/>
      <c r="AE266" s="137"/>
      <c r="AF266" s="137"/>
      <c r="AG266" s="137"/>
    </row>
    <row r="267" ht="30.0" customHeight="1">
      <c r="A267" s="248"/>
      <c r="B267" s="249"/>
      <c r="C267" s="248"/>
      <c r="D267" s="249"/>
      <c r="E267" s="249"/>
      <c r="F267" s="249"/>
      <c r="G267" s="249"/>
      <c r="H267" s="251"/>
      <c r="I267" s="252"/>
      <c r="J267" s="252"/>
      <c r="K267" s="252"/>
      <c r="L267" s="251"/>
      <c r="M267" s="251"/>
      <c r="N267" s="251"/>
      <c r="O267" s="251"/>
      <c r="P267" s="251"/>
      <c r="Q267" s="251"/>
      <c r="R267" s="251"/>
      <c r="S267" s="251"/>
      <c r="T267" s="251"/>
      <c r="U267" s="251"/>
      <c r="V267" s="251"/>
      <c r="W267" s="251"/>
      <c r="X267" s="251"/>
      <c r="Y267" s="251"/>
      <c r="Z267" s="251"/>
      <c r="AA267" s="137"/>
      <c r="AB267" s="137"/>
      <c r="AC267" s="137"/>
      <c r="AD267" s="137"/>
      <c r="AE267" s="137"/>
      <c r="AF267" s="137"/>
      <c r="AG267" s="137"/>
    </row>
    <row r="268" ht="30.0" customHeight="1">
      <c r="A268" s="248"/>
      <c r="B268" s="249"/>
      <c r="C268" s="249"/>
      <c r="D268" s="249"/>
      <c r="E268" s="249"/>
      <c r="F268" s="249"/>
      <c r="G268" s="250"/>
      <c r="H268" s="251"/>
      <c r="I268" s="252"/>
      <c r="J268" s="252"/>
      <c r="K268" s="252"/>
      <c r="L268" s="251"/>
      <c r="M268" s="251"/>
      <c r="N268" s="251"/>
      <c r="O268" s="251"/>
      <c r="P268" s="251"/>
      <c r="Q268" s="251"/>
      <c r="R268" s="251"/>
      <c r="S268" s="251"/>
      <c r="T268" s="251"/>
      <c r="U268" s="251"/>
      <c r="V268" s="251"/>
      <c r="W268" s="251"/>
      <c r="X268" s="251"/>
      <c r="Y268" s="251"/>
      <c r="Z268" s="251"/>
      <c r="AA268" s="137"/>
      <c r="AB268" s="137"/>
      <c r="AC268" s="137"/>
      <c r="AD268" s="137"/>
      <c r="AE268" s="137"/>
      <c r="AF268" s="137"/>
      <c r="AG268" s="137"/>
    </row>
    <row r="269" ht="30.0" customHeight="1">
      <c r="A269" s="248"/>
      <c r="B269" s="249"/>
      <c r="C269" s="248"/>
      <c r="D269" s="249"/>
      <c r="E269" s="249"/>
      <c r="F269" s="249"/>
      <c r="G269" s="250"/>
      <c r="H269" s="251"/>
      <c r="I269" s="252"/>
      <c r="J269" s="252"/>
      <c r="K269" s="252"/>
      <c r="L269" s="251"/>
      <c r="M269" s="251"/>
      <c r="N269" s="251"/>
      <c r="O269" s="251"/>
      <c r="P269" s="251"/>
      <c r="Q269" s="251"/>
      <c r="R269" s="251"/>
      <c r="S269" s="251"/>
      <c r="T269" s="251"/>
      <c r="U269" s="251"/>
      <c r="V269" s="251"/>
      <c r="W269" s="251"/>
      <c r="X269" s="251"/>
      <c r="Y269" s="251"/>
      <c r="Z269" s="251"/>
      <c r="AA269" s="137"/>
      <c r="AB269" s="137"/>
      <c r="AC269" s="137"/>
      <c r="AD269" s="137"/>
      <c r="AE269" s="137"/>
      <c r="AF269" s="137"/>
      <c r="AG269" s="137"/>
    </row>
    <row r="270" ht="30.0" customHeight="1">
      <c r="A270" s="248"/>
      <c r="B270" s="249"/>
      <c r="C270" s="248"/>
      <c r="D270" s="249"/>
      <c r="E270" s="249"/>
      <c r="F270" s="249"/>
      <c r="G270" s="250"/>
      <c r="H270" s="251"/>
      <c r="I270" s="252"/>
      <c r="J270" s="252"/>
      <c r="K270" s="252"/>
      <c r="L270" s="251"/>
      <c r="M270" s="251"/>
      <c r="N270" s="251"/>
      <c r="O270" s="251"/>
      <c r="P270" s="251"/>
      <c r="Q270" s="251"/>
      <c r="R270" s="251"/>
      <c r="S270" s="251"/>
      <c r="T270" s="251"/>
      <c r="U270" s="251"/>
      <c r="V270" s="251"/>
      <c r="W270" s="251"/>
      <c r="X270" s="251"/>
      <c r="Y270" s="251"/>
      <c r="Z270" s="251"/>
      <c r="AA270" s="137"/>
      <c r="AB270" s="137"/>
      <c r="AC270" s="137"/>
      <c r="AD270" s="137"/>
      <c r="AE270" s="137"/>
      <c r="AF270" s="137"/>
      <c r="AG270" s="137"/>
    </row>
    <row r="271" ht="30.0" customHeight="1">
      <c r="A271" s="248"/>
      <c r="B271" s="249"/>
      <c r="C271" s="248"/>
      <c r="D271" s="249"/>
      <c r="E271" s="251"/>
      <c r="F271" s="249"/>
      <c r="G271" s="250"/>
      <c r="H271" s="251"/>
      <c r="I271" s="252"/>
      <c r="J271" s="252"/>
      <c r="K271" s="252"/>
      <c r="L271" s="251"/>
      <c r="M271" s="251"/>
      <c r="N271" s="251"/>
      <c r="O271" s="251"/>
      <c r="P271" s="251"/>
      <c r="Q271" s="251"/>
      <c r="R271" s="251"/>
      <c r="S271" s="251"/>
      <c r="T271" s="251"/>
      <c r="U271" s="251"/>
      <c r="V271" s="251"/>
      <c r="W271" s="251"/>
      <c r="X271" s="251"/>
      <c r="Y271" s="251"/>
      <c r="Z271" s="251"/>
      <c r="AA271" s="137"/>
      <c r="AB271" s="137"/>
      <c r="AC271" s="137"/>
      <c r="AD271" s="137"/>
      <c r="AE271" s="137"/>
      <c r="AF271" s="137"/>
      <c r="AG271" s="137"/>
    </row>
    <row r="272" ht="30.0" customHeight="1">
      <c r="A272" s="248"/>
      <c r="B272" s="249"/>
      <c r="C272" s="248"/>
      <c r="D272" s="249"/>
      <c r="E272" s="251"/>
      <c r="F272" s="249"/>
      <c r="G272" s="250"/>
      <c r="H272" s="251"/>
      <c r="I272" s="252"/>
      <c r="J272" s="252"/>
      <c r="K272" s="252"/>
      <c r="L272" s="251"/>
      <c r="M272" s="251"/>
      <c r="N272" s="251"/>
      <c r="O272" s="251"/>
      <c r="P272" s="251"/>
      <c r="Q272" s="251"/>
      <c r="R272" s="251"/>
      <c r="S272" s="251"/>
      <c r="T272" s="251"/>
      <c r="U272" s="251"/>
      <c r="V272" s="251"/>
      <c r="W272" s="251"/>
      <c r="X272" s="251"/>
      <c r="Y272" s="251"/>
      <c r="Z272" s="251"/>
      <c r="AA272" s="137"/>
      <c r="AB272" s="137"/>
      <c r="AC272" s="137"/>
      <c r="AD272" s="137"/>
      <c r="AE272" s="137"/>
      <c r="AF272" s="137"/>
      <c r="AG272" s="137"/>
    </row>
    <row r="273" ht="30.0" customHeight="1">
      <c r="A273" s="248"/>
      <c r="B273" s="251"/>
      <c r="C273" s="248"/>
      <c r="D273" s="249"/>
      <c r="E273" s="249"/>
      <c r="F273" s="249"/>
      <c r="G273" s="250"/>
      <c r="H273" s="251"/>
      <c r="I273" s="252"/>
      <c r="J273" s="252"/>
      <c r="K273" s="252"/>
      <c r="L273" s="251"/>
      <c r="M273" s="251"/>
      <c r="N273" s="251"/>
      <c r="O273" s="251"/>
      <c r="P273" s="251"/>
      <c r="Q273" s="251"/>
      <c r="R273" s="251"/>
      <c r="S273" s="251"/>
      <c r="T273" s="251"/>
      <c r="U273" s="251"/>
      <c r="V273" s="251"/>
      <c r="W273" s="251"/>
      <c r="X273" s="251"/>
      <c r="Y273" s="251"/>
      <c r="Z273" s="251"/>
      <c r="AA273" s="137"/>
      <c r="AB273" s="137"/>
      <c r="AC273" s="137"/>
      <c r="AD273" s="137"/>
      <c r="AE273" s="137"/>
      <c r="AF273" s="137"/>
      <c r="AG273" s="137"/>
    </row>
    <row r="274" ht="30.0" customHeight="1">
      <c r="A274" s="248"/>
      <c r="B274" s="249"/>
      <c r="C274" s="248"/>
      <c r="D274" s="249"/>
      <c r="E274" s="251"/>
      <c r="F274" s="249"/>
      <c r="G274" s="250"/>
      <c r="H274" s="251"/>
      <c r="I274" s="252"/>
      <c r="J274" s="252"/>
      <c r="K274" s="252"/>
      <c r="L274" s="251"/>
      <c r="M274" s="251"/>
      <c r="N274" s="251"/>
      <c r="O274" s="251"/>
      <c r="P274" s="251"/>
      <c r="Q274" s="251"/>
      <c r="R274" s="251"/>
      <c r="S274" s="251"/>
      <c r="T274" s="251"/>
      <c r="U274" s="251"/>
      <c r="V274" s="251"/>
      <c r="W274" s="251"/>
      <c r="X274" s="251"/>
      <c r="Y274" s="251"/>
      <c r="Z274" s="251"/>
      <c r="AA274" s="137"/>
      <c r="AB274" s="137"/>
      <c r="AC274" s="137"/>
      <c r="AD274" s="137"/>
      <c r="AE274" s="137"/>
      <c r="AF274" s="137"/>
      <c r="AG274" s="137"/>
    </row>
    <row r="275" ht="30.0" customHeight="1">
      <c r="A275" s="248"/>
      <c r="B275" s="249"/>
      <c r="C275" s="248"/>
      <c r="D275" s="249"/>
      <c r="E275" s="249"/>
      <c r="F275" s="249"/>
      <c r="G275" s="249"/>
      <c r="H275" s="251"/>
      <c r="I275" s="252"/>
      <c r="J275" s="252"/>
      <c r="K275" s="252"/>
      <c r="L275" s="251"/>
      <c r="M275" s="251"/>
      <c r="N275" s="251"/>
      <c r="O275" s="251"/>
      <c r="P275" s="251"/>
      <c r="Q275" s="251"/>
      <c r="R275" s="251"/>
      <c r="S275" s="251"/>
      <c r="T275" s="251"/>
      <c r="U275" s="251"/>
      <c r="V275" s="251"/>
      <c r="W275" s="251"/>
      <c r="X275" s="251"/>
      <c r="Y275" s="251"/>
      <c r="Z275" s="251"/>
      <c r="AA275" s="137"/>
      <c r="AB275" s="137"/>
      <c r="AC275" s="137"/>
      <c r="AD275" s="137"/>
      <c r="AE275" s="137"/>
      <c r="AF275" s="137"/>
      <c r="AG275" s="137"/>
    </row>
    <row r="276" ht="30.0" customHeight="1">
      <c r="A276" s="248"/>
      <c r="B276" s="249"/>
      <c r="C276" s="248"/>
      <c r="D276" s="249"/>
      <c r="E276" s="251"/>
      <c r="F276" s="249"/>
      <c r="G276" s="250"/>
      <c r="H276" s="251"/>
      <c r="I276" s="252"/>
      <c r="J276" s="252"/>
      <c r="K276" s="252"/>
      <c r="L276" s="251"/>
      <c r="M276" s="251"/>
      <c r="N276" s="251"/>
      <c r="O276" s="251"/>
      <c r="P276" s="251"/>
      <c r="Q276" s="251"/>
      <c r="R276" s="251"/>
      <c r="S276" s="251"/>
      <c r="T276" s="251"/>
      <c r="U276" s="251"/>
      <c r="V276" s="251"/>
      <c r="W276" s="251"/>
      <c r="X276" s="251"/>
      <c r="Y276" s="251"/>
      <c r="Z276" s="251"/>
      <c r="AA276" s="137"/>
      <c r="AB276" s="137"/>
      <c r="AC276" s="137"/>
      <c r="AD276" s="137"/>
      <c r="AE276" s="137"/>
      <c r="AF276" s="137"/>
      <c r="AG276" s="137"/>
    </row>
    <row r="277" ht="30.0" customHeight="1">
      <c r="A277" s="248"/>
      <c r="B277" s="249"/>
      <c r="C277" s="248"/>
      <c r="D277" s="249"/>
      <c r="E277" s="251"/>
      <c r="F277" s="249"/>
      <c r="G277" s="250"/>
      <c r="H277" s="251"/>
      <c r="I277" s="252"/>
      <c r="J277" s="252"/>
      <c r="K277" s="252"/>
      <c r="L277" s="251"/>
      <c r="M277" s="251"/>
      <c r="N277" s="251"/>
      <c r="O277" s="251"/>
      <c r="P277" s="251"/>
      <c r="Q277" s="251"/>
      <c r="R277" s="251"/>
      <c r="S277" s="251"/>
      <c r="T277" s="251"/>
      <c r="U277" s="251"/>
      <c r="V277" s="251"/>
      <c r="W277" s="251"/>
      <c r="X277" s="251"/>
      <c r="Y277" s="251"/>
      <c r="Z277" s="251"/>
      <c r="AA277" s="137"/>
      <c r="AB277" s="137"/>
      <c r="AC277" s="137"/>
      <c r="AD277" s="137"/>
      <c r="AE277" s="137"/>
      <c r="AF277" s="137"/>
      <c r="AG277" s="137"/>
    </row>
    <row r="278" ht="30.0" customHeight="1">
      <c r="A278" s="248"/>
      <c r="B278" s="249"/>
      <c r="C278" s="248"/>
      <c r="D278" s="249"/>
      <c r="E278" s="251"/>
      <c r="F278" s="249"/>
      <c r="G278" s="250"/>
      <c r="H278" s="251"/>
      <c r="I278" s="252"/>
      <c r="J278" s="252"/>
      <c r="K278" s="252"/>
      <c r="L278" s="251"/>
      <c r="M278" s="251"/>
      <c r="N278" s="251"/>
      <c r="O278" s="251"/>
      <c r="P278" s="251"/>
      <c r="Q278" s="251"/>
      <c r="R278" s="251"/>
      <c r="S278" s="251"/>
      <c r="T278" s="251"/>
      <c r="U278" s="251"/>
      <c r="V278" s="251"/>
      <c r="W278" s="251"/>
      <c r="X278" s="251"/>
      <c r="Y278" s="251"/>
      <c r="Z278" s="251"/>
      <c r="AA278" s="137"/>
      <c r="AB278" s="137"/>
      <c r="AC278" s="137"/>
      <c r="AD278" s="137"/>
      <c r="AE278" s="137"/>
      <c r="AF278" s="137"/>
      <c r="AG278" s="137"/>
    </row>
    <row r="279" ht="30.0" customHeight="1">
      <c r="A279" s="248"/>
      <c r="B279" s="249"/>
      <c r="C279" s="248"/>
      <c r="D279" s="249"/>
      <c r="E279" s="249"/>
      <c r="F279" s="249"/>
      <c r="G279" s="250"/>
      <c r="H279" s="251"/>
      <c r="I279" s="252"/>
      <c r="J279" s="252"/>
      <c r="K279" s="252"/>
      <c r="L279" s="251"/>
      <c r="M279" s="251"/>
      <c r="N279" s="251"/>
      <c r="O279" s="251"/>
      <c r="P279" s="251"/>
      <c r="Q279" s="251"/>
      <c r="R279" s="251"/>
      <c r="S279" s="251"/>
      <c r="T279" s="251"/>
      <c r="U279" s="251"/>
      <c r="V279" s="251"/>
      <c r="W279" s="251"/>
      <c r="X279" s="251"/>
      <c r="Y279" s="251"/>
      <c r="Z279" s="251"/>
      <c r="AA279" s="137"/>
      <c r="AB279" s="137"/>
      <c r="AC279" s="137"/>
      <c r="AD279" s="137"/>
      <c r="AE279" s="137"/>
      <c r="AF279" s="137"/>
      <c r="AG279" s="137"/>
    </row>
    <row r="280" ht="30.0" customHeight="1">
      <c r="A280" s="248"/>
      <c r="B280" s="249"/>
      <c r="C280" s="248"/>
      <c r="D280" s="249"/>
      <c r="E280" s="249"/>
      <c r="F280" s="249"/>
      <c r="G280" s="250"/>
      <c r="H280" s="251"/>
      <c r="I280" s="252"/>
      <c r="J280" s="252"/>
      <c r="K280" s="252"/>
      <c r="L280" s="251"/>
      <c r="M280" s="251"/>
      <c r="N280" s="251"/>
      <c r="O280" s="251"/>
      <c r="P280" s="251"/>
      <c r="Q280" s="251"/>
      <c r="R280" s="251"/>
      <c r="S280" s="251"/>
      <c r="T280" s="251"/>
      <c r="U280" s="251"/>
      <c r="V280" s="251"/>
      <c r="W280" s="251"/>
      <c r="X280" s="251"/>
      <c r="Y280" s="251"/>
      <c r="Z280" s="251"/>
      <c r="AA280" s="137"/>
      <c r="AB280" s="137"/>
      <c r="AC280" s="137"/>
      <c r="AD280" s="137"/>
      <c r="AE280" s="137"/>
      <c r="AF280" s="137"/>
      <c r="AG280" s="137"/>
    </row>
    <row r="281" ht="30.0" customHeight="1">
      <c r="A281" s="248"/>
      <c r="B281" s="249"/>
      <c r="C281" s="248"/>
      <c r="D281" s="249"/>
      <c r="E281" s="249"/>
      <c r="F281" s="249"/>
      <c r="G281" s="250"/>
      <c r="H281" s="251"/>
      <c r="I281" s="252"/>
      <c r="J281" s="252"/>
      <c r="K281" s="252"/>
      <c r="L281" s="251"/>
      <c r="M281" s="251"/>
      <c r="N281" s="251"/>
      <c r="O281" s="251"/>
      <c r="P281" s="251"/>
      <c r="Q281" s="251"/>
      <c r="R281" s="251"/>
      <c r="S281" s="251"/>
      <c r="T281" s="251"/>
      <c r="U281" s="251"/>
      <c r="V281" s="251"/>
      <c r="W281" s="251"/>
      <c r="X281" s="251"/>
      <c r="Y281" s="251"/>
      <c r="Z281" s="251"/>
      <c r="AA281" s="137"/>
      <c r="AB281" s="137"/>
      <c r="AC281" s="137"/>
      <c r="AD281" s="137"/>
      <c r="AE281" s="137"/>
      <c r="AF281" s="137"/>
      <c r="AG281" s="137"/>
    </row>
    <row r="282" ht="30.0" customHeight="1">
      <c r="A282" s="248"/>
      <c r="B282" s="249"/>
      <c r="C282" s="248"/>
      <c r="D282" s="249"/>
      <c r="E282" s="249"/>
      <c r="F282" s="249"/>
      <c r="G282" s="250"/>
      <c r="H282" s="251"/>
      <c r="I282" s="252"/>
      <c r="J282" s="252"/>
      <c r="K282" s="252"/>
      <c r="L282" s="251"/>
      <c r="M282" s="251"/>
      <c r="N282" s="251"/>
      <c r="O282" s="251"/>
      <c r="P282" s="251"/>
      <c r="Q282" s="251"/>
      <c r="R282" s="251"/>
      <c r="S282" s="251"/>
      <c r="T282" s="251"/>
      <c r="U282" s="251"/>
      <c r="V282" s="251"/>
      <c r="W282" s="251"/>
      <c r="X282" s="251"/>
      <c r="Y282" s="251"/>
      <c r="Z282" s="251"/>
      <c r="AA282" s="137"/>
      <c r="AB282" s="137"/>
      <c r="AC282" s="137"/>
      <c r="AD282" s="137"/>
      <c r="AE282" s="137"/>
      <c r="AF282" s="137"/>
      <c r="AG282" s="137"/>
    </row>
    <row r="283" ht="30.0" customHeight="1">
      <c r="A283" s="248"/>
      <c r="B283" s="249"/>
      <c r="C283" s="248"/>
      <c r="D283" s="249"/>
      <c r="E283" s="249"/>
      <c r="F283" s="249"/>
      <c r="G283" s="250"/>
      <c r="H283" s="251"/>
      <c r="I283" s="252"/>
      <c r="J283" s="252"/>
      <c r="K283" s="252"/>
      <c r="L283" s="251"/>
      <c r="M283" s="251"/>
      <c r="N283" s="251"/>
      <c r="O283" s="251"/>
      <c r="P283" s="251"/>
      <c r="Q283" s="251"/>
      <c r="R283" s="251"/>
      <c r="S283" s="251"/>
      <c r="T283" s="251"/>
      <c r="U283" s="251"/>
      <c r="V283" s="251"/>
      <c r="W283" s="251"/>
      <c r="X283" s="251"/>
      <c r="Y283" s="251"/>
      <c r="Z283" s="251"/>
      <c r="AA283" s="137"/>
      <c r="AB283" s="137"/>
      <c r="AC283" s="137"/>
      <c r="AD283" s="137"/>
      <c r="AE283" s="137"/>
      <c r="AF283" s="137"/>
      <c r="AG283" s="137"/>
    </row>
    <row r="284" ht="30.0" customHeight="1">
      <c r="A284" s="248"/>
      <c r="B284" s="249"/>
      <c r="C284" s="248"/>
      <c r="D284" s="249"/>
      <c r="E284" s="249"/>
      <c r="F284" s="249"/>
      <c r="G284" s="250"/>
      <c r="H284" s="251"/>
      <c r="I284" s="252"/>
      <c r="J284" s="252"/>
      <c r="K284" s="252"/>
      <c r="L284" s="251"/>
      <c r="M284" s="251"/>
      <c r="N284" s="251"/>
      <c r="O284" s="251"/>
      <c r="P284" s="251"/>
      <c r="Q284" s="251"/>
      <c r="R284" s="251"/>
      <c r="S284" s="251"/>
      <c r="T284" s="251"/>
      <c r="U284" s="251"/>
      <c r="V284" s="251"/>
      <c r="W284" s="251"/>
      <c r="X284" s="251"/>
      <c r="Y284" s="251"/>
      <c r="Z284" s="251"/>
      <c r="AA284" s="137"/>
      <c r="AB284" s="137"/>
      <c r="AC284" s="137"/>
      <c r="AD284" s="137"/>
      <c r="AE284" s="137"/>
      <c r="AF284" s="137"/>
      <c r="AG284" s="137"/>
    </row>
    <row r="285" ht="30.0" customHeight="1">
      <c r="A285" s="248"/>
      <c r="B285" s="249"/>
      <c r="C285" s="248"/>
      <c r="D285" s="249"/>
      <c r="E285" s="249"/>
      <c r="F285" s="249"/>
      <c r="G285" s="250"/>
      <c r="H285" s="251"/>
      <c r="I285" s="252"/>
      <c r="J285" s="252"/>
      <c r="K285" s="252"/>
      <c r="L285" s="251"/>
      <c r="M285" s="251"/>
      <c r="N285" s="251"/>
      <c r="O285" s="251"/>
      <c r="P285" s="251"/>
      <c r="Q285" s="251"/>
      <c r="R285" s="251"/>
      <c r="S285" s="251"/>
      <c r="T285" s="251"/>
      <c r="U285" s="251"/>
      <c r="V285" s="251"/>
      <c r="W285" s="251"/>
      <c r="X285" s="251"/>
      <c r="Y285" s="251"/>
      <c r="Z285" s="251"/>
      <c r="AA285" s="137"/>
      <c r="AB285" s="137"/>
      <c r="AC285" s="137"/>
      <c r="AD285" s="137"/>
      <c r="AE285" s="137"/>
      <c r="AF285" s="137"/>
      <c r="AG285" s="137"/>
    </row>
    <row r="286" ht="30.0" customHeight="1">
      <c r="A286" s="248"/>
      <c r="B286" s="249"/>
      <c r="C286" s="248"/>
      <c r="D286" s="249"/>
      <c r="E286" s="249"/>
      <c r="F286" s="249"/>
      <c r="G286" s="250"/>
      <c r="H286" s="251"/>
      <c r="I286" s="252"/>
      <c r="J286" s="252"/>
      <c r="K286" s="252"/>
      <c r="L286" s="251"/>
      <c r="M286" s="251"/>
      <c r="N286" s="251"/>
      <c r="O286" s="251"/>
      <c r="P286" s="251"/>
      <c r="Q286" s="251"/>
      <c r="R286" s="251"/>
      <c r="S286" s="251"/>
      <c r="T286" s="251"/>
      <c r="U286" s="251"/>
      <c r="V286" s="251"/>
      <c r="W286" s="251"/>
      <c r="X286" s="251"/>
      <c r="Y286" s="251"/>
      <c r="Z286" s="251"/>
      <c r="AA286" s="137"/>
      <c r="AB286" s="137"/>
      <c r="AC286" s="137"/>
      <c r="AD286" s="137"/>
      <c r="AE286" s="137"/>
      <c r="AF286" s="137"/>
      <c r="AG286" s="137"/>
    </row>
    <row r="287" ht="30.0" customHeight="1">
      <c r="A287" s="248"/>
      <c r="B287" s="249"/>
      <c r="C287" s="248"/>
      <c r="D287" s="249"/>
      <c r="E287" s="249"/>
      <c r="F287" s="249"/>
      <c r="G287" s="250"/>
      <c r="H287" s="251"/>
      <c r="I287" s="252"/>
      <c r="J287" s="252"/>
      <c r="K287" s="252"/>
      <c r="L287" s="251"/>
      <c r="M287" s="251"/>
      <c r="N287" s="251"/>
      <c r="O287" s="251"/>
      <c r="P287" s="251"/>
      <c r="Q287" s="251"/>
      <c r="R287" s="251"/>
      <c r="S287" s="251"/>
      <c r="T287" s="251"/>
      <c r="U287" s="251"/>
      <c r="V287" s="251"/>
      <c r="W287" s="251"/>
      <c r="X287" s="251"/>
      <c r="Y287" s="251"/>
      <c r="Z287" s="251"/>
      <c r="AA287" s="137"/>
      <c r="AB287" s="137"/>
      <c r="AC287" s="137"/>
      <c r="AD287" s="137"/>
      <c r="AE287" s="137"/>
      <c r="AF287" s="137"/>
      <c r="AG287" s="137"/>
    </row>
    <row r="288" ht="30.0" customHeight="1">
      <c r="A288" s="248"/>
      <c r="B288" s="249"/>
      <c r="C288" s="248"/>
      <c r="D288" s="249"/>
      <c r="E288" s="249"/>
      <c r="F288" s="249"/>
      <c r="G288" s="249"/>
      <c r="H288" s="251"/>
      <c r="I288" s="252"/>
      <c r="J288" s="252"/>
      <c r="K288" s="252"/>
      <c r="L288" s="251"/>
      <c r="M288" s="251"/>
      <c r="N288" s="251"/>
      <c r="O288" s="251"/>
      <c r="P288" s="251"/>
      <c r="Q288" s="251"/>
      <c r="R288" s="251"/>
      <c r="S288" s="251"/>
      <c r="T288" s="251"/>
      <c r="U288" s="251"/>
      <c r="V288" s="251"/>
      <c r="W288" s="251"/>
      <c r="X288" s="251"/>
      <c r="Y288" s="251"/>
      <c r="Z288" s="251"/>
      <c r="AA288" s="137"/>
      <c r="AB288" s="137"/>
      <c r="AC288" s="137"/>
      <c r="AD288" s="137"/>
      <c r="AE288" s="137"/>
      <c r="AF288" s="137"/>
      <c r="AG288" s="137"/>
    </row>
    <row r="289" ht="30.0" customHeight="1">
      <c r="A289" s="248"/>
      <c r="B289" s="249"/>
      <c r="C289" s="248"/>
      <c r="D289" s="249"/>
      <c r="E289" s="251"/>
      <c r="F289" s="249"/>
      <c r="G289" s="250"/>
      <c r="H289" s="251"/>
      <c r="I289" s="252"/>
      <c r="J289" s="252"/>
      <c r="K289" s="252"/>
      <c r="L289" s="251"/>
      <c r="M289" s="251"/>
      <c r="N289" s="251"/>
      <c r="O289" s="251"/>
      <c r="P289" s="251"/>
      <c r="Q289" s="251"/>
      <c r="R289" s="251"/>
      <c r="S289" s="251"/>
      <c r="T289" s="251"/>
      <c r="U289" s="251"/>
      <c r="V289" s="251"/>
      <c r="W289" s="251"/>
      <c r="X289" s="251"/>
      <c r="Y289" s="251"/>
      <c r="Z289" s="251"/>
      <c r="AA289" s="137"/>
      <c r="AB289" s="137"/>
      <c r="AC289" s="137"/>
      <c r="AD289" s="137"/>
      <c r="AE289" s="137"/>
      <c r="AF289" s="137"/>
      <c r="AG289" s="137"/>
    </row>
    <row r="290" ht="30.0" customHeight="1">
      <c r="A290" s="248"/>
      <c r="B290" s="249"/>
      <c r="C290" s="248"/>
      <c r="D290" s="249"/>
      <c r="E290" s="249"/>
      <c r="F290" s="249"/>
      <c r="G290" s="250"/>
      <c r="H290" s="251"/>
      <c r="I290" s="252"/>
      <c r="J290" s="252"/>
      <c r="K290" s="252"/>
      <c r="L290" s="251"/>
      <c r="M290" s="251"/>
      <c r="N290" s="251"/>
      <c r="O290" s="251"/>
      <c r="P290" s="251"/>
      <c r="Q290" s="251"/>
      <c r="R290" s="251"/>
      <c r="S290" s="251"/>
      <c r="T290" s="251"/>
      <c r="U290" s="251"/>
      <c r="V290" s="251"/>
      <c r="W290" s="251"/>
      <c r="X290" s="251"/>
      <c r="Y290" s="251"/>
      <c r="Z290" s="251"/>
      <c r="AA290" s="137"/>
      <c r="AB290" s="137"/>
      <c r="AC290" s="137"/>
      <c r="AD290" s="137"/>
      <c r="AE290" s="137"/>
      <c r="AF290" s="137"/>
      <c r="AG290" s="137"/>
    </row>
    <row r="291" ht="30.0" customHeight="1">
      <c r="A291" s="248"/>
      <c r="B291" s="249"/>
      <c r="C291" s="248"/>
      <c r="D291" s="249"/>
      <c r="E291" s="251"/>
      <c r="F291" s="249"/>
      <c r="G291" s="250"/>
      <c r="H291" s="251"/>
      <c r="I291" s="252"/>
      <c r="J291" s="252"/>
      <c r="K291" s="252"/>
      <c r="L291" s="251"/>
      <c r="M291" s="251"/>
      <c r="N291" s="251"/>
      <c r="O291" s="251"/>
      <c r="P291" s="251"/>
      <c r="Q291" s="251"/>
      <c r="R291" s="251"/>
      <c r="S291" s="251"/>
      <c r="T291" s="251"/>
      <c r="U291" s="251"/>
      <c r="V291" s="251"/>
      <c r="W291" s="251"/>
      <c r="X291" s="251"/>
      <c r="Y291" s="251"/>
      <c r="Z291" s="251"/>
      <c r="AA291" s="137"/>
      <c r="AB291" s="137"/>
      <c r="AC291" s="137"/>
      <c r="AD291" s="137"/>
      <c r="AE291" s="137"/>
      <c r="AF291" s="137"/>
      <c r="AG291" s="137"/>
    </row>
    <row r="292" ht="30.0" customHeight="1">
      <c r="A292" s="248"/>
      <c r="B292" s="249"/>
      <c r="C292" s="248"/>
      <c r="D292" s="249"/>
      <c r="E292" s="251"/>
      <c r="F292" s="249"/>
      <c r="G292" s="250"/>
      <c r="H292" s="251"/>
      <c r="I292" s="252"/>
      <c r="J292" s="252"/>
      <c r="K292" s="252"/>
      <c r="L292" s="251"/>
      <c r="M292" s="251"/>
      <c r="N292" s="251"/>
      <c r="O292" s="251"/>
      <c r="P292" s="251"/>
      <c r="Q292" s="251"/>
      <c r="R292" s="251"/>
      <c r="S292" s="251"/>
      <c r="T292" s="251"/>
      <c r="U292" s="251"/>
      <c r="V292" s="251"/>
      <c r="W292" s="251"/>
      <c r="X292" s="251"/>
      <c r="Y292" s="251"/>
      <c r="Z292" s="251"/>
      <c r="AA292" s="137"/>
      <c r="AB292" s="137"/>
      <c r="AC292" s="137"/>
      <c r="AD292" s="137"/>
      <c r="AE292" s="137"/>
      <c r="AF292" s="137"/>
      <c r="AG292" s="137"/>
    </row>
    <row r="293" ht="30.0" customHeight="1">
      <c r="A293" s="248"/>
      <c r="B293" s="249"/>
      <c r="C293" s="248"/>
      <c r="D293" s="249"/>
      <c r="E293" s="251"/>
      <c r="F293" s="249"/>
      <c r="G293" s="250"/>
      <c r="H293" s="251"/>
      <c r="I293" s="252"/>
      <c r="J293" s="252"/>
      <c r="K293" s="252"/>
      <c r="L293" s="251"/>
      <c r="M293" s="251"/>
      <c r="N293" s="251"/>
      <c r="O293" s="251"/>
      <c r="P293" s="251"/>
      <c r="Q293" s="251"/>
      <c r="R293" s="251"/>
      <c r="S293" s="251"/>
      <c r="T293" s="251"/>
      <c r="U293" s="251"/>
      <c r="V293" s="251"/>
      <c r="W293" s="251"/>
      <c r="X293" s="251"/>
      <c r="Y293" s="251"/>
      <c r="Z293" s="251"/>
      <c r="AA293" s="137"/>
      <c r="AB293" s="137"/>
      <c r="AC293" s="137"/>
      <c r="AD293" s="137"/>
      <c r="AE293" s="137"/>
      <c r="AF293" s="137"/>
      <c r="AG293" s="137"/>
    </row>
    <row r="294" ht="30.0" customHeight="1">
      <c r="A294" s="248"/>
      <c r="B294" s="249"/>
      <c r="C294" s="248"/>
      <c r="D294" s="249"/>
      <c r="E294" s="251"/>
      <c r="F294" s="249"/>
      <c r="G294" s="250"/>
      <c r="H294" s="251"/>
      <c r="I294" s="252"/>
      <c r="J294" s="252"/>
      <c r="K294" s="252"/>
      <c r="L294" s="251"/>
      <c r="M294" s="251"/>
      <c r="N294" s="251"/>
      <c r="O294" s="251"/>
      <c r="P294" s="251"/>
      <c r="Q294" s="251"/>
      <c r="R294" s="251"/>
      <c r="S294" s="251"/>
      <c r="T294" s="251"/>
      <c r="U294" s="251"/>
      <c r="V294" s="251"/>
      <c r="W294" s="251"/>
      <c r="X294" s="251"/>
      <c r="Y294" s="251"/>
      <c r="Z294" s="251"/>
      <c r="AA294" s="137"/>
      <c r="AB294" s="137"/>
      <c r="AC294" s="137"/>
      <c r="AD294" s="137"/>
      <c r="AE294" s="137"/>
      <c r="AF294" s="137"/>
      <c r="AG294" s="137"/>
    </row>
    <row r="295" ht="30.0" customHeight="1">
      <c r="A295" s="248"/>
      <c r="B295" s="251"/>
      <c r="C295" s="248"/>
      <c r="D295" s="249"/>
      <c r="E295" s="249"/>
      <c r="F295" s="249"/>
      <c r="G295" s="250"/>
      <c r="H295" s="251"/>
      <c r="I295" s="252"/>
      <c r="J295" s="252"/>
      <c r="K295" s="252"/>
      <c r="L295" s="251"/>
      <c r="M295" s="251"/>
      <c r="N295" s="251"/>
      <c r="O295" s="251"/>
      <c r="P295" s="251"/>
      <c r="Q295" s="251"/>
      <c r="R295" s="251"/>
      <c r="S295" s="251"/>
      <c r="T295" s="251"/>
      <c r="U295" s="251"/>
      <c r="V295" s="251"/>
      <c r="W295" s="251"/>
      <c r="X295" s="251"/>
      <c r="Y295" s="251"/>
      <c r="Z295" s="251"/>
      <c r="AA295" s="137"/>
      <c r="AB295" s="137"/>
      <c r="AC295" s="137"/>
      <c r="AD295" s="137"/>
      <c r="AE295" s="137"/>
      <c r="AF295" s="137"/>
      <c r="AG295" s="137"/>
    </row>
    <row r="296" ht="30.0" customHeight="1">
      <c r="A296" s="248"/>
      <c r="B296" s="249"/>
      <c r="C296" s="248"/>
      <c r="D296" s="249"/>
      <c r="E296" s="249"/>
      <c r="F296" s="249"/>
      <c r="G296" s="250"/>
      <c r="H296" s="251"/>
      <c r="I296" s="252"/>
      <c r="J296" s="252"/>
      <c r="K296" s="252"/>
      <c r="L296" s="251"/>
      <c r="M296" s="251"/>
      <c r="N296" s="251"/>
      <c r="O296" s="251"/>
      <c r="P296" s="251"/>
      <c r="Q296" s="251"/>
      <c r="R296" s="251"/>
      <c r="S296" s="251"/>
      <c r="T296" s="251"/>
      <c r="U296" s="251"/>
      <c r="V296" s="251"/>
      <c r="W296" s="251"/>
      <c r="X296" s="251"/>
      <c r="Y296" s="251"/>
      <c r="Z296" s="251"/>
      <c r="AA296" s="137"/>
      <c r="AB296" s="137"/>
      <c r="AC296" s="137"/>
      <c r="AD296" s="137"/>
      <c r="AE296" s="137"/>
      <c r="AF296" s="137"/>
      <c r="AG296" s="137"/>
    </row>
    <row r="297" ht="30.0" customHeight="1">
      <c r="A297" s="248"/>
      <c r="B297" s="249"/>
      <c r="C297" s="248"/>
      <c r="D297" s="249"/>
      <c r="E297" s="249"/>
      <c r="F297" s="249"/>
      <c r="G297" s="250"/>
      <c r="H297" s="251"/>
      <c r="I297" s="252"/>
      <c r="J297" s="252"/>
      <c r="K297" s="252"/>
      <c r="L297" s="251"/>
      <c r="M297" s="251"/>
      <c r="N297" s="251"/>
      <c r="O297" s="251"/>
      <c r="P297" s="251"/>
      <c r="Q297" s="251"/>
      <c r="R297" s="251"/>
      <c r="S297" s="251"/>
      <c r="T297" s="251"/>
      <c r="U297" s="251"/>
      <c r="V297" s="251"/>
      <c r="W297" s="251"/>
      <c r="X297" s="251"/>
      <c r="Y297" s="251"/>
      <c r="Z297" s="251"/>
      <c r="AA297" s="137"/>
      <c r="AB297" s="137"/>
      <c r="AC297" s="137"/>
      <c r="AD297" s="137"/>
      <c r="AE297" s="137"/>
      <c r="AF297" s="137"/>
      <c r="AG297" s="137"/>
    </row>
    <row r="298" ht="30.0" customHeight="1">
      <c r="A298" s="248"/>
      <c r="B298" s="249"/>
      <c r="C298" s="248"/>
      <c r="D298" s="249"/>
      <c r="E298" s="249"/>
      <c r="F298" s="249"/>
      <c r="G298" s="250"/>
      <c r="H298" s="251"/>
      <c r="I298" s="252"/>
      <c r="J298" s="252"/>
      <c r="K298" s="252"/>
      <c r="L298" s="251"/>
      <c r="M298" s="251"/>
      <c r="N298" s="251"/>
      <c r="O298" s="251"/>
      <c r="P298" s="251"/>
      <c r="Q298" s="251"/>
      <c r="R298" s="251"/>
      <c r="S298" s="251"/>
      <c r="T298" s="251"/>
      <c r="U298" s="251"/>
      <c r="V298" s="251"/>
      <c r="W298" s="251"/>
      <c r="X298" s="251"/>
      <c r="Y298" s="251"/>
      <c r="Z298" s="251"/>
      <c r="AA298" s="137"/>
      <c r="AB298" s="137"/>
      <c r="AC298" s="137"/>
      <c r="AD298" s="137"/>
      <c r="AE298" s="137"/>
      <c r="AF298" s="137"/>
      <c r="AG298" s="137"/>
    </row>
    <row r="299" ht="30.0" customHeight="1">
      <c r="A299" s="248"/>
      <c r="B299" s="249"/>
      <c r="C299" s="248"/>
      <c r="D299" s="249"/>
      <c r="E299" s="251"/>
      <c r="F299" s="249"/>
      <c r="G299" s="250"/>
      <c r="H299" s="251"/>
      <c r="I299" s="252"/>
      <c r="J299" s="252"/>
      <c r="K299" s="252"/>
      <c r="L299" s="251"/>
      <c r="M299" s="251"/>
      <c r="N299" s="251"/>
      <c r="O299" s="251"/>
      <c r="P299" s="251"/>
      <c r="Q299" s="251"/>
      <c r="R299" s="251"/>
      <c r="S299" s="251"/>
      <c r="T299" s="251"/>
      <c r="U299" s="251"/>
      <c r="V299" s="251"/>
      <c r="W299" s="251"/>
      <c r="X299" s="251"/>
      <c r="Y299" s="251"/>
      <c r="Z299" s="251"/>
      <c r="AA299" s="137"/>
      <c r="AB299" s="137"/>
      <c r="AC299" s="137"/>
      <c r="AD299" s="137"/>
      <c r="AE299" s="137"/>
      <c r="AF299" s="137"/>
      <c r="AG299" s="137"/>
    </row>
    <row r="300" ht="30.0" customHeight="1">
      <c r="A300" s="248"/>
      <c r="B300" s="249"/>
      <c r="C300" s="248"/>
      <c r="D300" s="249"/>
      <c r="E300" s="249"/>
      <c r="F300" s="249"/>
      <c r="G300" s="250"/>
      <c r="H300" s="251"/>
      <c r="I300" s="252"/>
      <c r="J300" s="252"/>
      <c r="K300" s="252"/>
      <c r="L300" s="251"/>
      <c r="M300" s="251"/>
      <c r="N300" s="251"/>
      <c r="O300" s="251"/>
      <c r="P300" s="251"/>
      <c r="Q300" s="251"/>
      <c r="R300" s="251"/>
      <c r="S300" s="251"/>
      <c r="T300" s="251"/>
      <c r="U300" s="251"/>
      <c r="V300" s="251"/>
      <c r="W300" s="251"/>
      <c r="X300" s="251"/>
      <c r="Y300" s="251"/>
      <c r="Z300" s="251"/>
      <c r="AA300" s="137"/>
      <c r="AB300" s="137"/>
      <c r="AC300" s="137"/>
      <c r="AD300" s="137"/>
      <c r="AE300" s="137"/>
      <c r="AF300" s="137"/>
      <c r="AG300" s="137"/>
    </row>
    <row r="301" ht="30.0" customHeight="1">
      <c r="A301" s="248"/>
      <c r="B301" s="249"/>
      <c r="C301" s="248"/>
      <c r="D301" s="249"/>
      <c r="E301" s="249"/>
      <c r="F301" s="249"/>
      <c r="G301" s="250"/>
      <c r="H301" s="251"/>
      <c r="I301" s="252"/>
      <c r="J301" s="252"/>
      <c r="K301" s="252"/>
      <c r="L301" s="251"/>
      <c r="M301" s="251"/>
      <c r="N301" s="251"/>
      <c r="O301" s="251"/>
      <c r="P301" s="251"/>
      <c r="Q301" s="251"/>
      <c r="R301" s="251"/>
      <c r="S301" s="251"/>
      <c r="T301" s="251"/>
      <c r="U301" s="251"/>
      <c r="V301" s="251"/>
      <c r="W301" s="251"/>
      <c r="X301" s="251"/>
      <c r="Y301" s="251"/>
      <c r="Z301" s="251"/>
      <c r="AA301" s="137"/>
      <c r="AB301" s="137"/>
      <c r="AC301" s="137"/>
      <c r="AD301" s="137"/>
      <c r="AE301" s="137"/>
      <c r="AF301" s="137"/>
      <c r="AG301" s="137"/>
    </row>
    <row r="302" ht="30.0" customHeight="1">
      <c r="A302" s="248"/>
      <c r="B302" s="249"/>
      <c r="C302" s="248"/>
      <c r="D302" s="249"/>
      <c r="E302" s="249"/>
      <c r="F302" s="249"/>
      <c r="G302" s="249"/>
      <c r="H302" s="251"/>
      <c r="I302" s="252"/>
      <c r="J302" s="252"/>
      <c r="K302" s="252"/>
      <c r="L302" s="251"/>
      <c r="M302" s="251"/>
      <c r="N302" s="251"/>
      <c r="O302" s="251"/>
      <c r="P302" s="251"/>
      <c r="Q302" s="251"/>
      <c r="R302" s="251"/>
      <c r="S302" s="251"/>
      <c r="T302" s="251"/>
      <c r="U302" s="251"/>
      <c r="V302" s="251"/>
      <c r="W302" s="251"/>
      <c r="X302" s="251"/>
      <c r="Y302" s="251"/>
      <c r="Z302" s="251"/>
      <c r="AA302" s="137"/>
      <c r="AB302" s="137"/>
      <c r="AC302" s="137"/>
      <c r="AD302" s="137"/>
      <c r="AE302" s="137"/>
      <c r="AF302" s="137"/>
      <c r="AG302" s="137"/>
    </row>
    <row r="303" ht="30.0" customHeight="1">
      <c r="A303" s="248"/>
      <c r="B303" s="249"/>
      <c r="C303" s="248"/>
      <c r="D303" s="249"/>
      <c r="E303" s="249"/>
      <c r="F303" s="249"/>
      <c r="G303" s="250"/>
      <c r="H303" s="251"/>
      <c r="I303" s="252"/>
      <c r="J303" s="252"/>
      <c r="K303" s="252"/>
      <c r="L303" s="251"/>
      <c r="M303" s="251"/>
      <c r="N303" s="251"/>
      <c r="O303" s="251"/>
      <c r="P303" s="251"/>
      <c r="Q303" s="251"/>
      <c r="R303" s="251"/>
      <c r="S303" s="251"/>
      <c r="T303" s="251"/>
      <c r="U303" s="251"/>
      <c r="V303" s="251"/>
      <c r="W303" s="251"/>
      <c r="X303" s="251"/>
      <c r="Y303" s="251"/>
      <c r="Z303" s="251"/>
      <c r="AA303" s="137"/>
      <c r="AB303" s="137"/>
      <c r="AC303" s="137"/>
      <c r="AD303" s="137"/>
      <c r="AE303" s="137"/>
      <c r="AF303" s="137"/>
      <c r="AG303" s="137"/>
    </row>
    <row r="304" ht="30.0" customHeight="1">
      <c r="A304" s="248"/>
      <c r="B304" s="249"/>
      <c r="C304" s="248"/>
      <c r="D304" s="249"/>
      <c r="E304" s="251"/>
      <c r="F304" s="249"/>
      <c r="G304" s="249"/>
      <c r="H304" s="251"/>
      <c r="I304" s="252"/>
      <c r="J304" s="252"/>
      <c r="K304" s="252"/>
      <c r="L304" s="251"/>
      <c r="M304" s="251"/>
      <c r="N304" s="251"/>
      <c r="O304" s="251"/>
      <c r="P304" s="251"/>
      <c r="Q304" s="251"/>
      <c r="R304" s="251"/>
      <c r="S304" s="251"/>
      <c r="T304" s="251"/>
      <c r="U304" s="251"/>
      <c r="V304" s="251"/>
      <c r="W304" s="251"/>
      <c r="X304" s="251"/>
      <c r="Y304" s="251"/>
      <c r="Z304" s="251"/>
      <c r="AA304" s="137"/>
      <c r="AB304" s="137"/>
      <c r="AC304" s="137"/>
      <c r="AD304" s="137"/>
      <c r="AE304" s="137"/>
      <c r="AF304" s="137"/>
      <c r="AG304" s="137"/>
    </row>
    <row r="305" ht="30.0" customHeight="1">
      <c r="A305" s="248"/>
      <c r="B305" s="249"/>
      <c r="C305" s="248"/>
      <c r="D305" s="249"/>
      <c r="E305" s="249"/>
      <c r="F305" s="249"/>
      <c r="G305" s="250"/>
      <c r="H305" s="251"/>
      <c r="I305" s="252"/>
      <c r="J305" s="252"/>
      <c r="K305" s="252"/>
      <c r="L305" s="251"/>
      <c r="M305" s="251"/>
      <c r="N305" s="251"/>
      <c r="O305" s="251"/>
      <c r="P305" s="251"/>
      <c r="Q305" s="251"/>
      <c r="R305" s="251"/>
      <c r="S305" s="251"/>
      <c r="T305" s="251"/>
      <c r="U305" s="251"/>
      <c r="V305" s="251"/>
      <c r="W305" s="251"/>
      <c r="X305" s="251"/>
      <c r="Y305" s="251"/>
      <c r="Z305" s="251"/>
      <c r="AA305" s="137"/>
      <c r="AB305" s="137"/>
      <c r="AC305" s="137"/>
      <c r="AD305" s="137"/>
      <c r="AE305" s="137"/>
      <c r="AF305" s="137"/>
      <c r="AG305" s="137"/>
    </row>
    <row r="306" ht="30.0" customHeight="1">
      <c r="A306" s="248"/>
      <c r="B306" s="251"/>
      <c r="C306" s="248"/>
      <c r="D306" s="249"/>
      <c r="E306" s="249"/>
      <c r="F306" s="249"/>
      <c r="G306" s="250"/>
      <c r="H306" s="251"/>
      <c r="I306" s="252"/>
      <c r="J306" s="252"/>
      <c r="K306" s="252"/>
      <c r="L306" s="251"/>
      <c r="M306" s="251"/>
      <c r="N306" s="251"/>
      <c r="O306" s="251"/>
      <c r="P306" s="251"/>
      <c r="Q306" s="251"/>
      <c r="R306" s="251"/>
      <c r="S306" s="251"/>
      <c r="T306" s="251"/>
      <c r="U306" s="251"/>
      <c r="V306" s="251"/>
      <c r="W306" s="251"/>
      <c r="X306" s="251"/>
      <c r="Y306" s="251"/>
      <c r="Z306" s="251"/>
      <c r="AA306" s="137"/>
      <c r="AB306" s="137"/>
      <c r="AC306" s="137"/>
      <c r="AD306" s="137"/>
      <c r="AE306" s="137"/>
      <c r="AF306" s="137"/>
      <c r="AG306" s="137"/>
    </row>
    <row r="307" ht="30.0" customHeight="1">
      <c r="A307" s="248"/>
      <c r="B307" s="249"/>
      <c r="C307" s="248"/>
      <c r="D307" s="249"/>
      <c r="E307" s="251"/>
      <c r="F307" s="249"/>
      <c r="G307" s="250"/>
      <c r="H307" s="251"/>
      <c r="I307" s="252"/>
      <c r="J307" s="252"/>
      <c r="K307" s="252"/>
      <c r="L307" s="251"/>
      <c r="M307" s="251"/>
      <c r="N307" s="251"/>
      <c r="O307" s="251"/>
      <c r="P307" s="251"/>
      <c r="Q307" s="251"/>
      <c r="R307" s="251"/>
      <c r="S307" s="251"/>
      <c r="T307" s="251"/>
      <c r="U307" s="251"/>
      <c r="V307" s="251"/>
      <c r="W307" s="251"/>
      <c r="X307" s="251"/>
      <c r="Y307" s="251"/>
      <c r="Z307" s="251"/>
      <c r="AA307" s="137"/>
      <c r="AB307" s="137"/>
      <c r="AC307" s="137"/>
      <c r="AD307" s="137"/>
      <c r="AE307" s="137"/>
      <c r="AF307" s="137"/>
      <c r="AG307" s="137"/>
    </row>
    <row r="308" ht="30.0" customHeight="1">
      <c r="A308" s="248"/>
      <c r="B308" s="249"/>
      <c r="C308" s="248"/>
      <c r="D308" s="249"/>
      <c r="E308" s="251"/>
      <c r="F308" s="249"/>
      <c r="G308" s="250"/>
      <c r="H308" s="251"/>
      <c r="I308" s="252"/>
      <c r="J308" s="252"/>
      <c r="K308" s="252"/>
      <c r="L308" s="251"/>
      <c r="M308" s="251"/>
      <c r="N308" s="251"/>
      <c r="O308" s="251"/>
      <c r="P308" s="251"/>
      <c r="Q308" s="251"/>
      <c r="R308" s="251"/>
      <c r="S308" s="251"/>
      <c r="T308" s="251"/>
      <c r="U308" s="251"/>
      <c r="V308" s="251"/>
      <c r="W308" s="251"/>
      <c r="X308" s="251"/>
      <c r="Y308" s="251"/>
      <c r="Z308" s="251"/>
      <c r="AA308" s="137"/>
      <c r="AB308" s="137"/>
      <c r="AC308" s="137"/>
      <c r="AD308" s="137"/>
      <c r="AE308" s="137"/>
      <c r="AF308" s="137"/>
      <c r="AG308" s="137"/>
    </row>
    <row r="309" ht="30.0" customHeight="1">
      <c r="A309" s="248"/>
      <c r="B309" s="249"/>
      <c r="C309" s="248"/>
      <c r="D309" s="249"/>
      <c r="E309" s="251"/>
      <c r="F309" s="249"/>
      <c r="G309" s="250"/>
      <c r="H309" s="251"/>
      <c r="I309" s="252"/>
      <c r="J309" s="252"/>
      <c r="K309" s="252"/>
      <c r="L309" s="251"/>
      <c r="M309" s="251"/>
      <c r="N309" s="251"/>
      <c r="O309" s="251"/>
      <c r="P309" s="251"/>
      <c r="Q309" s="251"/>
      <c r="R309" s="251"/>
      <c r="S309" s="251"/>
      <c r="T309" s="251"/>
      <c r="U309" s="251"/>
      <c r="V309" s="251"/>
      <c r="W309" s="251"/>
      <c r="X309" s="251"/>
      <c r="Y309" s="251"/>
      <c r="Z309" s="251"/>
      <c r="AA309" s="137"/>
      <c r="AB309" s="137"/>
      <c r="AC309" s="137"/>
      <c r="AD309" s="137"/>
      <c r="AE309" s="137"/>
      <c r="AF309" s="137"/>
      <c r="AG309" s="137"/>
    </row>
    <row r="310" ht="30.0" customHeight="1">
      <c r="A310" s="248"/>
      <c r="B310" s="249"/>
      <c r="C310" s="248"/>
      <c r="D310" s="249"/>
      <c r="E310" s="251"/>
      <c r="F310" s="249"/>
      <c r="G310" s="250"/>
      <c r="H310" s="251"/>
      <c r="I310" s="252"/>
      <c r="J310" s="252"/>
      <c r="K310" s="252"/>
      <c r="L310" s="251"/>
      <c r="M310" s="251"/>
      <c r="N310" s="251"/>
      <c r="O310" s="251"/>
      <c r="P310" s="251"/>
      <c r="Q310" s="251"/>
      <c r="R310" s="251"/>
      <c r="S310" s="251"/>
      <c r="T310" s="251"/>
      <c r="U310" s="251"/>
      <c r="V310" s="251"/>
      <c r="W310" s="251"/>
      <c r="X310" s="251"/>
      <c r="Y310" s="251"/>
      <c r="Z310" s="251"/>
      <c r="AA310" s="137"/>
      <c r="AB310" s="137"/>
      <c r="AC310" s="137"/>
      <c r="AD310" s="137"/>
      <c r="AE310" s="137"/>
      <c r="AF310" s="137"/>
      <c r="AG310" s="137"/>
    </row>
    <row r="311" ht="30.0" customHeight="1">
      <c r="A311" s="248"/>
      <c r="B311" s="249"/>
      <c r="C311" s="248"/>
      <c r="D311" s="249"/>
      <c r="E311" s="251"/>
      <c r="F311" s="249"/>
      <c r="G311" s="250"/>
      <c r="H311" s="251"/>
      <c r="I311" s="252"/>
      <c r="J311" s="252"/>
      <c r="K311" s="252"/>
      <c r="L311" s="251"/>
      <c r="M311" s="251"/>
      <c r="N311" s="251"/>
      <c r="O311" s="251"/>
      <c r="P311" s="251"/>
      <c r="Q311" s="251"/>
      <c r="R311" s="251"/>
      <c r="S311" s="251"/>
      <c r="T311" s="251"/>
      <c r="U311" s="251"/>
      <c r="V311" s="251"/>
      <c r="W311" s="251"/>
      <c r="X311" s="251"/>
      <c r="Y311" s="251"/>
      <c r="Z311" s="251"/>
      <c r="AA311" s="137"/>
      <c r="AB311" s="137"/>
      <c r="AC311" s="137"/>
      <c r="AD311" s="137"/>
      <c r="AE311" s="137"/>
      <c r="AF311" s="137"/>
      <c r="AG311" s="137"/>
    </row>
    <row r="312" ht="30.0" customHeight="1">
      <c r="A312" s="248"/>
      <c r="B312" s="249"/>
      <c r="C312" s="248"/>
      <c r="D312" s="249"/>
      <c r="E312" s="251"/>
      <c r="F312" s="249"/>
      <c r="G312" s="250"/>
      <c r="H312" s="251"/>
      <c r="I312" s="252"/>
      <c r="J312" s="252"/>
      <c r="K312" s="252"/>
      <c r="L312" s="251"/>
      <c r="M312" s="251"/>
      <c r="N312" s="251"/>
      <c r="O312" s="251"/>
      <c r="P312" s="251"/>
      <c r="Q312" s="251"/>
      <c r="R312" s="251"/>
      <c r="S312" s="251"/>
      <c r="T312" s="251"/>
      <c r="U312" s="251"/>
      <c r="V312" s="251"/>
      <c r="W312" s="251"/>
      <c r="X312" s="251"/>
      <c r="Y312" s="251"/>
      <c r="Z312" s="251"/>
      <c r="AA312" s="137"/>
      <c r="AB312" s="137"/>
      <c r="AC312" s="137"/>
      <c r="AD312" s="137"/>
      <c r="AE312" s="137"/>
      <c r="AF312" s="137"/>
      <c r="AG312" s="137"/>
    </row>
    <row r="313" ht="30.0" customHeight="1">
      <c r="A313" s="248"/>
      <c r="B313" s="249"/>
      <c r="C313" s="249"/>
      <c r="D313" s="249"/>
      <c r="E313" s="249"/>
      <c r="F313" s="249"/>
      <c r="G313" s="250"/>
      <c r="H313" s="251"/>
      <c r="I313" s="252"/>
      <c r="J313" s="252"/>
      <c r="K313" s="252"/>
      <c r="L313" s="251"/>
      <c r="M313" s="251"/>
      <c r="N313" s="251"/>
      <c r="O313" s="251"/>
      <c r="P313" s="251"/>
      <c r="Q313" s="251"/>
      <c r="R313" s="251"/>
      <c r="S313" s="251"/>
      <c r="T313" s="251"/>
      <c r="U313" s="251"/>
      <c r="V313" s="251"/>
      <c r="W313" s="251"/>
      <c r="X313" s="251"/>
      <c r="Y313" s="251"/>
      <c r="Z313" s="251"/>
      <c r="AA313" s="137"/>
      <c r="AB313" s="137"/>
      <c r="AC313" s="137"/>
      <c r="AD313" s="137"/>
      <c r="AE313" s="137"/>
      <c r="AF313" s="137"/>
      <c r="AG313" s="137"/>
    </row>
    <row r="314" ht="30.0" customHeight="1">
      <c r="A314" s="248"/>
      <c r="B314" s="249"/>
      <c r="C314" s="248"/>
      <c r="D314" s="249"/>
      <c r="E314" s="251"/>
      <c r="F314" s="249"/>
      <c r="G314" s="250"/>
      <c r="H314" s="251"/>
      <c r="I314" s="252"/>
      <c r="J314" s="252"/>
      <c r="K314" s="252"/>
      <c r="L314" s="251"/>
      <c r="M314" s="251"/>
      <c r="N314" s="251"/>
      <c r="O314" s="251"/>
      <c r="P314" s="251"/>
      <c r="Q314" s="251"/>
      <c r="R314" s="251"/>
      <c r="S314" s="251"/>
      <c r="T314" s="251"/>
      <c r="U314" s="251"/>
      <c r="V314" s="251"/>
      <c r="W314" s="251"/>
      <c r="X314" s="251"/>
      <c r="Y314" s="251"/>
      <c r="Z314" s="251"/>
      <c r="AA314" s="137"/>
      <c r="AB314" s="137"/>
      <c r="AC314" s="137"/>
      <c r="AD314" s="137"/>
      <c r="AE314" s="137"/>
      <c r="AF314" s="137"/>
      <c r="AG314" s="137"/>
    </row>
    <row r="315" ht="30.0" customHeight="1">
      <c r="A315" s="248"/>
      <c r="B315" s="249"/>
      <c r="C315" s="248"/>
      <c r="D315" s="249"/>
      <c r="E315" s="249"/>
      <c r="F315" s="249"/>
      <c r="G315" s="250"/>
      <c r="H315" s="251"/>
      <c r="I315" s="252"/>
      <c r="J315" s="252"/>
      <c r="K315" s="252"/>
      <c r="L315" s="251"/>
      <c r="M315" s="251"/>
      <c r="N315" s="251"/>
      <c r="O315" s="251"/>
      <c r="P315" s="251"/>
      <c r="Q315" s="251"/>
      <c r="R315" s="251"/>
      <c r="S315" s="251"/>
      <c r="T315" s="251"/>
      <c r="U315" s="251"/>
      <c r="V315" s="251"/>
      <c r="W315" s="251"/>
      <c r="X315" s="251"/>
      <c r="Y315" s="251"/>
      <c r="Z315" s="251"/>
      <c r="AA315" s="137"/>
      <c r="AB315" s="137"/>
      <c r="AC315" s="137"/>
      <c r="AD315" s="137"/>
      <c r="AE315" s="137"/>
      <c r="AF315" s="137"/>
      <c r="AG315" s="137"/>
    </row>
    <row r="316" ht="30.0" customHeight="1">
      <c r="A316" s="248"/>
      <c r="B316" s="249"/>
      <c r="C316" s="248"/>
      <c r="D316" s="249"/>
      <c r="E316" s="251"/>
      <c r="F316" s="249"/>
      <c r="G316" s="250"/>
      <c r="H316" s="251"/>
      <c r="I316" s="252"/>
      <c r="J316" s="252"/>
      <c r="K316" s="252"/>
      <c r="L316" s="251"/>
      <c r="M316" s="251"/>
      <c r="N316" s="251"/>
      <c r="O316" s="251"/>
      <c r="P316" s="251"/>
      <c r="Q316" s="251"/>
      <c r="R316" s="251"/>
      <c r="S316" s="251"/>
      <c r="T316" s="251"/>
      <c r="U316" s="251"/>
      <c r="V316" s="251"/>
      <c r="W316" s="251"/>
      <c r="X316" s="251"/>
      <c r="Y316" s="251"/>
      <c r="Z316" s="251"/>
      <c r="AA316" s="137"/>
      <c r="AB316" s="137"/>
      <c r="AC316" s="137"/>
      <c r="AD316" s="137"/>
      <c r="AE316" s="137"/>
      <c r="AF316" s="137"/>
      <c r="AG316" s="137"/>
    </row>
    <row r="317" ht="30.0" customHeight="1">
      <c r="A317" s="248"/>
      <c r="B317" s="249"/>
      <c r="C317" s="248"/>
      <c r="D317" s="249"/>
      <c r="E317" s="249"/>
      <c r="F317" s="249"/>
      <c r="G317" s="250"/>
      <c r="H317" s="251"/>
      <c r="I317" s="252"/>
      <c r="J317" s="252"/>
      <c r="K317" s="252"/>
      <c r="L317" s="251"/>
      <c r="M317" s="251"/>
      <c r="N317" s="251"/>
      <c r="O317" s="251"/>
      <c r="P317" s="251"/>
      <c r="Q317" s="251"/>
      <c r="R317" s="251"/>
      <c r="S317" s="251"/>
      <c r="T317" s="251"/>
      <c r="U317" s="251"/>
      <c r="V317" s="251"/>
      <c r="W317" s="251"/>
      <c r="X317" s="251"/>
      <c r="Y317" s="251"/>
      <c r="Z317" s="251"/>
      <c r="AA317" s="137"/>
      <c r="AB317" s="137"/>
      <c r="AC317" s="137"/>
      <c r="AD317" s="137"/>
      <c r="AE317" s="137"/>
      <c r="AF317" s="137"/>
      <c r="AG317" s="137"/>
    </row>
    <row r="318" ht="30.0" customHeight="1">
      <c r="A318" s="248"/>
      <c r="B318" s="249"/>
      <c r="C318" s="248"/>
      <c r="D318" s="249"/>
      <c r="E318" s="249"/>
      <c r="F318" s="249"/>
      <c r="G318" s="250"/>
      <c r="H318" s="251"/>
      <c r="I318" s="252"/>
      <c r="J318" s="252"/>
      <c r="K318" s="252"/>
      <c r="L318" s="251"/>
      <c r="M318" s="251"/>
      <c r="N318" s="251"/>
      <c r="O318" s="251"/>
      <c r="P318" s="251"/>
      <c r="Q318" s="251"/>
      <c r="R318" s="251"/>
      <c r="S318" s="251"/>
      <c r="T318" s="251"/>
      <c r="U318" s="251"/>
      <c r="V318" s="251"/>
      <c r="W318" s="251"/>
      <c r="X318" s="251"/>
      <c r="Y318" s="251"/>
      <c r="Z318" s="251"/>
      <c r="AA318" s="137"/>
      <c r="AB318" s="137"/>
      <c r="AC318" s="137"/>
      <c r="AD318" s="137"/>
      <c r="AE318" s="137"/>
      <c r="AF318" s="137"/>
      <c r="AG318" s="137"/>
    </row>
    <row r="319" ht="30.0" customHeight="1">
      <c r="A319" s="248"/>
      <c r="B319" s="249"/>
      <c r="C319" s="248"/>
      <c r="D319" s="249"/>
      <c r="E319" s="251"/>
      <c r="F319" s="249"/>
      <c r="G319" s="250"/>
      <c r="H319" s="251"/>
      <c r="I319" s="252"/>
      <c r="J319" s="252"/>
      <c r="K319" s="252"/>
      <c r="L319" s="251"/>
      <c r="M319" s="251"/>
      <c r="N319" s="251"/>
      <c r="O319" s="251"/>
      <c r="P319" s="251"/>
      <c r="Q319" s="251"/>
      <c r="R319" s="251"/>
      <c r="S319" s="251"/>
      <c r="T319" s="251"/>
      <c r="U319" s="251"/>
      <c r="V319" s="251"/>
      <c r="W319" s="251"/>
      <c r="X319" s="251"/>
      <c r="Y319" s="251"/>
      <c r="Z319" s="251"/>
      <c r="AA319" s="137"/>
      <c r="AB319" s="137"/>
      <c r="AC319" s="137"/>
      <c r="AD319" s="137"/>
      <c r="AE319" s="137"/>
      <c r="AF319" s="137"/>
      <c r="AG319" s="137"/>
    </row>
    <row r="320" ht="30.0" customHeight="1">
      <c r="A320" s="248"/>
      <c r="B320" s="249"/>
      <c r="C320" s="248"/>
      <c r="D320" s="249"/>
      <c r="E320" s="251"/>
      <c r="F320" s="249"/>
      <c r="G320" s="250"/>
      <c r="H320" s="251"/>
      <c r="I320" s="252"/>
      <c r="J320" s="252"/>
      <c r="K320" s="252"/>
      <c r="L320" s="251"/>
      <c r="M320" s="251"/>
      <c r="N320" s="251"/>
      <c r="O320" s="251"/>
      <c r="P320" s="251"/>
      <c r="Q320" s="251"/>
      <c r="R320" s="251"/>
      <c r="S320" s="251"/>
      <c r="T320" s="251"/>
      <c r="U320" s="251"/>
      <c r="V320" s="251"/>
      <c r="W320" s="251"/>
      <c r="X320" s="251"/>
      <c r="Y320" s="251"/>
      <c r="Z320" s="251"/>
      <c r="AA320" s="137"/>
      <c r="AB320" s="137"/>
      <c r="AC320" s="137"/>
      <c r="AD320" s="137"/>
      <c r="AE320" s="137"/>
      <c r="AF320" s="137"/>
      <c r="AG320" s="137"/>
    </row>
    <row r="321" ht="30.0" customHeight="1">
      <c r="A321" s="248"/>
      <c r="B321" s="249"/>
      <c r="C321" s="248"/>
      <c r="D321" s="249"/>
      <c r="E321" s="249"/>
      <c r="F321" s="249"/>
      <c r="G321" s="250"/>
      <c r="H321" s="251"/>
      <c r="I321" s="252"/>
      <c r="J321" s="252"/>
      <c r="K321" s="252"/>
      <c r="L321" s="251"/>
      <c r="M321" s="251"/>
      <c r="N321" s="251"/>
      <c r="O321" s="251"/>
      <c r="P321" s="251"/>
      <c r="Q321" s="251"/>
      <c r="R321" s="251"/>
      <c r="S321" s="251"/>
      <c r="T321" s="251"/>
      <c r="U321" s="251"/>
      <c r="V321" s="251"/>
      <c r="W321" s="251"/>
      <c r="X321" s="251"/>
      <c r="Y321" s="251"/>
      <c r="Z321" s="251"/>
      <c r="AA321" s="137"/>
      <c r="AB321" s="137"/>
      <c r="AC321" s="137"/>
      <c r="AD321" s="137"/>
      <c r="AE321" s="137"/>
      <c r="AF321" s="137"/>
      <c r="AG321" s="137"/>
    </row>
    <row r="322" ht="30.0" customHeight="1">
      <c r="A322" s="248"/>
      <c r="B322" s="249"/>
      <c r="C322" s="248"/>
      <c r="D322" s="249"/>
      <c r="E322" s="249"/>
      <c r="F322" s="249"/>
      <c r="G322" s="250"/>
      <c r="H322" s="251"/>
      <c r="I322" s="252"/>
      <c r="J322" s="252"/>
      <c r="K322" s="252"/>
      <c r="L322" s="251"/>
      <c r="M322" s="251"/>
      <c r="N322" s="251"/>
      <c r="O322" s="251"/>
      <c r="P322" s="251"/>
      <c r="Q322" s="251"/>
      <c r="R322" s="251"/>
      <c r="S322" s="251"/>
      <c r="T322" s="251"/>
      <c r="U322" s="251"/>
      <c r="V322" s="251"/>
      <c r="W322" s="251"/>
      <c r="X322" s="251"/>
      <c r="Y322" s="251"/>
      <c r="Z322" s="251"/>
      <c r="AA322" s="137"/>
      <c r="AB322" s="137"/>
      <c r="AC322" s="137"/>
      <c r="AD322" s="137"/>
      <c r="AE322" s="137"/>
      <c r="AF322" s="137"/>
      <c r="AG322" s="137"/>
    </row>
    <row r="323" ht="30.0" customHeight="1">
      <c r="A323" s="248"/>
      <c r="B323" s="249"/>
      <c r="C323" s="248"/>
      <c r="D323" s="249"/>
      <c r="E323" s="249"/>
      <c r="F323" s="249"/>
      <c r="G323" s="250"/>
      <c r="H323" s="251"/>
      <c r="I323" s="252"/>
      <c r="J323" s="252"/>
      <c r="K323" s="252"/>
      <c r="L323" s="251"/>
      <c r="M323" s="251"/>
      <c r="N323" s="251"/>
      <c r="O323" s="251"/>
      <c r="P323" s="251"/>
      <c r="Q323" s="251"/>
      <c r="R323" s="251"/>
      <c r="S323" s="251"/>
      <c r="T323" s="251"/>
      <c r="U323" s="251"/>
      <c r="V323" s="251"/>
      <c r="W323" s="251"/>
      <c r="X323" s="251"/>
      <c r="Y323" s="251"/>
      <c r="Z323" s="251"/>
      <c r="AA323" s="137"/>
      <c r="AB323" s="137"/>
      <c r="AC323" s="137"/>
      <c r="AD323" s="137"/>
      <c r="AE323" s="137"/>
      <c r="AF323" s="137"/>
      <c r="AG323" s="137"/>
    </row>
    <row r="324" ht="30.0" customHeight="1">
      <c r="A324" s="248"/>
      <c r="B324" s="249"/>
      <c r="C324" s="248"/>
      <c r="D324" s="249"/>
      <c r="E324" s="249"/>
      <c r="F324" s="249"/>
      <c r="G324" s="249"/>
      <c r="H324" s="251"/>
      <c r="I324" s="252"/>
      <c r="J324" s="252"/>
      <c r="K324" s="252"/>
      <c r="L324" s="251"/>
      <c r="M324" s="251"/>
      <c r="N324" s="251"/>
      <c r="O324" s="251"/>
      <c r="P324" s="251"/>
      <c r="Q324" s="251"/>
      <c r="R324" s="251"/>
      <c r="S324" s="251"/>
      <c r="T324" s="251"/>
      <c r="U324" s="251"/>
      <c r="V324" s="251"/>
      <c r="W324" s="251"/>
      <c r="X324" s="251"/>
      <c r="Y324" s="251"/>
      <c r="Z324" s="251"/>
      <c r="AA324" s="137"/>
      <c r="AB324" s="137"/>
      <c r="AC324" s="137"/>
      <c r="AD324" s="137"/>
      <c r="AE324" s="137"/>
      <c r="AF324" s="137"/>
      <c r="AG324" s="137"/>
    </row>
    <row r="325" ht="30.0" customHeight="1">
      <c r="A325" s="248"/>
      <c r="B325" s="249"/>
      <c r="C325" s="249"/>
      <c r="D325" s="249"/>
      <c r="E325" s="249"/>
      <c r="F325" s="249"/>
      <c r="G325" s="250"/>
      <c r="H325" s="251"/>
      <c r="I325" s="252"/>
      <c r="J325" s="252"/>
      <c r="K325" s="252"/>
      <c r="L325" s="251"/>
      <c r="M325" s="251"/>
      <c r="N325" s="251"/>
      <c r="O325" s="251"/>
      <c r="P325" s="251"/>
      <c r="Q325" s="251"/>
      <c r="R325" s="251"/>
      <c r="S325" s="251"/>
      <c r="T325" s="251"/>
      <c r="U325" s="251"/>
      <c r="V325" s="251"/>
      <c r="W325" s="251"/>
      <c r="X325" s="251"/>
      <c r="Y325" s="251"/>
      <c r="Z325" s="251"/>
      <c r="AA325" s="137"/>
      <c r="AB325" s="137"/>
      <c r="AC325" s="137"/>
      <c r="AD325" s="137"/>
      <c r="AE325" s="137"/>
      <c r="AF325" s="137"/>
      <c r="AG325" s="137"/>
    </row>
    <row r="326" ht="30.0" customHeight="1">
      <c r="A326" s="248"/>
      <c r="B326" s="249"/>
      <c r="C326" s="248"/>
      <c r="D326" s="249"/>
      <c r="E326" s="249"/>
      <c r="F326" s="249"/>
      <c r="G326" s="250"/>
      <c r="H326" s="251"/>
      <c r="I326" s="252"/>
      <c r="J326" s="252"/>
      <c r="K326" s="252"/>
      <c r="L326" s="251"/>
      <c r="M326" s="251"/>
      <c r="N326" s="251"/>
      <c r="O326" s="251"/>
      <c r="P326" s="251"/>
      <c r="Q326" s="251"/>
      <c r="R326" s="251"/>
      <c r="S326" s="251"/>
      <c r="T326" s="251"/>
      <c r="U326" s="251"/>
      <c r="V326" s="251"/>
      <c r="W326" s="251"/>
      <c r="X326" s="251"/>
      <c r="Y326" s="251"/>
      <c r="Z326" s="251"/>
      <c r="AA326" s="137"/>
      <c r="AB326" s="137"/>
      <c r="AC326" s="137"/>
      <c r="AD326" s="137"/>
      <c r="AE326" s="137"/>
      <c r="AF326" s="137"/>
      <c r="AG326" s="137"/>
    </row>
    <row r="327" ht="30.0" customHeight="1">
      <c r="A327" s="248"/>
      <c r="B327" s="249"/>
      <c r="C327" s="248"/>
      <c r="D327" s="249"/>
      <c r="E327" s="249"/>
      <c r="F327" s="249"/>
      <c r="G327" s="250"/>
      <c r="H327" s="251"/>
      <c r="I327" s="252"/>
      <c r="J327" s="252"/>
      <c r="K327" s="252"/>
      <c r="L327" s="251"/>
      <c r="M327" s="251"/>
      <c r="N327" s="251"/>
      <c r="O327" s="251"/>
      <c r="P327" s="251"/>
      <c r="Q327" s="251"/>
      <c r="R327" s="251"/>
      <c r="S327" s="251"/>
      <c r="T327" s="251"/>
      <c r="U327" s="251"/>
      <c r="V327" s="251"/>
      <c r="W327" s="251"/>
      <c r="X327" s="251"/>
      <c r="Y327" s="251"/>
      <c r="Z327" s="251"/>
      <c r="AA327" s="137"/>
      <c r="AB327" s="137"/>
      <c r="AC327" s="137"/>
      <c r="AD327" s="137"/>
      <c r="AE327" s="137"/>
      <c r="AF327" s="137"/>
      <c r="AG327" s="137"/>
    </row>
    <row r="328" ht="30.0" customHeight="1">
      <c r="A328" s="248"/>
      <c r="B328" s="249"/>
      <c r="C328" s="248"/>
      <c r="D328" s="249"/>
      <c r="E328" s="249"/>
      <c r="F328" s="249"/>
      <c r="G328" s="250"/>
      <c r="H328" s="251"/>
      <c r="I328" s="252"/>
      <c r="J328" s="252"/>
      <c r="K328" s="252"/>
      <c r="L328" s="251"/>
      <c r="M328" s="251"/>
      <c r="N328" s="251"/>
      <c r="O328" s="251"/>
      <c r="P328" s="251"/>
      <c r="Q328" s="251"/>
      <c r="R328" s="251"/>
      <c r="S328" s="251"/>
      <c r="T328" s="251"/>
      <c r="U328" s="251"/>
      <c r="V328" s="251"/>
      <c r="W328" s="251"/>
      <c r="X328" s="251"/>
      <c r="Y328" s="251"/>
      <c r="Z328" s="251"/>
      <c r="AA328" s="137"/>
      <c r="AB328" s="137"/>
      <c r="AC328" s="137"/>
      <c r="AD328" s="137"/>
      <c r="AE328" s="137"/>
      <c r="AF328" s="137"/>
      <c r="AG328" s="137"/>
    </row>
    <row r="329" ht="30.0" customHeight="1">
      <c r="A329" s="248"/>
      <c r="B329" s="249"/>
      <c r="C329" s="248"/>
      <c r="D329" s="249"/>
      <c r="E329" s="249"/>
      <c r="F329" s="249"/>
      <c r="G329" s="250"/>
      <c r="H329" s="251"/>
      <c r="I329" s="252"/>
      <c r="J329" s="252"/>
      <c r="K329" s="252"/>
      <c r="L329" s="251"/>
      <c r="M329" s="251"/>
      <c r="N329" s="251"/>
      <c r="O329" s="251"/>
      <c r="P329" s="251"/>
      <c r="Q329" s="251"/>
      <c r="R329" s="251"/>
      <c r="S329" s="251"/>
      <c r="T329" s="251"/>
      <c r="U329" s="251"/>
      <c r="V329" s="251"/>
      <c r="W329" s="251"/>
      <c r="X329" s="251"/>
      <c r="Y329" s="251"/>
      <c r="Z329" s="251"/>
      <c r="AA329" s="137"/>
      <c r="AB329" s="137"/>
      <c r="AC329" s="137"/>
      <c r="AD329" s="137"/>
      <c r="AE329" s="137"/>
      <c r="AF329" s="137"/>
      <c r="AG329" s="137"/>
    </row>
    <row r="330" ht="30.0" customHeight="1">
      <c r="A330" s="248"/>
      <c r="B330" s="249"/>
      <c r="C330" s="248"/>
      <c r="D330" s="249"/>
      <c r="E330" s="251"/>
      <c r="F330" s="249"/>
      <c r="G330" s="250"/>
      <c r="H330" s="251"/>
      <c r="I330" s="252"/>
      <c r="J330" s="252"/>
      <c r="K330" s="252"/>
      <c r="L330" s="251"/>
      <c r="M330" s="251"/>
      <c r="N330" s="251"/>
      <c r="O330" s="251"/>
      <c r="P330" s="251"/>
      <c r="Q330" s="251"/>
      <c r="R330" s="251"/>
      <c r="S330" s="251"/>
      <c r="T330" s="251"/>
      <c r="U330" s="251"/>
      <c r="V330" s="251"/>
      <c r="W330" s="251"/>
      <c r="X330" s="251"/>
      <c r="Y330" s="251"/>
      <c r="Z330" s="251"/>
      <c r="AA330" s="137"/>
      <c r="AB330" s="137"/>
      <c r="AC330" s="137"/>
      <c r="AD330" s="137"/>
      <c r="AE330" s="137"/>
      <c r="AF330" s="137"/>
      <c r="AG330" s="137"/>
    </row>
    <row r="331" ht="30.0" customHeight="1">
      <c r="A331" s="248"/>
      <c r="B331" s="249"/>
      <c r="C331" s="248"/>
      <c r="D331" s="249"/>
      <c r="E331" s="251"/>
      <c r="F331" s="249"/>
      <c r="G331" s="250"/>
      <c r="H331" s="251"/>
      <c r="I331" s="252"/>
      <c r="J331" s="252"/>
      <c r="K331" s="252"/>
      <c r="L331" s="251"/>
      <c r="M331" s="251"/>
      <c r="N331" s="251"/>
      <c r="O331" s="251"/>
      <c r="P331" s="251"/>
      <c r="Q331" s="251"/>
      <c r="R331" s="251"/>
      <c r="S331" s="251"/>
      <c r="T331" s="251"/>
      <c r="U331" s="251"/>
      <c r="V331" s="251"/>
      <c r="W331" s="251"/>
      <c r="X331" s="251"/>
      <c r="Y331" s="251"/>
      <c r="Z331" s="251"/>
      <c r="AA331" s="137"/>
      <c r="AB331" s="137"/>
      <c r="AC331" s="137"/>
      <c r="AD331" s="137"/>
      <c r="AE331" s="137"/>
      <c r="AF331" s="137"/>
      <c r="AG331" s="137"/>
    </row>
    <row r="332" ht="30.0" customHeight="1">
      <c r="A332" s="248"/>
      <c r="B332" s="249"/>
      <c r="C332" s="248"/>
      <c r="D332" s="249"/>
      <c r="E332" s="251"/>
      <c r="F332" s="249"/>
      <c r="G332" s="250"/>
      <c r="H332" s="251"/>
      <c r="I332" s="252"/>
      <c r="J332" s="252"/>
      <c r="K332" s="252"/>
      <c r="L332" s="251"/>
      <c r="M332" s="251"/>
      <c r="N332" s="251"/>
      <c r="O332" s="251"/>
      <c r="P332" s="251"/>
      <c r="Q332" s="251"/>
      <c r="R332" s="251"/>
      <c r="S332" s="251"/>
      <c r="T332" s="251"/>
      <c r="U332" s="251"/>
      <c r="V332" s="251"/>
      <c r="W332" s="251"/>
      <c r="X332" s="251"/>
      <c r="Y332" s="251"/>
      <c r="Z332" s="251"/>
      <c r="AA332" s="137"/>
      <c r="AB332" s="137"/>
      <c r="AC332" s="137"/>
      <c r="AD332" s="137"/>
      <c r="AE332" s="137"/>
      <c r="AF332" s="137"/>
      <c r="AG332" s="137"/>
    </row>
    <row r="333" ht="30.0" customHeight="1">
      <c r="A333" s="248"/>
      <c r="B333" s="249"/>
      <c r="C333" s="248"/>
      <c r="D333" s="249"/>
      <c r="E333" s="251"/>
      <c r="F333" s="249"/>
      <c r="G333" s="250"/>
      <c r="H333" s="251"/>
      <c r="I333" s="252"/>
      <c r="J333" s="252"/>
      <c r="K333" s="252"/>
      <c r="L333" s="251"/>
      <c r="M333" s="251"/>
      <c r="N333" s="251"/>
      <c r="O333" s="251"/>
      <c r="P333" s="251"/>
      <c r="Q333" s="251"/>
      <c r="R333" s="251"/>
      <c r="S333" s="251"/>
      <c r="T333" s="251"/>
      <c r="U333" s="251"/>
      <c r="V333" s="251"/>
      <c r="W333" s="251"/>
      <c r="X333" s="251"/>
      <c r="Y333" s="251"/>
      <c r="Z333" s="251"/>
      <c r="AA333" s="137"/>
      <c r="AB333" s="137"/>
      <c r="AC333" s="137"/>
      <c r="AD333" s="137"/>
      <c r="AE333" s="137"/>
      <c r="AF333" s="137"/>
      <c r="AG333" s="137"/>
    </row>
    <row r="334" ht="30.0" customHeight="1">
      <c r="A334" s="248"/>
      <c r="B334" s="249"/>
      <c r="C334" s="248"/>
      <c r="D334" s="249"/>
      <c r="E334" s="251"/>
      <c r="F334" s="249"/>
      <c r="G334" s="250"/>
      <c r="H334" s="251"/>
      <c r="I334" s="252"/>
      <c r="J334" s="252"/>
      <c r="K334" s="252"/>
      <c r="L334" s="251"/>
      <c r="M334" s="251"/>
      <c r="N334" s="251"/>
      <c r="O334" s="251"/>
      <c r="P334" s="251"/>
      <c r="Q334" s="251"/>
      <c r="R334" s="251"/>
      <c r="S334" s="251"/>
      <c r="T334" s="251"/>
      <c r="U334" s="251"/>
      <c r="V334" s="251"/>
      <c r="W334" s="251"/>
      <c r="X334" s="251"/>
      <c r="Y334" s="251"/>
      <c r="Z334" s="251"/>
      <c r="AA334" s="137"/>
      <c r="AB334" s="137"/>
      <c r="AC334" s="137"/>
      <c r="AD334" s="137"/>
      <c r="AE334" s="137"/>
      <c r="AF334" s="137"/>
      <c r="AG334" s="137"/>
    </row>
    <row r="335" ht="30.0" customHeight="1">
      <c r="A335" s="248"/>
      <c r="B335" s="249"/>
      <c r="C335" s="248"/>
      <c r="D335" s="249"/>
      <c r="E335" s="251"/>
      <c r="F335" s="249"/>
      <c r="G335" s="250"/>
      <c r="H335" s="251"/>
      <c r="I335" s="252"/>
      <c r="J335" s="252"/>
      <c r="K335" s="252"/>
      <c r="L335" s="251"/>
      <c r="M335" s="251"/>
      <c r="N335" s="251"/>
      <c r="O335" s="251"/>
      <c r="P335" s="251"/>
      <c r="Q335" s="251"/>
      <c r="R335" s="251"/>
      <c r="S335" s="251"/>
      <c r="T335" s="251"/>
      <c r="U335" s="251"/>
      <c r="V335" s="251"/>
      <c r="W335" s="251"/>
      <c r="X335" s="251"/>
      <c r="Y335" s="251"/>
      <c r="Z335" s="251"/>
      <c r="AA335" s="137"/>
      <c r="AB335" s="137"/>
      <c r="AC335" s="137"/>
      <c r="AD335" s="137"/>
      <c r="AE335" s="137"/>
      <c r="AF335" s="137"/>
      <c r="AG335" s="137"/>
    </row>
    <row r="336" ht="30.0" customHeight="1">
      <c r="A336" s="248"/>
      <c r="B336" s="249"/>
      <c r="C336" s="248"/>
      <c r="D336" s="249"/>
      <c r="E336" s="249"/>
      <c r="F336" s="249"/>
      <c r="G336" s="250"/>
      <c r="H336" s="251"/>
      <c r="I336" s="252"/>
      <c r="J336" s="252"/>
      <c r="K336" s="252"/>
      <c r="L336" s="251"/>
      <c r="M336" s="251"/>
      <c r="N336" s="251"/>
      <c r="O336" s="251"/>
      <c r="P336" s="251"/>
      <c r="Q336" s="251"/>
      <c r="R336" s="251"/>
      <c r="S336" s="251"/>
      <c r="T336" s="251"/>
      <c r="U336" s="251"/>
      <c r="V336" s="251"/>
      <c r="W336" s="251"/>
      <c r="X336" s="251"/>
      <c r="Y336" s="251"/>
      <c r="Z336" s="251"/>
      <c r="AA336" s="137"/>
      <c r="AB336" s="137"/>
      <c r="AC336" s="137"/>
      <c r="AD336" s="137"/>
      <c r="AE336" s="137"/>
      <c r="AF336" s="137"/>
      <c r="AG336" s="137"/>
    </row>
    <row r="337" ht="30.0" customHeight="1">
      <c r="A337" s="249"/>
      <c r="B337" s="249"/>
      <c r="C337" s="248"/>
      <c r="D337" s="249"/>
      <c r="E337" s="249"/>
      <c r="F337" s="249"/>
      <c r="G337" s="250"/>
      <c r="H337" s="251"/>
      <c r="I337" s="252"/>
      <c r="J337" s="252"/>
      <c r="K337" s="252"/>
      <c r="L337" s="251"/>
      <c r="M337" s="251"/>
      <c r="N337" s="251"/>
      <c r="O337" s="251"/>
      <c r="P337" s="251"/>
      <c r="Q337" s="251"/>
      <c r="R337" s="251"/>
      <c r="S337" s="251"/>
      <c r="T337" s="251"/>
      <c r="U337" s="251"/>
      <c r="V337" s="251"/>
      <c r="W337" s="251"/>
      <c r="X337" s="251"/>
      <c r="Y337" s="251"/>
      <c r="Z337" s="251"/>
      <c r="AA337" s="137"/>
      <c r="AB337" s="137"/>
      <c r="AC337" s="137"/>
      <c r="AD337" s="137"/>
      <c r="AE337" s="137"/>
      <c r="AF337" s="137"/>
      <c r="AG337" s="137"/>
    </row>
    <row r="338" ht="30.0" customHeight="1">
      <c r="A338" s="249"/>
      <c r="B338" s="249"/>
      <c r="C338" s="248"/>
      <c r="D338" s="249"/>
      <c r="E338" s="249"/>
      <c r="F338" s="249"/>
      <c r="G338" s="250"/>
      <c r="H338" s="251"/>
      <c r="I338" s="252"/>
      <c r="J338" s="252"/>
      <c r="K338" s="252"/>
      <c r="L338" s="251"/>
      <c r="M338" s="251"/>
      <c r="N338" s="251"/>
      <c r="O338" s="251"/>
      <c r="P338" s="251"/>
      <c r="Q338" s="251"/>
      <c r="R338" s="251"/>
      <c r="S338" s="251"/>
      <c r="T338" s="251"/>
      <c r="U338" s="251"/>
      <c r="V338" s="251"/>
      <c r="W338" s="251"/>
      <c r="X338" s="251"/>
      <c r="Y338" s="251"/>
      <c r="Z338" s="251"/>
      <c r="AA338" s="137"/>
      <c r="AB338" s="137"/>
      <c r="AC338" s="137"/>
      <c r="AD338" s="137"/>
      <c r="AE338" s="137"/>
      <c r="AF338" s="137"/>
      <c r="AG338" s="137"/>
    </row>
    <row r="339" ht="30.0" customHeight="1">
      <c r="A339" s="248"/>
      <c r="B339" s="249"/>
      <c r="C339" s="248"/>
      <c r="D339" s="249"/>
      <c r="E339" s="249"/>
      <c r="F339" s="249"/>
      <c r="G339" s="250"/>
      <c r="H339" s="251"/>
      <c r="I339" s="252"/>
      <c r="J339" s="252"/>
      <c r="K339" s="252"/>
      <c r="L339" s="251"/>
      <c r="M339" s="251"/>
      <c r="N339" s="251"/>
      <c r="O339" s="251"/>
      <c r="P339" s="251"/>
      <c r="Q339" s="251"/>
      <c r="R339" s="251"/>
      <c r="S339" s="251"/>
      <c r="T339" s="251"/>
      <c r="U339" s="251"/>
      <c r="V339" s="251"/>
      <c r="W339" s="251"/>
      <c r="X339" s="251"/>
      <c r="Y339" s="251"/>
      <c r="Z339" s="251"/>
      <c r="AA339" s="137"/>
      <c r="AB339" s="137"/>
      <c r="AC339" s="137"/>
      <c r="AD339" s="137"/>
      <c r="AE339" s="137"/>
      <c r="AF339" s="137"/>
      <c r="AG339" s="137"/>
    </row>
    <row r="340" ht="30.0" customHeight="1">
      <c r="A340" s="248"/>
      <c r="B340" s="249"/>
      <c r="C340" s="248"/>
      <c r="D340" s="249"/>
      <c r="E340" s="251"/>
      <c r="F340" s="249"/>
      <c r="G340" s="250"/>
      <c r="H340" s="251"/>
      <c r="I340" s="252"/>
      <c r="J340" s="252"/>
      <c r="K340" s="252"/>
      <c r="L340" s="251"/>
      <c r="M340" s="251"/>
      <c r="N340" s="251"/>
      <c r="O340" s="251"/>
      <c r="P340" s="251"/>
      <c r="Q340" s="251"/>
      <c r="R340" s="251"/>
      <c r="S340" s="251"/>
      <c r="T340" s="251"/>
      <c r="U340" s="251"/>
      <c r="V340" s="251"/>
      <c r="W340" s="251"/>
      <c r="X340" s="251"/>
      <c r="Y340" s="251"/>
      <c r="Z340" s="251"/>
      <c r="AA340" s="137"/>
      <c r="AB340" s="137"/>
      <c r="AC340" s="137"/>
      <c r="AD340" s="137"/>
      <c r="AE340" s="137"/>
      <c r="AF340" s="137"/>
      <c r="AG340" s="137"/>
    </row>
    <row r="341" ht="30.0" customHeight="1">
      <c r="A341" s="248"/>
      <c r="B341" s="249"/>
      <c r="C341" s="248"/>
      <c r="D341" s="249"/>
      <c r="E341" s="251"/>
      <c r="F341" s="249"/>
      <c r="G341" s="250"/>
      <c r="H341" s="251"/>
      <c r="I341" s="252"/>
      <c r="J341" s="252"/>
      <c r="K341" s="252"/>
      <c r="L341" s="251"/>
      <c r="M341" s="251"/>
      <c r="N341" s="251"/>
      <c r="O341" s="251"/>
      <c r="P341" s="251"/>
      <c r="Q341" s="251"/>
      <c r="R341" s="251"/>
      <c r="S341" s="251"/>
      <c r="T341" s="251"/>
      <c r="U341" s="251"/>
      <c r="V341" s="251"/>
      <c r="W341" s="251"/>
      <c r="X341" s="251"/>
      <c r="Y341" s="251"/>
      <c r="Z341" s="251"/>
      <c r="AA341" s="137"/>
      <c r="AB341" s="137"/>
      <c r="AC341" s="137"/>
      <c r="AD341" s="137"/>
      <c r="AE341" s="137"/>
      <c r="AF341" s="137"/>
      <c r="AG341" s="137"/>
    </row>
    <row r="342" ht="30.0" customHeight="1">
      <c r="A342" s="248"/>
      <c r="B342" s="249"/>
      <c r="C342" s="249"/>
      <c r="D342" s="249"/>
      <c r="E342" s="249"/>
      <c r="F342" s="249"/>
      <c r="G342" s="250"/>
      <c r="H342" s="251"/>
      <c r="I342" s="252"/>
      <c r="J342" s="252"/>
      <c r="K342" s="252"/>
      <c r="L342" s="251"/>
      <c r="M342" s="251"/>
      <c r="N342" s="251"/>
      <c r="O342" s="251"/>
      <c r="P342" s="251"/>
      <c r="Q342" s="251"/>
      <c r="R342" s="251"/>
      <c r="S342" s="251"/>
      <c r="T342" s="251"/>
      <c r="U342" s="251"/>
      <c r="V342" s="251"/>
      <c r="W342" s="251"/>
      <c r="X342" s="251"/>
      <c r="Y342" s="251"/>
      <c r="Z342" s="251"/>
      <c r="AA342" s="137"/>
      <c r="AB342" s="137"/>
      <c r="AC342" s="137"/>
      <c r="AD342" s="137"/>
      <c r="AE342" s="137"/>
      <c r="AF342" s="137"/>
      <c r="AG342" s="137"/>
    </row>
    <row r="343" ht="30.0" customHeight="1">
      <c r="A343" s="248"/>
      <c r="B343" s="249"/>
      <c r="C343" s="248"/>
      <c r="D343" s="249"/>
      <c r="E343" s="249"/>
      <c r="F343" s="249"/>
      <c r="G343" s="250"/>
      <c r="H343" s="251"/>
      <c r="I343" s="252"/>
      <c r="J343" s="252"/>
      <c r="K343" s="252"/>
      <c r="L343" s="251"/>
      <c r="M343" s="251"/>
      <c r="N343" s="251"/>
      <c r="O343" s="251"/>
      <c r="P343" s="251"/>
      <c r="Q343" s="251"/>
      <c r="R343" s="251"/>
      <c r="S343" s="251"/>
      <c r="T343" s="251"/>
      <c r="U343" s="251"/>
      <c r="V343" s="251"/>
      <c r="W343" s="251"/>
      <c r="X343" s="251"/>
      <c r="Y343" s="251"/>
      <c r="Z343" s="251"/>
      <c r="AA343" s="137"/>
      <c r="AB343" s="137"/>
      <c r="AC343" s="137"/>
      <c r="AD343" s="137"/>
      <c r="AE343" s="137"/>
      <c r="AF343" s="137"/>
      <c r="AG343" s="137"/>
    </row>
    <row r="344" ht="30.0" customHeight="1">
      <c r="A344" s="248"/>
      <c r="B344" s="249"/>
      <c r="C344" s="248"/>
      <c r="D344" s="249"/>
      <c r="E344" s="251"/>
      <c r="F344" s="249"/>
      <c r="G344" s="250"/>
      <c r="H344" s="251"/>
      <c r="I344" s="252"/>
      <c r="J344" s="252"/>
      <c r="K344" s="252"/>
      <c r="L344" s="251"/>
      <c r="M344" s="251"/>
      <c r="N344" s="251"/>
      <c r="O344" s="251"/>
      <c r="P344" s="251"/>
      <c r="Q344" s="251"/>
      <c r="R344" s="251"/>
      <c r="S344" s="251"/>
      <c r="T344" s="251"/>
      <c r="U344" s="251"/>
      <c r="V344" s="251"/>
      <c r="W344" s="251"/>
      <c r="X344" s="251"/>
      <c r="Y344" s="251"/>
      <c r="Z344" s="251"/>
      <c r="AA344" s="137"/>
      <c r="AB344" s="137"/>
      <c r="AC344" s="137"/>
      <c r="AD344" s="137"/>
      <c r="AE344" s="137"/>
      <c r="AF344" s="137"/>
      <c r="AG344" s="137"/>
    </row>
    <row r="345" ht="30.0" customHeight="1">
      <c r="A345" s="248"/>
      <c r="B345" s="249"/>
      <c r="C345" s="248"/>
      <c r="D345" s="249"/>
      <c r="E345" s="249"/>
      <c r="F345" s="249"/>
      <c r="G345" s="250"/>
      <c r="H345" s="251"/>
      <c r="I345" s="252"/>
      <c r="J345" s="252"/>
      <c r="K345" s="252"/>
      <c r="L345" s="251"/>
      <c r="M345" s="251"/>
      <c r="N345" s="251"/>
      <c r="O345" s="251"/>
      <c r="P345" s="251"/>
      <c r="Q345" s="251"/>
      <c r="R345" s="251"/>
      <c r="S345" s="251"/>
      <c r="T345" s="251"/>
      <c r="U345" s="251"/>
      <c r="V345" s="251"/>
      <c r="W345" s="251"/>
      <c r="X345" s="251"/>
      <c r="Y345" s="251"/>
      <c r="Z345" s="251"/>
      <c r="AA345" s="137"/>
      <c r="AB345" s="137"/>
      <c r="AC345" s="137"/>
      <c r="AD345" s="137"/>
      <c r="AE345" s="137"/>
      <c r="AF345" s="137"/>
      <c r="AG345" s="137"/>
    </row>
    <row r="346" ht="30.0" customHeight="1">
      <c r="A346" s="248"/>
      <c r="B346" s="249"/>
      <c r="C346" s="248"/>
      <c r="D346" s="249"/>
      <c r="E346" s="251"/>
      <c r="F346" s="249"/>
      <c r="G346" s="250"/>
      <c r="H346" s="251"/>
      <c r="I346" s="252"/>
      <c r="J346" s="252"/>
      <c r="K346" s="252"/>
      <c r="L346" s="251"/>
      <c r="M346" s="251"/>
      <c r="N346" s="251"/>
      <c r="O346" s="251"/>
      <c r="P346" s="251"/>
      <c r="Q346" s="251"/>
      <c r="R346" s="251"/>
      <c r="S346" s="251"/>
      <c r="T346" s="251"/>
      <c r="U346" s="251"/>
      <c r="V346" s="251"/>
      <c r="W346" s="251"/>
      <c r="X346" s="251"/>
      <c r="Y346" s="251"/>
      <c r="Z346" s="251"/>
      <c r="AA346" s="137"/>
      <c r="AB346" s="137"/>
      <c r="AC346" s="137"/>
      <c r="AD346" s="137"/>
      <c r="AE346" s="137"/>
      <c r="AF346" s="137"/>
      <c r="AG346" s="137"/>
    </row>
    <row r="347" ht="30.0" customHeight="1">
      <c r="A347" s="248"/>
      <c r="B347" s="249"/>
      <c r="C347" s="248"/>
      <c r="D347" s="249"/>
      <c r="E347" s="251"/>
      <c r="F347" s="249"/>
      <c r="G347" s="250"/>
      <c r="H347" s="251"/>
      <c r="I347" s="252"/>
      <c r="J347" s="252"/>
      <c r="K347" s="252"/>
      <c r="L347" s="251"/>
      <c r="M347" s="251"/>
      <c r="N347" s="251"/>
      <c r="O347" s="251"/>
      <c r="P347" s="251"/>
      <c r="Q347" s="251"/>
      <c r="R347" s="251"/>
      <c r="S347" s="251"/>
      <c r="T347" s="251"/>
      <c r="U347" s="251"/>
      <c r="V347" s="251"/>
      <c r="W347" s="251"/>
      <c r="X347" s="251"/>
      <c r="Y347" s="251"/>
      <c r="Z347" s="251"/>
      <c r="AA347" s="137"/>
      <c r="AB347" s="137"/>
      <c r="AC347" s="137"/>
      <c r="AD347" s="137"/>
      <c r="AE347" s="137"/>
      <c r="AF347" s="137"/>
      <c r="AG347" s="137"/>
    </row>
    <row r="348" ht="30.0" customHeight="1">
      <c r="A348" s="248"/>
      <c r="B348" s="249"/>
      <c r="C348" s="248"/>
      <c r="D348" s="249"/>
      <c r="E348" s="249"/>
      <c r="F348" s="249"/>
      <c r="G348" s="250"/>
      <c r="H348" s="251"/>
      <c r="I348" s="252"/>
      <c r="J348" s="252"/>
      <c r="K348" s="252"/>
      <c r="L348" s="251"/>
      <c r="M348" s="251"/>
      <c r="N348" s="251"/>
      <c r="O348" s="251"/>
      <c r="P348" s="251"/>
      <c r="Q348" s="251"/>
      <c r="R348" s="251"/>
      <c r="S348" s="251"/>
      <c r="T348" s="251"/>
      <c r="U348" s="251"/>
      <c r="V348" s="251"/>
      <c r="W348" s="251"/>
      <c r="X348" s="251"/>
      <c r="Y348" s="251"/>
      <c r="Z348" s="251"/>
      <c r="AA348" s="137"/>
      <c r="AB348" s="137"/>
      <c r="AC348" s="137"/>
      <c r="AD348" s="137"/>
      <c r="AE348" s="137"/>
      <c r="AF348" s="137"/>
      <c r="AG348" s="137"/>
    </row>
    <row r="349" ht="30.0" customHeight="1">
      <c r="A349" s="248"/>
      <c r="B349" s="249"/>
      <c r="C349" s="248"/>
      <c r="D349" s="249"/>
      <c r="E349" s="249"/>
      <c r="F349" s="249"/>
      <c r="G349" s="250"/>
      <c r="H349" s="251"/>
      <c r="I349" s="252"/>
      <c r="J349" s="252"/>
      <c r="K349" s="252"/>
      <c r="L349" s="251"/>
      <c r="M349" s="251"/>
      <c r="N349" s="251"/>
      <c r="O349" s="251"/>
      <c r="P349" s="251"/>
      <c r="Q349" s="251"/>
      <c r="R349" s="251"/>
      <c r="S349" s="251"/>
      <c r="T349" s="251"/>
      <c r="U349" s="251"/>
      <c r="V349" s="251"/>
      <c r="W349" s="251"/>
      <c r="X349" s="251"/>
      <c r="Y349" s="251"/>
      <c r="Z349" s="251"/>
      <c r="AA349" s="137"/>
      <c r="AB349" s="137"/>
      <c r="AC349" s="137"/>
      <c r="AD349" s="137"/>
      <c r="AE349" s="137"/>
      <c r="AF349" s="137"/>
      <c r="AG349" s="137"/>
    </row>
    <row r="350" ht="30.0" customHeight="1">
      <c r="A350" s="248"/>
      <c r="B350" s="249"/>
      <c r="C350" s="248"/>
      <c r="D350" s="249"/>
      <c r="E350" s="251"/>
      <c r="F350" s="249"/>
      <c r="G350" s="250"/>
      <c r="H350" s="251"/>
      <c r="I350" s="252"/>
      <c r="J350" s="252"/>
      <c r="K350" s="252"/>
      <c r="L350" s="251"/>
      <c r="M350" s="251"/>
      <c r="N350" s="251"/>
      <c r="O350" s="251"/>
      <c r="P350" s="251"/>
      <c r="Q350" s="251"/>
      <c r="R350" s="251"/>
      <c r="S350" s="251"/>
      <c r="T350" s="251"/>
      <c r="U350" s="251"/>
      <c r="V350" s="251"/>
      <c r="W350" s="251"/>
      <c r="X350" s="251"/>
      <c r="Y350" s="251"/>
      <c r="Z350" s="251"/>
      <c r="AA350" s="137"/>
      <c r="AB350" s="137"/>
      <c r="AC350" s="137"/>
      <c r="AD350" s="137"/>
      <c r="AE350" s="137"/>
      <c r="AF350" s="137"/>
      <c r="AG350" s="137"/>
    </row>
    <row r="351" ht="30.0" customHeight="1">
      <c r="A351" s="248"/>
      <c r="B351" s="249"/>
      <c r="C351" s="248"/>
      <c r="D351" s="249"/>
      <c r="E351" s="251"/>
      <c r="F351" s="249"/>
      <c r="G351" s="250"/>
      <c r="H351" s="251"/>
      <c r="I351" s="252"/>
      <c r="J351" s="252"/>
      <c r="K351" s="252"/>
      <c r="L351" s="251"/>
      <c r="M351" s="251"/>
      <c r="N351" s="251"/>
      <c r="O351" s="251"/>
      <c r="P351" s="251"/>
      <c r="Q351" s="251"/>
      <c r="R351" s="251"/>
      <c r="S351" s="251"/>
      <c r="T351" s="251"/>
      <c r="U351" s="251"/>
      <c r="V351" s="251"/>
      <c r="W351" s="251"/>
      <c r="X351" s="251"/>
      <c r="Y351" s="251"/>
      <c r="Z351" s="251"/>
      <c r="AA351" s="137"/>
      <c r="AB351" s="137"/>
      <c r="AC351" s="137"/>
      <c r="AD351" s="137"/>
      <c r="AE351" s="137"/>
      <c r="AF351" s="137"/>
      <c r="AG351" s="137"/>
    </row>
    <row r="352" ht="30.0" customHeight="1">
      <c r="A352" s="248"/>
      <c r="B352" s="251"/>
      <c r="C352" s="248"/>
      <c r="D352" s="249"/>
      <c r="E352" s="249"/>
      <c r="F352" s="249"/>
      <c r="G352" s="250"/>
      <c r="H352" s="251"/>
      <c r="I352" s="252"/>
      <c r="J352" s="252"/>
      <c r="K352" s="252"/>
      <c r="L352" s="251"/>
      <c r="M352" s="251"/>
      <c r="N352" s="251"/>
      <c r="O352" s="251"/>
      <c r="P352" s="251"/>
      <c r="Q352" s="251"/>
      <c r="R352" s="251"/>
      <c r="S352" s="251"/>
      <c r="T352" s="251"/>
      <c r="U352" s="251"/>
      <c r="V352" s="251"/>
      <c r="W352" s="251"/>
      <c r="X352" s="251"/>
      <c r="Y352" s="251"/>
      <c r="Z352" s="251"/>
      <c r="AA352" s="137"/>
      <c r="AB352" s="137"/>
      <c r="AC352" s="137"/>
      <c r="AD352" s="137"/>
      <c r="AE352" s="137"/>
      <c r="AF352" s="137"/>
      <c r="AG352" s="137"/>
    </row>
    <row r="353" ht="30.0" customHeight="1">
      <c r="A353" s="248"/>
      <c r="B353" s="249"/>
      <c r="C353" s="248"/>
      <c r="D353" s="249"/>
      <c r="E353" s="251"/>
      <c r="F353" s="249"/>
      <c r="G353" s="250"/>
      <c r="H353" s="251"/>
      <c r="I353" s="252"/>
      <c r="J353" s="252"/>
      <c r="K353" s="252"/>
      <c r="L353" s="251"/>
      <c r="M353" s="251"/>
      <c r="N353" s="251"/>
      <c r="O353" s="251"/>
      <c r="P353" s="251"/>
      <c r="Q353" s="251"/>
      <c r="R353" s="251"/>
      <c r="S353" s="251"/>
      <c r="T353" s="251"/>
      <c r="U353" s="251"/>
      <c r="V353" s="251"/>
      <c r="W353" s="251"/>
      <c r="X353" s="251"/>
      <c r="Y353" s="251"/>
      <c r="Z353" s="251"/>
      <c r="AA353" s="137"/>
      <c r="AB353" s="137"/>
      <c r="AC353" s="137"/>
      <c r="AD353" s="137"/>
      <c r="AE353" s="137"/>
      <c r="AF353" s="137"/>
      <c r="AG353" s="137"/>
    </row>
    <row r="354" ht="30.0" customHeight="1">
      <c r="A354" s="248"/>
      <c r="B354" s="249"/>
      <c r="C354" s="248"/>
      <c r="D354" s="249"/>
      <c r="E354" s="251"/>
      <c r="F354" s="249"/>
      <c r="G354" s="250"/>
      <c r="H354" s="251"/>
      <c r="I354" s="252"/>
      <c r="J354" s="252"/>
      <c r="K354" s="252"/>
      <c r="L354" s="251"/>
      <c r="M354" s="251"/>
      <c r="N354" s="251"/>
      <c r="O354" s="251"/>
      <c r="P354" s="251"/>
      <c r="Q354" s="251"/>
      <c r="R354" s="251"/>
      <c r="S354" s="251"/>
      <c r="T354" s="251"/>
      <c r="U354" s="251"/>
      <c r="V354" s="251"/>
      <c r="W354" s="251"/>
      <c r="X354" s="251"/>
      <c r="Y354" s="251"/>
      <c r="Z354" s="251"/>
      <c r="AA354" s="137"/>
      <c r="AB354" s="137"/>
      <c r="AC354" s="137"/>
      <c r="AD354" s="137"/>
      <c r="AE354" s="137"/>
      <c r="AF354" s="137"/>
      <c r="AG354" s="137"/>
    </row>
    <row r="355" ht="30.0" customHeight="1">
      <c r="A355" s="248"/>
      <c r="B355" s="249"/>
      <c r="C355" s="248"/>
      <c r="D355" s="249"/>
      <c r="E355" s="251"/>
      <c r="F355" s="249"/>
      <c r="G355" s="250"/>
      <c r="H355" s="251"/>
      <c r="I355" s="252"/>
      <c r="J355" s="252"/>
      <c r="K355" s="252"/>
      <c r="L355" s="251"/>
      <c r="M355" s="251"/>
      <c r="N355" s="251"/>
      <c r="O355" s="251"/>
      <c r="P355" s="251"/>
      <c r="Q355" s="251"/>
      <c r="R355" s="251"/>
      <c r="S355" s="251"/>
      <c r="T355" s="251"/>
      <c r="U355" s="251"/>
      <c r="V355" s="251"/>
      <c r="W355" s="251"/>
      <c r="X355" s="251"/>
      <c r="Y355" s="251"/>
      <c r="Z355" s="251"/>
      <c r="AA355" s="137"/>
      <c r="AB355" s="137"/>
      <c r="AC355" s="137"/>
      <c r="AD355" s="137"/>
      <c r="AE355" s="137"/>
      <c r="AF355" s="137"/>
      <c r="AG355" s="137"/>
    </row>
    <row r="356" ht="30.0" customHeight="1">
      <c r="A356" s="248"/>
      <c r="B356" s="249"/>
      <c r="C356" s="248"/>
      <c r="D356" s="249"/>
      <c r="E356" s="251"/>
      <c r="F356" s="249"/>
      <c r="G356" s="250"/>
      <c r="H356" s="251"/>
      <c r="I356" s="252"/>
      <c r="J356" s="252"/>
      <c r="K356" s="252"/>
      <c r="L356" s="251"/>
      <c r="M356" s="251"/>
      <c r="N356" s="251"/>
      <c r="O356" s="251"/>
      <c r="P356" s="251"/>
      <c r="Q356" s="251"/>
      <c r="R356" s="251"/>
      <c r="S356" s="251"/>
      <c r="T356" s="251"/>
      <c r="U356" s="251"/>
      <c r="V356" s="251"/>
      <c r="W356" s="251"/>
      <c r="X356" s="251"/>
      <c r="Y356" s="251"/>
      <c r="Z356" s="251"/>
      <c r="AA356" s="137"/>
      <c r="AB356" s="137"/>
      <c r="AC356" s="137"/>
      <c r="AD356" s="137"/>
      <c r="AE356" s="137"/>
      <c r="AF356" s="137"/>
      <c r="AG356" s="137"/>
    </row>
    <row r="357" ht="30.0" customHeight="1">
      <c r="A357" s="248"/>
      <c r="B357" s="249"/>
      <c r="C357" s="248"/>
      <c r="D357" s="249"/>
      <c r="E357" s="249"/>
      <c r="F357" s="249"/>
      <c r="G357" s="250"/>
      <c r="H357" s="251"/>
      <c r="I357" s="252"/>
      <c r="J357" s="252"/>
      <c r="K357" s="252"/>
      <c r="L357" s="251"/>
      <c r="M357" s="251"/>
      <c r="N357" s="251"/>
      <c r="O357" s="251"/>
      <c r="P357" s="251"/>
      <c r="Q357" s="251"/>
      <c r="R357" s="251"/>
      <c r="S357" s="251"/>
      <c r="T357" s="251"/>
      <c r="U357" s="251"/>
      <c r="V357" s="251"/>
      <c r="W357" s="251"/>
      <c r="X357" s="251"/>
      <c r="Y357" s="251"/>
      <c r="Z357" s="251"/>
      <c r="AA357" s="137"/>
      <c r="AB357" s="137"/>
      <c r="AC357" s="137"/>
      <c r="AD357" s="137"/>
      <c r="AE357" s="137"/>
      <c r="AF357" s="137"/>
      <c r="AG357" s="137"/>
    </row>
    <row r="358" ht="30.0" customHeight="1">
      <c r="A358" s="248"/>
      <c r="B358" s="249"/>
      <c r="C358" s="249"/>
      <c r="D358" s="249"/>
      <c r="E358" s="249"/>
      <c r="F358" s="249"/>
      <c r="G358" s="250"/>
      <c r="H358" s="251"/>
      <c r="I358" s="252"/>
      <c r="J358" s="252"/>
      <c r="K358" s="252"/>
      <c r="L358" s="251"/>
      <c r="M358" s="251"/>
      <c r="N358" s="251"/>
      <c r="O358" s="251"/>
      <c r="P358" s="251"/>
      <c r="Q358" s="251"/>
      <c r="R358" s="251"/>
      <c r="S358" s="251"/>
      <c r="T358" s="251"/>
      <c r="U358" s="251"/>
      <c r="V358" s="251"/>
      <c r="W358" s="251"/>
      <c r="X358" s="251"/>
      <c r="Y358" s="251"/>
      <c r="Z358" s="251"/>
      <c r="AA358" s="137"/>
      <c r="AB358" s="137"/>
      <c r="AC358" s="137"/>
      <c r="AD358" s="137"/>
      <c r="AE358" s="137"/>
      <c r="AF358" s="137"/>
      <c r="AG358" s="137"/>
    </row>
    <row r="359" ht="30.0" customHeight="1">
      <c r="A359" s="248"/>
      <c r="B359" s="249"/>
      <c r="C359" s="248"/>
      <c r="D359" s="249"/>
      <c r="E359" s="249"/>
      <c r="F359" s="249"/>
      <c r="G359" s="250"/>
      <c r="H359" s="251"/>
      <c r="I359" s="252"/>
      <c r="J359" s="252"/>
      <c r="K359" s="252"/>
      <c r="L359" s="251"/>
      <c r="M359" s="251"/>
      <c r="N359" s="251"/>
      <c r="O359" s="251"/>
      <c r="P359" s="251"/>
      <c r="Q359" s="251"/>
      <c r="R359" s="251"/>
      <c r="S359" s="251"/>
      <c r="T359" s="251"/>
      <c r="U359" s="251"/>
      <c r="V359" s="251"/>
      <c r="W359" s="251"/>
      <c r="X359" s="251"/>
      <c r="Y359" s="251"/>
      <c r="Z359" s="251"/>
      <c r="AA359" s="137"/>
      <c r="AB359" s="137"/>
      <c r="AC359" s="137"/>
      <c r="AD359" s="137"/>
      <c r="AE359" s="137"/>
      <c r="AF359" s="137"/>
      <c r="AG359" s="137"/>
    </row>
    <row r="360" ht="30.0" customHeight="1">
      <c r="A360" s="248"/>
      <c r="B360" s="249"/>
      <c r="C360" s="248"/>
      <c r="D360" s="249"/>
      <c r="E360" s="249"/>
      <c r="F360" s="249"/>
      <c r="G360" s="250"/>
      <c r="H360" s="251"/>
      <c r="I360" s="252"/>
      <c r="J360" s="252"/>
      <c r="K360" s="252"/>
      <c r="L360" s="251"/>
      <c r="M360" s="251"/>
      <c r="N360" s="251"/>
      <c r="O360" s="251"/>
      <c r="P360" s="251"/>
      <c r="Q360" s="251"/>
      <c r="R360" s="251"/>
      <c r="S360" s="251"/>
      <c r="T360" s="251"/>
      <c r="U360" s="251"/>
      <c r="V360" s="251"/>
      <c r="W360" s="251"/>
      <c r="X360" s="251"/>
      <c r="Y360" s="251"/>
      <c r="Z360" s="251"/>
      <c r="AA360" s="137"/>
      <c r="AB360" s="137"/>
      <c r="AC360" s="137"/>
      <c r="AD360" s="137"/>
      <c r="AE360" s="137"/>
      <c r="AF360" s="137"/>
      <c r="AG360" s="137"/>
    </row>
    <row r="361" ht="30.0" customHeight="1">
      <c r="A361" s="248"/>
      <c r="B361" s="249"/>
      <c r="C361" s="248"/>
      <c r="D361" s="249"/>
      <c r="E361" s="249"/>
      <c r="F361" s="249"/>
      <c r="G361" s="250"/>
      <c r="H361" s="251"/>
      <c r="I361" s="252"/>
      <c r="J361" s="252"/>
      <c r="K361" s="252"/>
      <c r="L361" s="251"/>
      <c r="M361" s="251"/>
      <c r="N361" s="251"/>
      <c r="O361" s="251"/>
      <c r="P361" s="251"/>
      <c r="Q361" s="251"/>
      <c r="R361" s="251"/>
      <c r="S361" s="251"/>
      <c r="T361" s="251"/>
      <c r="U361" s="251"/>
      <c r="V361" s="251"/>
      <c r="W361" s="251"/>
      <c r="X361" s="251"/>
      <c r="Y361" s="251"/>
      <c r="Z361" s="251"/>
      <c r="AA361" s="137"/>
      <c r="AB361" s="137"/>
      <c r="AC361" s="137"/>
      <c r="AD361" s="137"/>
      <c r="AE361" s="137"/>
      <c r="AF361" s="137"/>
      <c r="AG361" s="137"/>
    </row>
    <row r="362" ht="30.0" customHeight="1">
      <c r="A362" s="248"/>
      <c r="B362" s="249"/>
      <c r="C362" s="248"/>
      <c r="D362" s="249"/>
      <c r="E362" s="249"/>
      <c r="F362" s="249"/>
      <c r="G362" s="250"/>
      <c r="H362" s="251"/>
      <c r="I362" s="252"/>
      <c r="J362" s="252"/>
      <c r="K362" s="252"/>
      <c r="L362" s="251"/>
      <c r="M362" s="251"/>
      <c r="N362" s="251"/>
      <c r="O362" s="251"/>
      <c r="P362" s="251"/>
      <c r="Q362" s="251"/>
      <c r="R362" s="251"/>
      <c r="S362" s="251"/>
      <c r="T362" s="251"/>
      <c r="U362" s="251"/>
      <c r="V362" s="251"/>
      <c r="W362" s="251"/>
      <c r="X362" s="251"/>
      <c r="Y362" s="251"/>
      <c r="Z362" s="251"/>
      <c r="AA362" s="137"/>
      <c r="AB362" s="137"/>
      <c r="AC362" s="137"/>
      <c r="AD362" s="137"/>
      <c r="AE362" s="137"/>
      <c r="AF362" s="137"/>
      <c r="AG362" s="137"/>
    </row>
    <row r="363" ht="30.0" customHeight="1">
      <c r="A363" s="248"/>
      <c r="B363" s="249"/>
      <c r="C363" s="248"/>
      <c r="D363" s="249"/>
      <c r="E363" s="251"/>
      <c r="F363" s="249"/>
      <c r="G363" s="250"/>
      <c r="H363" s="251"/>
      <c r="I363" s="252"/>
      <c r="J363" s="252"/>
      <c r="K363" s="252"/>
      <c r="L363" s="251"/>
      <c r="M363" s="251"/>
      <c r="N363" s="251"/>
      <c r="O363" s="251"/>
      <c r="P363" s="251"/>
      <c r="Q363" s="251"/>
      <c r="R363" s="251"/>
      <c r="S363" s="251"/>
      <c r="T363" s="251"/>
      <c r="U363" s="251"/>
      <c r="V363" s="251"/>
      <c r="W363" s="251"/>
      <c r="X363" s="251"/>
      <c r="Y363" s="251"/>
      <c r="Z363" s="251"/>
      <c r="AA363" s="137"/>
      <c r="AB363" s="137"/>
      <c r="AC363" s="137"/>
      <c r="AD363" s="137"/>
      <c r="AE363" s="137"/>
      <c r="AF363" s="137"/>
      <c r="AG363" s="137"/>
    </row>
    <row r="364" ht="30.0" customHeight="1">
      <c r="A364" s="248"/>
      <c r="B364" s="249"/>
      <c r="C364" s="248"/>
      <c r="D364" s="249"/>
      <c r="E364" s="249"/>
      <c r="F364" s="249"/>
      <c r="G364" s="250"/>
      <c r="H364" s="251"/>
      <c r="I364" s="252"/>
      <c r="J364" s="252"/>
      <c r="K364" s="252"/>
      <c r="L364" s="251"/>
      <c r="M364" s="251"/>
      <c r="N364" s="251"/>
      <c r="O364" s="251"/>
      <c r="P364" s="251"/>
      <c r="Q364" s="251"/>
      <c r="R364" s="251"/>
      <c r="S364" s="251"/>
      <c r="T364" s="251"/>
      <c r="U364" s="251"/>
      <c r="V364" s="251"/>
      <c r="W364" s="251"/>
      <c r="X364" s="251"/>
      <c r="Y364" s="251"/>
      <c r="Z364" s="251"/>
      <c r="AA364" s="137"/>
      <c r="AB364" s="137"/>
      <c r="AC364" s="137"/>
      <c r="AD364" s="137"/>
      <c r="AE364" s="137"/>
      <c r="AF364" s="137"/>
      <c r="AG364" s="137"/>
    </row>
    <row r="365" ht="30.0" customHeight="1">
      <c r="A365" s="248"/>
      <c r="B365" s="249"/>
      <c r="C365" s="248"/>
      <c r="D365" s="249"/>
      <c r="E365" s="251"/>
      <c r="F365" s="249"/>
      <c r="G365" s="250"/>
      <c r="H365" s="251"/>
      <c r="I365" s="252"/>
      <c r="J365" s="252"/>
      <c r="K365" s="252"/>
      <c r="L365" s="251"/>
      <c r="M365" s="251"/>
      <c r="N365" s="251"/>
      <c r="O365" s="251"/>
      <c r="P365" s="251"/>
      <c r="Q365" s="251"/>
      <c r="R365" s="251"/>
      <c r="S365" s="251"/>
      <c r="T365" s="251"/>
      <c r="U365" s="251"/>
      <c r="V365" s="251"/>
      <c r="W365" s="251"/>
      <c r="X365" s="251"/>
      <c r="Y365" s="251"/>
      <c r="Z365" s="251"/>
      <c r="AA365" s="137"/>
      <c r="AB365" s="137"/>
      <c r="AC365" s="137"/>
      <c r="AD365" s="137"/>
      <c r="AE365" s="137"/>
      <c r="AF365" s="137"/>
      <c r="AG365" s="137"/>
    </row>
    <row r="366" ht="30.0" customHeight="1">
      <c r="A366" s="248"/>
      <c r="B366" s="249"/>
      <c r="C366" s="248"/>
      <c r="D366" s="249"/>
      <c r="E366" s="249"/>
      <c r="F366" s="249"/>
      <c r="G366" s="250"/>
      <c r="H366" s="251"/>
      <c r="I366" s="252"/>
      <c r="J366" s="252"/>
      <c r="K366" s="252"/>
      <c r="L366" s="251"/>
      <c r="M366" s="251"/>
      <c r="N366" s="251"/>
      <c r="O366" s="251"/>
      <c r="P366" s="251"/>
      <c r="Q366" s="251"/>
      <c r="R366" s="251"/>
      <c r="S366" s="251"/>
      <c r="T366" s="251"/>
      <c r="U366" s="251"/>
      <c r="V366" s="251"/>
      <c r="W366" s="251"/>
      <c r="X366" s="251"/>
      <c r="Y366" s="251"/>
      <c r="Z366" s="251"/>
      <c r="AA366" s="137"/>
      <c r="AB366" s="137"/>
      <c r="AC366" s="137"/>
      <c r="AD366" s="137"/>
      <c r="AE366" s="137"/>
      <c r="AF366" s="137"/>
      <c r="AG366" s="137"/>
    </row>
    <row r="367" ht="30.0" customHeight="1">
      <c r="A367" s="248"/>
      <c r="B367" s="249"/>
      <c r="C367" s="248"/>
      <c r="D367" s="249"/>
      <c r="E367" s="249"/>
      <c r="F367" s="249"/>
      <c r="G367" s="250"/>
      <c r="H367" s="251"/>
      <c r="I367" s="252"/>
      <c r="J367" s="252"/>
      <c r="K367" s="252"/>
      <c r="L367" s="251"/>
      <c r="M367" s="251"/>
      <c r="N367" s="251"/>
      <c r="O367" s="251"/>
      <c r="P367" s="251"/>
      <c r="Q367" s="251"/>
      <c r="R367" s="251"/>
      <c r="S367" s="251"/>
      <c r="T367" s="251"/>
      <c r="U367" s="251"/>
      <c r="V367" s="251"/>
      <c r="W367" s="251"/>
      <c r="X367" s="251"/>
      <c r="Y367" s="251"/>
      <c r="Z367" s="251"/>
      <c r="AA367" s="137"/>
      <c r="AB367" s="137"/>
      <c r="AC367" s="137"/>
      <c r="AD367" s="137"/>
      <c r="AE367" s="137"/>
      <c r="AF367" s="137"/>
      <c r="AG367" s="137"/>
    </row>
    <row r="368" ht="30.0" customHeight="1">
      <c r="A368" s="248"/>
      <c r="B368" s="249"/>
      <c r="C368" s="248"/>
      <c r="D368" s="249"/>
      <c r="E368" s="249"/>
      <c r="F368" s="249"/>
      <c r="G368" s="250"/>
      <c r="H368" s="251"/>
      <c r="I368" s="252"/>
      <c r="J368" s="252"/>
      <c r="K368" s="252"/>
      <c r="L368" s="251"/>
      <c r="M368" s="251"/>
      <c r="N368" s="251"/>
      <c r="O368" s="251"/>
      <c r="P368" s="251"/>
      <c r="Q368" s="251"/>
      <c r="R368" s="251"/>
      <c r="S368" s="251"/>
      <c r="T368" s="251"/>
      <c r="U368" s="251"/>
      <c r="V368" s="251"/>
      <c r="W368" s="251"/>
      <c r="X368" s="251"/>
      <c r="Y368" s="251"/>
      <c r="Z368" s="251"/>
      <c r="AA368" s="137"/>
      <c r="AB368" s="137"/>
      <c r="AC368" s="137"/>
      <c r="AD368" s="137"/>
      <c r="AE368" s="137"/>
      <c r="AF368" s="137"/>
      <c r="AG368" s="137"/>
    </row>
    <row r="369" ht="30.0" customHeight="1">
      <c r="A369" s="248"/>
      <c r="B369" s="249"/>
      <c r="C369" s="248"/>
      <c r="D369" s="249"/>
      <c r="E369" s="249"/>
      <c r="F369" s="249"/>
      <c r="G369" s="250"/>
      <c r="H369" s="251"/>
      <c r="I369" s="252"/>
      <c r="J369" s="252"/>
      <c r="K369" s="252"/>
      <c r="L369" s="251"/>
      <c r="M369" s="251"/>
      <c r="N369" s="251"/>
      <c r="O369" s="251"/>
      <c r="P369" s="251"/>
      <c r="Q369" s="251"/>
      <c r="R369" s="251"/>
      <c r="S369" s="251"/>
      <c r="T369" s="251"/>
      <c r="U369" s="251"/>
      <c r="V369" s="251"/>
      <c r="W369" s="251"/>
      <c r="X369" s="251"/>
      <c r="Y369" s="251"/>
      <c r="Z369" s="251"/>
      <c r="AA369" s="137"/>
      <c r="AB369" s="137"/>
      <c r="AC369" s="137"/>
      <c r="AD369" s="137"/>
      <c r="AE369" s="137"/>
      <c r="AF369" s="137"/>
      <c r="AG369" s="137"/>
    </row>
    <row r="370" ht="30.0" customHeight="1">
      <c r="A370" s="248"/>
      <c r="B370" s="249"/>
      <c r="C370" s="248"/>
      <c r="D370" s="249"/>
      <c r="E370" s="249"/>
      <c r="F370" s="249"/>
      <c r="G370" s="249"/>
      <c r="H370" s="251"/>
      <c r="I370" s="252"/>
      <c r="J370" s="252"/>
      <c r="K370" s="252"/>
      <c r="L370" s="251"/>
      <c r="M370" s="251"/>
      <c r="N370" s="251"/>
      <c r="O370" s="251"/>
      <c r="P370" s="251"/>
      <c r="Q370" s="251"/>
      <c r="R370" s="251"/>
      <c r="S370" s="251"/>
      <c r="T370" s="251"/>
      <c r="U370" s="251"/>
      <c r="V370" s="251"/>
      <c r="W370" s="251"/>
      <c r="X370" s="251"/>
      <c r="Y370" s="251"/>
      <c r="Z370" s="251"/>
      <c r="AA370" s="137"/>
      <c r="AB370" s="137"/>
      <c r="AC370" s="137"/>
      <c r="AD370" s="137"/>
      <c r="AE370" s="137"/>
      <c r="AF370" s="137"/>
      <c r="AG370" s="137"/>
    </row>
    <row r="371" ht="30.0" customHeight="1">
      <c r="A371" s="248"/>
      <c r="B371" s="249"/>
      <c r="C371" s="248"/>
      <c r="D371" s="249"/>
      <c r="E371" s="251"/>
      <c r="F371" s="249"/>
      <c r="G371" s="249"/>
      <c r="H371" s="251"/>
      <c r="I371" s="252"/>
      <c r="J371" s="252"/>
      <c r="K371" s="252"/>
      <c r="L371" s="251"/>
      <c r="M371" s="251"/>
      <c r="N371" s="251"/>
      <c r="O371" s="251"/>
      <c r="P371" s="251"/>
      <c r="Q371" s="251"/>
      <c r="R371" s="251"/>
      <c r="S371" s="251"/>
      <c r="T371" s="251"/>
      <c r="U371" s="251"/>
      <c r="V371" s="251"/>
      <c r="W371" s="251"/>
      <c r="X371" s="251"/>
      <c r="Y371" s="251"/>
      <c r="Z371" s="251"/>
      <c r="AA371" s="137"/>
      <c r="AB371" s="137"/>
      <c r="AC371" s="137"/>
      <c r="AD371" s="137"/>
      <c r="AE371" s="137"/>
      <c r="AF371" s="137"/>
      <c r="AG371" s="137"/>
    </row>
    <row r="372" ht="30.0" customHeight="1">
      <c r="A372" s="248"/>
      <c r="B372" s="249"/>
      <c r="C372" s="248"/>
      <c r="D372" s="249"/>
      <c r="E372" s="249"/>
      <c r="F372" s="249"/>
      <c r="G372" s="250"/>
      <c r="H372" s="251"/>
      <c r="I372" s="252"/>
      <c r="J372" s="252"/>
      <c r="K372" s="252"/>
      <c r="L372" s="251"/>
      <c r="M372" s="251"/>
      <c r="N372" s="251"/>
      <c r="O372" s="251"/>
      <c r="P372" s="251"/>
      <c r="Q372" s="251"/>
      <c r="R372" s="251"/>
      <c r="S372" s="251"/>
      <c r="T372" s="251"/>
      <c r="U372" s="251"/>
      <c r="V372" s="251"/>
      <c r="W372" s="251"/>
      <c r="X372" s="251"/>
      <c r="Y372" s="251"/>
      <c r="Z372" s="251"/>
      <c r="AA372" s="137"/>
      <c r="AB372" s="137"/>
      <c r="AC372" s="137"/>
      <c r="AD372" s="137"/>
      <c r="AE372" s="137"/>
      <c r="AF372" s="137"/>
      <c r="AG372" s="137"/>
    </row>
    <row r="373" ht="30.0" customHeight="1">
      <c r="A373" s="248"/>
      <c r="B373" s="251"/>
      <c r="C373" s="248"/>
      <c r="D373" s="249"/>
      <c r="E373" s="249"/>
      <c r="F373" s="249"/>
      <c r="G373" s="250"/>
      <c r="H373" s="251"/>
      <c r="I373" s="252"/>
      <c r="J373" s="252"/>
      <c r="K373" s="252"/>
      <c r="L373" s="251"/>
      <c r="M373" s="251"/>
      <c r="N373" s="251"/>
      <c r="O373" s="251"/>
      <c r="P373" s="251"/>
      <c r="Q373" s="251"/>
      <c r="R373" s="251"/>
      <c r="S373" s="251"/>
      <c r="T373" s="251"/>
      <c r="U373" s="251"/>
      <c r="V373" s="251"/>
      <c r="W373" s="251"/>
      <c r="X373" s="251"/>
      <c r="Y373" s="251"/>
      <c r="Z373" s="251"/>
      <c r="AA373" s="137"/>
      <c r="AB373" s="137"/>
      <c r="AC373" s="137"/>
      <c r="AD373" s="137"/>
      <c r="AE373" s="137"/>
      <c r="AF373" s="137"/>
      <c r="AG373" s="137"/>
    </row>
    <row r="374" ht="30.0" customHeight="1">
      <c r="A374" s="248"/>
      <c r="B374" s="251"/>
      <c r="C374" s="248"/>
      <c r="D374" s="249"/>
      <c r="E374" s="249"/>
      <c r="F374" s="249"/>
      <c r="G374" s="250"/>
      <c r="H374" s="251"/>
      <c r="I374" s="252"/>
      <c r="J374" s="252"/>
      <c r="K374" s="252"/>
      <c r="L374" s="251"/>
      <c r="M374" s="251"/>
      <c r="N374" s="251"/>
      <c r="O374" s="251"/>
      <c r="P374" s="251"/>
      <c r="Q374" s="251"/>
      <c r="R374" s="251"/>
      <c r="S374" s="251"/>
      <c r="T374" s="251"/>
      <c r="U374" s="251"/>
      <c r="V374" s="251"/>
      <c r="W374" s="251"/>
      <c r="X374" s="251"/>
      <c r="Y374" s="251"/>
      <c r="Z374" s="251"/>
      <c r="AA374" s="137"/>
      <c r="AB374" s="137"/>
      <c r="AC374" s="137"/>
      <c r="AD374" s="137"/>
      <c r="AE374" s="137"/>
      <c r="AF374" s="137"/>
      <c r="AG374" s="137"/>
    </row>
    <row r="375" ht="30.0" customHeight="1">
      <c r="A375" s="248"/>
      <c r="B375" s="249"/>
      <c r="C375" s="248"/>
      <c r="D375" s="249"/>
      <c r="E375" s="251"/>
      <c r="F375" s="249"/>
      <c r="G375" s="250"/>
      <c r="H375" s="251"/>
      <c r="I375" s="252"/>
      <c r="J375" s="252"/>
      <c r="K375" s="252"/>
      <c r="L375" s="251"/>
      <c r="M375" s="251"/>
      <c r="N375" s="251"/>
      <c r="O375" s="251"/>
      <c r="P375" s="251"/>
      <c r="Q375" s="251"/>
      <c r="R375" s="251"/>
      <c r="S375" s="251"/>
      <c r="T375" s="251"/>
      <c r="U375" s="251"/>
      <c r="V375" s="251"/>
      <c r="W375" s="251"/>
      <c r="X375" s="251"/>
      <c r="Y375" s="251"/>
      <c r="Z375" s="251"/>
      <c r="AA375" s="137"/>
      <c r="AB375" s="137"/>
      <c r="AC375" s="137"/>
      <c r="AD375" s="137"/>
      <c r="AE375" s="137"/>
      <c r="AF375" s="137"/>
      <c r="AG375" s="137"/>
    </row>
    <row r="376" ht="30.0" customHeight="1">
      <c r="A376" s="248"/>
      <c r="B376" s="249"/>
      <c r="C376" s="248"/>
      <c r="D376" s="249"/>
      <c r="E376" s="249"/>
      <c r="F376" s="249"/>
      <c r="G376" s="249"/>
      <c r="H376" s="251"/>
      <c r="I376" s="252"/>
      <c r="J376" s="252"/>
      <c r="K376" s="252"/>
      <c r="L376" s="251"/>
      <c r="M376" s="251"/>
      <c r="N376" s="251"/>
      <c r="O376" s="251"/>
      <c r="P376" s="251"/>
      <c r="Q376" s="251"/>
      <c r="R376" s="251"/>
      <c r="S376" s="251"/>
      <c r="T376" s="251"/>
      <c r="U376" s="251"/>
      <c r="V376" s="251"/>
      <c r="W376" s="251"/>
      <c r="X376" s="251"/>
      <c r="Y376" s="251"/>
      <c r="Z376" s="251"/>
      <c r="AA376" s="137"/>
      <c r="AB376" s="137"/>
      <c r="AC376" s="137"/>
      <c r="AD376" s="137"/>
      <c r="AE376" s="137"/>
      <c r="AF376" s="137"/>
      <c r="AG376" s="137"/>
    </row>
    <row r="377" ht="30.0" customHeight="1">
      <c r="A377" s="248"/>
      <c r="B377" s="249"/>
      <c r="C377" s="248"/>
      <c r="D377" s="249"/>
      <c r="E377" s="249"/>
      <c r="F377" s="249"/>
      <c r="G377" s="250"/>
      <c r="H377" s="251"/>
      <c r="I377" s="252"/>
      <c r="J377" s="252"/>
      <c r="K377" s="252"/>
      <c r="L377" s="251"/>
      <c r="M377" s="251"/>
      <c r="N377" s="251"/>
      <c r="O377" s="251"/>
      <c r="P377" s="251"/>
      <c r="Q377" s="251"/>
      <c r="R377" s="251"/>
      <c r="S377" s="251"/>
      <c r="T377" s="251"/>
      <c r="U377" s="251"/>
      <c r="V377" s="251"/>
      <c r="W377" s="251"/>
      <c r="X377" s="251"/>
      <c r="Y377" s="251"/>
      <c r="Z377" s="251"/>
      <c r="AA377" s="137"/>
      <c r="AB377" s="137"/>
      <c r="AC377" s="137"/>
      <c r="AD377" s="137"/>
      <c r="AE377" s="137"/>
      <c r="AF377" s="137"/>
      <c r="AG377" s="137"/>
    </row>
    <row r="378" ht="30.0" customHeight="1">
      <c r="A378" s="248"/>
      <c r="B378" s="249"/>
      <c r="C378" s="248"/>
      <c r="D378" s="249"/>
      <c r="E378" s="251"/>
      <c r="F378" s="249"/>
      <c r="G378" s="250"/>
      <c r="H378" s="251"/>
      <c r="I378" s="252"/>
      <c r="J378" s="252"/>
      <c r="K378" s="252"/>
      <c r="L378" s="251"/>
      <c r="M378" s="251"/>
      <c r="N378" s="251"/>
      <c r="O378" s="251"/>
      <c r="P378" s="251"/>
      <c r="Q378" s="251"/>
      <c r="R378" s="251"/>
      <c r="S378" s="251"/>
      <c r="T378" s="251"/>
      <c r="U378" s="251"/>
      <c r="V378" s="251"/>
      <c r="W378" s="251"/>
      <c r="X378" s="251"/>
      <c r="Y378" s="251"/>
      <c r="Z378" s="251"/>
      <c r="AA378" s="137"/>
      <c r="AB378" s="137"/>
      <c r="AC378" s="137"/>
      <c r="AD378" s="137"/>
      <c r="AE378" s="137"/>
      <c r="AF378" s="137"/>
      <c r="AG378" s="137"/>
    </row>
    <row r="379" ht="30.0" customHeight="1">
      <c r="A379" s="248"/>
      <c r="B379" s="249"/>
      <c r="C379" s="248"/>
      <c r="D379" s="249"/>
      <c r="E379" s="249"/>
      <c r="F379" s="249"/>
      <c r="G379" s="250"/>
      <c r="H379" s="251"/>
      <c r="I379" s="252"/>
      <c r="J379" s="252"/>
      <c r="K379" s="252"/>
      <c r="L379" s="251"/>
      <c r="M379" s="251"/>
      <c r="N379" s="251"/>
      <c r="O379" s="251"/>
      <c r="P379" s="251"/>
      <c r="Q379" s="251"/>
      <c r="R379" s="251"/>
      <c r="S379" s="251"/>
      <c r="T379" s="251"/>
      <c r="U379" s="251"/>
      <c r="V379" s="251"/>
      <c r="W379" s="251"/>
      <c r="X379" s="251"/>
      <c r="Y379" s="251"/>
      <c r="Z379" s="251"/>
      <c r="AA379" s="137"/>
      <c r="AB379" s="137"/>
      <c r="AC379" s="137"/>
      <c r="AD379" s="137"/>
      <c r="AE379" s="137"/>
      <c r="AF379" s="137"/>
      <c r="AG379" s="137"/>
    </row>
    <row r="380" ht="30.0" customHeight="1">
      <c r="A380" s="248"/>
      <c r="B380" s="249"/>
      <c r="C380" s="248"/>
      <c r="D380" s="249"/>
      <c r="E380" s="249"/>
      <c r="F380" s="249"/>
      <c r="G380" s="249"/>
      <c r="H380" s="251"/>
      <c r="I380" s="252"/>
      <c r="J380" s="252"/>
      <c r="K380" s="252"/>
      <c r="L380" s="251"/>
      <c r="M380" s="251"/>
      <c r="N380" s="251"/>
      <c r="O380" s="251"/>
      <c r="P380" s="251"/>
      <c r="Q380" s="251"/>
      <c r="R380" s="251"/>
      <c r="S380" s="251"/>
      <c r="T380" s="251"/>
      <c r="U380" s="251"/>
      <c r="V380" s="251"/>
      <c r="W380" s="251"/>
      <c r="X380" s="251"/>
      <c r="Y380" s="251"/>
      <c r="Z380" s="251"/>
      <c r="AA380" s="137"/>
      <c r="AB380" s="137"/>
      <c r="AC380" s="137"/>
      <c r="AD380" s="137"/>
      <c r="AE380" s="137"/>
      <c r="AF380" s="137"/>
      <c r="AG380" s="137"/>
    </row>
    <row r="381" ht="30.0" customHeight="1">
      <c r="A381" s="248"/>
      <c r="B381" s="249"/>
      <c r="C381" s="248"/>
      <c r="D381" s="249"/>
      <c r="E381" s="249"/>
      <c r="F381" s="249"/>
      <c r="G381" s="250"/>
      <c r="H381" s="251"/>
      <c r="I381" s="252"/>
      <c r="J381" s="252"/>
      <c r="K381" s="252"/>
      <c r="L381" s="251"/>
      <c r="M381" s="251"/>
      <c r="N381" s="251"/>
      <c r="O381" s="251"/>
      <c r="P381" s="251"/>
      <c r="Q381" s="251"/>
      <c r="R381" s="251"/>
      <c r="S381" s="251"/>
      <c r="T381" s="251"/>
      <c r="U381" s="251"/>
      <c r="V381" s="251"/>
      <c r="W381" s="251"/>
      <c r="X381" s="251"/>
      <c r="Y381" s="251"/>
      <c r="Z381" s="251"/>
      <c r="AA381" s="137"/>
      <c r="AB381" s="137"/>
      <c r="AC381" s="137"/>
      <c r="AD381" s="137"/>
      <c r="AE381" s="137"/>
      <c r="AF381" s="137"/>
      <c r="AG381" s="137"/>
    </row>
    <row r="382" ht="30.0" customHeight="1">
      <c r="A382" s="248"/>
      <c r="B382" s="249"/>
      <c r="C382" s="248"/>
      <c r="D382" s="249"/>
      <c r="E382" s="249"/>
      <c r="F382" s="249"/>
      <c r="G382" s="250"/>
      <c r="H382" s="251"/>
      <c r="I382" s="252"/>
      <c r="J382" s="252"/>
      <c r="K382" s="252"/>
      <c r="L382" s="251"/>
      <c r="M382" s="251"/>
      <c r="N382" s="251"/>
      <c r="O382" s="251"/>
      <c r="P382" s="251"/>
      <c r="Q382" s="251"/>
      <c r="R382" s="251"/>
      <c r="S382" s="251"/>
      <c r="T382" s="251"/>
      <c r="U382" s="251"/>
      <c r="V382" s="251"/>
      <c r="W382" s="251"/>
      <c r="X382" s="251"/>
      <c r="Y382" s="251"/>
      <c r="Z382" s="251"/>
      <c r="AA382" s="137"/>
      <c r="AB382" s="137"/>
      <c r="AC382" s="137"/>
      <c r="AD382" s="137"/>
      <c r="AE382" s="137"/>
      <c r="AF382" s="137"/>
      <c r="AG382" s="137"/>
    </row>
    <row r="383" ht="30.0" customHeight="1">
      <c r="A383" s="248"/>
      <c r="B383" s="249"/>
      <c r="C383" s="248"/>
      <c r="D383" s="249"/>
      <c r="E383" s="251"/>
      <c r="F383" s="249"/>
      <c r="G383" s="250"/>
      <c r="H383" s="251"/>
      <c r="I383" s="252"/>
      <c r="J383" s="252"/>
      <c r="K383" s="252"/>
      <c r="L383" s="251"/>
      <c r="M383" s="251"/>
      <c r="N383" s="251"/>
      <c r="O383" s="251"/>
      <c r="P383" s="251"/>
      <c r="Q383" s="251"/>
      <c r="R383" s="251"/>
      <c r="S383" s="251"/>
      <c r="T383" s="251"/>
      <c r="U383" s="251"/>
      <c r="V383" s="251"/>
      <c r="W383" s="251"/>
      <c r="X383" s="251"/>
      <c r="Y383" s="251"/>
      <c r="Z383" s="251"/>
      <c r="AA383" s="137"/>
      <c r="AB383" s="137"/>
      <c r="AC383" s="137"/>
      <c r="AD383" s="137"/>
      <c r="AE383" s="137"/>
      <c r="AF383" s="137"/>
      <c r="AG383" s="137"/>
    </row>
    <row r="384" ht="30.0" customHeight="1">
      <c r="A384" s="248"/>
      <c r="B384" s="249"/>
      <c r="C384" s="248"/>
      <c r="D384" s="249"/>
      <c r="E384" s="251"/>
      <c r="F384" s="249"/>
      <c r="G384" s="250"/>
      <c r="H384" s="251"/>
      <c r="I384" s="252"/>
      <c r="J384" s="252"/>
      <c r="K384" s="252"/>
      <c r="L384" s="251"/>
      <c r="M384" s="251"/>
      <c r="N384" s="251"/>
      <c r="O384" s="251"/>
      <c r="P384" s="251"/>
      <c r="Q384" s="251"/>
      <c r="R384" s="251"/>
      <c r="S384" s="251"/>
      <c r="T384" s="251"/>
      <c r="U384" s="251"/>
      <c r="V384" s="251"/>
      <c r="W384" s="251"/>
      <c r="X384" s="251"/>
      <c r="Y384" s="251"/>
      <c r="Z384" s="251"/>
      <c r="AA384" s="137"/>
      <c r="AB384" s="137"/>
      <c r="AC384" s="137"/>
      <c r="AD384" s="137"/>
      <c r="AE384" s="137"/>
      <c r="AF384" s="137"/>
      <c r="AG384" s="137"/>
    </row>
    <row r="385" ht="30.0" customHeight="1">
      <c r="A385" s="248"/>
      <c r="B385" s="249"/>
      <c r="C385" s="248"/>
      <c r="D385" s="249"/>
      <c r="E385" s="251"/>
      <c r="F385" s="249"/>
      <c r="G385" s="249"/>
      <c r="H385" s="251"/>
      <c r="I385" s="252"/>
      <c r="J385" s="252"/>
      <c r="K385" s="252"/>
      <c r="L385" s="251"/>
      <c r="M385" s="251"/>
      <c r="N385" s="251"/>
      <c r="O385" s="251"/>
      <c r="P385" s="251"/>
      <c r="Q385" s="251"/>
      <c r="R385" s="251"/>
      <c r="S385" s="251"/>
      <c r="T385" s="251"/>
      <c r="U385" s="251"/>
      <c r="V385" s="251"/>
      <c r="W385" s="251"/>
      <c r="X385" s="251"/>
      <c r="Y385" s="251"/>
      <c r="Z385" s="251"/>
      <c r="AA385" s="137"/>
      <c r="AB385" s="137"/>
      <c r="AC385" s="137"/>
      <c r="AD385" s="137"/>
      <c r="AE385" s="137"/>
      <c r="AF385" s="137"/>
      <c r="AG385" s="137"/>
    </row>
    <row r="386" ht="30.0" customHeight="1">
      <c r="A386" s="248"/>
      <c r="B386" s="249"/>
      <c r="C386" s="248"/>
      <c r="D386" s="249"/>
      <c r="E386" s="249"/>
      <c r="F386" s="249"/>
      <c r="G386" s="250"/>
      <c r="H386" s="251"/>
      <c r="I386" s="252"/>
      <c r="J386" s="252"/>
      <c r="K386" s="252"/>
      <c r="L386" s="251"/>
      <c r="M386" s="251"/>
      <c r="N386" s="251"/>
      <c r="O386" s="251"/>
      <c r="P386" s="251"/>
      <c r="Q386" s="251"/>
      <c r="R386" s="251"/>
      <c r="S386" s="251"/>
      <c r="T386" s="251"/>
      <c r="U386" s="251"/>
      <c r="V386" s="251"/>
      <c r="W386" s="251"/>
      <c r="X386" s="251"/>
      <c r="Y386" s="251"/>
      <c r="Z386" s="251"/>
      <c r="AA386" s="137"/>
      <c r="AB386" s="137"/>
      <c r="AC386" s="137"/>
      <c r="AD386" s="137"/>
      <c r="AE386" s="137"/>
      <c r="AF386" s="137"/>
      <c r="AG386" s="137"/>
    </row>
    <row r="387" ht="30.0" customHeight="1">
      <c r="A387" s="248"/>
      <c r="B387" s="249"/>
      <c r="C387" s="248"/>
      <c r="D387" s="249"/>
      <c r="E387" s="249"/>
      <c r="F387" s="249"/>
      <c r="G387" s="250"/>
      <c r="H387" s="251"/>
      <c r="I387" s="252"/>
      <c r="J387" s="252"/>
      <c r="K387" s="252"/>
      <c r="L387" s="251"/>
      <c r="M387" s="251"/>
      <c r="N387" s="251"/>
      <c r="O387" s="251"/>
      <c r="P387" s="251"/>
      <c r="Q387" s="251"/>
      <c r="R387" s="251"/>
      <c r="S387" s="251"/>
      <c r="T387" s="251"/>
      <c r="U387" s="251"/>
      <c r="V387" s="251"/>
      <c r="W387" s="251"/>
      <c r="X387" s="251"/>
      <c r="Y387" s="251"/>
      <c r="Z387" s="251"/>
      <c r="AA387" s="137"/>
      <c r="AB387" s="137"/>
      <c r="AC387" s="137"/>
      <c r="AD387" s="137"/>
      <c r="AE387" s="137"/>
      <c r="AF387" s="137"/>
      <c r="AG387" s="137"/>
    </row>
    <row r="388" ht="30.0" customHeight="1">
      <c r="A388" s="248"/>
      <c r="B388" s="249"/>
      <c r="C388" s="248"/>
      <c r="D388" s="249"/>
      <c r="E388" s="249"/>
      <c r="F388" s="249"/>
      <c r="G388" s="250"/>
      <c r="H388" s="251"/>
      <c r="I388" s="252"/>
      <c r="J388" s="252"/>
      <c r="K388" s="252"/>
      <c r="L388" s="251"/>
      <c r="M388" s="251"/>
      <c r="N388" s="251"/>
      <c r="O388" s="251"/>
      <c r="P388" s="251"/>
      <c r="Q388" s="251"/>
      <c r="R388" s="251"/>
      <c r="S388" s="251"/>
      <c r="T388" s="251"/>
      <c r="U388" s="251"/>
      <c r="V388" s="251"/>
      <c r="W388" s="251"/>
      <c r="X388" s="251"/>
      <c r="Y388" s="251"/>
      <c r="Z388" s="251"/>
      <c r="AA388" s="137"/>
      <c r="AB388" s="137"/>
      <c r="AC388" s="137"/>
      <c r="AD388" s="137"/>
      <c r="AE388" s="137"/>
      <c r="AF388" s="137"/>
      <c r="AG388" s="137"/>
    </row>
    <row r="389" ht="30.0" customHeight="1">
      <c r="A389" s="248"/>
      <c r="B389" s="249"/>
      <c r="C389" s="248"/>
      <c r="D389" s="249"/>
      <c r="E389" s="249"/>
      <c r="F389" s="249"/>
      <c r="G389" s="250"/>
      <c r="H389" s="251"/>
      <c r="I389" s="252"/>
      <c r="J389" s="252"/>
      <c r="K389" s="252"/>
      <c r="L389" s="251"/>
      <c r="M389" s="251"/>
      <c r="N389" s="251"/>
      <c r="O389" s="251"/>
      <c r="P389" s="251"/>
      <c r="Q389" s="251"/>
      <c r="R389" s="251"/>
      <c r="S389" s="251"/>
      <c r="T389" s="251"/>
      <c r="U389" s="251"/>
      <c r="V389" s="251"/>
      <c r="W389" s="251"/>
      <c r="X389" s="251"/>
      <c r="Y389" s="251"/>
      <c r="Z389" s="251"/>
      <c r="AA389" s="137"/>
      <c r="AB389" s="137"/>
      <c r="AC389" s="137"/>
      <c r="AD389" s="137"/>
      <c r="AE389" s="137"/>
      <c r="AF389" s="137"/>
      <c r="AG389" s="137"/>
    </row>
    <row r="390" ht="30.0" customHeight="1">
      <c r="A390" s="248"/>
      <c r="B390" s="249"/>
      <c r="C390" s="248"/>
      <c r="D390" s="249"/>
      <c r="E390" s="249"/>
      <c r="F390" s="249"/>
      <c r="G390" s="250"/>
      <c r="H390" s="251"/>
      <c r="I390" s="252"/>
      <c r="J390" s="252"/>
      <c r="K390" s="252"/>
      <c r="L390" s="251"/>
      <c r="M390" s="251"/>
      <c r="N390" s="251"/>
      <c r="O390" s="251"/>
      <c r="P390" s="251"/>
      <c r="Q390" s="251"/>
      <c r="R390" s="251"/>
      <c r="S390" s="251"/>
      <c r="T390" s="251"/>
      <c r="U390" s="251"/>
      <c r="V390" s="251"/>
      <c r="W390" s="251"/>
      <c r="X390" s="251"/>
      <c r="Y390" s="251"/>
      <c r="Z390" s="251"/>
      <c r="AA390" s="137"/>
      <c r="AB390" s="137"/>
      <c r="AC390" s="137"/>
      <c r="AD390" s="137"/>
      <c r="AE390" s="137"/>
      <c r="AF390" s="137"/>
      <c r="AG390" s="137"/>
    </row>
    <row r="391" ht="30.0" customHeight="1">
      <c r="A391" s="248"/>
      <c r="B391" s="249"/>
      <c r="C391" s="248"/>
      <c r="D391" s="249"/>
      <c r="E391" s="249"/>
      <c r="F391" s="249"/>
      <c r="G391" s="249"/>
      <c r="H391" s="251"/>
      <c r="I391" s="252"/>
      <c r="J391" s="252"/>
      <c r="K391" s="252"/>
      <c r="L391" s="251"/>
      <c r="M391" s="251"/>
      <c r="N391" s="251"/>
      <c r="O391" s="251"/>
      <c r="P391" s="251"/>
      <c r="Q391" s="251"/>
      <c r="R391" s="251"/>
      <c r="S391" s="251"/>
      <c r="T391" s="251"/>
      <c r="U391" s="251"/>
      <c r="V391" s="251"/>
      <c r="W391" s="251"/>
      <c r="X391" s="251"/>
      <c r="Y391" s="251"/>
      <c r="Z391" s="251"/>
      <c r="AA391" s="137"/>
      <c r="AB391" s="137"/>
      <c r="AC391" s="137"/>
      <c r="AD391" s="137"/>
      <c r="AE391" s="137"/>
      <c r="AF391" s="137"/>
      <c r="AG391" s="137"/>
    </row>
    <row r="392" ht="30.0" customHeight="1">
      <c r="A392" s="248"/>
      <c r="B392" s="249"/>
      <c r="C392" s="248"/>
      <c r="D392" s="249"/>
      <c r="E392" s="249"/>
      <c r="F392" s="249"/>
      <c r="G392" s="250"/>
      <c r="H392" s="251"/>
      <c r="I392" s="252"/>
      <c r="J392" s="252"/>
      <c r="K392" s="252"/>
      <c r="L392" s="251"/>
      <c r="M392" s="251"/>
      <c r="N392" s="251"/>
      <c r="O392" s="251"/>
      <c r="P392" s="251"/>
      <c r="Q392" s="251"/>
      <c r="R392" s="251"/>
      <c r="S392" s="251"/>
      <c r="T392" s="251"/>
      <c r="U392" s="251"/>
      <c r="V392" s="251"/>
      <c r="W392" s="251"/>
      <c r="X392" s="251"/>
      <c r="Y392" s="251"/>
      <c r="Z392" s="251"/>
      <c r="AA392" s="137"/>
      <c r="AB392" s="137"/>
      <c r="AC392" s="137"/>
      <c r="AD392" s="137"/>
      <c r="AE392" s="137"/>
      <c r="AF392" s="137"/>
      <c r="AG392" s="137"/>
    </row>
    <row r="393" ht="30.0" customHeight="1">
      <c r="A393" s="248"/>
      <c r="B393" s="249"/>
      <c r="C393" s="248"/>
      <c r="D393" s="249"/>
      <c r="E393" s="249"/>
      <c r="F393" s="249"/>
      <c r="G393" s="250"/>
      <c r="H393" s="251"/>
      <c r="I393" s="252"/>
      <c r="J393" s="252"/>
      <c r="K393" s="252"/>
      <c r="L393" s="251"/>
      <c r="M393" s="251"/>
      <c r="N393" s="251"/>
      <c r="O393" s="251"/>
      <c r="P393" s="251"/>
      <c r="Q393" s="251"/>
      <c r="R393" s="251"/>
      <c r="S393" s="251"/>
      <c r="T393" s="251"/>
      <c r="U393" s="251"/>
      <c r="V393" s="251"/>
      <c r="W393" s="251"/>
      <c r="X393" s="251"/>
      <c r="Y393" s="251"/>
      <c r="Z393" s="251"/>
      <c r="AA393" s="137"/>
      <c r="AB393" s="137"/>
      <c r="AC393" s="137"/>
      <c r="AD393" s="137"/>
      <c r="AE393" s="137"/>
      <c r="AF393" s="137"/>
      <c r="AG393" s="137"/>
    </row>
    <row r="394" ht="30.0" customHeight="1">
      <c r="A394" s="248"/>
      <c r="B394" s="249"/>
      <c r="C394" s="248"/>
      <c r="D394" s="249"/>
      <c r="E394" s="251"/>
      <c r="F394" s="249"/>
      <c r="G394" s="250"/>
      <c r="H394" s="251"/>
      <c r="I394" s="252"/>
      <c r="J394" s="252"/>
      <c r="K394" s="252"/>
      <c r="L394" s="251"/>
      <c r="M394" s="251"/>
      <c r="N394" s="251"/>
      <c r="O394" s="251"/>
      <c r="P394" s="251"/>
      <c r="Q394" s="251"/>
      <c r="R394" s="251"/>
      <c r="S394" s="251"/>
      <c r="T394" s="251"/>
      <c r="U394" s="251"/>
      <c r="V394" s="251"/>
      <c r="W394" s="251"/>
      <c r="X394" s="251"/>
      <c r="Y394" s="251"/>
      <c r="Z394" s="251"/>
      <c r="AA394" s="137"/>
      <c r="AB394" s="137"/>
      <c r="AC394" s="137"/>
      <c r="AD394" s="137"/>
      <c r="AE394" s="137"/>
      <c r="AF394" s="137"/>
      <c r="AG394" s="137"/>
    </row>
    <row r="395" ht="30.0" customHeight="1">
      <c r="A395" s="248"/>
      <c r="B395" s="249"/>
      <c r="C395" s="248"/>
      <c r="D395" s="249"/>
      <c r="E395" s="251"/>
      <c r="F395" s="249"/>
      <c r="G395" s="250"/>
      <c r="H395" s="251"/>
      <c r="I395" s="252"/>
      <c r="J395" s="252"/>
      <c r="K395" s="252"/>
      <c r="L395" s="251"/>
      <c r="M395" s="251"/>
      <c r="N395" s="251"/>
      <c r="O395" s="251"/>
      <c r="P395" s="251"/>
      <c r="Q395" s="251"/>
      <c r="R395" s="251"/>
      <c r="S395" s="251"/>
      <c r="T395" s="251"/>
      <c r="U395" s="251"/>
      <c r="V395" s="251"/>
      <c r="W395" s="251"/>
      <c r="X395" s="251"/>
      <c r="Y395" s="251"/>
      <c r="Z395" s="251"/>
      <c r="AA395" s="137"/>
      <c r="AB395" s="137"/>
      <c r="AC395" s="137"/>
      <c r="AD395" s="137"/>
      <c r="AE395" s="137"/>
      <c r="AF395" s="137"/>
      <c r="AG395" s="137"/>
    </row>
    <row r="396" ht="30.0" customHeight="1">
      <c r="A396" s="248"/>
      <c r="B396" s="249"/>
      <c r="C396" s="248"/>
      <c r="D396" s="249"/>
      <c r="E396" s="251"/>
      <c r="F396" s="249"/>
      <c r="G396" s="250"/>
      <c r="H396" s="251"/>
      <c r="I396" s="252"/>
      <c r="J396" s="252"/>
      <c r="K396" s="252"/>
      <c r="L396" s="251"/>
      <c r="M396" s="251"/>
      <c r="N396" s="251"/>
      <c r="O396" s="251"/>
      <c r="P396" s="251"/>
      <c r="Q396" s="251"/>
      <c r="R396" s="251"/>
      <c r="S396" s="251"/>
      <c r="T396" s="251"/>
      <c r="U396" s="251"/>
      <c r="V396" s="251"/>
      <c r="W396" s="251"/>
      <c r="X396" s="251"/>
      <c r="Y396" s="251"/>
      <c r="Z396" s="251"/>
      <c r="AA396" s="137"/>
      <c r="AB396" s="137"/>
      <c r="AC396" s="137"/>
      <c r="AD396" s="137"/>
      <c r="AE396" s="137"/>
      <c r="AF396" s="137"/>
      <c r="AG396" s="137"/>
    </row>
    <row r="397" ht="30.0" customHeight="1">
      <c r="A397" s="248"/>
      <c r="B397" s="249"/>
      <c r="C397" s="248"/>
      <c r="D397" s="249"/>
      <c r="E397" s="251"/>
      <c r="F397" s="249"/>
      <c r="G397" s="250"/>
      <c r="H397" s="251"/>
      <c r="I397" s="252"/>
      <c r="J397" s="252"/>
      <c r="K397" s="252"/>
      <c r="L397" s="251"/>
      <c r="M397" s="251"/>
      <c r="N397" s="251"/>
      <c r="O397" s="251"/>
      <c r="P397" s="251"/>
      <c r="Q397" s="251"/>
      <c r="R397" s="251"/>
      <c r="S397" s="251"/>
      <c r="T397" s="251"/>
      <c r="U397" s="251"/>
      <c r="V397" s="251"/>
      <c r="W397" s="251"/>
      <c r="X397" s="251"/>
      <c r="Y397" s="251"/>
      <c r="Z397" s="251"/>
      <c r="AA397" s="137"/>
      <c r="AB397" s="137"/>
      <c r="AC397" s="137"/>
      <c r="AD397" s="137"/>
      <c r="AE397" s="137"/>
      <c r="AF397" s="137"/>
      <c r="AG397" s="137"/>
    </row>
    <row r="398" ht="30.0" customHeight="1">
      <c r="A398" s="248"/>
      <c r="B398" s="249"/>
      <c r="C398" s="248"/>
      <c r="D398" s="249"/>
      <c r="E398" s="251"/>
      <c r="F398" s="249"/>
      <c r="G398" s="250"/>
      <c r="H398" s="251"/>
      <c r="I398" s="252"/>
      <c r="J398" s="252"/>
      <c r="K398" s="252"/>
      <c r="L398" s="251"/>
      <c r="M398" s="251"/>
      <c r="N398" s="251"/>
      <c r="O398" s="251"/>
      <c r="P398" s="251"/>
      <c r="Q398" s="251"/>
      <c r="R398" s="251"/>
      <c r="S398" s="251"/>
      <c r="T398" s="251"/>
      <c r="U398" s="251"/>
      <c r="V398" s="251"/>
      <c r="W398" s="251"/>
      <c r="X398" s="251"/>
      <c r="Y398" s="251"/>
      <c r="Z398" s="251"/>
      <c r="AA398" s="137"/>
      <c r="AB398" s="137"/>
      <c r="AC398" s="137"/>
      <c r="AD398" s="137"/>
      <c r="AE398" s="137"/>
      <c r="AF398" s="137"/>
      <c r="AG398" s="137"/>
    </row>
    <row r="399" ht="30.0" customHeight="1">
      <c r="A399" s="248"/>
      <c r="B399" s="249"/>
      <c r="C399" s="248"/>
      <c r="D399" s="249"/>
      <c r="E399" s="251"/>
      <c r="F399" s="249"/>
      <c r="G399" s="249"/>
      <c r="H399" s="251"/>
      <c r="I399" s="252"/>
      <c r="J399" s="252"/>
      <c r="K399" s="252"/>
      <c r="L399" s="251"/>
      <c r="M399" s="251"/>
      <c r="N399" s="251"/>
      <c r="O399" s="251"/>
      <c r="P399" s="251"/>
      <c r="Q399" s="251"/>
      <c r="R399" s="251"/>
      <c r="S399" s="251"/>
      <c r="T399" s="251"/>
      <c r="U399" s="251"/>
      <c r="V399" s="251"/>
      <c r="W399" s="251"/>
      <c r="X399" s="251"/>
      <c r="Y399" s="251"/>
      <c r="Z399" s="251"/>
      <c r="AA399" s="137"/>
      <c r="AB399" s="137"/>
      <c r="AC399" s="137"/>
      <c r="AD399" s="137"/>
      <c r="AE399" s="137"/>
      <c r="AF399" s="137"/>
      <c r="AG399" s="137"/>
    </row>
    <row r="400" ht="30.0" customHeight="1">
      <c r="A400" s="248"/>
      <c r="B400" s="249"/>
      <c r="C400" s="248"/>
      <c r="D400" s="249"/>
      <c r="E400" s="249"/>
      <c r="F400" s="249"/>
      <c r="G400" s="250"/>
      <c r="H400" s="251"/>
      <c r="I400" s="252"/>
      <c r="J400" s="252"/>
      <c r="K400" s="252"/>
      <c r="L400" s="251"/>
      <c r="M400" s="251"/>
      <c r="N400" s="251"/>
      <c r="O400" s="251"/>
      <c r="P400" s="251"/>
      <c r="Q400" s="251"/>
      <c r="R400" s="251"/>
      <c r="S400" s="251"/>
      <c r="T400" s="251"/>
      <c r="U400" s="251"/>
      <c r="V400" s="251"/>
      <c r="W400" s="251"/>
      <c r="X400" s="251"/>
      <c r="Y400" s="251"/>
      <c r="Z400" s="251"/>
      <c r="AA400" s="137"/>
      <c r="AB400" s="137"/>
      <c r="AC400" s="137"/>
      <c r="AD400" s="137"/>
      <c r="AE400" s="137"/>
      <c r="AF400" s="137"/>
      <c r="AG400" s="137"/>
    </row>
    <row r="401" ht="30.0" customHeight="1">
      <c r="A401" s="248"/>
      <c r="B401" s="249"/>
      <c r="C401" s="248"/>
      <c r="D401" s="249"/>
      <c r="E401" s="251"/>
      <c r="F401" s="249"/>
      <c r="G401" s="250"/>
      <c r="H401" s="251"/>
      <c r="I401" s="252"/>
      <c r="J401" s="252"/>
      <c r="K401" s="252"/>
      <c r="L401" s="251"/>
      <c r="M401" s="251"/>
      <c r="N401" s="251"/>
      <c r="O401" s="251"/>
      <c r="P401" s="251"/>
      <c r="Q401" s="251"/>
      <c r="R401" s="251"/>
      <c r="S401" s="251"/>
      <c r="T401" s="251"/>
      <c r="U401" s="251"/>
      <c r="V401" s="251"/>
      <c r="W401" s="251"/>
      <c r="X401" s="251"/>
      <c r="Y401" s="251"/>
      <c r="Z401" s="251"/>
      <c r="AA401" s="137"/>
      <c r="AB401" s="137"/>
      <c r="AC401" s="137"/>
      <c r="AD401" s="137"/>
      <c r="AE401" s="137"/>
      <c r="AF401" s="137"/>
      <c r="AG401" s="137"/>
    </row>
    <row r="402" ht="30.0" customHeight="1">
      <c r="A402" s="248"/>
      <c r="B402" s="249"/>
      <c r="C402" s="248"/>
      <c r="D402" s="249"/>
      <c r="E402" s="251"/>
      <c r="F402" s="249"/>
      <c r="G402" s="250"/>
      <c r="H402" s="251"/>
      <c r="I402" s="252"/>
      <c r="J402" s="252"/>
      <c r="K402" s="252"/>
      <c r="L402" s="251"/>
      <c r="M402" s="251"/>
      <c r="N402" s="251"/>
      <c r="O402" s="251"/>
      <c r="P402" s="251"/>
      <c r="Q402" s="251"/>
      <c r="R402" s="251"/>
      <c r="S402" s="251"/>
      <c r="T402" s="251"/>
      <c r="U402" s="251"/>
      <c r="V402" s="251"/>
      <c r="W402" s="251"/>
      <c r="X402" s="251"/>
      <c r="Y402" s="251"/>
      <c r="Z402" s="251"/>
      <c r="AA402" s="137"/>
      <c r="AB402" s="137"/>
      <c r="AC402" s="137"/>
      <c r="AD402" s="137"/>
      <c r="AE402" s="137"/>
      <c r="AF402" s="137"/>
      <c r="AG402" s="137"/>
    </row>
    <row r="403" ht="30.0" customHeight="1">
      <c r="A403" s="248"/>
      <c r="B403" s="249"/>
      <c r="C403" s="248"/>
      <c r="D403" s="249"/>
      <c r="E403" s="249"/>
      <c r="F403" s="249"/>
      <c r="G403" s="250"/>
      <c r="H403" s="251"/>
      <c r="I403" s="252"/>
      <c r="J403" s="252"/>
      <c r="K403" s="252"/>
      <c r="L403" s="251"/>
      <c r="M403" s="251"/>
      <c r="N403" s="251"/>
      <c r="O403" s="251"/>
      <c r="P403" s="251"/>
      <c r="Q403" s="251"/>
      <c r="R403" s="251"/>
      <c r="S403" s="251"/>
      <c r="T403" s="251"/>
      <c r="U403" s="251"/>
      <c r="V403" s="251"/>
      <c r="W403" s="251"/>
      <c r="X403" s="251"/>
      <c r="Y403" s="251"/>
      <c r="Z403" s="251"/>
      <c r="AA403" s="137"/>
      <c r="AB403" s="137"/>
      <c r="AC403" s="137"/>
      <c r="AD403" s="137"/>
      <c r="AE403" s="137"/>
      <c r="AF403" s="137"/>
      <c r="AG403" s="137"/>
    </row>
    <row r="404" ht="30.0" customHeight="1">
      <c r="A404" s="248"/>
      <c r="B404" s="249"/>
      <c r="C404" s="248"/>
      <c r="D404" s="249"/>
      <c r="E404" s="251"/>
      <c r="F404" s="249"/>
      <c r="G404" s="250"/>
      <c r="H404" s="251"/>
      <c r="I404" s="252"/>
      <c r="J404" s="252"/>
      <c r="K404" s="252"/>
      <c r="L404" s="251"/>
      <c r="M404" s="251"/>
      <c r="N404" s="251"/>
      <c r="O404" s="251"/>
      <c r="P404" s="251"/>
      <c r="Q404" s="251"/>
      <c r="R404" s="251"/>
      <c r="S404" s="251"/>
      <c r="T404" s="251"/>
      <c r="U404" s="251"/>
      <c r="V404" s="251"/>
      <c r="W404" s="251"/>
      <c r="X404" s="251"/>
      <c r="Y404" s="251"/>
      <c r="Z404" s="251"/>
      <c r="AA404" s="137"/>
      <c r="AB404" s="137"/>
      <c r="AC404" s="137"/>
      <c r="AD404" s="137"/>
      <c r="AE404" s="137"/>
      <c r="AF404" s="137"/>
      <c r="AG404" s="137"/>
    </row>
    <row r="405" ht="30.0" customHeight="1">
      <c r="A405" s="248"/>
      <c r="B405" s="249"/>
      <c r="C405" s="248"/>
      <c r="D405" s="249"/>
      <c r="E405" s="249"/>
      <c r="F405" s="249"/>
      <c r="G405" s="250"/>
      <c r="H405" s="251"/>
      <c r="I405" s="252"/>
      <c r="J405" s="252"/>
      <c r="K405" s="252"/>
      <c r="L405" s="251"/>
      <c r="M405" s="251"/>
      <c r="N405" s="251"/>
      <c r="O405" s="251"/>
      <c r="P405" s="251"/>
      <c r="Q405" s="251"/>
      <c r="R405" s="251"/>
      <c r="S405" s="251"/>
      <c r="T405" s="251"/>
      <c r="U405" s="251"/>
      <c r="V405" s="251"/>
      <c r="W405" s="251"/>
      <c r="X405" s="251"/>
      <c r="Y405" s="251"/>
      <c r="Z405" s="251"/>
      <c r="AA405" s="137"/>
      <c r="AB405" s="137"/>
      <c r="AC405" s="137"/>
      <c r="AD405" s="137"/>
      <c r="AE405" s="137"/>
      <c r="AF405" s="137"/>
      <c r="AG405" s="137"/>
    </row>
    <row r="406" ht="30.0" customHeight="1">
      <c r="A406" s="248"/>
      <c r="B406" s="249"/>
      <c r="C406" s="249"/>
      <c r="D406" s="249"/>
      <c r="E406" s="249"/>
      <c r="F406" s="249"/>
      <c r="G406" s="250"/>
      <c r="H406" s="251"/>
      <c r="I406" s="252"/>
      <c r="J406" s="252"/>
      <c r="K406" s="252"/>
      <c r="L406" s="251"/>
      <c r="M406" s="251"/>
      <c r="N406" s="251"/>
      <c r="O406" s="251"/>
      <c r="P406" s="251"/>
      <c r="Q406" s="251"/>
      <c r="R406" s="251"/>
      <c r="S406" s="251"/>
      <c r="T406" s="251"/>
      <c r="U406" s="251"/>
      <c r="V406" s="251"/>
      <c r="W406" s="251"/>
      <c r="X406" s="251"/>
      <c r="Y406" s="251"/>
      <c r="Z406" s="251"/>
      <c r="AA406" s="137"/>
      <c r="AB406" s="137"/>
      <c r="AC406" s="137"/>
      <c r="AD406" s="137"/>
      <c r="AE406" s="137"/>
      <c r="AF406" s="137"/>
      <c r="AG406" s="137"/>
    </row>
    <row r="407" ht="30.0" customHeight="1">
      <c r="A407" s="248"/>
      <c r="B407" s="249"/>
      <c r="C407" s="248"/>
      <c r="D407" s="249"/>
      <c r="E407" s="249"/>
      <c r="F407" s="249"/>
      <c r="G407" s="249"/>
      <c r="H407" s="251"/>
      <c r="I407" s="252"/>
      <c r="J407" s="252"/>
      <c r="K407" s="252"/>
      <c r="L407" s="251"/>
      <c r="M407" s="251"/>
      <c r="N407" s="251"/>
      <c r="O407" s="251"/>
      <c r="P407" s="251"/>
      <c r="Q407" s="251"/>
      <c r="R407" s="251"/>
      <c r="S407" s="251"/>
      <c r="T407" s="251"/>
      <c r="U407" s="251"/>
      <c r="V407" s="251"/>
      <c r="W407" s="251"/>
      <c r="X407" s="251"/>
      <c r="Y407" s="251"/>
      <c r="Z407" s="251"/>
      <c r="AA407" s="137"/>
      <c r="AB407" s="137"/>
      <c r="AC407" s="137"/>
      <c r="AD407" s="137"/>
      <c r="AE407" s="137"/>
      <c r="AF407" s="137"/>
      <c r="AG407" s="137"/>
    </row>
    <row r="408" ht="30.0" customHeight="1">
      <c r="A408" s="248"/>
      <c r="B408" s="249"/>
      <c r="C408" s="248"/>
      <c r="D408" s="249"/>
      <c r="E408" s="251"/>
      <c r="F408" s="249"/>
      <c r="G408" s="250"/>
      <c r="H408" s="251"/>
      <c r="I408" s="252"/>
      <c r="J408" s="252"/>
      <c r="K408" s="252"/>
      <c r="L408" s="251"/>
      <c r="M408" s="251"/>
      <c r="N408" s="251"/>
      <c r="O408" s="251"/>
      <c r="P408" s="251"/>
      <c r="Q408" s="251"/>
      <c r="R408" s="251"/>
      <c r="S408" s="251"/>
      <c r="T408" s="251"/>
      <c r="U408" s="251"/>
      <c r="V408" s="251"/>
      <c r="W408" s="251"/>
      <c r="X408" s="251"/>
      <c r="Y408" s="251"/>
      <c r="Z408" s="251"/>
      <c r="AA408" s="137"/>
      <c r="AB408" s="137"/>
      <c r="AC408" s="137"/>
      <c r="AD408" s="137"/>
      <c r="AE408" s="137"/>
      <c r="AF408" s="137"/>
      <c r="AG408" s="137"/>
    </row>
    <row r="409" ht="30.0" customHeight="1">
      <c r="A409" s="248"/>
      <c r="B409" s="249"/>
      <c r="C409" s="248"/>
      <c r="D409" s="249"/>
      <c r="E409" s="251"/>
      <c r="F409" s="249"/>
      <c r="G409" s="250"/>
      <c r="H409" s="251"/>
      <c r="I409" s="252"/>
      <c r="J409" s="252"/>
      <c r="K409" s="252"/>
      <c r="L409" s="251"/>
      <c r="M409" s="251"/>
      <c r="N409" s="251"/>
      <c r="O409" s="251"/>
      <c r="P409" s="251"/>
      <c r="Q409" s="251"/>
      <c r="R409" s="251"/>
      <c r="S409" s="251"/>
      <c r="T409" s="251"/>
      <c r="U409" s="251"/>
      <c r="V409" s="251"/>
      <c r="W409" s="251"/>
      <c r="X409" s="251"/>
      <c r="Y409" s="251"/>
      <c r="Z409" s="251"/>
      <c r="AA409" s="137"/>
      <c r="AB409" s="137"/>
      <c r="AC409" s="137"/>
      <c r="AD409" s="137"/>
      <c r="AE409" s="137"/>
      <c r="AF409" s="137"/>
      <c r="AG409" s="137"/>
    </row>
    <row r="410" ht="30.0" customHeight="1">
      <c r="A410" s="248"/>
      <c r="B410" s="249"/>
      <c r="C410" s="248"/>
      <c r="D410" s="249"/>
      <c r="E410" s="249"/>
      <c r="F410" s="249"/>
      <c r="G410" s="250"/>
      <c r="H410" s="251"/>
      <c r="I410" s="252"/>
      <c r="J410" s="252"/>
      <c r="K410" s="252"/>
      <c r="L410" s="251"/>
      <c r="M410" s="251"/>
      <c r="N410" s="251"/>
      <c r="O410" s="251"/>
      <c r="P410" s="251"/>
      <c r="Q410" s="251"/>
      <c r="R410" s="251"/>
      <c r="S410" s="251"/>
      <c r="T410" s="251"/>
      <c r="U410" s="251"/>
      <c r="V410" s="251"/>
      <c r="W410" s="251"/>
      <c r="X410" s="251"/>
      <c r="Y410" s="251"/>
      <c r="Z410" s="251"/>
      <c r="AA410" s="137"/>
      <c r="AB410" s="137"/>
      <c r="AC410" s="137"/>
      <c r="AD410" s="137"/>
      <c r="AE410" s="137"/>
      <c r="AF410" s="137"/>
      <c r="AG410" s="137"/>
    </row>
    <row r="411" ht="30.0" customHeight="1">
      <c r="A411" s="248"/>
      <c r="B411" s="249"/>
      <c r="C411" s="248"/>
      <c r="D411" s="249"/>
      <c r="E411" s="249"/>
      <c r="F411" s="249"/>
      <c r="G411" s="250"/>
      <c r="H411" s="251"/>
      <c r="I411" s="252"/>
      <c r="J411" s="252"/>
      <c r="K411" s="252"/>
      <c r="L411" s="251"/>
      <c r="M411" s="251"/>
      <c r="N411" s="251"/>
      <c r="O411" s="251"/>
      <c r="P411" s="251"/>
      <c r="Q411" s="251"/>
      <c r="R411" s="251"/>
      <c r="S411" s="251"/>
      <c r="T411" s="251"/>
      <c r="U411" s="251"/>
      <c r="V411" s="251"/>
      <c r="W411" s="251"/>
      <c r="X411" s="251"/>
      <c r="Y411" s="251"/>
      <c r="Z411" s="251"/>
      <c r="AA411" s="137"/>
      <c r="AB411" s="137"/>
      <c r="AC411" s="137"/>
      <c r="AD411" s="137"/>
      <c r="AE411" s="137"/>
      <c r="AF411" s="137"/>
      <c r="AG411" s="137"/>
    </row>
    <row r="412" ht="30.0" customHeight="1">
      <c r="A412" s="248"/>
      <c r="B412" s="249"/>
      <c r="C412" s="249"/>
      <c r="D412" s="249"/>
      <c r="E412" s="251"/>
      <c r="F412" s="249"/>
      <c r="G412" s="250"/>
      <c r="H412" s="251"/>
      <c r="I412" s="252"/>
      <c r="J412" s="252"/>
      <c r="K412" s="252"/>
      <c r="L412" s="251"/>
      <c r="M412" s="251"/>
      <c r="N412" s="251"/>
      <c r="O412" s="251"/>
      <c r="P412" s="251"/>
      <c r="Q412" s="251"/>
      <c r="R412" s="251"/>
      <c r="S412" s="251"/>
      <c r="T412" s="251"/>
      <c r="U412" s="251"/>
      <c r="V412" s="251"/>
      <c r="W412" s="251"/>
      <c r="X412" s="251"/>
      <c r="Y412" s="251"/>
      <c r="Z412" s="251"/>
      <c r="AA412" s="137"/>
      <c r="AB412" s="137"/>
      <c r="AC412" s="137"/>
      <c r="AD412" s="137"/>
      <c r="AE412" s="137"/>
      <c r="AF412" s="137"/>
      <c r="AG412" s="137"/>
    </row>
    <row r="413" ht="30.0" customHeight="1">
      <c r="A413" s="248"/>
      <c r="B413" s="249"/>
      <c r="C413" s="248"/>
      <c r="D413" s="249"/>
      <c r="E413" s="249"/>
      <c r="F413" s="249"/>
      <c r="G413" s="250"/>
      <c r="H413" s="251"/>
      <c r="I413" s="252"/>
      <c r="J413" s="252"/>
      <c r="K413" s="252"/>
      <c r="L413" s="251"/>
      <c r="M413" s="251"/>
      <c r="N413" s="251"/>
      <c r="O413" s="251"/>
      <c r="P413" s="251"/>
      <c r="Q413" s="251"/>
      <c r="R413" s="251"/>
      <c r="S413" s="251"/>
      <c r="T413" s="251"/>
      <c r="U413" s="251"/>
      <c r="V413" s="251"/>
      <c r="W413" s="251"/>
      <c r="X413" s="251"/>
      <c r="Y413" s="251"/>
      <c r="Z413" s="251"/>
      <c r="AA413" s="137"/>
      <c r="AB413" s="137"/>
      <c r="AC413" s="137"/>
      <c r="AD413" s="137"/>
      <c r="AE413" s="137"/>
      <c r="AF413" s="137"/>
      <c r="AG413" s="137"/>
    </row>
    <row r="414" ht="30.0" customHeight="1">
      <c r="A414" s="248"/>
      <c r="B414" s="249"/>
      <c r="C414" s="248"/>
      <c r="D414" s="249"/>
      <c r="E414" s="249"/>
      <c r="F414" s="249"/>
      <c r="G414" s="250"/>
      <c r="H414" s="251"/>
      <c r="I414" s="252"/>
      <c r="J414" s="252"/>
      <c r="K414" s="252"/>
      <c r="L414" s="251"/>
      <c r="M414" s="251"/>
      <c r="N414" s="251"/>
      <c r="O414" s="251"/>
      <c r="P414" s="251"/>
      <c r="Q414" s="251"/>
      <c r="R414" s="251"/>
      <c r="S414" s="251"/>
      <c r="T414" s="251"/>
      <c r="U414" s="251"/>
      <c r="V414" s="251"/>
      <c r="W414" s="251"/>
      <c r="X414" s="251"/>
      <c r="Y414" s="251"/>
      <c r="Z414" s="251"/>
      <c r="AA414" s="137"/>
      <c r="AB414" s="137"/>
      <c r="AC414" s="137"/>
      <c r="AD414" s="137"/>
      <c r="AE414" s="137"/>
      <c r="AF414" s="137"/>
      <c r="AG414" s="137"/>
    </row>
    <row r="415" ht="30.0" customHeight="1">
      <c r="A415" s="248"/>
      <c r="B415" s="249"/>
      <c r="C415" s="248"/>
      <c r="D415" s="249"/>
      <c r="E415" s="249"/>
      <c r="F415" s="249"/>
      <c r="G415" s="250"/>
      <c r="H415" s="251"/>
      <c r="I415" s="252"/>
      <c r="J415" s="252"/>
      <c r="K415" s="252"/>
      <c r="L415" s="251"/>
      <c r="M415" s="251"/>
      <c r="N415" s="251"/>
      <c r="O415" s="251"/>
      <c r="P415" s="251"/>
      <c r="Q415" s="251"/>
      <c r="R415" s="251"/>
      <c r="S415" s="251"/>
      <c r="T415" s="251"/>
      <c r="U415" s="251"/>
      <c r="V415" s="251"/>
      <c r="W415" s="251"/>
      <c r="X415" s="251"/>
      <c r="Y415" s="251"/>
      <c r="Z415" s="251"/>
      <c r="AA415" s="137"/>
      <c r="AB415" s="137"/>
      <c r="AC415" s="137"/>
      <c r="AD415" s="137"/>
      <c r="AE415" s="137"/>
      <c r="AF415" s="137"/>
      <c r="AG415" s="137"/>
    </row>
    <row r="416" ht="30.0" customHeight="1">
      <c r="A416" s="248"/>
      <c r="B416" s="249"/>
      <c r="C416" s="248"/>
      <c r="D416" s="249"/>
      <c r="E416" s="249"/>
      <c r="F416" s="249"/>
      <c r="G416" s="250"/>
      <c r="H416" s="251"/>
      <c r="I416" s="252"/>
      <c r="J416" s="252"/>
      <c r="K416" s="252"/>
      <c r="L416" s="251"/>
      <c r="M416" s="251"/>
      <c r="N416" s="251"/>
      <c r="O416" s="251"/>
      <c r="P416" s="251"/>
      <c r="Q416" s="251"/>
      <c r="R416" s="251"/>
      <c r="S416" s="251"/>
      <c r="T416" s="251"/>
      <c r="U416" s="251"/>
      <c r="V416" s="251"/>
      <c r="W416" s="251"/>
      <c r="X416" s="251"/>
      <c r="Y416" s="251"/>
      <c r="Z416" s="251"/>
      <c r="AA416" s="137"/>
      <c r="AB416" s="137"/>
      <c r="AC416" s="137"/>
      <c r="AD416" s="137"/>
      <c r="AE416" s="137"/>
      <c r="AF416" s="137"/>
      <c r="AG416" s="137"/>
    </row>
    <row r="417" ht="30.0" customHeight="1">
      <c r="A417" s="248"/>
      <c r="B417" s="249"/>
      <c r="C417" s="248"/>
      <c r="D417" s="249"/>
      <c r="E417" s="251"/>
      <c r="F417" s="249"/>
      <c r="G417" s="250"/>
      <c r="H417" s="251"/>
      <c r="I417" s="252"/>
      <c r="J417" s="252"/>
      <c r="K417" s="252"/>
      <c r="L417" s="251"/>
      <c r="M417" s="251"/>
      <c r="N417" s="251"/>
      <c r="O417" s="251"/>
      <c r="P417" s="251"/>
      <c r="Q417" s="251"/>
      <c r="R417" s="251"/>
      <c r="S417" s="251"/>
      <c r="T417" s="251"/>
      <c r="U417" s="251"/>
      <c r="V417" s="251"/>
      <c r="W417" s="251"/>
      <c r="X417" s="251"/>
      <c r="Y417" s="251"/>
      <c r="Z417" s="251"/>
      <c r="AA417" s="137"/>
      <c r="AB417" s="137"/>
      <c r="AC417" s="137"/>
      <c r="AD417" s="137"/>
      <c r="AE417" s="137"/>
      <c r="AF417" s="137"/>
      <c r="AG417" s="137"/>
    </row>
    <row r="418" ht="30.0" customHeight="1">
      <c r="A418" s="248"/>
      <c r="B418" s="249"/>
      <c r="C418" s="248"/>
      <c r="D418" s="249"/>
      <c r="E418" s="249"/>
      <c r="F418" s="249"/>
      <c r="G418" s="250"/>
      <c r="H418" s="251"/>
      <c r="I418" s="252"/>
      <c r="J418" s="252"/>
      <c r="K418" s="252"/>
      <c r="L418" s="251"/>
      <c r="M418" s="251"/>
      <c r="N418" s="251"/>
      <c r="O418" s="251"/>
      <c r="P418" s="251"/>
      <c r="Q418" s="251"/>
      <c r="R418" s="251"/>
      <c r="S418" s="251"/>
      <c r="T418" s="251"/>
      <c r="U418" s="251"/>
      <c r="V418" s="251"/>
      <c r="W418" s="251"/>
      <c r="X418" s="251"/>
      <c r="Y418" s="251"/>
      <c r="Z418" s="251"/>
      <c r="AA418" s="137"/>
      <c r="AB418" s="137"/>
      <c r="AC418" s="137"/>
      <c r="AD418" s="137"/>
      <c r="AE418" s="137"/>
      <c r="AF418" s="137"/>
      <c r="AG418" s="137"/>
    </row>
    <row r="419" ht="30.0" customHeight="1">
      <c r="A419" s="248"/>
      <c r="B419" s="249"/>
      <c r="C419" s="248"/>
      <c r="D419" s="249"/>
      <c r="E419" s="249"/>
      <c r="F419" s="249"/>
      <c r="G419" s="250"/>
      <c r="H419" s="251"/>
      <c r="I419" s="252"/>
      <c r="J419" s="252"/>
      <c r="K419" s="252"/>
      <c r="L419" s="251"/>
      <c r="M419" s="251"/>
      <c r="N419" s="251"/>
      <c r="O419" s="251"/>
      <c r="P419" s="251"/>
      <c r="Q419" s="251"/>
      <c r="R419" s="251"/>
      <c r="S419" s="251"/>
      <c r="T419" s="251"/>
      <c r="U419" s="251"/>
      <c r="V419" s="251"/>
      <c r="W419" s="251"/>
      <c r="X419" s="251"/>
      <c r="Y419" s="251"/>
      <c r="Z419" s="251"/>
      <c r="AA419" s="137"/>
      <c r="AB419" s="137"/>
      <c r="AC419" s="137"/>
      <c r="AD419" s="137"/>
      <c r="AE419" s="137"/>
      <c r="AF419" s="137"/>
      <c r="AG419" s="137"/>
    </row>
    <row r="420" ht="30.0" customHeight="1">
      <c r="A420" s="248"/>
      <c r="B420" s="251"/>
      <c r="C420" s="248"/>
      <c r="D420" s="249"/>
      <c r="E420" s="249"/>
      <c r="F420" s="249"/>
      <c r="G420" s="250"/>
      <c r="H420" s="251"/>
      <c r="I420" s="252"/>
      <c r="J420" s="252"/>
      <c r="K420" s="252"/>
      <c r="L420" s="251"/>
      <c r="M420" s="251"/>
      <c r="N420" s="251"/>
      <c r="O420" s="251"/>
      <c r="P420" s="251"/>
      <c r="Q420" s="251"/>
      <c r="R420" s="251"/>
      <c r="S420" s="251"/>
      <c r="T420" s="251"/>
      <c r="U420" s="251"/>
      <c r="V420" s="251"/>
      <c r="W420" s="251"/>
      <c r="X420" s="251"/>
      <c r="Y420" s="251"/>
      <c r="Z420" s="251"/>
      <c r="AA420" s="137"/>
      <c r="AB420" s="137"/>
      <c r="AC420" s="137"/>
      <c r="AD420" s="137"/>
      <c r="AE420" s="137"/>
      <c r="AF420" s="137"/>
      <c r="AG420" s="137"/>
    </row>
    <row r="421" ht="30.0" customHeight="1">
      <c r="A421" s="248"/>
      <c r="B421" s="249"/>
      <c r="C421" s="248"/>
      <c r="D421" s="249"/>
      <c r="E421" s="251"/>
      <c r="F421" s="249"/>
      <c r="G421" s="250"/>
      <c r="H421" s="251"/>
      <c r="I421" s="252"/>
      <c r="J421" s="252"/>
      <c r="K421" s="252"/>
      <c r="L421" s="251"/>
      <c r="M421" s="251"/>
      <c r="N421" s="251"/>
      <c r="O421" s="251"/>
      <c r="P421" s="251"/>
      <c r="Q421" s="251"/>
      <c r="R421" s="251"/>
      <c r="S421" s="251"/>
      <c r="T421" s="251"/>
      <c r="U421" s="251"/>
      <c r="V421" s="251"/>
      <c r="W421" s="251"/>
      <c r="X421" s="251"/>
      <c r="Y421" s="251"/>
      <c r="Z421" s="251"/>
      <c r="AA421" s="137"/>
      <c r="AB421" s="137"/>
      <c r="AC421" s="137"/>
      <c r="AD421" s="137"/>
      <c r="AE421" s="137"/>
      <c r="AF421" s="137"/>
      <c r="AG421" s="137"/>
    </row>
    <row r="422" ht="30.0" customHeight="1">
      <c r="A422" s="248"/>
      <c r="B422" s="249"/>
      <c r="C422" s="248"/>
      <c r="D422" s="249"/>
      <c r="E422" s="251"/>
      <c r="F422" s="249"/>
      <c r="G422" s="250"/>
      <c r="H422" s="251"/>
      <c r="I422" s="252"/>
      <c r="J422" s="252"/>
      <c r="K422" s="252"/>
      <c r="L422" s="251"/>
      <c r="M422" s="251"/>
      <c r="N422" s="251"/>
      <c r="O422" s="251"/>
      <c r="P422" s="251"/>
      <c r="Q422" s="251"/>
      <c r="R422" s="251"/>
      <c r="S422" s="251"/>
      <c r="T422" s="251"/>
      <c r="U422" s="251"/>
      <c r="V422" s="251"/>
      <c r="W422" s="251"/>
      <c r="X422" s="251"/>
      <c r="Y422" s="251"/>
      <c r="Z422" s="251"/>
      <c r="AA422" s="137"/>
      <c r="AB422" s="137"/>
      <c r="AC422" s="137"/>
      <c r="AD422" s="137"/>
      <c r="AE422" s="137"/>
      <c r="AF422" s="137"/>
      <c r="AG422" s="137"/>
    </row>
    <row r="423" ht="30.0" customHeight="1">
      <c r="A423" s="248"/>
      <c r="B423" s="249"/>
      <c r="C423" s="248"/>
      <c r="D423" s="249"/>
      <c r="E423" s="251"/>
      <c r="F423" s="249"/>
      <c r="G423" s="250"/>
      <c r="H423" s="251"/>
      <c r="I423" s="252"/>
      <c r="J423" s="252"/>
      <c r="K423" s="252"/>
      <c r="L423" s="251"/>
      <c r="M423" s="251"/>
      <c r="N423" s="251"/>
      <c r="O423" s="251"/>
      <c r="P423" s="251"/>
      <c r="Q423" s="251"/>
      <c r="R423" s="251"/>
      <c r="S423" s="251"/>
      <c r="T423" s="251"/>
      <c r="U423" s="251"/>
      <c r="V423" s="251"/>
      <c r="W423" s="251"/>
      <c r="X423" s="251"/>
      <c r="Y423" s="251"/>
      <c r="Z423" s="251"/>
      <c r="AA423" s="137"/>
      <c r="AB423" s="137"/>
      <c r="AC423" s="137"/>
      <c r="AD423" s="137"/>
      <c r="AE423" s="137"/>
      <c r="AF423" s="137"/>
      <c r="AG423" s="137"/>
    </row>
    <row r="424" ht="30.0" customHeight="1">
      <c r="A424" s="248"/>
      <c r="B424" s="249"/>
      <c r="C424" s="248"/>
      <c r="D424" s="249"/>
      <c r="E424" s="251"/>
      <c r="F424" s="249"/>
      <c r="G424" s="250"/>
      <c r="H424" s="251"/>
      <c r="I424" s="252"/>
      <c r="J424" s="252"/>
      <c r="K424" s="252"/>
      <c r="L424" s="251"/>
      <c r="M424" s="251"/>
      <c r="N424" s="251"/>
      <c r="O424" s="251"/>
      <c r="P424" s="251"/>
      <c r="Q424" s="251"/>
      <c r="R424" s="251"/>
      <c r="S424" s="251"/>
      <c r="T424" s="251"/>
      <c r="U424" s="251"/>
      <c r="V424" s="251"/>
      <c r="W424" s="251"/>
      <c r="X424" s="251"/>
      <c r="Y424" s="251"/>
      <c r="Z424" s="251"/>
      <c r="AA424" s="137"/>
      <c r="AB424" s="137"/>
      <c r="AC424" s="137"/>
      <c r="AD424" s="137"/>
      <c r="AE424" s="137"/>
      <c r="AF424" s="137"/>
      <c r="AG424" s="137"/>
    </row>
    <row r="425" ht="30.0" customHeight="1">
      <c r="A425" s="248"/>
      <c r="B425" s="249"/>
      <c r="C425" s="248"/>
      <c r="D425" s="249"/>
      <c r="E425" s="251"/>
      <c r="F425" s="249"/>
      <c r="G425" s="250"/>
      <c r="H425" s="251"/>
      <c r="I425" s="252"/>
      <c r="J425" s="252"/>
      <c r="K425" s="252"/>
      <c r="L425" s="251"/>
      <c r="M425" s="251"/>
      <c r="N425" s="251"/>
      <c r="O425" s="251"/>
      <c r="P425" s="251"/>
      <c r="Q425" s="251"/>
      <c r="R425" s="251"/>
      <c r="S425" s="251"/>
      <c r="T425" s="251"/>
      <c r="U425" s="251"/>
      <c r="V425" s="251"/>
      <c r="W425" s="251"/>
      <c r="X425" s="251"/>
      <c r="Y425" s="251"/>
      <c r="Z425" s="251"/>
      <c r="AA425" s="137"/>
      <c r="AB425" s="137"/>
      <c r="AC425" s="137"/>
      <c r="AD425" s="137"/>
      <c r="AE425" s="137"/>
      <c r="AF425" s="137"/>
      <c r="AG425" s="137"/>
    </row>
    <row r="426" ht="30.0" customHeight="1">
      <c r="A426" s="248"/>
      <c r="B426" s="249"/>
      <c r="C426" s="248"/>
      <c r="D426" s="249"/>
      <c r="E426" s="251"/>
      <c r="F426" s="249"/>
      <c r="G426" s="250"/>
      <c r="H426" s="251"/>
      <c r="I426" s="252"/>
      <c r="J426" s="252"/>
      <c r="K426" s="252"/>
      <c r="L426" s="251"/>
      <c r="M426" s="251"/>
      <c r="N426" s="251"/>
      <c r="O426" s="251"/>
      <c r="P426" s="251"/>
      <c r="Q426" s="251"/>
      <c r="R426" s="251"/>
      <c r="S426" s="251"/>
      <c r="T426" s="251"/>
      <c r="U426" s="251"/>
      <c r="V426" s="251"/>
      <c r="W426" s="251"/>
      <c r="X426" s="251"/>
      <c r="Y426" s="251"/>
      <c r="Z426" s="251"/>
      <c r="AA426" s="137"/>
      <c r="AB426" s="137"/>
      <c r="AC426" s="137"/>
      <c r="AD426" s="137"/>
      <c r="AE426" s="137"/>
      <c r="AF426" s="137"/>
      <c r="AG426" s="137"/>
    </row>
    <row r="427" ht="30.0" customHeight="1">
      <c r="A427" s="248"/>
      <c r="B427" s="249"/>
      <c r="C427" s="248"/>
      <c r="D427" s="249"/>
      <c r="E427" s="249"/>
      <c r="F427" s="249"/>
      <c r="G427" s="250"/>
      <c r="H427" s="251"/>
      <c r="I427" s="252"/>
      <c r="J427" s="252"/>
      <c r="K427" s="252"/>
      <c r="L427" s="251"/>
      <c r="M427" s="251"/>
      <c r="N427" s="251"/>
      <c r="O427" s="251"/>
      <c r="P427" s="251"/>
      <c r="Q427" s="251"/>
      <c r="R427" s="251"/>
      <c r="S427" s="251"/>
      <c r="T427" s="251"/>
      <c r="U427" s="251"/>
      <c r="V427" s="251"/>
      <c r="W427" s="251"/>
      <c r="X427" s="251"/>
      <c r="Y427" s="251"/>
      <c r="Z427" s="251"/>
      <c r="AA427" s="137"/>
      <c r="AB427" s="137"/>
      <c r="AC427" s="137"/>
      <c r="AD427" s="137"/>
      <c r="AE427" s="137"/>
      <c r="AF427" s="137"/>
      <c r="AG427" s="137"/>
    </row>
    <row r="428" ht="30.0" customHeight="1">
      <c r="A428" s="248"/>
      <c r="B428" s="249"/>
      <c r="C428" s="248"/>
      <c r="D428" s="249"/>
      <c r="E428" s="249"/>
      <c r="F428" s="249"/>
      <c r="G428" s="250"/>
      <c r="H428" s="251"/>
      <c r="I428" s="252"/>
      <c r="J428" s="252"/>
      <c r="K428" s="252"/>
      <c r="L428" s="251"/>
      <c r="M428" s="251"/>
      <c r="N428" s="251"/>
      <c r="O428" s="251"/>
      <c r="P428" s="251"/>
      <c r="Q428" s="251"/>
      <c r="R428" s="251"/>
      <c r="S428" s="251"/>
      <c r="T428" s="251"/>
      <c r="U428" s="251"/>
      <c r="V428" s="251"/>
      <c r="W428" s="251"/>
      <c r="X428" s="251"/>
      <c r="Y428" s="251"/>
      <c r="Z428" s="251"/>
      <c r="AA428" s="137"/>
      <c r="AB428" s="137"/>
      <c r="AC428" s="137"/>
      <c r="AD428" s="137"/>
      <c r="AE428" s="137"/>
      <c r="AF428" s="137"/>
      <c r="AG428" s="137"/>
    </row>
    <row r="429" ht="30.0" customHeight="1">
      <c r="A429" s="248"/>
      <c r="B429" s="249"/>
      <c r="C429" s="248"/>
      <c r="D429" s="249"/>
      <c r="E429" s="251"/>
      <c r="F429" s="249"/>
      <c r="G429" s="250"/>
      <c r="H429" s="251"/>
      <c r="I429" s="252"/>
      <c r="J429" s="252"/>
      <c r="K429" s="252"/>
      <c r="L429" s="251"/>
      <c r="M429" s="251"/>
      <c r="N429" s="251"/>
      <c r="O429" s="251"/>
      <c r="P429" s="251"/>
      <c r="Q429" s="251"/>
      <c r="R429" s="251"/>
      <c r="S429" s="251"/>
      <c r="T429" s="251"/>
      <c r="U429" s="251"/>
      <c r="V429" s="251"/>
      <c r="W429" s="251"/>
      <c r="X429" s="251"/>
      <c r="Y429" s="251"/>
      <c r="Z429" s="251"/>
      <c r="AA429" s="137"/>
      <c r="AB429" s="137"/>
      <c r="AC429" s="137"/>
      <c r="AD429" s="137"/>
      <c r="AE429" s="137"/>
      <c r="AF429" s="137"/>
      <c r="AG429" s="137"/>
    </row>
    <row r="430" ht="30.0" customHeight="1">
      <c r="A430" s="248"/>
      <c r="B430" s="249"/>
      <c r="C430" s="248"/>
      <c r="D430" s="249"/>
      <c r="E430" s="249"/>
      <c r="F430" s="249"/>
      <c r="G430" s="250"/>
      <c r="H430" s="251"/>
      <c r="I430" s="252"/>
      <c r="J430" s="252"/>
      <c r="K430" s="252"/>
      <c r="L430" s="251"/>
      <c r="M430" s="251"/>
      <c r="N430" s="251"/>
      <c r="O430" s="251"/>
      <c r="P430" s="251"/>
      <c r="Q430" s="251"/>
      <c r="R430" s="251"/>
      <c r="S430" s="251"/>
      <c r="T430" s="251"/>
      <c r="U430" s="251"/>
      <c r="V430" s="251"/>
      <c r="W430" s="251"/>
      <c r="X430" s="251"/>
      <c r="Y430" s="251"/>
      <c r="Z430" s="251"/>
      <c r="AA430" s="137"/>
      <c r="AB430" s="137"/>
      <c r="AC430" s="137"/>
      <c r="AD430" s="137"/>
      <c r="AE430" s="137"/>
      <c r="AF430" s="137"/>
      <c r="AG430" s="137"/>
    </row>
    <row r="431" ht="30.0" customHeight="1">
      <c r="A431" s="248"/>
      <c r="B431" s="249"/>
      <c r="C431" s="248"/>
      <c r="D431" s="249"/>
      <c r="E431" s="251"/>
      <c r="F431" s="249"/>
      <c r="G431" s="250"/>
      <c r="H431" s="251"/>
      <c r="I431" s="252"/>
      <c r="J431" s="252"/>
      <c r="K431" s="252"/>
      <c r="L431" s="251"/>
      <c r="M431" s="251"/>
      <c r="N431" s="251"/>
      <c r="O431" s="251"/>
      <c r="P431" s="251"/>
      <c r="Q431" s="251"/>
      <c r="R431" s="251"/>
      <c r="S431" s="251"/>
      <c r="T431" s="251"/>
      <c r="U431" s="251"/>
      <c r="V431" s="251"/>
      <c r="W431" s="251"/>
      <c r="X431" s="251"/>
      <c r="Y431" s="251"/>
      <c r="Z431" s="251"/>
      <c r="AA431" s="137"/>
      <c r="AB431" s="137"/>
      <c r="AC431" s="137"/>
      <c r="AD431" s="137"/>
      <c r="AE431" s="137"/>
      <c r="AF431" s="137"/>
      <c r="AG431" s="137"/>
    </row>
    <row r="432" ht="30.0" customHeight="1">
      <c r="A432" s="248"/>
      <c r="B432" s="249"/>
      <c r="C432" s="248"/>
      <c r="D432" s="249"/>
      <c r="E432" s="249"/>
      <c r="F432" s="249"/>
      <c r="G432" s="250"/>
      <c r="H432" s="251"/>
      <c r="I432" s="252"/>
      <c r="J432" s="252"/>
      <c r="K432" s="252"/>
      <c r="L432" s="251"/>
      <c r="M432" s="251"/>
      <c r="N432" s="251"/>
      <c r="O432" s="251"/>
      <c r="P432" s="251"/>
      <c r="Q432" s="251"/>
      <c r="R432" s="251"/>
      <c r="S432" s="251"/>
      <c r="T432" s="251"/>
      <c r="U432" s="251"/>
      <c r="V432" s="251"/>
      <c r="W432" s="251"/>
      <c r="X432" s="251"/>
      <c r="Y432" s="251"/>
      <c r="Z432" s="251"/>
      <c r="AA432" s="137"/>
      <c r="AB432" s="137"/>
      <c r="AC432" s="137"/>
      <c r="AD432" s="137"/>
      <c r="AE432" s="137"/>
      <c r="AF432" s="137"/>
      <c r="AG432" s="137"/>
    </row>
    <row r="433" ht="30.0" customHeight="1">
      <c r="A433" s="248"/>
      <c r="B433" s="249"/>
      <c r="C433" s="248"/>
      <c r="D433" s="249"/>
      <c r="E433" s="249"/>
      <c r="F433" s="249"/>
      <c r="G433" s="249"/>
      <c r="H433" s="251"/>
      <c r="I433" s="252"/>
      <c r="J433" s="252"/>
      <c r="K433" s="252"/>
      <c r="L433" s="251"/>
      <c r="M433" s="251"/>
      <c r="N433" s="251"/>
      <c r="O433" s="251"/>
      <c r="P433" s="251"/>
      <c r="Q433" s="251"/>
      <c r="R433" s="251"/>
      <c r="S433" s="251"/>
      <c r="T433" s="251"/>
      <c r="U433" s="251"/>
      <c r="V433" s="251"/>
      <c r="W433" s="251"/>
      <c r="X433" s="251"/>
      <c r="Y433" s="251"/>
      <c r="Z433" s="251"/>
      <c r="AA433" s="137"/>
      <c r="AB433" s="137"/>
      <c r="AC433" s="137"/>
      <c r="AD433" s="137"/>
      <c r="AE433" s="137"/>
      <c r="AF433" s="137"/>
      <c r="AG433" s="137"/>
    </row>
    <row r="434" ht="30.0" customHeight="1">
      <c r="A434" s="248"/>
      <c r="B434" s="249"/>
      <c r="C434" s="248"/>
      <c r="D434" s="249"/>
      <c r="E434" s="249"/>
      <c r="F434" s="249"/>
      <c r="G434" s="249"/>
      <c r="H434" s="251"/>
      <c r="I434" s="252"/>
      <c r="J434" s="252"/>
      <c r="K434" s="252"/>
      <c r="L434" s="251"/>
      <c r="M434" s="251"/>
      <c r="N434" s="251"/>
      <c r="O434" s="251"/>
      <c r="P434" s="251"/>
      <c r="Q434" s="251"/>
      <c r="R434" s="251"/>
      <c r="S434" s="251"/>
      <c r="T434" s="251"/>
      <c r="U434" s="251"/>
      <c r="V434" s="251"/>
      <c r="W434" s="251"/>
      <c r="X434" s="251"/>
      <c r="Y434" s="251"/>
      <c r="Z434" s="251"/>
      <c r="AA434" s="137"/>
      <c r="AB434" s="137"/>
      <c r="AC434" s="137"/>
      <c r="AD434" s="137"/>
      <c r="AE434" s="137"/>
      <c r="AF434" s="137"/>
      <c r="AG434" s="137"/>
    </row>
    <row r="435" ht="30.0" customHeight="1">
      <c r="A435" s="248"/>
      <c r="B435" s="249"/>
      <c r="C435" s="248"/>
      <c r="D435" s="249"/>
      <c r="E435" s="251"/>
      <c r="F435" s="249"/>
      <c r="G435" s="250"/>
      <c r="H435" s="251"/>
      <c r="I435" s="252"/>
      <c r="J435" s="252"/>
      <c r="K435" s="252"/>
      <c r="L435" s="251"/>
      <c r="M435" s="251"/>
      <c r="N435" s="251"/>
      <c r="O435" s="251"/>
      <c r="P435" s="251"/>
      <c r="Q435" s="251"/>
      <c r="R435" s="251"/>
      <c r="S435" s="251"/>
      <c r="T435" s="251"/>
      <c r="U435" s="251"/>
      <c r="V435" s="251"/>
      <c r="W435" s="251"/>
      <c r="X435" s="251"/>
      <c r="Y435" s="251"/>
      <c r="Z435" s="251"/>
      <c r="AA435" s="137"/>
      <c r="AB435" s="137"/>
      <c r="AC435" s="137"/>
      <c r="AD435" s="137"/>
      <c r="AE435" s="137"/>
      <c r="AF435" s="137"/>
      <c r="AG435" s="137"/>
    </row>
    <row r="436" ht="30.0" customHeight="1">
      <c r="A436" s="248"/>
      <c r="B436" s="249"/>
      <c r="C436" s="248"/>
      <c r="D436" s="249"/>
      <c r="E436" s="249"/>
      <c r="F436" s="249"/>
      <c r="G436" s="250"/>
      <c r="H436" s="251"/>
      <c r="I436" s="252"/>
      <c r="J436" s="252"/>
      <c r="K436" s="252"/>
      <c r="L436" s="251"/>
      <c r="M436" s="251"/>
      <c r="N436" s="251"/>
      <c r="O436" s="251"/>
      <c r="P436" s="251"/>
      <c r="Q436" s="251"/>
      <c r="R436" s="251"/>
      <c r="S436" s="251"/>
      <c r="T436" s="251"/>
      <c r="U436" s="251"/>
      <c r="V436" s="251"/>
      <c r="W436" s="251"/>
      <c r="X436" s="251"/>
      <c r="Y436" s="251"/>
      <c r="Z436" s="251"/>
      <c r="AA436" s="137"/>
      <c r="AB436" s="137"/>
      <c r="AC436" s="137"/>
      <c r="AD436" s="137"/>
      <c r="AE436" s="137"/>
      <c r="AF436" s="137"/>
      <c r="AG436" s="137"/>
    </row>
    <row r="437" ht="30.0" customHeight="1">
      <c r="A437" s="248"/>
      <c r="B437" s="249"/>
      <c r="C437" s="248"/>
      <c r="D437" s="249"/>
      <c r="E437" s="249"/>
      <c r="F437" s="249"/>
      <c r="G437" s="250"/>
      <c r="H437" s="251"/>
      <c r="I437" s="252"/>
      <c r="J437" s="252"/>
      <c r="K437" s="252"/>
      <c r="L437" s="251"/>
      <c r="M437" s="251"/>
      <c r="N437" s="251"/>
      <c r="O437" s="251"/>
      <c r="P437" s="251"/>
      <c r="Q437" s="251"/>
      <c r="R437" s="251"/>
      <c r="S437" s="251"/>
      <c r="T437" s="251"/>
      <c r="U437" s="251"/>
      <c r="V437" s="251"/>
      <c r="W437" s="251"/>
      <c r="X437" s="251"/>
      <c r="Y437" s="251"/>
      <c r="Z437" s="251"/>
      <c r="AA437" s="137"/>
      <c r="AB437" s="137"/>
      <c r="AC437" s="137"/>
      <c r="AD437" s="137"/>
      <c r="AE437" s="137"/>
      <c r="AF437" s="137"/>
      <c r="AG437" s="137"/>
    </row>
    <row r="438" ht="30.0" customHeight="1">
      <c r="A438" s="248"/>
      <c r="B438" s="249"/>
      <c r="C438" s="248"/>
      <c r="D438" s="249"/>
      <c r="E438" s="251"/>
      <c r="F438" s="249"/>
      <c r="G438" s="250"/>
      <c r="H438" s="251"/>
      <c r="I438" s="252"/>
      <c r="J438" s="252"/>
      <c r="K438" s="252"/>
      <c r="L438" s="251"/>
      <c r="M438" s="251"/>
      <c r="N438" s="251"/>
      <c r="O438" s="251"/>
      <c r="P438" s="251"/>
      <c r="Q438" s="251"/>
      <c r="R438" s="251"/>
      <c r="S438" s="251"/>
      <c r="T438" s="251"/>
      <c r="U438" s="251"/>
      <c r="V438" s="251"/>
      <c r="W438" s="251"/>
      <c r="X438" s="251"/>
      <c r="Y438" s="251"/>
      <c r="Z438" s="251"/>
      <c r="AA438" s="137"/>
      <c r="AB438" s="137"/>
      <c r="AC438" s="137"/>
      <c r="AD438" s="137"/>
      <c r="AE438" s="137"/>
      <c r="AF438" s="137"/>
      <c r="AG438" s="137"/>
    </row>
    <row r="439" ht="30.0" customHeight="1">
      <c r="A439" s="248"/>
      <c r="B439" s="249"/>
      <c r="C439" s="248"/>
      <c r="D439" s="249"/>
      <c r="E439" s="249"/>
      <c r="F439" s="249"/>
      <c r="G439" s="250"/>
      <c r="H439" s="251"/>
      <c r="I439" s="252"/>
      <c r="J439" s="252"/>
      <c r="K439" s="252"/>
      <c r="L439" s="251"/>
      <c r="M439" s="251"/>
      <c r="N439" s="251"/>
      <c r="O439" s="251"/>
      <c r="P439" s="251"/>
      <c r="Q439" s="251"/>
      <c r="R439" s="251"/>
      <c r="S439" s="251"/>
      <c r="T439" s="251"/>
      <c r="U439" s="251"/>
      <c r="V439" s="251"/>
      <c r="W439" s="251"/>
      <c r="X439" s="251"/>
      <c r="Y439" s="251"/>
      <c r="Z439" s="251"/>
      <c r="AA439" s="137"/>
      <c r="AB439" s="137"/>
      <c r="AC439" s="137"/>
      <c r="AD439" s="137"/>
      <c r="AE439" s="137"/>
      <c r="AF439" s="137"/>
      <c r="AG439" s="137"/>
    </row>
    <row r="440" ht="30.0" customHeight="1">
      <c r="A440" s="248"/>
      <c r="B440" s="249"/>
      <c r="C440" s="248"/>
      <c r="D440" s="249"/>
      <c r="E440" s="249"/>
      <c r="F440" s="249"/>
      <c r="G440" s="250"/>
      <c r="H440" s="251"/>
      <c r="I440" s="252"/>
      <c r="J440" s="252"/>
      <c r="K440" s="252"/>
      <c r="L440" s="251"/>
      <c r="M440" s="251"/>
      <c r="N440" s="251"/>
      <c r="O440" s="251"/>
      <c r="P440" s="251"/>
      <c r="Q440" s="251"/>
      <c r="R440" s="251"/>
      <c r="S440" s="251"/>
      <c r="T440" s="251"/>
      <c r="U440" s="251"/>
      <c r="V440" s="251"/>
      <c r="W440" s="251"/>
      <c r="X440" s="251"/>
      <c r="Y440" s="251"/>
      <c r="Z440" s="251"/>
      <c r="AA440" s="137"/>
      <c r="AB440" s="137"/>
      <c r="AC440" s="137"/>
      <c r="AD440" s="137"/>
      <c r="AE440" s="137"/>
      <c r="AF440" s="137"/>
      <c r="AG440" s="137"/>
    </row>
    <row r="441" ht="30.0" customHeight="1">
      <c r="A441" s="248"/>
      <c r="B441" s="249"/>
      <c r="C441" s="248"/>
      <c r="D441" s="249"/>
      <c r="E441" s="249"/>
      <c r="F441" s="249"/>
      <c r="G441" s="250"/>
      <c r="H441" s="251"/>
      <c r="I441" s="252"/>
      <c r="J441" s="252"/>
      <c r="K441" s="252"/>
      <c r="L441" s="251"/>
      <c r="M441" s="251"/>
      <c r="N441" s="251"/>
      <c r="O441" s="251"/>
      <c r="P441" s="251"/>
      <c r="Q441" s="251"/>
      <c r="R441" s="251"/>
      <c r="S441" s="251"/>
      <c r="T441" s="251"/>
      <c r="U441" s="251"/>
      <c r="V441" s="251"/>
      <c r="W441" s="251"/>
      <c r="X441" s="251"/>
      <c r="Y441" s="251"/>
      <c r="Z441" s="251"/>
      <c r="AA441" s="137"/>
      <c r="AB441" s="137"/>
      <c r="AC441" s="137"/>
      <c r="AD441" s="137"/>
      <c r="AE441" s="137"/>
      <c r="AF441" s="137"/>
      <c r="AG441" s="137"/>
    </row>
    <row r="442" ht="30.0" customHeight="1">
      <c r="A442" s="248"/>
      <c r="B442" s="249"/>
      <c r="C442" s="248"/>
      <c r="D442" s="249"/>
      <c r="E442" s="249"/>
      <c r="F442" s="249"/>
      <c r="G442" s="250"/>
      <c r="H442" s="251"/>
      <c r="I442" s="252"/>
      <c r="J442" s="252"/>
      <c r="K442" s="252"/>
      <c r="L442" s="251"/>
      <c r="M442" s="251"/>
      <c r="N442" s="251"/>
      <c r="O442" s="251"/>
      <c r="P442" s="251"/>
      <c r="Q442" s="251"/>
      <c r="R442" s="251"/>
      <c r="S442" s="251"/>
      <c r="T442" s="251"/>
      <c r="U442" s="251"/>
      <c r="V442" s="251"/>
      <c r="W442" s="251"/>
      <c r="X442" s="251"/>
      <c r="Y442" s="251"/>
      <c r="Z442" s="251"/>
      <c r="AA442" s="137"/>
      <c r="AB442" s="137"/>
      <c r="AC442" s="137"/>
      <c r="AD442" s="137"/>
      <c r="AE442" s="137"/>
      <c r="AF442" s="137"/>
      <c r="AG442" s="137"/>
    </row>
    <row r="443" ht="30.0" customHeight="1">
      <c r="A443" s="248"/>
      <c r="B443" s="249"/>
      <c r="C443" s="248"/>
      <c r="D443" s="249"/>
      <c r="E443" s="249"/>
      <c r="F443" s="249"/>
      <c r="G443" s="250"/>
      <c r="H443" s="251"/>
      <c r="I443" s="252"/>
      <c r="J443" s="252"/>
      <c r="K443" s="252"/>
      <c r="L443" s="251"/>
      <c r="M443" s="251"/>
      <c r="N443" s="251"/>
      <c r="O443" s="251"/>
      <c r="P443" s="251"/>
      <c r="Q443" s="251"/>
      <c r="R443" s="251"/>
      <c r="S443" s="251"/>
      <c r="T443" s="251"/>
      <c r="U443" s="251"/>
      <c r="V443" s="251"/>
      <c r="W443" s="251"/>
      <c r="X443" s="251"/>
      <c r="Y443" s="251"/>
      <c r="Z443" s="251"/>
      <c r="AA443" s="137"/>
      <c r="AB443" s="137"/>
      <c r="AC443" s="137"/>
      <c r="AD443" s="137"/>
      <c r="AE443" s="137"/>
      <c r="AF443" s="137"/>
      <c r="AG443" s="137"/>
    </row>
    <row r="444" ht="30.0" customHeight="1">
      <c r="A444" s="248"/>
      <c r="B444" s="249"/>
      <c r="C444" s="248"/>
      <c r="D444" s="249"/>
      <c r="E444" s="249"/>
      <c r="F444" s="249"/>
      <c r="G444" s="250"/>
      <c r="H444" s="251"/>
      <c r="I444" s="252"/>
      <c r="J444" s="252"/>
      <c r="K444" s="252"/>
      <c r="L444" s="251"/>
      <c r="M444" s="251"/>
      <c r="N444" s="251"/>
      <c r="O444" s="251"/>
      <c r="P444" s="251"/>
      <c r="Q444" s="251"/>
      <c r="R444" s="251"/>
      <c r="S444" s="251"/>
      <c r="T444" s="251"/>
      <c r="U444" s="251"/>
      <c r="V444" s="251"/>
      <c r="W444" s="251"/>
      <c r="X444" s="251"/>
      <c r="Y444" s="251"/>
      <c r="Z444" s="251"/>
      <c r="AA444" s="137"/>
      <c r="AB444" s="137"/>
      <c r="AC444" s="137"/>
      <c r="AD444" s="137"/>
      <c r="AE444" s="137"/>
      <c r="AF444" s="137"/>
      <c r="AG444" s="137"/>
    </row>
    <row r="445" ht="30.0" customHeight="1">
      <c r="A445" s="248"/>
      <c r="B445" s="249"/>
      <c r="C445" s="248"/>
      <c r="D445" s="249"/>
      <c r="E445" s="249"/>
      <c r="F445" s="249"/>
      <c r="G445" s="250"/>
      <c r="H445" s="251"/>
      <c r="I445" s="252"/>
      <c r="J445" s="252"/>
      <c r="K445" s="252"/>
      <c r="L445" s="251"/>
      <c r="M445" s="251"/>
      <c r="N445" s="251"/>
      <c r="O445" s="251"/>
      <c r="P445" s="251"/>
      <c r="Q445" s="251"/>
      <c r="R445" s="251"/>
      <c r="S445" s="251"/>
      <c r="T445" s="251"/>
      <c r="U445" s="251"/>
      <c r="V445" s="251"/>
      <c r="W445" s="251"/>
      <c r="X445" s="251"/>
      <c r="Y445" s="251"/>
      <c r="Z445" s="251"/>
      <c r="AA445" s="137"/>
      <c r="AB445" s="137"/>
      <c r="AC445" s="137"/>
      <c r="AD445" s="137"/>
      <c r="AE445" s="137"/>
      <c r="AF445" s="137"/>
      <c r="AG445" s="137"/>
    </row>
    <row r="446" ht="30.0" customHeight="1">
      <c r="A446" s="248"/>
      <c r="B446" s="249"/>
      <c r="C446" s="248"/>
      <c r="D446" s="249"/>
      <c r="E446" s="249"/>
      <c r="F446" s="249"/>
      <c r="G446" s="250"/>
      <c r="H446" s="251"/>
      <c r="I446" s="252"/>
      <c r="J446" s="252"/>
      <c r="K446" s="252"/>
      <c r="L446" s="251"/>
      <c r="M446" s="251"/>
      <c r="N446" s="251"/>
      <c r="O446" s="251"/>
      <c r="P446" s="251"/>
      <c r="Q446" s="251"/>
      <c r="R446" s="251"/>
      <c r="S446" s="251"/>
      <c r="T446" s="251"/>
      <c r="U446" s="251"/>
      <c r="V446" s="251"/>
      <c r="W446" s="251"/>
      <c r="X446" s="251"/>
      <c r="Y446" s="251"/>
      <c r="Z446" s="251"/>
      <c r="AA446" s="137"/>
      <c r="AB446" s="137"/>
      <c r="AC446" s="137"/>
      <c r="AD446" s="137"/>
      <c r="AE446" s="137"/>
      <c r="AF446" s="137"/>
      <c r="AG446" s="137"/>
    </row>
    <row r="447" ht="30.0" customHeight="1">
      <c r="A447" s="248"/>
      <c r="B447" s="249"/>
      <c r="C447" s="248"/>
      <c r="D447" s="249"/>
      <c r="E447" s="251"/>
      <c r="F447" s="249"/>
      <c r="G447" s="250"/>
      <c r="H447" s="251"/>
      <c r="I447" s="252"/>
      <c r="J447" s="252"/>
      <c r="K447" s="252"/>
      <c r="L447" s="251"/>
      <c r="M447" s="251"/>
      <c r="N447" s="251"/>
      <c r="O447" s="251"/>
      <c r="P447" s="251"/>
      <c r="Q447" s="251"/>
      <c r="R447" s="251"/>
      <c r="S447" s="251"/>
      <c r="T447" s="251"/>
      <c r="U447" s="251"/>
      <c r="V447" s="251"/>
      <c r="W447" s="251"/>
      <c r="X447" s="251"/>
      <c r="Y447" s="251"/>
      <c r="Z447" s="251"/>
      <c r="AA447" s="137"/>
      <c r="AB447" s="137"/>
      <c r="AC447" s="137"/>
      <c r="AD447" s="137"/>
      <c r="AE447" s="137"/>
      <c r="AF447" s="137"/>
      <c r="AG447" s="137"/>
    </row>
    <row r="448" ht="30.0" customHeight="1">
      <c r="A448" s="248"/>
      <c r="B448" s="249"/>
      <c r="C448" s="248"/>
      <c r="D448" s="249"/>
      <c r="E448" s="251"/>
      <c r="F448" s="249"/>
      <c r="G448" s="250"/>
      <c r="H448" s="251"/>
      <c r="I448" s="252"/>
      <c r="J448" s="252"/>
      <c r="K448" s="252"/>
      <c r="L448" s="251"/>
      <c r="M448" s="251"/>
      <c r="N448" s="251"/>
      <c r="O448" s="251"/>
      <c r="P448" s="251"/>
      <c r="Q448" s="251"/>
      <c r="R448" s="251"/>
      <c r="S448" s="251"/>
      <c r="T448" s="251"/>
      <c r="U448" s="251"/>
      <c r="V448" s="251"/>
      <c r="W448" s="251"/>
      <c r="X448" s="251"/>
      <c r="Y448" s="251"/>
      <c r="Z448" s="251"/>
      <c r="AA448" s="137"/>
      <c r="AB448" s="137"/>
      <c r="AC448" s="137"/>
      <c r="AD448" s="137"/>
      <c r="AE448" s="137"/>
      <c r="AF448" s="137"/>
      <c r="AG448" s="137"/>
    </row>
    <row r="449" ht="30.0" customHeight="1">
      <c r="A449" s="248"/>
      <c r="B449" s="249"/>
      <c r="C449" s="248"/>
      <c r="D449" s="249"/>
      <c r="E449" s="251"/>
      <c r="F449" s="249"/>
      <c r="G449" s="249"/>
      <c r="H449" s="251"/>
      <c r="I449" s="252"/>
      <c r="J449" s="252"/>
      <c r="K449" s="252"/>
      <c r="L449" s="251"/>
      <c r="M449" s="251"/>
      <c r="N449" s="251"/>
      <c r="O449" s="251"/>
      <c r="P449" s="251"/>
      <c r="Q449" s="251"/>
      <c r="R449" s="251"/>
      <c r="S449" s="251"/>
      <c r="T449" s="251"/>
      <c r="U449" s="251"/>
      <c r="V449" s="251"/>
      <c r="W449" s="251"/>
      <c r="X449" s="251"/>
      <c r="Y449" s="251"/>
      <c r="Z449" s="251"/>
      <c r="AA449" s="137"/>
      <c r="AB449" s="137"/>
      <c r="AC449" s="137"/>
      <c r="AD449" s="137"/>
      <c r="AE449" s="137"/>
      <c r="AF449" s="137"/>
      <c r="AG449" s="137"/>
    </row>
    <row r="450" ht="30.0" customHeight="1">
      <c r="A450" s="248"/>
      <c r="B450" s="249"/>
      <c r="C450" s="248"/>
      <c r="D450" s="249"/>
      <c r="E450" s="249"/>
      <c r="F450" s="249"/>
      <c r="G450" s="250"/>
      <c r="H450" s="251"/>
      <c r="I450" s="252"/>
      <c r="J450" s="252"/>
      <c r="K450" s="252"/>
      <c r="L450" s="251"/>
      <c r="M450" s="251"/>
      <c r="N450" s="251"/>
      <c r="O450" s="251"/>
      <c r="P450" s="251"/>
      <c r="Q450" s="251"/>
      <c r="R450" s="251"/>
      <c r="S450" s="251"/>
      <c r="T450" s="251"/>
      <c r="U450" s="251"/>
      <c r="V450" s="251"/>
      <c r="W450" s="251"/>
      <c r="X450" s="251"/>
      <c r="Y450" s="251"/>
      <c r="Z450" s="251"/>
      <c r="AA450" s="137"/>
      <c r="AB450" s="137"/>
      <c r="AC450" s="137"/>
      <c r="AD450" s="137"/>
      <c r="AE450" s="137"/>
      <c r="AF450" s="137"/>
      <c r="AG450" s="137"/>
    </row>
    <row r="451" ht="30.0" customHeight="1">
      <c r="A451" s="248"/>
      <c r="B451" s="249"/>
      <c r="C451" s="248"/>
      <c r="D451" s="249"/>
      <c r="E451" s="251"/>
      <c r="F451" s="249"/>
      <c r="G451" s="249"/>
      <c r="H451" s="251"/>
      <c r="I451" s="252"/>
      <c r="J451" s="252"/>
      <c r="K451" s="252"/>
      <c r="L451" s="251"/>
      <c r="M451" s="251"/>
      <c r="N451" s="251"/>
      <c r="O451" s="251"/>
      <c r="P451" s="251"/>
      <c r="Q451" s="251"/>
      <c r="R451" s="251"/>
      <c r="S451" s="251"/>
      <c r="T451" s="251"/>
      <c r="U451" s="251"/>
      <c r="V451" s="251"/>
      <c r="W451" s="251"/>
      <c r="X451" s="251"/>
      <c r="Y451" s="251"/>
      <c r="Z451" s="251"/>
      <c r="AA451" s="137"/>
      <c r="AB451" s="137"/>
      <c r="AC451" s="137"/>
      <c r="AD451" s="137"/>
      <c r="AE451" s="137"/>
      <c r="AF451" s="137"/>
      <c r="AG451" s="137"/>
    </row>
    <row r="452" ht="30.0" customHeight="1">
      <c r="A452" s="248"/>
      <c r="B452" s="249"/>
      <c r="C452" s="248"/>
      <c r="D452" s="249"/>
      <c r="E452" s="251"/>
      <c r="F452" s="249"/>
      <c r="G452" s="250"/>
      <c r="H452" s="251"/>
      <c r="I452" s="252"/>
      <c r="J452" s="252"/>
      <c r="K452" s="252"/>
      <c r="L452" s="251"/>
      <c r="M452" s="251"/>
      <c r="N452" s="251"/>
      <c r="O452" s="251"/>
      <c r="P452" s="251"/>
      <c r="Q452" s="251"/>
      <c r="R452" s="251"/>
      <c r="S452" s="251"/>
      <c r="T452" s="251"/>
      <c r="U452" s="251"/>
      <c r="V452" s="251"/>
      <c r="W452" s="251"/>
      <c r="X452" s="251"/>
      <c r="Y452" s="251"/>
      <c r="Z452" s="251"/>
      <c r="AA452" s="137"/>
      <c r="AB452" s="137"/>
      <c r="AC452" s="137"/>
      <c r="AD452" s="137"/>
      <c r="AE452" s="137"/>
      <c r="AF452" s="137"/>
      <c r="AG452" s="137"/>
    </row>
    <row r="453" ht="30.0" customHeight="1">
      <c r="A453" s="248"/>
      <c r="B453" s="249"/>
      <c r="C453" s="248"/>
      <c r="D453" s="249"/>
      <c r="E453" s="249"/>
      <c r="F453" s="249"/>
      <c r="G453" s="250"/>
      <c r="H453" s="251"/>
      <c r="I453" s="252"/>
      <c r="J453" s="252"/>
      <c r="K453" s="252"/>
      <c r="L453" s="251"/>
      <c r="M453" s="251"/>
      <c r="N453" s="251"/>
      <c r="O453" s="251"/>
      <c r="P453" s="251"/>
      <c r="Q453" s="251"/>
      <c r="R453" s="251"/>
      <c r="S453" s="251"/>
      <c r="T453" s="251"/>
      <c r="U453" s="251"/>
      <c r="V453" s="251"/>
      <c r="W453" s="251"/>
      <c r="X453" s="251"/>
      <c r="Y453" s="251"/>
      <c r="Z453" s="251"/>
      <c r="AA453" s="137"/>
      <c r="AB453" s="137"/>
      <c r="AC453" s="137"/>
      <c r="AD453" s="137"/>
      <c r="AE453" s="137"/>
      <c r="AF453" s="137"/>
      <c r="AG453" s="137"/>
    </row>
    <row r="454" ht="30.0" customHeight="1">
      <c r="A454" s="248"/>
      <c r="B454" s="249"/>
      <c r="C454" s="248"/>
      <c r="D454" s="249"/>
      <c r="E454" s="249"/>
      <c r="F454" s="249"/>
      <c r="G454" s="250"/>
      <c r="H454" s="251"/>
      <c r="I454" s="252"/>
      <c r="J454" s="252"/>
      <c r="K454" s="252"/>
      <c r="L454" s="251"/>
      <c r="M454" s="251"/>
      <c r="N454" s="251"/>
      <c r="O454" s="251"/>
      <c r="P454" s="251"/>
      <c r="Q454" s="251"/>
      <c r="R454" s="251"/>
      <c r="S454" s="251"/>
      <c r="T454" s="251"/>
      <c r="U454" s="251"/>
      <c r="V454" s="251"/>
      <c r="W454" s="251"/>
      <c r="X454" s="251"/>
      <c r="Y454" s="251"/>
      <c r="Z454" s="251"/>
      <c r="AA454" s="137"/>
      <c r="AB454" s="137"/>
      <c r="AC454" s="137"/>
      <c r="AD454" s="137"/>
      <c r="AE454" s="137"/>
      <c r="AF454" s="137"/>
      <c r="AG454" s="137"/>
    </row>
    <row r="455" ht="30.0" customHeight="1">
      <c r="A455" s="248"/>
      <c r="B455" s="249"/>
      <c r="C455" s="248"/>
      <c r="D455" s="249"/>
      <c r="E455" s="249"/>
      <c r="F455" s="249"/>
      <c r="G455" s="250"/>
      <c r="H455" s="251"/>
      <c r="I455" s="252"/>
      <c r="J455" s="252"/>
      <c r="K455" s="252"/>
      <c r="L455" s="251"/>
      <c r="M455" s="251"/>
      <c r="N455" s="251"/>
      <c r="O455" s="251"/>
      <c r="P455" s="251"/>
      <c r="Q455" s="251"/>
      <c r="R455" s="251"/>
      <c r="S455" s="251"/>
      <c r="T455" s="251"/>
      <c r="U455" s="251"/>
      <c r="V455" s="251"/>
      <c r="W455" s="251"/>
      <c r="X455" s="251"/>
      <c r="Y455" s="251"/>
      <c r="Z455" s="251"/>
      <c r="AA455" s="137"/>
      <c r="AB455" s="137"/>
      <c r="AC455" s="137"/>
      <c r="AD455" s="137"/>
      <c r="AE455" s="137"/>
      <c r="AF455" s="137"/>
      <c r="AG455" s="137"/>
    </row>
    <row r="456" ht="30.0" customHeight="1">
      <c r="A456" s="248"/>
      <c r="B456" s="249"/>
      <c r="C456" s="248"/>
      <c r="D456" s="249"/>
      <c r="E456" s="249"/>
      <c r="F456" s="249"/>
      <c r="G456" s="250"/>
      <c r="H456" s="251"/>
      <c r="I456" s="252"/>
      <c r="J456" s="252"/>
      <c r="K456" s="252"/>
      <c r="L456" s="251"/>
      <c r="M456" s="251"/>
      <c r="N456" s="251"/>
      <c r="O456" s="251"/>
      <c r="P456" s="251"/>
      <c r="Q456" s="251"/>
      <c r="R456" s="251"/>
      <c r="S456" s="251"/>
      <c r="T456" s="251"/>
      <c r="U456" s="251"/>
      <c r="V456" s="251"/>
      <c r="W456" s="251"/>
      <c r="X456" s="251"/>
      <c r="Y456" s="251"/>
      <c r="Z456" s="251"/>
      <c r="AA456" s="137"/>
      <c r="AB456" s="137"/>
      <c r="AC456" s="137"/>
      <c r="AD456" s="137"/>
      <c r="AE456" s="137"/>
      <c r="AF456" s="137"/>
      <c r="AG456" s="137"/>
    </row>
    <row r="457" ht="30.0" customHeight="1">
      <c r="A457" s="248"/>
      <c r="B457" s="249"/>
      <c r="C457" s="248"/>
      <c r="D457" s="249"/>
      <c r="E457" s="249"/>
      <c r="F457" s="249"/>
      <c r="G457" s="250"/>
      <c r="H457" s="251"/>
      <c r="I457" s="252"/>
      <c r="J457" s="252"/>
      <c r="K457" s="252"/>
      <c r="L457" s="251"/>
      <c r="M457" s="251"/>
      <c r="N457" s="251"/>
      <c r="O457" s="251"/>
      <c r="P457" s="251"/>
      <c r="Q457" s="251"/>
      <c r="R457" s="251"/>
      <c r="S457" s="251"/>
      <c r="T457" s="251"/>
      <c r="U457" s="251"/>
      <c r="V457" s="251"/>
      <c r="W457" s="251"/>
      <c r="X457" s="251"/>
      <c r="Y457" s="251"/>
      <c r="Z457" s="251"/>
      <c r="AA457" s="137"/>
      <c r="AB457" s="137"/>
      <c r="AC457" s="137"/>
      <c r="AD457" s="137"/>
      <c r="AE457" s="137"/>
      <c r="AF457" s="137"/>
      <c r="AG457" s="137"/>
    </row>
    <row r="458" ht="30.0" customHeight="1">
      <c r="A458" s="248"/>
      <c r="B458" s="249"/>
      <c r="C458" s="248"/>
      <c r="D458" s="249"/>
      <c r="E458" s="249"/>
      <c r="F458" s="249"/>
      <c r="G458" s="250"/>
      <c r="H458" s="251"/>
      <c r="I458" s="252"/>
      <c r="J458" s="252"/>
      <c r="K458" s="252"/>
      <c r="L458" s="251"/>
      <c r="M458" s="251"/>
      <c r="N458" s="251"/>
      <c r="O458" s="251"/>
      <c r="P458" s="251"/>
      <c r="Q458" s="251"/>
      <c r="R458" s="251"/>
      <c r="S458" s="251"/>
      <c r="T458" s="251"/>
      <c r="U458" s="251"/>
      <c r="V458" s="251"/>
      <c r="W458" s="251"/>
      <c r="X458" s="251"/>
      <c r="Y458" s="251"/>
      <c r="Z458" s="251"/>
      <c r="AA458" s="137"/>
      <c r="AB458" s="137"/>
      <c r="AC458" s="137"/>
      <c r="AD458" s="137"/>
      <c r="AE458" s="137"/>
      <c r="AF458" s="137"/>
      <c r="AG458" s="137"/>
    </row>
    <row r="459" ht="30.0" customHeight="1">
      <c r="A459" s="248"/>
      <c r="B459" s="249"/>
      <c r="C459" s="248"/>
      <c r="D459" s="249"/>
      <c r="E459" s="249"/>
      <c r="F459" s="249"/>
      <c r="G459" s="250"/>
      <c r="H459" s="251"/>
      <c r="I459" s="252"/>
      <c r="J459" s="252"/>
      <c r="K459" s="252"/>
      <c r="L459" s="251"/>
      <c r="M459" s="251"/>
      <c r="N459" s="251"/>
      <c r="O459" s="251"/>
      <c r="P459" s="251"/>
      <c r="Q459" s="251"/>
      <c r="R459" s="251"/>
      <c r="S459" s="251"/>
      <c r="T459" s="251"/>
      <c r="U459" s="251"/>
      <c r="V459" s="251"/>
      <c r="W459" s="251"/>
      <c r="X459" s="251"/>
      <c r="Y459" s="251"/>
      <c r="Z459" s="251"/>
      <c r="AA459" s="137"/>
      <c r="AB459" s="137"/>
      <c r="AC459" s="137"/>
      <c r="AD459" s="137"/>
      <c r="AE459" s="137"/>
      <c r="AF459" s="137"/>
      <c r="AG459" s="137"/>
    </row>
    <row r="460" ht="30.0" customHeight="1">
      <c r="A460" s="248"/>
      <c r="B460" s="249"/>
      <c r="C460" s="248"/>
      <c r="D460" s="249"/>
      <c r="E460" s="249"/>
      <c r="F460" s="249"/>
      <c r="G460" s="250"/>
      <c r="H460" s="251"/>
      <c r="I460" s="252"/>
      <c r="J460" s="252"/>
      <c r="K460" s="252"/>
      <c r="L460" s="251"/>
      <c r="M460" s="251"/>
      <c r="N460" s="251"/>
      <c r="O460" s="251"/>
      <c r="P460" s="251"/>
      <c r="Q460" s="251"/>
      <c r="R460" s="251"/>
      <c r="S460" s="251"/>
      <c r="T460" s="251"/>
      <c r="U460" s="251"/>
      <c r="V460" s="251"/>
      <c r="W460" s="251"/>
      <c r="X460" s="251"/>
      <c r="Y460" s="251"/>
      <c r="Z460" s="251"/>
      <c r="AA460" s="137"/>
      <c r="AB460" s="137"/>
      <c r="AC460" s="137"/>
      <c r="AD460" s="137"/>
      <c r="AE460" s="137"/>
      <c r="AF460" s="137"/>
      <c r="AG460" s="137"/>
    </row>
    <row r="461" ht="30.0" customHeight="1">
      <c r="A461" s="248"/>
      <c r="B461" s="249"/>
      <c r="C461" s="248"/>
      <c r="D461" s="249"/>
      <c r="E461" s="249"/>
      <c r="F461" s="249"/>
      <c r="G461" s="250"/>
      <c r="H461" s="251"/>
      <c r="I461" s="252"/>
      <c r="J461" s="252"/>
      <c r="K461" s="252"/>
      <c r="L461" s="251"/>
      <c r="M461" s="251"/>
      <c r="N461" s="251"/>
      <c r="O461" s="251"/>
      <c r="P461" s="251"/>
      <c r="Q461" s="251"/>
      <c r="R461" s="251"/>
      <c r="S461" s="251"/>
      <c r="T461" s="251"/>
      <c r="U461" s="251"/>
      <c r="V461" s="251"/>
      <c r="W461" s="251"/>
      <c r="X461" s="251"/>
      <c r="Y461" s="251"/>
      <c r="Z461" s="251"/>
      <c r="AA461" s="137"/>
      <c r="AB461" s="137"/>
      <c r="AC461" s="137"/>
      <c r="AD461" s="137"/>
      <c r="AE461" s="137"/>
      <c r="AF461" s="137"/>
      <c r="AG461" s="137"/>
    </row>
    <row r="462" ht="30.0" customHeight="1">
      <c r="A462" s="248"/>
      <c r="B462" s="249"/>
      <c r="C462" s="248"/>
      <c r="D462" s="249"/>
      <c r="E462" s="249"/>
      <c r="F462" s="249"/>
      <c r="G462" s="250"/>
      <c r="H462" s="251"/>
      <c r="I462" s="252"/>
      <c r="J462" s="252"/>
      <c r="K462" s="252"/>
      <c r="L462" s="251"/>
      <c r="M462" s="251"/>
      <c r="N462" s="251"/>
      <c r="O462" s="251"/>
      <c r="P462" s="251"/>
      <c r="Q462" s="251"/>
      <c r="R462" s="251"/>
      <c r="S462" s="251"/>
      <c r="T462" s="251"/>
      <c r="U462" s="251"/>
      <c r="V462" s="251"/>
      <c r="W462" s="251"/>
      <c r="X462" s="251"/>
      <c r="Y462" s="251"/>
      <c r="Z462" s="251"/>
      <c r="AA462" s="137"/>
      <c r="AB462" s="137"/>
      <c r="AC462" s="137"/>
      <c r="AD462" s="137"/>
      <c r="AE462" s="137"/>
      <c r="AF462" s="137"/>
      <c r="AG462" s="137"/>
    </row>
    <row r="463" ht="30.0" customHeight="1">
      <c r="A463" s="248"/>
      <c r="B463" s="249"/>
      <c r="C463" s="248"/>
      <c r="D463" s="249"/>
      <c r="E463" s="251"/>
      <c r="F463" s="249"/>
      <c r="G463" s="250"/>
      <c r="H463" s="251"/>
      <c r="I463" s="252"/>
      <c r="J463" s="252"/>
      <c r="K463" s="252"/>
      <c r="L463" s="251"/>
      <c r="M463" s="251"/>
      <c r="N463" s="251"/>
      <c r="O463" s="251"/>
      <c r="P463" s="251"/>
      <c r="Q463" s="251"/>
      <c r="R463" s="251"/>
      <c r="S463" s="251"/>
      <c r="T463" s="251"/>
      <c r="U463" s="251"/>
      <c r="V463" s="251"/>
      <c r="W463" s="251"/>
      <c r="X463" s="251"/>
      <c r="Y463" s="251"/>
      <c r="Z463" s="251"/>
      <c r="AA463" s="137"/>
      <c r="AB463" s="137"/>
      <c r="AC463" s="137"/>
      <c r="AD463" s="137"/>
      <c r="AE463" s="137"/>
      <c r="AF463" s="137"/>
      <c r="AG463" s="137"/>
    </row>
    <row r="464" ht="30.0" customHeight="1">
      <c r="A464" s="248"/>
      <c r="B464" s="249"/>
      <c r="C464" s="248"/>
      <c r="D464" s="249"/>
      <c r="E464" s="251"/>
      <c r="F464" s="249"/>
      <c r="G464" s="250"/>
      <c r="H464" s="251"/>
      <c r="I464" s="252"/>
      <c r="J464" s="252"/>
      <c r="K464" s="252"/>
      <c r="L464" s="251"/>
      <c r="M464" s="251"/>
      <c r="N464" s="251"/>
      <c r="O464" s="251"/>
      <c r="P464" s="251"/>
      <c r="Q464" s="251"/>
      <c r="R464" s="251"/>
      <c r="S464" s="251"/>
      <c r="T464" s="251"/>
      <c r="U464" s="251"/>
      <c r="V464" s="251"/>
      <c r="W464" s="251"/>
      <c r="X464" s="251"/>
      <c r="Y464" s="251"/>
      <c r="Z464" s="251"/>
      <c r="AA464" s="137"/>
      <c r="AB464" s="137"/>
      <c r="AC464" s="137"/>
      <c r="AD464" s="137"/>
      <c r="AE464" s="137"/>
      <c r="AF464" s="137"/>
      <c r="AG464" s="137"/>
    </row>
    <row r="465" ht="30.0" customHeight="1">
      <c r="A465" s="248"/>
      <c r="B465" s="249"/>
      <c r="C465" s="248"/>
      <c r="D465" s="249"/>
      <c r="E465" s="251"/>
      <c r="F465" s="249"/>
      <c r="G465" s="250"/>
      <c r="H465" s="251"/>
      <c r="I465" s="252"/>
      <c r="J465" s="252"/>
      <c r="K465" s="252"/>
      <c r="L465" s="251"/>
      <c r="M465" s="251"/>
      <c r="N465" s="251"/>
      <c r="O465" s="251"/>
      <c r="P465" s="251"/>
      <c r="Q465" s="251"/>
      <c r="R465" s="251"/>
      <c r="S465" s="251"/>
      <c r="T465" s="251"/>
      <c r="U465" s="251"/>
      <c r="V465" s="251"/>
      <c r="W465" s="251"/>
      <c r="X465" s="251"/>
      <c r="Y465" s="251"/>
      <c r="Z465" s="251"/>
      <c r="AA465" s="137"/>
      <c r="AB465" s="137"/>
      <c r="AC465" s="137"/>
      <c r="AD465" s="137"/>
      <c r="AE465" s="137"/>
      <c r="AF465" s="137"/>
      <c r="AG465" s="137"/>
    </row>
    <row r="466" ht="30.0" customHeight="1">
      <c r="A466" s="248"/>
      <c r="B466" s="249"/>
      <c r="C466" s="248"/>
      <c r="D466" s="249"/>
      <c r="E466" s="251"/>
      <c r="F466" s="249"/>
      <c r="G466" s="250"/>
      <c r="H466" s="251"/>
      <c r="I466" s="252"/>
      <c r="J466" s="252"/>
      <c r="K466" s="252"/>
      <c r="L466" s="251"/>
      <c r="M466" s="251"/>
      <c r="N466" s="251"/>
      <c r="O466" s="251"/>
      <c r="P466" s="251"/>
      <c r="Q466" s="251"/>
      <c r="R466" s="251"/>
      <c r="S466" s="251"/>
      <c r="T466" s="251"/>
      <c r="U466" s="251"/>
      <c r="V466" s="251"/>
      <c r="W466" s="251"/>
      <c r="X466" s="251"/>
      <c r="Y466" s="251"/>
      <c r="Z466" s="251"/>
      <c r="AA466" s="137"/>
      <c r="AB466" s="137"/>
      <c r="AC466" s="137"/>
      <c r="AD466" s="137"/>
      <c r="AE466" s="137"/>
      <c r="AF466" s="137"/>
      <c r="AG466" s="137"/>
    </row>
    <row r="467" ht="30.0" customHeight="1">
      <c r="A467" s="248"/>
      <c r="B467" s="249"/>
      <c r="C467" s="248"/>
      <c r="D467" s="249"/>
      <c r="E467" s="251"/>
      <c r="F467" s="249"/>
      <c r="G467" s="250"/>
      <c r="H467" s="251"/>
      <c r="I467" s="252"/>
      <c r="J467" s="252"/>
      <c r="K467" s="252"/>
      <c r="L467" s="251"/>
      <c r="M467" s="251"/>
      <c r="N467" s="251"/>
      <c r="O467" s="251"/>
      <c r="P467" s="251"/>
      <c r="Q467" s="251"/>
      <c r="R467" s="251"/>
      <c r="S467" s="251"/>
      <c r="T467" s="251"/>
      <c r="U467" s="251"/>
      <c r="V467" s="251"/>
      <c r="W467" s="251"/>
      <c r="X467" s="251"/>
      <c r="Y467" s="251"/>
      <c r="Z467" s="251"/>
      <c r="AA467" s="137"/>
      <c r="AB467" s="137"/>
      <c r="AC467" s="137"/>
      <c r="AD467" s="137"/>
      <c r="AE467" s="137"/>
      <c r="AF467" s="137"/>
      <c r="AG467" s="137"/>
    </row>
    <row r="468" ht="30.0" customHeight="1">
      <c r="A468" s="248"/>
      <c r="B468" s="251"/>
      <c r="C468" s="248"/>
      <c r="D468" s="249"/>
      <c r="E468" s="249"/>
      <c r="F468" s="249"/>
      <c r="G468" s="249"/>
      <c r="H468" s="251"/>
      <c r="I468" s="252"/>
      <c r="J468" s="252"/>
      <c r="K468" s="252"/>
      <c r="L468" s="251"/>
      <c r="M468" s="251"/>
      <c r="N468" s="251"/>
      <c r="O468" s="251"/>
      <c r="P468" s="251"/>
      <c r="Q468" s="251"/>
      <c r="R468" s="251"/>
      <c r="S468" s="251"/>
      <c r="T468" s="251"/>
      <c r="U468" s="251"/>
      <c r="V468" s="251"/>
      <c r="W468" s="251"/>
      <c r="X468" s="251"/>
      <c r="Y468" s="251"/>
      <c r="Z468" s="251"/>
      <c r="AA468" s="137"/>
      <c r="AB468" s="137"/>
      <c r="AC468" s="137"/>
      <c r="AD468" s="137"/>
      <c r="AE468" s="137"/>
      <c r="AF468" s="137"/>
      <c r="AG468" s="137"/>
    </row>
    <row r="469" ht="30.0" customHeight="1">
      <c r="A469" s="248"/>
      <c r="B469" s="249"/>
      <c r="C469" s="249"/>
      <c r="D469" s="249"/>
      <c r="E469" s="251"/>
      <c r="F469" s="249"/>
      <c r="G469" s="250"/>
      <c r="H469" s="251"/>
      <c r="I469" s="252"/>
      <c r="J469" s="252"/>
      <c r="K469" s="252"/>
      <c r="L469" s="251"/>
      <c r="M469" s="251"/>
      <c r="N469" s="251"/>
      <c r="O469" s="251"/>
      <c r="P469" s="251"/>
      <c r="Q469" s="251"/>
      <c r="R469" s="251"/>
      <c r="S469" s="251"/>
      <c r="T469" s="251"/>
      <c r="U469" s="251"/>
      <c r="V469" s="251"/>
      <c r="W469" s="251"/>
      <c r="X469" s="251"/>
      <c r="Y469" s="251"/>
      <c r="Z469" s="251"/>
      <c r="AA469" s="137"/>
      <c r="AB469" s="137"/>
      <c r="AC469" s="137"/>
      <c r="AD469" s="137"/>
      <c r="AE469" s="137"/>
      <c r="AF469" s="137"/>
      <c r="AG469" s="137"/>
    </row>
    <row r="470" ht="30.0" customHeight="1">
      <c r="A470" s="248"/>
      <c r="B470" s="249"/>
      <c r="C470" s="248"/>
      <c r="D470" s="249"/>
      <c r="E470" s="251"/>
      <c r="F470" s="249"/>
      <c r="G470" s="250"/>
      <c r="H470" s="251"/>
      <c r="I470" s="252"/>
      <c r="J470" s="252"/>
      <c r="K470" s="252"/>
      <c r="L470" s="251"/>
      <c r="M470" s="251"/>
      <c r="N470" s="251"/>
      <c r="O470" s="251"/>
      <c r="P470" s="251"/>
      <c r="Q470" s="251"/>
      <c r="R470" s="251"/>
      <c r="S470" s="251"/>
      <c r="T470" s="251"/>
      <c r="U470" s="251"/>
      <c r="V470" s="251"/>
      <c r="W470" s="251"/>
      <c r="X470" s="251"/>
      <c r="Y470" s="251"/>
      <c r="Z470" s="251"/>
      <c r="AA470" s="137"/>
      <c r="AB470" s="137"/>
      <c r="AC470" s="137"/>
      <c r="AD470" s="137"/>
      <c r="AE470" s="137"/>
      <c r="AF470" s="137"/>
      <c r="AG470" s="137"/>
    </row>
    <row r="471" ht="30.0" customHeight="1">
      <c r="A471" s="248"/>
      <c r="B471" s="249"/>
      <c r="C471" s="248"/>
      <c r="D471" s="249"/>
      <c r="E471" s="251"/>
      <c r="F471" s="249"/>
      <c r="G471" s="250"/>
      <c r="H471" s="251"/>
      <c r="I471" s="252"/>
      <c r="J471" s="252"/>
      <c r="K471" s="252"/>
      <c r="L471" s="251"/>
      <c r="M471" s="251"/>
      <c r="N471" s="251"/>
      <c r="O471" s="251"/>
      <c r="P471" s="251"/>
      <c r="Q471" s="251"/>
      <c r="R471" s="251"/>
      <c r="S471" s="251"/>
      <c r="T471" s="251"/>
      <c r="U471" s="251"/>
      <c r="V471" s="251"/>
      <c r="W471" s="251"/>
      <c r="X471" s="251"/>
      <c r="Y471" s="251"/>
      <c r="Z471" s="251"/>
      <c r="AA471" s="137"/>
      <c r="AB471" s="137"/>
      <c r="AC471" s="137"/>
      <c r="AD471" s="137"/>
      <c r="AE471" s="137"/>
      <c r="AF471" s="137"/>
      <c r="AG471" s="137"/>
    </row>
    <row r="472" ht="30.0" customHeight="1">
      <c r="A472" s="248"/>
      <c r="B472" s="249"/>
      <c r="C472" s="248"/>
      <c r="D472" s="249"/>
      <c r="E472" s="251"/>
      <c r="F472" s="249"/>
      <c r="G472" s="250"/>
      <c r="H472" s="251"/>
      <c r="I472" s="252"/>
      <c r="J472" s="252"/>
      <c r="K472" s="252"/>
      <c r="L472" s="251"/>
      <c r="M472" s="251"/>
      <c r="N472" s="251"/>
      <c r="O472" s="251"/>
      <c r="P472" s="251"/>
      <c r="Q472" s="251"/>
      <c r="R472" s="251"/>
      <c r="S472" s="251"/>
      <c r="T472" s="251"/>
      <c r="U472" s="251"/>
      <c r="V472" s="251"/>
      <c r="W472" s="251"/>
      <c r="X472" s="251"/>
      <c r="Y472" s="251"/>
      <c r="Z472" s="251"/>
      <c r="AA472" s="137"/>
      <c r="AB472" s="137"/>
      <c r="AC472" s="137"/>
      <c r="AD472" s="137"/>
      <c r="AE472" s="137"/>
      <c r="AF472" s="137"/>
      <c r="AG472" s="137"/>
    </row>
    <row r="473" ht="30.0" customHeight="1">
      <c r="A473" s="248"/>
      <c r="B473" s="249"/>
      <c r="C473" s="248"/>
      <c r="D473" s="249"/>
      <c r="E473" s="251"/>
      <c r="F473" s="249"/>
      <c r="G473" s="250"/>
      <c r="H473" s="251"/>
      <c r="I473" s="252"/>
      <c r="J473" s="252"/>
      <c r="K473" s="252"/>
      <c r="L473" s="251"/>
      <c r="M473" s="251"/>
      <c r="N473" s="251"/>
      <c r="O473" s="251"/>
      <c r="P473" s="251"/>
      <c r="Q473" s="251"/>
      <c r="R473" s="251"/>
      <c r="S473" s="251"/>
      <c r="T473" s="251"/>
      <c r="U473" s="251"/>
      <c r="V473" s="251"/>
      <c r="W473" s="251"/>
      <c r="X473" s="251"/>
      <c r="Y473" s="251"/>
      <c r="Z473" s="251"/>
      <c r="AA473" s="137"/>
      <c r="AB473" s="137"/>
      <c r="AC473" s="137"/>
      <c r="AD473" s="137"/>
      <c r="AE473" s="137"/>
      <c r="AF473" s="137"/>
      <c r="AG473" s="137"/>
    </row>
    <row r="474" ht="30.0" customHeight="1">
      <c r="A474" s="248"/>
      <c r="B474" s="251"/>
      <c r="C474" s="249"/>
      <c r="D474" s="249"/>
      <c r="E474" s="249"/>
      <c r="F474" s="249"/>
      <c r="G474" s="250"/>
      <c r="H474" s="251"/>
      <c r="I474" s="252"/>
      <c r="J474" s="252"/>
      <c r="K474" s="252"/>
      <c r="L474" s="251"/>
      <c r="M474" s="251"/>
      <c r="N474" s="251"/>
      <c r="O474" s="251"/>
      <c r="P474" s="251"/>
      <c r="Q474" s="251"/>
      <c r="R474" s="251"/>
      <c r="S474" s="251"/>
      <c r="T474" s="251"/>
      <c r="U474" s="251"/>
      <c r="V474" s="251"/>
      <c r="W474" s="251"/>
      <c r="X474" s="251"/>
      <c r="Y474" s="251"/>
      <c r="Z474" s="251"/>
      <c r="AA474" s="137"/>
      <c r="AB474" s="137"/>
      <c r="AC474" s="137"/>
      <c r="AD474" s="137"/>
      <c r="AE474" s="137"/>
      <c r="AF474" s="137"/>
      <c r="AG474" s="137"/>
    </row>
    <row r="475" ht="30.0" customHeight="1">
      <c r="A475" s="248"/>
      <c r="B475" s="249"/>
      <c r="C475" s="249"/>
      <c r="D475" s="249"/>
      <c r="E475" s="251"/>
      <c r="F475" s="249"/>
      <c r="G475" s="250"/>
      <c r="H475" s="251"/>
      <c r="I475" s="252"/>
      <c r="J475" s="252"/>
      <c r="K475" s="252"/>
      <c r="L475" s="251"/>
      <c r="M475" s="251"/>
      <c r="N475" s="251"/>
      <c r="O475" s="251"/>
      <c r="P475" s="251"/>
      <c r="Q475" s="251"/>
      <c r="R475" s="251"/>
      <c r="S475" s="251"/>
      <c r="T475" s="251"/>
      <c r="U475" s="251"/>
      <c r="V475" s="251"/>
      <c r="W475" s="251"/>
      <c r="X475" s="251"/>
      <c r="Y475" s="251"/>
      <c r="Z475" s="251"/>
      <c r="AA475" s="137"/>
      <c r="AB475" s="137"/>
      <c r="AC475" s="137"/>
      <c r="AD475" s="137"/>
      <c r="AE475" s="137"/>
      <c r="AF475" s="137"/>
      <c r="AG475" s="137"/>
    </row>
    <row r="476" ht="30.0" customHeight="1">
      <c r="A476" s="248"/>
      <c r="B476" s="249"/>
      <c r="C476" s="248"/>
      <c r="D476" s="249"/>
      <c r="E476" s="251"/>
      <c r="F476" s="249"/>
      <c r="G476" s="250"/>
      <c r="H476" s="251"/>
      <c r="I476" s="252"/>
      <c r="J476" s="252"/>
      <c r="K476" s="252"/>
      <c r="L476" s="251"/>
      <c r="M476" s="251"/>
      <c r="N476" s="251"/>
      <c r="O476" s="251"/>
      <c r="P476" s="251"/>
      <c r="Q476" s="251"/>
      <c r="R476" s="251"/>
      <c r="S476" s="251"/>
      <c r="T476" s="251"/>
      <c r="U476" s="251"/>
      <c r="V476" s="251"/>
      <c r="W476" s="251"/>
      <c r="X476" s="251"/>
      <c r="Y476" s="251"/>
      <c r="Z476" s="251"/>
      <c r="AA476" s="137"/>
      <c r="AB476" s="137"/>
      <c r="AC476" s="137"/>
      <c r="AD476" s="137"/>
      <c r="AE476" s="137"/>
      <c r="AF476" s="137"/>
      <c r="AG476" s="137"/>
    </row>
    <row r="477" ht="30.0" customHeight="1">
      <c r="A477" s="248"/>
      <c r="B477" s="249"/>
      <c r="C477" s="248"/>
      <c r="D477" s="249"/>
      <c r="E477" s="251"/>
      <c r="F477" s="249"/>
      <c r="G477" s="250"/>
      <c r="H477" s="251"/>
      <c r="I477" s="252"/>
      <c r="J477" s="252"/>
      <c r="K477" s="252"/>
      <c r="L477" s="251"/>
      <c r="M477" s="251"/>
      <c r="N477" s="251"/>
      <c r="O477" s="251"/>
      <c r="P477" s="251"/>
      <c r="Q477" s="251"/>
      <c r="R477" s="251"/>
      <c r="S477" s="251"/>
      <c r="T477" s="251"/>
      <c r="U477" s="251"/>
      <c r="V477" s="251"/>
      <c r="W477" s="251"/>
      <c r="X477" s="251"/>
      <c r="Y477" s="251"/>
      <c r="Z477" s="251"/>
      <c r="AA477" s="137"/>
      <c r="AB477" s="137"/>
      <c r="AC477" s="137"/>
      <c r="AD477" s="137"/>
      <c r="AE477" s="137"/>
      <c r="AF477" s="137"/>
      <c r="AG477" s="137"/>
    </row>
    <row r="478" ht="30.0" customHeight="1">
      <c r="A478" s="248"/>
      <c r="B478" s="249"/>
      <c r="C478" s="248"/>
      <c r="D478" s="249"/>
      <c r="E478" s="249"/>
      <c r="F478" s="249"/>
      <c r="G478" s="250"/>
      <c r="H478" s="251"/>
      <c r="I478" s="252"/>
      <c r="J478" s="252"/>
      <c r="K478" s="252"/>
      <c r="L478" s="251"/>
      <c r="M478" s="251"/>
      <c r="N478" s="251"/>
      <c r="O478" s="251"/>
      <c r="P478" s="251"/>
      <c r="Q478" s="251"/>
      <c r="R478" s="251"/>
      <c r="S478" s="251"/>
      <c r="T478" s="251"/>
      <c r="U478" s="251"/>
      <c r="V478" s="251"/>
      <c r="W478" s="251"/>
      <c r="X478" s="251"/>
      <c r="Y478" s="251"/>
      <c r="Z478" s="251"/>
      <c r="AA478" s="137"/>
      <c r="AB478" s="137"/>
      <c r="AC478" s="137"/>
      <c r="AD478" s="137"/>
      <c r="AE478" s="137"/>
      <c r="AF478" s="137"/>
      <c r="AG478" s="137"/>
    </row>
    <row r="479" ht="30.0" customHeight="1">
      <c r="A479" s="248"/>
      <c r="B479" s="249"/>
      <c r="C479" s="248"/>
      <c r="D479" s="249"/>
      <c r="E479" s="251"/>
      <c r="F479" s="249"/>
      <c r="G479" s="250"/>
      <c r="H479" s="251"/>
      <c r="I479" s="252"/>
      <c r="J479" s="252"/>
      <c r="K479" s="252"/>
      <c r="L479" s="251"/>
      <c r="M479" s="251"/>
      <c r="N479" s="251"/>
      <c r="O479" s="251"/>
      <c r="P479" s="251"/>
      <c r="Q479" s="251"/>
      <c r="R479" s="251"/>
      <c r="S479" s="251"/>
      <c r="T479" s="251"/>
      <c r="U479" s="251"/>
      <c r="V479" s="251"/>
      <c r="W479" s="251"/>
      <c r="X479" s="251"/>
      <c r="Y479" s="251"/>
      <c r="Z479" s="251"/>
      <c r="AA479" s="137"/>
      <c r="AB479" s="137"/>
      <c r="AC479" s="137"/>
      <c r="AD479" s="137"/>
      <c r="AE479" s="137"/>
      <c r="AF479" s="137"/>
      <c r="AG479" s="137"/>
    </row>
    <row r="480" ht="30.0" customHeight="1">
      <c r="A480" s="248"/>
      <c r="B480" s="249"/>
      <c r="C480" s="248"/>
      <c r="D480" s="249"/>
      <c r="E480" s="249"/>
      <c r="F480" s="249"/>
      <c r="G480" s="250"/>
      <c r="H480" s="251"/>
      <c r="I480" s="252"/>
      <c r="J480" s="252"/>
      <c r="K480" s="252"/>
      <c r="L480" s="251"/>
      <c r="M480" s="251"/>
      <c r="N480" s="251"/>
      <c r="O480" s="251"/>
      <c r="P480" s="251"/>
      <c r="Q480" s="251"/>
      <c r="R480" s="251"/>
      <c r="S480" s="251"/>
      <c r="T480" s="251"/>
      <c r="U480" s="251"/>
      <c r="V480" s="251"/>
      <c r="W480" s="251"/>
      <c r="X480" s="251"/>
      <c r="Y480" s="251"/>
      <c r="Z480" s="251"/>
      <c r="AA480" s="137"/>
      <c r="AB480" s="137"/>
      <c r="AC480" s="137"/>
      <c r="AD480" s="137"/>
      <c r="AE480" s="137"/>
      <c r="AF480" s="137"/>
      <c r="AG480" s="137"/>
    </row>
    <row r="481" ht="30.0" customHeight="1">
      <c r="A481" s="248"/>
      <c r="B481" s="249"/>
      <c r="C481" s="248"/>
      <c r="D481" s="249"/>
      <c r="E481" s="249"/>
      <c r="F481" s="249"/>
      <c r="G481" s="250"/>
      <c r="H481" s="251"/>
      <c r="I481" s="252"/>
      <c r="J481" s="252"/>
      <c r="K481" s="252"/>
      <c r="L481" s="251"/>
      <c r="M481" s="251"/>
      <c r="N481" s="251"/>
      <c r="O481" s="251"/>
      <c r="P481" s="251"/>
      <c r="Q481" s="251"/>
      <c r="R481" s="251"/>
      <c r="S481" s="251"/>
      <c r="T481" s="251"/>
      <c r="U481" s="251"/>
      <c r="V481" s="251"/>
      <c r="W481" s="251"/>
      <c r="X481" s="251"/>
      <c r="Y481" s="251"/>
      <c r="Z481" s="251"/>
      <c r="AA481" s="137"/>
      <c r="AB481" s="137"/>
      <c r="AC481" s="137"/>
      <c r="AD481" s="137"/>
      <c r="AE481" s="137"/>
      <c r="AF481" s="137"/>
      <c r="AG481" s="137"/>
    </row>
    <row r="482" ht="30.0" customHeight="1">
      <c r="A482" s="248"/>
      <c r="B482" s="249"/>
      <c r="C482" s="248"/>
      <c r="D482" s="249"/>
      <c r="E482" s="249"/>
      <c r="F482" s="249"/>
      <c r="G482" s="249"/>
      <c r="H482" s="251"/>
      <c r="I482" s="252"/>
      <c r="J482" s="252"/>
      <c r="K482" s="252"/>
      <c r="L482" s="251"/>
      <c r="M482" s="251"/>
      <c r="N482" s="251"/>
      <c r="O482" s="251"/>
      <c r="P482" s="251"/>
      <c r="Q482" s="251"/>
      <c r="R482" s="251"/>
      <c r="S482" s="251"/>
      <c r="T482" s="251"/>
      <c r="U482" s="251"/>
      <c r="V482" s="251"/>
      <c r="W482" s="251"/>
      <c r="X482" s="251"/>
      <c r="Y482" s="251"/>
      <c r="Z482" s="251"/>
      <c r="AA482" s="137"/>
      <c r="AB482" s="137"/>
      <c r="AC482" s="137"/>
      <c r="AD482" s="137"/>
      <c r="AE482" s="137"/>
      <c r="AF482" s="137"/>
      <c r="AG482" s="137"/>
    </row>
    <row r="483" ht="30.0" customHeight="1">
      <c r="A483" s="248"/>
      <c r="B483" s="249"/>
      <c r="C483" s="248"/>
      <c r="D483" s="249"/>
      <c r="E483" s="249"/>
      <c r="F483" s="249"/>
      <c r="G483" s="250"/>
      <c r="H483" s="251"/>
      <c r="I483" s="252"/>
      <c r="J483" s="252"/>
      <c r="K483" s="252"/>
      <c r="L483" s="251"/>
      <c r="M483" s="251"/>
      <c r="N483" s="251"/>
      <c r="O483" s="251"/>
      <c r="P483" s="251"/>
      <c r="Q483" s="251"/>
      <c r="R483" s="251"/>
      <c r="S483" s="251"/>
      <c r="T483" s="251"/>
      <c r="U483" s="251"/>
      <c r="V483" s="251"/>
      <c r="W483" s="251"/>
      <c r="X483" s="251"/>
      <c r="Y483" s="251"/>
      <c r="Z483" s="251"/>
      <c r="AA483" s="137"/>
      <c r="AB483" s="137"/>
      <c r="AC483" s="137"/>
      <c r="AD483" s="137"/>
      <c r="AE483" s="137"/>
      <c r="AF483" s="137"/>
      <c r="AG483" s="137"/>
    </row>
    <row r="484" ht="30.0" customHeight="1">
      <c r="A484" s="248"/>
      <c r="B484" s="249"/>
      <c r="C484" s="248"/>
      <c r="D484" s="249"/>
      <c r="E484" s="249"/>
      <c r="F484" s="249"/>
      <c r="G484" s="250"/>
      <c r="H484" s="251"/>
      <c r="I484" s="252"/>
      <c r="J484" s="252"/>
      <c r="K484" s="252"/>
      <c r="L484" s="251"/>
      <c r="M484" s="251"/>
      <c r="N484" s="251"/>
      <c r="O484" s="251"/>
      <c r="P484" s="251"/>
      <c r="Q484" s="251"/>
      <c r="R484" s="251"/>
      <c r="S484" s="251"/>
      <c r="T484" s="251"/>
      <c r="U484" s="251"/>
      <c r="V484" s="251"/>
      <c r="W484" s="251"/>
      <c r="X484" s="251"/>
      <c r="Y484" s="251"/>
      <c r="Z484" s="251"/>
      <c r="AA484" s="137"/>
      <c r="AB484" s="137"/>
      <c r="AC484" s="137"/>
      <c r="AD484" s="137"/>
      <c r="AE484" s="137"/>
      <c r="AF484" s="137"/>
      <c r="AG484" s="137"/>
    </row>
    <row r="485" ht="30.0" customHeight="1">
      <c r="A485" s="248"/>
      <c r="B485" s="249"/>
      <c r="C485" s="248"/>
      <c r="D485" s="249"/>
      <c r="E485" s="249"/>
      <c r="F485" s="249"/>
      <c r="G485" s="250"/>
      <c r="H485" s="251"/>
      <c r="I485" s="252"/>
      <c r="J485" s="252"/>
      <c r="K485" s="252"/>
      <c r="L485" s="251"/>
      <c r="M485" s="251"/>
      <c r="N485" s="251"/>
      <c r="O485" s="251"/>
      <c r="P485" s="251"/>
      <c r="Q485" s="251"/>
      <c r="R485" s="251"/>
      <c r="S485" s="251"/>
      <c r="T485" s="251"/>
      <c r="U485" s="251"/>
      <c r="V485" s="251"/>
      <c r="W485" s="251"/>
      <c r="X485" s="251"/>
      <c r="Y485" s="251"/>
      <c r="Z485" s="251"/>
      <c r="AA485" s="137"/>
      <c r="AB485" s="137"/>
      <c r="AC485" s="137"/>
      <c r="AD485" s="137"/>
      <c r="AE485" s="137"/>
      <c r="AF485" s="137"/>
      <c r="AG485" s="137"/>
    </row>
    <row r="486" ht="30.0" customHeight="1">
      <c r="A486" s="248"/>
      <c r="B486" s="249"/>
      <c r="C486" s="248"/>
      <c r="D486" s="249"/>
      <c r="E486" s="249"/>
      <c r="F486" s="249"/>
      <c r="G486" s="250"/>
      <c r="H486" s="251"/>
      <c r="I486" s="252"/>
      <c r="J486" s="252"/>
      <c r="K486" s="252"/>
      <c r="L486" s="251"/>
      <c r="M486" s="251"/>
      <c r="N486" s="251"/>
      <c r="O486" s="251"/>
      <c r="P486" s="251"/>
      <c r="Q486" s="251"/>
      <c r="R486" s="251"/>
      <c r="S486" s="251"/>
      <c r="T486" s="251"/>
      <c r="U486" s="251"/>
      <c r="V486" s="251"/>
      <c r="W486" s="251"/>
      <c r="X486" s="251"/>
      <c r="Y486" s="251"/>
      <c r="Z486" s="251"/>
      <c r="AA486" s="137"/>
      <c r="AB486" s="137"/>
      <c r="AC486" s="137"/>
      <c r="AD486" s="137"/>
      <c r="AE486" s="137"/>
      <c r="AF486" s="137"/>
      <c r="AG486" s="137"/>
    </row>
    <row r="487" ht="30.0" customHeight="1">
      <c r="A487" s="248"/>
      <c r="B487" s="249"/>
      <c r="C487" s="248"/>
      <c r="D487" s="249"/>
      <c r="E487" s="251"/>
      <c r="F487" s="249"/>
      <c r="G487" s="250"/>
      <c r="H487" s="251"/>
      <c r="I487" s="252"/>
      <c r="J487" s="252"/>
      <c r="K487" s="252"/>
      <c r="L487" s="251"/>
      <c r="M487" s="251"/>
      <c r="N487" s="251"/>
      <c r="O487" s="251"/>
      <c r="P487" s="251"/>
      <c r="Q487" s="251"/>
      <c r="R487" s="251"/>
      <c r="S487" s="251"/>
      <c r="T487" s="251"/>
      <c r="U487" s="251"/>
      <c r="V487" s="251"/>
      <c r="W487" s="251"/>
      <c r="X487" s="251"/>
      <c r="Y487" s="251"/>
      <c r="Z487" s="251"/>
      <c r="AA487" s="137"/>
      <c r="AB487" s="137"/>
      <c r="AC487" s="137"/>
      <c r="AD487" s="137"/>
      <c r="AE487" s="137"/>
      <c r="AF487" s="137"/>
      <c r="AG487" s="137"/>
    </row>
    <row r="488" ht="30.0" customHeight="1">
      <c r="A488" s="248"/>
      <c r="B488" s="249"/>
      <c r="C488" s="248"/>
      <c r="D488" s="249"/>
      <c r="E488" s="249"/>
      <c r="F488" s="249"/>
      <c r="G488" s="250"/>
      <c r="H488" s="251"/>
      <c r="I488" s="252"/>
      <c r="J488" s="252"/>
      <c r="K488" s="252"/>
      <c r="L488" s="251"/>
      <c r="M488" s="251"/>
      <c r="N488" s="251"/>
      <c r="O488" s="251"/>
      <c r="P488" s="251"/>
      <c r="Q488" s="251"/>
      <c r="R488" s="251"/>
      <c r="S488" s="251"/>
      <c r="T488" s="251"/>
      <c r="U488" s="251"/>
      <c r="V488" s="251"/>
      <c r="W488" s="251"/>
      <c r="X488" s="251"/>
      <c r="Y488" s="251"/>
      <c r="Z488" s="251"/>
      <c r="AA488" s="137"/>
      <c r="AB488" s="137"/>
      <c r="AC488" s="137"/>
      <c r="AD488" s="137"/>
      <c r="AE488" s="137"/>
      <c r="AF488" s="137"/>
      <c r="AG488" s="137"/>
    </row>
    <row r="489" ht="30.0" customHeight="1">
      <c r="A489" s="248"/>
      <c r="B489" s="249"/>
      <c r="C489" s="248"/>
      <c r="D489" s="249"/>
      <c r="E489" s="249"/>
      <c r="F489" s="249"/>
      <c r="G489" s="250"/>
      <c r="H489" s="251"/>
      <c r="I489" s="252"/>
      <c r="J489" s="252"/>
      <c r="K489" s="252"/>
      <c r="L489" s="251"/>
      <c r="M489" s="251"/>
      <c r="N489" s="251"/>
      <c r="O489" s="251"/>
      <c r="P489" s="251"/>
      <c r="Q489" s="251"/>
      <c r="R489" s="251"/>
      <c r="S489" s="251"/>
      <c r="T489" s="251"/>
      <c r="U489" s="251"/>
      <c r="V489" s="251"/>
      <c r="W489" s="251"/>
      <c r="X489" s="251"/>
      <c r="Y489" s="251"/>
      <c r="Z489" s="251"/>
      <c r="AA489" s="137"/>
      <c r="AB489" s="137"/>
      <c r="AC489" s="137"/>
      <c r="AD489" s="137"/>
      <c r="AE489" s="137"/>
      <c r="AF489" s="137"/>
      <c r="AG489" s="137"/>
    </row>
    <row r="490" ht="30.0" customHeight="1">
      <c r="A490" s="248"/>
      <c r="B490" s="249"/>
      <c r="C490" s="248"/>
      <c r="D490" s="249"/>
      <c r="E490" s="249"/>
      <c r="F490" s="249"/>
      <c r="G490" s="250"/>
      <c r="H490" s="251"/>
      <c r="I490" s="252"/>
      <c r="J490" s="252"/>
      <c r="K490" s="252"/>
      <c r="L490" s="251"/>
      <c r="M490" s="251"/>
      <c r="N490" s="251"/>
      <c r="O490" s="251"/>
      <c r="P490" s="251"/>
      <c r="Q490" s="251"/>
      <c r="R490" s="251"/>
      <c r="S490" s="251"/>
      <c r="T490" s="251"/>
      <c r="U490" s="251"/>
      <c r="V490" s="251"/>
      <c r="W490" s="251"/>
      <c r="X490" s="251"/>
      <c r="Y490" s="251"/>
      <c r="Z490" s="251"/>
      <c r="AA490" s="137"/>
      <c r="AB490" s="137"/>
      <c r="AC490" s="137"/>
      <c r="AD490" s="137"/>
      <c r="AE490" s="137"/>
      <c r="AF490" s="137"/>
      <c r="AG490" s="137"/>
    </row>
    <row r="491" ht="30.0" customHeight="1">
      <c r="A491" s="248"/>
      <c r="B491" s="249"/>
      <c r="C491" s="248"/>
      <c r="D491" s="249"/>
      <c r="E491" s="249"/>
      <c r="F491" s="249"/>
      <c r="G491" s="249"/>
      <c r="H491" s="251"/>
      <c r="I491" s="252"/>
      <c r="J491" s="252"/>
      <c r="K491" s="252"/>
      <c r="L491" s="251"/>
      <c r="M491" s="251"/>
      <c r="N491" s="251"/>
      <c r="O491" s="251"/>
      <c r="P491" s="251"/>
      <c r="Q491" s="251"/>
      <c r="R491" s="251"/>
      <c r="S491" s="251"/>
      <c r="T491" s="251"/>
      <c r="U491" s="251"/>
      <c r="V491" s="251"/>
      <c r="W491" s="251"/>
      <c r="X491" s="251"/>
      <c r="Y491" s="251"/>
      <c r="Z491" s="251"/>
      <c r="AA491" s="137"/>
      <c r="AB491" s="137"/>
      <c r="AC491" s="137"/>
      <c r="AD491" s="137"/>
      <c r="AE491" s="137"/>
      <c r="AF491" s="137"/>
      <c r="AG491" s="137"/>
    </row>
    <row r="492" ht="30.0" customHeight="1">
      <c r="A492" s="248"/>
      <c r="B492" s="249"/>
      <c r="C492" s="248"/>
      <c r="D492" s="249"/>
      <c r="E492" s="249"/>
      <c r="F492" s="249"/>
      <c r="G492" s="249"/>
      <c r="H492" s="251"/>
      <c r="I492" s="252"/>
      <c r="J492" s="252"/>
      <c r="K492" s="252"/>
      <c r="L492" s="251"/>
      <c r="M492" s="251"/>
      <c r="N492" s="251"/>
      <c r="O492" s="251"/>
      <c r="P492" s="251"/>
      <c r="Q492" s="251"/>
      <c r="R492" s="251"/>
      <c r="S492" s="251"/>
      <c r="T492" s="251"/>
      <c r="U492" s="251"/>
      <c r="V492" s="251"/>
      <c r="W492" s="251"/>
      <c r="X492" s="251"/>
      <c r="Y492" s="251"/>
      <c r="Z492" s="251"/>
      <c r="AA492" s="137"/>
      <c r="AB492" s="137"/>
      <c r="AC492" s="137"/>
      <c r="AD492" s="137"/>
      <c r="AE492" s="137"/>
      <c r="AF492" s="137"/>
      <c r="AG492" s="137"/>
    </row>
    <row r="493" ht="30.0" customHeight="1">
      <c r="A493" s="248"/>
      <c r="B493" s="249"/>
      <c r="C493" s="248"/>
      <c r="D493" s="249"/>
      <c r="E493" s="249"/>
      <c r="F493" s="249"/>
      <c r="G493" s="250"/>
      <c r="H493" s="251"/>
      <c r="I493" s="252"/>
      <c r="J493" s="252"/>
      <c r="K493" s="252"/>
      <c r="L493" s="251"/>
      <c r="M493" s="251"/>
      <c r="N493" s="251"/>
      <c r="O493" s="251"/>
      <c r="P493" s="251"/>
      <c r="Q493" s="251"/>
      <c r="R493" s="251"/>
      <c r="S493" s="251"/>
      <c r="T493" s="251"/>
      <c r="U493" s="251"/>
      <c r="V493" s="251"/>
      <c r="W493" s="251"/>
      <c r="X493" s="251"/>
      <c r="Y493" s="251"/>
      <c r="Z493" s="251"/>
      <c r="AA493" s="137"/>
      <c r="AB493" s="137"/>
      <c r="AC493" s="137"/>
      <c r="AD493" s="137"/>
      <c r="AE493" s="137"/>
      <c r="AF493" s="137"/>
      <c r="AG493" s="137"/>
    </row>
    <row r="494" ht="30.0" customHeight="1">
      <c r="A494" s="248"/>
      <c r="B494" s="249"/>
      <c r="C494" s="248"/>
      <c r="D494" s="249"/>
      <c r="E494" s="251"/>
      <c r="F494" s="249"/>
      <c r="G494" s="249"/>
      <c r="H494" s="251"/>
      <c r="I494" s="252"/>
      <c r="J494" s="252"/>
      <c r="K494" s="252"/>
      <c r="L494" s="251"/>
      <c r="M494" s="251"/>
      <c r="N494" s="251"/>
      <c r="O494" s="251"/>
      <c r="P494" s="251"/>
      <c r="Q494" s="251"/>
      <c r="R494" s="251"/>
      <c r="S494" s="251"/>
      <c r="T494" s="251"/>
      <c r="U494" s="251"/>
      <c r="V494" s="251"/>
      <c r="W494" s="251"/>
      <c r="X494" s="251"/>
      <c r="Y494" s="251"/>
      <c r="Z494" s="251"/>
      <c r="AA494" s="137"/>
      <c r="AB494" s="137"/>
      <c r="AC494" s="137"/>
      <c r="AD494" s="137"/>
      <c r="AE494" s="137"/>
      <c r="AF494" s="137"/>
      <c r="AG494" s="137"/>
    </row>
    <row r="495" ht="30.0" customHeight="1">
      <c r="A495" s="248"/>
      <c r="B495" s="249"/>
      <c r="C495" s="248"/>
      <c r="D495" s="249"/>
      <c r="E495" s="249"/>
      <c r="F495" s="249"/>
      <c r="G495" s="249"/>
      <c r="H495" s="251"/>
      <c r="I495" s="252"/>
      <c r="J495" s="252"/>
      <c r="K495" s="252"/>
      <c r="L495" s="251"/>
      <c r="M495" s="251"/>
      <c r="N495" s="251"/>
      <c r="O495" s="251"/>
      <c r="P495" s="251"/>
      <c r="Q495" s="251"/>
      <c r="R495" s="251"/>
      <c r="S495" s="251"/>
      <c r="T495" s="251"/>
      <c r="U495" s="251"/>
      <c r="V495" s="251"/>
      <c r="W495" s="251"/>
      <c r="X495" s="251"/>
      <c r="Y495" s="251"/>
      <c r="Z495" s="251"/>
      <c r="AA495" s="137"/>
      <c r="AB495" s="137"/>
      <c r="AC495" s="137"/>
      <c r="AD495" s="137"/>
      <c r="AE495" s="137"/>
      <c r="AF495" s="137"/>
      <c r="AG495" s="137"/>
    </row>
    <row r="496" ht="30.0" customHeight="1">
      <c r="A496" s="248"/>
      <c r="B496" s="249"/>
      <c r="C496" s="248"/>
      <c r="D496" s="249"/>
      <c r="E496" s="249"/>
      <c r="F496" s="249"/>
      <c r="G496" s="250"/>
      <c r="H496" s="251"/>
      <c r="I496" s="252"/>
      <c r="J496" s="252"/>
      <c r="K496" s="252"/>
      <c r="L496" s="251"/>
      <c r="M496" s="251"/>
      <c r="N496" s="251"/>
      <c r="O496" s="251"/>
      <c r="P496" s="251"/>
      <c r="Q496" s="251"/>
      <c r="R496" s="251"/>
      <c r="S496" s="251"/>
      <c r="T496" s="251"/>
      <c r="U496" s="251"/>
      <c r="V496" s="251"/>
      <c r="W496" s="251"/>
      <c r="X496" s="251"/>
      <c r="Y496" s="251"/>
      <c r="Z496" s="251"/>
      <c r="AA496" s="137"/>
      <c r="AB496" s="137"/>
      <c r="AC496" s="137"/>
      <c r="AD496" s="137"/>
      <c r="AE496" s="137"/>
      <c r="AF496" s="137"/>
      <c r="AG496" s="137"/>
    </row>
    <row r="497" ht="30.0" customHeight="1">
      <c r="A497" s="248"/>
      <c r="B497" s="249"/>
      <c r="C497" s="248"/>
      <c r="D497" s="249"/>
      <c r="E497" s="249"/>
      <c r="F497" s="249"/>
      <c r="G497" s="250"/>
      <c r="H497" s="251"/>
      <c r="I497" s="252"/>
      <c r="J497" s="252"/>
      <c r="K497" s="252"/>
      <c r="L497" s="251"/>
      <c r="M497" s="251"/>
      <c r="N497" s="251"/>
      <c r="O497" s="251"/>
      <c r="P497" s="251"/>
      <c r="Q497" s="251"/>
      <c r="R497" s="251"/>
      <c r="S497" s="251"/>
      <c r="T497" s="251"/>
      <c r="U497" s="251"/>
      <c r="V497" s="251"/>
      <c r="W497" s="251"/>
      <c r="X497" s="251"/>
      <c r="Y497" s="251"/>
      <c r="Z497" s="251"/>
      <c r="AA497" s="137"/>
      <c r="AB497" s="137"/>
      <c r="AC497" s="137"/>
      <c r="AD497" s="137"/>
      <c r="AE497" s="137"/>
      <c r="AF497" s="137"/>
      <c r="AG497" s="137"/>
    </row>
    <row r="498" ht="30.0" customHeight="1">
      <c r="A498" s="248"/>
      <c r="B498" s="249"/>
      <c r="C498" s="248"/>
      <c r="D498" s="249"/>
      <c r="E498" s="249"/>
      <c r="F498" s="249"/>
      <c r="G498" s="250"/>
      <c r="H498" s="251"/>
      <c r="I498" s="252"/>
      <c r="J498" s="252"/>
      <c r="K498" s="252"/>
      <c r="L498" s="251"/>
      <c r="M498" s="251"/>
      <c r="N498" s="251"/>
      <c r="O498" s="251"/>
      <c r="P498" s="251"/>
      <c r="Q498" s="251"/>
      <c r="R498" s="251"/>
      <c r="S498" s="251"/>
      <c r="T498" s="251"/>
      <c r="U498" s="251"/>
      <c r="V498" s="251"/>
      <c r="W498" s="251"/>
      <c r="X498" s="251"/>
      <c r="Y498" s="251"/>
      <c r="Z498" s="251"/>
      <c r="AA498" s="137"/>
      <c r="AB498" s="137"/>
      <c r="AC498" s="137"/>
      <c r="AD498" s="137"/>
      <c r="AE498" s="137"/>
      <c r="AF498" s="137"/>
      <c r="AG498" s="137"/>
    </row>
    <row r="499" ht="30.0" customHeight="1">
      <c r="A499" s="248"/>
      <c r="B499" s="249"/>
      <c r="C499" s="248"/>
      <c r="D499" s="249"/>
      <c r="E499" s="251"/>
      <c r="F499" s="249"/>
      <c r="G499" s="250"/>
      <c r="H499" s="251"/>
      <c r="I499" s="252"/>
      <c r="J499" s="252"/>
      <c r="K499" s="252"/>
      <c r="L499" s="251"/>
      <c r="M499" s="251"/>
      <c r="N499" s="251"/>
      <c r="O499" s="251"/>
      <c r="P499" s="251"/>
      <c r="Q499" s="251"/>
      <c r="R499" s="251"/>
      <c r="S499" s="251"/>
      <c r="T499" s="251"/>
      <c r="U499" s="251"/>
      <c r="V499" s="251"/>
      <c r="W499" s="251"/>
      <c r="X499" s="251"/>
      <c r="Y499" s="251"/>
      <c r="Z499" s="251"/>
      <c r="AA499" s="137"/>
      <c r="AB499" s="137"/>
      <c r="AC499" s="137"/>
      <c r="AD499" s="137"/>
      <c r="AE499" s="137"/>
      <c r="AF499" s="137"/>
      <c r="AG499" s="137"/>
    </row>
    <row r="500" ht="30.0" customHeight="1">
      <c r="A500" s="248"/>
      <c r="B500" s="249"/>
      <c r="C500" s="248"/>
      <c r="D500" s="249"/>
      <c r="E500" s="251"/>
      <c r="F500" s="249"/>
      <c r="G500" s="250"/>
      <c r="H500" s="251"/>
      <c r="I500" s="252"/>
      <c r="J500" s="252"/>
      <c r="K500" s="252"/>
      <c r="L500" s="251"/>
      <c r="M500" s="251"/>
      <c r="N500" s="251"/>
      <c r="O500" s="251"/>
      <c r="P500" s="251"/>
      <c r="Q500" s="251"/>
      <c r="R500" s="251"/>
      <c r="S500" s="251"/>
      <c r="T500" s="251"/>
      <c r="U500" s="251"/>
      <c r="V500" s="251"/>
      <c r="W500" s="251"/>
      <c r="X500" s="251"/>
      <c r="Y500" s="251"/>
      <c r="Z500" s="251"/>
      <c r="AA500" s="137"/>
      <c r="AB500" s="137"/>
      <c r="AC500" s="137"/>
      <c r="AD500" s="137"/>
      <c r="AE500" s="137"/>
      <c r="AF500" s="137"/>
      <c r="AG500" s="137"/>
    </row>
    <row r="501" ht="30.0" customHeight="1">
      <c r="A501" s="248"/>
      <c r="B501" s="249"/>
      <c r="C501" s="248"/>
      <c r="D501" s="249"/>
      <c r="E501" s="251"/>
      <c r="F501" s="249"/>
      <c r="G501" s="250"/>
      <c r="H501" s="251"/>
      <c r="I501" s="252"/>
      <c r="J501" s="252"/>
      <c r="K501" s="252"/>
      <c r="L501" s="251"/>
      <c r="M501" s="251"/>
      <c r="N501" s="251"/>
      <c r="O501" s="251"/>
      <c r="P501" s="251"/>
      <c r="Q501" s="251"/>
      <c r="R501" s="251"/>
      <c r="S501" s="251"/>
      <c r="T501" s="251"/>
      <c r="U501" s="251"/>
      <c r="V501" s="251"/>
      <c r="W501" s="251"/>
      <c r="X501" s="251"/>
      <c r="Y501" s="251"/>
      <c r="Z501" s="251"/>
      <c r="AA501" s="137"/>
      <c r="AB501" s="137"/>
      <c r="AC501" s="137"/>
      <c r="AD501" s="137"/>
      <c r="AE501" s="137"/>
      <c r="AF501" s="137"/>
      <c r="AG501" s="137"/>
    </row>
    <row r="502" ht="30.0" customHeight="1">
      <c r="A502" s="248"/>
      <c r="B502" s="249"/>
      <c r="C502" s="248"/>
      <c r="D502" s="249"/>
      <c r="E502" s="251"/>
      <c r="F502" s="249"/>
      <c r="G502" s="250"/>
      <c r="H502" s="251"/>
      <c r="I502" s="252"/>
      <c r="J502" s="252"/>
      <c r="K502" s="252"/>
      <c r="L502" s="251"/>
      <c r="M502" s="251"/>
      <c r="N502" s="251"/>
      <c r="O502" s="251"/>
      <c r="P502" s="251"/>
      <c r="Q502" s="251"/>
      <c r="R502" s="251"/>
      <c r="S502" s="251"/>
      <c r="T502" s="251"/>
      <c r="U502" s="251"/>
      <c r="V502" s="251"/>
      <c r="W502" s="251"/>
      <c r="X502" s="251"/>
      <c r="Y502" s="251"/>
      <c r="Z502" s="251"/>
      <c r="AA502" s="137"/>
      <c r="AB502" s="137"/>
      <c r="AC502" s="137"/>
      <c r="AD502" s="137"/>
      <c r="AE502" s="137"/>
      <c r="AF502" s="137"/>
      <c r="AG502" s="137"/>
    </row>
    <row r="503" ht="30.0" customHeight="1">
      <c r="A503" s="248"/>
      <c r="B503" s="249"/>
      <c r="C503" s="248"/>
      <c r="D503" s="249"/>
      <c r="E503" s="251"/>
      <c r="F503" s="249"/>
      <c r="G503" s="250"/>
      <c r="H503" s="251"/>
      <c r="I503" s="252"/>
      <c r="J503" s="252"/>
      <c r="K503" s="252"/>
      <c r="L503" s="251"/>
      <c r="M503" s="251"/>
      <c r="N503" s="251"/>
      <c r="O503" s="251"/>
      <c r="P503" s="251"/>
      <c r="Q503" s="251"/>
      <c r="R503" s="251"/>
      <c r="S503" s="251"/>
      <c r="T503" s="251"/>
      <c r="U503" s="251"/>
      <c r="V503" s="251"/>
      <c r="W503" s="251"/>
      <c r="X503" s="251"/>
      <c r="Y503" s="251"/>
      <c r="Z503" s="251"/>
      <c r="AA503" s="137"/>
      <c r="AB503" s="137"/>
      <c r="AC503" s="137"/>
      <c r="AD503" s="137"/>
      <c r="AE503" s="137"/>
      <c r="AF503" s="137"/>
      <c r="AG503" s="137"/>
    </row>
    <row r="504" ht="30.0" customHeight="1">
      <c r="A504" s="248"/>
      <c r="B504" s="249"/>
      <c r="C504" s="248"/>
      <c r="D504" s="249"/>
      <c r="E504" s="251"/>
      <c r="F504" s="249"/>
      <c r="G504" s="250"/>
      <c r="H504" s="251"/>
      <c r="I504" s="252"/>
      <c r="J504" s="252"/>
      <c r="K504" s="252"/>
      <c r="L504" s="251"/>
      <c r="M504" s="251"/>
      <c r="N504" s="251"/>
      <c r="O504" s="251"/>
      <c r="P504" s="251"/>
      <c r="Q504" s="251"/>
      <c r="R504" s="251"/>
      <c r="S504" s="251"/>
      <c r="T504" s="251"/>
      <c r="U504" s="251"/>
      <c r="V504" s="251"/>
      <c r="W504" s="251"/>
      <c r="X504" s="251"/>
      <c r="Y504" s="251"/>
      <c r="Z504" s="251"/>
      <c r="AA504" s="137"/>
      <c r="AB504" s="137"/>
      <c r="AC504" s="137"/>
      <c r="AD504" s="137"/>
      <c r="AE504" s="137"/>
      <c r="AF504" s="137"/>
      <c r="AG504" s="137"/>
    </row>
    <row r="505" ht="30.0" customHeight="1">
      <c r="A505" s="248"/>
      <c r="B505" s="249"/>
      <c r="C505" s="248"/>
      <c r="D505" s="249"/>
      <c r="E505" s="251"/>
      <c r="F505" s="249"/>
      <c r="G505" s="250"/>
      <c r="H505" s="251"/>
      <c r="I505" s="252"/>
      <c r="J505" s="252"/>
      <c r="K505" s="252"/>
      <c r="L505" s="251"/>
      <c r="M505" s="251"/>
      <c r="N505" s="251"/>
      <c r="O505" s="251"/>
      <c r="P505" s="251"/>
      <c r="Q505" s="251"/>
      <c r="R505" s="251"/>
      <c r="S505" s="251"/>
      <c r="T505" s="251"/>
      <c r="U505" s="251"/>
      <c r="V505" s="251"/>
      <c r="W505" s="251"/>
      <c r="X505" s="251"/>
      <c r="Y505" s="251"/>
      <c r="Z505" s="251"/>
      <c r="AA505" s="137"/>
      <c r="AB505" s="137"/>
      <c r="AC505" s="137"/>
      <c r="AD505" s="137"/>
      <c r="AE505" s="137"/>
      <c r="AF505" s="137"/>
      <c r="AG505" s="137"/>
    </row>
    <row r="506" ht="30.0" customHeight="1">
      <c r="A506" s="248"/>
      <c r="B506" s="249"/>
      <c r="C506" s="248"/>
      <c r="D506" s="249"/>
      <c r="E506" s="251"/>
      <c r="F506" s="249"/>
      <c r="G506" s="250"/>
      <c r="H506" s="251"/>
      <c r="I506" s="252"/>
      <c r="J506" s="252"/>
      <c r="K506" s="252"/>
      <c r="L506" s="251"/>
      <c r="M506" s="251"/>
      <c r="N506" s="251"/>
      <c r="O506" s="251"/>
      <c r="P506" s="251"/>
      <c r="Q506" s="251"/>
      <c r="R506" s="251"/>
      <c r="S506" s="251"/>
      <c r="T506" s="251"/>
      <c r="U506" s="251"/>
      <c r="V506" s="251"/>
      <c r="W506" s="251"/>
      <c r="X506" s="251"/>
      <c r="Y506" s="251"/>
      <c r="Z506" s="251"/>
      <c r="AA506" s="137"/>
      <c r="AB506" s="137"/>
      <c r="AC506" s="137"/>
      <c r="AD506" s="137"/>
      <c r="AE506" s="137"/>
      <c r="AF506" s="137"/>
      <c r="AG506" s="137"/>
    </row>
    <row r="507" ht="30.0" customHeight="1">
      <c r="A507" s="248"/>
      <c r="B507" s="249"/>
      <c r="C507" s="248"/>
      <c r="D507" s="249"/>
      <c r="E507" s="251"/>
      <c r="F507" s="249"/>
      <c r="G507" s="250"/>
      <c r="H507" s="251"/>
      <c r="I507" s="252"/>
      <c r="J507" s="252"/>
      <c r="K507" s="252"/>
      <c r="L507" s="251"/>
      <c r="M507" s="251"/>
      <c r="N507" s="251"/>
      <c r="O507" s="251"/>
      <c r="P507" s="251"/>
      <c r="Q507" s="251"/>
      <c r="R507" s="251"/>
      <c r="S507" s="251"/>
      <c r="T507" s="251"/>
      <c r="U507" s="251"/>
      <c r="V507" s="251"/>
      <c r="W507" s="251"/>
      <c r="X507" s="251"/>
      <c r="Y507" s="251"/>
      <c r="Z507" s="251"/>
      <c r="AA507" s="137"/>
      <c r="AB507" s="137"/>
      <c r="AC507" s="137"/>
      <c r="AD507" s="137"/>
      <c r="AE507" s="137"/>
      <c r="AF507" s="137"/>
      <c r="AG507" s="137"/>
    </row>
    <row r="508" ht="30.0" customHeight="1">
      <c r="A508" s="248"/>
      <c r="B508" s="249"/>
      <c r="C508" s="248"/>
      <c r="D508" s="249"/>
      <c r="E508" s="251"/>
      <c r="F508" s="249"/>
      <c r="G508" s="250"/>
      <c r="H508" s="251"/>
      <c r="I508" s="252"/>
      <c r="J508" s="252"/>
      <c r="K508" s="252"/>
      <c r="L508" s="251"/>
      <c r="M508" s="251"/>
      <c r="N508" s="251"/>
      <c r="O508" s="251"/>
      <c r="P508" s="251"/>
      <c r="Q508" s="251"/>
      <c r="R508" s="251"/>
      <c r="S508" s="251"/>
      <c r="T508" s="251"/>
      <c r="U508" s="251"/>
      <c r="V508" s="251"/>
      <c r="W508" s="251"/>
      <c r="X508" s="251"/>
      <c r="Y508" s="251"/>
      <c r="Z508" s="251"/>
      <c r="AA508" s="137"/>
      <c r="AB508" s="137"/>
      <c r="AC508" s="137"/>
      <c r="AD508" s="137"/>
      <c r="AE508" s="137"/>
      <c r="AF508" s="137"/>
      <c r="AG508" s="137"/>
    </row>
    <row r="509" ht="30.0" customHeight="1">
      <c r="A509" s="248"/>
      <c r="B509" s="249"/>
      <c r="C509" s="248"/>
      <c r="D509" s="249"/>
      <c r="E509" s="251"/>
      <c r="F509" s="249"/>
      <c r="G509" s="250"/>
      <c r="H509" s="251"/>
      <c r="I509" s="252"/>
      <c r="J509" s="252"/>
      <c r="K509" s="252"/>
      <c r="L509" s="251"/>
      <c r="M509" s="251"/>
      <c r="N509" s="251"/>
      <c r="O509" s="251"/>
      <c r="P509" s="251"/>
      <c r="Q509" s="251"/>
      <c r="R509" s="251"/>
      <c r="S509" s="251"/>
      <c r="T509" s="251"/>
      <c r="U509" s="251"/>
      <c r="V509" s="251"/>
      <c r="W509" s="251"/>
      <c r="X509" s="251"/>
      <c r="Y509" s="251"/>
      <c r="Z509" s="251"/>
      <c r="AA509" s="137"/>
      <c r="AB509" s="137"/>
      <c r="AC509" s="137"/>
      <c r="AD509" s="137"/>
      <c r="AE509" s="137"/>
      <c r="AF509" s="137"/>
      <c r="AG509" s="137"/>
    </row>
    <row r="510" ht="30.0" customHeight="1">
      <c r="A510" s="248"/>
      <c r="B510" s="249"/>
      <c r="C510" s="248"/>
      <c r="D510" s="249"/>
      <c r="E510" s="251"/>
      <c r="F510" s="249"/>
      <c r="G510" s="250"/>
      <c r="H510" s="251"/>
      <c r="I510" s="252"/>
      <c r="J510" s="252"/>
      <c r="K510" s="252"/>
      <c r="L510" s="251"/>
      <c r="M510" s="251"/>
      <c r="N510" s="251"/>
      <c r="O510" s="251"/>
      <c r="P510" s="251"/>
      <c r="Q510" s="251"/>
      <c r="R510" s="251"/>
      <c r="S510" s="251"/>
      <c r="T510" s="251"/>
      <c r="U510" s="251"/>
      <c r="V510" s="251"/>
      <c r="W510" s="251"/>
      <c r="X510" s="251"/>
      <c r="Y510" s="251"/>
      <c r="Z510" s="251"/>
      <c r="AA510" s="137"/>
      <c r="AB510" s="137"/>
      <c r="AC510" s="137"/>
      <c r="AD510" s="137"/>
      <c r="AE510" s="137"/>
      <c r="AF510" s="137"/>
      <c r="AG510" s="137"/>
    </row>
    <row r="511" ht="30.0" customHeight="1">
      <c r="A511" s="248"/>
      <c r="B511" s="249"/>
      <c r="C511" s="248"/>
      <c r="D511" s="249"/>
      <c r="E511" s="251"/>
      <c r="F511" s="249"/>
      <c r="G511" s="250"/>
      <c r="H511" s="251"/>
      <c r="I511" s="252"/>
      <c r="J511" s="252"/>
      <c r="K511" s="252"/>
      <c r="L511" s="251"/>
      <c r="M511" s="251"/>
      <c r="N511" s="251"/>
      <c r="O511" s="251"/>
      <c r="P511" s="251"/>
      <c r="Q511" s="251"/>
      <c r="R511" s="251"/>
      <c r="S511" s="251"/>
      <c r="T511" s="251"/>
      <c r="U511" s="251"/>
      <c r="V511" s="251"/>
      <c r="W511" s="251"/>
      <c r="X511" s="251"/>
      <c r="Y511" s="251"/>
      <c r="Z511" s="251"/>
      <c r="AA511" s="137"/>
      <c r="AB511" s="137"/>
      <c r="AC511" s="137"/>
      <c r="AD511" s="137"/>
      <c r="AE511" s="137"/>
      <c r="AF511" s="137"/>
      <c r="AG511" s="137"/>
    </row>
    <row r="512" ht="30.0" customHeight="1">
      <c r="A512" s="248"/>
      <c r="B512" s="251"/>
      <c r="C512" s="248"/>
      <c r="D512" s="249"/>
      <c r="E512" s="249"/>
      <c r="F512" s="249"/>
      <c r="G512" s="250"/>
      <c r="H512" s="251"/>
      <c r="I512" s="252"/>
      <c r="J512" s="252"/>
      <c r="K512" s="252"/>
      <c r="L512" s="251"/>
      <c r="M512" s="251"/>
      <c r="N512" s="251"/>
      <c r="O512" s="251"/>
      <c r="P512" s="251"/>
      <c r="Q512" s="251"/>
      <c r="R512" s="251"/>
      <c r="S512" s="251"/>
      <c r="T512" s="251"/>
      <c r="U512" s="251"/>
      <c r="V512" s="251"/>
      <c r="W512" s="251"/>
      <c r="X512" s="251"/>
      <c r="Y512" s="251"/>
      <c r="Z512" s="251"/>
      <c r="AA512" s="137"/>
      <c r="AB512" s="137"/>
      <c r="AC512" s="137"/>
      <c r="AD512" s="137"/>
      <c r="AE512" s="137"/>
      <c r="AF512" s="137"/>
      <c r="AG512" s="137"/>
    </row>
    <row r="513" ht="30.0" customHeight="1">
      <c r="A513" s="248"/>
      <c r="B513" s="249"/>
      <c r="C513" s="248"/>
      <c r="D513" s="249"/>
      <c r="E513" s="251"/>
      <c r="F513" s="249"/>
      <c r="G513" s="250"/>
      <c r="H513" s="251"/>
      <c r="I513" s="252"/>
      <c r="J513" s="252"/>
      <c r="K513" s="252"/>
      <c r="L513" s="251"/>
      <c r="M513" s="251"/>
      <c r="N513" s="251"/>
      <c r="O513" s="251"/>
      <c r="P513" s="251"/>
      <c r="Q513" s="251"/>
      <c r="R513" s="251"/>
      <c r="S513" s="251"/>
      <c r="T513" s="251"/>
      <c r="U513" s="251"/>
      <c r="V513" s="251"/>
      <c r="W513" s="251"/>
      <c r="X513" s="251"/>
      <c r="Y513" s="251"/>
      <c r="Z513" s="251"/>
      <c r="AA513" s="137"/>
      <c r="AB513" s="137"/>
      <c r="AC513" s="137"/>
      <c r="AD513" s="137"/>
      <c r="AE513" s="137"/>
      <c r="AF513" s="137"/>
      <c r="AG513" s="137"/>
    </row>
    <row r="514" ht="30.0" customHeight="1">
      <c r="A514" s="248"/>
      <c r="B514" s="249"/>
      <c r="C514" s="248"/>
      <c r="D514" s="249"/>
      <c r="E514" s="251"/>
      <c r="F514" s="249"/>
      <c r="G514" s="250"/>
      <c r="H514" s="251"/>
      <c r="I514" s="252"/>
      <c r="J514" s="252"/>
      <c r="K514" s="252"/>
      <c r="L514" s="251"/>
      <c r="M514" s="251"/>
      <c r="N514" s="251"/>
      <c r="O514" s="251"/>
      <c r="P514" s="251"/>
      <c r="Q514" s="251"/>
      <c r="R514" s="251"/>
      <c r="S514" s="251"/>
      <c r="T514" s="251"/>
      <c r="U514" s="251"/>
      <c r="V514" s="251"/>
      <c r="W514" s="251"/>
      <c r="X514" s="251"/>
      <c r="Y514" s="251"/>
      <c r="Z514" s="251"/>
      <c r="AA514" s="137"/>
      <c r="AB514" s="137"/>
      <c r="AC514" s="137"/>
      <c r="AD514" s="137"/>
      <c r="AE514" s="137"/>
      <c r="AF514" s="137"/>
      <c r="AG514" s="137"/>
    </row>
    <row r="515" ht="30.0" customHeight="1">
      <c r="A515" s="248"/>
      <c r="B515" s="249"/>
      <c r="C515" s="248"/>
      <c r="D515" s="249"/>
      <c r="E515" s="251"/>
      <c r="F515" s="249"/>
      <c r="G515" s="250"/>
      <c r="H515" s="251"/>
      <c r="I515" s="252"/>
      <c r="J515" s="252"/>
      <c r="K515" s="252"/>
      <c r="L515" s="251"/>
      <c r="M515" s="251"/>
      <c r="N515" s="251"/>
      <c r="O515" s="251"/>
      <c r="P515" s="251"/>
      <c r="Q515" s="251"/>
      <c r="R515" s="251"/>
      <c r="S515" s="251"/>
      <c r="T515" s="251"/>
      <c r="U515" s="251"/>
      <c r="V515" s="251"/>
      <c r="W515" s="251"/>
      <c r="X515" s="251"/>
      <c r="Y515" s="251"/>
      <c r="Z515" s="251"/>
      <c r="AA515" s="137"/>
      <c r="AB515" s="137"/>
      <c r="AC515" s="137"/>
      <c r="AD515" s="137"/>
      <c r="AE515" s="137"/>
      <c r="AF515" s="137"/>
      <c r="AG515" s="137"/>
    </row>
    <row r="516" ht="30.0" customHeight="1">
      <c r="A516" s="248"/>
      <c r="B516" s="249"/>
      <c r="C516" s="248"/>
      <c r="D516" s="249"/>
      <c r="E516" s="251"/>
      <c r="F516" s="249"/>
      <c r="G516" s="249"/>
      <c r="H516" s="251"/>
      <c r="I516" s="252"/>
      <c r="J516" s="252"/>
      <c r="K516" s="252"/>
      <c r="L516" s="251"/>
      <c r="M516" s="251"/>
      <c r="N516" s="251"/>
      <c r="O516" s="251"/>
      <c r="P516" s="251"/>
      <c r="Q516" s="251"/>
      <c r="R516" s="251"/>
      <c r="S516" s="251"/>
      <c r="T516" s="251"/>
      <c r="U516" s="251"/>
      <c r="V516" s="251"/>
      <c r="W516" s="251"/>
      <c r="X516" s="251"/>
      <c r="Y516" s="251"/>
      <c r="Z516" s="251"/>
      <c r="AA516" s="137"/>
      <c r="AB516" s="137"/>
      <c r="AC516" s="137"/>
      <c r="AD516" s="137"/>
      <c r="AE516" s="137"/>
      <c r="AF516" s="137"/>
      <c r="AG516" s="137"/>
    </row>
    <row r="517" ht="30.0" customHeight="1">
      <c r="A517" s="248"/>
      <c r="B517" s="249"/>
      <c r="C517" s="248"/>
      <c r="D517" s="249"/>
      <c r="E517" s="251"/>
      <c r="F517" s="249"/>
      <c r="G517" s="250"/>
      <c r="H517" s="251"/>
      <c r="I517" s="252"/>
      <c r="J517" s="252"/>
      <c r="K517" s="252"/>
      <c r="L517" s="251"/>
      <c r="M517" s="251"/>
      <c r="N517" s="251"/>
      <c r="O517" s="251"/>
      <c r="P517" s="251"/>
      <c r="Q517" s="251"/>
      <c r="R517" s="251"/>
      <c r="S517" s="251"/>
      <c r="T517" s="251"/>
      <c r="U517" s="251"/>
      <c r="V517" s="251"/>
      <c r="W517" s="251"/>
      <c r="X517" s="251"/>
      <c r="Y517" s="251"/>
      <c r="Z517" s="251"/>
      <c r="AA517" s="137"/>
      <c r="AB517" s="137"/>
      <c r="AC517" s="137"/>
      <c r="AD517" s="137"/>
      <c r="AE517" s="137"/>
      <c r="AF517" s="137"/>
      <c r="AG517" s="137"/>
    </row>
    <row r="518" ht="30.0" customHeight="1">
      <c r="A518" s="248"/>
      <c r="B518" s="251"/>
      <c r="C518" s="248"/>
      <c r="D518" s="249"/>
      <c r="E518" s="249"/>
      <c r="F518" s="249"/>
      <c r="G518" s="250"/>
      <c r="H518" s="251"/>
      <c r="I518" s="252"/>
      <c r="J518" s="252"/>
      <c r="K518" s="252"/>
      <c r="L518" s="251"/>
      <c r="M518" s="251"/>
      <c r="N518" s="251"/>
      <c r="O518" s="251"/>
      <c r="P518" s="251"/>
      <c r="Q518" s="251"/>
      <c r="R518" s="251"/>
      <c r="S518" s="251"/>
      <c r="T518" s="251"/>
      <c r="U518" s="251"/>
      <c r="V518" s="251"/>
      <c r="W518" s="251"/>
      <c r="X518" s="251"/>
      <c r="Y518" s="251"/>
      <c r="Z518" s="251"/>
      <c r="AA518" s="137"/>
      <c r="AB518" s="137"/>
      <c r="AC518" s="137"/>
      <c r="AD518" s="137"/>
      <c r="AE518" s="137"/>
      <c r="AF518" s="137"/>
      <c r="AG518" s="137"/>
    </row>
    <row r="519" ht="30.0" customHeight="1">
      <c r="A519" s="248"/>
      <c r="B519" s="249"/>
      <c r="C519" s="248"/>
      <c r="D519" s="249"/>
      <c r="E519" s="249"/>
      <c r="F519" s="249"/>
      <c r="G519" s="250"/>
      <c r="H519" s="251"/>
      <c r="I519" s="252"/>
      <c r="J519" s="252"/>
      <c r="K519" s="252"/>
      <c r="L519" s="251"/>
      <c r="M519" s="251"/>
      <c r="N519" s="251"/>
      <c r="O519" s="251"/>
      <c r="P519" s="251"/>
      <c r="Q519" s="251"/>
      <c r="R519" s="251"/>
      <c r="S519" s="251"/>
      <c r="T519" s="251"/>
      <c r="U519" s="251"/>
      <c r="V519" s="251"/>
      <c r="W519" s="251"/>
      <c r="X519" s="251"/>
      <c r="Y519" s="251"/>
      <c r="Z519" s="251"/>
      <c r="AA519" s="137"/>
      <c r="AB519" s="137"/>
      <c r="AC519" s="137"/>
      <c r="AD519" s="137"/>
      <c r="AE519" s="137"/>
      <c r="AF519" s="137"/>
      <c r="AG519" s="137"/>
    </row>
    <row r="520" ht="30.0" customHeight="1">
      <c r="A520" s="248"/>
      <c r="B520" s="249"/>
      <c r="C520" s="248"/>
      <c r="D520" s="249"/>
      <c r="E520" s="249"/>
      <c r="F520" s="249"/>
      <c r="G520" s="250"/>
      <c r="H520" s="251"/>
      <c r="I520" s="252"/>
      <c r="J520" s="252"/>
      <c r="K520" s="252"/>
      <c r="L520" s="251"/>
      <c r="M520" s="251"/>
      <c r="N520" s="251"/>
      <c r="O520" s="251"/>
      <c r="P520" s="251"/>
      <c r="Q520" s="251"/>
      <c r="R520" s="251"/>
      <c r="S520" s="251"/>
      <c r="T520" s="251"/>
      <c r="U520" s="251"/>
      <c r="V520" s="251"/>
      <c r="W520" s="251"/>
      <c r="X520" s="251"/>
      <c r="Y520" s="251"/>
      <c r="Z520" s="251"/>
      <c r="AA520" s="137"/>
      <c r="AB520" s="137"/>
      <c r="AC520" s="137"/>
      <c r="AD520" s="137"/>
      <c r="AE520" s="137"/>
      <c r="AF520" s="137"/>
      <c r="AG520" s="137"/>
    </row>
    <row r="521" ht="30.0" customHeight="1">
      <c r="A521" s="248"/>
      <c r="B521" s="249"/>
      <c r="C521" s="248"/>
      <c r="D521" s="249"/>
      <c r="E521" s="249"/>
      <c r="F521" s="249"/>
      <c r="G521" s="250"/>
      <c r="H521" s="251"/>
      <c r="I521" s="252"/>
      <c r="J521" s="252"/>
      <c r="K521" s="252"/>
      <c r="L521" s="251"/>
      <c r="M521" s="251"/>
      <c r="N521" s="251"/>
      <c r="O521" s="251"/>
      <c r="P521" s="251"/>
      <c r="Q521" s="251"/>
      <c r="R521" s="251"/>
      <c r="S521" s="251"/>
      <c r="T521" s="251"/>
      <c r="U521" s="251"/>
      <c r="V521" s="251"/>
      <c r="W521" s="251"/>
      <c r="X521" s="251"/>
      <c r="Y521" s="251"/>
      <c r="Z521" s="251"/>
      <c r="AA521" s="137"/>
      <c r="AB521" s="137"/>
      <c r="AC521" s="137"/>
      <c r="AD521" s="137"/>
      <c r="AE521" s="137"/>
      <c r="AF521" s="137"/>
      <c r="AG521" s="137"/>
    </row>
    <row r="522" ht="30.0" customHeight="1">
      <c r="A522" s="248"/>
      <c r="B522" s="249"/>
      <c r="C522" s="248"/>
      <c r="D522" s="249"/>
      <c r="E522" s="249"/>
      <c r="F522" s="249"/>
      <c r="G522" s="250"/>
      <c r="H522" s="251"/>
      <c r="I522" s="252"/>
      <c r="J522" s="252"/>
      <c r="K522" s="252"/>
      <c r="L522" s="251"/>
      <c r="M522" s="251"/>
      <c r="N522" s="251"/>
      <c r="O522" s="251"/>
      <c r="P522" s="251"/>
      <c r="Q522" s="251"/>
      <c r="R522" s="251"/>
      <c r="S522" s="251"/>
      <c r="T522" s="251"/>
      <c r="U522" s="251"/>
      <c r="V522" s="251"/>
      <c r="W522" s="251"/>
      <c r="X522" s="251"/>
      <c r="Y522" s="251"/>
      <c r="Z522" s="251"/>
      <c r="AA522" s="137"/>
      <c r="AB522" s="137"/>
      <c r="AC522" s="137"/>
      <c r="AD522" s="137"/>
      <c r="AE522" s="137"/>
      <c r="AF522" s="137"/>
      <c r="AG522" s="137"/>
    </row>
    <row r="523" ht="30.0" customHeight="1">
      <c r="A523" s="248"/>
      <c r="B523" s="249"/>
      <c r="C523" s="248"/>
      <c r="D523" s="249"/>
      <c r="E523" s="249"/>
      <c r="F523" s="249"/>
      <c r="G523" s="250"/>
      <c r="H523" s="251"/>
      <c r="I523" s="252"/>
      <c r="J523" s="252"/>
      <c r="K523" s="252"/>
      <c r="L523" s="251"/>
      <c r="M523" s="251"/>
      <c r="N523" s="251"/>
      <c r="O523" s="251"/>
      <c r="P523" s="251"/>
      <c r="Q523" s="251"/>
      <c r="R523" s="251"/>
      <c r="S523" s="251"/>
      <c r="T523" s="251"/>
      <c r="U523" s="251"/>
      <c r="V523" s="251"/>
      <c r="W523" s="251"/>
      <c r="X523" s="251"/>
      <c r="Y523" s="251"/>
      <c r="Z523" s="251"/>
      <c r="AA523" s="137"/>
      <c r="AB523" s="137"/>
      <c r="AC523" s="137"/>
      <c r="AD523" s="137"/>
      <c r="AE523" s="137"/>
      <c r="AF523" s="137"/>
      <c r="AG523" s="137"/>
    </row>
    <row r="524" ht="30.0" customHeight="1">
      <c r="A524" s="248"/>
      <c r="B524" s="249"/>
      <c r="C524" s="248"/>
      <c r="D524" s="249"/>
      <c r="E524" s="251"/>
      <c r="F524" s="249"/>
      <c r="G524" s="250"/>
      <c r="H524" s="251"/>
      <c r="I524" s="252"/>
      <c r="J524" s="252"/>
      <c r="K524" s="252"/>
      <c r="L524" s="251"/>
      <c r="M524" s="251"/>
      <c r="N524" s="251"/>
      <c r="O524" s="251"/>
      <c r="P524" s="251"/>
      <c r="Q524" s="251"/>
      <c r="R524" s="251"/>
      <c r="S524" s="251"/>
      <c r="T524" s="251"/>
      <c r="U524" s="251"/>
      <c r="V524" s="251"/>
      <c r="W524" s="251"/>
      <c r="X524" s="251"/>
      <c r="Y524" s="251"/>
      <c r="Z524" s="251"/>
      <c r="AA524" s="137"/>
      <c r="AB524" s="137"/>
      <c r="AC524" s="137"/>
      <c r="AD524" s="137"/>
      <c r="AE524" s="137"/>
      <c r="AF524" s="137"/>
      <c r="AG524" s="137"/>
    </row>
    <row r="525" ht="30.0" customHeight="1">
      <c r="A525" s="248"/>
      <c r="B525" s="249"/>
      <c r="C525" s="248"/>
      <c r="D525" s="249"/>
      <c r="E525" s="249"/>
      <c r="F525" s="249"/>
      <c r="G525" s="249"/>
      <c r="H525" s="251"/>
      <c r="I525" s="252"/>
      <c r="J525" s="252"/>
      <c r="K525" s="252"/>
      <c r="L525" s="251"/>
      <c r="M525" s="251"/>
      <c r="N525" s="251"/>
      <c r="O525" s="251"/>
      <c r="P525" s="251"/>
      <c r="Q525" s="251"/>
      <c r="R525" s="251"/>
      <c r="S525" s="251"/>
      <c r="T525" s="251"/>
      <c r="U525" s="251"/>
      <c r="V525" s="251"/>
      <c r="W525" s="251"/>
      <c r="X525" s="251"/>
      <c r="Y525" s="251"/>
      <c r="Z525" s="251"/>
      <c r="AA525" s="137"/>
      <c r="AB525" s="137"/>
      <c r="AC525" s="137"/>
      <c r="AD525" s="137"/>
      <c r="AE525" s="137"/>
      <c r="AF525" s="137"/>
      <c r="AG525" s="137"/>
    </row>
    <row r="526" ht="30.0" customHeight="1">
      <c r="A526" s="248"/>
      <c r="B526" s="249"/>
      <c r="C526" s="248"/>
      <c r="D526" s="249"/>
      <c r="E526" s="249"/>
      <c r="F526" s="249"/>
      <c r="G526" s="250"/>
      <c r="H526" s="251"/>
      <c r="I526" s="252"/>
      <c r="J526" s="252"/>
      <c r="K526" s="252"/>
      <c r="L526" s="251"/>
      <c r="M526" s="251"/>
      <c r="N526" s="251"/>
      <c r="O526" s="251"/>
      <c r="P526" s="251"/>
      <c r="Q526" s="251"/>
      <c r="R526" s="251"/>
      <c r="S526" s="251"/>
      <c r="T526" s="251"/>
      <c r="U526" s="251"/>
      <c r="V526" s="251"/>
      <c r="W526" s="251"/>
      <c r="X526" s="251"/>
      <c r="Y526" s="251"/>
      <c r="Z526" s="251"/>
      <c r="AA526" s="137"/>
      <c r="AB526" s="137"/>
      <c r="AC526" s="137"/>
      <c r="AD526" s="137"/>
      <c r="AE526" s="137"/>
      <c r="AF526" s="137"/>
      <c r="AG526" s="137"/>
    </row>
    <row r="527" ht="30.0" customHeight="1">
      <c r="A527" s="248"/>
      <c r="B527" s="249"/>
      <c r="C527" s="248"/>
      <c r="D527" s="249"/>
      <c r="E527" s="249"/>
      <c r="F527" s="249"/>
      <c r="G527" s="250"/>
      <c r="H527" s="251"/>
      <c r="I527" s="252"/>
      <c r="J527" s="252"/>
      <c r="K527" s="252"/>
      <c r="L527" s="251"/>
      <c r="M527" s="251"/>
      <c r="N527" s="251"/>
      <c r="O527" s="251"/>
      <c r="P527" s="251"/>
      <c r="Q527" s="251"/>
      <c r="R527" s="251"/>
      <c r="S527" s="251"/>
      <c r="T527" s="251"/>
      <c r="U527" s="251"/>
      <c r="V527" s="251"/>
      <c r="W527" s="251"/>
      <c r="X527" s="251"/>
      <c r="Y527" s="251"/>
      <c r="Z527" s="251"/>
      <c r="AA527" s="137"/>
      <c r="AB527" s="137"/>
      <c r="AC527" s="137"/>
      <c r="AD527" s="137"/>
      <c r="AE527" s="137"/>
      <c r="AF527" s="137"/>
      <c r="AG527" s="137"/>
    </row>
    <row r="528" ht="30.0" customHeight="1">
      <c r="A528" s="248"/>
      <c r="B528" s="249"/>
      <c r="C528" s="248"/>
      <c r="D528" s="249"/>
      <c r="E528" s="249"/>
      <c r="F528" s="249"/>
      <c r="G528" s="250"/>
      <c r="H528" s="251"/>
      <c r="I528" s="252"/>
      <c r="J528" s="252"/>
      <c r="K528" s="252"/>
      <c r="L528" s="251"/>
      <c r="M528" s="251"/>
      <c r="N528" s="251"/>
      <c r="O528" s="251"/>
      <c r="P528" s="251"/>
      <c r="Q528" s="251"/>
      <c r="R528" s="251"/>
      <c r="S528" s="251"/>
      <c r="T528" s="251"/>
      <c r="U528" s="251"/>
      <c r="V528" s="251"/>
      <c r="W528" s="251"/>
      <c r="X528" s="251"/>
      <c r="Y528" s="251"/>
      <c r="Z528" s="251"/>
      <c r="AA528" s="137"/>
      <c r="AB528" s="137"/>
      <c r="AC528" s="137"/>
      <c r="AD528" s="137"/>
      <c r="AE528" s="137"/>
      <c r="AF528" s="137"/>
      <c r="AG528" s="137"/>
    </row>
    <row r="529" ht="30.0" customHeight="1">
      <c r="A529" s="248"/>
      <c r="B529" s="249"/>
      <c r="C529" s="248"/>
      <c r="D529" s="249"/>
      <c r="E529" s="249"/>
      <c r="F529" s="249"/>
      <c r="G529" s="250"/>
      <c r="H529" s="251"/>
      <c r="I529" s="252"/>
      <c r="J529" s="252"/>
      <c r="K529" s="252"/>
      <c r="L529" s="251"/>
      <c r="M529" s="251"/>
      <c r="N529" s="251"/>
      <c r="O529" s="251"/>
      <c r="P529" s="251"/>
      <c r="Q529" s="251"/>
      <c r="R529" s="251"/>
      <c r="S529" s="251"/>
      <c r="T529" s="251"/>
      <c r="U529" s="251"/>
      <c r="V529" s="251"/>
      <c r="W529" s="251"/>
      <c r="X529" s="251"/>
      <c r="Y529" s="251"/>
      <c r="Z529" s="251"/>
      <c r="AA529" s="137"/>
      <c r="AB529" s="137"/>
      <c r="AC529" s="137"/>
      <c r="AD529" s="137"/>
      <c r="AE529" s="137"/>
      <c r="AF529" s="137"/>
      <c r="AG529" s="137"/>
    </row>
    <row r="530" ht="30.0" customHeight="1">
      <c r="A530" s="248"/>
      <c r="B530" s="249"/>
      <c r="C530" s="248"/>
      <c r="D530" s="249"/>
      <c r="E530" s="249"/>
      <c r="F530" s="249"/>
      <c r="G530" s="250"/>
      <c r="H530" s="251"/>
      <c r="I530" s="252"/>
      <c r="J530" s="252"/>
      <c r="K530" s="252"/>
      <c r="L530" s="251"/>
      <c r="M530" s="251"/>
      <c r="N530" s="251"/>
      <c r="O530" s="251"/>
      <c r="P530" s="251"/>
      <c r="Q530" s="251"/>
      <c r="R530" s="251"/>
      <c r="S530" s="251"/>
      <c r="T530" s="251"/>
      <c r="U530" s="251"/>
      <c r="V530" s="251"/>
      <c r="W530" s="251"/>
      <c r="X530" s="251"/>
      <c r="Y530" s="251"/>
      <c r="Z530" s="251"/>
      <c r="AA530" s="137"/>
      <c r="AB530" s="137"/>
      <c r="AC530" s="137"/>
      <c r="AD530" s="137"/>
      <c r="AE530" s="137"/>
      <c r="AF530" s="137"/>
      <c r="AG530" s="137"/>
    </row>
    <row r="531" ht="30.0" customHeight="1">
      <c r="A531" s="248"/>
      <c r="B531" s="249"/>
      <c r="C531" s="248"/>
      <c r="D531" s="249"/>
      <c r="E531" s="249"/>
      <c r="F531" s="249"/>
      <c r="G531" s="250"/>
      <c r="H531" s="251"/>
      <c r="I531" s="252"/>
      <c r="J531" s="252"/>
      <c r="K531" s="252"/>
      <c r="L531" s="251"/>
      <c r="M531" s="251"/>
      <c r="N531" s="251"/>
      <c r="O531" s="251"/>
      <c r="P531" s="251"/>
      <c r="Q531" s="251"/>
      <c r="R531" s="251"/>
      <c r="S531" s="251"/>
      <c r="T531" s="251"/>
      <c r="U531" s="251"/>
      <c r="V531" s="251"/>
      <c r="W531" s="251"/>
      <c r="X531" s="251"/>
      <c r="Y531" s="251"/>
      <c r="Z531" s="251"/>
      <c r="AA531" s="137"/>
      <c r="AB531" s="137"/>
      <c r="AC531" s="137"/>
      <c r="AD531" s="137"/>
      <c r="AE531" s="137"/>
      <c r="AF531" s="137"/>
      <c r="AG531" s="137"/>
    </row>
    <row r="532" ht="30.0" customHeight="1">
      <c r="A532" s="248"/>
      <c r="B532" s="249"/>
      <c r="C532" s="248"/>
      <c r="D532" s="249"/>
      <c r="E532" s="251"/>
      <c r="F532" s="249"/>
      <c r="G532" s="250"/>
      <c r="H532" s="251"/>
      <c r="I532" s="252"/>
      <c r="J532" s="252"/>
      <c r="K532" s="252"/>
      <c r="L532" s="251"/>
      <c r="M532" s="251"/>
      <c r="N532" s="251"/>
      <c r="O532" s="251"/>
      <c r="P532" s="251"/>
      <c r="Q532" s="251"/>
      <c r="R532" s="251"/>
      <c r="S532" s="251"/>
      <c r="T532" s="251"/>
      <c r="U532" s="251"/>
      <c r="V532" s="251"/>
      <c r="W532" s="251"/>
      <c r="X532" s="251"/>
      <c r="Y532" s="251"/>
      <c r="Z532" s="251"/>
      <c r="AA532" s="137"/>
      <c r="AB532" s="137"/>
      <c r="AC532" s="137"/>
      <c r="AD532" s="137"/>
      <c r="AE532" s="137"/>
      <c r="AF532" s="137"/>
      <c r="AG532" s="137"/>
    </row>
    <row r="533" ht="30.0" customHeight="1">
      <c r="A533" s="248"/>
      <c r="B533" s="249"/>
      <c r="C533" s="248"/>
      <c r="D533" s="249"/>
      <c r="E533" s="249"/>
      <c r="F533" s="249"/>
      <c r="G533" s="250"/>
      <c r="H533" s="251"/>
      <c r="I533" s="252"/>
      <c r="J533" s="252"/>
      <c r="K533" s="252"/>
      <c r="L533" s="251"/>
      <c r="M533" s="251"/>
      <c r="N533" s="251"/>
      <c r="O533" s="251"/>
      <c r="P533" s="251"/>
      <c r="Q533" s="251"/>
      <c r="R533" s="251"/>
      <c r="S533" s="251"/>
      <c r="T533" s="251"/>
      <c r="U533" s="251"/>
      <c r="V533" s="251"/>
      <c r="W533" s="251"/>
      <c r="X533" s="251"/>
      <c r="Y533" s="251"/>
      <c r="Z533" s="251"/>
      <c r="AA533" s="137"/>
      <c r="AB533" s="137"/>
      <c r="AC533" s="137"/>
      <c r="AD533" s="137"/>
      <c r="AE533" s="137"/>
      <c r="AF533" s="137"/>
      <c r="AG533" s="137"/>
    </row>
    <row r="534" ht="30.0" customHeight="1">
      <c r="A534" s="248"/>
      <c r="B534" s="249"/>
      <c r="C534" s="248"/>
      <c r="D534" s="249"/>
      <c r="E534" s="251"/>
      <c r="F534" s="249"/>
      <c r="G534" s="250"/>
      <c r="H534" s="251"/>
      <c r="I534" s="252"/>
      <c r="J534" s="252"/>
      <c r="K534" s="252"/>
      <c r="L534" s="251"/>
      <c r="M534" s="251"/>
      <c r="N534" s="251"/>
      <c r="O534" s="251"/>
      <c r="P534" s="251"/>
      <c r="Q534" s="251"/>
      <c r="R534" s="251"/>
      <c r="S534" s="251"/>
      <c r="T534" s="251"/>
      <c r="U534" s="251"/>
      <c r="V534" s="251"/>
      <c r="W534" s="251"/>
      <c r="X534" s="251"/>
      <c r="Y534" s="251"/>
      <c r="Z534" s="251"/>
      <c r="AA534" s="137"/>
      <c r="AB534" s="137"/>
      <c r="AC534" s="137"/>
      <c r="AD534" s="137"/>
      <c r="AE534" s="137"/>
      <c r="AF534" s="137"/>
      <c r="AG534" s="137"/>
    </row>
    <row r="535" ht="30.0" customHeight="1">
      <c r="A535" s="248"/>
      <c r="B535" s="249"/>
      <c r="C535" s="248"/>
      <c r="D535" s="249"/>
      <c r="E535" s="249"/>
      <c r="F535" s="249"/>
      <c r="G535" s="250"/>
      <c r="H535" s="251"/>
      <c r="I535" s="252"/>
      <c r="J535" s="252"/>
      <c r="K535" s="252"/>
      <c r="L535" s="251"/>
      <c r="M535" s="251"/>
      <c r="N535" s="251"/>
      <c r="O535" s="251"/>
      <c r="P535" s="251"/>
      <c r="Q535" s="251"/>
      <c r="R535" s="251"/>
      <c r="S535" s="251"/>
      <c r="T535" s="251"/>
      <c r="U535" s="251"/>
      <c r="V535" s="251"/>
      <c r="W535" s="251"/>
      <c r="X535" s="251"/>
      <c r="Y535" s="251"/>
      <c r="Z535" s="251"/>
      <c r="AA535" s="137"/>
      <c r="AB535" s="137"/>
      <c r="AC535" s="137"/>
      <c r="AD535" s="137"/>
      <c r="AE535" s="137"/>
      <c r="AF535" s="137"/>
      <c r="AG535" s="137"/>
    </row>
    <row r="536" ht="30.0" customHeight="1">
      <c r="A536" s="248"/>
      <c r="B536" s="249"/>
      <c r="C536" s="249"/>
      <c r="D536" s="249"/>
      <c r="E536" s="249"/>
      <c r="F536" s="249"/>
      <c r="G536" s="250"/>
      <c r="H536" s="251"/>
      <c r="I536" s="252"/>
      <c r="J536" s="252"/>
      <c r="K536" s="252"/>
      <c r="L536" s="251"/>
      <c r="M536" s="251"/>
      <c r="N536" s="251"/>
      <c r="O536" s="251"/>
      <c r="P536" s="251"/>
      <c r="Q536" s="251"/>
      <c r="R536" s="251"/>
      <c r="S536" s="251"/>
      <c r="T536" s="251"/>
      <c r="U536" s="251"/>
      <c r="V536" s="251"/>
      <c r="W536" s="251"/>
      <c r="X536" s="251"/>
      <c r="Y536" s="251"/>
      <c r="Z536" s="251"/>
      <c r="AA536" s="137"/>
      <c r="AB536" s="137"/>
      <c r="AC536" s="137"/>
      <c r="AD536" s="137"/>
      <c r="AE536" s="137"/>
      <c r="AF536" s="137"/>
      <c r="AG536" s="137"/>
    </row>
    <row r="537" ht="30.0" customHeight="1">
      <c r="A537" s="248"/>
      <c r="B537" s="249"/>
      <c r="C537" s="249"/>
      <c r="D537" s="249"/>
      <c r="E537" s="249"/>
      <c r="F537" s="249"/>
      <c r="G537" s="250"/>
      <c r="H537" s="251"/>
      <c r="I537" s="252"/>
      <c r="J537" s="252"/>
      <c r="K537" s="252"/>
      <c r="L537" s="251"/>
      <c r="M537" s="251"/>
      <c r="N537" s="251"/>
      <c r="O537" s="251"/>
      <c r="P537" s="251"/>
      <c r="Q537" s="251"/>
      <c r="R537" s="251"/>
      <c r="S537" s="251"/>
      <c r="T537" s="251"/>
      <c r="U537" s="251"/>
      <c r="V537" s="251"/>
      <c r="W537" s="251"/>
      <c r="X537" s="251"/>
      <c r="Y537" s="251"/>
      <c r="Z537" s="251"/>
      <c r="AA537" s="137"/>
      <c r="AB537" s="137"/>
      <c r="AC537" s="137"/>
      <c r="AD537" s="137"/>
      <c r="AE537" s="137"/>
      <c r="AF537" s="137"/>
      <c r="AG537" s="137"/>
    </row>
    <row r="538" ht="30.0" customHeight="1">
      <c r="A538" s="248"/>
      <c r="B538" s="249"/>
      <c r="C538" s="248"/>
      <c r="D538" s="249"/>
      <c r="E538" s="249"/>
      <c r="F538" s="249"/>
      <c r="G538" s="250"/>
      <c r="H538" s="251"/>
      <c r="I538" s="252"/>
      <c r="J538" s="252"/>
      <c r="K538" s="252"/>
      <c r="L538" s="251"/>
      <c r="M538" s="251"/>
      <c r="N538" s="251"/>
      <c r="O538" s="251"/>
      <c r="P538" s="251"/>
      <c r="Q538" s="251"/>
      <c r="R538" s="251"/>
      <c r="S538" s="251"/>
      <c r="T538" s="251"/>
      <c r="U538" s="251"/>
      <c r="V538" s="251"/>
      <c r="W538" s="251"/>
      <c r="X538" s="251"/>
      <c r="Y538" s="251"/>
      <c r="Z538" s="251"/>
      <c r="AA538" s="137"/>
      <c r="AB538" s="137"/>
      <c r="AC538" s="137"/>
      <c r="AD538" s="137"/>
      <c r="AE538" s="137"/>
      <c r="AF538" s="137"/>
      <c r="AG538" s="137"/>
    </row>
    <row r="539" ht="30.0" customHeight="1">
      <c r="A539" s="248"/>
      <c r="B539" s="249"/>
      <c r="C539" s="248"/>
      <c r="D539" s="249"/>
      <c r="E539" s="249"/>
      <c r="F539" s="249"/>
      <c r="G539" s="250"/>
      <c r="H539" s="251"/>
      <c r="I539" s="252"/>
      <c r="J539" s="252"/>
      <c r="K539" s="252"/>
      <c r="L539" s="251"/>
      <c r="M539" s="251"/>
      <c r="N539" s="251"/>
      <c r="O539" s="251"/>
      <c r="P539" s="251"/>
      <c r="Q539" s="251"/>
      <c r="R539" s="251"/>
      <c r="S539" s="251"/>
      <c r="T539" s="251"/>
      <c r="U539" s="251"/>
      <c r="V539" s="251"/>
      <c r="W539" s="251"/>
      <c r="X539" s="251"/>
      <c r="Y539" s="251"/>
      <c r="Z539" s="251"/>
      <c r="AA539" s="137"/>
      <c r="AB539" s="137"/>
      <c r="AC539" s="137"/>
      <c r="AD539" s="137"/>
      <c r="AE539" s="137"/>
      <c r="AF539" s="137"/>
      <c r="AG539" s="137"/>
    </row>
    <row r="540" ht="30.0" customHeight="1">
      <c r="A540" s="248"/>
      <c r="B540" s="249"/>
      <c r="C540" s="248"/>
      <c r="D540" s="249"/>
      <c r="E540" s="251"/>
      <c r="F540" s="249"/>
      <c r="G540" s="250"/>
      <c r="H540" s="251"/>
      <c r="I540" s="252"/>
      <c r="J540" s="252"/>
      <c r="K540" s="252"/>
      <c r="L540" s="251"/>
      <c r="M540" s="251"/>
      <c r="N540" s="251"/>
      <c r="O540" s="251"/>
      <c r="P540" s="251"/>
      <c r="Q540" s="251"/>
      <c r="R540" s="251"/>
      <c r="S540" s="251"/>
      <c r="T540" s="251"/>
      <c r="U540" s="251"/>
      <c r="V540" s="251"/>
      <c r="W540" s="251"/>
      <c r="X540" s="251"/>
      <c r="Y540" s="251"/>
      <c r="Z540" s="251"/>
      <c r="AA540" s="137"/>
      <c r="AB540" s="137"/>
      <c r="AC540" s="137"/>
      <c r="AD540" s="137"/>
      <c r="AE540" s="137"/>
      <c r="AF540" s="137"/>
      <c r="AG540" s="137"/>
    </row>
    <row r="541" ht="30.0" customHeight="1">
      <c r="A541" s="248"/>
      <c r="B541" s="249"/>
      <c r="C541" s="248"/>
      <c r="D541" s="249"/>
      <c r="E541" s="251"/>
      <c r="F541" s="249"/>
      <c r="G541" s="250"/>
      <c r="H541" s="251"/>
      <c r="I541" s="252"/>
      <c r="J541" s="252"/>
      <c r="K541" s="252"/>
      <c r="L541" s="251"/>
      <c r="M541" s="251"/>
      <c r="N541" s="251"/>
      <c r="O541" s="251"/>
      <c r="P541" s="251"/>
      <c r="Q541" s="251"/>
      <c r="R541" s="251"/>
      <c r="S541" s="251"/>
      <c r="T541" s="251"/>
      <c r="U541" s="251"/>
      <c r="V541" s="251"/>
      <c r="W541" s="251"/>
      <c r="X541" s="251"/>
      <c r="Y541" s="251"/>
      <c r="Z541" s="251"/>
      <c r="AA541" s="137"/>
      <c r="AB541" s="137"/>
      <c r="AC541" s="137"/>
      <c r="AD541" s="137"/>
      <c r="AE541" s="137"/>
      <c r="AF541" s="137"/>
      <c r="AG541" s="137"/>
    </row>
    <row r="542" ht="30.0" customHeight="1">
      <c r="A542" s="248"/>
      <c r="B542" s="249"/>
      <c r="C542" s="248"/>
      <c r="D542" s="249"/>
      <c r="E542" s="251"/>
      <c r="F542" s="249"/>
      <c r="G542" s="250"/>
      <c r="H542" s="251"/>
      <c r="I542" s="252"/>
      <c r="J542" s="252"/>
      <c r="K542" s="252"/>
      <c r="L542" s="251"/>
      <c r="M542" s="251"/>
      <c r="N542" s="251"/>
      <c r="O542" s="251"/>
      <c r="P542" s="251"/>
      <c r="Q542" s="251"/>
      <c r="R542" s="251"/>
      <c r="S542" s="251"/>
      <c r="T542" s="251"/>
      <c r="U542" s="251"/>
      <c r="V542" s="251"/>
      <c r="W542" s="251"/>
      <c r="X542" s="251"/>
      <c r="Y542" s="251"/>
      <c r="Z542" s="251"/>
      <c r="AA542" s="137"/>
      <c r="AB542" s="137"/>
      <c r="AC542" s="137"/>
      <c r="AD542" s="137"/>
      <c r="AE542" s="137"/>
      <c r="AF542" s="137"/>
      <c r="AG542" s="137"/>
    </row>
    <row r="543" ht="30.0" customHeight="1">
      <c r="A543" s="248"/>
      <c r="B543" s="249"/>
      <c r="C543" s="248"/>
      <c r="D543" s="249"/>
      <c r="E543" s="251"/>
      <c r="F543" s="249"/>
      <c r="G543" s="249"/>
      <c r="H543" s="251"/>
      <c r="I543" s="252"/>
      <c r="J543" s="252"/>
      <c r="K543" s="252"/>
      <c r="L543" s="251"/>
      <c r="M543" s="251"/>
      <c r="N543" s="251"/>
      <c r="O543" s="251"/>
      <c r="P543" s="251"/>
      <c r="Q543" s="251"/>
      <c r="R543" s="251"/>
      <c r="S543" s="251"/>
      <c r="T543" s="251"/>
      <c r="U543" s="251"/>
      <c r="V543" s="251"/>
      <c r="W543" s="251"/>
      <c r="X543" s="251"/>
      <c r="Y543" s="251"/>
      <c r="Z543" s="251"/>
      <c r="AA543" s="137"/>
      <c r="AB543" s="137"/>
      <c r="AC543" s="137"/>
      <c r="AD543" s="137"/>
      <c r="AE543" s="137"/>
      <c r="AF543" s="137"/>
      <c r="AG543" s="137"/>
    </row>
    <row r="544" ht="30.0" customHeight="1">
      <c r="A544" s="248"/>
      <c r="B544" s="249"/>
      <c r="C544" s="248"/>
      <c r="D544" s="249"/>
      <c r="E544" s="249"/>
      <c r="F544" s="249"/>
      <c r="G544" s="250"/>
      <c r="H544" s="251"/>
      <c r="I544" s="252"/>
      <c r="J544" s="252"/>
      <c r="K544" s="252"/>
      <c r="L544" s="251"/>
      <c r="M544" s="251"/>
      <c r="N544" s="251"/>
      <c r="O544" s="251"/>
      <c r="P544" s="251"/>
      <c r="Q544" s="251"/>
      <c r="R544" s="251"/>
      <c r="S544" s="251"/>
      <c r="T544" s="251"/>
      <c r="U544" s="251"/>
      <c r="V544" s="251"/>
      <c r="W544" s="251"/>
      <c r="X544" s="251"/>
      <c r="Y544" s="251"/>
      <c r="Z544" s="251"/>
      <c r="AA544" s="137"/>
      <c r="AB544" s="137"/>
      <c r="AC544" s="137"/>
      <c r="AD544" s="137"/>
      <c r="AE544" s="137"/>
      <c r="AF544" s="137"/>
      <c r="AG544" s="137"/>
    </row>
    <row r="545" ht="30.0" customHeight="1">
      <c r="A545" s="248"/>
      <c r="B545" s="249"/>
      <c r="C545" s="248"/>
      <c r="D545" s="249"/>
      <c r="E545" s="249"/>
      <c r="F545" s="249"/>
      <c r="G545" s="250"/>
      <c r="H545" s="251"/>
      <c r="I545" s="252"/>
      <c r="J545" s="252"/>
      <c r="K545" s="252"/>
      <c r="L545" s="251"/>
      <c r="M545" s="251"/>
      <c r="N545" s="251"/>
      <c r="O545" s="251"/>
      <c r="P545" s="251"/>
      <c r="Q545" s="251"/>
      <c r="R545" s="251"/>
      <c r="S545" s="251"/>
      <c r="T545" s="251"/>
      <c r="U545" s="251"/>
      <c r="V545" s="251"/>
      <c r="W545" s="251"/>
      <c r="X545" s="251"/>
      <c r="Y545" s="251"/>
      <c r="Z545" s="251"/>
      <c r="AA545" s="137"/>
      <c r="AB545" s="137"/>
      <c r="AC545" s="137"/>
      <c r="AD545" s="137"/>
      <c r="AE545" s="137"/>
      <c r="AF545" s="137"/>
      <c r="AG545" s="137"/>
    </row>
    <row r="546" ht="30.0" customHeight="1">
      <c r="A546" s="248"/>
      <c r="B546" s="249"/>
      <c r="C546" s="248"/>
      <c r="D546" s="249"/>
      <c r="E546" s="249"/>
      <c r="F546" s="249"/>
      <c r="G546" s="249"/>
      <c r="H546" s="251"/>
      <c r="I546" s="252"/>
      <c r="J546" s="252"/>
      <c r="K546" s="252"/>
      <c r="L546" s="251"/>
      <c r="M546" s="251"/>
      <c r="N546" s="251"/>
      <c r="O546" s="251"/>
      <c r="P546" s="251"/>
      <c r="Q546" s="251"/>
      <c r="R546" s="251"/>
      <c r="S546" s="251"/>
      <c r="T546" s="251"/>
      <c r="U546" s="251"/>
      <c r="V546" s="251"/>
      <c r="W546" s="251"/>
      <c r="X546" s="251"/>
      <c r="Y546" s="251"/>
      <c r="Z546" s="251"/>
      <c r="AA546" s="137"/>
      <c r="AB546" s="137"/>
      <c r="AC546" s="137"/>
      <c r="AD546" s="137"/>
      <c r="AE546" s="137"/>
      <c r="AF546" s="137"/>
      <c r="AG546" s="137"/>
    </row>
    <row r="547" ht="30.0" customHeight="1">
      <c r="A547" s="248"/>
      <c r="B547" s="249"/>
      <c r="C547" s="249"/>
      <c r="D547" s="249"/>
      <c r="E547" s="249"/>
      <c r="F547" s="249"/>
      <c r="G547" s="250"/>
      <c r="H547" s="251"/>
      <c r="I547" s="252"/>
      <c r="J547" s="252"/>
      <c r="K547" s="252"/>
      <c r="L547" s="251"/>
      <c r="M547" s="251"/>
      <c r="N547" s="251"/>
      <c r="O547" s="251"/>
      <c r="P547" s="251"/>
      <c r="Q547" s="251"/>
      <c r="R547" s="251"/>
      <c r="S547" s="251"/>
      <c r="T547" s="251"/>
      <c r="U547" s="251"/>
      <c r="V547" s="251"/>
      <c r="W547" s="251"/>
      <c r="X547" s="251"/>
      <c r="Y547" s="251"/>
      <c r="Z547" s="251"/>
      <c r="AA547" s="137"/>
      <c r="AB547" s="137"/>
      <c r="AC547" s="137"/>
      <c r="AD547" s="137"/>
      <c r="AE547" s="137"/>
      <c r="AF547" s="137"/>
      <c r="AG547" s="137"/>
    </row>
    <row r="548" ht="30.0" customHeight="1">
      <c r="A548" s="248"/>
      <c r="B548" s="249"/>
      <c r="C548" s="249"/>
      <c r="D548" s="249"/>
      <c r="E548" s="251"/>
      <c r="F548" s="249"/>
      <c r="G548" s="250"/>
      <c r="H548" s="251"/>
      <c r="I548" s="252"/>
      <c r="J548" s="252"/>
      <c r="K548" s="252"/>
      <c r="L548" s="251"/>
      <c r="M548" s="251"/>
      <c r="N548" s="251"/>
      <c r="O548" s="251"/>
      <c r="P548" s="251"/>
      <c r="Q548" s="251"/>
      <c r="R548" s="251"/>
      <c r="S548" s="251"/>
      <c r="T548" s="251"/>
      <c r="U548" s="251"/>
      <c r="V548" s="251"/>
      <c r="W548" s="251"/>
      <c r="X548" s="251"/>
      <c r="Y548" s="251"/>
      <c r="Z548" s="251"/>
      <c r="AA548" s="137"/>
      <c r="AB548" s="137"/>
      <c r="AC548" s="137"/>
      <c r="AD548" s="137"/>
      <c r="AE548" s="137"/>
      <c r="AF548" s="137"/>
      <c r="AG548" s="137"/>
    </row>
    <row r="549" ht="30.0" customHeight="1">
      <c r="A549" s="248"/>
      <c r="B549" s="249"/>
      <c r="C549" s="248"/>
      <c r="D549" s="249"/>
      <c r="E549" s="251"/>
      <c r="F549" s="249"/>
      <c r="G549" s="250"/>
      <c r="H549" s="251"/>
      <c r="I549" s="252"/>
      <c r="J549" s="252"/>
      <c r="K549" s="252"/>
      <c r="L549" s="251"/>
      <c r="M549" s="251"/>
      <c r="N549" s="251"/>
      <c r="O549" s="251"/>
      <c r="P549" s="251"/>
      <c r="Q549" s="251"/>
      <c r="R549" s="251"/>
      <c r="S549" s="251"/>
      <c r="T549" s="251"/>
      <c r="U549" s="251"/>
      <c r="V549" s="251"/>
      <c r="W549" s="251"/>
      <c r="X549" s="251"/>
      <c r="Y549" s="251"/>
      <c r="Z549" s="251"/>
      <c r="AA549" s="137"/>
      <c r="AB549" s="137"/>
      <c r="AC549" s="137"/>
      <c r="AD549" s="137"/>
      <c r="AE549" s="137"/>
      <c r="AF549" s="137"/>
      <c r="AG549" s="137"/>
    </row>
    <row r="550" ht="30.0" customHeight="1">
      <c r="A550" s="248"/>
      <c r="B550" s="249"/>
      <c r="C550" s="248"/>
      <c r="D550" s="249"/>
      <c r="E550" s="249"/>
      <c r="F550" s="249"/>
      <c r="G550" s="250"/>
      <c r="H550" s="251"/>
      <c r="I550" s="252"/>
      <c r="J550" s="252"/>
      <c r="K550" s="252"/>
      <c r="L550" s="251"/>
      <c r="M550" s="251"/>
      <c r="N550" s="251"/>
      <c r="O550" s="251"/>
      <c r="P550" s="251"/>
      <c r="Q550" s="251"/>
      <c r="R550" s="251"/>
      <c r="S550" s="251"/>
      <c r="T550" s="251"/>
      <c r="U550" s="251"/>
      <c r="V550" s="251"/>
      <c r="W550" s="251"/>
      <c r="X550" s="251"/>
      <c r="Y550" s="251"/>
      <c r="Z550" s="251"/>
      <c r="AA550" s="137"/>
      <c r="AB550" s="137"/>
      <c r="AC550" s="137"/>
      <c r="AD550" s="137"/>
      <c r="AE550" s="137"/>
      <c r="AF550" s="137"/>
      <c r="AG550" s="137"/>
    </row>
    <row r="551" ht="30.0" customHeight="1">
      <c r="A551" s="248"/>
      <c r="B551" s="249"/>
      <c r="C551" s="248"/>
      <c r="D551" s="249"/>
      <c r="E551" s="249"/>
      <c r="F551" s="249"/>
      <c r="G551" s="250"/>
      <c r="H551" s="251"/>
      <c r="I551" s="252"/>
      <c r="J551" s="252"/>
      <c r="K551" s="252"/>
      <c r="L551" s="251"/>
      <c r="M551" s="251"/>
      <c r="N551" s="251"/>
      <c r="O551" s="251"/>
      <c r="P551" s="251"/>
      <c r="Q551" s="251"/>
      <c r="R551" s="251"/>
      <c r="S551" s="251"/>
      <c r="T551" s="251"/>
      <c r="U551" s="251"/>
      <c r="V551" s="251"/>
      <c r="W551" s="251"/>
      <c r="X551" s="251"/>
      <c r="Y551" s="251"/>
      <c r="Z551" s="251"/>
      <c r="AA551" s="137"/>
      <c r="AB551" s="137"/>
      <c r="AC551" s="137"/>
      <c r="AD551" s="137"/>
      <c r="AE551" s="137"/>
      <c r="AF551" s="137"/>
      <c r="AG551" s="137"/>
    </row>
    <row r="552" ht="30.0" customHeight="1">
      <c r="A552" s="248"/>
      <c r="B552" s="249"/>
      <c r="C552" s="248"/>
      <c r="D552" s="249"/>
      <c r="E552" s="251"/>
      <c r="F552" s="249"/>
      <c r="G552" s="250"/>
      <c r="H552" s="251"/>
      <c r="I552" s="252"/>
      <c r="J552" s="252"/>
      <c r="K552" s="252"/>
      <c r="L552" s="251"/>
      <c r="M552" s="251"/>
      <c r="N552" s="251"/>
      <c r="O552" s="251"/>
      <c r="P552" s="251"/>
      <c r="Q552" s="251"/>
      <c r="R552" s="251"/>
      <c r="S552" s="251"/>
      <c r="T552" s="251"/>
      <c r="U552" s="251"/>
      <c r="V552" s="251"/>
      <c r="W552" s="251"/>
      <c r="X552" s="251"/>
      <c r="Y552" s="251"/>
      <c r="Z552" s="251"/>
      <c r="AA552" s="137"/>
      <c r="AB552" s="137"/>
      <c r="AC552" s="137"/>
      <c r="AD552" s="137"/>
      <c r="AE552" s="137"/>
      <c r="AF552" s="137"/>
      <c r="AG552" s="137"/>
    </row>
    <row r="553" ht="30.0" customHeight="1">
      <c r="A553" s="248"/>
      <c r="B553" s="249"/>
      <c r="C553" s="248"/>
      <c r="D553" s="249"/>
      <c r="E553" s="251"/>
      <c r="F553" s="249"/>
      <c r="G553" s="250"/>
      <c r="H553" s="251"/>
      <c r="I553" s="252"/>
      <c r="J553" s="252"/>
      <c r="K553" s="252"/>
      <c r="L553" s="251"/>
      <c r="M553" s="251"/>
      <c r="N553" s="251"/>
      <c r="O553" s="251"/>
      <c r="P553" s="251"/>
      <c r="Q553" s="251"/>
      <c r="R553" s="251"/>
      <c r="S553" s="251"/>
      <c r="T553" s="251"/>
      <c r="U553" s="251"/>
      <c r="V553" s="251"/>
      <c r="W553" s="251"/>
      <c r="X553" s="251"/>
      <c r="Y553" s="251"/>
      <c r="Z553" s="251"/>
      <c r="AA553" s="137"/>
      <c r="AB553" s="137"/>
      <c r="AC553" s="137"/>
      <c r="AD553" s="137"/>
      <c r="AE553" s="137"/>
      <c r="AF553" s="137"/>
      <c r="AG553" s="137"/>
    </row>
    <row r="554" ht="30.0" customHeight="1">
      <c r="A554" s="248"/>
      <c r="B554" s="249"/>
      <c r="C554" s="248"/>
      <c r="D554" s="249"/>
      <c r="E554" s="251"/>
      <c r="F554" s="249"/>
      <c r="G554" s="250"/>
      <c r="H554" s="251"/>
      <c r="I554" s="252"/>
      <c r="J554" s="252"/>
      <c r="K554" s="252"/>
      <c r="L554" s="251"/>
      <c r="M554" s="251"/>
      <c r="N554" s="251"/>
      <c r="O554" s="251"/>
      <c r="P554" s="251"/>
      <c r="Q554" s="251"/>
      <c r="R554" s="251"/>
      <c r="S554" s="251"/>
      <c r="T554" s="251"/>
      <c r="U554" s="251"/>
      <c r="V554" s="251"/>
      <c r="W554" s="251"/>
      <c r="X554" s="251"/>
      <c r="Y554" s="251"/>
      <c r="Z554" s="251"/>
      <c r="AA554" s="137"/>
      <c r="AB554" s="137"/>
      <c r="AC554" s="137"/>
      <c r="AD554" s="137"/>
      <c r="AE554" s="137"/>
      <c r="AF554" s="137"/>
      <c r="AG554" s="137"/>
    </row>
    <row r="555" ht="30.0" customHeight="1">
      <c r="A555" s="248"/>
      <c r="B555" s="249"/>
      <c r="C555" s="248"/>
      <c r="D555" s="249"/>
      <c r="E555" s="251"/>
      <c r="F555" s="249"/>
      <c r="G555" s="250"/>
      <c r="H555" s="251"/>
      <c r="I555" s="252"/>
      <c r="J555" s="252"/>
      <c r="K555" s="252"/>
      <c r="L555" s="251"/>
      <c r="M555" s="251"/>
      <c r="N555" s="251"/>
      <c r="O555" s="251"/>
      <c r="P555" s="251"/>
      <c r="Q555" s="251"/>
      <c r="R555" s="251"/>
      <c r="S555" s="251"/>
      <c r="T555" s="251"/>
      <c r="U555" s="251"/>
      <c r="V555" s="251"/>
      <c r="W555" s="251"/>
      <c r="X555" s="251"/>
      <c r="Y555" s="251"/>
      <c r="Z555" s="251"/>
      <c r="AA555" s="137"/>
      <c r="AB555" s="137"/>
      <c r="AC555" s="137"/>
      <c r="AD555" s="137"/>
      <c r="AE555" s="137"/>
      <c r="AF555" s="137"/>
      <c r="AG555" s="137"/>
    </row>
    <row r="556" ht="30.0" customHeight="1">
      <c r="A556" s="248"/>
      <c r="B556" s="249"/>
      <c r="C556" s="248"/>
      <c r="D556" s="249"/>
      <c r="E556" s="251"/>
      <c r="F556" s="249"/>
      <c r="G556" s="249"/>
      <c r="H556" s="251"/>
      <c r="I556" s="252"/>
      <c r="J556" s="252"/>
      <c r="K556" s="252"/>
      <c r="L556" s="251"/>
      <c r="M556" s="251"/>
      <c r="N556" s="251"/>
      <c r="O556" s="251"/>
      <c r="P556" s="251"/>
      <c r="Q556" s="251"/>
      <c r="R556" s="251"/>
      <c r="S556" s="251"/>
      <c r="T556" s="251"/>
      <c r="U556" s="251"/>
      <c r="V556" s="251"/>
      <c r="W556" s="251"/>
      <c r="X556" s="251"/>
      <c r="Y556" s="251"/>
      <c r="Z556" s="251"/>
      <c r="AA556" s="137"/>
      <c r="AB556" s="137"/>
      <c r="AC556" s="137"/>
      <c r="AD556" s="137"/>
      <c r="AE556" s="137"/>
      <c r="AF556" s="137"/>
      <c r="AG556" s="137"/>
    </row>
    <row r="557" ht="30.0" customHeight="1">
      <c r="A557" s="248"/>
      <c r="B557" s="249"/>
      <c r="C557" s="248"/>
      <c r="D557" s="249"/>
      <c r="E557" s="251"/>
      <c r="F557" s="249"/>
      <c r="G557" s="250"/>
      <c r="H557" s="251"/>
      <c r="I557" s="252"/>
      <c r="J557" s="252"/>
      <c r="K557" s="252"/>
      <c r="L557" s="251"/>
      <c r="M557" s="251"/>
      <c r="N557" s="251"/>
      <c r="O557" s="251"/>
      <c r="P557" s="251"/>
      <c r="Q557" s="251"/>
      <c r="R557" s="251"/>
      <c r="S557" s="251"/>
      <c r="T557" s="251"/>
      <c r="U557" s="251"/>
      <c r="V557" s="251"/>
      <c r="W557" s="251"/>
      <c r="X557" s="251"/>
      <c r="Y557" s="251"/>
      <c r="Z557" s="251"/>
      <c r="AA557" s="137"/>
      <c r="AB557" s="137"/>
      <c r="AC557" s="137"/>
      <c r="AD557" s="137"/>
      <c r="AE557" s="137"/>
      <c r="AF557" s="137"/>
      <c r="AG557" s="137"/>
    </row>
    <row r="558" ht="30.0" customHeight="1">
      <c r="A558" s="248"/>
      <c r="B558" s="249"/>
      <c r="C558" s="248"/>
      <c r="D558" s="249"/>
      <c r="E558" s="251"/>
      <c r="F558" s="249"/>
      <c r="G558" s="250"/>
      <c r="H558" s="251"/>
      <c r="I558" s="252"/>
      <c r="J558" s="252"/>
      <c r="K558" s="252"/>
      <c r="L558" s="251"/>
      <c r="M558" s="251"/>
      <c r="N558" s="251"/>
      <c r="O558" s="251"/>
      <c r="P558" s="251"/>
      <c r="Q558" s="251"/>
      <c r="R558" s="251"/>
      <c r="S558" s="251"/>
      <c r="T558" s="251"/>
      <c r="U558" s="251"/>
      <c r="V558" s="251"/>
      <c r="W558" s="251"/>
      <c r="X558" s="251"/>
      <c r="Y558" s="251"/>
      <c r="Z558" s="251"/>
      <c r="AA558" s="137"/>
      <c r="AB558" s="137"/>
      <c r="AC558" s="137"/>
      <c r="AD558" s="137"/>
      <c r="AE558" s="137"/>
      <c r="AF558" s="137"/>
      <c r="AG558" s="137"/>
    </row>
    <row r="559" ht="30.0" customHeight="1">
      <c r="A559" s="248"/>
      <c r="B559" s="249"/>
      <c r="C559" s="248"/>
      <c r="D559" s="249"/>
      <c r="E559" s="249"/>
      <c r="F559" s="249"/>
      <c r="G559" s="250"/>
      <c r="H559" s="251"/>
      <c r="I559" s="252"/>
      <c r="J559" s="252"/>
      <c r="K559" s="252"/>
      <c r="L559" s="251"/>
      <c r="M559" s="251"/>
      <c r="N559" s="251"/>
      <c r="O559" s="251"/>
      <c r="P559" s="251"/>
      <c r="Q559" s="251"/>
      <c r="R559" s="251"/>
      <c r="S559" s="251"/>
      <c r="T559" s="251"/>
      <c r="U559" s="251"/>
      <c r="V559" s="251"/>
      <c r="W559" s="251"/>
      <c r="X559" s="251"/>
      <c r="Y559" s="251"/>
      <c r="Z559" s="251"/>
      <c r="AA559" s="137"/>
      <c r="AB559" s="137"/>
      <c r="AC559" s="137"/>
      <c r="AD559" s="137"/>
      <c r="AE559" s="137"/>
      <c r="AF559" s="137"/>
      <c r="AG559" s="137"/>
    </row>
    <row r="560" ht="30.0" customHeight="1">
      <c r="A560" s="248"/>
      <c r="B560" s="249"/>
      <c r="C560" s="249"/>
      <c r="D560" s="249"/>
      <c r="E560" s="249"/>
      <c r="F560" s="249"/>
      <c r="G560" s="250"/>
      <c r="H560" s="251"/>
      <c r="I560" s="252"/>
      <c r="J560" s="252"/>
      <c r="K560" s="252"/>
      <c r="L560" s="251"/>
      <c r="M560" s="251"/>
      <c r="N560" s="251"/>
      <c r="O560" s="251"/>
      <c r="P560" s="251"/>
      <c r="Q560" s="251"/>
      <c r="R560" s="251"/>
      <c r="S560" s="251"/>
      <c r="T560" s="251"/>
      <c r="U560" s="251"/>
      <c r="V560" s="251"/>
      <c r="W560" s="251"/>
      <c r="X560" s="251"/>
      <c r="Y560" s="251"/>
      <c r="Z560" s="251"/>
      <c r="AA560" s="137"/>
      <c r="AB560" s="137"/>
      <c r="AC560" s="137"/>
      <c r="AD560" s="137"/>
      <c r="AE560" s="137"/>
      <c r="AF560" s="137"/>
      <c r="AG560" s="137"/>
    </row>
    <row r="561" ht="30.0" customHeight="1">
      <c r="A561" s="248"/>
      <c r="B561" s="249"/>
      <c r="C561" s="248"/>
      <c r="D561" s="249"/>
      <c r="E561" s="251"/>
      <c r="F561" s="249"/>
      <c r="G561" s="250"/>
      <c r="H561" s="251"/>
      <c r="I561" s="252"/>
      <c r="J561" s="252"/>
      <c r="K561" s="252"/>
      <c r="L561" s="251"/>
      <c r="M561" s="251"/>
      <c r="N561" s="251"/>
      <c r="O561" s="251"/>
      <c r="P561" s="251"/>
      <c r="Q561" s="251"/>
      <c r="R561" s="251"/>
      <c r="S561" s="251"/>
      <c r="T561" s="251"/>
      <c r="U561" s="251"/>
      <c r="V561" s="251"/>
      <c r="W561" s="251"/>
      <c r="X561" s="251"/>
      <c r="Y561" s="251"/>
      <c r="Z561" s="251"/>
      <c r="AA561" s="137"/>
      <c r="AB561" s="137"/>
      <c r="AC561" s="137"/>
      <c r="AD561" s="137"/>
      <c r="AE561" s="137"/>
      <c r="AF561" s="137"/>
      <c r="AG561" s="137"/>
    </row>
    <row r="562" ht="30.0" customHeight="1">
      <c r="A562" s="248"/>
      <c r="B562" s="251"/>
      <c r="C562" s="248"/>
      <c r="D562" s="249"/>
      <c r="E562" s="249"/>
      <c r="F562" s="249"/>
      <c r="G562" s="250"/>
      <c r="H562" s="251"/>
      <c r="I562" s="252"/>
      <c r="J562" s="252"/>
      <c r="K562" s="252"/>
      <c r="L562" s="251"/>
      <c r="M562" s="251"/>
      <c r="N562" s="251"/>
      <c r="O562" s="251"/>
      <c r="P562" s="251"/>
      <c r="Q562" s="251"/>
      <c r="R562" s="251"/>
      <c r="S562" s="251"/>
      <c r="T562" s="251"/>
      <c r="U562" s="251"/>
      <c r="V562" s="251"/>
      <c r="W562" s="251"/>
      <c r="X562" s="251"/>
      <c r="Y562" s="251"/>
      <c r="Z562" s="251"/>
      <c r="AA562" s="137"/>
      <c r="AB562" s="137"/>
      <c r="AC562" s="137"/>
      <c r="AD562" s="137"/>
      <c r="AE562" s="137"/>
      <c r="AF562" s="137"/>
      <c r="AG562" s="137"/>
    </row>
    <row r="563" ht="30.0" customHeight="1">
      <c r="A563" s="248"/>
      <c r="B563" s="249"/>
      <c r="C563" s="248"/>
      <c r="D563" s="249"/>
      <c r="E563" s="251"/>
      <c r="F563" s="249"/>
      <c r="G563" s="250"/>
      <c r="H563" s="251"/>
      <c r="I563" s="252"/>
      <c r="J563" s="252"/>
      <c r="K563" s="252"/>
      <c r="L563" s="251"/>
      <c r="M563" s="251"/>
      <c r="N563" s="251"/>
      <c r="O563" s="251"/>
      <c r="P563" s="251"/>
      <c r="Q563" s="251"/>
      <c r="R563" s="251"/>
      <c r="S563" s="251"/>
      <c r="T563" s="251"/>
      <c r="U563" s="251"/>
      <c r="V563" s="251"/>
      <c r="W563" s="251"/>
      <c r="X563" s="251"/>
      <c r="Y563" s="251"/>
      <c r="Z563" s="251"/>
      <c r="AA563" s="137"/>
      <c r="AB563" s="137"/>
      <c r="AC563" s="137"/>
      <c r="AD563" s="137"/>
      <c r="AE563" s="137"/>
      <c r="AF563" s="137"/>
      <c r="AG563" s="137"/>
    </row>
    <row r="564" ht="30.0" customHeight="1">
      <c r="A564" s="248"/>
      <c r="B564" s="249"/>
      <c r="C564" s="248"/>
      <c r="D564" s="249"/>
      <c r="E564" s="249"/>
      <c r="F564" s="249"/>
      <c r="G564" s="250"/>
      <c r="H564" s="251"/>
      <c r="I564" s="252"/>
      <c r="J564" s="252"/>
      <c r="K564" s="252"/>
      <c r="L564" s="251"/>
      <c r="M564" s="251"/>
      <c r="N564" s="251"/>
      <c r="O564" s="251"/>
      <c r="P564" s="251"/>
      <c r="Q564" s="251"/>
      <c r="R564" s="251"/>
      <c r="S564" s="251"/>
      <c r="T564" s="251"/>
      <c r="U564" s="251"/>
      <c r="V564" s="251"/>
      <c r="W564" s="251"/>
      <c r="X564" s="251"/>
      <c r="Y564" s="251"/>
      <c r="Z564" s="251"/>
      <c r="AA564" s="137"/>
      <c r="AB564" s="137"/>
      <c r="AC564" s="137"/>
      <c r="AD564" s="137"/>
      <c r="AE564" s="137"/>
      <c r="AF564" s="137"/>
      <c r="AG564" s="137"/>
    </row>
    <row r="565" ht="30.0" customHeight="1">
      <c r="A565" s="248"/>
      <c r="B565" s="249"/>
      <c r="C565" s="248"/>
      <c r="D565" s="249"/>
      <c r="E565" s="251"/>
      <c r="F565" s="249"/>
      <c r="G565" s="250"/>
      <c r="H565" s="251"/>
      <c r="I565" s="252"/>
      <c r="J565" s="252"/>
      <c r="K565" s="252"/>
      <c r="L565" s="251"/>
      <c r="M565" s="251"/>
      <c r="N565" s="251"/>
      <c r="O565" s="251"/>
      <c r="P565" s="251"/>
      <c r="Q565" s="251"/>
      <c r="R565" s="251"/>
      <c r="S565" s="251"/>
      <c r="T565" s="251"/>
      <c r="U565" s="251"/>
      <c r="V565" s="251"/>
      <c r="W565" s="251"/>
      <c r="X565" s="251"/>
      <c r="Y565" s="251"/>
      <c r="Z565" s="251"/>
      <c r="AA565" s="137"/>
      <c r="AB565" s="137"/>
      <c r="AC565" s="137"/>
      <c r="AD565" s="137"/>
      <c r="AE565" s="137"/>
      <c r="AF565" s="137"/>
      <c r="AG565" s="137"/>
    </row>
    <row r="566" ht="30.0" customHeight="1">
      <c r="A566" s="248"/>
      <c r="B566" s="249"/>
      <c r="C566" s="248"/>
      <c r="D566" s="249"/>
      <c r="E566" s="251"/>
      <c r="F566" s="249"/>
      <c r="G566" s="250"/>
      <c r="H566" s="251"/>
      <c r="I566" s="252"/>
      <c r="J566" s="252"/>
      <c r="K566" s="252"/>
      <c r="L566" s="251"/>
      <c r="M566" s="251"/>
      <c r="N566" s="251"/>
      <c r="O566" s="251"/>
      <c r="P566" s="251"/>
      <c r="Q566" s="251"/>
      <c r="R566" s="251"/>
      <c r="S566" s="251"/>
      <c r="T566" s="251"/>
      <c r="U566" s="251"/>
      <c r="V566" s="251"/>
      <c r="W566" s="251"/>
      <c r="X566" s="251"/>
      <c r="Y566" s="251"/>
      <c r="Z566" s="251"/>
      <c r="AA566" s="137"/>
      <c r="AB566" s="137"/>
      <c r="AC566" s="137"/>
      <c r="AD566" s="137"/>
      <c r="AE566" s="137"/>
      <c r="AF566" s="137"/>
      <c r="AG566" s="137"/>
    </row>
    <row r="567" ht="30.0" customHeight="1">
      <c r="A567" s="248"/>
      <c r="B567" s="249"/>
      <c r="C567" s="248"/>
      <c r="D567" s="249"/>
      <c r="E567" s="251"/>
      <c r="F567" s="249"/>
      <c r="G567" s="249"/>
      <c r="H567" s="251"/>
      <c r="I567" s="252"/>
      <c r="J567" s="252"/>
      <c r="K567" s="252"/>
      <c r="L567" s="251"/>
      <c r="M567" s="251"/>
      <c r="N567" s="251"/>
      <c r="O567" s="251"/>
      <c r="P567" s="251"/>
      <c r="Q567" s="251"/>
      <c r="R567" s="251"/>
      <c r="S567" s="251"/>
      <c r="T567" s="251"/>
      <c r="U567" s="251"/>
      <c r="V567" s="251"/>
      <c r="W567" s="251"/>
      <c r="X567" s="251"/>
      <c r="Y567" s="251"/>
      <c r="Z567" s="251"/>
      <c r="AA567" s="137"/>
      <c r="AB567" s="137"/>
      <c r="AC567" s="137"/>
      <c r="AD567" s="137"/>
      <c r="AE567" s="137"/>
      <c r="AF567" s="137"/>
      <c r="AG567" s="137"/>
    </row>
    <row r="568" ht="30.0" customHeight="1">
      <c r="A568" s="248"/>
      <c r="B568" s="249"/>
      <c r="C568" s="248"/>
      <c r="D568" s="249"/>
      <c r="E568" s="251"/>
      <c r="F568" s="249"/>
      <c r="G568" s="250"/>
      <c r="H568" s="251"/>
      <c r="I568" s="252"/>
      <c r="J568" s="252"/>
      <c r="K568" s="252"/>
      <c r="L568" s="251"/>
      <c r="M568" s="251"/>
      <c r="N568" s="251"/>
      <c r="O568" s="251"/>
      <c r="P568" s="251"/>
      <c r="Q568" s="251"/>
      <c r="R568" s="251"/>
      <c r="S568" s="251"/>
      <c r="T568" s="251"/>
      <c r="U568" s="251"/>
      <c r="V568" s="251"/>
      <c r="W568" s="251"/>
      <c r="X568" s="251"/>
      <c r="Y568" s="251"/>
      <c r="Z568" s="251"/>
      <c r="AA568" s="137"/>
      <c r="AB568" s="137"/>
      <c r="AC568" s="137"/>
      <c r="AD568" s="137"/>
      <c r="AE568" s="137"/>
      <c r="AF568" s="137"/>
      <c r="AG568" s="137"/>
    </row>
    <row r="569" ht="30.0" customHeight="1">
      <c r="A569" s="249"/>
      <c r="B569" s="249"/>
      <c r="C569" s="248"/>
      <c r="D569" s="249"/>
      <c r="E569" s="251"/>
      <c r="F569" s="249"/>
      <c r="G569" s="250"/>
      <c r="H569" s="251"/>
      <c r="I569" s="252"/>
      <c r="J569" s="252"/>
      <c r="K569" s="252"/>
      <c r="L569" s="251"/>
      <c r="M569" s="251"/>
      <c r="N569" s="251"/>
      <c r="O569" s="251"/>
      <c r="P569" s="251"/>
      <c r="Q569" s="251"/>
      <c r="R569" s="251"/>
      <c r="S569" s="251"/>
      <c r="T569" s="251"/>
      <c r="U569" s="251"/>
      <c r="V569" s="251"/>
      <c r="W569" s="251"/>
      <c r="X569" s="251"/>
      <c r="Y569" s="251"/>
      <c r="Z569" s="251"/>
      <c r="AA569" s="137"/>
      <c r="AB569" s="137"/>
      <c r="AC569" s="137"/>
      <c r="AD569" s="137"/>
      <c r="AE569" s="137"/>
      <c r="AF569" s="137"/>
      <c r="AG569" s="137"/>
    </row>
    <row r="570" ht="30.0" customHeight="1">
      <c r="A570" s="248"/>
      <c r="B570" s="249"/>
      <c r="C570" s="248"/>
      <c r="D570" s="249"/>
      <c r="E570" s="251"/>
      <c r="F570" s="249"/>
      <c r="G570" s="250"/>
      <c r="H570" s="251"/>
      <c r="I570" s="252"/>
      <c r="J570" s="252"/>
      <c r="K570" s="252"/>
      <c r="L570" s="251"/>
      <c r="M570" s="251"/>
      <c r="N570" s="251"/>
      <c r="O570" s="251"/>
      <c r="P570" s="251"/>
      <c r="Q570" s="251"/>
      <c r="R570" s="251"/>
      <c r="S570" s="251"/>
      <c r="T570" s="251"/>
      <c r="U570" s="251"/>
      <c r="V570" s="251"/>
      <c r="W570" s="251"/>
      <c r="X570" s="251"/>
      <c r="Y570" s="251"/>
      <c r="Z570" s="251"/>
      <c r="AA570" s="137"/>
      <c r="AB570" s="137"/>
      <c r="AC570" s="137"/>
      <c r="AD570" s="137"/>
      <c r="AE570" s="137"/>
      <c r="AF570" s="137"/>
      <c r="AG570" s="137"/>
    </row>
    <row r="571" ht="30.0" customHeight="1">
      <c r="A571" s="248"/>
      <c r="B571" s="249"/>
      <c r="C571" s="248"/>
      <c r="D571" s="249"/>
      <c r="E571" s="251"/>
      <c r="F571" s="249"/>
      <c r="G571" s="250"/>
      <c r="H571" s="251"/>
      <c r="I571" s="252"/>
      <c r="J571" s="252"/>
      <c r="K571" s="252"/>
      <c r="L571" s="251"/>
      <c r="M571" s="251"/>
      <c r="N571" s="251"/>
      <c r="O571" s="251"/>
      <c r="P571" s="251"/>
      <c r="Q571" s="251"/>
      <c r="R571" s="251"/>
      <c r="S571" s="251"/>
      <c r="T571" s="251"/>
      <c r="U571" s="251"/>
      <c r="V571" s="251"/>
      <c r="W571" s="251"/>
      <c r="X571" s="251"/>
      <c r="Y571" s="251"/>
      <c r="Z571" s="251"/>
      <c r="AA571" s="137"/>
      <c r="AB571" s="137"/>
      <c r="AC571" s="137"/>
      <c r="AD571" s="137"/>
      <c r="AE571" s="137"/>
      <c r="AF571" s="137"/>
      <c r="AG571" s="137"/>
    </row>
    <row r="572" ht="30.0" customHeight="1">
      <c r="A572" s="248"/>
      <c r="B572" s="249"/>
      <c r="C572" s="248"/>
      <c r="D572" s="249"/>
      <c r="E572" s="251"/>
      <c r="F572" s="249"/>
      <c r="G572" s="250"/>
      <c r="H572" s="251"/>
      <c r="I572" s="252"/>
      <c r="J572" s="252"/>
      <c r="K572" s="252"/>
      <c r="L572" s="251"/>
      <c r="M572" s="251"/>
      <c r="N572" s="251"/>
      <c r="O572" s="251"/>
      <c r="P572" s="251"/>
      <c r="Q572" s="251"/>
      <c r="R572" s="251"/>
      <c r="S572" s="251"/>
      <c r="T572" s="251"/>
      <c r="U572" s="251"/>
      <c r="V572" s="251"/>
      <c r="W572" s="251"/>
      <c r="X572" s="251"/>
      <c r="Y572" s="251"/>
      <c r="Z572" s="251"/>
      <c r="AA572" s="137"/>
      <c r="AB572" s="137"/>
      <c r="AC572" s="137"/>
      <c r="AD572" s="137"/>
      <c r="AE572" s="137"/>
      <c r="AF572" s="137"/>
      <c r="AG572" s="137"/>
    </row>
    <row r="573" ht="30.0" customHeight="1">
      <c r="A573" s="248"/>
      <c r="B573" s="249"/>
      <c r="C573" s="248"/>
      <c r="D573" s="249"/>
      <c r="E573" s="251"/>
      <c r="F573" s="249"/>
      <c r="G573" s="250"/>
      <c r="H573" s="251"/>
      <c r="I573" s="252"/>
      <c r="J573" s="252"/>
      <c r="K573" s="252"/>
      <c r="L573" s="251"/>
      <c r="M573" s="251"/>
      <c r="N573" s="251"/>
      <c r="O573" s="251"/>
      <c r="P573" s="251"/>
      <c r="Q573" s="251"/>
      <c r="R573" s="251"/>
      <c r="S573" s="251"/>
      <c r="T573" s="251"/>
      <c r="U573" s="251"/>
      <c r="V573" s="251"/>
      <c r="W573" s="251"/>
      <c r="X573" s="251"/>
      <c r="Y573" s="251"/>
      <c r="Z573" s="251"/>
      <c r="AA573" s="137"/>
      <c r="AB573" s="137"/>
      <c r="AC573" s="137"/>
      <c r="AD573" s="137"/>
      <c r="AE573" s="137"/>
      <c r="AF573" s="137"/>
      <c r="AG573" s="137"/>
    </row>
    <row r="574" ht="30.0" customHeight="1">
      <c r="A574" s="248"/>
      <c r="B574" s="251"/>
      <c r="C574" s="248"/>
      <c r="D574" s="249"/>
      <c r="E574" s="249"/>
      <c r="F574" s="249"/>
      <c r="G574" s="250"/>
      <c r="H574" s="251"/>
      <c r="I574" s="252"/>
      <c r="J574" s="252"/>
      <c r="K574" s="252"/>
      <c r="L574" s="251"/>
      <c r="M574" s="251"/>
      <c r="N574" s="251"/>
      <c r="O574" s="251"/>
      <c r="P574" s="251"/>
      <c r="Q574" s="251"/>
      <c r="R574" s="251"/>
      <c r="S574" s="251"/>
      <c r="T574" s="251"/>
      <c r="U574" s="251"/>
      <c r="V574" s="251"/>
      <c r="W574" s="251"/>
      <c r="X574" s="251"/>
      <c r="Y574" s="251"/>
      <c r="Z574" s="251"/>
      <c r="AA574" s="137"/>
      <c r="AB574" s="137"/>
      <c r="AC574" s="137"/>
      <c r="AD574" s="137"/>
      <c r="AE574" s="137"/>
      <c r="AF574" s="137"/>
      <c r="AG574" s="137"/>
    </row>
    <row r="575" ht="30.0" customHeight="1">
      <c r="A575" s="248"/>
      <c r="B575" s="251"/>
      <c r="C575" s="248"/>
      <c r="D575" s="249"/>
      <c r="E575" s="249"/>
      <c r="F575" s="249"/>
      <c r="G575" s="249"/>
      <c r="H575" s="251"/>
      <c r="I575" s="252"/>
      <c r="J575" s="252"/>
      <c r="K575" s="252"/>
      <c r="L575" s="251"/>
      <c r="M575" s="251"/>
      <c r="N575" s="251"/>
      <c r="O575" s="251"/>
      <c r="P575" s="251"/>
      <c r="Q575" s="251"/>
      <c r="R575" s="251"/>
      <c r="S575" s="251"/>
      <c r="T575" s="251"/>
      <c r="U575" s="251"/>
      <c r="V575" s="251"/>
      <c r="W575" s="251"/>
      <c r="X575" s="251"/>
      <c r="Y575" s="251"/>
      <c r="Z575" s="251"/>
      <c r="AA575" s="137"/>
      <c r="AB575" s="137"/>
      <c r="AC575" s="137"/>
      <c r="AD575" s="137"/>
      <c r="AE575" s="137"/>
      <c r="AF575" s="137"/>
      <c r="AG575" s="137"/>
    </row>
    <row r="576" ht="30.0" customHeight="1">
      <c r="A576" s="248"/>
      <c r="B576" s="249"/>
      <c r="C576" s="248"/>
      <c r="D576" s="249"/>
      <c r="E576" s="251"/>
      <c r="F576" s="249"/>
      <c r="G576" s="249"/>
      <c r="H576" s="251"/>
      <c r="I576" s="252"/>
      <c r="J576" s="252"/>
      <c r="K576" s="252"/>
      <c r="L576" s="251"/>
      <c r="M576" s="251"/>
      <c r="N576" s="251"/>
      <c r="O576" s="251"/>
      <c r="P576" s="251"/>
      <c r="Q576" s="251"/>
      <c r="R576" s="251"/>
      <c r="S576" s="251"/>
      <c r="T576" s="251"/>
      <c r="U576" s="251"/>
      <c r="V576" s="251"/>
      <c r="W576" s="251"/>
      <c r="X576" s="251"/>
      <c r="Y576" s="251"/>
      <c r="Z576" s="251"/>
      <c r="AA576" s="137"/>
      <c r="AB576" s="137"/>
      <c r="AC576" s="137"/>
      <c r="AD576" s="137"/>
      <c r="AE576" s="137"/>
      <c r="AF576" s="137"/>
      <c r="AG576" s="137"/>
    </row>
    <row r="577" ht="30.0" customHeight="1">
      <c r="A577" s="248"/>
      <c r="B577" s="249"/>
      <c r="C577" s="248"/>
      <c r="D577" s="249"/>
      <c r="E577" s="251"/>
      <c r="F577" s="249"/>
      <c r="G577" s="249"/>
      <c r="H577" s="251"/>
      <c r="I577" s="252"/>
      <c r="J577" s="252"/>
      <c r="K577" s="252"/>
      <c r="L577" s="251"/>
      <c r="M577" s="251"/>
      <c r="N577" s="251"/>
      <c r="O577" s="251"/>
      <c r="P577" s="251"/>
      <c r="Q577" s="251"/>
      <c r="R577" s="251"/>
      <c r="S577" s="251"/>
      <c r="T577" s="251"/>
      <c r="U577" s="251"/>
      <c r="V577" s="251"/>
      <c r="W577" s="251"/>
      <c r="X577" s="251"/>
      <c r="Y577" s="251"/>
      <c r="Z577" s="251"/>
      <c r="AA577" s="137"/>
      <c r="AB577" s="137"/>
      <c r="AC577" s="137"/>
      <c r="AD577" s="137"/>
      <c r="AE577" s="137"/>
      <c r="AF577" s="137"/>
      <c r="AG577" s="137"/>
    </row>
    <row r="578" ht="30.0" customHeight="1">
      <c r="A578" s="248"/>
      <c r="B578" s="249"/>
      <c r="C578" s="248"/>
      <c r="D578" s="249"/>
      <c r="E578" s="251"/>
      <c r="F578" s="249"/>
      <c r="G578" s="249"/>
      <c r="H578" s="251"/>
      <c r="I578" s="252"/>
      <c r="J578" s="252"/>
      <c r="K578" s="252"/>
      <c r="L578" s="251"/>
      <c r="M578" s="251"/>
      <c r="N578" s="251"/>
      <c r="O578" s="251"/>
      <c r="P578" s="251"/>
      <c r="Q578" s="251"/>
      <c r="R578" s="251"/>
      <c r="S578" s="251"/>
      <c r="T578" s="251"/>
      <c r="U578" s="251"/>
      <c r="V578" s="251"/>
      <c r="W578" s="251"/>
      <c r="X578" s="251"/>
      <c r="Y578" s="251"/>
      <c r="Z578" s="251"/>
      <c r="AA578" s="137"/>
      <c r="AB578" s="137"/>
      <c r="AC578" s="137"/>
      <c r="AD578" s="137"/>
      <c r="AE578" s="137"/>
      <c r="AF578" s="137"/>
      <c r="AG578" s="137"/>
    </row>
    <row r="579" ht="30.0" customHeight="1">
      <c r="A579" s="248"/>
      <c r="B579" s="249"/>
      <c r="C579" s="248"/>
      <c r="D579" s="249"/>
      <c r="E579" s="249"/>
      <c r="F579" s="249"/>
      <c r="G579" s="250"/>
      <c r="H579" s="251"/>
      <c r="I579" s="252"/>
      <c r="J579" s="252"/>
      <c r="K579" s="252"/>
      <c r="L579" s="251"/>
      <c r="M579" s="251"/>
      <c r="N579" s="251"/>
      <c r="O579" s="251"/>
      <c r="P579" s="251"/>
      <c r="Q579" s="251"/>
      <c r="R579" s="251"/>
      <c r="S579" s="251"/>
      <c r="T579" s="251"/>
      <c r="U579" s="251"/>
      <c r="V579" s="251"/>
      <c r="W579" s="251"/>
      <c r="X579" s="251"/>
      <c r="Y579" s="251"/>
      <c r="Z579" s="251"/>
      <c r="AA579" s="137"/>
      <c r="AB579" s="137"/>
      <c r="AC579" s="137"/>
      <c r="AD579" s="137"/>
      <c r="AE579" s="137"/>
      <c r="AF579" s="137"/>
      <c r="AG579" s="137"/>
    </row>
    <row r="580" ht="30.0" customHeight="1">
      <c r="A580" s="248"/>
      <c r="B580" s="249"/>
      <c r="C580" s="248"/>
      <c r="D580" s="249"/>
      <c r="E580" s="251"/>
      <c r="F580" s="249"/>
      <c r="G580" s="250"/>
      <c r="H580" s="251"/>
      <c r="I580" s="252"/>
      <c r="J580" s="252"/>
      <c r="K580" s="252"/>
      <c r="L580" s="251"/>
      <c r="M580" s="251"/>
      <c r="N580" s="251"/>
      <c r="O580" s="251"/>
      <c r="P580" s="251"/>
      <c r="Q580" s="251"/>
      <c r="R580" s="251"/>
      <c r="S580" s="251"/>
      <c r="T580" s="251"/>
      <c r="U580" s="251"/>
      <c r="V580" s="251"/>
      <c r="W580" s="251"/>
      <c r="X580" s="251"/>
      <c r="Y580" s="251"/>
      <c r="Z580" s="251"/>
      <c r="AA580" s="137"/>
      <c r="AB580" s="137"/>
      <c r="AC580" s="137"/>
      <c r="AD580" s="137"/>
      <c r="AE580" s="137"/>
      <c r="AF580" s="137"/>
      <c r="AG580" s="137"/>
    </row>
    <row r="581" ht="30.0" customHeight="1">
      <c r="A581" s="248"/>
      <c r="B581" s="249"/>
      <c r="C581" s="248"/>
      <c r="D581" s="249"/>
      <c r="E581" s="249"/>
      <c r="F581" s="249"/>
      <c r="G581" s="250"/>
      <c r="H581" s="251"/>
      <c r="I581" s="252"/>
      <c r="J581" s="252"/>
      <c r="K581" s="252"/>
      <c r="L581" s="251"/>
      <c r="M581" s="251"/>
      <c r="N581" s="251"/>
      <c r="O581" s="251"/>
      <c r="P581" s="251"/>
      <c r="Q581" s="251"/>
      <c r="R581" s="251"/>
      <c r="S581" s="251"/>
      <c r="T581" s="251"/>
      <c r="U581" s="251"/>
      <c r="V581" s="251"/>
      <c r="W581" s="251"/>
      <c r="X581" s="251"/>
      <c r="Y581" s="251"/>
      <c r="Z581" s="251"/>
      <c r="AA581" s="137"/>
      <c r="AB581" s="137"/>
      <c r="AC581" s="137"/>
      <c r="AD581" s="137"/>
      <c r="AE581" s="137"/>
      <c r="AF581" s="137"/>
      <c r="AG581" s="137"/>
    </row>
    <row r="582" ht="30.0" customHeight="1">
      <c r="A582" s="248"/>
      <c r="B582" s="249"/>
      <c r="C582" s="248"/>
      <c r="D582" s="249"/>
      <c r="E582" s="251"/>
      <c r="F582" s="249"/>
      <c r="G582" s="250"/>
      <c r="H582" s="251"/>
      <c r="I582" s="252"/>
      <c r="J582" s="252"/>
      <c r="K582" s="252"/>
      <c r="L582" s="251"/>
      <c r="M582" s="251"/>
      <c r="N582" s="251"/>
      <c r="O582" s="251"/>
      <c r="P582" s="251"/>
      <c r="Q582" s="251"/>
      <c r="R582" s="251"/>
      <c r="S582" s="251"/>
      <c r="T582" s="251"/>
      <c r="U582" s="251"/>
      <c r="V582" s="251"/>
      <c r="W582" s="251"/>
      <c r="X582" s="251"/>
      <c r="Y582" s="251"/>
      <c r="Z582" s="251"/>
      <c r="AA582" s="137"/>
      <c r="AB582" s="137"/>
      <c r="AC582" s="137"/>
      <c r="AD582" s="137"/>
      <c r="AE582" s="137"/>
      <c r="AF582" s="137"/>
      <c r="AG582" s="137"/>
    </row>
    <row r="583" ht="30.0" customHeight="1">
      <c r="A583" s="248"/>
      <c r="B583" s="249"/>
      <c r="C583" s="248"/>
      <c r="D583" s="249"/>
      <c r="E583" s="249"/>
      <c r="F583" s="249"/>
      <c r="G583" s="250"/>
      <c r="H583" s="251"/>
      <c r="I583" s="252"/>
      <c r="J583" s="252"/>
      <c r="K583" s="252"/>
      <c r="L583" s="251"/>
      <c r="M583" s="251"/>
      <c r="N583" s="251"/>
      <c r="O583" s="251"/>
      <c r="P583" s="251"/>
      <c r="Q583" s="251"/>
      <c r="R583" s="251"/>
      <c r="S583" s="251"/>
      <c r="T583" s="251"/>
      <c r="U583" s="251"/>
      <c r="V583" s="251"/>
      <c r="W583" s="251"/>
      <c r="X583" s="251"/>
      <c r="Y583" s="251"/>
      <c r="Z583" s="251"/>
      <c r="AA583" s="137"/>
      <c r="AB583" s="137"/>
      <c r="AC583" s="137"/>
      <c r="AD583" s="137"/>
      <c r="AE583" s="137"/>
      <c r="AF583" s="137"/>
      <c r="AG583" s="137"/>
    </row>
    <row r="584" ht="30.0" customHeight="1">
      <c r="A584" s="248"/>
      <c r="B584" s="249"/>
      <c r="C584" s="248"/>
      <c r="D584" s="249"/>
      <c r="E584" s="249"/>
      <c r="F584" s="249"/>
      <c r="G584" s="250"/>
      <c r="H584" s="251"/>
      <c r="I584" s="252"/>
      <c r="J584" s="252"/>
      <c r="K584" s="252"/>
      <c r="L584" s="251"/>
      <c r="M584" s="251"/>
      <c r="N584" s="251"/>
      <c r="O584" s="251"/>
      <c r="P584" s="251"/>
      <c r="Q584" s="251"/>
      <c r="R584" s="251"/>
      <c r="S584" s="251"/>
      <c r="T584" s="251"/>
      <c r="U584" s="251"/>
      <c r="V584" s="251"/>
      <c r="W584" s="251"/>
      <c r="X584" s="251"/>
      <c r="Y584" s="251"/>
      <c r="Z584" s="251"/>
      <c r="AA584" s="137"/>
      <c r="AB584" s="137"/>
      <c r="AC584" s="137"/>
      <c r="AD584" s="137"/>
      <c r="AE584" s="137"/>
      <c r="AF584" s="137"/>
      <c r="AG584" s="137"/>
    </row>
    <row r="585" ht="30.0" customHeight="1">
      <c r="A585" s="248"/>
      <c r="B585" s="249"/>
      <c r="C585" s="248"/>
      <c r="D585" s="249"/>
      <c r="E585" s="251"/>
      <c r="F585" s="249"/>
      <c r="G585" s="250"/>
      <c r="H585" s="251"/>
      <c r="I585" s="252"/>
      <c r="J585" s="252"/>
      <c r="K585" s="252"/>
      <c r="L585" s="251"/>
      <c r="M585" s="251"/>
      <c r="N585" s="251"/>
      <c r="O585" s="251"/>
      <c r="P585" s="251"/>
      <c r="Q585" s="251"/>
      <c r="R585" s="251"/>
      <c r="S585" s="251"/>
      <c r="T585" s="251"/>
      <c r="U585" s="251"/>
      <c r="V585" s="251"/>
      <c r="W585" s="251"/>
      <c r="X585" s="251"/>
      <c r="Y585" s="251"/>
      <c r="Z585" s="251"/>
      <c r="AA585" s="137"/>
      <c r="AB585" s="137"/>
      <c r="AC585" s="137"/>
      <c r="AD585" s="137"/>
      <c r="AE585" s="137"/>
      <c r="AF585" s="137"/>
      <c r="AG585" s="137"/>
    </row>
    <row r="586" ht="30.0" customHeight="1">
      <c r="A586" s="248"/>
      <c r="B586" s="249"/>
      <c r="C586" s="248"/>
      <c r="D586" s="249"/>
      <c r="E586" s="249"/>
      <c r="F586" s="249"/>
      <c r="G586" s="250"/>
      <c r="H586" s="251"/>
      <c r="I586" s="252"/>
      <c r="J586" s="252"/>
      <c r="K586" s="252"/>
      <c r="L586" s="251"/>
      <c r="M586" s="251"/>
      <c r="N586" s="251"/>
      <c r="O586" s="251"/>
      <c r="P586" s="251"/>
      <c r="Q586" s="251"/>
      <c r="R586" s="251"/>
      <c r="S586" s="251"/>
      <c r="T586" s="251"/>
      <c r="U586" s="251"/>
      <c r="V586" s="251"/>
      <c r="W586" s="251"/>
      <c r="X586" s="251"/>
      <c r="Y586" s="251"/>
      <c r="Z586" s="251"/>
      <c r="AA586" s="137"/>
      <c r="AB586" s="137"/>
      <c r="AC586" s="137"/>
      <c r="AD586" s="137"/>
      <c r="AE586" s="137"/>
      <c r="AF586" s="137"/>
      <c r="AG586" s="137"/>
    </row>
    <row r="587" ht="30.0" customHeight="1">
      <c r="A587" s="248"/>
      <c r="B587" s="249"/>
      <c r="C587" s="248"/>
      <c r="D587" s="249"/>
      <c r="E587" s="251"/>
      <c r="F587" s="249"/>
      <c r="G587" s="250"/>
      <c r="H587" s="251"/>
      <c r="I587" s="252"/>
      <c r="J587" s="252"/>
      <c r="K587" s="252"/>
      <c r="L587" s="251"/>
      <c r="M587" s="251"/>
      <c r="N587" s="251"/>
      <c r="O587" s="251"/>
      <c r="P587" s="251"/>
      <c r="Q587" s="251"/>
      <c r="R587" s="251"/>
      <c r="S587" s="251"/>
      <c r="T587" s="251"/>
      <c r="U587" s="251"/>
      <c r="V587" s="251"/>
      <c r="W587" s="251"/>
      <c r="X587" s="251"/>
      <c r="Y587" s="251"/>
      <c r="Z587" s="251"/>
      <c r="AA587" s="137"/>
      <c r="AB587" s="137"/>
      <c r="AC587" s="137"/>
      <c r="AD587" s="137"/>
      <c r="AE587" s="137"/>
      <c r="AF587" s="137"/>
      <c r="AG587" s="137"/>
    </row>
    <row r="588" ht="30.0" customHeight="1">
      <c r="A588" s="248"/>
      <c r="B588" s="249"/>
      <c r="C588" s="248"/>
      <c r="D588" s="249"/>
      <c r="E588" s="249"/>
      <c r="F588" s="249"/>
      <c r="G588" s="250"/>
      <c r="H588" s="251"/>
      <c r="I588" s="252"/>
      <c r="J588" s="252"/>
      <c r="K588" s="252"/>
      <c r="L588" s="251"/>
      <c r="M588" s="251"/>
      <c r="N588" s="251"/>
      <c r="O588" s="251"/>
      <c r="P588" s="251"/>
      <c r="Q588" s="251"/>
      <c r="R588" s="251"/>
      <c r="S588" s="251"/>
      <c r="T588" s="251"/>
      <c r="U588" s="251"/>
      <c r="V588" s="251"/>
      <c r="W588" s="251"/>
      <c r="X588" s="251"/>
      <c r="Y588" s="251"/>
      <c r="Z588" s="251"/>
      <c r="AA588" s="137"/>
      <c r="AB588" s="137"/>
      <c r="AC588" s="137"/>
      <c r="AD588" s="137"/>
      <c r="AE588" s="137"/>
      <c r="AF588" s="137"/>
      <c r="AG588" s="137"/>
    </row>
    <row r="589" ht="30.0" customHeight="1">
      <c r="A589" s="248"/>
      <c r="B589" s="249"/>
      <c r="C589" s="248"/>
      <c r="D589" s="249"/>
      <c r="E589" s="249"/>
      <c r="F589" s="249"/>
      <c r="G589" s="250"/>
      <c r="H589" s="251"/>
      <c r="I589" s="252"/>
      <c r="J589" s="252"/>
      <c r="K589" s="252"/>
      <c r="L589" s="251"/>
      <c r="M589" s="251"/>
      <c r="N589" s="251"/>
      <c r="O589" s="251"/>
      <c r="P589" s="251"/>
      <c r="Q589" s="251"/>
      <c r="R589" s="251"/>
      <c r="S589" s="251"/>
      <c r="T589" s="251"/>
      <c r="U589" s="251"/>
      <c r="V589" s="251"/>
      <c r="W589" s="251"/>
      <c r="X589" s="251"/>
      <c r="Y589" s="251"/>
      <c r="Z589" s="251"/>
      <c r="AA589" s="137"/>
      <c r="AB589" s="137"/>
      <c r="AC589" s="137"/>
      <c r="AD589" s="137"/>
      <c r="AE589" s="137"/>
      <c r="AF589" s="137"/>
      <c r="AG589" s="137"/>
    </row>
    <row r="590" ht="30.0" customHeight="1">
      <c r="A590" s="248"/>
      <c r="B590" s="249"/>
      <c r="C590" s="248"/>
      <c r="D590" s="249"/>
      <c r="E590" s="249"/>
      <c r="F590" s="249"/>
      <c r="G590" s="250"/>
      <c r="H590" s="251"/>
      <c r="I590" s="252"/>
      <c r="J590" s="252"/>
      <c r="K590" s="252"/>
      <c r="L590" s="251"/>
      <c r="M590" s="251"/>
      <c r="N590" s="251"/>
      <c r="O590" s="251"/>
      <c r="P590" s="251"/>
      <c r="Q590" s="251"/>
      <c r="R590" s="251"/>
      <c r="S590" s="251"/>
      <c r="T590" s="251"/>
      <c r="U590" s="251"/>
      <c r="V590" s="251"/>
      <c r="W590" s="251"/>
      <c r="X590" s="251"/>
      <c r="Y590" s="251"/>
      <c r="Z590" s="251"/>
      <c r="AA590" s="137"/>
      <c r="AB590" s="137"/>
      <c r="AC590" s="137"/>
      <c r="AD590" s="137"/>
      <c r="AE590" s="137"/>
      <c r="AF590" s="137"/>
      <c r="AG590" s="137"/>
    </row>
    <row r="591" ht="30.0" customHeight="1">
      <c r="A591" s="248"/>
      <c r="B591" s="249"/>
      <c r="C591" s="248"/>
      <c r="D591" s="249"/>
      <c r="E591" s="251"/>
      <c r="F591" s="249"/>
      <c r="G591" s="250"/>
      <c r="H591" s="251"/>
      <c r="I591" s="252"/>
      <c r="J591" s="252"/>
      <c r="K591" s="252"/>
      <c r="L591" s="251"/>
      <c r="M591" s="251"/>
      <c r="N591" s="251"/>
      <c r="O591" s="251"/>
      <c r="P591" s="251"/>
      <c r="Q591" s="251"/>
      <c r="R591" s="251"/>
      <c r="S591" s="251"/>
      <c r="T591" s="251"/>
      <c r="U591" s="251"/>
      <c r="V591" s="251"/>
      <c r="W591" s="251"/>
      <c r="X591" s="251"/>
      <c r="Y591" s="251"/>
      <c r="Z591" s="251"/>
      <c r="AA591" s="137"/>
      <c r="AB591" s="137"/>
      <c r="AC591" s="137"/>
      <c r="AD591" s="137"/>
      <c r="AE591" s="137"/>
      <c r="AF591" s="137"/>
      <c r="AG591" s="137"/>
    </row>
    <row r="592" ht="30.0" customHeight="1">
      <c r="A592" s="248"/>
      <c r="B592" s="249"/>
      <c r="C592" s="248"/>
      <c r="D592" s="249"/>
      <c r="E592" s="249"/>
      <c r="F592" s="249"/>
      <c r="G592" s="250"/>
      <c r="H592" s="251"/>
      <c r="I592" s="252"/>
      <c r="J592" s="252"/>
      <c r="K592" s="252"/>
      <c r="L592" s="251"/>
      <c r="M592" s="251"/>
      <c r="N592" s="251"/>
      <c r="O592" s="251"/>
      <c r="P592" s="251"/>
      <c r="Q592" s="251"/>
      <c r="R592" s="251"/>
      <c r="S592" s="251"/>
      <c r="T592" s="251"/>
      <c r="U592" s="251"/>
      <c r="V592" s="251"/>
      <c r="W592" s="251"/>
      <c r="X592" s="251"/>
      <c r="Y592" s="251"/>
      <c r="Z592" s="251"/>
      <c r="AA592" s="137"/>
      <c r="AB592" s="137"/>
      <c r="AC592" s="137"/>
      <c r="AD592" s="137"/>
      <c r="AE592" s="137"/>
      <c r="AF592" s="137"/>
      <c r="AG592" s="137"/>
    </row>
    <row r="593" ht="30.0" customHeight="1">
      <c r="A593" s="248"/>
      <c r="B593" s="249"/>
      <c r="C593" s="248"/>
      <c r="D593" s="249"/>
      <c r="E593" s="249"/>
      <c r="F593" s="249"/>
      <c r="G593" s="250"/>
      <c r="H593" s="251"/>
      <c r="I593" s="252"/>
      <c r="J593" s="252"/>
      <c r="K593" s="252"/>
      <c r="L593" s="251"/>
      <c r="M593" s="251"/>
      <c r="N593" s="251"/>
      <c r="O593" s="251"/>
      <c r="P593" s="251"/>
      <c r="Q593" s="251"/>
      <c r="R593" s="251"/>
      <c r="S593" s="251"/>
      <c r="T593" s="251"/>
      <c r="U593" s="251"/>
      <c r="V593" s="251"/>
      <c r="W593" s="251"/>
      <c r="X593" s="251"/>
      <c r="Y593" s="251"/>
      <c r="Z593" s="251"/>
      <c r="AA593" s="137"/>
      <c r="AB593" s="137"/>
      <c r="AC593" s="137"/>
      <c r="AD593" s="137"/>
      <c r="AE593" s="137"/>
      <c r="AF593" s="137"/>
      <c r="AG593" s="137"/>
    </row>
    <row r="594" ht="30.0" customHeight="1">
      <c r="A594" s="248"/>
      <c r="B594" s="249"/>
      <c r="C594" s="248"/>
      <c r="D594" s="249"/>
      <c r="E594" s="249"/>
      <c r="F594" s="249"/>
      <c r="G594" s="250"/>
      <c r="H594" s="251"/>
      <c r="I594" s="252"/>
      <c r="J594" s="252"/>
      <c r="K594" s="252"/>
      <c r="L594" s="251"/>
      <c r="M594" s="251"/>
      <c r="N594" s="251"/>
      <c r="O594" s="251"/>
      <c r="P594" s="251"/>
      <c r="Q594" s="251"/>
      <c r="R594" s="251"/>
      <c r="S594" s="251"/>
      <c r="T594" s="251"/>
      <c r="U594" s="251"/>
      <c r="V594" s="251"/>
      <c r="W594" s="251"/>
      <c r="X594" s="251"/>
      <c r="Y594" s="251"/>
      <c r="Z594" s="251"/>
      <c r="AA594" s="137"/>
      <c r="AB594" s="137"/>
      <c r="AC594" s="137"/>
      <c r="AD594" s="137"/>
      <c r="AE594" s="137"/>
      <c r="AF594" s="137"/>
      <c r="AG594" s="137"/>
    </row>
    <row r="595" ht="30.0" customHeight="1">
      <c r="A595" s="248"/>
      <c r="B595" s="249"/>
      <c r="C595" s="248"/>
      <c r="D595" s="249"/>
      <c r="E595" s="249"/>
      <c r="F595" s="249"/>
      <c r="G595" s="250"/>
      <c r="H595" s="251"/>
      <c r="I595" s="252"/>
      <c r="J595" s="252"/>
      <c r="K595" s="252"/>
      <c r="L595" s="251"/>
      <c r="M595" s="251"/>
      <c r="N595" s="251"/>
      <c r="O595" s="251"/>
      <c r="P595" s="251"/>
      <c r="Q595" s="251"/>
      <c r="R595" s="251"/>
      <c r="S595" s="251"/>
      <c r="T595" s="251"/>
      <c r="U595" s="251"/>
      <c r="V595" s="251"/>
      <c r="W595" s="251"/>
      <c r="X595" s="251"/>
      <c r="Y595" s="251"/>
      <c r="Z595" s="251"/>
      <c r="AA595" s="137"/>
      <c r="AB595" s="137"/>
      <c r="AC595" s="137"/>
      <c r="AD595" s="137"/>
      <c r="AE595" s="137"/>
      <c r="AF595" s="137"/>
      <c r="AG595" s="137"/>
    </row>
    <row r="596" ht="30.0" customHeight="1">
      <c r="A596" s="248"/>
      <c r="B596" s="249"/>
      <c r="C596" s="248"/>
      <c r="D596" s="249"/>
      <c r="E596" s="251"/>
      <c r="F596" s="249"/>
      <c r="G596" s="250"/>
      <c r="H596" s="251"/>
      <c r="I596" s="252"/>
      <c r="J596" s="252"/>
      <c r="K596" s="252"/>
      <c r="L596" s="251"/>
      <c r="M596" s="251"/>
      <c r="N596" s="251"/>
      <c r="O596" s="251"/>
      <c r="P596" s="251"/>
      <c r="Q596" s="251"/>
      <c r="R596" s="251"/>
      <c r="S596" s="251"/>
      <c r="T596" s="251"/>
      <c r="U596" s="251"/>
      <c r="V596" s="251"/>
      <c r="W596" s="251"/>
      <c r="X596" s="251"/>
      <c r="Y596" s="251"/>
      <c r="Z596" s="251"/>
      <c r="AA596" s="137"/>
      <c r="AB596" s="137"/>
      <c r="AC596" s="137"/>
      <c r="AD596" s="137"/>
      <c r="AE596" s="137"/>
      <c r="AF596" s="137"/>
      <c r="AG596" s="137"/>
    </row>
    <row r="597" ht="30.0" customHeight="1">
      <c r="A597" s="248"/>
      <c r="B597" s="249"/>
      <c r="C597" s="248"/>
      <c r="D597" s="249"/>
      <c r="E597" s="249"/>
      <c r="F597" s="249"/>
      <c r="G597" s="250"/>
      <c r="H597" s="251"/>
      <c r="I597" s="252"/>
      <c r="J597" s="252"/>
      <c r="K597" s="252"/>
      <c r="L597" s="251"/>
      <c r="M597" s="251"/>
      <c r="N597" s="251"/>
      <c r="O597" s="251"/>
      <c r="P597" s="251"/>
      <c r="Q597" s="251"/>
      <c r="R597" s="251"/>
      <c r="S597" s="251"/>
      <c r="T597" s="251"/>
      <c r="U597" s="251"/>
      <c r="V597" s="251"/>
      <c r="W597" s="251"/>
      <c r="X597" s="251"/>
      <c r="Y597" s="251"/>
      <c r="Z597" s="251"/>
      <c r="AA597" s="137"/>
      <c r="AB597" s="137"/>
      <c r="AC597" s="137"/>
      <c r="AD597" s="137"/>
      <c r="AE597" s="137"/>
      <c r="AF597" s="137"/>
      <c r="AG597" s="137"/>
    </row>
    <row r="598" ht="30.0" customHeight="1">
      <c r="A598" s="248"/>
      <c r="B598" s="249"/>
      <c r="C598" s="248"/>
      <c r="D598" s="249"/>
      <c r="E598" s="249"/>
      <c r="F598" s="249"/>
      <c r="G598" s="249"/>
      <c r="H598" s="251"/>
      <c r="I598" s="252"/>
      <c r="J598" s="252"/>
      <c r="K598" s="252"/>
      <c r="L598" s="251"/>
      <c r="M598" s="251"/>
      <c r="N598" s="251"/>
      <c r="O598" s="251"/>
      <c r="P598" s="251"/>
      <c r="Q598" s="251"/>
      <c r="R598" s="251"/>
      <c r="S598" s="251"/>
      <c r="T598" s="251"/>
      <c r="U598" s="251"/>
      <c r="V598" s="251"/>
      <c r="W598" s="251"/>
      <c r="X598" s="251"/>
      <c r="Y598" s="251"/>
      <c r="Z598" s="251"/>
      <c r="AA598" s="137"/>
      <c r="AB598" s="137"/>
      <c r="AC598" s="137"/>
      <c r="AD598" s="137"/>
      <c r="AE598" s="137"/>
      <c r="AF598" s="137"/>
      <c r="AG598" s="137"/>
    </row>
    <row r="599" ht="30.0" customHeight="1">
      <c r="A599" s="248"/>
      <c r="B599" s="249"/>
      <c r="C599" s="248"/>
      <c r="D599" s="249"/>
      <c r="E599" s="251"/>
      <c r="F599" s="249"/>
      <c r="G599" s="250"/>
      <c r="H599" s="251"/>
      <c r="I599" s="252"/>
      <c r="J599" s="252"/>
      <c r="K599" s="252"/>
      <c r="L599" s="251"/>
      <c r="M599" s="251"/>
      <c r="N599" s="251"/>
      <c r="O599" s="251"/>
      <c r="P599" s="251"/>
      <c r="Q599" s="251"/>
      <c r="R599" s="251"/>
      <c r="S599" s="251"/>
      <c r="T599" s="251"/>
      <c r="U599" s="251"/>
      <c r="V599" s="251"/>
      <c r="W599" s="251"/>
      <c r="X599" s="251"/>
      <c r="Y599" s="251"/>
      <c r="Z599" s="251"/>
      <c r="AA599" s="137"/>
      <c r="AB599" s="137"/>
      <c r="AC599" s="137"/>
      <c r="AD599" s="137"/>
      <c r="AE599" s="137"/>
      <c r="AF599" s="137"/>
      <c r="AG599" s="137"/>
    </row>
    <row r="600" ht="30.0" customHeight="1">
      <c r="A600" s="248"/>
      <c r="B600" s="249"/>
      <c r="C600" s="248"/>
      <c r="D600" s="249"/>
      <c r="E600" s="249"/>
      <c r="F600" s="249"/>
      <c r="G600" s="250"/>
      <c r="H600" s="251"/>
      <c r="I600" s="252"/>
      <c r="J600" s="252"/>
      <c r="K600" s="252"/>
      <c r="L600" s="251"/>
      <c r="M600" s="251"/>
      <c r="N600" s="251"/>
      <c r="O600" s="251"/>
      <c r="P600" s="251"/>
      <c r="Q600" s="251"/>
      <c r="R600" s="251"/>
      <c r="S600" s="251"/>
      <c r="T600" s="251"/>
      <c r="U600" s="251"/>
      <c r="V600" s="251"/>
      <c r="W600" s="251"/>
      <c r="X600" s="251"/>
      <c r="Y600" s="251"/>
      <c r="Z600" s="251"/>
      <c r="AA600" s="137"/>
      <c r="AB600" s="137"/>
      <c r="AC600" s="137"/>
      <c r="AD600" s="137"/>
      <c r="AE600" s="137"/>
      <c r="AF600" s="137"/>
      <c r="AG600" s="137"/>
    </row>
    <row r="601" ht="30.0" customHeight="1">
      <c r="A601" s="248"/>
      <c r="B601" s="249"/>
      <c r="C601" s="248"/>
      <c r="D601" s="249"/>
      <c r="E601" s="249"/>
      <c r="F601" s="249"/>
      <c r="G601" s="250"/>
      <c r="H601" s="251"/>
      <c r="I601" s="252"/>
      <c r="J601" s="252"/>
      <c r="K601" s="252"/>
      <c r="L601" s="251"/>
      <c r="M601" s="251"/>
      <c r="N601" s="251"/>
      <c r="O601" s="251"/>
      <c r="P601" s="251"/>
      <c r="Q601" s="251"/>
      <c r="R601" s="251"/>
      <c r="S601" s="251"/>
      <c r="T601" s="251"/>
      <c r="U601" s="251"/>
      <c r="V601" s="251"/>
      <c r="W601" s="251"/>
      <c r="X601" s="251"/>
      <c r="Y601" s="251"/>
      <c r="Z601" s="251"/>
      <c r="AA601" s="137"/>
      <c r="AB601" s="137"/>
      <c r="AC601" s="137"/>
      <c r="AD601" s="137"/>
      <c r="AE601" s="137"/>
      <c r="AF601" s="137"/>
      <c r="AG601" s="137"/>
    </row>
    <row r="602" ht="30.0" customHeight="1">
      <c r="A602" s="248"/>
      <c r="B602" s="249"/>
      <c r="C602" s="248"/>
      <c r="D602" s="249"/>
      <c r="E602" s="249"/>
      <c r="F602" s="249"/>
      <c r="G602" s="250"/>
      <c r="H602" s="251"/>
      <c r="I602" s="252"/>
      <c r="J602" s="252"/>
      <c r="K602" s="252"/>
      <c r="L602" s="251"/>
      <c r="M602" s="251"/>
      <c r="N602" s="251"/>
      <c r="O602" s="251"/>
      <c r="P602" s="251"/>
      <c r="Q602" s="251"/>
      <c r="R602" s="251"/>
      <c r="S602" s="251"/>
      <c r="T602" s="251"/>
      <c r="U602" s="251"/>
      <c r="V602" s="251"/>
      <c r="W602" s="251"/>
      <c r="X602" s="251"/>
      <c r="Y602" s="251"/>
      <c r="Z602" s="251"/>
      <c r="AA602" s="137"/>
      <c r="AB602" s="137"/>
      <c r="AC602" s="137"/>
      <c r="AD602" s="137"/>
      <c r="AE602" s="137"/>
      <c r="AF602" s="137"/>
      <c r="AG602" s="137"/>
    </row>
    <row r="603" ht="30.0" customHeight="1">
      <c r="A603" s="248"/>
      <c r="B603" s="249"/>
      <c r="C603" s="248"/>
      <c r="D603" s="249"/>
      <c r="E603" s="249"/>
      <c r="F603" s="249"/>
      <c r="G603" s="250"/>
      <c r="H603" s="251"/>
      <c r="I603" s="252"/>
      <c r="J603" s="252"/>
      <c r="K603" s="252"/>
      <c r="L603" s="251"/>
      <c r="M603" s="251"/>
      <c r="N603" s="251"/>
      <c r="O603" s="251"/>
      <c r="P603" s="251"/>
      <c r="Q603" s="251"/>
      <c r="R603" s="251"/>
      <c r="S603" s="251"/>
      <c r="T603" s="251"/>
      <c r="U603" s="251"/>
      <c r="V603" s="251"/>
      <c r="W603" s="251"/>
      <c r="X603" s="251"/>
      <c r="Y603" s="251"/>
      <c r="Z603" s="251"/>
      <c r="AA603" s="137"/>
      <c r="AB603" s="137"/>
      <c r="AC603" s="137"/>
      <c r="AD603" s="137"/>
      <c r="AE603" s="137"/>
      <c r="AF603" s="137"/>
      <c r="AG603" s="137"/>
    </row>
    <row r="604" ht="30.0" customHeight="1">
      <c r="A604" s="248"/>
      <c r="B604" s="249"/>
      <c r="C604" s="248"/>
      <c r="D604" s="249"/>
      <c r="E604" s="251"/>
      <c r="F604" s="249"/>
      <c r="G604" s="250"/>
      <c r="H604" s="251"/>
      <c r="I604" s="252"/>
      <c r="J604" s="252"/>
      <c r="K604" s="252"/>
      <c r="L604" s="251"/>
      <c r="M604" s="251"/>
      <c r="N604" s="251"/>
      <c r="O604" s="251"/>
      <c r="P604" s="251"/>
      <c r="Q604" s="251"/>
      <c r="R604" s="251"/>
      <c r="S604" s="251"/>
      <c r="T604" s="251"/>
      <c r="U604" s="251"/>
      <c r="V604" s="251"/>
      <c r="W604" s="251"/>
      <c r="X604" s="251"/>
      <c r="Y604" s="251"/>
      <c r="Z604" s="251"/>
      <c r="AA604" s="137"/>
      <c r="AB604" s="137"/>
      <c r="AC604" s="137"/>
      <c r="AD604" s="137"/>
      <c r="AE604" s="137"/>
      <c r="AF604" s="137"/>
      <c r="AG604" s="137"/>
    </row>
    <row r="605" ht="30.0" customHeight="1">
      <c r="A605" s="248"/>
      <c r="B605" s="249"/>
      <c r="C605" s="248"/>
      <c r="D605" s="249"/>
      <c r="E605" s="251"/>
      <c r="F605" s="249"/>
      <c r="G605" s="250"/>
      <c r="H605" s="251"/>
      <c r="I605" s="252"/>
      <c r="J605" s="252"/>
      <c r="K605" s="252"/>
      <c r="L605" s="251"/>
      <c r="M605" s="251"/>
      <c r="N605" s="251"/>
      <c r="O605" s="251"/>
      <c r="P605" s="251"/>
      <c r="Q605" s="251"/>
      <c r="R605" s="251"/>
      <c r="S605" s="251"/>
      <c r="T605" s="251"/>
      <c r="U605" s="251"/>
      <c r="V605" s="251"/>
      <c r="W605" s="251"/>
      <c r="X605" s="251"/>
      <c r="Y605" s="251"/>
      <c r="Z605" s="251"/>
      <c r="AA605" s="137"/>
      <c r="AB605" s="137"/>
      <c r="AC605" s="137"/>
      <c r="AD605" s="137"/>
      <c r="AE605" s="137"/>
      <c r="AF605" s="137"/>
      <c r="AG605" s="137"/>
    </row>
    <row r="606" ht="30.0" customHeight="1">
      <c r="A606" s="248"/>
      <c r="B606" s="249"/>
      <c r="C606" s="248"/>
      <c r="D606" s="249"/>
      <c r="E606" s="249"/>
      <c r="F606" s="249"/>
      <c r="G606" s="250"/>
      <c r="H606" s="251"/>
      <c r="I606" s="252"/>
      <c r="J606" s="252"/>
      <c r="K606" s="252"/>
      <c r="L606" s="251"/>
      <c r="M606" s="251"/>
      <c r="N606" s="251"/>
      <c r="O606" s="251"/>
      <c r="P606" s="251"/>
      <c r="Q606" s="251"/>
      <c r="R606" s="251"/>
      <c r="S606" s="251"/>
      <c r="T606" s="251"/>
      <c r="U606" s="251"/>
      <c r="V606" s="251"/>
      <c r="W606" s="251"/>
      <c r="X606" s="251"/>
      <c r="Y606" s="251"/>
      <c r="Z606" s="251"/>
      <c r="AA606" s="137"/>
      <c r="AB606" s="137"/>
      <c r="AC606" s="137"/>
      <c r="AD606" s="137"/>
      <c r="AE606" s="137"/>
      <c r="AF606" s="137"/>
      <c r="AG606" s="137"/>
    </row>
    <row r="607" ht="30.0" customHeight="1">
      <c r="A607" s="248"/>
      <c r="B607" s="249"/>
      <c r="C607" s="248"/>
      <c r="D607" s="249"/>
      <c r="E607" s="249"/>
      <c r="F607" s="249"/>
      <c r="G607" s="250"/>
      <c r="H607" s="251"/>
      <c r="I607" s="252"/>
      <c r="J607" s="252"/>
      <c r="K607" s="252"/>
      <c r="L607" s="251"/>
      <c r="M607" s="251"/>
      <c r="N607" s="251"/>
      <c r="O607" s="251"/>
      <c r="P607" s="251"/>
      <c r="Q607" s="251"/>
      <c r="R607" s="251"/>
      <c r="S607" s="251"/>
      <c r="T607" s="251"/>
      <c r="U607" s="251"/>
      <c r="V607" s="251"/>
      <c r="W607" s="251"/>
      <c r="X607" s="251"/>
      <c r="Y607" s="251"/>
      <c r="Z607" s="251"/>
      <c r="AA607" s="137"/>
      <c r="AB607" s="137"/>
      <c r="AC607" s="137"/>
      <c r="AD607" s="137"/>
      <c r="AE607" s="137"/>
      <c r="AF607" s="137"/>
      <c r="AG607" s="137"/>
    </row>
    <row r="608" ht="30.0" customHeight="1">
      <c r="A608" s="248"/>
      <c r="B608" s="249"/>
      <c r="C608" s="248"/>
      <c r="D608" s="249"/>
      <c r="E608" s="249"/>
      <c r="F608" s="249"/>
      <c r="G608" s="250"/>
      <c r="H608" s="251"/>
      <c r="I608" s="252"/>
      <c r="J608" s="252"/>
      <c r="K608" s="252"/>
      <c r="L608" s="251"/>
      <c r="M608" s="251"/>
      <c r="N608" s="251"/>
      <c r="O608" s="251"/>
      <c r="P608" s="251"/>
      <c r="Q608" s="251"/>
      <c r="R608" s="251"/>
      <c r="S608" s="251"/>
      <c r="T608" s="251"/>
      <c r="U608" s="251"/>
      <c r="V608" s="251"/>
      <c r="W608" s="251"/>
      <c r="X608" s="251"/>
      <c r="Y608" s="251"/>
      <c r="Z608" s="251"/>
      <c r="AA608" s="137"/>
      <c r="AB608" s="137"/>
      <c r="AC608" s="137"/>
      <c r="AD608" s="137"/>
      <c r="AE608" s="137"/>
      <c r="AF608" s="137"/>
      <c r="AG608" s="137"/>
    </row>
    <row r="609" ht="30.0" customHeight="1">
      <c r="A609" s="248"/>
      <c r="B609" s="249"/>
      <c r="C609" s="248"/>
      <c r="D609" s="249"/>
      <c r="E609" s="249"/>
      <c r="F609" s="249"/>
      <c r="G609" s="250"/>
      <c r="H609" s="251"/>
      <c r="I609" s="252"/>
      <c r="J609" s="252"/>
      <c r="K609" s="252"/>
      <c r="L609" s="251"/>
      <c r="M609" s="251"/>
      <c r="N609" s="251"/>
      <c r="O609" s="251"/>
      <c r="P609" s="251"/>
      <c r="Q609" s="251"/>
      <c r="R609" s="251"/>
      <c r="S609" s="251"/>
      <c r="T609" s="251"/>
      <c r="U609" s="251"/>
      <c r="V609" s="251"/>
      <c r="W609" s="251"/>
      <c r="X609" s="251"/>
      <c r="Y609" s="251"/>
      <c r="Z609" s="251"/>
      <c r="AA609" s="137"/>
      <c r="AB609" s="137"/>
      <c r="AC609" s="137"/>
      <c r="AD609" s="137"/>
      <c r="AE609" s="137"/>
      <c r="AF609" s="137"/>
      <c r="AG609" s="137"/>
    </row>
    <row r="610" ht="30.0" customHeight="1">
      <c r="A610" s="248"/>
      <c r="B610" s="249"/>
      <c r="C610" s="248"/>
      <c r="D610" s="249"/>
      <c r="E610" s="249"/>
      <c r="F610" s="249"/>
      <c r="G610" s="250"/>
      <c r="H610" s="251"/>
      <c r="I610" s="252"/>
      <c r="J610" s="252"/>
      <c r="K610" s="252"/>
      <c r="L610" s="251"/>
      <c r="M610" s="251"/>
      <c r="N610" s="251"/>
      <c r="O610" s="251"/>
      <c r="P610" s="251"/>
      <c r="Q610" s="251"/>
      <c r="R610" s="251"/>
      <c r="S610" s="251"/>
      <c r="T610" s="251"/>
      <c r="U610" s="251"/>
      <c r="V610" s="251"/>
      <c r="W610" s="251"/>
      <c r="X610" s="251"/>
      <c r="Y610" s="251"/>
      <c r="Z610" s="251"/>
      <c r="AA610" s="137"/>
      <c r="AB610" s="137"/>
      <c r="AC610" s="137"/>
      <c r="AD610" s="137"/>
      <c r="AE610" s="137"/>
      <c r="AF610" s="137"/>
      <c r="AG610" s="137"/>
    </row>
    <row r="611" ht="30.0" customHeight="1">
      <c r="A611" s="248"/>
      <c r="B611" s="249"/>
      <c r="C611" s="248"/>
      <c r="D611" s="249"/>
      <c r="E611" s="251"/>
      <c r="F611" s="249"/>
      <c r="G611" s="250"/>
      <c r="H611" s="251"/>
      <c r="I611" s="252"/>
      <c r="J611" s="252"/>
      <c r="K611" s="252"/>
      <c r="L611" s="251"/>
      <c r="M611" s="251"/>
      <c r="N611" s="251"/>
      <c r="O611" s="251"/>
      <c r="P611" s="251"/>
      <c r="Q611" s="251"/>
      <c r="R611" s="251"/>
      <c r="S611" s="251"/>
      <c r="T611" s="251"/>
      <c r="U611" s="251"/>
      <c r="V611" s="251"/>
      <c r="W611" s="251"/>
      <c r="X611" s="251"/>
      <c r="Y611" s="251"/>
      <c r="Z611" s="251"/>
      <c r="AA611" s="137"/>
      <c r="AB611" s="137"/>
      <c r="AC611" s="137"/>
      <c r="AD611" s="137"/>
      <c r="AE611" s="137"/>
      <c r="AF611" s="137"/>
      <c r="AG611" s="137"/>
    </row>
    <row r="612" ht="30.0" customHeight="1">
      <c r="A612" s="248"/>
      <c r="B612" s="249"/>
      <c r="C612" s="248"/>
      <c r="D612" s="249"/>
      <c r="E612" s="251"/>
      <c r="F612" s="249"/>
      <c r="G612" s="250"/>
      <c r="H612" s="251"/>
      <c r="I612" s="252"/>
      <c r="J612" s="252"/>
      <c r="K612" s="252"/>
      <c r="L612" s="251"/>
      <c r="M612" s="251"/>
      <c r="N612" s="251"/>
      <c r="O612" s="251"/>
      <c r="P612" s="251"/>
      <c r="Q612" s="251"/>
      <c r="R612" s="251"/>
      <c r="S612" s="251"/>
      <c r="T612" s="251"/>
      <c r="U612" s="251"/>
      <c r="V612" s="251"/>
      <c r="W612" s="251"/>
      <c r="X612" s="251"/>
      <c r="Y612" s="251"/>
      <c r="Z612" s="251"/>
      <c r="AA612" s="137"/>
      <c r="AB612" s="137"/>
      <c r="AC612" s="137"/>
      <c r="AD612" s="137"/>
      <c r="AE612" s="137"/>
      <c r="AF612" s="137"/>
      <c r="AG612" s="137"/>
    </row>
    <row r="613" ht="30.0" customHeight="1">
      <c r="A613" s="248"/>
      <c r="B613" s="249"/>
      <c r="C613" s="248"/>
      <c r="D613" s="249"/>
      <c r="E613" s="249"/>
      <c r="F613" s="249"/>
      <c r="G613" s="250"/>
      <c r="H613" s="251"/>
      <c r="I613" s="252"/>
      <c r="J613" s="252"/>
      <c r="K613" s="252"/>
      <c r="L613" s="251"/>
      <c r="M613" s="251"/>
      <c r="N613" s="251"/>
      <c r="O613" s="251"/>
      <c r="P613" s="251"/>
      <c r="Q613" s="251"/>
      <c r="R613" s="251"/>
      <c r="S613" s="251"/>
      <c r="T613" s="251"/>
      <c r="U613" s="251"/>
      <c r="V613" s="251"/>
      <c r="W613" s="251"/>
      <c r="X613" s="251"/>
      <c r="Y613" s="251"/>
      <c r="Z613" s="251"/>
      <c r="AA613" s="137"/>
      <c r="AB613" s="137"/>
      <c r="AC613" s="137"/>
      <c r="AD613" s="137"/>
      <c r="AE613" s="137"/>
      <c r="AF613" s="137"/>
      <c r="AG613" s="137"/>
    </row>
    <row r="614" ht="30.0" customHeight="1">
      <c r="A614" s="248"/>
      <c r="B614" s="249"/>
      <c r="C614" s="248"/>
      <c r="D614" s="249"/>
      <c r="E614" s="249"/>
      <c r="F614" s="249"/>
      <c r="G614" s="250"/>
      <c r="H614" s="251"/>
      <c r="I614" s="252"/>
      <c r="J614" s="252"/>
      <c r="K614" s="252"/>
      <c r="L614" s="251"/>
      <c r="M614" s="251"/>
      <c r="N614" s="251"/>
      <c r="O614" s="251"/>
      <c r="P614" s="251"/>
      <c r="Q614" s="251"/>
      <c r="R614" s="251"/>
      <c r="S614" s="251"/>
      <c r="T614" s="251"/>
      <c r="U614" s="251"/>
      <c r="V614" s="251"/>
      <c r="W614" s="251"/>
      <c r="X614" s="251"/>
      <c r="Y614" s="251"/>
      <c r="Z614" s="251"/>
      <c r="AA614" s="137"/>
      <c r="AB614" s="137"/>
      <c r="AC614" s="137"/>
      <c r="AD614" s="137"/>
      <c r="AE614" s="137"/>
      <c r="AF614" s="137"/>
      <c r="AG614" s="137"/>
    </row>
    <row r="615" ht="30.0" customHeight="1">
      <c r="A615" s="248"/>
      <c r="B615" s="249"/>
      <c r="C615" s="248"/>
      <c r="D615" s="249"/>
      <c r="E615" s="249"/>
      <c r="F615" s="249"/>
      <c r="G615" s="250"/>
      <c r="H615" s="251"/>
      <c r="I615" s="252"/>
      <c r="J615" s="252"/>
      <c r="K615" s="252"/>
      <c r="L615" s="251"/>
      <c r="M615" s="251"/>
      <c r="N615" s="251"/>
      <c r="O615" s="251"/>
      <c r="P615" s="251"/>
      <c r="Q615" s="251"/>
      <c r="R615" s="251"/>
      <c r="S615" s="251"/>
      <c r="T615" s="251"/>
      <c r="U615" s="251"/>
      <c r="V615" s="251"/>
      <c r="W615" s="251"/>
      <c r="X615" s="251"/>
      <c r="Y615" s="251"/>
      <c r="Z615" s="251"/>
      <c r="AA615" s="137"/>
      <c r="AB615" s="137"/>
      <c r="AC615" s="137"/>
      <c r="AD615" s="137"/>
      <c r="AE615" s="137"/>
      <c r="AF615" s="137"/>
      <c r="AG615" s="137"/>
    </row>
    <row r="616" ht="30.0" customHeight="1">
      <c r="A616" s="248"/>
      <c r="B616" s="249"/>
      <c r="C616" s="248"/>
      <c r="D616" s="249"/>
      <c r="E616" s="251"/>
      <c r="F616" s="249"/>
      <c r="G616" s="250"/>
      <c r="H616" s="251"/>
      <c r="I616" s="252"/>
      <c r="J616" s="252"/>
      <c r="K616" s="252"/>
      <c r="L616" s="251"/>
      <c r="M616" s="251"/>
      <c r="N616" s="251"/>
      <c r="O616" s="251"/>
      <c r="P616" s="251"/>
      <c r="Q616" s="251"/>
      <c r="R616" s="251"/>
      <c r="S616" s="251"/>
      <c r="T616" s="251"/>
      <c r="U616" s="251"/>
      <c r="V616" s="251"/>
      <c r="W616" s="251"/>
      <c r="X616" s="251"/>
      <c r="Y616" s="251"/>
      <c r="Z616" s="251"/>
      <c r="AA616" s="137"/>
      <c r="AB616" s="137"/>
      <c r="AC616" s="137"/>
      <c r="AD616" s="137"/>
      <c r="AE616" s="137"/>
      <c r="AF616" s="137"/>
      <c r="AG616" s="137"/>
    </row>
    <row r="617" ht="30.0" customHeight="1">
      <c r="A617" s="248"/>
      <c r="B617" s="249"/>
      <c r="C617" s="248"/>
      <c r="D617" s="249"/>
      <c r="E617" s="249"/>
      <c r="F617" s="249"/>
      <c r="G617" s="250"/>
      <c r="H617" s="251"/>
      <c r="I617" s="252"/>
      <c r="J617" s="252"/>
      <c r="K617" s="252"/>
      <c r="L617" s="251"/>
      <c r="M617" s="251"/>
      <c r="N617" s="251"/>
      <c r="O617" s="251"/>
      <c r="P617" s="251"/>
      <c r="Q617" s="251"/>
      <c r="R617" s="251"/>
      <c r="S617" s="251"/>
      <c r="T617" s="251"/>
      <c r="U617" s="251"/>
      <c r="V617" s="251"/>
      <c r="W617" s="251"/>
      <c r="X617" s="251"/>
      <c r="Y617" s="251"/>
      <c r="Z617" s="251"/>
      <c r="AA617" s="137"/>
      <c r="AB617" s="137"/>
      <c r="AC617" s="137"/>
      <c r="AD617" s="137"/>
      <c r="AE617" s="137"/>
      <c r="AF617" s="137"/>
      <c r="AG617" s="137"/>
    </row>
    <row r="618" ht="30.0" customHeight="1">
      <c r="A618" s="248"/>
      <c r="B618" s="249"/>
      <c r="C618" s="248"/>
      <c r="D618" s="249"/>
      <c r="E618" s="249"/>
      <c r="F618" s="249"/>
      <c r="G618" s="250"/>
      <c r="H618" s="251"/>
      <c r="I618" s="252"/>
      <c r="J618" s="252"/>
      <c r="K618" s="252"/>
      <c r="L618" s="251"/>
      <c r="M618" s="251"/>
      <c r="N618" s="251"/>
      <c r="O618" s="251"/>
      <c r="P618" s="251"/>
      <c r="Q618" s="251"/>
      <c r="R618" s="251"/>
      <c r="S618" s="251"/>
      <c r="T618" s="251"/>
      <c r="U618" s="251"/>
      <c r="V618" s="251"/>
      <c r="W618" s="251"/>
      <c r="X618" s="251"/>
      <c r="Y618" s="251"/>
      <c r="Z618" s="251"/>
      <c r="AA618" s="137"/>
      <c r="AB618" s="137"/>
      <c r="AC618" s="137"/>
      <c r="AD618" s="137"/>
      <c r="AE618" s="137"/>
      <c r="AF618" s="137"/>
      <c r="AG618" s="137"/>
    </row>
    <row r="619" ht="30.0" customHeight="1">
      <c r="A619" s="248"/>
      <c r="B619" s="249"/>
      <c r="C619" s="248"/>
      <c r="D619" s="249"/>
      <c r="E619" s="251"/>
      <c r="F619" s="249"/>
      <c r="G619" s="250"/>
      <c r="H619" s="251"/>
      <c r="I619" s="252"/>
      <c r="J619" s="252"/>
      <c r="K619" s="252"/>
      <c r="L619" s="251"/>
      <c r="M619" s="251"/>
      <c r="N619" s="251"/>
      <c r="O619" s="251"/>
      <c r="P619" s="251"/>
      <c r="Q619" s="251"/>
      <c r="R619" s="251"/>
      <c r="S619" s="251"/>
      <c r="T619" s="251"/>
      <c r="U619" s="251"/>
      <c r="V619" s="251"/>
      <c r="W619" s="251"/>
      <c r="X619" s="251"/>
      <c r="Y619" s="251"/>
      <c r="Z619" s="251"/>
      <c r="AA619" s="137"/>
      <c r="AB619" s="137"/>
      <c r="AC619" s="137"/>
      <c r="AD619" s="137"/>
      <c r="AE619" s="137"/>
      <c r="AF619" s="137"/>
      <c r="AG619" s="137"/>
    </row>
    <row r="620" ht="30.0" customHeight="1">
      <c r="A620" s="248"/>
      <c r="B620" s="249"/>
      <c r="C620" s="248"/>
      <c r="D620" s="249"/>
      <c r="E620" s="249"/>
      <c r="F620" s="249"/>
      <c r="G620" s="250"/>
      <c r="H620" s="251"/>
      <c r="I620" s="252"/>
      <c r="J620" s="252"/>
      <c r="K620" s="252"/>
      <c r="L620" s="251"/>
      <c r="M620" s="251"/>
      <c r="N620" s="251"/>
      <c r="O620" s="251"/>
      <c r="P620" s="251"/>
      <c r="Q620" s="251"/>
      <c r="R620" s="251"/>
      <c r="S620" s="251"/>
      <c r="T620" s="251"/>
      <c r="U620" s="251"/>
      <c r="V620" s="251"/>
      <c r="W620" s="251"/>
      <c r="X620" s="251"/>
      <c r="Y620" s="251"/>
      <c r="Z620" s="251"/>
      <c r="AA620" s="137"/>
      <c r="AB620" s="137"/>
      <c r="AC620" s="137"/>
      <c r="AD620" s="137"/>
      <c r="AE620" s="137"/>
      <c r="AF620" s="137"/>
      <c r="AG620" s="137"/>
    </row>
    <row r="621" ht="30.0" customHeight="1">
      <c r="A621" s="248"/>
      <c r="B621" s="249"/>
      <c r="C621" s="248"/>
      <c r="D621" s="249"/>
      <c r="E621" s="249"/>
      <c r="F621" s="249"/>
      <c r="G621" s="250"/>
      <c r="H621" s="251"/>
      <c r="I621" s="252"/>
      <c r="J621" s="252"/>
      <c r="K621" s="252"/>
      <c r="L621" s="251"/>
      <c r="M621" s="251"/>
      <c r="N621" s="251"/>
      <c r="O621" s="251"/>
      <c r="P621" s="251"/>
      <c r="Q621" s="251"/>
      <c r="R621" s="251"/>
      <c r="S621" s="251"/>
      <c r="T621" s="251"/>
      <c r="U621" s="251"/>
      <c r="V621" s="251"/>
      <c r="W621" s="251"/>
      <c r="X621" s="251"/>
      <c r="Y621" s="251"/>
      <c r="Z621" s="251"/>
      <c r="AA621" s="137"/>
      <c r="AB621" s="137"/>
      <c r="AC621" s="137"/>
      <c r="AD621" s="137"/>
      <c r="AE621" s="137"/>
      <c r="AF621" s="137"/>
      <c r="AG621" s="137"/>
    </row>
    <row r="622" ht="30.0" customHeight="1">
      <c r="A622" s="248"/>
      <c r="B622" s="249"/>
      <c r="C622" s="248"/>
      <c r="D622" s="249"/>
      <c r="E622" s="249"/>
      <c r="F622" s="249"/>
      <c r="G622" s="250"/>
      <c r="H622" s="251"/>
      <c r="I622" s="252"/>
      <c r="J622" s="252"/>
      <c r="K622" s="252"/>
      <c r="L622" s="251"/>
      <c r="M622" s="251"/>
      <c r="N622" s="251"/>
      <c r="O622" s="251"/>
      <c r="P622" s="251"/>
      <c r="Q622" s="251"/>
      <c r="R622" s="251"/>
      <c r="S622" s="251"/>
      <c r="T622" s="251"/>
      <c r="U622" s="251"/>
      <c r="V622" s="251"/>
      <c r="W622" s="251"/>
      <c r="X622" s="251"/>
      <c r="Y622" s="251"/>
      <c r="Z622" s="251"/>
      <c r="AA622" s="137"/>
      <c r="AB622" s="137"/>
      <c r="AC622" s="137"/>
      <c r="AD622" s="137"/>
      <c r="AE622" s="137"/>
      <c r="AF622" s="137"/>
      <c r="AG622" s="137"/>
    </row>
    <row r="623" ht="30.0" customHeight="1">
      <c r="A623" s="249"/>
      <c r="B623" s="249"/>
      <c r="C623" s="248"/>
      <c r="D623" s="249"/>
      <c r="E623" s="249"/>
      <c r="F623" s="249"/>
      <c r="G623" s="250"/>
      <c r="H623" s="251"/>
      <c r="I623" s="252"/>
      <c r="J623" s="252"/>
      <c r="K623" s="252"/>
      <c r="L623" s="251"/>
      <c r="M623" s="251"/>
      <c r="N623" s="251"/>
      <c r="O623" s="251"/>
      <c r="P623" s="251"/>
      <c r="Q623" s="251"/>
      <c r="R623" s="251"/>
      <c r="S623" s="251"/>
      <c r="T623" s="251"/>
      <c r="U623" s="251"/>
      <c r="V623" s="251"/>
      <c r="W623" s="251"/>
      <c r="X623" s="251"/>
      <c r="Y623" s="251"/>
      <c r="Z623" s="251"/>
      <c r="AA623" s="137"/>
      <c r="AB623" s="137"/>
      <c r="AC623" s="137"/>
      <c r="AD623" s="137"/>
      <c r="AE623" s="137"/>
      <c r="AF623" s="137"/>
      <c r="AG623" s="137"/>
    </row>
    <row r="624" ht="30.0" customHeight="1">
      <c r="A624" s="248"/>
      <c r="B624" s="249"/>
      <c r="C624" s="248"/>
      <c r="D624" s="249"/>
      <c r="E624" s="249"/>
      <c r="F624" s="249"/>
      <c r="G624" s="249"/>
      <c r="H624" s="251"/>
      <c r="I624" s="252"/>
      <c r="J624" s="252"/>
      <c r="K624" s="252"/>
      <c r="L624" s="251"/>
      <c r="M624" s="251"/>
      <c r="N624" s="251"/>
      <c r="O624" s="251"/>
      <c r="P624" s="251"/>
      <c r="Q624" s="251"/>
      <c r="R624" s="251"/>
      <c r="S624" s="251"/>
      <c r="T624" s="251"/>
      <c r="U624" s="251"/>
      <c r="V624" s="251"/>
      <c r="W624" s="251"/>
      <c r="X624" s="251"/>
      <c r="Y624" s="251"/>
      <c r="Z624" s="251"/>
      <c r="AA624" s="137"/>
      <c r="AB624" s="137"/>
      <c r="AC624" s="137"/>
      <c r="AD624" s="137"/>
      <c r="AE624" s="137"/>
      <c r="AF624" s="137"/>
      <c r="AG624" s="137"/>
    </row>
    <row r="625" ht="30.0" customHeight="1">
      <c r="A625" s="248"/>
      <c r="B625" s="249"/>
      <c r="C625" s="248"/>
      <c r="D625" s="249"/>
      <c r="E625" s="251"/>
      <c r="F625" s="249"/>
      <c r="G625" s="250"/>
      <c r="H625" s="251"/>
      <c r="I625" s="252"/>
      <c r="J625" s="252"/>
      <c r="K625" s="252"/>
      <c r="L625" s="251"/>
      <c r="M625" s="251"/>
      <c r="N625" s="251"/>
      <c r="O625" s="251"/>
      <c r="P625" s="251"/>
      <c r="Q625" s="251"/>
      <c r="R625" s="251"/>
      <c r="S625" s="251"/>
      <c r="T625" s="251"/>
      <c r="U625" s="251"/>
      <c r="V625" s="251"/>
      <c r="W625" s="251"/>
      <c r="X625" s="251"/>
      <c r="Y625" s="251"/>
      <c r="Z625" s="251"/>
      <c r="AA625" s="137"/>
      <c r="AB625" s="137"/>
      <c r="AC625" s="137"/>
      <c r="AD625" s="137"/>
      <c r="AE625" s="137"/>
      <c r="AF625" s="137"/>
      <c r="AG625" s="137"/>
    </row>
    <row r="626" ht="30.0" customHeight="1">
      <c r="A626" s="248"/>
      <c r="B626" s="249"/>
      <c r="C626" s="248"/>
      <c r="D626" s="249"/>
      <c r="E626" s="249"/>
      <c r="F626" s="249"/>
      <c r="G626" s="250"/>
      <c r="H626" s="251"/>
      <c r="I626" s="252"/>
      <c r="J626" s="252"/>
      <c r="K626" s="252"/>
      <c r="L626" s="251"/>
      <c r="M626" s="251"/>
      <c r="N626" s="251"/>
      <c r="O626" s="251"/>
      <c r="P626" s="251"/>
      <c r="Q626" s="251"/>
      <c r="R626" s="251"/>
      <c r="S626" s="251"/>
      <c r="T626" s="251"/>
      <c r="U626" s="251"/>
      <c r="V626" s="251"/>
      <c r="W626" s="251"/>
      <c r="X626" s="251"/>
      <c r="Y626" s="251"/>
      <c r="Z626" s="251"/>
      <c r="AA626" s="137"/>
      <c r="AB626" s="137"/>
      <c r="AC626" s="137"/>
      <c r="AD626" s="137"/>
      <c r="AE626" s="137"/>
      <c r="AF626" s="137"/>
      <c r="AG626" s="137"/>
    </row>
    <row r="627" ht="30.0" customHeight="1">
      <c r="A627" s="248"/>
      <c r="B627" s="251"/>
      <c r="C627" s="248"/>
      <c r="D627" s="249"/>
      <c r="E627" s="249"/>
      <c r="F627" s="249"/>
      <c r="G627" s="250"/>
      <c r="H627" s="251"/>
      <c r="I627" s="252"/>
      <c r="J627" s="252"/>
      <c r="K627" s="252"/>
      <c r="L627" s="251"/>
      <c r="M627" s="251"/>
      <c r="N627" s="251"/>
      <c r="O627" s="251"/>
      <c r="P627" s="251"/>
      <c r="Q627" s="251"/>
      <c r="R627" s="251"/>
      <c r="S627" s="251"/>
      <c r="T627" s="251"/>
      <c r="U627" s="251"/>
      <c r="V627" s="251"/>
      <c r="W627" s="251"/>
      <c r="X627" s="251"/>
      <c r="Y627" s="251"/>
      <c r="Z627" s="251"/>
      <c r="AA627" s="137"/>
      <c r="AB627" s="137"/>
      <c r="AC627" s="137"/>
      <c r="AD627" s="137"/>
      <c r="AE627" s="137"/>
      <c r="AF627" s="137"/>
      <c r="AG627" s="137"/>
    </row>
    <row r="628" ht="30.0" customHeight="1">
      <c r="A628" s="248"/>
      <c r="B628" s="249"/>
      <c r="C628" s="248"/>
      <c r="D628" s="249"/>
      <c r="E628" s="251"/>
      <c r="F628" s="249"/>
      <c r="G628" s="249"/>
      <c r="H628" s="251"/>
      <c r="I628" s="252"/>
      <c r="J628" s="252"/>
      <c r="K628" s="252"/>
      <c r="L628" s="251"/>
      <c r="M628" s="251"/>
      <c r="N628" s="251"/>
      <c r="O628" s="251"/>
      <c r="P628" s="251"/>
      <c r="Q628" s="251"/>
      <c r="R628" s="251"/>
      <c r="S628" s="251"/>
      <c r="T628" s="251"/>
      <c r="U628" s="251"/>
      <c r="V628" s="251"/>
      <c r="W628" s="251"/>
      <c r="X628" s="251"/>
      <c r="Y628" s="251"/>
      <c r="Z628" s="251"/>
      <c r="AA628" s="137"/>
      <c r="AB628" s="137"/>
      <c r="AC628" s="137"/>
      <c r="AD628" s="137"/>
      <c r="AE628" s="137"/>
      <c r="AF628" s="137"/>
      <c r="AG628" s="137"/>
    </row>
    <row r="629" ht="30.0" customHeight="1">
      <c r="A629" s="248"/>
      <c r="B629" s="249"/>
      <c r="C629" s="248"/>
      <c r="D629" s="249"/>
      <c r="E629" s="249"/>
      <c r="F629" s="249"/>
      <c r="G629" s="250"/>
      <c r="H629" s="251"/>
      <c r="I629" s="252"/>
      <c r="J629" s="252"/>
      <c r="K629" s="252"/>
      <c r="L629" s="251"/>
      <c r="M629" s="251"/>
      <c r="N629" s="251"/>
      <c r="O629" s="251"/>
      <c r="P629" s="251"/>
      <c r="Q629" s="251"/>
      <c r="R629" s="251"/>
      <c r="S629" s="251"/>
      <c r="T629" s="251"/>
      <c r="U629" s="251"/>
      <c r="V629" s="251"/>
      <c r="W629" s="251"/>
      <c r="X629" s="251"/>
      <c r="Y629" s="251"/>
      <c r="Z629" s="251"/>
      <c r="AA629" s="137"/>
      <c r="AB629" s="137"/>
      <c r="AC629" s="137"/>
      <c r="AD629" s="137"/>
      <c r="AE629" s="137"/>
      <c r="AF629" s="137"/>
      <c r="AG629" s="137"/>
    </row>
    <row r="630" ht="30.0" customHeight="1">
      <c r="A630" s="248"/>
      <c r="B630" s="249"/>
      <c r="C630" s="248"/>
      <c r="D630" s="249"/>
      <c r="E630" s="249"/>
      <c r="F630" s="249"/>
      <c r="G630" s="250"/>
      <c r="H630" s="251"/>
      <c r="I630" s="252"/>
      <c r="J630" s="252"/>
      <c r="K630" s="252"/>
      <c r="L630" s="251"/>
      <c r="M630" s="251"/>
      <c r="N630" s="251"/>
      <c r="O630" s="251"/>
      <c r="P630" s="251"/>
      <c r="Q630" s="251"/>
      <c r="R630" s="251"/>
      <c r="S630" s="251"/>
      <c r="T630" s="251"/>
      <c r="U630" s="251"/>
      <c r="V630" s="251"/>
      <c r="W630" s="251"/>
      <c r="X630" s="251"/>
      <c r="Y630" s="251"/>
      <c r="Z630" s="251"/>
      <c r="AA630" s="137"/>
      <c r="AB630" s="137"/>
      <c r="AC630" s="137"/>
      <c r="AD630" s="137"/>
      <c r="AE630" s="137"/>
      <c r="AF630" s="137"/>
      <c r="AG630" s="137"/>
    </row>
    <row r="631" ht="30.0" customHeight="1">
      <c r="A631" s="248"/>
      <c r="B631" s="249"/>
      <c r="C631" s="248"/>
      <c r="D631" s="249"/>
      <c r="E631" s="249"/>
      <c r="F631" s="249"/>
      <c r="G631" s="250"/>
      <c r="H631" s="251"/>
      <c r="I631" s="252"/>
      <c r="J631" s="252"/>
      <c r="K631" s="252"/>
      <c r="L631" s="251"/>
      <c r="M631" s="251"/>
      <c r="N631" s="251"/>
      <c r="O631" s="251"/>
      <c r="P631" s="251"/>
      <c r="Q631" s="251"/>
      <c r="R631" s="251"/>
      <c r="S631" s="251"/>
      <c r="T631" s="251"/>
      <c r="U631" s="251"/>
      <c r="V631" s="251"/>
      <c r="W631" s="251"/>
      <c r="X631" s="251"/>
      <c r="Y631" s="251"/>
      <c r="Z631" s="251"/>
      <c r="AA631" s="137"/>
      <c r="AB631" s="137"/>
      <c r="AC631" s="137"/>
      <c r="AD631" s="137"/>
      <c r="AE631" s="137"/>
      <c r="AF631" s="137"/>
      <c r="AG631" s="137"/>
    </row>
    <row r="632" ht="30.0" customHeight="1">
      <c r="A632" s="248"/>
      <c r="B632" s="249"/>
      <c r="C632" s="248"/>
      <c r="D632" s="249"/>
      <c r="E632" s="251"/>
      <c r="F632" s="249"/>
      <c r="G632" s="250"/>
      <c r="H632" s="251"/>
      <c r="I632" s="252"/>
      <c r="J632" s="252"/>
      <c r="K632" s="252"/>
      <c r="L632" s="251"/>
      <c r="M632" s="251"/>
      <c r="N632" s="251"/>
      <c r="O632" s="251"/>
      <c r="P632" s="251"/>
      <c r="Q632" s="251"/>
      <c r="R632" s="251"/>
      <c r="S632" s="251"/>
      <c r="T632" s="251"/>
      <c r="U632" s="251"/>
      <c r="V632" s="251"/>
      <c r="W632" s="251"/>
      <c r="X632" s="251"/>
      <c r="Y632" s="251"/>
      <c r="Z632" s="251"/>
      <c r="AA632" s="137"/>
      <c r="AB632" s="137"/>
      <c r="AC632" s="137"/>
      <c r="AD632" s="137"/>
      <c r="AE632" s="137"/>
      <c r="AF632" s="137"/>
      <c r="AG632" s="137"/>
    </row>
    <row r="633" ht="30.0" customHeight="1">
      <c r="A633" s="248"/>
      <c r="B633" s="249"/>
      <c r="C633" s="248"/>
      <c r="D633" s="249"/>
      <c r="E633" s="249"/>
      <c r="F633" s="249"/>
      <c r="G633" s="250"/>
      <c r="H633" s="251"/>
      <c r="I633" s="252"/>
      <c r="J633" s="252"/>
      <c r="K633" s="252"/>
      <c r="L633" s="251"/>
      <c r="M633" s="251"/>
      <c r="N633" s="251"/>
      <c r="O633" s="251"/>
      <c r="P633" s="251"/>
      <c r="Q633" s="251"/>
      <c r="R633" s="251"/>
      <c r="S633" s="251"/>
      <c r="T633" s="251"/>
      <c r="U633" s="251"/>
      <c r="V633" s="251"/>
      <c r="W633" s="251"/>
      <c r="X633" s="251"/>
      <c r="Y633" s="251"/>
      <c r="Z633" s="251"/>
      <c r="AA633" s="137"/>
      <c r="AB633" s="137"/>
      <c r="AC633" s="137"/>
      <c r="AD633" s="137"/>
      <c r="AE633" s="137"/>
      <c r="AF633" s="137"/>
      <c r="AG633" s="137"/>
    </row>
    <row r="634" ht="30.0" customHeight="1">
      <c r="A634" s="248"/>
      <c r="B634" s="249"/>
      <c r="C634" s="248"/>
      <c r="D634" s="249"/>
      <c r="E634" s="249"/>
      <c r="F634" s="249"/>
      <c r="G634" s="250"/>
      <c r="H634" s="251"/>
      <c r="I634" s="252"/>
      <c r="J634" s="252"/>
      <c r="K634" s="252"/>
      <c r="L634" s="251"/>
      <c r="M634" s="251"/>
      <c r="N634" s="251"/>
      <c r="O634" s="251"/>
      <c r="P634" s="251"/>
      <c r="Q634" s="251"/>
      <c r="R634" s="251"/>
      <c r="S634" s="251"/>
      <c r="T634" s="251"/>
      <c r="U634" s="251"/>
      <c r="V634" s="251"/>
      <c r="W634" s="251"/>
      <c r="X634" s="251"/>
      <c r="Y634" s="251"/>
      <c r="Z634" s="251"/>
      <c r="AA634" s="137"/>
      <c r="AB634" s="137"/>
      <c r="AC634" s="137"/>
      <c r="AD634" s="137"/>
      <c r="AE634" s="137"/>
      <c r="AF634" s="137"/>
      <c r="AG634" s="137"/>
    </row>
    <row r="635" ht="30.0" customHeight="1">
      <c r="A635" s="248"/>
      <c r="B635" s="249"/>
      <c r="C635" s="248"/>
      <c r="D635" s="249"/>
      <c r="E635" s="249"/>
      <c r="F635" s="249"/>
      <c r="G635" s="250"/>
      <c r="H635" s="251"/>
      <c r="I635" s="252"/>
      <c r="J635" s="252"/>
      <c r="K635" s="252"/>
      <c r="L635" s="251"/>
      <c r="M635" s="251"/>
      <c r="N635" s="251"/>
      <c r="O635" s="251"/>
      <c r="P635" s="251"/>
      <c r="Q635" s="251"/>
      <c r="R635" s="251"/>
      <c r="S635" s="251"/>
      <c r="T635" s="251"/>
      <c r="U635" s="251"/>
      <c r="V635" s="251"/>
      <c r="W635" s="251"/>
      <c r="X635" s="251"/>
      <c r="Y635" s="251"/>
      <c r="Z635" s="251"/>
      <c r="AA635" s="137"/>
      <c r="AB635" s="137"/>
      <c r="AC635" s="137"/>
      <c r="AD635" s="137"/>
      <c r="AE635" s="137"/>
      <c r="AF635" s="137"/>
      <c r="AG635" s="137"/>
    </row>
    <row r="636" ht="30.0" customHeight="1">
      <c r="A636" s="248"/>
      <c r="B636" s="249"/>
      <c r="C636" s="248"/>
      <c r="D636" s="249"/>
      <c r="E636" s="249"/>
      <c r="F636" s="249"/>
      <c r="G636" s="250"/>
      <c r="H636" s="251"/>
      <c r="I636" s="252"/>
      <c r="J636" s="252"/>
      <c r="K636" s="252"/>
      <c r="L636" s="251"/>
      <c r="M636" s="251"/>
      <c r="N636" s="251"/>
      <c r="O636" s="251"/>
      <c r="P636" s="251"/>
      <c r="Q636" s="251"/>
      <c r="R636" s="251"/>
      <c r="S636" s="251"/>
      <c r="T636" s="251"/>
      <c r="U636" s="251"/>
      <c r="V636" s="251"/>
      <c r="W636" s="251"/>
      <c r="X636" s="251"/>
      <c r="Y636" s="251"/>
      <c r="Z636" s="251"/>
      <c r="AA636" s="137"/>
      <c r="AB636" s="137"/>
      <c r="AC636" s="137"/>
      <c r="AD636" s="137"/>
      <c r="AE636" s="137"/>
      <c r="AF636" s="137"/>
      <c r="AG636" s="137"/>
    </row>
    <row r="637" ht="30.0" customHeight="1">
      <c r="A637" s="248"/>
      <c r="B637" s="249"/>
      <c r="C637" s="248"/>
      <c r="D637" s="249"/>
      <c r="E637" s="251"/>
      <c r="F637" s="249"/>
      <c r="G637" s="250"/>
      <c r="H637" s="251"/>
      <c r="I637" s="252"/>
      <c r="J637" s="252"/>
      <c r="K637" s="252"/>
      <c r="L637" s="251"/>
      <c r="M637" s="251"/>
      <c r="N637" s="251"/>
      <c r="O637" s="251"/>
      <c r="P637" s="251"/>
      <c r="Q637" s="251"/>
      <c r="R637" s="251"/>
      <c r="S637" s="251"/>
      <c r="T637" s="251"/>
      <c r="U637" s="251"/>
      <c r="V637" s="251"/>
      <c r="W637" s="251"/>
      <c r="X637" s="251"/>
      <c r="Y637" s="251"/>
      <c r="Z637" s="251"/>
      <c r="AA637" s="137"/>
      <c r="AB637" s="137"/>
      <c r="AC637" s="137"/>
      <c r="AD637" s="137"/>
      <c r="AE637" s="137"/>
      <c r="AF637" s="137"/>
      <c r="AG637" s="137"/>
    </row>
    <row r="638" ht="30.0" customHeight="1">
      <c r="A638" s="248"/>
      <c r="B638" s="255"/>
      <c r="C638" s="248"/>
      <c r="D638" s="249"/>
      <c r="E638" s="249"/>
      <c r="F638" s="249"/>
      <c r="G638" s="250"/>
      <c r="H638" s="251"/>
      <c r="I638" s="252"/>
      <c r="J638" s="252"/>
      <c r="K638" s="252"/>
      <c r="L638" s="251"/>
      <c r="M638" s="251"/>
      <c r="N638" s="251"/>
      <c r="O638" s="251"/>
      <c r="P638" s="251"/>
      <c r="Q638" s="251"/>
      <c r="R638" s="251"/>
      <c r="S638" s="251"/>
      <c r="T638" s="251"/>
      <c r="U638" s="251"/>
      <c r="V638" s="251"/>
      <c r="W638" s="251"/>
      <c r="X638" s="251"/>
      <c r="Y638" s="251"/>
      <c r="Z638" s="251"/>
      <c r="AA638" s="137"/>
      <c r="AB638" s="137"/>
      <c r="AC638" s="137"/>
      <c r="AD638" s="137"/>
      <c r="AE638" s="137"/>
      <c r="AF638" s="137"/>
      <c r="AG638" s="137"/>
    </row>
    <row r="639" ht="30.0" customHeight="1">
      <c r="A639" s="248"/>
      <c r="B639" s="249"/>
      <c r="C639" s="248"/>
      <c r="D639" s="249"/>
      <c r="E639" s="249"/>
      <c r="F639" s="249"/>
      <c r="G639" s="250"/>
      <c r="H639" s="251"/>
      <c r="I639" s="252"/>
      <c r="J639" s="252"/>
      <c r="K639" s="252"/>
      <c r="L639" s="251"/>
      <c r="M639" s="251"/>
      <c r="N639" s="251"/>
      <c r="O639" s="251"/>
      <c r="P639" s="251"/>
      <c r="Q639" s="251"/>
      <c r="R639" s="251"/>
      <c r="S639" s="251"/>
      <c r="T639" s="251"/>
      <c r="U639" s="251"/>
      <c r="V639" s="251"/>
      <c r="W639" s="251"/>
      <c r="X639" s="251"/>
      <c r="Y639" s="251"/>
      <c r="Z639" s="251"/>
      <c r="AA639" s="137"/>
      <c r="AB639" s="137"/>
      <c r="AC639" s="137"/>
      <c r="AD639" s="137"/>
      <c r="AE639" s="137"/>
      <c r="AF639" s="137"/>
      <c r="AG639" s="137"/>
    </row>
    <row r="640" ht="30.0" customHeight="1">
      <c r="A640" s="248"/>
      <c r="B640" s="249"/>
      <c r="C640" s="248"/>
      <c r="D640" s="249"/>
      <c r="E640" s="249"/>
      <c r="F640" s="249"/>
      <c r="G640" s="250"/>
      <c r="H640" s="251"/>
      <c r="I640" s="252"/>
      <c r="J640" s="252"/>
      <c r="K640" s="252"/>
      <c r="L640" s="251"/>
      <c r="M640" s="251"/>
      <c r="N640" s="251"/>
      <c r="O640" s="251"/>
      <c r="P640" s="251"/>
      <c r="Q640" s="251"/>
      <c r="R640" s="251"/>
      <c r="S640" s="251"/>
      <c r="T640" s="251"/>
      <c r="U640" s="251"/>
      <c r="V640" s="251"/>
      <c r="W640" s="251"/>
      <c r="X640" s="251"/>
      <c r="Y640" s="251"/>
      <c r="Z640" s="251"/>
      <c r="AA640" s="137"/>
      <c r="AB640" s="137"/>
      <c r="AC640" s="137"/>
      <c r="AD640" s="137"/>
      <c r="AE640" s="137"/>
      <c r="AF640" s="137"/>
      <c r="AG640" s="137"/>
    </row>
    <row r="641" ht="30.0" customHeight="1">
      <c r="A641" s="248"/>
      <c r="B641" s="249"/>
      <c r="C641" s="248"/>
      <c r="D641" s="249"/>
      <c r="E641" s="251"/>
      <c r="F641" s="249"/>
      <c r="G641" s="250"/>
      <c r="H641" s="251"/>
      <c r="I641" s="252"/>
      <c r="J641" s="252"/>
      <c r="K641" s="252"/>
      <c r="L641" s="251"/>
      <c r="M641" s="251"/>
      <c r="N641" s="251"/>
      <c r="O641" s="251"/>
      <c r="P641" s="251"/>
      <c r="Q641" s="251"/>
      <c r="R641" s="251"/>
      <c r="S641" s="251"/>
      <c r="T641" s="251"/>
      <c r="U641" s="251"/>
      <c r="V641" s="251"/>
      <c r="W641" s="251"/>
      <c r="X641" s="251"/>
      <c r="Y641" s="251"/>
      <c r="Z641" s="251"/>
      <c r="AA641" s="137"/>
      <c r="AB641" s="137"/>
      <c r="AC641" s="137"/>
      <c r="AD641" s="137"/>
      <c r="AE641" s="137"/>
      <c r="AF641" s="137"/>
      <c r="AG641" s="137"/>
    </row>
    <row r="642" ht="30.0" customHeight="1">
      <c r="A642" s="248"/>
      <c r="B642" s="249"/>
      <c r="C642" s="248"/>
      <c r="D642" s="249"/>
      <c r="E642" s="249"/>
      <c r="F642" s="249"/>
      <c r="G642" s="249"/>
      <c r="H642" s="251"/>
      <c r="I642" s="252"/>
      <c r="J642" s="252"/>
      <c r="K642" s="252"/>
      <c r="L642" s="251"/>
      <c r="M642" s="251"/>
      <c r="N642" s="251"/>
      <c r="O642" s="251"/>
      <c r="P642" s="251"/>
      <c r="Q642" s="251"/>
      <c r="R642" s="251"/>
      <c r="S642" s="251"/>
      <c r="T642" s="251"/>
      <c r="U642" s="251"/>
      <c r="V642" s="251"/>
      <c r="W642" s="251"/>
      <c r="X642" s="251"/>
      <c r="Y642" s="251"/>
      <c r="Z642" s="251"/>
      <c r="AA642" s="137"/>
      <c r="AB642" s="137"/>
      <c r="AC642" s="137"/>
      <c r="AD642" s="137"/>
      <c r="AE642" s="137"/>
      <c r="AF642" s="137"/>
      <c r="AG642" s="137"/>
    </row>
    <row r="643" ht="30.0" customHeight="1">
      <c r="A643" s="248"/>
      <c r="B643" s="249"/>
      <c r="C643" s="248"/>
      <c r="D643" s="249"/>
      <c r="E643" s="249"/>
      <c r="F643" s="249"/>
      <c r="G643" s="250"/>
      <c r="H643" s="251"/>
      <c r="I643" s="252"/>
      <c r="J643" s="252"/>
      <c r="K643" s="252"/>
      <c r="L643" s="251"/>
      <c r="M643" s="251"/>
      <c r="N643" s="251"/>
      <c r="O643" s="251"/>
      <c r="P643" s="251"/>
      <c r="Q643" s="251"/>
      <c r="R643" s="251"/>
      <c r="S643" s="251"/>
      <c r="T643" s="251"/>
      <c r="U643" s="251"/>
      <c r="V643" s="251"/>
      <c r="W643" s="251"/>
      <c r="X643" s="251"/>
      <c r="Y643" s="251"/>
      <c r="Z643" s="251"/>
      <c r="AA643" s="137"/>
      <c r="AB643" s="137"/>
      <c r="AC643" s="137"/>
      <c r="AD643" s="137"/>
      <c r="AE643" s="137"/>
      <c r="AF643" s="137"/>
      <c r="AG643" s="137"/>
    </row>
    <row r="644" ht="30.0" customHeight="1">
      <c r="A644" s="248"/>
      <c r="B644" s="251"/>
      <c r="C644" s="248"/>
      <c r="D644" s="249"/>
      <c r="E644" s="249"/>
      <c r="F644" s="249"/>
      <c r="G644" s="250"/>
      <c r="H644" s="251"/>
      <c r="I644" s="252"/>
      <c r="J644" s="252"/>
      <c r="K644" s="252"/>
      <c r="L644" s="251"/>
      <c r="M644" s="251"/>
      <c r="N644" s="251"/>
      <c r="O644" s="251"/>
      <c r="P644" s="251"/>
      <c r="Q644" s="251"/>
      <c r="R644" s="251"/>
      <c r="S644" s="251"/>
      <c r="T644" s="251"/>
      <c r="U644" s="251"/>
      <c r="V644" s="251"/>
      <c r="W644" s="251"/>
      <c r="X644" s="251"/>
      <c r="Y644" s="251"/>
      <c r="Z644" s="251"/>
      <c r="AA644" s="137"/>
      <c r="AB644" s="137"/>
      <c r="AC644" s="137"/>
      <c r="AD644" s="137"/>
      <c r="AE644" s="137"/>
      <c r="AF644" s="137"/>
      <c r="AG644" s="137"/>
    </row>
    <row r="645" ht="30.0" customHeight="1">
      <c r="A645" s="248"/>
      <c r="B645" s="249"/>
      <c r="C645" s="248"/>
      <c r="D645" s="249"/>
      <c r="E645" s="249"/>
      <c r="F645" s="249"/>
      <c r="G645" s="250"/>
      <c r="H645" s="251"/>
      <c r="I645" s="252"/>
      <c r="J645" s="252"/>
      <c r="K645" s="252"/>
      <c r="L645" s="251"/>
      <c r="M645" s="251"/>
      <c r="N645" s="251"/>
      <c r="O645" s="251"/>
      <c r="P645" s="251"/>
      <c r="Q645" s="251"/>
      <c r="R645" s="251"/>
      <c r="S645" s="251"/>
      <c r="T645" s="251"/>
      <c r="U645" s="251"/>
      <c r="V645" s="251"/>
      <c r="W645" s="251"/>
      <c r="X645" s="251"/>
      <c r="Y645" s="251"/>
      <c r="Z645" s="251"/>
      <c r="AA645" s="137"/>
      <c r="AB645" s="137"/>
      <c r="AC645" s="137"/>
      <c r="AD645" s="137"/>
      <c r="AE645" s="137"/>
      <c r="AF645" s="137"/>
      <c r="AG645" s="137"/>
    </row>
    <row r="646" ht="30.0" customHeight="1">
      <c r="A646" s="248"/>
      <c r="B646" s="251"/>
      <c r="C646" s="248"/>
      <c r="D646" s="249"/>
      <c r="E646" s="249"/>
      <c r="F646" s="249"/>
      <c r="G646" s="250"/>
      <c r="H646" s="251"/>
      <c r="I646" s="252"/>
      <c r="J646" s="252"/>
      <c r="K646" s="252"/>
      <c r="L646" s="251"/>
      <c r="M646" s="251"/>
      <c r="N646" s="251"/>
      <c r="O646" s="251"/>
      <c r="P646" s="251"/>
      <c r="Q646" s="251"/>
      <c r="R646" s="251"/>
      <c r="S646" s="251"/>
      <c r="T646" s="251"/>
      <c r="U646" s="251"/>
      <c r="V646" s="251"/>
      <c r="W646" s="251"/>
      <c r="X646" s="251"/>
      <c r="Y646" s="251"/>
      <c r="Z646" s="251"/>
      <c r="AA646" s="137"/>
      <c r="AB646" s="137"/>
      <c r="AC646" s="137"/>
      <c r="AD646" s="137"/>
      <c r="AE646" s="137"/>
      <c r="AF646" s="137"/>
      <c r="AG646" s="137"/>
    </row>
    <row r="647" ht="30.0" customHeight="1">
      <c r="A647" s="248"/>
      <c r="B647" s="251"/>
      <c r="C647" s="248"/>
      <c r="D647" s="249"/>
      <c r="E647" s="249"/>
      <c r="F647" s="249"/>
      <c r="G647" s="250"/>
      <c r="H647" s="251"/>
      <c r="I647" s="252"/>
      <c r="J647" s="252"/>
      <c r="K647" s="252"/>
      <c r="L647" s="251"/>
      <c r="M647" s="251"/>
      <c r="N647" s="251"/>
      <c r="O647" s="251"/>
      <c r="P647" s="251"/>
      <c r="Q647" s="251"/>
      <c r="R647" s="251"/>
      <c r="S647" s="251"/>
      <c r="T647" s="251"/>
      <c r="U647" s="251"/>
      <c r="V647" s="251"/>
      <c r="W647" s="251"/>
      <c r="X647" s="251"/>
      <c r="Y647" s="251"/>
      <c r="Z647" s="251"/>
      <c r="AA647" s="137"/>
      <c r="AB647" s="137"/>
      <c r="AC647" s="137"/>
      <c r="AD647" s="137"/>
      <c r="AE647" s="137"/>
      <c r="AF647" s="137"/>
      <c r="AG647" s="137"/>
    </row>
    <row r="648" ht="30.0" customHeight="1">
      <c r="A648" s="248"/>
      <c r="B648" s="249"/>
      <c r="C648" s="248"/>
      <c r="D648" s="249"/>
      <c r="E648" s="249"/>
      <c r="F648" s="249"/>
      <c r="G648" s="250"/>
      <c r="H648" s="251"/>
      <c r="I648" s="252"/>
      <c r="J648" s="252"/>
      <c r="K648" s="252"/>
      <c r="L648" s="251"/>
      <c r="M648" s="251"/>
      <c r="N648" s="251"/>
      <c r="O648" s="251"/>
      <c r="P648" s="251"/>
      <c r="Q648" s="251"/>
      <c r="R648" s="251"/>
      <c r="S648" s="251"/>
      <c r="T648" s="251"/>
      <c r="U648" s="251"/>
      <c r="V648" s="251"/>
      <c r="W648" s="251"/>
      <c r="X648" s="251"/>
      <c r="Y648" s="251"/>
      <c r="Z648" s="251"/>
      <c r="AA648" s="137"/>
      <c r="AB648" s="137"/>
      <c r="AC648" s="137"/>
      <c r="AD648" s="137"/>
      <c r="AE648" s="137"/>
      <c r="AF648" s="137"/>
      <c r="AG648" s="137"/>
    </row>
    <row r="649" ht="30.0" customHeight="1">
      <c r="A649" s="248"/>
      <c r="B649" s="249"/>
      <c r="C649" s="248"/>
      <c r="D649" s="249"/>
      <c r="E649" s="251"/>
      <c r="F649" s="249"/>
      <c r="G649" s="249"/>
      <c r="H649" s="251"/>
      <c r="I649" s="252"/>
      <c r="J649" s="252"/>
      <c r="K649" s="252"/>
      <c r="L649" s="251"/>
      <c r="M649" s="251"/>
      <c r="N649" s="251"/>
      <c r="O649" s="251"/>
      <c r="P649" s="251"/>
      <c r="Q649" s="251"/>
      <c r="R649" s="251"/>
      <c r="S649" s="251"/>
      <c r="T649" s="251"/>
      <c r="U649" s="251"/>
      <c r="V649" s="251"/>
      <c r="W649" s="251"/>
      <c r="X649" s="251"/>
      <c r="Y649" s="251"/>
      <c r="Z649" s="251"/>
      <c r="AA649" s="137"/>
      <c r="AB649" s="137"/>
      <c r="AC649" s="137"/>
      <c r="AD649" s="137"/>
      <c r="AE649" s="137"/>
      <c r="AF649" s="137"/>
      <c r="AG649" s="137"/>
    </row>
    <row r="650" ht="30.0" customHeight="1">
      <c r="A650" s="248"/>
      <c r="B650" s="249"/>
      <c r="C650" s="248"/>
      <c r="D650" s="249"/>
      <c r="E650" s="251"/>
      <c r="F650" s="249"/>
      <c r="G650" s="250"/>
      <c r="H650" s="251"/>
      <c r="I650" s="252"/>
      <c r="J650" s="252"/>
      <c r="K650" s="252"/>
      <c r="L650" s="251"/>
      <c r="M650" s="251"/>
      <c r="N650" s="251"/>
      <c r="O650" s="251"/>
      <c r="P650" s="251"/>
      <c r="Q650" s="251"/>
      <c r="R650" s="251"/>
      <c r="S650" s="251"/>
      <c r="T650" s="251"/>
      <c r="U650" s="251"/>
      <c r="V650" s="251"/>
      <c r="W650" s="251"/>
      <c r="X650" s="251"/>
      <c r="Y650" s="251"/>
      <c r="Z650" s="251"/>
      <c r="AA650" s="137"/>
      <c r="AB650" s="137"/>
      <c r="AC650" s="137"/>
      <c r="AD650" s="137"/>
      <c r="AE650" s="137"/>
      <c r="AF650" s="137"/>
      <c r="AG650" s="137"/>
    </row>
    <row r="651" ht="30.0" customHeight="1">
      <c r="A651" s="248"/>
      <c r="B651" s="249"/>
      <c r="C651" s="248"/>
      <c r="D651" s="249"/>
      <c r="E651" s="251"/>
      <c r="F651" s="249"/>
      <c r="G651" s="249"/>
      <c r="H651" s="251"/>
      <c r="I651" s="252"/>
      <c r="J651" s="252"/>
      <c r="K651" s="252"/>
      <c r="L651" s="251"/>
      <c r="M651" s="251"/>
      <c r="N651" s="251"/>
      <c r="O651" s="251"/>
      <c r="P651" s="251"/>
      <c r="Q651" s="251"/>
      <c r="R651" s="251"/>
      <c r="S651" s="251"/>
      <c r="T651" s="251"/>
      <c r="U651" s="251"/>
      <c r="V651" s="251"/>
      <c r="W651" s="251"/>
      <c r="X651" s="251"/>
      <c r="Y651" s="251"/>
      <c r="Z651" s="251"/>
      <c r="AA651" s="137"/>
      <c r="AB651" s="137"/>
      <c r="AC651" s="137"/>
      <c r="AD651" s="137"/>
      <c r="AE651" s="137"/>
      <c r="AF651" s="137"/>
      <c r="AG651" s="137"/>
    </row>
    <row r="652" ht="30.0" customHeight="1">
      <c r="A652" s="248"/>
      <c r="B652" s="251"/>
      <c r="C652" s="248"/>
      <c r="D652" s="249"/>
      <c r="E652" s="249"/>
      <c r="F652" s="249"/>
      <c r="G652" s="250"/>
      <c r="H652" s="251"/>
      <c r="I652" s="252"/>
      <c r="J652" s="252"/>
      <c r="K652" s="252"/>
      <c r="L652" s="251"/>
      <c r="M652" s="251"/>
      <c r="N652" s="251"/>
      <c r="O652" s="251"/>
      <c r="P652" s="251"/>
      <c r="Q652" s="251"/>
      <c r="R652" s="251"/>
      <c r="S652" s="251"/>
      <c r="T652" s="251"/>
      <c r="U652" s="251"/>
      <c r="V652" s="251"/>
      <c r="W652" s="251"/>
      <c r="X652" s="251"/>
      <c r="Y652" s="251"/>
      <c r="Z652" s="251"/>
      <c r="AA652" s="137"/>
      <c r="AB652" s="137"/>
      <c r="AC652" s="137"/>
      <c r="AD652" s="137"/>
      <c r="AE652" s="137"/>
      <c r="AF652" s="137"/>
      <c r="AG652" s="137"/>
    </row>
    <row r="653" ht="30.0" customHeight="1">
      <c r="A653" s="248"/>
      <c r="B653" s="249"/>
      <c r="C653" s="248"/>
      <c r="D653" s="249"/>
      <c r="E653" s="249"/>
      <c r="F653" s="249"/>
      <c r="G653" s="250"/>
      <c r="H653" s="251"/>
      <c r="I653" s="252"/>
      <c r="J653" s="252"/>
      <c r="K653" s="252"/>
      <c r="L653" s="251"/>
      <c r="M653" s="251"/>
      <c r="N653" s="251"/>
      <c r="O653" s="251"/>
      <c r="P653" s="251"/>
      <c r="Q653" s="251"/>
      <c r="R653" s="251"/>
      <c r="S653" s="251"/>
      <c r="T653" s="251"/>
      <c r="U653" s="251"/>
      <c r="V653" s="251"/>
      <c r="W653" s="251"/>
      <c r="X653" s="251"/>
      <c r="Y653" s="251"/>
      <c r="Z653" s="251"/>
      <c r="AA653" s="137"/>
      <c r="AB653" s="137"/>
      <c r="AC653" s="137"/>
      <c r="AD653" s="137"/>
      <c r="AE653" s="137"/>
      <c r="AF653" s="137"/>
      <c r="AG653" s="137"/>
    </row>
    <row r="654" ht="30.0" customHeight="1">
      <c r="A654" s="248"/>
      <c r="B654" s="249"/>
      <c r="C654" s="248"/>
      <c r="D654" s="249"/>
      <c r="E654" s="249"/>
      <c r="F654" s="249"/>
      <c r="G654" s="249"/>
      <c r="H654" s="251"/>
      <c r="I654" s="252"/>
      <c r="J654" s="252"/>
      <c r="K654" s="252"/>
      <c r="L654" s="251"/>
      <c r="M654" s="251"/>
      <c r="N654" s="251"/>
      <c r="O654" s="251"/>
      <c r="P654" s="251"/>
      <c r="Q654" s="251"/>
      <c r="R654" s="251"/>
      <c r="S654" s="251"/>
      <c r="T654" s="251"/>
      <c r="U654" s="251"/>
      <c r="V654" s="251"/>
      <c r="W654" s="251"/>
      <c r="X654" s="251"/>
      <c r="Y654" s="251"/>
      <c r="Z654" s="251"/>
      <c r="AA654" s="137"/>
      <c r="AB654" s="137"/>
      <c r="AC654" s="137"/>
      <c r="AD654" s="137"/>
      <c r="AE654" s="137"/>
      <c r="AF654" s="137"/>
      <c r="AG654" s="137"/>
    </row>
    <row r="655" ht="30.0" customHeight="1">
      <c r="A655" s="248"/>
      <c r="B655" s="249"/>
      <c r="C655" s="248"/>
      <c r="D655" s="249"/>
      <c r="E655" s="251"/>
      <c r="F655" s="249"/>
      <c r="G655" s="250"/>
      <c r="H655" s="251"/>
      <c r="I655" s="252"/>
      <c r="J655" s="252"/>
      <c r="K655" s="252"/>
      <c r="L655" s="251"/>
      <c r="M655" s="251"/>
      <c r="N655" s="251"/>
      <c r="O655" s="251"/>
      <c r="P655" s="251"/>
      <c r="Q655" s="251"/>
      <c r="R655" s="251"/>
      <c r="S655" s="251"/>
      <c r="T655" s="251"/>
      <c r="U655" s="251"/>
      <c r="V655" s="251"/>
      <c r="W655" s="251"/>
      <c r="X655" s="251"/>
      <c r="Y655" s="251"/>
      <c r="Z655" s="251"/>
      <c r="AA655" s="137"/>
      <c r="AB655" s="137"/>
      <c r="AC655" s="137"/>
      <c r="AD655" s="137"/>
      <c r="AE655" s="137"/>
      <c r="AF655" s="137"/>
      <c r="AG655" s="137"/>
    </row>
    <row r="656" ht="30.0" customHeight="1">
      <c r="A656" s="248"/>
      <c r="B656" s="249"/>
      <c r="C656" s="248"/>
      <c r="D656" s="249"/>
      <c r="E656" s="251"/>
      <c r="F656" s="249"/>
      <c r="G656" s="249"/>
      <c r="H656" s="251"/>
      <c r="I656" s="252"/>
      <c r="J656" s="252"/>
      <c r="K656" s="252"/>
      <c r="L656" s="251"/>
      <c r="M656" s="251"/>
      <c r="N656" s="251"/>
      <c r="O656" s="251"/>
      <c r="P656" s="251"/>
      <c r="Q656" s="251"/>
      <c r="R656" s="251"/>
      <c r="S656" s="251"/>
      <c r="T656" s="251"/>
      <c r="U656" s="251"/>
      <c r="V656" s="251"/>
      <c r="W656" s="251"/>
      <c r="X656" s="251"/>
      <c r="Y656" s="251"/>
      <c r="Z656" s="251"/>
      <c r="AA656" s="137"/>
      <c r="AB656" s="137"/>
      <c r="AC656" s="137"/>
      <c r="AD656" s="137"/>
      <c r="AE656" s="137"/>
      <c r="AF656" s="137"/>
      <c r="AG656" s="137"/>
    </row>
    <row r="657" ht="30.0" customHeight="1">
      <c r="A657" s="248"/>
      <c r="B657" s="251"/>
      <c r="C657" s="248"/>
      <c r="D657" s="249"/>
      <c r="E657" s="249"/>
      <c r="F657" s="249"/>
      <c r="G657" s="250"/>
      <c r="H657" s="251"/>
      <c r="I657" s="252"/>
      <c r="J657" s="252"/>
      <c r="K657" s="252"/>
      <c r="L657" s="251"/>
      <c r="M657" s="251"/>
      <c r="N657" s="251"/>
      <c r="O657" s="251"/>
      <c r="P657" s="251"/>
      <c r="Q657" s="251"/>
      <c r="R657" s="251"/>
      <c r="S657" s="251"/>
      <c r="T657" s="251"/>
      <c r="U657" s="251"/>
      <c r="V657" s="251"/>
      <c r="W657" s="251"/>
      <c r="X657" s="251"/>
      <c r="Y657" s="251"/>
      <c r="Z657" s="251"/>
      <c r="AA657" s="137"/>
      <c r="AB657" s="137"/>
      <c r="AC657" s="137"/>
      <c r="AD657" s="137"/>
      <c r="AE657" s="137"/>
      <c r="AF657" s="137"/>
      <c r="AG657" s="137"/>
    </row>
    <row r="658" ht="30.0" customHeight="1">
      <c r="A658" s="248"/>
      <c r="B658" s="249"/>
      <c r="C658" s="248"/>
      <c r="D658" s="249"/>
      <c r="E658" s="251"/>
      <c r="F658" s="249"/>
      <c r="G658" s="250"/>
      <c r="H658" s="251"/>
      <c r="I658" s="252"/>
      <c r="J658" s="252"/>
      <c r="K658" s="252"/>
      <c r="L658" s="251"/>
      <c r="M658" s="251"/>
      <c r="N658" s="251"/>
      <c r="O658" s="251"/>
      <c r="P658" s="251"/>
      <c r="Q658" s="251"/>
      <c r="R658" s="251"/>
      <c r="S658" s="251"/>
      <c r="T658" s="251"/>
      <c r="U658" s="251"/>
      <c r="V658" s="251"/>
      <c r="W658" s="251"/>
      <c r="X658" s="251"/>
      <c r="Y658" s="251"/>
      <c r="Z658" s="251"/>
      <c r="AA658" s="137"/>
      <c r="AB658" s="137"/>
      <c r="AC658" s="137"/>
      <c r="AD658" s="137"/>
      <c r="AE658" s="137"/>
      <c r="AF658" s="137"/>
      <c r="AG658" s="137"/>
    </row>
    <row r="659" ht="30.0" customHeight="1">
      <c r="A659" s="248"/>
      <c r="B659" s="249"/>
      <c r="C659" s="248"/>
      <c r="D659" s="249"/>
      <c r="E659" s="249"/>
      <c r="F659" s="249"/>
      <c r="G659" s="250"/>
      <c r="H659" s="251"/>
      <c r="I659" s="252"/>
      <c r="J659" s="252"/>
      <c r="K659" s="252"/>
      <c r="L659" s="251"/>
      <c r="M659" s="251"/>
      <c r="N659" s="251"/>
      <c r="O659" s="251"/>
      <c r="P659" s="251"/>
      <c r="Q659" s="251"/>
      <c r="R659" s="251"/>
      <c r="S659" s="251"/>
      <c r="T659" s="251"/>
      <c r="U659" s="251"/>
      <c r="V659" s="251"/>
      <c r="W659" s="251"/>
      <c r="X659" s="251"/>
      <c r="Y659" s="251"/>
      <c r="Z659" s="251"/>
      <c r="AA659" s="137"/>
      <c r="AB659" s="137"/>
      <c r="AC659" s="137"/>
      <c r="AD659" s="137"/>
      <c r="AE659" s="137"/>
      <c r="AF659" s="137"/>
      <c r="AG659" s="137"/>
    </row>
    <row r="660" ht="30.0" customHeight="1">
      <c r="A660" s="248"/>
      <c r="B660" s="249"/>
      <c r="C660" s="248"/>
      <c r="D660" s="249"/>
      <c r="E660" s="251"/>
      <c r="F660" s="249"/>
      <c r="G660" s="250"/>
      <c r="H660" s="251"/>
      <c r="I660" s="252"/>
      <c r="J660" s="252"/>
      <c r="K660" s="252"/>
      <c r="L660" s="251"/>
      <c r="M660" s="251"/>
      <c r="N660" s="251"/>
      <c r="O660" s="251"/>
      <c r="P660" s="251"/>
      <c r="Q660" s="251"/>
      <c r="R660" s="251"/>
      <c r="S660" s="251"/>
      <c r="T660" s="251"/>
      <c r="U660" s="251"/>
      <c r="V660" s="251"/>
      <c r="W660" s="251"/>
      <c r="X660" s="251"/>
      <c r="Y660" s="251"/>
      <c r="Z660" s="251"/>
      <c r="AA660" s="137"/>
      <c r="AB660" s="137"/>
      <c r="AC660" s="137"/>
      <c r="AD660" s="137"/>
      <c r="AE660" s="137"/>
      <c r="AF660" s="137"/>
      <c r="AG660" s="137"/>
    </row>
    <row r="661" ht="30.0" customHeight="1">
      <c r="A661" s="248"/>
      <c r="B661" s="249"/>
      <c r="C661" s="248"/>
      <c r="D661" s="249"/>
      <c r="E661" s="251"/>
      <c r="F661" s="249"/>
      <c r="G661" s="250"/>
      <c r="H661" s="251"/>
      <c r="I661" s="252"/>
      <c r="J661" s="252"/>
      <c r="K661" s="252"/>
      <c r="L661" s="251"/>
      <c r="M661" s="251"/>
      <c r="N661" s="251"/>
      <c r="O661" s="251"/>
      <c r="P661" s="251"/>
      <c r="Q661" s="251"/>
      <c r="R661" s="251"/>
      <c r="S661" s="251"/>
      <c r="T661" s="251"/>
      <c r="U661" s="251"/>
      <c r="V661" s="251"/>
      <c r="W661" s="251"/>
      <c r="X661" s="251"/>
      <c r="Y661" s="251"/>
      <c r="Z661" s="251"/>
      <c r="AA661" s="137"/>
      <c r="AB661" s="137"/>
      <c r="AC661" s="137"/>
      <c r="AD661" s="137"/>
      <c r="AE661" s="137"/>
      <c r="AF661" s="137"/>
      <c r="AG661" s="137"/>
    </row>
    <row r="662" ht="30.0" customHeight="1">
      <c r="A662" s="248"/>
      <c r="B662" s="249"/>
      <c r="C662" s="248"/>
      <c r="D662" s="249"/>
      <c r="E662" s="249"/>
      <c r="F662" s="249"/>
      <c r="G662" s="250"/>
      <c r="H662" s="251"/>
      <c r="I662" s="252"/>
      <c r="J662" s="252"/>
      <c r="K662" s="252"/>
      <c r="L662" s="251"/>
      <c r="M662" s="251"/>
      <c r="N662" s="251"/>
      <c r="O662" s="251"/>
      <c r="P662" s="251"/>
      <c r="Q662" s="251"/>
      <c r="R662" s="251"/>
      <c r="S662" s="251"/>
      <c r="T662" s="251"/>
      <c r="U662" s="251"/>
      <c r="V662" s="251"/>
      <c r="W662" s="251"/>
      <c r="X662" s="251"/>
      <c r="Y662" s="251"/>
      <c r="Z662" s="251"/>
      <c r="AA662" s="137"/>
      <c r="AB662" s="137"/>
      <c r="AC662" s="137"/>
      <c r="AD662" s="137"/>
      <c r="AE662" s="137"/>
      <c r="AF662" s="137"/>
      <c r="AG662" s="137"/>
    </row>
    <row r="663" ht="30.0" customHeight="1">
      <c r="A663" s="248"/>
      <c r="B663" s="251"/>
      <c r="C663" s="248"/>
      <c r="D663" s="249"/>
      <c r="E663" s="249"/>
      <c r="F663" s="249"/>
      <c r="G663" s="250"/>
      <c r="H663" s="251"/>
      <c r="I663" s="252"/>
      <c r="J663" s="252"/>
      <c r="K663" s="252"/>
      <c r="L663" s="251"/>
      <c r="M663" s="251"/>
      <c r="N663" s="251"/>
      <c r="O663" s="251"/>
      <c r="P663" s="251"/>
      <c r="Q663" s="251"/>
      <c r="R663" s="251"/>
      <c r="S663" s="251"/>
      <c r="T663" s="251"/>
      <c r="U663" s="251"/>
      <c r="V663" s="251"/>
      <c r="W663" s="251"/>
      <c r="X663" s="251"/>
      <c r="Y663" s="251"/>
      <c r="Z663" s="251"/>
      <c r="AA663" s="137"/>
      <c r="AB663" s="137"/>
      <c r="AC663" s="137"/>
      <c r="AD663" s="137"/>
      <c r="AE663" s="137"/>
      <c r="AF663" s="137"/>
      <c r="AG663" s="137"/>
    </row>
    <row r="664" ht="30.0" customHeight="1">
      <c r="A664" s="248"/>
      <c r="B664" s="249"/>
      <c r="C664" s="248"/>
      <c r="D664" s="249"/>
      <c r="E664" s="251"/>
      <c r="F664" s="249"/>
      <c r="G664" s="249"/>
      <c r="H664" s="251"/>
      <c r="I664" s="252"/>
      <c r="J664" s="252"/>
      <c r="K664" s="252"/>
      <c r="L664" s="251"/>
      <c r="M664" s="251"/>
      <c r="N664" s="251"/>
      <c r="O664" s="251"/>
      <c r="P664" s="251"/>
      <c r="Q664" s="251"/>
      <c r="R664" s="251"/>
      <c r="S664" s="251"/>
      <c r="T664" s="251"/>
      <c r="U664" s="251"/>
      <c r="V664" s="251"/>
      <c r="W664" s="251"/>
      <c r="X664" s="251"/>
      <c r="Y664" s="251"/>
      <c r="Z664" s="251"/>
      <c r="AA664" s="137"/>
      <c r="AB664" s="137"/>
      <c r="AC664" s="137"/>
      <c r="AD664" s="137"/>
      <c r="AE664" s="137"/>
      <c r="AF664" s="137"/>
      <c r="AG664" s="137"/>
    </row>
    <row r="665" ht="30.0" customHeight="1">
      <c r="A665" s="248"/>
      <c r="B665" s="249"/>
      <c r="C665" s="248"/>
      <c r="D665" s="249"/>
      <c r="E665" s="249"/>
      <c r="F665" s="249"/>
      <c r="G665" s="249"/>
      <c r="H665" s="251"/>
      <c r="I665" s="252"/>
      <c r="J665" s="252"/>
      <c r="K665" s="252"/>
      <c r="L665" s="251"/>
      <c r="M665" s="251"/>
      <c r="N665" s="251"/>
      <c r="O665" s="251"/>
      <c r="P665" s="251"/>
      <c r="Q665" s="251"/>
      <c r="R665" s="251"/>
      <c r="S665" s="251"/>
      <c r="T665" s="251"/>
      <c r="U665" s="251"/>
      <c r="V665" s="251"/>
      <c r="W665" s="251"/>
      <c r="X665" s="251"/>
      <c r="Y665" s="251"/>
      <c r="Z665" s="251"/>
      <c r="AA665" s="137"/>
      <c r="AB665" s="137"/>
      <c r="AC665" s="137"/>
      <c r="AD665" s="137"/>
      <c r="AE665" s="137"/>
      <c r="AF665" s="137"/>
      <c r="AG665" s="137"/>
    </row>
    <row r="666" ht="30.0" customHeight="1">
      <c r="A666" s="248"/>
      <c r="B666" s="249"/>
      <c r="C666" s="248"/>
      <c r="D666" s="249"/>
      <c r="E666" s="251"/>
      <c r="F666" s="249"/>
      <c r="G666" s="250"/>
      <c r="H666" s="251"/>
      <c r="I666" s="252"/>
      <c r="J666" s="252"/>
      <c r="K666" s="252"/>
      <c r="L666" s="251"/>
      <c r="M666" s="251"/>
      <c r="N666" s="251"/>
      <c r="O666" s="251"/>
      <c r="P666" s="251"/>
      <c r="Q666" s="251"/>
      <c r="R666" s="251"/>
      <c r="S666" s="251"/>
      <c r="T666" s="251"/>
      <c r="U666" s="251"/>
      <c r="V666" s="251"/>
      <c r="W666" s="251"/>
      <c r="X666" s="251"/>
      <c r="Y666" s="251"/>
      <c r="Z666" s="251"/>
      <c r="AA666" s="137"/>
      <c r="AB666" s="137"/>
      <c r="AC666" s="137"/>
      <c r="AD666" s="137"/>
      <c r="AE666" s="137"/>
      <c r="AF666" s="137"/>
      <c r="AG666" s="137"/>
    </row>
    <row r="667" ht="30.0" customHeight="1">
      <c r="A667" s="248"/>
      <c r="B667" s="249"/>
      <c r="C667" s="248"/>
      <c r="D667" s="249"/>
      <c r="E667" s="251"/>
      <c r="F667" s="249"/>
      <c r="G667" s="250"/>
      <c r="H667" s="251"/>
      <c r="I667" s="252"/>
      <c r="J667" s="252"/>
      <c r="K667" s="252"/>
      <c r="L667" s="251"/>
      <c r="M667" s="251"/>
      <c r="N667" s="251"/>
      <c r="O667" s="251"/>
      <c r="P667" s="251"/>
      <c r="Q667" s="251"/>
      <c r="R667" s="251"/>
      <c r="S667" s="251"/>
      <c r="T667" s="251"/>
      <c r="U667" s="251"/>
      <c r="V667" s="251"/>
      <c r="W667" s="251"/>
      <c r="X667" s="251"/>
      <c r="Y667" s="251"/>
      <c r="Z667" s="251"/>
      <c r="AA667" s="137"/>
      <c r="AB667" s="137"/>
      <c r="AC667" s="137"/>
      <c r="AD667" s="137"/>
      <c r="AE667" s="137"/>
      <c r="AF667" s="137"/>
      <c r="AG667" s="137"/>
    </row>
    <row r="668" ht="30.0" customHeight="1">
      <c r="A668" s="248"/>
      <c r="B668" s="249"/>
      <c r="C668" s="248"/>
      <c r="D668" s="249"/>
      <c r="E668" s="251"/>
      <c r="F668" s="249"/>
      <c r="G668" s="250"/>
      <c r="H668" s="251"/>
      <c r="I668" s="252"/>
      <c r="J668" s="252"/>
      <c r="K668" s="252"/>
      <c r="L668" s="251"/>
      <c r="M668" s="251"/>
      <c r="N668" s="251"/>
      <c r="O668" s="251"/>
      <c r="P668" s="251"/>
      <c r="Q668" s="251"/>
      <c r="R668" s="251"/>
      <c r="S668" s="251"/>
      <c r="T668" s="251"/>
      <c r="U668" s="251"/>
      <c r="V668" s="251"/>
      <c r="W668" s="251"/>
      <c r="X668" s="251"/>
      <c r="Y668" s="251"/>
      <c r="Z668" s="251"/>
      <c r="AA668" s="137"/>
      <c r="AB668" s="137"/>
      <c r="AC668" s="137"/>
      <c r="AD668" s="137"/>
      <c r="AE668" s="137"/>
      <c r="AF668" s="137"/>
      <c r="AG668" s="137"/>
    </row>
    <row r="669" ht="30.0" customHeight="1">
      <c r="A669" s="248"/>
      <c r="B669" s="249"/>
      <c r="C669" s="248"/>
      <c r="D669" s="249"/>
      <c r="E669" s="251"/>
      <c r="F669" s="249"/>
      <c r="G669" s="250"/>
      <c r="H669" s="251"/>
      <c r="I669" s="252"/>
      <c r="J669" s="252"/>
      <c r="K669" s="252"/>
      <c r="L669" s="251"/>
      <c r="M669" s="251"/>
      <c r="N669" s="251"/>
      <c r="O669" s="251"/>
      <c r="P669" s="251"/>
      <c r="Q669" s="251"/>
      <c r="R669" s="251"/>
      <c r="S669" s="251"/>
      <c r="T669" s="251"/>
      <c r="U669" s="251"/>
      <c r="V669" s="251"/>
      <c r="W669" s="251"/>
      <c r="X669" s="251"/>
      <c r="Y669" s="251"/>
      <c r="Z669" s="251"/>
      <c r="AA669" s="137"/>
      <c r="AB669" s="137"/>
      <c r="AC669" s="137"/>
      <c r="AD669" s="137"/>
      <c r="AE669" s="137"/>
      <c r="AF669" s="137"/>
      <c r="AG669" s="137"/>
    </row>
    <row r="670" ht="30.0" customHeight="1">
      <c r="A670" s="248"/>
      <c r="B670" s="249"/>
      <c r="C670" s="248"/>
      <c r="D670" s="249"/>
      <c r="E670" s="251"/>
      <c r="F670" s="249"/>
      <c r="G670" s="250"/>
      <c r="H670" s="251"/>
      <c r="I670" s="252"/>
      <c r="J670" s="252"/>
      <c r="K670" s="252"/>
      <c r="L670" s="251"/>
      <c r="M670" s="251"/>
      <c r="N670" s="251"/>
      <c r="O670" s="251"/>
      <c r="P670" s="251"/>
      <c r="Q670" s="251"/>
      <c r="R670" s="251"/>
      <c r="S670" s="251"/>
      <c r="T670" s="251"/>
      <c r="U670" s="251"/>
      <c r="V670" s="251"/>
      <c r="W670" s="251"/>
      <c r="X670" s="251"/>
      <c r="Y670" s="251"/>
      <c r="Z670" s="251"/>
      <c r="AA670" s="137"/>
      <c r="AB670" s="137"/>
      <c r="AC670" s="137"/>
      <c r="AD670" s="137"/>
      <c r="AE670" s="137"/>
      <c r="AF670" s="137"/>
      <c r="AG670" s="137"/>
    </row>
    <row r="671" ht="30.0" customHeight="1">
      <c r="A671" s="248"/>
      <c r="B671" s="249"/>
      <c r="C671" s="248"/>
      <c r="D671" s="249"/>
      <c r="E671" s="251"/>
      <c r="F671" s="249"/>
      <c r="G671" s="250"/>
      <c r="H671" s="251"/>
      <c r="I671" s="252"/>
      <c r="J671" s="252"/>
      <c r="K671" s="252"/>
      <c r="L671" s="251"/>
      <c r="M671" s="251"/>
      <c r="N671" s="251"/>
      <c r="O671" s="251"/>
      <c r="P671" s="251"/>
      <c r="Q671" s="251"/>
      <c r="R671" s="251"/>
      <c r="S671" s="251"/>
      <c r="T671" s="251"/>
      <c r="U671" s="251"/>
      <c r="V671" s="251"/>
      <c r="W671" s="251"/>
      <c r="X671" s="251"/>
      <c r="Y671" s="251"/>
      <c r="Z671" s="251"/>
      <c r="AA671" s="137"/>
      <c r="AB671" s="137"/>
      <c r="AC671" s="137"/>
      <c r="AD671" s="137"/>
      <c r="AE671" s="137"/>
      <c r="AF671" s="137"/>
      <c r="AG671" s="137"/>
    </row>
    <row r="672" ht="30.0" customHeight="1">
      <c r="A672" s="248"/>
      <c r="B672" s="249"/>
      <c r="C672" s="248"/>
      <c r="D672" s="249"/>
      <c r="E672" s="249"/>
      <c r="F672" s="249"/>
      <c r="G672" s="250"/>
      <c r="H672" s="251"/>
      <c r="I672" s="252"/>
      <c r="J672" s="252"/>
      <c r="K672" s="252"/>
      <c r="L672" s="251"/>
      <c r="M672" s="251"/>
      <c r="N672" s="251"/>
      <c r="O672" s="251"/>
      <c r="P672" s="251"/>
      <c r="Q672" s="251"/>
      <c r="R672" s="251"/>
      <c r="S672" s="251"/>
      <c r="T672" s="251"/>
      <c r="U672" s="251"/>
      <c r="V672" s="251"/>
      <c r="W672" s="251"/>
      <c r="X672" s="251"/>
      <c r="Y672" s="251"/>
      <c r="Z672" s="251"/>
      <c r="AA672" s="137"/>
      <c r="AB672" s="137"/>
      <c r="AC672" s="137"/>
      <c r="AD672" s="137"/>
      <c r="AE672" s="137"/>
      <c r="AF672" s="137"/>
      <c r="AG672" s="137"/>
    </row>
    <row r="673" ht="30.0" customHeight="1">
      <c r="A673" s="248"/>
      <c r="B673" s="249"/>
      <c r="C673" s="248"/>
      <c r="D673" s="249"/>
      <c r="E673" s="251"/>
      <c r="F673" s="249"/>
      <c r="G673" s="250"/>
      <c r="H673" s="251"/>
      <c r="I673" s="252"/>
      <c r="J673" s="252"/>
      <c r="K673" s="252"/>
      <c r="L673" s="251"/>
      <c r="M673" s="251"/>
      <c r="N673" s="251"/>
      <c r="O673" s="251"/>
      <c r="P673" s="251"/>
      <c r="Q673" s="251"/>
      <c r="R673" s="251"/>
      <c r="S673" s="251"/>
      <c r="T673" s="251"/>
      <c r="U673" s="251"/>
      <c r="V673" s="251"/>
      <c r="W673" s="251"/>
      <c r="X673" s="251"/>
      <c r="Y673" s="251"/>
      <c r="Z673" s="251"/>
      <c r="AA673" s="137"/>
      <c r="AB673" s="137"/>
      <c r="AC673" s="137"/>
      <c r="AD673" s="137"/>
      <c r="AE673" s="137"/>
      <c r="AF673" s="137"/>
      <c r="AG673" s="137"/>
    </row>
    <row r="674" ht="30.0" customHeight="1">
      <c r="A674" s="248"/>
      <c r="B674" s="249"/>
      <c r="C674" s="248"/>
      <c r="D674" s="249"/>
      <c r="E674" s="251"/>
      <c r="F674" s="249"/>
      <c r="G674" s="250"/>
      <c r="H674" s="251"/>
      <c r="I674" s="252"/>
      <c r="J674" s="252"/>
      <c r="K674" s="252"/>
      <c r="L674" s="251"/>
      <c r="M674" s="251"/>
      <c r="N674" s="251"/>
      <c r="O674" s="251"/>
      <c r="P674" s="251"/>
      <c r="Q674" s="251"/>
      <c r="R674" s="251"/>
      <c r="S674" s="251"/>
      <c r="T674" s="251"/>
      <c r="U674" s="251"/>
      <c r="V674" s="251"/>
      <c r="W674" s="251"/>
      <c r="X674" s="251"/>
      <c r="Y674" s="251"/>
      <c r="Z674" s="251"/>
      <c r="AA674" s="137"/>
      <c r="AB674" s="137"/>
      <c r="AC674" s="137"/>
      <c r="AD674" s="137"/>
      <c r="AE674" s="137"/>
      <c r="AF674" s="137"/>
      <c r="AG674" s="137"/>
    </row>
    <row r="675" ht="30.0" customHeight="1">
      <c r="A675" s="248"/>
      <c r="B675" s="249"/>
      <c r="C675" s="248"/>
      <c r="D675" s="249"/>
      <c r="E675" s="249"/>
      <c r="F675" s="249"/>
      <c r="G675" s="250"/>
      <c r="H675" s="251"/>
      <c r="I675" s="252"/>
      <c r="J675" s="252"/>
      <c r="K675" s="252"/>
      <c r="L675" s="251"/>
      <c r="M675" s="251"/>
      <c r="N675" s="251"/>
      <c r="O675" s="251"/>
      <c r="P675" s="251"/>
      <c r="Q675" s="251"/>
      <c r="R675" s="251"/>
      <c r="S675" s="251"/>
      <c r="T675" s="251"/>
      <c r="U675" s="251"/>
      <c r="V675" s="251"/>
      <c r="W675" s="251"/>
      <c r="X675" s="251"/>
      <c r="Y675" s="251"/>
      <c r="Z675" s="251"/>
      <c r="AA675" s="137"/>
      <c r="AB675" s="137"/>
      <c r="AC675" s="137"/>
      <c r="AD675" s="137"/>
      <c r="AE675" s="137"/>
      <c r="AF675" s="137"/>
      <c r="AG675" s="137"/>
    </row>
    <row r="676" ht="30.0" customHeight="1">
      <c r="A676" s="248"/>
      <c r="B676" s="249"/>
      <c r="C676" s="248"/>
      <c r="D676" s="249"/>
      <c r="E676" s="249"/>
      <c r="F676" s="249"/>
      <c r="G676" s="250"/>
      <c r="H676" s="251"/>
      <c r="I676" s="252"/>
      <c r="J676" s="252"/>
      <c r="K676" s="252"/>
      <c r="L676" s="251"/>
      <c r="M676" s="251"/>
      <c r="N676" s="251"/>
      <c r="O676" s="251"/>
      <c r="P676" s="251"/>
      <c r="Q676" s="251"/>
      <c r="R676" s="251"/>
      <c r="S676" s="251"/>
      <c r="T676" s="251"/>
      <c r="U676" s="251"/>
      <c r="V676" s="251"/>
      <c r="W676" s="251"/>
      <c r="X676" s="251"/>
      <c r="Y676" s="251"/>
      <c r="Z676" s="251"/>
      <c r="AA676" s="137"/>
      <c r="AB676" s="137"/>
      <c r="AC676" s="137"/>
      <c r="AD676" s="137"/>
      <c r="AE676" s="137"/>
      <c r="AF676" s="137"/>
      <c r="AG676" s="137"/>
    </row>
    <row r="677" ht="30.0" customHeight="1">
      <c r="A677" s="248"/>
      <c r="B677" s="249"/>
      <c r="C677" s="248"/>
      <c r="D677" s="249"/>
      <c r="E677" s="251"/>
      <c r="F677" s="249"/>
      <c r="G677" s="250"/>
      <c r="H677" s="251"/>
      <c r="I677" s="252"/>
      <c r="J677" s="252"/>
      <c r="K677" s="252"/>
      <c r="L677" s="251"/>
      <c r="M677" s="251"/>
      <c r="N677" s="251"/>
      <c r="O677" s="251"/>
      <c r="P677" s="251"/>
      <c r="Q677" s="251"/>
      <c r="R677" s="251"/>
      <c r="S677" s="251"/>
      <c r="T677" s="251"/>
      <c r="U677" s="251"/>
      <c r="V677" s="251"/>
      <c r="W677" s="251"/>
      <c r="X677" s="251"/>
      <c r="Y677" s="251"/>
      <c r="Z677" s="251"/>
      <c r="AA677" s="137"/>
      <c r="AB677" s="137"/>
      <c r="AC677" s="137"/>
      <c r="AD677" s="137"/>
      <c r="AE677" s="137"/>
      <c r="AF677" s="137"/>
      <c r="AG677" s="137"/>
    </row>
    <row r="678" ht="30.0" customHeight="1">
      <c r="A678" s="248"/>
      <c r="B678" s="249"/>
      <c r="C678" s="248"/>
      <c r="D678" s="249"/>
      <c r="E678" s="249"/>
      <c r="F678" s="249"/>
      <c r="G678" s="250"/>
      <c r="H678" s="251"/>
      <c r="I678" s="252"/>
      <c r="J678" s="252"/>
      <c r="K678" s="252"/>
      <c r="L678" s="251"/>
      <c r="M678" s="251"/>
      <c r="N678" s="251"/>
      <c r="O678" s="251"/>
      <c r="P678" s="251"/>
      <c r="Q678" s="251"/>
      <c r="R678" s="251"/>
      <c r="S678" s="251"/>
      <c r="T678" s="251"/>
      <c r="U678" s="251"/>
      <c r="V678" s="251"/>
      <c r="W678" s="251"/>
      <c r="X678" s="251"/>
      <c r="Y678" s="251"/>
      <c r="Z678" s="251"/>
      <c r="AA678" s="137"/>
      <c r="AB678" s="137"/>
      <c r="AC678" s="137"/>
      <c r="AD678" s="137"/>
      <c r="AE678" s="137"/>
      <c r="AF678" s="137"/>
      <c r="AG678" s="137"/>
    </row>
    <row r="679" ht="30.0" customHeight="1">
      <c r="A679" s="248"/>
      <c r="B679" s="249"/>
      <c r="C679" s="248"/>
      <c r="D679" s="249"/>
      <c r="E679" s="251"/>
      <c r="F679" s="249"/>
      <c r="G679" s="250"/>
      <c r="H679" s="251"/>
      <c r="I679" s="252"/>
      <c r="J679" s="252"/>
      <c r="K679" s="252"/>
      <c r="L679" s="251"/>
      <c r="M679" s="251"/>
      <c r="N679" s="251"/>
      <c r="O679" s="251"/>
      <c r="P679" s="251"/>
      <c r="Q679" s="251"/>
      <c r="R679" s="251"/>
      <c r="S679" s="251"/>
      <c r="T679" s="251"/>
      <c r="U679" s="251"/>
      <c r="V679" s="251"/>
      <c r="W679" s="251"/>
      <c r="X679" s="251"/>
      <c r="Y679" s="251"/>
      <c r="Z679" s="251"/>
      <c r="AA679" s="137"/>
      <c r="AB679" s="137"/>
      <c r="AC679" s="137"/>
      <c r="AD679" s="137"/>
      <c r="AE679" s="137"/>
      <c r="AF679" s="137"/>
      <c r="AG679" s="137"/>
    </row>
    <row r="680" ht="30.0" customHeight="1">
      <c r="A680" s="248"/>
      <c r="B680" s="249"/>
      <c r="C680" s="248"/>
      <c r="D680" s="249"/>
      <c r="E680" s="249"/>
      <c r="F680" s="249"/>
      <c r="G680" s="250"/>
      <c r="H680" s="251"/>
      <c r="I680" s="252"/>
      <c r="J680" s="252"/>
      <c r="K680" s="252"/>
      <c r="L680" s="251"/>
      <c r="M680" s="251"/>
      <c r="N680" s="251"/>
      <c r="O680" s="251"/>
      <c r="P680" s="251"/>
      <c r="Q680" s="251"/>
      <c r="R680" s="251"/>
      <c r="S680" s="251"/>
      <c r="T680" s="251"/>
      <c r="U680" s="251"/>
      <c r="V680" s="251"/>
      <c r="W680" s="251"/>
      <c r="X680" s="251"/>
      <c r="Y680" s="251"/>
      <c r="Z680" s="251"/>
      <c r="AA680" s="137"/>
      <c r="AB680" s="137"/>
      <c r="AC680" s="137"/>
      <c r="AD680" s="137"/>
      <c r="AE680" s="137"/>
      <c r="AF680" s="137"/>
      <c r="AG680" s="137"/>
    </row>
    <row r="681" ht="30.0" customHeight="1">
      <c r="A681" s="248"/>
      <c r="B681" s="249"/>
      <c r="C681" s="248"/>
      <c r="D681" s="249"/>
      <c r="E681" s="249"/>
      <c r="F681" s="249"/>
      <c r="G681" s="249"/>
      <c r="H681" s="251"/>
      <c r="I681" s="252"/>
      <c r="J681" s="252"/>
      <c r="K681" s="252"/>
      <c r="L681" s="251"/>
      <c r="M681" s="251"/>
      <c r="N681" s="251"/>
      <c r="O681" s="251"/>
      <c r="P681" s="251"/>
      <c r="Q681" s="251"/>
      <c r="R681" s="251"/>
      <c r="S681" s="251"/>
      <c r="T681" s="251"/>
      <c r="U681" s="251"/>
      <c r="V681" s="251"/>
      <c r="W681" s="251"/>
      <c r="X681" s="251"/>
      <c r="Y681" s="251"/>
      <c r="Z681" s="251"/>
      <c r="AA681" s="137"/>
      <c r="AB681" s="137"/>
      <c r="AC681" s="137"/>
      <c r="AD681" s="137"/>
      <c r="AE681" s="137"/>
      <c r="AF681" s="137"/>
      <c r="AG681" s="137"/>
    </row>
    <row r="682" ht="30.0" customHeight="1">
      <c r="A682" s="248"/>
      <c r="B682" s="249"/>
      <c r="C682" s="248"/>
      <c r="D682" s="249"/>
      <c r="E682" s="249"/>
      <c r="F682" s="249"/>
      <c r="G682" s="250"/>
      <c r="H682" s="251"/>
      <c r="I682" s="252"/>
      <c r="J682" s="252"/>
      <c r="K682" s="252"/>
      <c r="L682" s="251"/>
      <c r="M682" s="251"/>
      <c r="N682" s="251"/>
      <c r="O682" s="251"/>
      <c r="P682" s="251"/>
      <c r="Q682" s="251"/>
      <c r="R682" s="251"/>
      <c r="S682" s="251"/>
      <c r="T682" s="251"/>
      <c r="U682" s="251"/>
      <c r="V682" s="251"/>
      <c r="W682" s="251"/>
      <c r="X682" s="251"/>
      <c r="Y682" s="251"/>
      <c r="Z682" s="251"/>
      <c r="AA682" s="137"/>
      <c r="AB682" s="137"/>
      <c r="AC682" s="137"/>
      <c r="AD682" s="137"/>
      <c r="AE682" s="137"/>
      <c r="AF682" s="137"/>
      <c r="AG682" s="137"/>
    </row>
    <row r="683" ht="30.0" customHeight="1">
      <c r="A683" s="248"/>
      <c r="B683" s="249"/>
      <c r="C683" s="248"/>
      <c r="D683" s="249"/>
      <c r="E683" s="249"/>
      <c r="F683" s="249"/>
      <c r="G683" s="250"/>
      <c r="H683" s="251"/>
      <c r="I683" s="252"/>
      <c r="J683" s="252"/>
      <c r="K683" s="252"/>
      <c r="L683" s="251"/>
      <c r="M683" s="251"/>
      <c r="N683" s="251"/>
      <c r="O683" s="251"/>
      <c r="P683" s="251"/>
      <c r="Q683" s="251"/>
      <c r="R683" s="251"/>
      <c r="S683" s="251"/>
      <c r="T683" s="251"/>
      <c r="U683" s="251"/>
      <c r="V683" s="251"/>
      <c r="W683" s="251"/>
      <c r="X683" s="251"/>
      <c r="Y683" s="251"/>
      <c r="Z683" s="251"/>
      <c r="AA683" s="137"/>
      <c r="AB683" s="137"/>
      <c r="AC683" s="137"/>
      <c r="AD683" s="137"/>
      <c r="AE683" s="137"/>
      <c r="AF683" s="137"/>
      <c r="AG683" s="137"/>
    </row>
    <row r="684" ht="30.0" customHeight="1">
      <c r="A684" s="248"/>
      <c r="B684" s="249"/>
      <c r="C684" s="248"/>
      <c r="D684" s="249"/>
      <c r="E684" s="249"/>
      <c r="F684" s="249"/>
      <c r="G684" s="250"/>
      <c r="H684" s="251"/>
      <c r="I684" s="252"/>
      <c r="J684" s="252"/>
      <c r="K684" s="252"/>
      <c r="L684" s="251"/>
      <c r="M684" s="251"/>
      <c r="N684" s="251"/>
      <c r="O684" s="251"/>
      <c r="P684" s="251"/>
      <c r="Q684" s="251"/>
      <c r="R684" s="251"/>
      <c r="S684" s="251"/>
      <c r="T684" s="251"/>
      <c r="U684" s="251"/>
      <c r="V684" s="251"/>
      <c r="W684" s="251"/>
      <c r="X684" s="251"/>
      <c r="Y684" s="251"/>
      <c r="Z684" s="251"/>
      <c r="AA684" s="137"/>
      <c r="AB684" s="137"/>
      <c r="AC684" s="137"/>
      <c r="AD684" s="137"/>
      <c r="AE684" s="137"/>
      <c r="AF684" s="137"/>
      <c r="AG684" s="137"/>
    </row>
    <row r="685" ht="30.0" customHeight="1">
      <c r="A685" s="248"/>
      <c r="B685" s="249"/>
      <c r="C685" s="248"/>
      <c r="D685" s="249"/>
      <c r="E685" s="249"/>
      <c r="F685" s="249"/>
      <c r="G685" s="250"/>
      <c r="H685" s="251"/>
      <c r="I685" s="252"/>
      <c r="J685" s="252"/>
      <c r="K685" s="252"/>
      <c r="L685" s="251"/>
      <c r="M685" s="251"/>
      <c r="N685" s="251"/>
      <c r="O685" s="251"/>
      <c r="P685" s="251"/>
      <c r="Q685" s="251"/>
      <c r="R685" s="251"/>
      <c r="S685" s="251"/>
      <c r="T685" s="251"/>
      <c r="U685" s="251"/>
      <c r="V685" s="251"/>
      <c r="W685" s="251"/>
      <c r="X685" s="251"/>
      <c r="Y685" s="251"/>
      <c r="Z685" s="251"/>
      <c r="AA685" s="137"/>
      <c r="AB685" s="137"/>
      <c r="AC685" s="137"/>
      <c r="AD685" s="137"/>
      <c r="AE685" s="137"/>
      <c r="AF685" s="137"/>
      <c r="AG685" s="137"/>
    </row>
    <row r="686" ht="30.0" customHeight="1">
      <c r="A686" s="248"/>
      <c r="B686" s="249"/>
      <c r="C686" s="248"/>
      <c r="D686" s="249"/>
      <c r="E686" s="249"/>
      <c r="F686" s="249"/>
      <c r="G686" s="250"/>
      <c r="H686" s="251"/>
      <c r="I686" s="252"/>
      <c r="J686" s="252"/>
      <c r="K686" s="252"/>
      <c r="L686" s="251"/>
      <c r="M686" s="251"/>
      <c r="N686" s="251"/>
      <c r="O686" s="251"/>
      <c r="P686" s="251"/>
      <c r="Q686" s="251"/>
      <c r="R686" s="251"/>
      <c r="S686" s="251"/>
      <c r="T686" s="251"/>
      <c r="U686" s="251"/>
      <c r="V686" s="251"/>
      <c r="W686" s="251"/>
      <c r="X686" s="251"/>
      <c r="Y686" s="251"/>
      <c r="Z686" s="251"/>
      <c r="AA686" s="137"/>
      <c r="AB686" s="137"/>
      <c r="AC686" s="137"/>
      <c r="AD686" s="137"/>
      <c r="AE686" s="137"/>
      <c r="AF686" s="137"/>
      <c r="AG686" s="137"/>
    </row>
    <row r="687" ht="30.0" customHeight="1">
      <c r="A687" s="248"/>
      <c r="B687" s="249"/>
      <c r="C687" s="248"/>
      <c r="D687" s="249"/>
      <c r="E687" s="249"/>
      <c r="F687" s="249"/>
      <c r="G687" s="249"/>
      <c r="H687" s="251"/>
      <c r="I687" s="252"/>
      <c r="J687" s="252"/>
      <c r="K687" s="252"/>
      <c r="L687" s="251"/>
      <c r="M687" s="251"/>
      <c r="N687" s="251"/>
      <c r="O687" s="251"/>
      <c r="P687" s="251"/>
      <c r="Q687" s="251"/>
      <c r="R687" s="251"/>
      <c r="S687" s="251"/>
      <c r="T687" s="251"/>
      <c r="U687" s="251"/>
      <c r="V687" s="251"/>
      <c r="W687" s="251"/>
      <c r="X687" s="251"/>
      <c r="Y687" s="251"/>
      <c r="Z687" s="251"/>
      <c r="AA687" s="137"/>
      <c r="AB687" s="137"/>
      <c r="AC687" s="137"/>
      <c r="AD687" s="137"/>
      <c r="AE687" s="137"/>
      <c r="AF687" s="137"/>
      <c r="AG687" s="137"/>
    </row>
    <row r="688" ht="30.0" customHeight="1">
      <c r="A688" s="248"/>
      <c r="B688" s="249"/>
      <c r="C688" s="248"/>
      <c r="D688" s="249"/>
      <c r="E688" s="249"/>
      <c r="F688" s="249"/>
      <c r="G688" s="250"/>
      <c r="H688" s="251"/>
      <c r="I688" s="252"/>
      <c r="J688" s="252"/>
      <c r="K688" s="252"/>
      <c r="L688" s="251"/>
      <c r="M688" s="251"/>
      <c r="N688" s="251"/>
      <c r="O688" s="251"/>
      <c r="P688" s="251"/>
      <c r="Q688" s="251"/>
      <c r="R688" s="251"/>
      <c r="S688" s="251"/>
      <c r="T688" s="251"/>
      <c r="U688" s="251"/>
      <c r="V688" s="251"/>
      <c r="W688" s="251"/>
      <c r="X688" s="251"/>
      <c r="Y688" s="251"/>
      <c r="Z688" s="251"/>
      <c r="AA688" s="137"/>
      <c r="AB688" s="137"/>
      <c r="AC688" s="137"/>
      <c r="AD688" s="137"/>
      <c r="AE688" s="137"/>
      <c r="AF688" s="137"/>
      <c r="AG688" s="137"/>
    </row>
    <row r="689" ht="30.0" customHeight="1">
      <c r="A689" s="248"/>
      <c r="B689" s="249"/>
      <c r="C689" s="248"/>
      <c r="D689" s="249"/>
      <c r="E689" s="249"/>
      <c r="F689" s="249"/>
      <c r="G689" s="250"/>
      <c r="H689" s="251"/>
      <c r="I689" s="252"/>
      <c r="J689" s="252"/>
      <c r="K689" s="252"/>
      <c r="L689" s="251"/>
      <c r="M689" s="251"/>
      <c r="N689" s="251"/>
      <c r="O689" s="251"/>
      <c r="P689" s="251"/>
      <c r="Q689" s="251"/>
      <c r="R689" s="251"/>
      <c r="S689" s="251"/>
      <c r="T689" s="251"/>
      <c r="U689" s="251"/>
      <c r="V689" s="251"/>
      <c r="W689" s="251"/>
      <c r="X689" s="251"/>
      <c r="Y689" s="251"/>
      <c r="Z689" s="251"/>
      <c r="AA689" s="137"/>
      <c r="AB689" s="137"/>
      <c r="AC689" s="137"/>
      <c r="AD689" s="137"/>
      <c r="AE689" s="137"/>
      <c r="AF689" s="137"/>
      <c r="AG689" s="137"/>
    </row>
    <row r="690" ht="30.0" customHeight="1">
      <c r="A690" s="248"/>
      <c r="B690" s="249"/>
      <c r="C690" s="248"/>
      <c r="D690" s="249"/>
      <c r="E690" s="249"/>
      <c r="F690" s="249"/>
      <c r="G690" s="250"/>
      <c r="H690" s="251"/>
      <c r="I690" s="252"/>
      <c r="J690" s="252"/>
      <c r="K690" s="252"/>
      <c r="L690" s="251"/>
      <c r="M690" s="251"/>
      <c r="N690" s="251"/>
      <c r="O690" s="251"/>
      <c r="P690" s="251"/>
      <c r="Q690" s="251"/>
      <c r="R690" s="251"/>
      <c r="S690" s="251"/>
      <c r="T690" s="251"/>
      <c r="U690" s="251"/>
      <c r="V690" s="251"/>
      <c r="W690" s="251"/>
      <c r="X690" s="251"/>
      <c r="Y690" s="251"/>
      <c r="Z690" s="251"/>
      <c r="AA690" s="137"/>
      <c r="AB690" s="137"/>
      <c r="AC690" s="137"/>
      <c r="AD690" s="137"/>
      <c r="AE690" s="137"/>
      <c r="AF690" s="137"/>
      <c r="AG690" s="137"/>
    </row>
    <row r="691" ht="30.0" customHeight="1">
      <c r="A691" s="248"/>
      <c r="B691" s="249"/>
      <c r="C691" s="248"/>
      <c r="D691" s="249"/>
      <c r="E691" s="249"/>
      <c r="F691" s="249"/>
      <c r="G691" s="250"/>
      <c r="H691" s="251"/>
      <c r="I691" s="252"/>
      <c r="J691" s="252"/>
      <c r="K691" s="252"/>
      <c r="L691" s="251"/>
      <c r="M691" s="251"/>
      <c r="N691" s="251"/>
      <c r="O691" s="251"/>
      <c r="P691" s="251"/>
      <c r="Q691" s="251"/>
      <c r="R691" s="251"/>
      <c r="S691" s="251"/>
      <c r="T691" s="251"/>
      <c r="U691" s="251"/>
      <c r="V691" s="251"/>
      <c r="W691" s="251"/>
      <c r="X691" s="251"/>
      <c r="Y691" s="251"/>
      <c r="Z691" s="251"/>
      <c r="AA691" s="137"/>
      <c r="AB691" s="137"/>
      <c r="AC691" s="137"/>
      <c r="AD691" s="137"/>
      <c r="AE691" s="137"/>
      <c r="AF691" s="137"/>
      <c r="AG691" s="137"/>
    </row>
    <row r="692" ht="30.0" customHeight="1">
      <c r="A692" s="248"/>
      <c r="B692" s="249"/>
      <c r="C692" s="248"/>
      <c r="D692" s="249"/>
      <c r="E692" s="249"/>
      <c r="F692" s="249"/>
      <c r="G692" s="250"/>
      <c r="H692" s="251"/>
      <c r="I692" s="252"/>
      <c r="J692" s="252"/>
      <c r="K692" s="252"/>
      <c r="L692" s="251"/>
      <c r="M692" s="251"/>
      <c r="N692" s="251"/>
      <c r="O692" s="251"/>
      <c r="P692" s="251"/>
      <c r="Q692" s="251"/>
      <c r="R692" s="251"/>
      <c r="S692" s="251"/>
      <c r="T692" s="251"/>
      <c r="U692" s="251"/>
      <c r="V692" s="251"/>
      <c r="W692" s="251"/>
      <c r="X692" s="251"/>
      <c r="Y692" s="251"/>
      <c r="Z692" s="251"/>
      <c r="AA692" s="137"/>
      <c r="AB692" s="137"/>
      <c r="AC692" s="137"/>
      <c r="AD692" s="137"/>
      <c r="AE692" s="137"/>
      <c r="AF692" s="137"/>
      <c r="AG692" s="137"/>
    </row>
    <row r="693" ht="30.0" customHeight="1">
      <c r="A693" s="248"/>
      <c r="B693" s="249"/>
      <c r="C693" s="248"/>
      <c r="D693" s="249"/>
      <c r="E693" s="251"/>
      <c r="F693" s="249"/>
      <c r="G693" s="250"/>
      <c r="H693" s="251"/>
      <c r="I693" s="252"/>
      <c r="J693" s="252"/>
      <c r="K693" s="252"/>
      <c r="L693" s="251"/>
      <c r="M693" s="251"/>
      <c r="N693" s="251"/>
      <c r="O693" s="251"/>
      <c r="P693" s="251"/>
      <c r="Q693" s="251"/>
      <c r="R693" s="251"/>
      <c r="S693" s="251"/>
      <c r="T693" s="251"/>
      <c r="U693" s="251"/>
      <c r="V693" s="251"/>
      <c r="W693" s="251"/>
      <c r="X693" s="251"/>
      <c r="Y693" s="251"/>
      <c r="Z693" s="251"/>
      <c r="AA693" s="137"/>
      <c r="AB693" s="137"/>
      <c r="AC693" s="137"/>
      <c r="AD693" s="137"/>
      <c r="AE693" s="137"/>
      <c r="AF693" s="137"/>
      <c r="AG693" s="137"/>
    </row>
    <row r="694" ht="30.0" customHeight="1">
      <c r="A694" s="248"/>
      <c r="B694" s="249"/>
      <c r="C694" s="248"/>
      <c r="D694" s="249"/>
      <c r="E694" s="249"/>
      <c r="F694" s="249"/>
      <c r="G694" s="250"/>
      <c r="H694" s="251"/>
      <c r="I694" s="252"/>
      <c r="J694" s="252"/>
      <c r="K694" s="252"/>
      <c r="L694" s="251"/>
      <c r="M694" s="251"/>
      <c r="N694" s="251"/>
      <c r="O694" s="251"/>
      <c r="P694" s="251"/>
      <c r="Q694" s="251"/>
      <c r="R694" s="251"/>
      <c r="S694" s="251"/>
      <c r="T694" s="251"/>
      <c r="U694" s="251"/>
      <c r="V694" s="251"/>
      <c r="W694" s="251"/>
      <c r="X694" s="251"/>
      <c r="Y694" s="251"/>
      <c r="Z694" s="251"/>
      <c r="AA694" s="137"/>
      <c r="AB694" s="137"/>
      <c r="AC694" s="137"/>
      <c r="AD694" s="137"/>
      <c r="AE694" s="137"/>
      <c r="AF694" s="137"/>
      <c r="AG694" s="137"/>
    </row>
    <row r="695" ht="30.0" customHeight="1">
      <c r="A695" s="248"/>
      <c r="B695" s="249"/>
      <c r="C695" s="248"/>
      <c r="D695" s="249"/>
      <c r="E695" s="249"/>
      <c r="F695" s="249"/>
      <c r="G695" s="249"/>
      <c r="H695" s="251"/>
      <c r="I695" s="252"/>
      <c r="J695" s="252"/>
      <c r="K695" s="252"/>
      <c r="L695" s="251"/>
      <c r="M695" s="251"/>
      <c r="N695" s="251"/>
      <c r="O695" s="251"/>
      <c r="P695" s="251"/>
      <c r="Q695" s="251"/>
      <c r="R695" s="251"/>
      <c r="S695" s="251"/>
      <c r="T695" s="251"/>
      <c r="U695" s="251"/>
      <c r="V695" s="251"/>
      <c r="W695" s="251"/>
      <c r="X695" s="251"/>
      <c r="Y695" s="251"/>
      <c r="Z695" s="251"/>
      <c r="AA695" s="137"/>
      <c r="AB695" s="137"/>
      <c r="AC695" s="137"/>
      <c r="AD695" s="137"/>
      <c r="AE695" s="137"/>
      <c r="AF695" s="137"/>
      <c r="AG695" s="137"/>
    </row>
    <row r="696" ht="30.0" customHeight="1">
      <c r="A696" s="248"/>
      <c r="B696" s="249"/>
      <c r="C696" s="248"/>
      <c r="D696" s="249"/>
      <c r="E696" s="251"/>
      <c r="F696" s="249"/>
      <c r="G696" s="250"/>
      <c r="H696" s="251"/>
      <c r="I696" s="252"/>
      <c r="J696" s="252"/>
      <c r="K696" s="252"/>
      <c r="L696" s="251"/>
      <c r="M696" s="251"/>
      <c r="N696" s="251"/>
      <c r="O696" s="251"/>
      <c r="P696" s="251"/>
      <c r="Q696" s="251"/>
      <c r="R696" s="251"/>
      <c r="S696" s="251"/>
      <c r="T696" s="251"/>
      <c r="U696" s="251"/>
      <c r="V696" s="251"/>
      <c r="W696" s="251"/>
      <c r="X696" s="251"/>
      <c r="Y696" s="251"/>
      <c r="Z696" s="251"/>
      <c r="AA696" s="137"/>
      <c r="AB696" s="137"/>
      <c r="AC696" s="137"/>
      <c r="AD696" s="137"/>
      <c r="AE696" s="137"/>
      <c r="AF696" s="137"/>
      <c r="AG696" s="137"/>
    </row>
    <row r="697" ht="30.0" customHeight="1">
      <c r="A697" s="248"/>
      <c r="B697" s="249"/>
      <c r="C697" s="248"/>
      <c r="D697" s="249"/>
      <c r="E697" s="251"/>
      <c r="F697" s="249"/>
      <c r="G697" s="250"/>
      <c r="H697" s="251"/>
      <c r="I697" s="252"/>
      <c r="J697" s="252"/>
      <c r="K697" s="252"/>
      <c r="L697" s="251"/>
      <c r="M697" s="251"/>
      <c r="N697" s="251"/>
      <c r="O697" s="251"/>
      <c r="P697" s="251"/>
      <c r="Q697" s="251"/>
      <c r="R697" s="251"/>
      <c r="S697" s="251"/>
      <c r="T697" s="251"/>
      <c r="U697" s="251"/>
      <c r="V697" s="251"/>
      <c r="W697" s="251"/>
      <c r="X697" s="251"/>
      <c r="Y697" s="251"/>
      <c r="Z697" s="251"/>
      <c r="AA697" s="137"/>
      <c r="AB697" s="137"/>
      <c r="AC697" s="137"/>
      <c r="AD697" s="137"/>
      <c r="AE697" s="137"/>
      <c r="AF697" s="137"/>
      <c r="AG697" s="137"/>
    </row>
    <row r="698" ht="30.0" customHeight="1">
      <c r="A698" s="248"/>
      <c r="B698" s="249"/>
      <c r="C698" s="248"/>
      <c r="D698" s="249"/>
      <c r="E698" s="251"/>
      <c r="F698" s="249"/>
      <c r="G698" s="250"/>
      <c r="H698" s="251"/>
      <c r="I698" s="252"/>
      <c r="J698" s="252"/>
      <c r="K698" s="252"/>
      <c r="L698" s="251"/>
      <c r="M698" s="251"/>
      <c r="N698" s="251"/>
      <c r="O698" s="251"/>
      <c r="P698" s="251"/>
      <c r="Q698" s="251"/>
      <c r="R698" s="251"/>
      <c r="S698" s="251"/>
      <c r="T698" s="251"/>
      <c r="U698" s="251"/>
      <c r="V698" s="251"/>
      <c r="W698" s="251"/>
      <c r="X698" s="251"/>
      <c r="Y698" s="251"/>
      <c r="Z698" s="251"/>
      <c r="AA698" s="137"/>
      <c r="AB698" s="137"/>
      <c r="AC698" s="137"/>
      <c r="AD698" s="137"/>
      <c r="AE698" s="137"/>
      <c r="AF698" s="137"/>
      <c r="AG698" s="137"/>
    </row>
    <row r="699" ht="30.0" customHeight="1">
      <c r="A699" s="248"/>
      <c r="B699" s="249"/>
      <c r="C699" s="248"/>
      <c r="D699" s="249"/>
      <c r="E699" s="251"/>
      <c r="F699" s="249"/>
      <c r="G699" s="250"/>
      <c r="H699" s="251"/>
      <c r="I699" s="252"/>
      <c r="J699" s="252"/>
      <c r="K699" s="252"/>
      <c r="L699" s="251"/>
      <c r="M699" s="251"/>
      <c r="N699" s="251"/>
      <c r="O699" s="251"/>
      <c r="P699" s="251"/>
      <c r="Q699" s="251"/>
      <c r="R699" s="251"/>
      <c r="S699" s="251"/>
      <c r="T699" s="251"/>
      <c r="U699" s="251"/>
      <c r="V699" s="251"/>
      <c r="W699" s="251"/>
      <c r="X699" s="251"/>
      <c r="Y699" s="251"/>
      <c r="Z699" s="251"/>
      <c r="AA699" s="137"/>
      <c r="AB699" s="137"/>
      <c r="AC699" s="137"/>
      <c r="AD699" s="137"/>
      <c r="AE699" s="137"/>
      <c r="AF699" s="137"/>
      <c r="AG699" s="137"/>
    </row>
    <row r="700" ht="30.0" customHeight="1">
      <c r="A700" s="248"/>
      <c r="B700" s="249"/>
      <c r="C700" s="248"/>
      <c r="D700" s="249"/>
      <c r="E700" s="249"/>
      <c r="F700" s="249"/>
      <c r="G700" s="250"/>
      <c r="H700" s="251"/>
      <c r="I700" s="252"/>
      <c r="J700" s="252"/>
      <c r="K700" s="252"/>
      <c r="L700" s="251"/>
      <c r="M700" s="251"/>
      <c r="N700" s="251"/>
      <c r="O700" s="251"/>
      <c r="P700" s="251"/>
      <c r="Q700" s="251"/>
      <c r="R700" s="251"/>
      <c r="S700" s="251"/>
      <c r="T700" s="251"/>
      <c r="U700" s="251"/>
      <c r="V700" s="251"/>
      <c r="W700" s="251"/>
      <c r="X700" s="251"/>
      <c r="Y700" s="251"/>
      <c r="Z700" s="251"/>
      <c r="AA700" s="137"/>
      <c r="AB700" s="137"/>
      <c r="AC700" s="137"/>
      <c r="AD700" s="137"/>
      <c r="AE700" s="137"/>
      <c r="AF700" s="137"/>
      <c r="AG700" s="137"/>
    </row>
    <row r="701" ht="30.0" customHeight="1">
      <c r="A701" s="248"/>
      <c r="B701" s="249"/>
      <c r="C701" s="248"/>
      <c r="D701" s="249"/>
      <c r="E701" s="249"/>
      <c r="F701" s="249"/>
      <c r="G701" s="249"/>
      <c r="H701" s="251"/>
      <c r="I701" s="252"/>
      <c r="J701" s="252"/>
      <c r="K701" s="252"/>
      <c r="L701" s="251"/>
      <c r="M701" s="251"/>
      <c r="N701" s="251"/>
      <c r="O701" s="251"/>
      <c r="P701" s="251"/>
      <c r="Q701" s="251"/>
      <c r="R701" s="251"/>
      <c r="S701" s="251"/>
      <c r="T701" s="251"/>
      <c r="U701" s="251"/>
      <c r="V701" s="251"/>
      <c r="W701" s="251"/>
      <c r="X701" s="251"/>
      <c r="Y701" s="251"/>
      <c r="Z701" s="251"/>
      <c r="AA701" s="137"/>
      <c r="AB701" s="137"/>
      <c r="AC701" s="137"/>
      <c r="AD701" s="137"/>
      <c r="AE701" s="137"/>
      <c r="AF701" s="137"/>
      <c r="AG701" s="137"/>
    </row>
    <row r="702" ht="30.0" customHeight="1">
      <c r="A702" s="248"/>
      <c r="B702" s="249"/>
      <c r="C702" s="248"/>
      <c r="D702" s="249"/>
      <c r="E702" s="249"/>
      <c r="F702" s="249"/>
      <c r="G702" s="249"/>
      <c r="H702" s="251"/>
      <c r="I702" s="252"/>
      <c r="J702" s="252"/>
      <c r="K702" s="252"/>
      <c r="L702" s="251"/>
      <c r="M702" s="251"/>
      <c r="N702" s="251"/>
      <c r="O702" s="251"/>
      <c r="P702" s="251"/>
      <c r="Q702" s="251"/>
      <c r="R702" s="251"/>
      <c r="S702" s="251"/>
      <c r="T702" s="251"/>
      <c r="U702" s="251"/>
      <c r="V702" s="251"/>
      <c r="W702" s="251"/>
      <c r="X702" s="251"/>
      <c r="Y702" s="251"/>
      <c r="Z702" s="251"/>
      <c r="AA702" s="137"/>
      <c r="AB702" s="137"/>
      <c r="AC702" s="137"/>
      <c r="AD702" s="137"/>
      <c r="AE702" s="137"/>
      <c r="AF702" s="137"/>
      <c r="AG702" s="137"/>
    </row>
    <row r="703" ht="30.0" customHeight="1">
      <c r="A703" s="248"/>
      <c r="B703" s="249"/>
      <c r="C703" s="248"/>
      <c r="D703" s="249"/>
      <c r="E703" s="249"/>
      <c r="F703" s="249"/>
      <c r="G703" s="250"/>
      <c r="H703" s="251"/>
      <c r="I703" s="252"/>
      <c r="J703" s="252"/>
      <c r="K703" s="252"/>
      <c r="L703" s="251"/>
      <c r="M703" s="251"/>
      <c r="N703" s="251"/>
      <c r="O703" s="251"/>
      <c r="P703" s="251"/>
      <c r="Q703" s="251"/>
      <c r="R703" s="251"/>
      <c r="S703" s="251"/>
      <c r="T703" s="251"/>
      <c r="U703" s="251"/>
      <c r="V703" s="251"/>
      <c r="W703" s="251"/>
      <c r="X703" s="251"/>
      <c r="Y703" s="251"/>
      <c r="Z703" s="251"/>
      <c r="AA703" s="137"/>
      <c r="AB703" s="137"/>
      <c r="AC703" s="137"/>
      <c r="AD703" s="137"/>
      <c r="AE703" s="137"/>
      <c r="AF703" s="137"/>
      <c r="AG703" s="137"/>
    </row>
    <row r="704" ht="30.0" customHeight="1">
      <c r="A704" s="248"/>
      <c r="B704" s="249"/>
      <c r="C704" s="248"/>
      <c r="D704" s="249"/>
      <c r="E704" s="251"/>
      <c r="F704" s="249"/>
      <c r="G704" s="250"/>
      <c r="H704" s="251"/>
      <c r="I704" s="252"/>
      <c r="J704" s="252"/>
      <c r="K704" s="252"/>
      <c r="L704" s="251"/>
      <c r="M704" s="251"/>
      <c r="N704" s="251"/>
      <c r="O704" s="251"/>
      <c r="P704" s="251"/>
      <c r="Q704" s="251"/>
      <c r="R704" s="251"/>
      <c r="S704" s="251"/>
      <c r="T704" s="251"/>
      <c r="U704" s="251"/>
      <c r="V704" s="251"/>
      <c r="W704" s="251"/>
      <c r="X704" s="251"/>
      <c r="Y704" s="251"/>
      <c r="Z704" s="251"/>
      <c r="AA704" s="137"/>
      <c r="AB704" s="137"/>
      <c r="AC704" s="137"/>
      <c r="AD704" s="137"/>
      <c r="AE704" s="137"/>
      <c r="AF704" s="137"/>
      <c r="AG704" s="137"/>
    </row>
    <row r="705" ht="30.0" customHeight="1">
      <c r="A705" s="248"/>
      <c r="B705" s="249"/>
      <c r="C705" s="248"/>
      <c r="D705" s="249"/>
      <c r="E705" s="249"/>
      <c r="F705" s="249"/>
      <c r="G705" s="250"/>
      <c r="H705" s="251"/>
      <c r="I705" s="252"/>
      <c r="J705" s="252"/>
      <c r="K705" s="252"/>
      <c r="L705" s="251"/>
      <c r="M705" s="251"/>
      <c r="N705" s="251"/>
      <c r="O705" s="251"/>
      <c r="P705" s="251"/>
      <c r="Q705" s="251"/>
      <c r="R705" s="251"/>
      <c r="S705" s="251"/>
      <c r="T705" s="251"/>
      <c r="U705" s="251"/>
      <c r="V705" s="251"/>
      <c r="W705" s="251"/>
      <c r="X705" s="251"/>
      <c r="Y705" s="251"/>
      <c r="Z705" s="251"/>
      <c r="AA705" s="137"/>
      <c r="AB705" s="137"/>
      <c r="AC705" s="137"/>
      <c r="AD705" s="137"/>
      <c r="AE705" s="137"/>
      <c r="AF705" s="137"/>
      <c r="AG705" s="137"/>
    </row>
    <row r="706" ht="30.0" customHeight="1">
      <c r="A706" s="248"/>
      <c r="B706" s="249"/>
      <c r="C706" s="248"/>
      <c r="D706" s="249"/>
      <c r="E706" s="249"/>
      <c r="F706" s="249"/>
      <c r="G706" s="249"/>
      <c r="H706" s="251"/>
      <c r="I706" s="252"/>
      <c r="J706" s="252"/>
      <c r="K706" s="252"/>
      <c r="L706" s="251"/>
      <c r="M706" s="251"/>
      <c r="N706" s="251"/>
      <c r="O706" s="251"/>
      <c r="P706" s="251"/>
      <c r="Q706" s="251"/>
      <c r="R706" s="251"/>
      <c r="S706" s="251"/>
      <c r="T706" s="251"/>
      <c r="U706" s="251"/>
      <c r="V706" s="251"/>
      <c r="W706" s="251"/>
      <c r="X706" s="251"/>
      <c r="Y706" s="251"/>
      <c r="Z706" s="251"/>
      <c r="AA706" s="137"/>
      <c r="AB706" s="137"/>
      <c r="AC706" s="137"/>
      <c r="AD706" s="137"/>
      <c r="AE706" s="137"/>
      <c r="AF706" s="137"/>
      <c r="AG706" s="137"/>
    </row>
    <row r="707" ht="30.0" customHeight="1">
      <c r="A707" s="248"/>
      <c r="B707" s="249"/>
      <c r="C707" s="248"/>
      <c r="D707" s="249"/>
      <c r="E707" s="249"/>
      <c r="F707" s="249"/>
      <c r="G707" s="249"/>
      <c r="H707" s="251"/>
      <c r="I707" s="252"/>
      <c r="J707" s="252"/>
      <c r="K707" s="252"/>
      <c r="L707" s="251"/>
      <c r="M707" s="251"/>
      <c r="N707" s="251"/>
      <c r="O707" s="251"/>
      <c r="P707" s="251"/>
      <c r="Q707" s="251"/>
      <c r="R707" s="251"/>
      <c r="S707" s="251"/>
      <c r="T707" s="251"/>
      <c r="U707" s="251"/>
      <c r="V707" s="251"/>
      <c r="W707" s="251"/>
      <c r="X707" s="251"/>
      <c r="Y707" s="251"/>
      <c r="Z707" s="251"/>
      <c r="AA707" s="137"/>
      <c r="AB707" s="137"/>
      <c r="AC707" s="137"/>
      <c r="AD707" s="137"/>
      <c r="AE707" s="137"/>
      <c r="AF707" s="137"/>
      <c r="AG707" s="137"/>
    </row>
    <row r="708" ht="30.0" customHeight="1">
      <c r="A708" s="248"/>
      <c r="B708" s="249"/>
      <c r="C708" s="248"/>
      <c r="D708" s="249"/>
      <c r="E708" s="249"/>
      <c r="F708" s="249"/>
      <c r="G708" s="250"/>
      <c r="H708" s="251"/>
      <c r="I708" s="252"/>
      <c r="J708" s="252"/>
      <c r="K708" s="252"/>
      <c r="L708" s="251"/>
      <c r="M708" s="251"/>
      <c r="N708" s="251"/>
      <c r="O708" s="251"/>
      <c r="P708" s="251"/>
      <c r="Q708" s="251"/>
      <c r="R708" s="251"/>
      <c r="S708" s="251"/>
      <c r="T708" s="251"/>
      <c r="U708" s="251"/>
      <c r="V708" s="251"/>
      <c r="W708" s="251"/>
      <c r="X708" s="251"/>
      <c r="Y708" s="251"/>
      <c r="Z708" s="251"/>
      <c r="AA708" s="137"/>
      <c r="AB708" s="137"/>
      <c r="AC708" s="137"/>
      <c r="AD708" s="137"/>
      <c r="AE708" s="137"/>
      <c r="AF708" s="137"/>
      <c r="AG708" s="137"/>
    </row>
    <row r="709" ht="30.0" customHeight="1">
      <c r="A709" s="248"/>
      <c r="B709" s="249"/>
      <c r="C709" s="248"/>
      <c r="D709" s="249"/>
      <c r="E709" s="249"/>
      <c r="F709" s="249"/>
      <c r="G709" s="250"/>
      <c r="H709" s="251"/>
      <c r="I709" s="252"/>
      <c r="J709" s="252"/>
      <c r="K709" s="252"/>
      <c r="L709" s="251"/>
      <c r="M709" s="251"/>
      <c r="N709" s="251"/>
      <c r="O709" s="251"/>
      <c r="P709" s="251"/>
      <c r="Q709" s="251"/>
      <c r="R709" s="251"/>
      <c r="S709" s="251"/>
      <c r="T709" s="251"/>
      <c r="U709" s="251"/>
      <c r="V709" s="251"/>
      <c r="W709" s="251"/>
      <c r="X709" s="251"/>
      <c r="Y709" s="251"/>
      <c r="Z709" s="251"/>
      <c r="AA709" s="137"/>
      <c r="AB709" s="137"/>
      <c r="AC709" s="137"/>
      <c r="AD709" s="137"/>
      <c r="AE709" s="137"/>
      <c r="AF709" s="137"/>
      <c r="AG709" s="137"/>
    </row>
    <row r="710" ht="30.0" customHeight="1">
      <c r="A710" s="248"/>
      <c r="B710" s="249"/>
      <c r="C710" s="248"/>
      <c r="D710" s="249"/>
      <c r="E710" s="249"/>
      <c r="F710" s="249"/>
      <c r="G710" s="250"/>
      <c r="H710" s="251"/>
      <c r="I710" s="252"/>
      <c r="J710" s="252"/>
      <c r="K710" s="252"/>
      <c r="L710" s="251"/>
      <c r="M710" s="251"/>
      <c r="N710" s="251"/>
      <c r="O710" s="251"/>
      <c r="P710" s="251"/>
      <c r="Q710" s="251"/>
      <c r="R710" s="251"/>
      <c r="S710" s="251"/>
      <c r="T710" s="251"/>
      <c r="U710" s="251"/>
      <c r="V710" s="251"/>
      <c r="W710" s="251"/>
      <c r="X710" s="251"/>
      <c r="Y710" s="251"/>
      <c r="Z710" s="251"/>
      <c r="AA710" s="137"/>
      <c r="AB710" s="137"/>
      <c r="AC710" s="137"/>
      <c r="AD710" s="137"/>
      <c r="AE710" s="137"/>
      <c r="AF710" s="137"/>
      <c r="AG710" s="137"/>
    </row>
    <row r="711" ht="30.0" customHeight="1">
      <c r="A711" s="248"/>
      <c r="B711" s="249"/>
      <c r="C711" s="248"/>
      <c r="D711" s="249"/>
      <c r="E711" s="249"/>
      <c r="F711" s="249"/>
      <c r="G711" s="250"/>
      <c r="H711" s="251"/>
      <c r="I711" s="252"/>
      <c r="J711" s="252"/>
      <c r="K711" s="252"/>
      <c r="L711" s="251"/>
      <c r="M711" s="251"/>
      <c r="N711" s="251"/>
      <c r="O711" s="251"/>
      <c r="P711" s="251"/>
      <c r="Q711" s="251"/>
      <c r="R711" s="251"/>
      <c r="S711" s="251"/>
      <c r="T711" s="251"/>
      <c r="U711" s="251"/>
      <c r="V711" s="251"/>
      <c r="W711" s="251"/>
      <c r="X711" s="251"/>
      <c r="Y711" s="251"/>
      <c r="Z711" s="251"/>
      <c r="AA711" s="137"/>
      <c r="AB711" s="137"/>
      <c r="AC711" s="137"/>
      <c r="AD711" s="137"/>
      <c r="AE711" s="137"/>
      <c r="AF711" s="137"/>
      <c r="AG711" s="137"/>
    </row>
    <row r="712" ht="30.0" customHeight="1">
      <c r="A712" s="248"/>
      <c r="B712" s="249"/>
      <c r="C712" s="248"/>
      <c r="D712" s="249"/>
      <c r="E712" s="249"/>
      <c r="F712" s="249"/>
      <c r="G712" s="250"/>
      <c r="H712" s="251"/>
      <c r="I712" s="252"/>
      <c r="J712" s="252"/>
      <c r="K712" s="252"/>
      <c r="L712" s="251"/>
      <c r="M712" s="251"/>
      <c r="N712" s="251"/>
      <c r="O712" s="251"/>
      <c r="P712" s="251"/>
      <c r="Q712" s="251"/>
      <c r="R712" s="251"/>
      <c r="S712" s="251"/>
      <c r="T712" s="251"/>
      <c r="U712" s="251"/>
      <c r="V712" s="251"/>
      <c r="W712" s="251"/>
      <c r="X712" s="251"/>
      <c r="Y712" s="251"/>
      <c r="Z712" s="251"/>
      <c r="AA712" s="137"/>
      <c r="AB712" s="137"/>
      <c r="AC712" s="137"/>
      <c r="AD712" s="137"/>
      <c r="AE712" s="137"/>
      <c r="AF712" s="137"/>
      <c r="AG712" s="137"/>
    </row>
    <row r="713" ht="30.0" customHeight="1">
      <c r="A713" s="248"/>
      <c r="B713" s="249"/>
      <c r="C713" s="248"/>
      <c r="D713" s="249"/>
      <c r="E713" s="249"/>
      <c r="F713" s="249"/>
      <c r="G713" s="250"/>
      <c r="H713" s="251"/>
      <c r="I713" s="252"/>
      <c r="J713" s="252"/>
      <c r="K713" s="252"/>
      <c r="L713" s="251"/>
      <c r="M713" s="251"/>
      <c r="N713" s="251"/>
      <c r="O713" s="251"/>
      <c r="P713" s="251"/>
      <c r="Q713" s="251"/>
      <c r="R713" s="251"/>
      <c r="S713" s="251"/>
      <c r="T713" s="251"/>
      <c r="U713" s="251"/>
      <c r="V713" s="251"/>
      <c r="W713" s="251"/>
      <c r="X713" s="251"/>
      <c r="Y713" s="251"/>
      <c r="Z713" s="251"/>
      <c r="AA713" s="137"/>
      <c r="AB713" s="137"/>
      <c r="AC713" s="137"/>
      <c r="AD713" s="137"/>
      <c r="AE713" s="137"/>
      <c r="AF713" s="137"/>
      <c r="AG713" s="137"/>
    </row>
    <row r="714" ht="30.0" customHeight="1">
      <c r="A714" s="248"/>
      <c r="B714" s="249"/>
      <c r="C714" s="248"/>
      <c r="D714" s="249"/>
      <c r="E714" s="249"/>
      <c r="F714" s="249"/>
      <c r="G714" s="250"/>
      <c r="H714" s="251"/>
      <c r="I714" s="252"/>
      <c r="J714" s="252"/>
      <c r="K714" s="252"/>
      <c r="L714" s="251"/>
      <c r="M714" s="251"/>
      <c r="N714" s="251"/>
      <c r="O714" s="251"/>
      <c r="P714" s="251"/>
      <c r="Q714" s="251"/>
      <c r="R714" s="251"/>
      <c r="S714" s="251"/>
      <c r="T714" s="251"/>
      <c r="U714" s="251"/>
      <c r="V714" s="251"/>
      <c r="W714" s="251"/>
      <c r="X714" s="251"/>
      <c r="Y714" s="251"/>
      <c r="Z714" s="251"/>
      <c r="AA714" s="137"/>
      <c r="AB714" s="137"/>
      <c r="AC714" s="137"/>
      <c r="AD714" s="137"/>
      <c r="AE714" s="137"/>
      <c r="AF714" s="137"/>
      <c r="AG714" s="137"/>
    </row>
    <row r="715" ht="30.0" customHeight="1">
      <c r="A715" s="248"/>
      <c r="B715" s="249"/>
      <c r="C715" s="248"/>
      <c r="D715" s="249"/>
      <c r="E715" s="249"/>
      <c r="F715" s="249"/>
      <c r="G715" s="250"/>
      <c r="H715" s="251"/>
      <c r="I715" s="252"/>
      <c r="J715" s="252"/>
      <c r="K715" s="252"/>
      <c r="L715" s="251"/>
      <c r="M715" s="251"/>
      <c r="N715" s="251"/>
      <c r="O715" s="251"/>
      <c r="P715" s="251"/>
      <c r="Q715" s="251"/>
      <c r="R715" s="251"/>
      <c r="S715" s="251"/>
      <c r="T715" s="251"/>
      <c r="U715" s="251"/>
      <c r="V715" s="251"/>
      <c r="W715" s="251"/>
      <c r="X715" s="251"/>
      <c r="Y715" s="251"/>
      <c r="Z715" s="251"/>
      <c r="AA715" s="137"/>
      <c r="AB715" s="137"/>
      <c r="AC715" s="137"/>
      <c r="AD715" s="137"/>
      <c r="AE715" s="137"/>
      <c r="AF715" s="137"/>
      <c r="AG715" s="137"/>
    </row>
    <row r="716" ht="30.0" customHeight="1">
      <c r="A716" s="248"/>
      <c r="B716" s="249"/>
      <c r="C716" s="248"/>
      <c r="D716" s="249"/>
      <c r="E716" s="249"/>
      <c r="F716" s="249"/>
      <c r="G716" s="250"/>
      <c r="H716" s="251"/>
      <c r="I716" s="252"/>
      <c r="J716" s="252"/>
      <c r="K716" s="252"/>
      <c r="L716" s="251"/>
      <c r="M716" s="251"/>
      <c r="N716" s="251"/>
      <c r="O716" s="251"/>
      <c r="P716" s="251"/>
      <c r="Q716" s="251"/>
      <c r="R716" s="251"/>
      <c r="S716" s="251"/>
      <c r="T716" s="251"/>
      <c r="U716" s="251"/>
      <c r="V716" s="251"/>
      <c r="W716" s="251"/>
      <c r="X716" s="251"/>
      <c r="Y716" s="251"/>
      <c r="Z716" s="251"/>
      <c r="AA716" s="137"/>
      <c r="AB716" s="137"/>
      <c r="AC716" s="137"/>
      <c r="AD716" s="137"/>
      <c r="AE716" s="137"/>
      <c r="AF716" s="137"/>
      <c r="AG716" s="137"/>
    </row>
    <row r="717" ht="30.0" customHeight="1">
      <c r="A717" s="248"/>
      <c r="B717" s="249"/>
      <c r="C717" s="248"/>
      <c r="D717" s="249"/>
      <c r="E717" s="249"/>
      <c r="F717" s="249"/>
      <c r="G717" s="250"/>
      <c r="H717" s="251"/>
      <c r="I717" s="252"/>
      <c r="J717" s="252"/>
      <c r="K717" s="252"/>
      <c r="L717" s="251"/>
      <c r="M717" s="251"/>
      <c r="N717" s="251"/>
      <c r="O717" s="251"/>
      <c r="P717" s="251"/>
      <c r="Q717" s="251"/>
      <c r="R717" s="251"/>
      <c r="S717" s="251"/>
      <c r="T717" s="251"/>
      <c r="U717" s="251"/>
      <c r="V717" s="251"/>
      <c r="W717" s="251"/>
      <c r="X717" s="251"/>
      <c r="Y717" s="251"/>
      <c r="Z717" s="251"/>
      <c r="AA717" s="137"/>
      <c r="AB717" s="137"/>
      <c r="AC717" s="137"/>
      <c r="AD717" s="137"/>
      <c r="AE717" s="137"/>
      <c r="AF717" s="137"/>
      <c r="AG717" s="137"/>
    </row>
    <row r="718" ht="30.0" customHeight="1">
      <c r="A718" s="248"/>
      <c r="B718" s="249"/>
      <c r="C718" s="248"/>
      <c r="D718" s="249"/>
      <c r="E718" s="251"/>
      <c r="F718" s="249"/>
      <c r="G718" s="250"/>
      <c r="H718" s="251"/>
      <c r="I718" s="252"/>
      <c r="J718" s="252"/>
      <c r="K718" s="252"/>
      <c r="L718" s="251"/>
      <c r="M718" s="251"/>
      <c r="N718" s="251"/>
      <c r="O718" s="251"/>
      <c r="P718" s="251"/>
      <c r="Q718" s="251"/>
      <c r="R718" s="251"/>
      <c r="S718" s="251"/>
      <c r="T718" s="251"/>
      <c r="U718" s="251"/>
      <c r="V718" s="251"/>
      <c r="W718" s="251"/>
      <c r="X718" s="251"/>
      <c r="Y718" s="251"/>
      <c r="Z718" s="251"/>
      <c r="AA718" s="137"/>
      <c r="AB718" s="137"/>
      <c r="AC718" s="137"/>
      <c r="AD718" s="137"/>
      <c r="AE718" s="137"/>
      <c r="AF718" s="137"/>
      <c r="AG718" s="137"/>
    </row>
    <row r="719" ht="30.0" customHeight="1">
      <c r="A719" s="248"/>
      <c r="B719" s="249"/>
      <c r="C719" s="248"/>
      <c r="D719" s="249"/>
      <c r="E719" s="249"/>
      <c r="F719" s="249"/>
      <c r="G719" s="249"/>
      <c r="H719" s="251"/>
      <c r="I719" s="252"/>
      <c r="J719" s="252"/>
      <c r="K719" s="252"/>
      <c r="L719" s="251"/>
      <c r="M719" s="251"/>
      <c r="N719" s="251"/>
      <c r="O719" s="251"/>
      <c r="P719" s="251"/>
      <c r="Q719" s="251"/>
      <c r="R719" s="251"/>
      <c r="S719" s="251"/>
      <c r="T719" s="251"/>
      <c r="U719" s="251"/>
      <c r="V719" s="251"/>
      <c r="W719" s="251"/>
      <c r="X719" s="251"/>
      <c r="Y719" s="251"/>
      <c r="Z719" s="251"/>
      <c r="AA719" s="137"/>
      <c r="AB719" s="137"/>
      <c r="AC719" s="137"/>
      <c r="AD719" s="137"/>
      <c r="AE719" s="137"/>
      <c r="AF719" s="137"/>
      <c r="AG719" s="137"/>
    </row>
    <row r="720" ht="30.0" customHeight="1">
      <c r="A720" s="248"/>
      <c r="B720" s="249"/>
      <c r="C720" s="248"/>
      <c r="D720" s="249"/>
      <c r="E720" s="249"/>
      <c r="F720" s="249"/>
      <c r="G720" s="250"/>
      <c r="H720" s="251"/>
      <c r="I720" s="252"/>
      <c r="J720" s="252"/>
      <c r="K720" s="252"/>
      <c r="L720" s="251"/>
      <c r="M720" s="251"/>
      <c r="N720" s="251"/>
      <c r="O720" s="251"/>
      <c r="P720" s="251"/>
      <c r="Q720" s="251"/>
      <c r="R720" s="251"/>
      <c r="S720" s="251"/>
      <c r="T720" s="251"/>
      <c r="U720" s="251"/>
      <c r="V720" s="251"/>
      <c r="W720" s="251"/>
      <c r="X720" s="251"/>
      <c r="Y720" s="251"/>
      <c r="Z720" s="251"/>
      <c r="AA720" s="137"/>
      <c r="AB720" s="137"/>
      <c r="AC720" s="137"/>
      <c r="AD720" s="137"/>
      <c r="AE720" s="137"/>
      <c r="AF720" s="137"/>
      <c r="AG720" s="137"/>
    </row>
    <row r="721" ht="30.0" customHeight="1">
      <c r="A721" s="248"/>
      <c r="B721" s="249"/>
      <c r="C721" s="248"/>
      <c r="D721" s="249"/>
      <c r="E721" s="251"/>
      <c r="F721" s="249"/>
      <c r="G721" s="250"/>
      <c r="H721" s="251"/>
      <c r="I721" s="252"/>
      <c r="J721" s="252"/>
      <c r="K721" s="252"/>
      <c r="L721" s="251"/>
      <c r="M721" s="251"/>
      <c r="N721" s="251"/>
      <c r="O721" s="251"/>
      <c r="P721" s="251"/>
      <c r="Q721" s="251"/>
      <c r="R721" s="251"/>
      <c r="S721" s="251"/>
      <c r="T721" s="251"/>
      <c r="U721" s="251"/>
      <c r="V721" s="251"/>
      <c r="W721" s="251"/>
      <c r="X721" s="251"/>
      <c r="Y721" s="251"/>
      <c r="Z721" s="251"/>
      <c r="AA721" s="137"/>
      <c r="AB721" s="137"/>
      <c r="AC721" s="137"/>
      <c r="AD721" s="137"/>
      <c r="AE721" s="137"/>
      <c r="AF721" s="137"/>
      <c r="AG721" s="137"/>
    </row>
    <row r="722" ht="30.0" customHeight="1">
      <c r="A722" s="248"/>
      <c r="B722" s="249"/>
      <c r="C722" s="248"/>
      <c r="D722" s="249"/>
      <c r="E722" s="249"/>
      <c r="F722" s="249"/>
      <c r="G722" s="250"/>
      <c r="H722" s="251"/>
      <c r="I722" s="252"/>
      <c r="J722" s="252"/>
      <c r="K722" s="252"/>
      <c r="L722" s="251"/>
      <c r="M722" s="251"/>
      <c r="N722" s="251"/>
      <c r="O722" s="251"/>
      <c r="P722" s="251"/>
      <c r="Q722" s="251"/>
      <c r="R722" s="251"/>
      <c r="S722" s="251"/>
      <c r="T722" s="251"/>
      <c r="U722" s="251"/>
      <c r="V722" s="251"/>
      <c r="W722" s="251"/>
      <c r="X722" s="251"/>
      <c r="Y722" s="251"/>
      <c r="Z722" s="251"/>
      <c r="AA722" s="137"/>
      <c r="AB722" s="137"/>
      <c r="AC722" s="137"/>
      <c r="AD722" s="137"/>
      <c r="AE722" s="137"/>
      <c r="AF722" s="137"/>
      <c r="AG722" s="137"/>
    </row>
    <row r="723" ht="30.0" customHeight="1">
      <c r="A723" s="248"/>
      <c r="B723" s="249"/>
      <c r="C723" s="248"/>
      <c r="D723" s="249"/>
      <c r="E723" s="249"/>
      <c r="F723" s="249"/>
      <c r="G723" s="250"/>
      <c r="H723" s="251"/>
      <c r="I723" s="252"/>
      <c r="J723" s="252"/>
      <c r="K723" s="252"/>
      <c r="L723" s="251"/>
      <c r="M723" s="251"/>
      <c r="N723" s="251"/>
      <c r="O723" s="251"/>
      <c r="P723" s="251"/>
      <c r="Q723" s="251"/>
      <c r="R723" s="251"/>
      <c r="S723" s="251"/>
      <c r="T723" s="251"/>
      <c r="U723" s="251"/>
      <c r="V723" s="251"/>
      <c r="W723" s="251"/>
      <c r="X723" s="251"/>
      <c r="Y723" s="251"/>
      <c r="Z723" s="251"/>
      <c r="AA723" s="137"/>
      <c r="AB723" s="137"/>
      <c r="AC723" s="137"/>
      <c r="AD723" s="137"/>
      <c r="AE723" s="137"/>
      <c r="AF723" s="137"/>
      <c r="AG723" s="137"/>
    </row>
    <row r="724" ht="30.0" customHeight="1">
      <c r="A724" s="248"/>
      <c r="B724" s="249"/>
      <c r="C724" s="248"/>
      <c r="D724" s="249"/>
      <c r="E724" s="249"/>
      <c r="F724" s="249"/>
      <c r="G724" s="250"/>
      <c r="H724" s="251"/>
      <c r="I724" s="252"/>
      <c r="J724" s="252"/>
      <c r="K724" s="252"/>
      <c r="L724" s="251"/>
      <c r="M724" s="251"/>
      <c r="N724" s="251"/>
      <c r="O724" s="251"/>
      <c r="P724" s="251"/>
      <c r="Q724" s="251"/>
      <c r="R724" s="251"/>
      <c r="S724" s="251"/>
      <c r="T724" s="251"/>
      <c r="U724" s="251"/>
      <c r="V724" s="251"/>
      <c r="W724" s="251"/>
      <c r="X724" s="251"/>
      <c r="Y724" s="251"/>
      <c r="Z724" s="251"/>
      <c r="AA724" s="137"/>
      <c r="AB724" s="137"/>
      <c r="AC724" s="137"/>
      <c r="AD724" s="137"/>
      <c r="AE724" s="137"/>
      <c r="AF724" s="137"/>
      <c r="AG724" s="137"/>
    </row>
    <row r="725" ht="30.0" customHeight="1">
      <c r="A725" s="248"/>
      <c r="B725" s="249"/>
      <c r="C725" s="248"/>
      <c r="D725" s="249"/>
      <c r="E725" s="249"/>
      <c r="F725" s="249"/>
      <c r="G725" s="250"/>
      <c r="H725" s="251"/>
      <c r="I725" s="252"/>
      <c r="J725" s="252"/>
      <c r="K725" s="252"/>
      <c r="L725" s="251"/>
      <c r="M725" s="251"/>
      <c r="N725" s="251"/>
      <c r="O725" s="251"/>
      <c r="P725" s="251"/>
      <c r="Q725" s="251"/>
      <c r="R725" s="251"/>
      <c r="S725" s="251"/>
      <c r="T725" s="251"/>
      <c r="U725" s="251"/>
      <c r="V725" s="251"/>
      <c r="W725" s="251"/>
      <c r="X725" s="251"/>
      <c r="Y725" s="251"/>
      <c r="Z725" s="251"/>
      <c r="AA725" s="137"/>
      <c r="AB725" s="137"/>
      <c r="AC725" s="137"/>
      <c r="AD725" s="137"/>
      <c r="AE725" s="137"/>
      <c r="AF725" s="137"/>
      <c r="AG725" s="137"/>
    </row>
    <row r="726" ht="30.0" customHeight="1">
      <c r="A726" s="248"/>
      <c r="B726" s="249"/>
      <c r="C726" s="248"/>
      <c r="D726" s="249"/>
      <c r="E726" s="249"/>
      <c r="F726" s="249"/>
      <c r="G726" s="250"/>
      <c r="H726" s="251"/>
      <c r="I726" s="252"/>
      <c r="J726" s="252"/>
      <c r="K726" s="252"/>
      <c r="L726" s="251"/>
      <c r="M726" s="251"/>
      <c r="N726" s="251"/>
      <c r="O726" s="251"/>
      <c r="P726" s="251"/>
      <c r="Q726" s="251"/>
      <c r="R726" s="251"/>
      <c r="S726" s="251"/>
      <c r="T726" s="251"/>
      <c r="U726" s="251"/>
      <c r="V726" s="251"/>
      <c r="W726" s="251"/>
      <c r="X726" s="251"/>
      <c r="Y726" s="251"/>
      <c r="Z726" s="251"/>
      <c r="AA726" s="137"/>
      <c r="AB726" s="137"/>
      <c r="AC726" s="137"/>
      <c r="AD726" s="137"/>
      <c r="AE726" s="137"/>
      <c r="AF726" s="137"/>
      <c r="AG726" s="137"/>
    </row>
    <row r="727" ht="30.0" customHeight="1">
      <c r="A727" s="248"/>
      <c r="B727" s="249"/>
      <c r="C727" s="248"/>
      <c r="D727" s="249"/>
      <c r="E727" s="249"/>
      <c r="F727" s="249"/>
      <c r="G727" s="250"/>
      <c r="H727" s="251"/>
      <c r="I727" s="252"/>
      <c r="J727" s="252"/>
      <c r="K727" s="252"/>
      <c r="L727" s="251"/>
      <c r="M727" s="251"/>
      <c r="N727" s="251"/>
      <c r="O727" s="251"/>
      <c r="P727" s="251"/>
      <c r="Q727" s="251"/>
      <c r="R727" s="251"/>
      <c r="S727" s="251"/>
      <c r="T727" s="251"/>
      <c r="U727" s="251"/>
      <c r="V727" s="251"/>
      <c r="W727" s="251"/>
      <c r="X727" s="251"/>
      <c r="Y727" s="251"/>
      <c r="Z727" s="251"/>
      <c r="AA727" s="137"/>
      <c r="AB727" s="137"/>
      <c r="AC727" s="137"/>
      <c r="AD727" s="137"/>
      <c r="AE727" s="137"/>
      <c r="AF727" s="137"/>
      <c r="AG727" s="137"/>
    </row>
    <row r="728" ht="30.0" customHeight="1">
      <c r="A728" s="248"/>
      <c r="B728" s="249"/>
      <c r="C728" s="248"/>
      <c r="D728" s="249"/>
      <c r="E728" s="249"/>
      <c r="F728" s="249"/>
      <c r="G728" s="250"/>
      <c r="H728" s="251"/>
      <c r="I728" s="252"/>
      <c r="J728" s="252"/>
      <c r="K728" s="252"/>
      <c r="L728" s="251"/>
      <c r="M728" s="251"/>
      <c r="N728" s="251"/>
      <c r="O728" s="251"/>
      <c r="P728" s="251"/>
      <c r="Q728" s="251"/>
      <c r="R728" s="251"/>
      <c r="S728" s="251"/>
      <c r="T728" s="251"/>
      <c r="U728" s="251"/>
      <c r="V728" s="251"/>
      <c r="W728" s="251"/>
      <c r="X728" s="251"/>
      <c r="Y728" s="251"/>
      <c r="Z728" s="251"/>
      <c r="AA728" s="137"/>
      <c r="AB728" s="137"/>
      <c r="AC728" s="137"/>
      <c r="AD728" s="137"/>
      <c r="AE728" s="137"/>
      <c r="AF728" s="137"/>
      <c r="AG728" s="137"/>
    </row>
    <row r="729" ht="30.0" customHeight="1">
      <c r="A729" s="248"/>
      <c r="B729" s="249"/>
      <c r="C729" s="248"/>
      <c r="D729" s="249"/>
      <c r="E729" s="249"/>
      <c r="F729" s="249"/>
      <c r="G729" s="250"/>
      <c r="H729" s="251"/>
      <c r="I729" s="252"/>
      <c r="J729" s="252"/>
      <c r="K729" s="252"/>
      <c r="L729" s="251"/>
      <c r="M729" s="251"/>
      <c r="N729" s="251"/>
      <c r="O729" s="251"/>
      <c r="P729" s="251"/>
      <c r="Q729" s="251"/>
      <c r="R729" s="251"/>
      <c r="S729" s="251"/>
      <c r="T729" s="251"/>
      <c r="U729" s="251"/>
      <c r="V729" s="251"/>
      <c r="W729" s="251"/>
      <c r="X729" s="251"/>
      <c r="Y729" s="251"/>
      <c r="Z729" s="251"/>
      <c r="AA729" s="137"/>
      <c r="AB729" s="137"/>
      <c r="AC729" s="137"/>
      <c r="AD729" s="137"/>
      <c r="AE729" s="137"/>
      <c r="AF729" s="137"/>
      <c r="AG729" s="137"/>
    </row>
    <row r="730" ht="30.0" customHeight="1">
      <c r="A730" s="248"/>
      <c r="B730" s="249"/>
      <c r="C730" s="248"/>
      <c r="D730" s="249"/>
      <c r="E730" s="249"/>
      <c r="F730" s="249"/>
      <c r="G730" s="250"/>
      <c r="H730" s="251"/>
      <c r="I730" s="252"/>
      <c r="J730" s="252"/>
      <c r="K730" s="252"/>
      <c r="L730" s="251"/>
      <c r="M730" s="251"/>
      <c r="N730" s="251"/>
      <c r="O730" s="251"/>
      <c r="P730" s="251"/>
      <c r="Q730" s="251"/>
      <c r="R730" s="251"/>
      <c r="S730" s="251"/>
      <c r="T730" s="251"/>
      <c r="U730" s="251"/>
      <c r="V730" s="251"/>
      <c r="W730" s="251"/>
      <c r="X730" s="251"/>
      <c r="Y730" s="251"/>
      <c r="Z730" s="251"/>
      <c r="AA730" s="137"/>
      <c r="AB730" s="137"/>
      <c r="AC730" s="137"/>
      <c r="AD730" s="137"/>
      <c r="AE730" s="137"/>
      <c r="AF730" s="137"/>
      <c r="AG730" s="137"/>
    </row>
    <row r="731" ht="30.0" customHeight="1">
      <c r="A731" s="248"/>
      <c r="B731" s="249"/>
      <c r="C731" s="248"/>
      <c r="D731" s="249"/>
      <c r="E731" s="251"/>
      <c r="F731" s="249"/>
      <c r="G731" s="250"/>
      <c r="H731" s="251"/>
      <c r="I731" s="252"/>
      <c r="J731" s="252"/>
      <c r="K731" s="252"/>
      <c r="L731" s="251"/>
      <c r="M731" s="251"/>
      <c r="N731" s="251"/>
      <c r="O731" s="251"/>
      <c r="P731" s="251"/>
      <c r="Q731" s="251"/>
      <c r="R731" s="251"/>
      <c r="S731" s="251"/>
      <c r="T731" s="251"/>
      <c r="U731" s="251"/>
      <c r="V731" s="251"/>
      <c r="W731" s="251"/>
      <c r="X731" s="251"/>
      <c r="Y731" s="251"/>
      <c r="Z731" s="251"/>
      <c r="AA731" s="137"/>
      <c r="AB731" s="137"/>
      <c r="AC731" s="137"/>
      <c r="AD731" s="137"/>
      <c r="AE731" s="137"/>
      <c r="AF731" s="137"/>
      <c r="AG731" s="137"/>
    </row>
    <row r="732" ht="30.0" customHeight="1">
      <c r="A732" s="248"/>
      <c r="B732" s="249"/>
      <c r="C732" s="248"/>
      <c r="D732" s="249"/>
      <c r="E732" s="251"/>
      <c r="F732" s="249"/>
      <c r="G732" s="250"/>
      <c r="H732" s="251"/>
      <c r="I732" s="252"/>
      <c r="J732" s="252"/>
      <c r="K732" s="252"/>
      <c r="L732" s="251"/>
      <c r="M732" s="251"/>
      <c r="N732" s="251"/>
      <c r="O732" s="251"/>
      <c r="P732" s="251"/>
      <c r="Q732" s="251"/>
      <c r="R732" s="251"/>
      <c r="S732" s="251"/>
      <c r="T732" s="251"/>
      <c r="U732" s="251"/>
      <c r="V732" s="251"/>
      <c r="W732" s="251"/>
      <c r="X732" s="251"/>
      <c r="Y732" s="251"/>
      <c r="Z732" s="251"/>
      <c r="AA732" s="137"/>
      <c r="AB732" s="137"/>
      <c r="AC732" s="137"/>
      <c r="AD732" s="137"/>
      <c r="AE732" s="137"/>
      <c r="AF732" s="137"/>
      <c r="AG732" s="137"/>
    </row>
    <row r="733" ht="30.0" customHeight="1">
      <c r="A733" s="248"/>
      <c r="B733" s="249"/>
      <c r="C733" s="248"/>
      <c r="D733" s="249"/>
      <c r="E733" s="251"/>
      <c r="F733" s="249"/>
      <c r="G733" s="250"/>
      <c r="H733" s="251"/>
      <c r="I733" s="252"/>
      <c r="J733" s="252"/>
      <c r="K733" s="252"/>
      <c r="L733" s="251"/>
      <c r="M733" s="251"/>
      <c r="N733" s="251"/>
      <c r="O733" s="251"/>
      <c r="P733" s="251"/>
      <c r="Q733" s="251"/>
      <c r="R733" s="251"/>
      <c r="S733" s="251"/>
      <c r="T733" s="251"/>
      <c r="U733" s="251"/>
      <c r="V733" s="251"/>
      <c r="W733" s="251"/>
      <c r="X733" s="251"/>
      <c r="Y733" s="251"/>
      <c r="Z733" s="251"/>
      <c r="AA733" s="137"/>
      <c r="AB733" s="137"/>
      <c r="AC733" s="137"/>
      <c r="AD733" s="137"/>
      <c r="AE733" s="137"/>
      <c r="AF733" s="137"/>
      <c r="AG733" s="137"/>
    </row>
    <row r="734" ht="30.0" customHeight="1">
      <c r="A734" s="248"/>
      <c r="B734" s="249"/>
      <c r="C734" s="248"/>
      <c r="D734" s="249"/>
      <c r="E734" s="251"/>
      <c r="F734" s="249"/>
      <c r="G734" s="250"/>
      <c r="H734" s="251"/>
      <c r="I734" s="252"/>
      <c r="J734" s="252"/>
      <c r="K734" s="252"/>
      <c r="L734" s="251"/>
      <c r="M734" s="251"/>
      <c r="N734" s="251"/>
      <c r="O734" s="251"/>
      <c r="P734" s="251"/>
      <c r="Q734" s="251"/>
      <c r="R734" s="251"/>
      <c r="S734" s="251"/>
      <c r="T734" s="251"/>
      <c r="U734" s="251"/>
      <c r="V734" s="251"/>
      <c r="W734" s="251"/>
      <c r="X734" s="251"/>
      <c r="Y734" s="251"/>
      <c r="Z734" s="251"/>
      <c r="AA734" s="137"/>
      <c r="AB734" s="137"/>
      <c r="AC734" s="137"/>
      <c r="AD734" s="137"/>
      <c r="AE734" s="137"/>
      <c r="AF734" s="137"/>
      <c r="AG734" s="137"/>
    </row>
    <row r="735" ht="30.0" customHeight="1">
      <c r="A735" s="248"/>
      <c r="B735" s="249"/>
      <c r="C735" s="248"/>
      <c r="D735" s="249"/>
      <c r="E735" s="251"/>
      <c r="F735" s="249"/>
      <c r="G735" s="250"/>
      <c r="H735" s="251"/>
      <c r="I735" s="252"/>
      <c r="J735" s="252"/>
      <c r="K735" s="252"/>
      <c r="L735" s="251"/>
      <c r="M735" s="251"/>
      <c r="N735" s="251"/>
      <c r="O735" s="251"/>
      <c r="P735" s="251"/>
      <c r="Q735" s="251"/>
      <c r="R735" s="251"/>
      <c r="S735" s="251"/>
      <c r="T735" s="251"/>
      <c r="U735" s="251"/>
      <c r="V735" s="251"/>
      <c r="W735" s="251"/>
      <c r="X735" s="251"/>
      <c r="Y735" s="251"/>
      <c r="Z735" s="251"/>
      <c r="AA735" s="137"/>
      <c r="AB735" s="137"/>
      <c r="AC735" s="137"/>
      <c r="AD735" s="137"/>
      <c r="AE735" s="137"/>
      <c r="AF735" s="137"/>
      <c r="AG735" s="137"/>
    </row>
    <row r="736" ht="30.0" customHeight="1">
      <c r="A736" s="248"/>
      <c r="B736" s="249"/>
      <c r="C736" s="248"/>
      <c r="D736" s="249"/>
      <c r="E736" s="251"/>
      <c r="F736" s="249"/>
      <c r="G736" s="250"/>
      <c r="H736" s="251"/>
      <c r="I736" s="252"/>
      <c r="J736" s="252"/>
      <c r="K736" s="252"/>
      <c r="L736" s="251"/>
      <c r="M736" s="251"/>
      <c r="N736" s="251"/>
      <c r="O736" s="251"/>
      <c r="P736" s="251"/>
      <c r="Q736" s="251"/>
      <c r="R736" s="251"/>
      <c r="S736" s="251"/>
      <c r="T736" s="251"/>
      <c r="U736" s="251"/>
      <c r="V736" s="251"/>
      <c r="W736" s="251"/>
      <c r="X736" s="251"/>
      <c r="Y736" s="251"/>
      <c r="Z736" s="251"/>
      <c r="AA736" s="137"/>
      <c r="AB736" s="137"/>
      <c r="AC736" s="137"/>
      <c r="AD736" s="137"/>
      <c r="AE736" s="137"/>
      <c r="AF736" s="137"/>
      <c r="AG736" s="137"/>
    </row>
    <row r="737" ht="30.0" customHeight="1">
      <c r="A737" s="248"/>
      <c r="B737" s="251"/>
      <c r="C737" s="248"/>
      <c r="D737" s="249"/>
      <c r="E737" s="249"/>
      <c r="F737" s="249"/>
      <c r="G737" s="250"/>
      <c r="H737" s="251"/>
      <c r="I737" s="252"/>
      <c r="J737" s="252"/>
      <c r="K737" s="252"/>
      <c r="L737" s="251"/>
      <c r="M737" s="251"/>
      <c r="N737" s="251"/>
      <c r="O737" s="251"/>
      <c r="P737" s="251"/>
      <c r="Q737" s="251"/>
      <c r="R737" s="251"/>
      <c r="S737" s="251"/>
      <c r="T737" s="251"/>
      <c r="U737" s="251"/>
      <c r="V737" s="251"/>
      <c r="W737" s="251"/>
      <c r="X737" s="251"/>
      <c r="Y737" s="251"/>
      <c r="Z737" s="251"/>
      <c r="AA737" s="137"/>
      <c r="AB737" s="137"/>
      <c r="AC737" s="137"/>
      <c r="AD737" s="137"/>
      <c r="AE737" s="137"/>
      <c r="AF737" s="137"/>
      <c r="AG737" s="137"/>
    </row>
    <row r="738" ht="30.0" customHeight="1">
      <c r="A738" s="248"/>
      <c r="B738" s="249"/>
      <c r="C738" s="248"/>
      <c r="D738" s="249"/>
      <c r="E738" s="251"/>
      <c r="F738" s="249"/>
      <c r="G738" s="250"/>
      <c r="H738" s="251"/>
      <c r="I738" s="252"/>
      <c r="J738" s="252"/>
      <c r="K738" s="252"/>
      <c r="L738" s="251"/>
      <c r="M738" s="251"/>
      <c r="N738" s="251"/>
      <c r="O738" s="251"/>
      <c r="P738" s="251"/>
      <c r="Q738" s="251"/>
      <c r="R738" s="251"/>
      <c r="S738" s="251"/>
      <c r="T738" s="251"/>
      <c r="U738" s="251"/>
      <c r="V738" s="251"/>
      <c r="W738" s="251"/>
      <c r="X738" s="251"/>
      <c r="Y738" s="251"/>
      <c r="Z738" s="251"/>
      <c r="AA738" s="137"/>
      <c r="AB738" s="137"/>
      <c r="AC738" s="137"/>
      <c r="AD738" s="137"/>
      <c r="AE738" s="137"/>
      <c r="AF738" s="137"/>
      <c r="AG738" s="137"/>
    </row>
    <row r="739" ht="30.0" customHeight="1">
      <c r="A739" s="248"/>
      <c r="B739" s="251"/>
      <c r="C739" s="248"/>
      <c r="D739" s="249"/>
      <c r="E739" s="249"/>
      <c r="F739" s="249"/>
      <c r="G739" s="250"/>
      <c r="H739" s="251"/>
      <c r="I739" s="252"/>
      <c r="J739" s="252"/>
      <c r="K739" s="252"/>
      <c r="L739" s="251"/>
      <c r="M739" s="251"/>
      <c r="N739" s="251"/>
      <c r="O739" s="251"/>
      <c r="P739" s="251"/>
      <c r="Q739" s="251"/>
      <c r="R739" s="251"/>
      <c r="S739" s="251"/>
      <c r="T739" s="251"/>
      <c r="U739" s="251"/>
      <c r="V739" s="251"/>
      <c r="W739" s="251"/>
      <c r="X739" s="251"/>
      <c r="Y739" s="251"/>
      <c r="Z739" s="251"/>
      <c r="AA739" s="137"/>
      <c r="AB739" s="137"/>
      <c r="AC739" s="137"/>
      <c r="AD739" s="137"/>
      <c r="AE739" s="137"/>
      <c r="AF739" s="137"/>
      <c r="AG739" s="137"/>
    </row>
    <row r="740" ht="30.0" customHeight="1">
      <c r="A740" s="248"/>
      <c r="B740" s="249"/>
      <c r="C740" s="248"/>
      <c r="D740" s="249"/>
      <c r="E740" s="251"/>
      <c r="F740" s="249"/>
      <c r="G740" s="250"/>
      <c r="H740" s="251"/>
      <c r="I740" s="252"/>
      <c r="J740" s="252"/>
      <c r="K740" s="252"/>
      <c r="L740" s="251"/>
      <c r="M740" s="251"/>
      <c r="N740" s="251"/>
      <c r="O740" s="251"/>
      <c r="P740" s="251"/>
      <c r="Q740" s="251"/>
      <c r="R740" s="251"/>
      <c r="S740" s="251"/>
      <c r="T740" s="251"/>
      <c r="U740" s="251"/>
      <c r="V740" s="251"/>
      <c r="W740" s="251"/>
      <c r="X740" s="251"/>
      <c r="Y740" s="251"/>
      <c r="Z740" s="251"/>
      <c r="AA740" s="137"/>
      <c r="AB740" s="137"/>
      <c r="AC740" s="137"/>
      <c r="AD740" s="137"/>
      <c r="AE740" s="137"/>
      <c r="AF740" s="137"/>
      <c r="AG740" s="137"/>
    </row>
    <row r="741" ht="30.0" customHeight="1">
      <c r="A741" s="248"/>
      <c r="B741" s="249"/>
      <c r="C741" s="248"/>
      <c r="D741" s="249"/>
      <c r="E741" s="251"/>
      <c r="F741" s="249"/>
      <c r="G741" s="250"/>
      <c r="H741" s="251"/>
      <c r="I741" s="252"/>
      <c r="J741" s="252"/>
      <c r="K741" s="252"/>
      <c r="L741" s="251"/>
      <c r="M741" s="251"/>
      <c r="N741" s="251"/>
      <c r="O741" s="251"/>
      <c r="P741" s="251"/>
      <c r="Q741" s="251"/>
      <c r="R741" s="251"/>
      <c r="S741" s="251"/>
      <c r="T741" s="251"/>
      <c r="U741" s="251"/>
      <c r="V741" s="251"/>
      <c r="W741" s="251"/>
      <c r="X741" s="251"/>
      <c r="Y741" s="251"/>
      <c r="Z741" s="251"/>
      <c r="AA741" s="137"/>
      <c r="AB741" s="137"/>
      <c r="AC741" s="137"/>
      <c r="AD741" s="137"/>
      <c r="AE741" s="137"/>
      <c r="AF741" s="137"/>
      <c r="AG741" s="137"/>
    </row>
    <row r="742" ht="30.0" customHeight="1">
      <c r="A742" s="248"/>
      <c r="B742" s="249"/>
      <c r="C742" s="248"/>
      <c r="D742" s="249"/>
      <c r="E742" s="251"/>
      <c r="F742" s="249"/>
      <c r="G742" s="250"/>
      <c r="H742" s="251"/>
      <c r="I742" s="252"/>
      <c r="J742" s="252"/>
      <c r="K742" s="252"/>
      <c r="L742" s="251"/>
      <c r="M742" s="251"/>
      <c r="N742" s="251"/>
      <c r="O742" s="251"/>
      <c r="P742" s="251"/>
      <c r="Q742" s="251"/>
      <c r="R742" s="251"/>
      <c r="S742" s="251"/>
      <c r="T742" s="251"/>
      <c r="U742" s="251"/>
      <c r="V742" s="251"/>
      <c r="W742" s="251"/>
      <c r="X742" s="251"/>
      <c r="Y742" s="251"/>
      <c r="Z742" s="251"/>
      <c r="AA742" s="137"/>
      <c r="AB742" s="137"/>
      <c r="AC742" s="137"/>
      <c r="AD742" s="137"/>
      <c r="AE742" s="137"/>
      <c r="AF742" s="137"/>
      <c r="AG742" s="137"/>
    </row>
    <row r="743" ht="30.0" customHeight="1">
      <c r="A743" s="248"/>
      <c r="B743" s="249"/>
      <c r="C743" s="248"/>
      <c r="D743" s="249"/>
      <c r="E743" s="251"/>
      <c r="F743" s="249"/>
      <c r="G743" s="250"/>
      <c r="H743" s="251"/>
      <c r="I743" s="252"/>
      <c r="J743" s="252"/>
      <c r="K743" s="252"/>
      <c r="L743" s="251"/>
      <c r="M743" s="251"/>
      <c r="N743" s="251"/>
      <c r="O743" s="251"/>
      <c r="P743" s="251"/>
      <c r="Q743" s="251"/>
      <c r="R743" s="251"/>
      <c r="S743" s="251"/>
      <c r="T743" s="251"/>
      <c r="U743" s="251"/>
      <c r="V743" s="251"/>
      <c r="W743" s="251"/>
      <c r="X743" s="251"/>
      <c r="Y743" s="251"/>
      <c r="Z743" s="251"/>
      <c r="AA743" s="137"/>
      <c r="AB743" s="137"/>
      <c r="AC743" s="137"/>
      <c r="AD743" s="137"/>
      <c r="AE743" s="137"/>
      <c r="AF743" s="137"/>
      <c r="AG743" s="137"/>
    </row>
    <row r="744" ht="30.0" customHeight="1">
      <c r="A744" s="248"/>
      <c r="B744" s="249"/>
      <c r="C744" s="248"/>
      <c r="D744" s="249"/>
      <c r="E744" s="249"/>
      <c r="F744" s="249"/>
      <c r="G744" s="250"/>
      <c r="H744" s="251"/>
      <c r="I744" s="252"/>
      <c r="J744" s="252"/>
      <c r="K744" s="252"/>
      <c r="L744" s="251"/>
      <c r="M744" s="251"/>
      <c r="N744" s="251"/>
      <c r="O744" s="251"/>
      <c r="P744" s="251"/>
      <c r="Q744" s="251"/>
      <c r="R744" s="251"/>
      <c r="S744" s="251"/>
      <c r="T744" s="251"/>
      <c r="U744" s="251"/>
      <c r="V744" s="251"/>
      <c r="W744" s="251"/>
      <c r="X744" s="251"/>
      <c r="Y744" s="251"/>
      <c r="Z744" s="251"/>
      <c r="AA744" s="137"/>
      <c r="AB744" s="137"/>
      <c r="AC744" s="137"/>
      <c r="AD744" s="137"/>
      <c r="AE744" s="137"/>
      <c r="AF744" s="137"/>
      <c r="AG744" s="137"/>
    </row>
    <row r="745" ht="30.0" customHeight="1">
      <c r="A745" s="248"/>
      <c r="B745" s="251"/>
      <c r="C745" s="248"/>
      <c r="D745" s="249"/>
      <c r="E745" s="249"/>
      <c r="F745" s="249"/>
      <c r="G745" s="249"/>
      <c r="H745" s="251"/>
      <c r="I745" s="252"/>
      <c r="J745" s="252"/>
      <c r="K745" s="252"/>
      <c r="L745" s="251"/>
      <c r="M745" s="251"/>
      <c r="N745" s="251"/>
      <c r="O745" s="251"/>
      <c r="P745" s="251"/>
      <c r="Q745" s="251"/>
      <c r="R745" s="251"/>
      <c r="S745" s="251"/>
      <c r="T745" s="251"/>
      <c r="U745" s="251"/>
      <c r="V745" s="251"/>
      <c r="W745" s="251"/>
      <c r="X745" s="251"/>
      <c r="Y745" s="251"/>
      <c r="Z745" s="251"/>
      <c r="AA745" s="137"/>
      <c r="AB745" s="137"/>
      <c r="AC745" s="137"/>
      <c r="AD745" s="137"/>
      <c r="AE745" s="137"/>
      <c r="AF745" s="137"/>
      <c r="AG745" s="137"/>
    </row>
    <row r="746" ht="30.0" customHeight="1">
      <c r="A746" s="248"/>
      <c r="B746" s="249"/>
      <c r="C746" s="248"/>
      <c r="D746" s="249"/>
      <c r="E746" s="251"/>
      <c r="F746" s="249"/>
      <c r="G746" s="250"/>
      <c r="H746" s="251"/>
      <c r="I746" s="252"/>
      <c r="J746" s="252"/>
      <c r="K746" s="252"/>
      <c r="L746" s="251"/>
      <c r="M746" s="251"/>
      <c r="N746" s="251"/>
      <c r="O746" s="251"/>
      <c r="P746" s="251"/>
      <c r="Q746" s="251"/>
      <c r="R746" s="251"/>
      <c r="S746" s="251"/>
      <c r="T746" s="251"/>
      <c r="U746" s="251"/>
      <c r="V746" s="251"/>
      <c r="W746" s="251"/>
      <c r="X746" s="251"/>
      <c r="Y746" s="251"/>
      <c r="Z746" s="251"/>
      <c r="AA746" s="137"/>
      <c r="AB746" s="137"/>
      <c r="AC746" s="137"/>
      <c r="AD746" s="137"/>
      <c r="AE746" s="137"/>
      <c r="AF746" s="137"/>
      <c r="AG746" s="137"/>
    </row>
    <row r="747" ht="30.0" customHeight="1">
      <c r="A747" s="248"/>
      <c r="B747" s="249"/>
      <c r="C747" s="248"/>
      <c r="D747" s="249"/>
      <c r="E747" s="251"/>
      <c r="F747" s="249"/>
      <c r="G747" s="250"/>
      <c r="H747" s="251"/>
      <c r="I747" s="252"/>
      <c r="J747" s="252"/>
      <c r="K747" s="252"/>
      <c r="L747" s="251"/>
      <c r="M747" s="251"/>
      <c r="N747" s="251"/>
      <c r="O747" s="251"/>
      <c r="P747" s="251"/>
      <c r="Q747" s="251"/>
      <c r="R747" s="251"/>
      <c r="S747" s="251"/>
      <c r="T747" s="251"/>
      <c r="U747" s="251"/>
      <c r="V747" s="251"/>
      <c r="W747" s="251"/>
      <c r="X747" s="251"/>
      <c r="Y747" s="251"/>
      <c r="Z747" s="251"/>
      <c r="AA747" s="137"/>
      <c r="AB747" s="137"/>
      <c r="AC747" s="137"/>
      <c r="AD747" s="137"/>
      <c r="AE747" s="137"/>
      <c r="AF747" s="137"/>
      <c r="AG747" s="137"/>
    </row>
    <row r="748" ht="30.0" customHeight="1">
      <c r="A748" s="248"/>
      <c r="B748" s="249"/>
      <c r="C748" s="248"/>
      <c r="D748" s="249"/>
      <c r="E748" s="251"/>
      <c r="F748" s="249"/>
      <c r="G748" s="250"/>
      <c r="H748" s="251"/>
      <c r="I748" s="252"/>
      <c r="J748" s="252"/>
      <c r="K748" s="252"/>
      <c r="L748" s="251"/>
      <c r="M748" s="251"/>
      <c r="N748" s="251"/>
      <c r="O748" s="251"/>
      <c r="P748" s="251"/>
      <c r="Q748" s="251"/>
      <c r="R748" s="251"/>
      <c r="S748" s="251"/>
      <c r="T748" s="251"/>
      <c r="U748" s="251"/>
      <c r="V748" s="251"/>
      <c r="W748" s="251"/>
      <c r="X748" s="251"/>
      <c r="Y748" s="251"/>
      <c r="Z748" s="251"/>
      <c r="AA748" s="137"/>
      <c r="AB748" s="137"/>
      <c r="AC748" s="137"/>
      <c r="AD748" s="137"/>
      <c r="AE748" s="137"/>
      <c r="AF748" s="137"/>
      <c r="AG748" s="137"/>
    </row>
    <row r="749" ht="30.0" customHeight="1">
      <c r="A749" s="248"/>
      <c r="B749" s="249"/>
      <c r="C749" s="248"/>
      <c r="D749" s="249"/>
      <c r="E749" s="251"/>
      <c r="F749" s="249"/>
      <c r="G749" s="249"/>
      <c r="H749" s="251"/>
      <c r="I749" s="252"/>
      <c r="J749" s="252"/>
      <c r="K749" s="252"/>
      <c r="L749" s="251"/>
      <c r="M749" s="251"/>
      <c r="N749" s="251"/>
      <c r="O749" s="251"/>
      <c r="P749" s="251"/>
      <c r="Q749" s="251"/>
      <c r="R749" s="251"/>
      <c r="S749" s="251"/>
      <c r="T749" s="251"/>
      <c r="U749" s="251"/>
      <c r="V749" s="251"/>
      <c r="W749" s="251"/>
      <c r="X749" s="251"/>
      <c r="Y749" s="251"/>
      <c r="Z749" s="251"/>
      <c r="AA749" s="137"/>
      <c r="AB749" s="137"/>
      <c r="AC749" s="137"/>
      <c r="AD749" s="137"/>
      <c r="AE749" s="137"/>
      <c r="AF749" s="137"/>
      <c r="AG749" s="137"/>
    </row>
    <row r="750" ht="30.0" customHeight="1">
      <c r="A750" s="248"/>
      <c r="B750" s="249"/>
      <c r="C750" s="248"/>
      <c r="D750" s="249"/>
      <c r="E750" s="251"/>
      <c r="F750" s="249"/>
      <c r="G750" s="250"/>
      <c r="H750" s="251"/>
      <c r="I750" s="252"/>
      <c r="J750" s="252"/>
      <c r="K750" s="252"/>
      <c r="L750" s="251"/>
      <c r="M750" s="251"/>
      <c r="N750" s="251"/>
      <c r="O750" s="251"/>
      <c r="P750" s="251"/>
      <c r="Q750" s="251"/>
      <c r="R750" s="251"/>
      <c r="S750" s="251"/>
      <c r="T750" s="251"/>
      <c r="U750" s="251"/>
      <c r="V750" s="251"/>
      <c r="W750" s="251"/>
      <c r="X750" s="251"/>
      <c r="Y750" s="251"/>
      <c r="Z750" s="251"/>
      <c r="AA750" s="137"/>
      <c r="AB750" s="137"/>
      <c r="AC750" s="137"/>
      <c r="AD750" s="137"/>
      <c r="AE750" s="137"/>
      <c r="AF750" s="137"/>
      <c r="AG750" s="137"/>
    </row>
    <row r="751" ht="30.0" customHeight="1">
      <c r="A751" s="248"/>
      <c r="B751" s="249"/>
      <c r="C751" s="248"/>
      <c r="D751" s="249"/>
      <c r="E751" s="251"/>
      <c r="F751" s="249"/>
      <c r="G751" s="250"/>
      <c r="H751" s="251"/>
      <c r="I751" s="252"/>
      <c r="J751" s="252"/>
      <c r="K751" s="252"/>
      <c r="L751" s="251"/>
      <c r="M751" s="251"/>
      <c r="N751" s="251"/>
      <c r="O751" s="251"/>
      <c r="P751" s="251"/>
      <c r="Q751" s="251"/>
      <c r="R751" s="251"/>
      <c r="S751" s="251"/>
      <c r="T751" s="251"/>
      <c r="U751" s="251"/>
      <c r="V751" s="251"/>
      <c r="W751" s="251"/>
      <c r="X751" s="251"/>
      <c r="Y751" s="251"/>
      <c r="Z751" s="251"/>
      <c r="AA751" s="137"/>
      <c r="AB751" s="137"/>
      <c r="AC751" s="137"/>
      <c r="AD751" s="137"/>
      <c r="AE751" s="137"/>
      <c r="AF751" s="137"/>
      <c r="AG751" s="137"/>
    </row>
    <row r="752" ht="30.0" customHeight="1">
      <c r="A752" s="248"/>
      <c r="B752" s="249"/>
      <c r="C752" s="248"/>
      <c r="D752" s="249"/>
      <c r="E752" s="251"/>
      <c r="F752" s="249"/>
      <c r="G752" s="250"/>
      <c r="H752" s="251"/>
      <c r="I752" s="252"/>
      <c r="J752" s="252"/>
      <c r="K752" s="252"/>
      <c r="L752" s="251"/>
      <c r="M752" s="251"/>
      <c r="N752" s="251"/>
      <c r="O752" s="251"/>
      <c r="P752" s="251"/>
      <c r="Q752" s="251"/>
      <c r="R752" s="251"/>
      <c r="S752" s="251"/>
      <c r="T752" s="251"/>
      <c r="U752" s="251"/>
      <c r="V752" s="251"/>
      <c r="W752" s="251"/>
      <c r="X752" s="251"/>
      <c r="Y752" s="251"/>
      <c r="Z752" s="251"/>
      <c r="AA752" s="137"/>
      <c r="AB752" s="137"/>
      <c r="AC752" s="137"/>
      <c r="AD752" s="137"/>
      <c r="AE752" s="137"/>
      <c r="AF752" s="137"/>
      <c r="AG752" s="137"/>
    </row>
    <row r="753" ht="30.0" customHeight="1">
      <c r="A753" s="248"/>
      <c r="B753" s="249"/>
      <c r="C753" s="248"/>
      <c r="D753" s="249"/>
      <c r="E753" s="251"/>
      <c r="F753" s="249"/>
      <c r="G753" s="250"/>
      <c r="H753" s="251"/>
      <c r="I753" s="252"/>
      <c r="J753" s="252"/>
      <c r="K753" s="252"/>
      <c r="L753" s="251"/>
      <c r="M753" s="251"/>
      <c r="N753" s="251"/>
      <c r="O753" s="251"/>
      <c r="P753" s="251"/>
      <c r="Q753" s="251"/>
      <c r="R753" s="251"/>
      <c r="S753" s="251"/>
      <c r="T753" s="251"/>
      <c r="U753" s="251"/>
      <c r="V753" s="251"/>
      <c r="W753" s="251"/>
      <c r="X753" s="251"/>
      <c r="Y753" s="251"/>
      <c r="Z753" s="251"/>
      <c r="AA753" s="137"/>
      <c r="AB753" s="137"/>
      <c r="AC753" s="137"/>
      <c r="AD753" s="137"/>
      <c r="AE753" s="137"/>
      <c r="AF753" s="137"/>
      <c r="AG753" s="137"/>
    </row>
    <row r="754" ht="30.0" customHeight="1">
      <c r="A754" s="248"/>
      <c r="B754" s="249"/>
      <c r="C754" s="248"/>
      <c r="D754" s="249"/>
      <c r="E754" s="251"/>
      <c r="F754" s="249"/>
      <c r="G754" s="250"/>
      <c r="H754" s="251"/>
      <c r="I754" s="252"/>
      <c r="J754" s="252"/>
      <c r="K754" s="252"/>
      <c r="L754" s="251"/>
      <c r="M754" s="251"/>
      <c r="N754" s="251"/>
      <c r="O754" s="251"/>
      <c r="P754" s="251"/>
      <c r="Q754" s="251"/>
      <c r="R754" s="251"/>
      <c r="S754" s="251"/>
      <c r="T754" s="251"/>
      <c r="U754" s="251"/>
      <c r="V754" s="251"/>
      <c r="W754" s="251"/>
      <c r="X754" s="251"/>
      <c r="Y754" s="251"/>
      <c r="Z754" s="251"/>
      <c r="AA754" s="137"/>
      <c r="AB754" s="137"/>
      <c r="AC754" s="137"/>
      <c r="AD754" s="137"/>
      <c r="AE754" s="137"/>
      <c r="AF754" s="137"/>
      <c r="AG754" s="137"/>
    </row>
    <row r="755" ht="30.0" customHeight="1">
      <c r="A755" s="248"/>
      <c r="B755" s="251"/>
      <c r="C755" s="248"/>
      <c r="D755" s="249"/>
      <c r="E755" s="249"/>
      <c r="F755" s="249"/>
      <c r="G755" s="250"/>
      <c r="H755" s="251"/>
      <c r="I755" s="252"/>
      <c r="J755" s="252"/>
      <c r="K755" s="252"/>
      <c r="L755" s="251"/>
      <c r="M755" s="251"/>
      <c r="N755" s="251"/>
      <c r="O755" s="251"/>
      <c r="P755" s="251"/>
      <c r="Q755" s="251"/>
      <c r="R755" s="251"/>
      <c r="S755" s="251"/>
      <c r="T755" s="251"/>
      <c r="U755" s="251"/>
      <c r="V755" s="251"/>
      <c r="W755" s="251"/>
      <c r="X755" s="251"/>
      <c r="Y755" s="251"/>
      <c r="Z755" s="251"/>
      <c r="AA755" s="137"/>
      <c r="AB755" s="137"/>
      <c r="AC755" s="137"/>
      <c r="AD755" s="137"/>
      <c r="AE755" s="137"/>
      <c r="AF755" s="137"/>
      <c r="AG755" s="137"/>
    </row>
    <row r="756" ht="30.0" customHeight="1">
      <c r="A756" s="248"/>
      <c r="B756" s="249"/>
      <c r="C756" s="248"/>
      <c r="D756" s="249"/>
      <c r="E756" s="251"/>
      <c r="F756" s="249"/>
      <c r="G756" s="250"/>
      <c r="H756" s="251"/>
      <c r="I756" s="252"/>
      <c r="J756" s="252"/>
      <c r="K756" s="252"/>
      <c r="L756" s="251"/>
      <c r="M756" s="251"/>
      <c r="N756" s="251"/>
      <c r="O756" s="251"/>
      <c r="P756" s="251"/>
      <c r="Q756" s="251"/>
      <c r="R756" s="251"/>
      <c r="S756" s="251"/>
      <c r="T756" s="251"/>
      <c r="U756" s="251"/>
      <c r="V756" s="251"/>
      <c r="W756" s="251"/>
      <c r="X756" s="251"/>
      <c r="Y756" s="251"/>
      <c r="Z756" s="251"/>
      <c r="AA756" s="137"/>
      <c r="AB756" s="137"/>
      <c r="AC756" s="137"/>
      <c r="AD756" s="137"/>
      <c r="AE756" s="137"/>
      <c r="AF756" s="137"/>
      <c r="AG756" s="137"/>
    </row>
    <row r="757" ht="30.0" customHeight="1">
      <c r="A757" s="248"/>
      <c r="B757" s="249"/>
      <c r="C757" s="248"/>
      <c r="D757" s="249"/>
      <c r="E757" s="251"/>
      <c r="F757" s="249"/>
      <c r="G757" s="250"/>
      <c r="H757" s="251"/>
      <c r="I757" s="252"/>
      <c r="J757" s="252"/>
      <c r="K757" s="252"/>
      <c r="L757" s="251"/>
      <c r="M757" s="251"/>
      <c r="N757" s="251"/>
      <c r="O757" s="251"/>
      <c r="P757" s="251"/>
      <c r="Q757" s="251"/>
      <c r="R757" s="251"/>
      <c r="S757" s="251"/>
      <c r="T757" s="251"/>
      <c r="U757" s="251"/>
      <c r="V757" s="251"/>
      <c r="W757" s="251"/>
      <c r="X757" s="251"/>
      <c r="Y757" s="251"/>
      <c r="Z757" s="251"/>
      <c r="AA757" s="137"/>
      <c r="AB757" s="137"/>
      <c r="AC757" s="137"/>
      <c r="AD757" s="137"/>
      <c r="AE757" s="137"/>
      <c r="AF757" s="137"/>
      <c r="AG757" s="137"/>
    </row>
    <row r="758" ht="30.0" customHeight="1">
      <c r="A758" s="248"/>
      <c r="B758" s="249"/>
      <c r="C758" s="248"/>
      <c r="D758" s="249"/>
      <c r="E758" s="251"/>
      <c r="F758" s="249"/>
      <c r="G758" s="249"/>
      <c r="H758" s="251"/>
      <c r="I758" s="252"/>
      <c r="J758" s="252"/>
      <c r="K758" s="252"/>
      <c r="L758" s="251"/>
      <c r="M758" s="251"/>
      <c r="N758" s="251"/>
      <c r="O758" s="251"/>
      <c r="P758" s="251"/>
      <c r="Q758" s="251"/>
      <c r="R758" s="251"/>
      <c r="S758" s="251"/>
      <c r="T758" s="251"/>
      <c r="U758" s="251"/>
      <c r="V758" s="251"/>
      <c r="W758" s="251"/>
      <c r="X758" s="251"/>
      <c r="Y758" s="251"/>
      <c r="Z758" s="251"/>
      <c r="AA758" s="137"/>
      <c r="AB758" s="137"/>
      <c r="AC758" s="137"/>
      <c r="AD758" s="137"/>
      <c r="AE758" s="137"/>
      <c r="AF758" s="137"/>
      <c r="AG758" s="137"/>
    </row>
    <row r="759" ht="30.0" customHeight="1">
      <c r="A759" s="248"/>
      <c r="B759" s="249"/>
      <c r="C759" s="248"/>
      <c r="D759" s="249"/>
      <c r="E759" s="251"/>
      <c r="F759" s="249"/>
      <c r="G759" s="250"/>
      <c r="H759" s="251"/>
      <c r="I759" s="252"/>
      <c r="J759" s="252"/>
      <c r="K759" s="252"/>
      <c r="L759" s="251"/>
      <c r="M759" s="251"/>
      <c r="N759" s="251"/>
      <c r="O759" s="251"/>
      <c r="P759" s="251"/>
      <c r="Q759" s="251"/>
      <c r="R759" s="251"/>
      <c r="S759" s="251"/>
      <c r="T759" s="251"/>
      <c r="U759" s="251"/>
      <c r="V759" s="251"/>
      <c r="W759" s="251"/>
      <c r="X759" s="251"/>
      <c r="Y759" s="251"/>
      <c r="Z759" s="251"/>
      <c r="AA759" s="137"/>
      <c r="AB759" s="137"/>
      <c r="AC759" s="137"/>
      <c r="AD759" s="137"/>
      <c r="AE759" s="137"/>
      <c r="AF759" s="137"/>
      <c r="AG759" s="137"/>
    </row>
    <row r="760" ht="30.0" customHeight="1">
      <c r="A760" s="248"/>
      <c r="B760" s="249"/>
      <c r="C760" s="248"/>
      <c r="D760" s="249"/>
      <c r="E760" s="251"/>
      <c r="F760" s="249"/>
      <c r="G760" s="250"/>
      <c r="H760" s="251"/>
      <c r="I760" s="252"/>
      <c r="J760" s="252"/>
      <c r="K760" s="252"/>
      <c r="L760" s="251"/>
      <c r="M760" s="251"/>
      <c r="N760" s="251"/>
      <c r="O760" s="251"/>
      <c r="P760" s="251"/>
      <c r="Q760" s="251"/>
      <c r="R760" s="251"/>
      <c r="S760" s="251"/>
      <c r="T760" s="251"/>
      <c r="U760" s="251"/>
      <c r="V760" s="251"/>
      <c r="W760" s="251"/>
      <c r="X760" s="251"/>
      <c r="Y760" s="251"/>
      <c r="Z760" s="251"/>
      <c r="AA760" s="137"/>
      <c r="AB760" s="137"/>
      <c r="AC760" s="137"/>
      <c r="AD760" s="137"/>
      <c r="AE760" s="137"/>
      <c r="AF760" s="137"/>
      <c r="AG760" s="137"/>
    </row>
    <row r="761" ht="30.0" customHeight="1">
      <c r="A761" s="248"/>
      <c r="B761" s="249"/>
      <c r="C761" s="248"/>
      <c r="D761" s="249"/>
      <c r="E761" s="251"/>
      <c r="F761" s="249"/>
      <c r="G761" s="250"/>
      <c r="H761" s="251"/>
      <c r="I761" s="252"/>
      <c r="J761" s="252"/>
      <c r="K761" s="252"/>
      <c r="L761" s="251"/>
      <c r="M761" s="251"/>
      <c r="N761" s="251"/>
      <c r="O761" s="251"/>
      <c r="P761" s="251"/>
      <c r="Q761" s="251"/>
      <c r="R761" s="251"/>
      <c r="S761" s="251"/>
      <c r="T761" s="251"/>
      <c r="U761" s="251"/>
      <c r="V761" s="251"/>
      <c r="W761" s="251"/>
      <c r="X761" s="251"/>
      <c r="Y761" s="251"/>
      <c r="Z761" s="251"/>
      <c r="AA761" s="137"/>
      <c r="AB761" s="137"/>
      <c r="AC761" s="137"/>
      <c r="AD761" s="137"/>
      <c r="AE761" s="137"/>
      <c r="AF761" s="137"/>
      <c r="AG761" s="137"/>
    </row>
    <row r="762" ht="30.0" customHeight="1">
      <c r="A762" s="248"/>
      <c r="B762" s="249"/>
      <c r="C762" s="248"/>
      <c r="D762" s="249"/>
      <c r="E762" s="249"/>
      <c r="F762" s="249"/>
      <c r="G762" s="250"/>
      <c r="H762" s="251"/>
      <c r="I762" s="252"/>
      <c r="J762" s="252"/>
      <c r="K762" s="252"/>
      <c r="L762" s="251"/>
      <c r="M762" s="251"/>
      <c r="N762" s="251"/>
      <c r="O762" s="251"/>
      <c r="P762" s="251"/>
      <c r="Q762" s="251"/>
      <c r="R762" s="251"/>
      <c r="S762" s="251"/>
      <c r="T762" s="251"/>
      <c r="U762" s="251"/>
      <c r="V762" s="251"/>
      <c r="W762" s="251"/>
      <c r="X762" s="251"/>
      <c r="Y762" s="251"/>
      <c r="Z762" s="251"/>
      <c r="AA762" s="137"/>
      <c r="AB762" s="137"/>
      <c r="AC762" s="137"/>
      <c r="AD762" s="137"/>
      <c r="AE762" s="137"/>
      <c r="AF762" s="137"/>
      <c r="AG762" s="137"/>
    </row>
    <row r="763" ht="30.0" customHeight="1">
      <c r="A763" s="248"/>
      <c r="B763" s="249"/>
      <c r="C763" s="248"/>
      <c r="D763" s="249"/>
      <c r="E763" s="249"/>
      <c r="F763" s="249"/>
      <c r="G763" s="250"/>
      <c r="H763" s="251"/>
      <c r="I763" s="252"/>
      <c r="J763" s="252"/>
      <c r="K763" s="252"/>
      <c r="L763" s="251"/>
      <c r="M763" s="251"/>
      <c r="N763" s="251"/>
      <c r="O763" s="251"/>
      <c r="P763" s="251"/>
      <c r="Q763" s="251"/>
      <c r="R763" s="251"/>
      <c r="S763" s="251"/>
      <c r="T763" s="251"/>
      <c r="U763" s="251"/>
      <c r="V763" s="251"/>
      <c r="W763" s="251"/>
      <c r="X763" s="251"/>
      <c r="Y763" s="251"/>
      <c r="Z763" s="251"/>
      <c r="AA763" s="137"/>
      <c r="AB763" s="137"/>
      <c r="AC763" s="137"/>
      <c r="AD763" s="137"/>
      <c r="AE763" s="137"/>
      <c r="AF763" s="137"/>
      <c r="AG763" s="137"/>
    </row>
    <row r="764" ht="30.0" customHeight="1">
      <c r="A764" s="248"/>
      <c r="B764" s="249"/>
      <c r="C764" s="248"/>
      <c r="D764" s="249"/>
      <c r="E764" s="251"/>
      <c r="F764" s="249"/>
      <c r="G764" s="250"/>
      <c r="H764" s="251"/>
      <c r="I764" s="252"/>
      <c r="J764" s="252"/>
      <c r="K764" s="252"/>
      <c r="L764" s="251"/>
      <c r="M764" s="251"/>
      <c r="N764" s="251"/>
      <c r="O764" s="251"/>
      <c r="P764" s="251"/>
      <c r="Q764" s="251"/>
      <c r="R764" s="251"/>
      <c r="S764" s="251"/>
      <c r="T764" s="251"/>
      <c r="U764" s="251"/>
      <c r="V764" s="251"/>
      <c r="W764" s="251"/>
      <c r="X764" s="251"/>
      <c r="Y764" s="251"/>
      <c r="Z764" s="251"/>
      <c r="AA764" s="137"/>
      <c r="AB764" s="137"/>
      <c r="AC764" s="137"/>
      <c r="AD764" s="137"/>
      <c r="AE764" s="137"/>
      <c r="AF764" s="137"/>
      <c r="AG764" s="137"/>
    </row>
    <row r="765" ht="30.0" customHeight="1">
      <c r="A765" s="248"/>
      <c r="B765" s="249"/>
      <c r="C765" s="248"/>
      <c r="D765" s="249"/>
      <c r="E765" s="251"/>
      <c r="F765" s="249"/>
      <c r="G765" s="250"/>
      <c r="H765" s="251"/>
      <c r="I765" s="252"/>
      <c r="J765" s="252"/>
      <c r="K765" s="252"/>
      <c r="L765" s="251"/>
      <c r="M765" s="251"/>
      <c r="N765" s="251"/>
      <c r="O765" s="251"/>
      <c r="P765" s="251"/>
      <c r="Q765" s="251"/>
      <c r="R765" s="251"/>
      <c r="S765" s="251"/>
      <c r="T765" s="251"/>
      <c r="U765" s="251"/>
      <c r="V765" s="251"/>
      <c r="W765" s="251"/>
      <c r="X765" s="251"/>
      <c r="Y765" s="251"/>
      <c r="Z765" s="251"/>
      <c r="AA765" s="137"/>
      <c r="AB765" s="137"/>
      <c r="AC765" s="137"/>
      <c r="AD765" s="137"/>
      <c r="AE765" s="137"/>
      <c r="AF765" s="137"/>
      <c r="AG765" s="137"/>
    </row>
    <row r="766" ht="30.0" customHeight="1">
      <c r="A766" s="248"/>
      <c r="B766" s="249"/>
      <c r="C766" s="248"/>
      <c r="D766" s="249"/>
      <c r="E766" s="251"/>
      <c r="F766" s="249"/>
      <c r="G766" s="250"/>
      <c r="H766" s="251"/>
      <c r="I766" s="252"/>
      <c r="J766" s="252"/>
      <c r="K766" s="252"/>
      <c r="L766" s="251"/>
      <c r="M766" s="251"/>
      <c r="N766" s="251"/>
      <c r="O766" s="251"/>
      <c r="P766" s="251"/>
      <c r="Q766" s="251"/>
      <c r="R766" s="251"/>
      <c r="S766" s="251"/>
      <c r="T766" s="251"/>
      <c r="U766" s="251"/>
      <c r="V766" s="251"/>
      <c r="W766" s="251"/>
      <c r="X766" s="251"/>
      <c r="Y766" s="251"/>
      <c r="Z766" s="251"/>
      <c r="AA766" s="137"/>
      <c r="AB766" s="137"/>
      <c r="AC766" s="137"/>
      <c r="AD766" s="137"/>
      <c r="AE766" s="137"/>
      <c r="AF766" s="137"/>
      <c r="AG766" s="137"/>
    </row>
    <row r="767" ht="30.0" customHeight="1">
      <c r="A767" s="248"/>
      <c r="B767" s="251"/>
      <c r="C767" s="248"/>
      <c r="D767" s="249"/>
      <c r="E767" s="249"/>
      <c r="F767" s="249"/>
      <c r="G767" s="250"/>
      <c r="H767" s="251"/>
      <c r="I767" s="252"/>
      <c r="J767" s="252"/>
      <c r="K767" s="252"/>
      <c r="L767" s="251"/>
      <c r="M767" s="251"/>
      <c r="N767" s="251"/>
      <c r="O767" s="251"/>
      <c r="P767" s="251"/>
      <c r="Q767" s="251"/>
      <c r="R767" s="251"/>
      <c r="S767" s="251"/>
      <c r="T767" s="251"/>
      <c r="U767" s="251"/>
      <c r="V767" s="251"/>
      <c r="W767" s="251"/>
      <c r="X767" s="251"/>
      <c r="Y767" s="251"/>
      <c r="Z767" s="251"/>
      <c r="AA767" s="137"/>
      <c r="AB767" s="137"/>
      <c r="AC767" s="137"/>
      <c r="AD767" s="137"/>
      <c r="AE767" s="137"/>
      <c r="AF767" s="137"/>
      <c r="AG767" s="137"/>
    </row>
    <row r="768" ht="30.0" customHeight="1">
      <c r="A768" s="248"/>
      <c r="B768" s="249"/>
      <c r="C768" s="248"/>
      <c r="D768" s="249"/>
      <c r="E768" s="251"/>
      <c r="F768" s="249"/>
      <c r="G768" s="250"/>
      <c r="H768" s="251"/>
      <c r="I768" s="252"/>
      <c r="J768" s="252"/>
      <c r="K768" s="252"/>
      <c r="L768" s="251"/>
      <c r="M768" s="251"/>
      <c r="N768" s="251"/>
      <c r="O768" s="251"/>
      <c r="P768" s="251"/>
      <c r="Q768" s="251"/>
      <c r="R768" s="251"/>
      <c r="S768" s="251"/>
      <c r="T768" s="251"/>
      <c r="U768" s="251"/>
      <c r="V768" s="251"/>
      <c r="W768" s="251"/>
      <c r="X768" s="251"/>
      <c r="Y768" s="251"/>
      <c r="Z768" s="251"/>
      <c r="AA768" s="137"/>
      <c r="AB768" s="137"/>
      <c r="AC768" s="137"/>
      <c r="AD768" s="137"/>
      <c r="AE768" s="137"/>
      <c r="AF768" s="137"/>
      <c r="AG768" s="137"/>
    </row>
    <row r="769" ht="30.0" customHeight="1">
      <c r="A769" s="248"/>
      <c r="B769" s="251"/>
      <c r="C769" s="248"/>
      <c r="D769" s="249"/>
      <c r="E769" s="249"/>
      <c r="F769" s="249"/>
      <c r="G769" s="250"/>
      <c r="H769" s="251"/>
      <c r="I769" s="252"/>
      <c r="J769" s="252"/>
      <c r="K769" s="252"/>
      <c r="L769" s="251"/>
      <c r="M769" s="251"/>
      <c r="N769" s="251"/>
      <c r="O769" s="251"/>
      <c r="P769" s="251"/>
      <c r="Q769" s="251"/>
      <c r="R769" s="251"/>
      <c r="S769" s="251"/>
      <c r="T769" s="251"/>
      <c r="U769" s="251"/>
      <c r="V769" s="251"/>
      <c r="W769" s="251"/>
      <c r="X769" s="251"/>
      <c r="Y769" s="251"/>
      <c r="Z769" s="251"/>
      <c r="AA769" s="137"/>
      <c r="AB769" s="137"/>
      <c r="AC769" s="137"/>
      <c r="AD769" s="137"/>
      <c r="AE769" s="137"/>
      <c r="AF769" s="137"/>
      <c r="AG769" s="137"/>
    </row>
    <row r="770" ht="30.0" customHeight="1">
      <c r="A770" s="248"/>
      <c r="B770" s="251"/>
      <c r="C770" s="248"/>
      <c r="D770" s="249"/>
      <c r="E770" s="249"/>
      <c r="F770" s="249"/>
      <c r="G770" s="250"/>
      <c r="H770" s="251"/>
      <c r="I770" s="252"/>
      <c r="J770" s="252"/>
      <c r="K770" s="252"/>
      <c r="L770" s="251"/>
      <c r="M770" s="251"/>
      <c r="N770" s="251"/>
      <c r="O770" s="251"/>
      <c r="P770" s="251"/>
      <c r="Q770" s="251"/>
      <c r="R770" s="251"/>
      <c r="S770" s="251"/>
      <c r="T770" s="251"/>
      <c r="U770" s="251"/>
      <c r="V770" s="251"/>
      <c r="W770" s="251"/>
      <c r="X770" s="251"/>
      <c r="Y770" s="251"/>
      <c r="Z770" s="251"/>
      <c r="AA770" s="137"/>
      <c r="AB770" s="137"/>
      <c r="AC770" s="137"/>
      <c r="AD770" s="137"/>
      <c r="AE770" s="137"/>
      <c r="AF770" s="137"/>
      <c r="AG770" s="137"/>
    </row>
    <row r="771" ht="30.0" customHeight="1">
      <c r="A771" s="248"/>
      <c r="B771" s="249"/>
      <c r="C771" s="248"/>
      <c r="D771" s="249"/>
      <c r="E771" s="251"/>
      <c r="F771" s="249"/>
      <c r="G771" s="250"/>
      <c r="H771" s="251"/>
      <c r="I771" s="252"/>
      <c r="J771" s="252"/>
      <c r="K771" s="252"/>
      <c r="L771" s="251"/>
      <c r="M771" s="251"/>
      <c r="N771" s="251"/>
      <c r="O771" s="251"/>
      <c r="P771" s="251"/>
      <c r="Q771" s="251"/>
      <c r="R771" s="251"/>
      <c r="S771" s="251"/>
      <c r="T771" s="251"/>
      <c r="U771" s="251"/>
      <c r="V771" s="251"/>
      <c r="W771" s="251"/>
      <c r="X771" s="251"/>
      <c r="Y771" s="251"/>
      <c r="Z771" s="251"/>
      <c r="AA771" s="137"/>
      <c r="AB771" s="137"/>
      <c r="AC771" s="137"/>
      <c r="AD771" s="137"/>
      <c r="AE771" s="137"/>
      <c r="AF771" s="137"/>
      <c r="AG771" s="137"/>
    </row>
    <row r="772" ht="30.0" customHeight="1">
      <c r="A772" s="248"/>
      <c r="B772" s="249"/>
      <c r="C772" s="248"/>
      <c r="D772" s="249"/>
      <c r="E772" s="251"/>
      <c r="F772" s="249"/>
      <c r="G772" s="250"/>
      <c r="H772" s="251"/>
      <c r="I772" s="252"/>
      <c r="J772" s="252"/>
      <c r="K772" s="252"/>
      <c r="L772" s="251"/>
      <c r="M772" s="251"/>
      <c r="N772" s="251"/>
      <c r="O772" s="251"/>
      <c r="P772" s="251"/>
      <c r="Q772" s="251"/>
      <c r="R772" s="251"/>
      <c r="S772" s="251"/>
      <c r="T772" s="251"/>
      <c r="U772" s="251"/>
      <c r="V772" s="251"/>
      <c r="W772" s="251"/>
      <c r="X772" s="251"/>
      <c r="Y772" s="251"/>
      <c r="Z772" s="251"/>
      <c r="AA772" s="137"/>
      <c r="AB772" s="137"/>
      <c r="AC772" s="137"/>
      <c r="AD772" s="137"/>
      <c r="AE772" s="137"/>
      <c r="AF772" s="137"/>
      <c r="AG772" s="137"/>
    </row>
    <row r="773" ht="30.0" customHeight="1">
      <c r="A773" s="248"/>
      <c r="B773" s="249"/>
      <c r="C773" s="248"/>
      <c r="D773" s="249"/>
      <c r="E773" s="251"/>
      <c r="F773" s="249"/>
      <c r="G773" s="249"/>
      <c r="H773" s="251"/>
      <c r="I773" s="252"/>
      <c r="J773" s="252"/>
      <c r="K773" s="252"/>
      <c r="L773" s="251"/>
      <c r="M773" s="251"/>
      <c r="N773" s="251"/>
      <c r="O773" s="251"/>
      <c r="P773" s="251"/>
      <c r="Q773" s="251"/>
      <c r="R773" s="251"/>
      <c r="S773" s="251"/>
      <c r="T773" s="251"/>
      <c r="U773" s="251"/>
      <c r="V773" s="251"/>
      <c r="W773" s="251"/>
      <c r="X773" s="251"/>
      <c r="Y773" s="251"/>
      <c r="Z773" s="251"/>
      <c r="AA773" s="137"/>
      <c r="AB773" s="137"/>
      <c r="AC773" s="137"/>
      <c r="AD773" s="137"/>
      <c r="AE773" s="137"/>
      <c r="AF773" s="137"/>
      <c r="AG773" s="137"/>
    </row>
    <row r="774" ht="30.0" customHeight="1">
      <c r="A774" s="248"/>
      <c r="B774" s="249"/>
      <c r="C774" s="248"/>
      <c r="D774" s="249"/>
      <c r="E774" s="251"/>
      <c r="F774" s="249"/>
      <c r="G774" s="250"/>
      <c r="H774" s="251"/>
      <c r="I774" s="252"/>
      <c r="J774" s="252"/>
      <c r="K774" s="252"/>
      <c r="L774" s="251"/>
      <c r="M774" s="251"/>
      <c r="N774" s="251"/>
      <c r="O774" s="251"/>
      <c r="P774" s="251"/>
      <c r="Q774" s="251"/>
      <c r="R774" s="251"/>
      <c r="S774" s="251"/>
      <c r="T774" s="251"/>
      <c r="U774" s="251"/>
      <c r="V774" s="251"/>
      <c r="W774" s="251"/>
      <c r="X774" s="251"/>
      <c r="Y774" s="251"/>
      <c r="Z774" s="251"/>
      <c r="AA774" s="137"/>
      <c r="AB774" s="137"/>
      <c r="AC774" s="137"/>
      <c r="AD774" s="137"/>
      <c r="AE774" s="137"/>
      <c r="AF774" s="137"/>
      <c r="AG774" s="137"/>
    </row>
    <row r="775" ht="30.0" customHeight="1">
      <c r="A775" s="248"/>
      <c r="B775" s="249"/>
      <c r="C775" s="248"/>
      <c r="D775" s="249"/>
      <c r="E775" s="251"/>
      <c r="F775" s="249"/>
      <c r="G775" s="250"/>
      <c r="H775" s="251"/>
      <c r="I775" s="252"/>
      <c r="J775" s="252"/>
      <c r="K775" s="252"/>
      <c r="L775" s="251"/>
      <c r="M775" s="251"/>
      <c r="N775" s="251"/>
      <c r="O775" s="251"/>
      <c r="P775" s="251"/>
      <c r="Q775" s="251"/>
      <c r="R775" s="251"/>
      <c r="S775" s="251"/>
      <c r="T775" s="251"/>
      <c r="U775" s="251"/>
      <c r="V775" s="251"/>
      <c r="W775" s="251"/>
      <c r="X775" s="251"/>
      <c r="Y775" s="251"/>
      <c r="Z775" s="251"/>
      <c r="AA775" s="137"/>
      <c r="AB775" s="137"/>
      <c r="AC775" s="137"/>
      <c r="AD775" s="137"/>
      <c r="AE775" s="137"/>
      <c r="AF775" s="137"/>
      <c r="AG775" s="137"/>
    </row>
    <row r="776" ht="30.0" customHeight="1">
      <c r="A776" s="248"/>
      <c r="B776" s="249"/>
      <c r="C776" s="248"/>
      <c r="D776" s="249"/>
      <c r="E776" s="251"/>
      <c r="F776" s="249"/>
      <c r="G776" s="250"/>
      <c r="H776" s="251"/>
      <c r="I776" s="252"/>
      <c r="J776" s="252"/>
      <c r="K776" s="252"/>
      <c r="L776" s="251"/>
      <c r="M776" s="251"/>
      <c r="N776" s="251"/>
      <c r="O776" s="251"/>
      <c r="P776" s="251"/>
      <c r="Q776" s="251"/>
      <c r="R776" s="251"/>
      <c r="S776" s="251"/>
      <c r="T776" s="251"/>
      <c r="U776" s="251"/>
      <c r="V776" s="251"/>
      <c r="W776" s="251"/>
      <c r="X776" s="251"/>
      <c r="Y776" s="251"/>
      <c r="Z776" s="251"/>
      <c r="AA776" s="137"/>
      <c r="AB776" s="137"/>
      <c r="AC776" s="137"/>
      <c r="AD776" s="137"/>
      <c r="AE776" s="137"/>
      <c r="AF776" s="137"/>
      <c r="AG776" s="137"/>
    </row>
    <row r="777" ht="30.0" customHeight="1">
      <c r="A777" s="248"/>
      <c r="B777" s="249"/>
      <c r="C777" s="248"/>
      <c r="D777" s="249"/>
      <c r="E777" s="251"/>
      <c r="F777" s="249"/>
      <c r="G777" s="250"/>
      <c r="H777" s="251"/>
      <c r="I777" s="252"/>
      <c r="J777" s="252"/>
      <c r="K777" s="252"/>
      <c r="L777" s="251"/>
      <c r="M777" s="251"/>
      <c r="N777" s="251"/>
      <c r="O777" s="251"/>
      <c r="P777" s="251"/>
      <c r="Q777" s="251"/>
      <c r="R777" s="251"/>
      <c r="S777" s="251"/>
      <c r="T777" s="251"/>
      <c r="U777" s="251"/>
      <c r="V777" s="251"/>
      <c r="W777" s="251"/>
      <c r="X777" s="251"/>
      <c r="Y777" s="251"/>
      <c r="Z777" s="251"/>
      <c r="AA777" s="137"/>
      <c r="AB777" s="137"/>
      <c r="AC777" s="137"/>
      <c r="AD777" s="137"/>
      <c r="AE777" s="137"/>
      <c r="AF777" s="137"/>
      <c r="AG777" s="137"/>
    </row>
    <row r="778" ht="30.0" customHeight="1">
      <c r="A778" s="248"/>
      <c r="B778" s="249"/>
      <c r="C778" s="248"/>
      <c r="D778" s="249"/>
      <c r="E778" s="251"/>
      <c r="F778" s="249"/>
      <c r="G778" s="250"/>
      <c r="H778" s="251"/>
      <c r="I778" s="252"/>
      <c r="J778" s="252"/>
      <c r="K778" s="252"/>
      <c r="L778" s="251"/>
      <c r="M778" s="251"/>
      <c r="N778" s="251"/>
      <c r="O778" s="251"/>
      <c r="P778" s="251"/>
      <c r="Q778" s="251"/>
      <c r="R778" s="251"/>
      <c r="S778" s="251"/>
      <c r="T778" s="251"/>
      <c r="U778" s="251"/>
      <c r="V778" s="251"/>
      <c r="W778" s="251"/>
      <c r="X778" s="251"/>
      <c r="Y778" s="251"/>
      <c r="Z778" s="251"/>
      <c r="AA778" s="137"/>
      <c r="AB778" s="137"/>
      <c r="AC778" s="137"/>
      <c r="AD778" s="137"/>
      <c r="AE778" s="137"/>
      <c r="AF778" s="137"/>
      <c r="AG778" s="137"/>
    </row>
    <row r="779" ht="30.0" customHeight="1">
      <c r="A779" s="248"/>
      <c r="B779" s="249"/>
      <c r="C779" s="248"/>
      <c r="D779" s="249"/>
      <c r="E779" s="251"/>
      <c r="F779" s="249"/>
      <c r="G779" s="250"/>
      <c r="H779" s="251"/>
      <c r="I779" s="252"/>
      <c r="J779" s="252"/>
      <c r="K779" s="252"/>
      <c r="L779" s="251"/>
      <c r="M779" s="251"/>
      <c r="N779" s="251"/>
      <c r="O779" s="251"/>
      <c r="P779" s="251"/>
      <c r="Q779" s="251"/>
      <c r="R779" s="251"/>
      <c r="S779" s="251"/>
      <c r="T779" s="251"/>
      <c r="U779" s="251"/>
      <c r="V779" s="251"/>
      <c r="W779" s="251"/>
      <c r="X779" s="251"/>
      <c r="Y779" s="251"/>
      <c r="Z779" s="251"/>
      <c r="AA779" s="137"/>
      <c r="AB779" s="137"/>
      <c r="AC779" s="137"/>
      <c r="AD779" s="137"/>
      <c r="AE779" s="137"/>
      <c r="AF779" s="137"/>
      <c r="AG779" s="137"/>
    </row>
    <row r="780" ht="30.0" customHeight="1">
      <c r="A780" s="248"/>
      <c r="B780" s="249"/>
      <c r="C780" s="248"/>
      <c r="D780" s="249"/>
      <c r="E780" s="251"/>
      <c r="F780" s="249"/>
      <c r="G780" s="250"/>
      <c r="H780" s="251"/>
      <c r="I780" s="252"/>
      <c r="J780" s="252"/>
      <c r="K780" s="252"/>
      <c r="L780" s="251"/>
      <c r="M780" s="251"/>
      <c r="N780" s="251"/>
      <c r="O780" s="251"/>
      <c r="P780" s="251"/>
      <c r="Q780" s="251"/>
      <c r="R780" s="251"/>
      <c r="S780" s="251"/>
      <c r="T780" s="251"/>
      <c r="U780" s="251"/>
      <c r="V780" s="251"/>
      <c r="W780" s="251"/>
      <c r="X780" s="251"/>
      <c r="Y780" s="251"/>
      <c r="Z780" s="251"/>
      <c r="AA780" s="137"/>
      <c r="AB780" s="137"/>
      <c r="AC780" s="137"/>
      <c r="AD780" s="137"/>
      <c r="AE780" s="137"/>
      <c r="AF780" s="137"/>
      <c r="AG780" s="137"/>
    </row>
    <row r="781" ht="30.0" customHeight="1">
      <c r="A781" s="248"/>
      <c r="B781" s="249"/>
      <c r="C781" s="248"/>
      <c r="D781" s="249"/>
      <c r="E781" s="251"/>
      <c r="F781" s="249"/>
      <c r="G781" s="250"/>
      <c r="H781" s="251"/>
      <c r="I781" s="252"/>
      <c r="J781" s="252"/>
      <c r="K781" s="252"/>
      <c r="L781" s="251"/>
      <c r="M781" s="251"/>
      <c r="N781" s="251"/>
      <c r="O781" s="251"/>
      <c r="P781" s="251"/>
      <c r="Q781" s="251"/>
      <c r="R781" s="251"/>
      <c r="S781" s="251"/>
      <c r="T781" s="251"/>
      <c r="U781" s="251"/>
      <c r="V781" s="251"/>
      <c r="W781" s="251"/>
      <c r="X781" s="251"/>
      <c r="Y781" s="251"/>
      <c r="Z781" s="251"/>
      <c r="AA781" s="137"/>
      <c r="AB781" s="137"/>
      <c r="AC781" s="137"/>
      <c r="AD781" s="137"/>
      <c r="AE781" s="137"/>
      <c r="AF781" s="137"/>
      <c r="AG781" s="137"/>
    </row>
    <row r="782" ht="30.0" customHeight="1">
      <c r="A782" s="248"/>
      <c r="B782" s="249"/>
      <c r="C782" s="248"/>
      <c r="D782" s="249"/>
      <c r="E782" s="251"/>
      <c r="F782" s="249"/>
      <c r="G782" s="250"/>
      <c r="H782" s="251"/>
      <c r="I782" s="252"/>
      <c r="J782" s="252"/>
      <c r="K782" s="252"/>
      <c r="L782" s="251"/>
      <c r="M782" s="251"/>
      <c r="N782" s="251"/>
      <c r="O782" s="251"/>
      <c r="P782" s="251"/>
      <c r="Q782" s="251"/>
      <c r="R782" s="251"/>
      <c r="S782" s="251"/>
      <c r="T782" s="251"/>
      <c r="U782" s="251"/>
      <c r="V782" s="251"/>
      <c r="W782" s="251"/>
      <c r="X782" s="251"/>
      <c r="Y782" s="251"/>
      <c r="Z782" s="251"/>
      <c r="AA782" s="137"/>
      <c r="AB782" s="137"/>
      <c r="AC782" s="137"/>
      <c r="AD782" s="137"/>
      <c r="AE782" s="137"/>
      <c r="AF782" s="137"/>
      <c r="AG782" s="137"/>
    </row>
    <row r="783" ht="30.0" customHeight="1">
      <c r="A783" s="248"/>
      <c r="B783" s="249"/>
      <c r="C783" s="248"/>
      <c r="D783" s="249"/>
      <c r="E783" s="251"/>
      <c r="F783" s="249"/>
      <c r="G783" s="250"/>
      <c r="H783" s="251"/>
      <c r="I783" s="252"/>
      <c r="J783" s="252"/>
      <c r="K783" s="252"/>
      <c r="L783" s="251"/>
      <c r="M783" s="251"/>
      <c r="N783" s="251"/>
      <c r="O783" s="251"/>
      <c r="P783" s="251"/>
      <c r="Q783" s="251"/>
      <c r="R783" s="251"/>
      <c r="S783" s="251"/>
      <c r="T783" s="251"/>
      <c r="U783" s="251"/>
      <c r="V783" s="251"/>
      <c r="W783" s="251"/>
      <c r="X783" s="251"/>
      <c r="Y783" s="251"/>
      <c r="Z783" s="251"/>
      <c r="AA783" s="137"/>
      <c r="AB783" s="137"/>
      <c r="AC783" s="137"/>
      <c r="AD783" s="137"/>
      <c r="AE783" s="137"/>
      <c r="AF783" s="137"/>
      <c r="AG783" s="137"/>
    </row>
    <row r="784" ht="30.0" customHeight="1">
      <c r="A784" s="248"/>
      <c r="B784" s="251"/>
      <c r="C784" s="248"/>
      <c r="D784" s="249"/>
      <c r="E784" s="251"/>
      <c r="F784" s="249"/>
      <c r="G784" s="250"/>
      <c r="H784" s="251"/>
      <c r="I784" s="252"/>
      <c r="J784" s="252"/>
      <c r="K784" s="252"/>
      <c r="L784" s="251"/>
      <c r="M784" s="251"/>
      <c r="N784" s="251"/>
      <c r="O784" s="251"/>
      <c r="P784" s="251"/>
      <c r="Q784" s="251"/>
      <c r="R784" s="251"/>
      <c r="S784" s="251"/>
      <c r="T784" s="251"/>
      <c r="U784" s="251"/>
      <c r="V784" s="251"/>
      <c r="W784" s="251"/>
      <c r="X784" s="251"/>
      <c r="Y784" s="251"/>
      <c r="Z784" s="251"/>
      <c r="AA784" s="137"/>
      <c r="AB784" s="137"/>
      <c r="AC784" s="137"/>
      <c r="AD784" s="137"/>
      <c r="AE784" s="137"/>
      <c r="AF784" s="137"/>
      <c r="AG784" s="137"/>
    </row>
    <row r="785" ht="30.0" customHeight="1">
      <c r="A785" s="248"/>
      <c r="B785" s="249"/>
      <c r="C785" s="248"/>
      <c r="D785" s="249"/>
      <c r="E785" s="251"/>
      <c r="F785" s="249"/>
      <c r="G785" s="250"/>
      <c r="H785" s="251"/>
      <c r="I785" s="252"/>
      <c r="J785" s="252"/>
      <c r="K785" s="252"/>
      <c r="L785" s="251"/>
      <c r="M785" s="251"/>
      <c r="N785" s="251"/>
      <c r="O785" s="251"/>
      <c r="P785" s="251"/>
      <c r="Q785" s="251"/>
      <c r="R785" s="251"/>
      <c r="S785" s="251"/>
      <c r="T785" s="251"/>
      <c r="U785" s="251"/>
      <c r="V785" s="251"/>
      <c r="W785" s="251"/>
      <c r="X785" s="251"/>
      <c r="Y785" s="251"/>
      <c r="Z785" s="251"/>
      <c r="AA785" s="137"/>
      <c r="AB785" s="137"/>
      <c r="AC785" s="137"/>
      <c r="AD785" s="137"/>
      <c r="AE785" s="137"/>
      <c r="AF785" s="137"/>
      <c r="AG785" s="137"/>
    </row>
    <row r="786" ht="30.0" customHeight="1">
      <c r="A786" s="248"/>
      <c r="B786" s="249"/>
      <c r="C786" s="248"/>
      <c r="D786" s="249"/>
      <c r="E786" s="251"/>
      <c r="F786" s="249"/>
      <c r="G786" s="250"/>
      <c r="H786" s="251"/>
      <c r="I786" s="252"/>
      <c r="J786" s="252"/>
      <c r="K786" s="252"/>
      <c r="L786" s="251"/>
      <c r="M786" s="251"/>
      <c r="N786" s="251"/>
      <c r="O786" s="251"/>
      <c r="P786" s="251"/>
      <c r="Q786" s="251"/>
      <c r="R786" s="251"/>
      <c r="S786" s="251"/>
      <c r="T786" s="251"/>
      <c r="U786" s="251"/>
      <c r="V786" s="251"/>
      <c r="W786" s="251"/>
      <c r="X786" s="251"/>
      <c r="Y786" s="251"/>
      <c r="Z786" s="251"/>
      <c r="AA786" s="137"/>
      <c r="AB786" s="137"/>
      <c r="AC786" s="137"/>
      <c r="AD786" s="137"/>
      <c r="AE786" s="137"/>
      <c r="AF786" s="137"/>
      <c r="AG786" s="137"/>
    </row>
    <row r="787" ht="30.0" customHeight="1">
      <c r="A787" s="248"/>
      <c r="B787" s="249"/>
      <c r="C787" s="248"/>
      <c r="D787" s="249"/>
      <c r="E787" s="251"/>
      <c r="F787" s="249"/>
      <c r="G787" s="250"/>
      <c r="H787" s="251"/>
      <c r="I787" s="252"/>
      <c r="J787" s="252"/>
      <c r="K787" s="252"/>
      <c r="L787" s="251"/>
      <c r="M787" s="251"/>
      <c r="N787" s="251"/>
      <c r="O787" s="251"/>
      <c r="P787" s="251"/>
      <c r="Q787" s="251"/>
      <c r="R787" s="251"/>
      <c r="S787" s="251"/>
      <c r="T787" s="251"/>
      <c r="U787" s="251"/>
      <c r="V787" s="251"/>
      <c r="W787" s="251"/>
      <c r="X787" s="251"/>
      <c r="Y787" s="251"/>
      <c r="Z787" s="251"/>
      <c r="AA787" s="137"/>
      <c r="AB787" s="137"/>
      <c r="AC787" s="137"/>
      <c r="AD787" s="137"/>
      <c r="AE787" s="137"/>
      <c r="AF787" s="137"/>
      <c r="AG787" s="137"/>
    </row>
    <row r="788" ht="30.0" customHeight="1">
      <c r="A788" s="248"/>
      <c r="B788" s="249"/>
      <c r="C788" s="248"/>
      <c r="D788" s="249"/>
      <c r="E788" s="251"/>
      <c r="F788" s="249"/>
      <c r="G788" s="250"/>
      <c r="H788" s="251"/>
      <c r="I788" s="252"/>
      <c r="J788" s="252"/>
      <c r="K788" s="252"/>
      <c r="L788" s="251"/>
      <c r="M788" s="251"/>
      <c r="N788" s="251"/>
      <c r="O788" s="251"/>
      <c r="P788" s="251"/>
      <c r="Q788" s="251"/>
      <c r="R788" s="251"/>
      <c r="S788" s="251"/>
      <c r="T788" s="251"/>
      <c r="U788" s="251"/>
      <c r="V788" s="251"/>
      <c r="W788" s="251"/>
      <c r="X788" s="251"/>
      <c r="Y788" s="251"/>
      <c r="Z788" s="251"/>
      <c r="AA788" s="137"/>
      <c r="AB788" s="137"/>
      <c r="AC788" s="137"/>
      <c r="AD788" s="137"/>
      <c r="AE788" s="137"/>
      <c r="AF788" s="137"/>
      <c r="AG788" s="137"/>
    </row>
    <row r="789" ht="30.0" customHeight="1">
      <c r="A789" s="248"/>
      <c r="B789" s="249"/>
      <c r="C789" s="248"/>
      <c r="D789" s="249"/>
      <c r="E789" s="251"/>
      <c r="F789" s="249"/>
      <c r="G789" s="250"/>
      <c r="H789" s="251"/>
      <c r="I789" s="252"/>
      <c r="J789" s="252"/>
      <c r="K789" s="252"/>
      <c r="L789" s="251"/>
      <c r="M789" s="251"/>
      <c r="N789" s="251"/>
      <c r="O789" s="251"/>
      <c r="P789" s="251"/>
      <c r="Q789" s="251"/>
      <c r="R789" s="251"/>
      <c r="S789" s="251"/>
      <c r="T789" s="251"/>
      <c r="U789" s="251"/>
      <c r="V789" s="251"/>
      <c r="W789" s="251"/>
      <c r="X789" s="251"/>
      <c r="Y789" s="251"/>
      <c r="Z789" s="251"/>
      <c r="AA789" s="137"/>
      <c r="AB789" s="137"/>
      <c r="AC789" s="137"/>
      <c r="AD789" s="137"/>
      <c r="AE789" s="137"/>
      <c r="AF789" s="137"/>
      <c r="AG789" s="137"/>
    </row>
    <row r="790" ht="30.0" customHeight="1">
      <c r="A790" s="248"/>
      <c r="B790" s="249"/>
      <c r="C790" s="248"/>
      <c r="D790" s="249"/>
      <c r="E790" s="249"/>
      <c r="F790" s="249"/>
      <c r="G790" s="250"/>
      <c r="H790" s="251"/>
      <c r="I790" s="252"/>
      <c r="J790" s="252"/>
      <c r="K790" s="252"/>
      <c r="L790" s="251"/>
      <c r="M790" s="251"/>
      <c r="N790" s="251"/>
      <c r="O790" s="251"/>
      <c r="P790" s="251"/>
      <c r="Q790" s="251"/>
      <c r="R790" s="251"/>
      <c r="S790" s="251"/>
      <c r="T790" s="251"/>
      <c r="U790" s="251"/>
      <c r="V790" s="251"/>
      <c r="W790" s="251"/>
      <c r="X790" s="251"/>
      <c r="Y790" s="251"/>
      <c r="Z790" s="251"/>
      <c r="AA790" s="137"/>
      <c r="AB790" s="137"/>
      <c r="AC790" s="137"/>
      <c r="AD790" s="137"/>
      <c r="AE790" s="137"/>
      <c r="AF790" s="137"/>
      <c r="AG790" s="137"/>
    </row>
    <row r="791" ht="30.0" customHeight="1">
      <c r="A791" s="248"/>
      <c r="B791" s="249"/>
      <c r="C791" s="248"/>
      <c r="D791" s="249"/>
      <c r="E791" s="249"/>
      <c r="F791" s="249"/>
      <c r="G791" s="250"/>
      <c r="H791" s="251"/>
      <c r="I791" s="252"/>
      <c r="J791" s="252"/>
      <c r="K791" s="252"/>
      <c r="L791" s="251"/>
      <c r="M791" s="251"/>
      <c r="N791" s="251"/>
      <c r="O791" s="251"/>
      <c r="P791" s="251"/>
      <c r="Q791" s="251"/>
      <c r="R791" s="251"/>
      <c r="S791" s="251"/>
      <c r="T791" s="251"/>
      <c r="U791" s="251"/>
      <c r="V791" s="251"/>
      <c r="W791" s="251"/>
      <c r="X791" s="251"/>
      <c r="Y791" s="251"/>
      <c r="Z791" s="251"/>
      <c r="AA791" s="137"/>
      <c r="AB791" s="137"/>
      <c r="AC791" s="137"/>
      <c r="AD791" s="137"/>
      <c r="AE791" s="137"/>
      <c r="AF791" s="137"/>
      <c r="AG791" s="137"/>
    </row>
    <row r="792" ht="30.0" customHeight="1">
      <c r="A792" s="248"/>
      <c r="B792" s="249"/>
      <c r="C792" s="248"/>
      <c r="D792" s="249"/>
      <c r="E792" s="249"/>
      <c r="F792" s="249"/>
      <c r="G792" s="250"/>
      <c r="H792" s="251"/>
      <c r="I792" s="252"/>
      <c r="J792" s="252"/>
      <c r="K792" s="252"/>
      <c r="L792" s="251"/>
      <c r="M792" s="251"/>
      <c r="N792" s="251"/>
      <c r="O792" s="251"/>
      <c r="P792" s="251"/>
      <c r="Q792" s="251"/>
      <c r="R792" s="251"/>
      <c r="S792" s="251"/>
      <c r="T792" s="251"/>
      <c r="U792" s="251"/>
      <c r="V792" s="251"/>
      <c r="W792" s="251"/>
      <c r="X792" s="251"/>
      <c r="Y792" s="251"/>
      <c r="Z792" s="251"/>
      <c r="AA792" s="137"/>
      <c r="AB792" s="137"/>
      <c r="AC792" s="137"/>
      <c r="AD792" s="137"/>
      <c r="AE792" s="137"/>
      <c r="AF792" s="137"/>
      <c r="AG792" s="137"/>
    </row>
    <row r="793" ht="30.0" customHeight="1">
      <c r="A793" s="248"/>
      <c r="B793" s="249"/>
      <c r="C793" s="248"/>
      <c r="D793" s="249"/>
      <c r="E793" s="249"/>
      <c r="F793" s="249"/>
      <c r="G793" s="249"/>
      <c r="H793" s="251"/>
      <c r="I793" s="252"/>
      <c r="J793" s="252"/>
      <c r="K793" s="252"/>
      <c r="L793" s="251"/>
      <c r="M793" s="251"/>
      <c r="N793" s="251"/>
      <c r="O793" s="251"/>
      <c r="P793" s="251"/>
      <c r="Q793" s="251"/>
      <c r="R793" s="251"/>
      <c r="S793" s="251"/>
      <c r="T793" s="251"/>
      <c r="U793" s="251"/>
      <c r="V793" s="251"/>
      <c r="W793" s="251"/>
      <c r="X793" s="251"/>
      <c r="Y793" s="251"/>
      <c r="Z793" s="251"/>
      <c r="AA793" s="137"/>
      <c r="AB793" s="137"/>
      <c r="AC793" s="137"/>
      <c r="AD793" s="137"/>
      <c r="AE793" s="137"/>
      <c r="AF793" s="137"/>
      <c r="AG793" s="137"/>
    </row>
    <row r="794" ht="30.0" customHeight="1">
      <c r="A794" s="248"/>
      <c r="B794" s="249"/>
      <c r="C794" s="248"/>
      <c r="D794" s="249"/>
      <c r="E794" s="251"/>
      <c r="F794" s="249"/>
      <c r="G794" s="250"/>
      <c r="H794" s="251"/>
      <c r="I794" s="252"/>
      <c r="J794" s="252"/>
      <c r="K794" s="252"/>
      <c r="L794" s="251"/>
      <c r="M794" s="251"/>
      <c r="N794" s="251"/>
      <c r="O794" s="251"/>
      <c r="P794" s="251"/>
      <c r="Q794" s="251"/>
      <c r="R794" s="251"/>
      <c r="S794" s="251"/>
      <c r="T794" s="251"/>
      <c r="U794" s="251"/>
      <c r="V794" s="251"/>
      <c r="W794" s="251"/>
      <c r="X794" s="251"/>
      <c r="Y794" s="251"/>
      <c r="Z794" s="251"/>
      <c r="AA794" s="137"/>
      <c r="AB794" s="137"/>
      <c r="AC794" s="137"/>
      <c r="AD794" s="137"/>
      <c r="AE794" s="137"/>
      <c r="AF794" s="137"/>
      <c r="AG794" s="137"/>
    </row>
    <row r="795" ht="30.0" customHeight="1">
      <c r="A795" s="248"/>
      <c r="B795" s="249"/>
      <c r="C795" s="248"/>
      <c r="D795" s="249"/>
      <c r="E795" s="251"/>
      <c r="F795" s="249"/>
      <c r="G795" s="249"/>
      <c r="H795" s="251"/>
      <c r="I795" s="252"/>
      <c r="J795" s="252"/>
      <c r="K795" s="252"/>
      <c r="L795" s="251"/>
      <c r="M795" s="251"/>
      <c r="N795" s="251"/>
      <c r="O795" s="251"/>
      <c r="P795" s="251"/>
      <c r="Q795" s="251"/>
      <c r="R795" s="251"/>
      <c r="S795" s="251"/>
      <c r="T795" s="251"/>
      <c r="U795" s="251"/>
      <c r="V795" s="251"/>
      <c r="W795" s="251"/>
      <c r="X795" s="251"/>
      <c r="Y795" s="251"/>
      <c r="Z795" s="251"/>
      <c r="AA795" s="137"/>
      <c r="AB795" s="137"/>
      <c r="AC795" s="137"/>
      <c r="AD795" s="137"/>
      <c r="AE795" s="137"/>
      <c r="AF795" s="137"/>
      <c r="AG795" s="137"/>
    </row>
    <row r="796" ht="30.0" customHeight="1">
      <c r="A796" s="248"/>
      <c r="B796" s="249"/>
      <c r="C796" s="248"/>
      <c r="D796" s="249"/>
      <c r="E796" s="249"/>
      <c r="F796" s="249"/>
      <c r="G796" s="250"/>
      <c r="H796" s="251"/>
      <c r="I796" s="252"/>
      <c r="J796" s="252"/>
      <c r="K796" s="252"/>
      <c r="L796" s="251"/>
      <c r="M796" s="251"/>
      <c r="N796" s="251"/>
      <c r="O796" s="251"/>
      <c r="P796" s="251"/>
      <c r="Q796" s="251"/>
      <c r="R796" s="251"/>
      <c r="S796" s="251"/>
      <c r="T796" s="251"/>
      <c r="U796" s="251"/>
      <c r="V796" s="251"/>
      <c r="W796" s="251"/>
      <c r="X796" s="251"/>
      <c r="Y796" s="251"/>
      <c r="Z796" s="251"/>
      <c r="AA796" s="137"/>
      <c r="AB796" s="137"/>
      <c r="AC796" s="137"/>
      <c r="AD796" s="137"/>
      <c r="AE796" s="137"/>
      <c r="AF796" s="137"/>
      <c r="AG796" s="137"/>
    </row>
    <row r="797" ht="30.0" customHeight="1">
      <c r="A797" s="248"/>
      <c r="B797" s="249"/>
      <c r="C797" s="248"/>
      <c r="D797" s="249"/>
      <c r="E797" s="251"/>
      <c r="F797" s="249"/>
      <c r="G797" s="249"/>
      <c r="H797" s="251"/>
      <c r="I797" s="252"/>
      <c r="J797" s="252"/>
      <c r="K797" s="252"/>
      <c r="L797" s="251"/>
      <c r="M797" s="251"/>
      <c r="N797" s="251"/>
      <c r="O797" s="251"/>
      <c r="P797" s="251"/>
      <c r="Q797" s="251"/>
      <c r="R797" s="251"/>
      <c r="S797" s="251"/>
      <c r="T797" s="251"/>
      <c r="U797" s="251"/>
      <c r="V797" s="251"/>
      <c r="W797" s="251"/>
      <c r="X797" s="251"/>
      <c r="Y797" s="251"/>
      <c r="Z797" s="251"/>
      <c r="AA797" s="137"/>
      <c r="AB797" s="137"/>
      <c r="AC797" s="137"/>
      <c r="AD797" s="137"/>
      <c r="AE797" s="137"/>
      <c r="AF797" s="137"/>
      <c r="AG797" s="137"/>
    </row>
    <row r="798" ht="30.0" customHeight="1">
      <c r="A798" s="248"/>
      <c r="B798" s="249"/>
      <c r="C798" s="248"/>
      <c r="D798" s="249"/>
      <c r="E798" s="249"/>
      <c r="F798" s="249"/>
      <c r="G798" s="250"/>
      <c r="H798" s="251"/>
      <c r="I798" s="252"/>
      <c r="J798" s="252"/>
      <c r="K798" s="252"/>
      <c r="L798" s="251"/>
      <c r="M798" s="251"/>
      <c r="N798" s="251"/>
      <c r="O798" s="251"/>
      <c r="P798" s="251"/>
      <c r="Q798" s="251"/>
      <c r="R798" s="251"/>
      <c r="S798" s="251"/>
      <c r="T798" s="251"/>
      <c r="U798" s="251"/>
      <c r="V798" s="251"/>
      <c r="W798" s="251"/>
      <c r="X798" s="251"/>
      <c r="Y798" s="251"/>
      <c r="Z798" s="251"/>
      <c r="AA798" s="137"/>
      <c r="AB798" s="137"/>
      <c r="AC798" s="137"/>
      <c r="AD798" s="137"/>
      <c r="AE798" s="137"/>
      <c r="AF798" s="137"/>
      <c r="AG798" s="137"/>
    </row>
    <row r="799" ht="30.0" customHeight="1">
      <c r="A799" s="248"/>
      <c r="B799" s="249"/>
      <c r="C799" s="249"/>
      <c r="D799" s="249"/>
      <c r="E799" s="251"/>
      <c r="F799" s="249"/>
      <c r="G799" s="249"/>
      <c r="H799" s="251"/>
      <c r="I799" s="252"/>
      <c r="J799" s="252"/>
      <c r="K799" s="252"/>
      <c r="L799" s="251"/>
      <c r="M799" s="251"/>
      <c r="N799" s="251"/>
      <c r="O799" s="251"/>
      <c r="P799" s="251"/>
      <c r="Q799" s="251"/>
      <c r="R799" s="251"/>
      <c r="S799" s="251"/>
      <c r="T799" s="251"/>
      <c r="U799" s="251"/>
      <c r="V799" s="251"/>
      <c r="W799" s="251"/>
      <c r="X799" s="251"/>
      <c r="Y799" s="251"/>
      <c r="Z799" s="251"/>
      <c r="AA799" s="137"/>
      <c r="AB799" s="137"/>
      <c r="AC799" s="137"/>
      <c r="AD799" s="137"/>
      <c r="AE799" s="137"/>
      <c r="AF799" s="137"/>
      <c r="AG799" s="137"/>
    </row>
    <row r="800" ht="30.0" customHeight="1">
      <c r="A800" s="248"/>
      <c r="B800" s="249"/>
      <c r="C800" s="248"/>
      <c r="D800" s="249"/>
      <c r="E800" s="249"/>
      <c r="F800" s="249"/>
      <c r="G800" s="250"/>
      <c r="H800" s="251"/>
      <c r="I800" s="252"/>
      <c r="J800" s="252"/>
      <c r="K800" s="252"/>
      <c r="L800" s="251"/>
      <c r="M800" s="251"/>
      <c r="N800" s="251"/>
      <c r="O800" s="251"/>
      <c r="P800" s="251"/>
      <c r="Q800" s="251"/>
      <c r="R800" s="251"/>
      <c r="S800" s="251"/>
      <c r="T800" s="251"/>
      <c r="U800" s="251"/>
      <c r="V800" s="251"/>
      <c r="W800" s="251"/>
      <c r="X800" s="251"/>
      <c r="Y800" s="251"/>
      <c r="Z800" s="251"/>
      <c r="AA800" s="137"/>
      <c r="AB800" s="137"/>
      <c r="AC800" s="137"/>
      <c r="AD800" s="137"/>
      <c r="AE800" s="137"/>
      <c r="AF800" s="137"/>
      <c r="AG800" s="137"/>
    </row>
    <row r="801" ht="30.0" customHeight="1">
      <c r="A801" s="248"/>
      <c r="B801" s="249"/>
      <c r="C801" s="248"/>
      <c r="D801" s="249"/>
      <c r="E801" s="249"/>
      <c r="F801" s="249"/>
      <c r="G801" s="250"/>
      <c r="H801" s="251"/>
      <c r="I801" s="252"/>
      <c r="J801" s="252"/>
      <c r="K801" s="252"/>
      <c r="L801" s="251"/>
      <c r="M801" s="251"/>
      <c r="N801" s="251"/>
      <c r="O801" s="251"/>
      <c r="P801" s="251"/>
      <c r="Q801" s="251"/>
      <c r="R801" s="251"/>
      <c r="S801" s="251"/>
      <c r="T801" s="251"/>
      <c r="U801" s="251"/>
      <c r="V801" s="251"/>
      <c r="W801" s="251"/>
      <c r="X801" s="251"/>
      <c r="Y801" s="251"/>
      <c r="Z801" s="251"/>
      <c r="AA801" s="137"/>
      <c r="AB801" s="137"/>
      <c r="AC801" s="137"/>
      <c r="AD801" s="137"/>
      <c r="AE801" s="137"/>
      <c r="AF801" s="137"/>
      <c r="AG801" s="137"/>
    </row>
    <row r="802" ht="30.0" customHeight="1">
      <c r="A802" s="248"/>
      <c r="B802" s="249"/>
      <c r="C802" s="248"/>
      <c r="D802" s="249"/>
      <c r="E802" s="251"/>
      <c r="F802" s="249"/>
      <c r="G802" s="250"/>
      <c r="H802" s="251"/>
      <c r="I802" s="252"/>
      <c r="J802" s="252"/>
      <c r="K802" s="252"/>
      <c r="L802" s="251"/>
      <c r="M802" s="251"/>
      <c r="N802" s="251"/>
      <c r="O802" s="251"/>
      <c r="P802" s="251"/>
      <c r="Q802" s="251"/>
      <c r="R802" s="251"/>
      <c r="S802" s="251"/>
      <c r="T802" s="251"/>
      <c r="U802" s="251"/>
      <c r="V802" s="251"/>
      <c r="W802" s="251"/>
      <c r="X802" s="251"/>
      <c r="Y802" s="251"/>
      <c r="Z802" s="251"/>
      <c r="AA802" s="137"/>
      <c r="AB802" s="137"/>
      <c r="AC802" s="137"/>
      <c r="AD802" s="137"/>
      <c r="AE802" s="137"/>
      <c r="AF802" s="137"/>
      <c r="AG802" s="137"/>
    </row>
    <row r="803" ht="30.0" customHeight="1">
      <c r="A803" s="248"/>
      <c r="B803" s="249"/>
      <c r="C803" s="248"/>
      <c r="D803" s="249"/>
      <c r="E803" s="251"/>
      <c r="F803" s="249"/>
      <c r="G803" s="250"/>
      <c r="H803" s="251"/>
      <c r="I803" s="252"/>
      <c r="J803" s="252"/>
      <c r="K803" s="252"/>
      <c r="L803" s="251"/>
      <c r="M803" s="251"/>
      <c r="N803" s="251"/>
      <c r="O803" s="251"/>
      <c r="P803" s="251"/>
      <c r="Q803" s="251"/>
      <c r="R803" s="251"/>
      <c r="S803" s="251"/>
      <c r="T803" s="251"/>
      <c r="U803" s="251"/>
      <c r="V803" s="251"/>
      <c r="W803" s="251"/>
      <c r="X803" s="251"/>
      <c r="Y803" s="251"/>
      <c r="Z803" s="251"/>
      <c r="AA803" s="137"/>
      <c r="AB803" s="137"/>
      <c r="AC803" s="137"/>
      <c r="AD803" s="137"/>
      <c r="AE803" s="137"/>
      <c r="AF803" s="137"/>
      <c r="AG803" s="137"/>
    </row>
    <row r="804" ht="30.0" customHeight="1">
      <c r="A804" s="248"/>
      <c r="B804" s="249"/>
      <c r="C804" s="248"/>
      <c r="D804" s="249"/>
      <c r="E804" s="251"/>
      <c r="F804" s="249"/>
      <c r="G804" s="250"/>
      <c r="H804" s="251"/>
      <c r="I804" s="252"/>
      <c r="J804" s="252"/>
      <c r="K804" s="252"/>
      <c r="L804" s="251"/>
      <c r="M804" s="251"/>
      <c r="N804" s="251"/>
      <c r="O804" s="251"/>
      <c r="P804" s="251"/>
      <c r="Q804" s="251"/>
      <c r="R804" s="251"/>
      <c r="S804" s="251"/>
      <c r="T804" s="251"/>
      <c r="U804" s="251"/>
      <c r="V804" s="251"/>
      <c r="W804" s="251"/>
      <c r="X804" s="251"/>
      <c r="Y804" s="251"/>
      <c r="Z804" s="251"/>
      <c r="AA804" s="137"/>
      <c r="AB804" s="137"/>
      <c r="AC804" s="137"/>
      <c r="AD804" s="137"/>
      <c r="AE804" s="137"/>
      <c r="AF804" s="137"/>
      <c r="AG804" s="137"/>
    </row>
    <row r="805" ht="30.0" customHeight="1">
      <c r="A805" s="248"/>
      <c r="B805" s="249"/>
      <c r="C805" s="248"/>
      <c r="D805" s="249"/>
      <c r="E805" s="251"/>
      <c r="F805" s="249"/>
      <c r="G805" s="249"/>
      <c r="H805" s="251"/>
      <c r="I805" s="252"/>
      <c r="J805" s="252"/>
      <c r="K805" s="252"/>
      <c r="L805" s="251"/>
      <c r="M805" s="251"/>
      <c r="N805" s="251"/>
      <c r="O805" s="251"/>
      <c r="P805" s="251"/>
      <c r="Q805" s="251"/>
      <c r="R805" s="251"/>
      <c r="S805" s="251"/>
      <c r="T805" s="251"/>
      <c r="U805" s="251"/>
      <c r="V805" s="251"/>
      <c r="W805" s="251"/>
      <c r="X805" s="251"/>
      <c r="Y805" s="251"/>
      <c r="Z805" s="251"/>
      <c r="AA805" s="137"/>
      <c r="AB805" s="137"/>
      <c r="AC805" s="137"/>
      <c r="AD805" s="137"/>
      <c r="AE805" s="137"/>
      <c r="AF805" s="137"/>
      <c r="AG805" s="137"/>
    </row>
    <row r="806" ht="30.0" customHeight="1">
      <c r="A806" s="248"/>
      <c r="B806" s="249"/>
      <c r="C806" s="248"/>
      <c r="D806" s="249"/>
      <c r="E806" s="249"/>
      <c r="F806" s="249"/>
      <c r="G806" s="249"/>
      <c r="H806" s="251"/>
      <c r="I806" s="252"/>
      <c r="J806" s="252"/>
      <c r="K806" s="252"/>
      <c r="L806" s="251"/>
      <c r="M806" s="251"/>
      <c r="N806" s="251"/>
      <c r="O806" s="251"/>
      <c r="P806" s="251"/>
      <c r="Q806" s="251"/>
      <c r="R806" s="251"/>
      <c r="S806" s="251"/>
      <c r="T806" s="251"/>
      <c r="U806" s="251"/>
      <c r="V806" s="251"/>
      <c r="W806" s="251"/>
      <c r="X806" s="251"/>
      <c r="Y806" s="251"/>
      <c r="Z806" s="251"/>
      <c r="AA806" s="137"/>
      <c r="AB806" s="137"/>
      <c r="AC806" s="137"/>
      <c r="AD806" s="137"/>
      <c r="AE806" s="137"/>
      <c r="AF806" s="137"/>
      <c r="AG806" s="137"/>
    </row>
    <row r="807" ht="30.0" customHeight="1">
      <c r="A807" s="248"/>
      <c r="B807" s="249"/>
      <c r="C807" s="248"/>
      <c r="D807" s="249"/>
      <c r="E807" s="249"/>
      <c r="F807" s="249"/>
      <c r="G807" s="250"/>
      <c r="H807" s="251"/>
      <c r="I807" s="252"/>
      <c r="J807" s="252"/>
      <c r="K807" s="252"/>
      <c r="L807" s="251"/>
      <c r="M807" s="251"/>
      <c r="N807" s="251"/>
      <c r="O807" s="251"/>
      <c r="P807" s="251"/>
      <c r="Q807" s="251"/>
      <c r="R807" s="251"/>
      <c r="S807" s="251"/>
      <c r="T807" s="251"/>
      <c r="U807" s="251"/>
      <c r="V807" s="251"/>
      <c r="W807" s="251"/>
      <c r="X807" s="251"/>
      <c r="Y807" s="251"/>
      <c r="Z807" s="251"/>
      <c r="AA807" s="137"/>
      <c r="AB807" s="137"/>
      <c r="AC807" s="137"/>
      <c r="AD807" s="137"/>
      <c r="AE807" s="137"/>
      <c r="AF807" s="137"/>
      <c r="AG807" s="137"/>
    </row>
    <row r="808" ht="30.0" customHeight="1">
      <c r="A808" s="248"/>
      <c r="B808" s="249"/>
      <c r="C808" s="248"/>
      <c r="D808" s="249"/>
      <c r="E808" s="251"/>
      <c r="F808" s="249"/>
      <c r="G808" s="250"/>
      <c r="H808" s="251"/>
      <c r="I808" s="252"/>
      <c r="J808" s="252"/>
      <c r="K808" s="252"/>
      <c r="L808" s="251"/>
      <c r="M808" s="251"/>
      <c r="N808" s="251"/>
      <c r="O808" s="251"/>
      <c r="P808" s="251"/>
      <c r="Q808" s="251"/>
      <c r="R808" s="251"/>
      <c r="S808" s="251"/>
      <c r="T808" s="251"/>
      <c r="U808" s="251"/>
      <c r="V808" s="251"/>
      <c r="W808" s="251"/>
      <c r="X808" s="251"/>
      <c r="Y808" s="251"/>
      <c r="Z808" s="251"/>
      <c r="AA808" s="137"/>
      <c r="AB808" s="137"/>
      <c r="AC808" s="137"/>
      <c r="AD808" s="137"/>
      <c r="AE808" s="137"/>
      <c r="AF808" s="137"/>
      <c r="AG808" s="137"/>
    </row>
    <row r="809" ht="30.0" customHeight="1">
      <c r="A809" s="248"/>
      <c r="B809" s="249"/>
      <c r="C809" s="248"/>
      <c r="D809" s="249"/>
      <c r="E809" s="249"/>
      <c r="F809" s="249"/>
      <c r="G809" s="250"/>
      <c r="H809" s="251"/>
      <c r="I809" s="252"/>
      <c r="J809" s="252"/>
      <c r="K809" s="252"/>
      <c r="L809" s="251"/>
      <c r="M809" s="251"/>
      <c r="N809" s="251"/>
      <c r="O809" s="251"/>
      <c r="P809" s="251"/>
      <c r="Q809" s="251"/>
      <c r="R809" s="251"/>
      <c r="S809" s="251"/>
      <c r="T809" s="251"/>
      <c r="U809" s="251"/>
      <c r="V809" s="251"/>
      <c r="W809" s="251"/>
      <c r="X809" s="251"/>
      <c r="Y809" s="251"/>
      <c r="Z809" s="251"/>
      <c r="AA809" s="137"/>
      <c r="AB809" s="137"/>
      <c r="AC809" s="137"/>
      <c r="AD809" s="137"/>
      <c r="AE809" s="137"/>
      <c r="AF809" s="137"/>
      <c r="AG809" s="137"/>
    </row>
    <row r="810" ht="30.0" customHeight="1">
      <c r="A810" s="248"/>
      <c r="B810" s="249"/>
      <c r="C810" s="248"/>
      <c r="D810" s="249"/>
      <c r="E810" s="251"/>
      <c r="F810" s="249"/>
      <c r="G810" s="250"/>
      <c r="H810" s="251"/>
      <c r="I810" s="252"/>
      <c r="J810" s="252"/>
      <c r="K810" s="252"/>
      <c r="L810" s="251"/>
      <c r="M810" s="251"/>
      <c r="N810" s="251"/>
      <c r="O810" s="251"/>
      <c r="P810" s="251"/>
      <c r="Q810" s="251"/>
      <c r="R810" s="251"/>
      <c r="S810" s="251"/>
      <c r="T810" s="251"/>
      <c r="U810" s="251"/>
      <c r="V810" s="251"/>
      <c r="W810" s="251"/>
      <c r="X810" s="251"/>
      <c r="Y810" s="251"/>
      <c r="Z810" s="251"/>
      <c r="AA810" s="137"/>
      <c r="AB810" s="137"/>
      <c r="AC810" s="137"/>
      <c r="AD810" s="137"/>
      <c r="AE810" s="137"/>
      <c r="AF810" s="137"/>
      <c r="AG810" s="137"/>
    </row>
    <row r="811" ht="30.0" customHeight="1">
      <c r="A811" s="248"/>
      <c r="B811" s="249"/>
      <c r="C811" s="248"/>
      <c r="D811" s="249"/>
      <c r="E811" s="249"/>
      <c r="F811" s="249"/>
      <c r="G811" s="250"/>
      <c r="H811" s="251"/>
      <c r="I811" s="252"/>
      <c r="J811" s="252"/>
      <c r="K811" s="252"/>
      <c r="L811" s="251"/>
      <c r="M811" s="251"/>
      <c r="N811" s="251"/>
      <c r="O811" s="251"/>
      <c r="P811" s="251"/>
      <c r="Q811" s="251"/>
      <c r="R811" s="251"/>
      <c r="S811" s="251"/>
      <c r="T811" s="251"/>
      <c r="U811" s="251"/>
      <c r="V811" s="251"/>
      <c r="W811" s="251"/>
      <c r="X811" s="251"/>
      <c r="Y811" s="251"/>
      <c r="Z811" s="251"/>
      <c r="AA811" s="137"/>
      <c r="AB811" s="137"/>
      <c r="AC811" s="137"/>
      <c r="AD811" s="137"/>
      <c r="AE811" s="137"/>
      <c r="AF811" s="137"/>
      <c r="AG811" s="137"/>
    </row>
    <row r="812" ht="30.0" customHeight="1">
      <c r="A812" s="248"/>
      <c r="B812" s="249"/>
      <c r="C812" s="248"/>
      <c r="D812" s="249"/>
      <c r="E812" s="249"/>
      <c r="F812" s="249"/>
      <c r="G812" s="250"/>
      <c r="H812" s="251"/>
      <c r="I812" s="252"/>
      <c r="J812" s="252"/>
      <c r="K812" s="252"/>
      <c r="L812" s="251"/>
      <c r="M812" s="251"/>
      <c r="N812" s="251"/>
      <c r="O812" s="251"/>
      <c r="P812" s="251"/>
      <c r="Q812" s="251"/>
      <c r="R812" s="251"/>
      <c r="S812" s="251"/>
      <c r="T812" s="251"/>
      <c r="U812" s="251"/>
      <c r="V812" s="251"/>
      <c r="W812" s="251"/>
      <c r="X812" s="251"/>
      <c r="Y812" s="251"/>
      <c r="Z812" s="251"/>
      <c r="AA812" s="137"/>
      <c r="AB812" s="137"/>
      <c r="AC812" s="137"/>
      <c r="AD812" s="137"/>
      <c r="AE812" s="137"/>
      <c r="AF812" s="137"/>
      <c r="AG812" s="137"/>
    </row>
    <row r="813" ht="30.0" customHeight="1">
      <c r="A813" s="248"/>
      <c r="B813" s="249"/>
      <c r="C813" s="248"/>
      <c r="D813" s="249"/>
      <c r="E813" s="249"/>
      <c r="F813" s="249"/>
      <c r="G813" s="250"/>
      <c r="H813" s="251"/>
      <c r="I813" s="252"/>
      <c r="J813" s="252"/>
      <c r="K813" s="252"/>
      <c r="L813" s="251"/>
      <c r="M813" s="251"/>
      <c r="N813" s="251"/>
      <c r="O813" s="251"/>
      <c r="P813" s="251"/>
      <c r="Q813" s="251"/>
      <c r="R813" s="251"/>
      <c r="S813" s="251"/>
      <c r="T813" s="251"/>
      <c r="U813" s="251"/>
      <c r="V813" s="251"/>
      <c r="W813" s="251"/>
      <c r="X813" s="251"/>
      <c r="Y813" s="251"/>
      <c r="Z813" s="251"/>
      <c r="AA813" s="137"/>
      <c r="AB813" s="137"/>
      <c r="AC813" s="137"/>
      <c r="AD813" s="137"/>
      <c r="AE813" s="137"/>
      <c r="AF813" s="137"/>
      <c r="AG813" s="137"/>
    </row>
    <row r="814" ht="30.0" customHeight="1">
      <c r="A814" s="248"/>
      <c r="B814" s="249"/>
      <c r="C814" s="248"/>
      <c r="D814" s="249"/>
      <c r="E814" s="249"/>
      <c r="F814" s="249"/>
      <c r="G814" s="249"/>
      <c r="H814" s="251"/>
      <c r="I814" s="252"/>
      <c r="J814" s="252"/>
      <c r="K814" s="252"/>
      <c r="L814" s="251"/>
      <c r="M814" s="251"/>
      <c r="N814" s="251"/>
      <c r="O814" s="251"/>
      <c r="P814" s="251"/>
      <c r="Q814" s="251"/>
      <c r="R814" s="251"/>
      <c r="S814" s="251"/>
      <c r="T814" s="251"/>
      <c r="U814" s="251"/>
      <c r="V814" s="251"/>
      <c r="W814" s="251"/>
      <c r="X814" s="251"/>
      <c r="Y814" s="251"/>
      <c r="Z814" s="251"/>
      <c r="AA814" s="137"/>
      <c r="AB814" s="137"/>
      <c r="AC814" s="137"/>
      <c r="AD814" s="137"/>
      <c r="AE814" s="137"/>
      <c r="AF814" s="137"/>
      <c r="AG814" s="137"/>
    </row>
    <row r="815" ht="30.0" customHeight="1">
      <c r="A815" s="248"/>
      <c r="B815" s="249"/>
      <c r="C815" s="248"/>
      <c r="D815" s="249"/>
      <c r="E815" s="249"/>
      <c r="F815" s="249"/>
      <c r="G815" s="250"/>
      <c r="H815" s="251"/>
      <c r="I815" s="252"/>
      <c r="J815" s="252"/>
      <c r="K815" s="252"/>
      <c r="L815" s="251"/>
      <c r="M815" s="251"/>
      <c r="N815" s="251"/>
      <c r="O815" s="251"/>
      <c r="P815" s="251"/>
      <c r="Q815" s="251"/>
      <c r="R815" s="251"/>
      <c r="S815" s="251"/>
      <c r="T815" s="251"/>
      <c r="U815" s="251"/>
      <c r="V815" s="251"/>
      <c r="W815" s="251"/>
      <c r="X815" s="251"/>
      <c r="Y815" s="251"/>
      <c r="Z815" s="251"/>
      <c r="AA815" s="137"/>
      <c r="AB815" s="137"/>
      <c r="AC815" s="137"/>
      <c r="AD815" s="137"/>
      <c r="AE815" s="137"/>
      <c r="AF815" s="137"/>
      <c r="AG815" s="137"/>
    </row>
    <row r="816" ht="30.0" customHeight="1">
      <c r="A816" s="249"/>
      <c r="B816" s="249"/>
      <c r="C816" s="248"/>
      <c r="D816" s="249"/>
      <c r="E816" s="251"/>
      <c r="F816" s="249"/>
      <c r="G816" s="249"/>
      <c r="H816" s="251"/>
      <c r="I816" s="252"/>
      <c r="J816" s="252"/>
      <c r="K816" s="252"/>
      <c r="L816" s="251"/>
      <c r="M816" s="251"/>
      <c r="N816" s="251"/>
      <c r="O816" s="251"/>
      <c r="P816" s="251"/>
      <c r="Q816" s="251"/>
      <c r="R816" s="251"/>
      <c r="S816" s="251"/>
      <c r="T816" s="251"/>
      <c r="U816" s="251"/>
      <c r="V816" s="251"/>
      <c r="W816" s="251"/>
      <c r="X816" s="251"/>
      <c r="Y816" s="251"/>
      <c r="Z816" s="251"/>
      <c r="AA816" s="137"/>
      <c r="AB816" s="137"/>
      <c r="AC816" s="137"/>
      <c r="AD816" s="137"/>
      <c r="AE816" s="137"/>
      <c r="AF816" s="137"/>
      <c r="AG816" s="137"/>
    </row>
    <row r="817" ht="30.0" customHeight="1">
      <c r="A817" s="248"/>
      <c r="B817" s="249"/>
      <c r="C817" s="248"/>
      <c r="D817" s="249"/>
      <c r="E817" s="249"/>
      <c r="F817" s="249"/>
      <c r="G817" s="250"/>
      <c r="H817" s="251"/>
      <c r="I817" s="252"/>
      <c r="J817" s="252"/>
      <c r="K817" s="252"/>
      <c r="L817" s="251"/>
      <c r="M817" s="251"/>
      <c r="N817" s="251"/>
      <c r="O817" s="251"/>
      <c r="P817" s="251"/>
      <c r="Q817" s="251"/>
      <c r="R817" s="251"/>
      <c r="S817" s="251"/>
      <c r="T817" s="251"/>
      <c r="U817" s="251"/>
      <c r="V817" s="251"/>
      <c r="W817" s="251"/>
      <c r="X817" s="251"/>
      <c r="Y817" s="251"/>
      <c r="Z817" s="251"/>
      <c r="AA817" s="137"/>
      <c r="AB817" s="137"/>
      <c r="AC817" s="137"/>
      <c r="AD817" s="137"/>
      <c r="AE817" s="137"/>
      <c r="AF817" s="137"/>
      <c r="AG817" s="137"/>
    </row>
    <row r="818" ht="30.0" customHeight="1">
      <c r="A818" s="248"/>
      <c r="B818" s="249"/>
      <c r="C818" s="248"/>
      <c r="D818" s="249"/>
      <c r="E818" s="249"/>
      <c r="F818" s="249"/>
      <c r="G818" s="250"/>
      <c r="H818" s="251"/>
      <c r="I818" s="252"/>
      <c r="J818" s="252"/>
      <c r="K818" s="252"/>
      <c r="L818" s="251"/>
      <c r="M818" s="251"/>
      <c r="N818" s="251"/>
      <c r="O818" s="251"/>
      <c r="P818" s="251"/>
      <c r="Q818" s="251"/>
      <c r="R818" s="251"/>
      <c r="S818" s="251"/>
      <c r="T818" s="251"/>
      <c r="U818" s="251"/>
      <c r="V818" s="251"/>
      <c r="W818" s="251"/>
      <c r="X818" s="251"/>
      <c r="Y818" s="251"/>
      <c r="Z818" s="251"/>
      <c r="AA818" s="137"/>
      <c r="AB818" s="137"/>
      <c r="AC818" s="137"/>
      <c r="AD818" s="137"/>
      <c r="AE818" s="137"/>
      <c r="AF818" s="137"/>
      <c r="AG818" s="137"/>
    </row>
    <row r="819" ht="30.0" customHeight="1">
      <c r="A819" s="248"/>
      <c r="B819" s="249"/>
      <c r="C819" s="248"/>
      <c r="D819" s="249"/>
      <c r="E819" s="249"/>
      <c r="F819" s="249"/>
      <c r="G819" s="250"/>
      <c r="H819" s="251"/>
      <c r="I819" s="252"/>
      <c r="J819" s="252"/>
      <c r="K819" s="252"/>
      <c r="L819" s="251"/>
      <c r="M819" s="251"/>
      <c r="N819" s="251"/>
      <c r="O819" s="251"/>
      <c r="P819" s="251"/>
      <c r="Q819" s="251"/>
      <c r="R819" s="251"/>
      <c r="S819" s="251"/>
      <c r="T819" s="251"/>
      <c r="U819" s="251"/>
      <c r="V819" s="251"/>
      <c r="W819" s="251"/>
      <c r="X819" s="251"/>
      <c r="Y819" s="251"/>
      <c r="Z819" s="251"/>
      <c r="AA819" s="137"/>
      <c r="AB819" s="137"/>
      <c r="AC819" s="137"/>
      <c r="AD819" s="137"/>
      <c r="AE819" s="137"/>
      <c r="AF819" s="137"/>
      <c r="AG819" s="137"/>
    </row>
    <row r="820" ht="30.0" customHeight="1">
      <c r="A820" s="248"/>
      <c r="B820" s="249"/>
      <c r="C820" s="248"/>
      <c r="D820" s="249"/>
      <c r="E820" s="249"/>
      <c r="F820" s="249"/>
      <c r="G820" s="250"/>
      <c r="H820" s="251"/>
      <c r="I820" s="252"/>
      <c r="J820" s="252"/>
      <c r="K820" s="252"/>
      <c r="L820" s="251"/>
      <c r="M820" s="251"/>
      <c r="N820" s="251"/>
      <c r="O820" s="251"/>
      <c r="P820" s="251"/>
      <c r="Q820" s="251"/>
      <c r="R820" s="251"/>
      <c r="S820" s="251"/>
      <c r="T820" s="251"/>
      <c r="U820" s="251"/>
      <c r="V820" s="251"/>
      <c r="W820" s="251"/>
      <c r="X820" s="251"/>
      <c r="Y820" s="251"/>
      <c r="Z820" s="251"/>
      <c r="AA820" s="137"/>
      <c r="AB820" s="137"/>
      <c r="AC820" s="137"/>
      <c r="AD820" s="137"/>
      <c r="AE820" s="137"/>
      <c r="AF820" s="137"/>
      <c r="AG820" s="137"/>
    </row>
    <row r="821" ht="30.0" customHeight="1">
      <c r="A821" s="248"/>
      <c r="B821" s="249"/>
      <c r="C821" s="248"/>
      <c r="D821" s="249"/>
      <c r="E821" s="249"/>
      <c r="F821" s="249"/>
      <c r="G821" s="250"/>
      <c r="H821" s="251"/>
      <c r="I821" s="252"/>
      <c r="J821" s="252"/>
      <c r="K821" s="252"/>
      <c r="L821" s="251"/>
      <c r="M821" s="251"/>
      <c r="N821" s="251"/>
      <c r="O821" s="251"/>
      <c r="P821" s="251"/>
      <c r="Q821" s="251"/>
      <c r="R821" s="251"/>
      <c r="S821" s="251"/>
      <c r="T821" s="251"/>
      <c r="U821" s="251"/>
      <c r="V821" s="251"/>
      <c r="W821" s="251"/>
      <c r="X821" s="251"/>
      <c r="Y821" s="251"/>
      <c r="Z821" s="251"/>
      <c r="AA821" s="137"/>
      <c r="AB821" s="137"/>
      <c r="AC821" s="137"/>
      <c r="AD821" s="137"/>
      <c r="AE821" s="137"/>
      <c r="AF821" s="137"/>
      <c r="AG821" s="137"/>
    </row>
    <row r="822" ht="30.0" customHeight="1">
      <c r="A822" s="248"/>
      <c r="B822" s="249"/>
      <c r="C822" s="248"/>
      <c r="D822" s="249"/>
      <c r="E822" s="251"/>
      <c r="F822" s="249"/>
      <c r="G822" s="250"/>
      <c r="H822" s="251"/>
      <c r="I822" s="252"/>
      <c r="J822" s="252"/>
      <c r="K822" s="252"/>
      <c r="L822" s="251"/>
      <c r="M822" s="251"/>
      <c r="N822" s="251"/>
      <c r="O822" s="251"/>
      <c r="P822" s="251"/>
      <c r="Q822" s="251"/>
      <c r="R822" s="251"/>
      <c r="S822" s="251"/>
      <c r="T822" s="251"/>
      <c r="U822" s="251"/>
      <c r="V822" s="251"/>
      <c r="W822" s="251"/>
      <c r="X822" s="251"/>
      <c r="Y822" s="251"/>
      <c r="Z822" s="251"/>
      <c r="AA822" s="137"/>
      <c r="AB822" s="137"/>
      <c r="AC822" s="137"/>
      <c r="AD822" s="137"/>
      <c r="AE822" s="137"/>
      <c r="AF822" s="137"/>
      <c r="AG822" s="137"/>
    </row>
    <row r="823" ht="30.0" customHeight="1">
      <c r="A823" s="248"/>
      <c r="B823" s="249"/>
      <c r="C823" s="248"/>
      <c r="D823" s="249"/>
      <c r="E823" s="249"/>
      <c r="F823" s="249"/>
      <c r="G823" s="250"/>
      <c r="H823" s="251"/>
      <c r="I823" s="252"/>
      <c r="J823" s="252"/>
      <c r="K823" s="252"/>
      <c r="L823" s="251"/>
      <c r="M823" s="251"/>
      <c r="N823" s="251"/>
      <c r="O823" s="251"/>
      <c r="P823" s="251"/>
      <c r="Q823" s="251"/>
      <c r="R823" s="251"/>
      <c r="S823" s="251"/>
      <c r="T823" s="251"/>
      <c r="U823" s="251"/>
      <c r="V823" s="251"/>
      <c r="W823" s="251"/>
      <c r="X823" s="251"/>
      <c r="Y823" s="251"/>
      <c r="Z823" s="251"/>
      <c r="AA823" s="137"/>
      <c r="AB823" s="137"/>
      <c r="AC823" s="137"/>
      <c r="AD823" s="137"/>
      <c r="AE823" s="137"/>
      <c r="AF823" s="137"/>
      <c r="AG823" s="137"/>
    </row>
    <row r="824" ht="30.0" customHeight="1">
      <c r="A824" s="248"/>
      <c r="B824" s="249"/>
      <c r="C824" s="248"/>
      <c r="D824" s="249"/>
      <c r="E824" s="251"/>
      <c r="F824" s="249"/>
      <c r="G824" s="250"/>
      <c r="H824" s="251"/>
      <c r="I824" s="252"/>
      <c r="J824" s="252"/>
      <c r="K824" s="252"/>
      <c r="L824" s="251"/>
      <c r="M824" s="251"/>
      <c r="N824" s="251"/>
      <c r="O824" s="251"/>
      <c r="P824" s="251"/>
      <c r="Q824" s="251"/>
      <c r="R824" s="251"/>
      <c r="S824" s="251"/>
      <c r="T824" s="251"/>
      <c r="U824" s="251"/>
      <c r="V824" s="251"/>
      <c r="W824" s="251"/>
      <c r="X824" s="251"/>
      <c r="Y824" s="251"/>
      <c r="Z824" s="251"/>
      <c r="AA824" s="137"/>
      <c r="AB824" s="137"/>
      <c r="AC824" s="137"/>
      <c r="AD824" s="137"/>
      <c r="AE824" s="137"/>
      <c r="AF824" s="137"/>
      <c r="AG824" s="137"/>
    </row>
    <row r="825" ht="30.0" customHeight="1">
      <c r="A825" s="248"/>
      <c r="B825" s="249"/>
      <c r="C825" s="248"/>
      <c r="D825" s="249"/>
      <c r="E825" s="249"/>
      <c r="F825" s="249"/>
      <c r="G825" s="250"/>
      <c r="H825" s="251"/>
      <c r="I825" s="252"/>
      <c r="J825" s="252"/>
      <c r="K825" s="252"/>
      <c r="L825" s="251"/>
      <c r="M825" s="251"/>
      <c r="N825" s="251"/>
      <c r="O825" s="251"/>
      <c r="P825" s="251"/>
      <c r="Q825" s="251"/>
      <c r="R825" s="251"/>
      <c r="S825" s="251"/>
      <c r="T825" s="251"/>
      <c r="U825" s="251"/>
      <c r="V825" s="251"/>
      <c r="W825" s="251"/>
      <c r="X825" s="251"/>
      <c r="Y825" s="251"/>
      <c r="Z825" s="251"/>
      <c r="AA825" s="137"/>
      <c r="AB825" s="137"/>
      <c r="AC825" s="137"/>
      <c r="AD825" s="137"/>
      <c r="AE825" s="137"/>
      <c r="AF825" s="137"/>
      <c r="AG825" s="137"/>
    </row>
    <row r="826" ht="30.0" customHeight="1">
      <c r="A826" s="248"/>
      <c r="B826" s="249"/>
      <c r="C826" s="248"/>
      <c r="D826" s="249"/>
      <c r="E826" s="249"/>
      <c r="F826" s="249"/>
      <c r="G826" s="249"/>
      <c r="H826" s="251"/>
      <c r="I826" s="252"/>
      <c r="J826" s="252"/>
      <c r="K826" s="252"/>
      <c r="L826" s="251"/>
      <c r="M826" s="251"/>
      <c r="N826" s="251"/>
      <c r="O826" s="251"/>
      <c r="P826" s="251"/>
      <c r="Q826" s="251"/>
      <c r="R826" s="251"/>
      <c r="S826" s="251"/>
      <c r="T826" s="251"/>
      <c r="U826" s="251"/>
      <c r="V826" s="251"/>
      <c r="W826" s="251"/>
      <c r="X826" s="251"/>
      <c r="Y826" s="251"/>
      <c r="Z826" s="251"/>
      <c r="AA826" s="137"/>
      <c r="AB826" s="137"/>
      <c r="AC826" s="137"/>
      <c r="AD826" s="137"/>
      <c r="AE826" s="137"/>
      <c r="AF826" s="137"/>
      <c r="AG826" s="137"/>
    </row>
    <row r="827" ht="30.0" customHeight="1">
      <c r="A827" s="248"/>
      <c r="B827" s="249"/>
      <c r="C827" s="248"/>
      <c r="D827" s="249"/>
      <c r="E827" s="251"/>
      <c r="F827" s="249"/>
      <c r="G827" s="250"/>
      <c r="H827" s="251"/>
      <c r="I827" s="252"/>
      <c r="J827" s="252"/>
      <c r="K827" s="252"/>
      <c r="L827" s="251"/>
      <c r="M827" s="251"/>
      <c r="N827" s="251"/>
      <c r="O827" s="251"/>
      <c r="P827" s="251"/>
      <c r="Q827" s="251"/>
      <c r="R827" s="251"/>
      <c r="S827" s="251"/>
      <c r="T827" s="251"/>
      <c r="U827" s="251"/>
      <c r="V827" s="251"/>
      <c r="W827" s="251"/>
      <c r="X827" s="251"/>
      <c r="Y827" s="251"/>
      <c r="Z827" s="251"/>
      <c r="AA827" s="137"/>
      <c r="AB827" s="137"/>
      <c r="AC827" s="137"/>
      <c r="AD827" s="137"/>
      <c r="AE827" s="137"/>
      <c r="AF827" s="137"/>
      <c r="AG827" s="137"/>
    </row>
    <row r="828" ht="30.0" customHeight="1">
      <c r="A828" s="248"/>
      <c r="B828" s="249"/>
      <c r="C828" s="248"/>
      <c r="D828" s="249"/>
      <c r="E828" s="249"/>
      <c r="F828" s="249"/>
      <c r="G828" s="250"/>
      <c r="H828" s="251"/>
      <c r="I828" s="252"/>
      <c r="J828" s="252"/>
      <c r="K828" s="252"/>
      <c r="L828" s="251"/>
      <c r="M828" s="251"/>
      <c r="N828" s="251"/>
      <c r="O828" s="251"/>
      <c r="P828" s="251"/>
      <c r="Q828" s="251"/>
      <c r="R828" s="251"/>
      <c r="S828" s="251"/>
      <c r="T828" s="251"/>
      <c r="U828" s="251"/>
      <c r="V828" s="251"/>
      <c r="W828" s="251"/>
      <c r="X828" s="251"/>
      <c r="Y828" s="251"/>
      <c r="Z828" s="251"/>
      <c r="AA828" s="137"/>
      <c r="AB828" s="137"/>
      <c r="AC828" s="137"/>
      <c r="AD828" s="137"/>
      <c r="AE828" s="137"/>
      <c r="AF828" s="137"/>
      <c r="AG828" s="137"/>
    </row>
    <row r="829" ht="30.0" customHeight="1">
      <c r="A829" s="248"/>
      <c r="B829" s="249"/>
      <c r="C829" s="248"/>
      <c r="D829" s="249"/>
      <c r="E829" s="249"/>
      <c r="F829" s="249"/>
      <c r="G829" s="250"/>
      <c r="H829" s="251"/>
      <c r="I829" s="252"/>
      <c r="J829" s="252"/>
      <c r="K829" s="252"/>
      <c r="L829" s="251"/>
      <c r="M829" s="251"/>
      <c r="N829" s="251"/>
      <c r="O829" s="251"/>
      <c r="P829" s="251"/>
      <c r="Q829" s="251"/>
      <c r="R829" s="251"/>
      <c r="S829" s="251"/>
      <c r="T829" s="251"/>
      <c r="U829" s="251"/>
      <c r="V829" s="251"/>
      <c r="W829" s="251"/>
      <c r="X829" s="251"/>
      <c r="Y829" s="251"/>
      <c r="Z829" s="251"/>
      <c r="AA829" s="137"/>
      <c r="AB829" s="137"/>
      <c r="AC829" s="137"/>
      <c r="AD829" s="137"/>
      <c r="AE829" s="137"/>
      <c r="AF829" s="137"/>
      <c r="AG829" s="137"/>
    </row>
    <row r="830" ht="30.0" customHeight="1">
      <c r="A830" s="248"/>
      <c r="B830" s="251"/>
      <c r="C830" s="248"/>
      <c r="D830" s="249"/>
      <c r="E830" s="249"/>
      <c r="F830" s="249"/>
      <c r="G830" s="249"/>
      <c r="H830" s="251"/>
      <c r="I830" s="252"/>
      <c r="J830" s="252"/>
      <c r="K830" s="252"/>
      <c r="L830" s="251"/>
      <c r="M830" s="251"/>
      <c r="N830" s="251"/>
      <c r="O830" s="251"/>
      <c r="P830" s="251"/>
      <c r="Q830" s="251"/>
      <c r="R830" s="251"/>
      <c r="S830" s="251"/>
      <c r="T830" s="251"/>
      <c r="U830" s="251"/>
      <c r="V830" s="251"/>
      <c r="W830" s="251"/>
      <c r="X830" s="251"/>
      <c r="Y830" s="251"/>
      <c r="Z830" s="251"/>
      <c r="AA830" s="137"/>
      <c r="AB830" s="137"/>
      <c r="AC830" s="137"/>
      <c r="AD830" s="137"/>
      <c r="AE830" s="137"/>
      <c r="AF830" s="137"/>
      <c r="AG830" s="137"/>
    </row>
    <row r="831" ht="30.0" customHeight="1">
      <c r="A831" s="248"/>
      <c r="B831" s="249"/>
      <c r="C831" s="248"/>
      <c r="D831" s="249"/>
      <c r="E831" s="251"/>
      <c r="F831" s="249"/>
      <c r="G831" s="250"/>
      <c r="H831" s="251"/>
      <c r="I831" s="252"/>
      <c r="J831" s="252"/>
      <c r="K831" s="252"/>
      <c r="L831" s="251"/>
      <c r="M831" s="251"/>
      <c r="N831" s="251"/>
      <c r="O831" s="251"/>
      <c r="P831" s="251"/>
      <c r="Q831" s="251"/>
      <c r="R831" s="251"/>
      <c r="S831" s="251"/>
      <c r="T831" s="251"/>
      <c r="U831" s="251"/>
      <c r="V831" s="251"/>
      <c r="W831" s="251"/>
      <c r="X831" s="251"/>
      <c r="Y831" s="251"/>
      <c r="Z831" s="251"/>
      <c r="AA831" s="137"/>
      <c r="AB831" s="137"/>
      <c r="AC831" s="137"/>
      <c r="AD831" s="137"/>
      <c r="AE831" s="137"/>
      <c r="AF831" s="137"/>
      <c r="AG831" s="137"/>
    </row>
    <row r="832" ht="30.0" customHeight="1">
      <c r="A832" s="248"/>
      <c r="B832" s="249"/>
      <c r="C832" s="248"/>
      <c r="D832" s="249"/>
      <c r="E832" s="249"/>
      <c r="F832" s="249"/>
      <c r="G832" s="250"/>
      <c r="H832" s="251"/>
      <c r="I832" s="252"/>
      <c r="J832" s="252"/>
      <c r="K832" s="252"/>
      <c r="L832" s="251"/>
      <c r="M832" s="251"/>
      <c r="N832" s="251"/>
      <c r="O832" s="251"/>
      <c r="P832" s="251"/>
      <c r="Q832" s="251"/>
      <c r="R832" s="251"/>
      <c r="S832" s="251"/>
      <c r="T832" s="251"/>
      <c r="U832" s="251"/>
      <c r="V832" s="251"/>
      <c r="W832" s="251"/>
      <c r="X832" s="251"/>
      <c r="Y832" s="251"/>
      <c r="Z832" s="251"/>
      <c r="AA832" s="137"/>
      <c r="AB832" s="137"/>
      <c r="AC832" s="137"/>
      <c r="AD832" s="137"/>
      <c r="AE832" s="137"/>
      <c r="AF832" s="137"/>
      <c r="AG832" s="137"/>
    </row>
    <row r="833" ht="30.0" customHeight="1">
      <c r="A833" s="248"/>
      <c r="B833" s="249"/>
      <c r="C833" s="248"/>
      <c r="D833" s="249"/>
      <c r="E833" s="249"/>
      <c r="F833" s="249"/>
      <c r="G833" s="250"/>
      <c r="H833" s="251"/>
      <c r="I833" s="252"/>
      <c r="J833" s="252"/>
      <c r="K833" s="252"/>
      <c r="L833" s="251"/>
      <c r="M833" s="251"/>
      <c r="N833" s="251"/>
      <c r="O833" s="251"/>
      <c r="P833" s="251"/>
      <c r="Q833" s="251"/>
      <c r="R833" s="251"/>
      <c r="S833" s="251"/>
      <c r="T833" s="251"/>
      <c r="U833" s="251"/>
      <c r="V833" s="251"/>
      <c r="W833" s="251"/>
      <c r="X833" s="251"/>
      <c r="Y833" s="251"/>
      <c r="Z833" s="251"/>
      <c r="AA833" s="137"/>
      <c r="AB833" s="137"/>
      <c r="AC833" s="137"/>
      <c r="AD833" s="137"/>
      <c r="AE833" s="137"/>
      <c r="AF833" s="137"/>
      <c r="AG833" s="137"/>
    </row>
    <row r="834" ht="30.0" customHeight="1">
      <c r="A834" s="248"/>
      <c r="B834" s="249"/>
      <c r="C834" s="248"/>
      <c r="D834" s="249"/>
      <c r="E834" s="251"/>
      <c r="F834" s="249"/>
      <c r="G834" s="250"/>
      <c r="H834" s="251"/>
      <c r="I834" s="252"/>
      <c r="J834" s="252"/>
      <c r="K834" s="252"/>
      <c r="L834" s="251"/>
      <c r="M834" s="251"/>
      <c r="N834" s="251"/>
      <c r="O834" s="251"/>
      <c r="P834" s="251"/>
      <c r="Q834" s="251"/>
      <c r="R834" s="251"/>
      <c r="S834" s="251"/>
      <c r="T834" s="251"/>
      <c r="U834" s="251"/>
      <c r="V834" s="251"/>
      <c r="W834" s="251"/>
      <c r="X834" s="251"/>
      <c r="Y834" s="251"/>
      <c r="Z834" s="251"/>
      <c r="AA834" s="137"/>
      <c r="AB834" s="137"/>
      <c r="AC834" s="137"/>
      <c r="AD834" s="137"/>
      <c r="AE834" s="137"/>
      <c r="AF834" s="137"/>
      <c r="AG834" s="137"/>
    </row>
    <row r="835" ht="30.0" customHeight="1">
      <c r="A835" s="248"/>
      <c r="B835" s="249"/>
      <c r="C835" s="248"/>
      <c r="D835" s="249"/>
      <c r="E835" s="249"/>
      <c r="F835" s="249"/>
      <c r="G835" s="249"/>
      <c r="H835" s="251"/>
      <c r="I835" s="252"/>
      <c r="J835" s="252"/>
      <c r="K835" s="252"/>
      <c r="L835" s="251"/>
      <c r="M835" s="251"/>
      <c r="N835" s="251"/>
      <c r="O835" s="251"/>
      <c r="P835" s="251"/>
      <c r="Q835" s="251"/>
      <c r="R835" s="251"/>
      <c r="S835" s="251"/>
      <c r="T835" s="251"/>
      <c r="U835" s="251"/>
      <c r="V835" s="251"/>
      <c r="W835" s="251"/>
      <c r="X835" s="251"/>
      <c r="Y835" s="251"/>
      <c r="Z835" s="251"/>
      <c r="AA835" s="137"/>
      <c r="AB835" s="137"/>
      <c r="AC835" s="137"/>
      <c r="AD835" s="137"/>
      <c r="AE835" s="137"/>
      <c r="AF835" s="137"/>
      <c r="AG835" s="137"/>
    </row>
    <row r="836" ht="30.0" customHeight="1">
      <c r="A836" s="248"/>
      <c r="B836" s="249"/>
      <c r="C836" s="248"/>
      <c r="D836" s="249"/>
      <c r="E836" s="251"/>
      <c r="F836" s="249"/>
      <c r="G836" s="250"/>
      <c r="H836" s="251"/>
      <c r="I836" s="252"/>
      <c r="J836" s="252"/>
      <c r="K836" s="252"/>
      <c r="L836" s="251"/>
      <c r="M836" s="251"/>
      <c r="N836" s="251"/>
      <c r="O836" s="251"/>
      <c r="P836" s="251"/>
      <c r="Q836" s="251"/>
      <c r="R836" s="251"/>
      <c r="S836" s="251"/>
      <c r="T836" s="251"/>
      <c r="U836" s="251"/>
      <c r="V836" s="251"/>
      <c r="W836" s="251"/>
      <c r="X836" s="251"/>
      <c r="Y836" s="251"/>
      <c r="Z836" s="251"/>
      <c r="AA836" s="137"/>
      <c r="AB836" s="137"/>
      <c r="AC836" s="137"/>
      <c r="AD836" s="137"/>
      <c r="AE836" s="137"/>
      <c r="AF836" s="137"/>
      <c r="AG836" s="137"/>
    </row>
    <row r="837" ht="30.0" customHeight="1">
      <c r="A837" s="248"/>
      <c r="B837" s="249"/>
      <c r="C837" s="248"/>
      <c r="D837" s="249"/>
      <c r="E837" s="251"/>
      <c r="F837" s="249"/>
      <c r="G837" s="250"/>
      <c r="H837" s="251"/>
      <c r="I837" s="252"/>
      <c r="J837" s="252"/>
      <c r="K837" s="252"/>
      <c r="L837" s="251"/>
      <c r="M837" s="251"/>
      <c r="N837" s="251"/>
      <c r="O837" s="251"/>
      <c r="P837" s="251"/>
      <c r="Q837" s="251"/>
      <c r="R837" s="251"/>
      <c r="S837" s="251"/>
      <c r="T837" s="251"/>
      <c r="U837" s="251"/>
      <c r="V837" s="251"/>
      <c r="W837" s="251"/>
      <c r="X837" s="251"/>
      <c r="Y837" s="251"/>
      <c r="Z837" s="251"/>
      <c r="AA837" s="137"/>
      <c r="AB837" s="137"/>
      <c r="AC837" s="137"/>
      <c r="AD837" s="137"/>
      <c r="AE837" s="137"/>
      <c r="AF837" s="137"/>
      <c r="AG837" s="137"/>
    </row>
    <row r="838" ht="30.0" customHeight="1">
      <c r="A838" s="248"/>
      <c r="B838" s="249"/>
      <c r="C838" s="248"/>
      <c r="D838" s="249"/>
      <c r="E838" s="249"/>
      <c r="F838" s="249"/>
      <c r="G838" s="250"/>
      <c r="H838" s="251"/>
      <c r="I838" s="252"/>
      <c r="J838" s="252"/>
      <c r="K838" s="252"/>
      <c r="L838" s="251"/>
      <c r="M838" s="251"/>
      <c r="N838" s="251"/>
      <c r="O838" s="251"/>
      <c r="P838" s="251"/>
      <c r="Q838" s="251"/>
      <c r="R838" s="251"/>
      <c r="S838" s="251"/>
      <c r="T838" s="251"/>
      <c r="U838" s="251"/>
      <c r="V838" s="251"/>
      <c r="W838" s="251"/>
      <c r="X838" s="251"/>
      <c r="Y838" s="251"/>
      <c r="Z838" s="251"/>
      <c r="AA838" s="137"/>
      <c r="AB838" s="137"/>
      <c r="AC838" s="137"/>
      <c r="AD838" s="137"/>
      <c r="AE838" s="137"/>
      <c r="AF838" s="137"/>
      <c r="AG838" s="137"/>
    </row>
    <row r="839" ht="30.0" customHeight="1">
      <c r="A839" s="248"/>
      <c r="B839" s="249"/>
      <c r="C839" s="248"/>
      <c r="D839" s="249"/>
      <c r="E839" s="251"/>
      <c r="F839" s="249"/>
      <c r="G839" s="250"/>
      <c r="H839" s="251"/>
      <c r="I839" s="252"/>
      <c r="J839" s="252"/>
      <c r="K839" s="252"/>
      <c r="L839" s="251"/>
      <c r="M839" s="251"/>
      <c r="N839" s="251"/>
      <c r="O839" s="251"/>
      <c r="P839" s="251"/>
      <c r="Q839" s="251"/>
      <c r="R839" s="251"/>
      <c r="S839" s="251"/>
      <c r="T839" s="251"/>
      <c r="U839" s="251"/>
      <c r="V839" s="251"/>
      <c r="W839" s="251"/>
      <c r="X839" s="251"/>
      <c r="Y839" s="251"/>
      <c r="Z839" s="251"/>
      <c r="AA839" s="137"/>
      <c r="AB839" s="137"/>
      <c r="AC839" s="137"/>
      <c r="AD839" s="137"/>
      <c r="AE839" s="137"/>
      <c r="AF839" s="137"/>
      <c r="AG839" s="137"/>
    </row>
    <row r="840" ht="30.0" customHeight="1">
      <c r="A840" s="248"/>
      <c r="B840" s="249"/>
      <c r="C840" s="248"/>
      <c r="D840" s="249"/>
      <c r="E840" s="249"/>
      <c r="F840" s="249"/>
      <c r="G840" s="250"/>
      <c r="H840" s="251"/>
      <c r="I840" s="252"/>
      <c r="J840" s="252"/>
      <c r="K840" s="252"/>
      <c r="L840" s="251"/>
      <c r="M840" s="251"/>
      <c r="N840" s="251"/>
      <c r="O840" s="251"/>
      <c r="P840" s="251"/>
      <c r="Q840" s="251"/>
      <c r="R840" s="251"/>
      <c r="S840" s="251"/>
      <c r="T840" s="251"/>
      <c r="U840" s="251"/>
      <c r="V840" s="251"/>
      <c r="W840" s="251"/>
      <c r="X840" s="251"/>
      <c r="Y840" s="251"/>
      <c r="Z840" s="251"/>
      <c r="AA840" s="137"/>
      <c r="AB840" s="137"/>
      <c r="AC840" s="137"/>
      <c r="AD840" s="137"/>
      <c r="AE840" s="137"/>
      <c r="AF840" s="137"/>
      <c r="AG840" s="137"/>
    </row>
    <row r="841" ht="30.0" customHeight="1">
      <c r="A841" s="248"/>
      <c r="B841" s="249"/>
      <c r="C841" s="248"/>
      <c r="D841" s="249"/>
      <c r="E841" s="249"/>
      <c r="F841" s="249"/>
      <c r="G841" s="250"/>
      <c r="H841" s="251"/>
      <c r="I841" s="252"/>
      <c r="J841" s="252"/>
      <c r="K841" s="252"/>
      <c r="L841" s="251"/>
      <c r="M841" s="251"/>
      <c r="N841" s="251"/>
      <c r="O841" s="251"/>
      <c r="P841" s="251"/>
      <c r="Q841" s="251"/>
      <c r="R841" s="251"/>
      <c r="S841" s="251"/>
      <c r="T841" s="251"/>
      <c r="U841" s="251"/>
      <c r="V841" s="251"/>
      <c r="W841" s="251"/>
      <c r="X841" s="251"/>
      <c r="Y841" s="251"/>
      <c r="Z841" s="251"/>
      <c r="AA841" s="137"/>
      <c r="AB841" s="137"/>
      <c r="AC841" s="137"/>
      <c r="AD841" s="137"/>
      <c r="AE841" s="137"/>
      <c r="AF841" s="137"/>
      <c r="AG841" s="137"/>
    </row>
    <row r="842" ht="30.0" customHeight="1">
      <c r="A842" s="248"/>
      <c r="B842" s="249"/>
      <c r="C842" s="248"/>
      <c r="D842" s="249"/>
      <c r="E842" s="249"/>
      <c r="F842" s="249"/>
      <c r="G842" s="250"/>
      <c r="H842" s="251"/>
      <c r="I842" s="252"/>
      <c r="J842" s="252"/>
      <c r="K842" s="252"/>
      <c r="L842" s="251"/>
      <c r="M842" s="251"/>
      <c r="N842" s="251"/>
      <c r="O842" s="251"/>
      <c r="P842" s="251"/>
      <c r="Q842" s="251"/>
      <c r="R842" s="251"/>
      <c r="S842" s="251"/>
      <c r="T842" s="251"/>
      <c r="U842" s="251"/>
      <c r="V842" s="251"/>
      <c r="W842" s="251"/>
      <c r="X842" s="251"/>
      <c r="Y842" s="251"/>
      <c r="Z842" s="251"/>
      <c r="AA842" s="137"/>
      <c r="AB842" s="137"/>
      <c r="AC842" s="137"/>
      <c r="AD842" s="137"/>
      <c r="AE842" s="137"/>
      <c r="AF842" s="137"/>
      <c r="AG842" s="137"/>
    </row>
    <row r="843" ht="30.0" customHeight="1">
      <c r="A843" s="248"/>
      <c r="B843" s="249"/>
      <c r="C843" s="249"/>
      <c r="D843" s="249"/>
      <c r="E843" s="249"/>
      <c r="F843" s="249"/>
      <c r="G843" s="249"/>
      <c r="H843" s="251"/>
      <c r="I843" s="252"/>
      <c r="J843" s="252"/>
      <c r="K843" s="252"/>
      <c r="L843" s="251"/>
      <c r="M843" s="251"/>
      <c r="N843" s="251"/>
      <c r="O843" s="251"/>
      <c r="P843" s="251"/>
      <c r="Q843" s="251"/>
      <c r="R843" s="251"/>
      <c r="S843" s="251"/>
      <c r="T843" s="251"/>
      <c r="U843" s="251"/>
      <c r="V843" s="251"/>
      <c r="W843" s="251"/>
      <c r="X843" s="251"/>
      <c r="Y843" s="251"/>
      <c r="Z843" s="251"/>
      <c r="AA843" s="137"/>
      <c r="AB843" s="137"/>
      <c r="AC843" s="137"/>
      <c r="AD843" s="137"/>
      <c r="AE843" s="137"/>
      <c r="AF843" s="137"/>
      <c r="AG843" s="137"/>
    </row>
    <row r="844" ht="30.0" customHeight="1">
      <c r="A844" s="248"/>
      <c r="B844" s="249"/>
      <c r="C844" s="248"/>
      <c r="D844" s="249"/>
      <c r="E844" s="249"/>
      <c r="F844" s="249"/>
      <c r="G844" s="250"/>
      <c r="H844" s="251"/>
      <c r="I844" s="252"/>
      <c r="J844" s="252"/>
      <c r="K844" s="252"/>
      <c r="L844" s="251"/>
      <c r="M844" s="251"/>
      <c r="N844" s="251"/>
      <c r="O844" s="251"/>
      <c r="P844" s="251"/>
      <c r="Q844" s="251"/>
      <c r="R844" s="251"/>
      <c r="S844" s="251"/>
      <c r="T844" s="251"/>
      <c r="U844" s="251"/>
      <c r="V844" s="251"/>
      <c r="W844" s="251"/>
      <c r="X844" s="251"/>
      <c r="Y844" s="251"/>
      <c r="Z844" s="251"/>
      <c r="AA844" s="137"/>
      <c r="AB844" s="137"/>
      <c r="AC844" s="137"/>
      <c r="AD844" s="137"/>
      <c r="AE844" s="137"/>
      <c r="AF844" s="137"/>
      <c r="AG844" s="137"/>
    </row>
    <row r="845" ht="30.0" customHeight="1">
      <c r="A845" s="248"/>
      <c r="B845" s="249"/>
      <c r="C845" s="248"/>
      <c r="D845" s="249"/>
      <c r="E845" s="249"/>
      <c r="F845" s="249"/>
      <c r="G845" s="250"/>
      <c r="H845" s="251"/>
      <c r="I845" s="252"/>
      <c r="J845" s="252"/>
      <c r="K845" s="252"/>
      <c r="L845" s="251"/>
      <c r="M845" s="251"/>
      <c r="N845" s="251"/>
      <c r="O845" s="251"/>
      <c r="P845" s="251"/>
      <c r="Q845" s="251"/>
      <c r="R845" s="251"/>
      <c r="S845" s="251"/>
      <c r="T845" s="251"/>
      <c r="U845" s="251"/>
      <c r="V845" s="251"/>
      <c r="W845" s="251"/>
      <c r="X845" s="251"/>
      <c r="Y845" s="251"/>
      <c r="Z845" s="251"/>
      <c r="AA845" s="137"/>
      <c r="AB845" s="137"/>
      <c r="AC845" s="137"/>
      <c r="AD845" s="137"/>
      <c r="AE845" s="137"/>
      <c r="AF845" s="137"/>
      <c r="AG845" s="137"/>
    </row>
    <row r="846" ht="30.0" customHeight="1">
      <c r="A846" s="248"/>
      <c r="B846" s="249"/>
      <c r="C846" s="248"/>
      <c r="D846" s="249"/>
      <c r="E846" s="249"/>
      <c r="F846" s="249"/>
      <c r="G846" s="250"/>
      <c r="H846" s="251"/>
      <c r="I846" s="252"/>
      <c r="J846" s="252"/>
      <c r="K846" s="252"/>
      <c r="L846" s="251"/>
      <c r="M846" s="251"/>
      <c r="N846" s="251"/>
      <c r="O846" s="251"/>
      <c r="P846" s="251"/>
      <c r="Q846" s="251"/>
      <c r="R846" s="251"/>
      <c r="S846" s="251"/>
      <c r="T846" s="251"/>
      <c r="U846" s="251"/>
      <c r="V846" s="251"/>
      <c r="W846" s="251"/>
      <c r="X846" s="251"/>
      <c r="Y846" s="251"/>
      <c r="Z846" s="251"/>
      <c r="AA846" s="137"/>
      <c r="AB846" s="137"/>
      <c r="AC846" s="137"/>
      <c r="AD846" s="137"/>
      <c r="AE846" s="137"/>
      <c r="AF846" s="137"/>
      <c r="AG846" s="137"/>
    </row>
    <row r="847" ht="30.0" customHeight="1">
      <c r="A847" s="248"/>
      <c r="B847" s="249"/>
      <c r="C847" s="248"/>
      <c r="D847" s="249"/>
      <c r="E847" s="249"/>
      <c r="F847" s="249"/>
      <c r="G847" s="250"/>
      <c r="H847" s="251"/>
      <c r="I847" s="252"/>
      <c r="J847" s="252"/>
      <c r="K847" s="252"/>
      <c r="L847" s="251"/>
      <c r="M847" s="251"/>
      <c r="N847" s="251"/>
      <c r="O847" s="251"/>
      <c r="P847" s="251"/>
      <c r="Q847" s="251"/>
      <c r="R847" s="251"/>
      <c r="S847" s="251"/>
      <c r="T847" s="251"/>
      <c r="U847" s="251"/>
      <c r="V847" s="251"/>
      <c r="W847" s="251"/>
      <c r="X847" s="251"/>
      <c r="Y847" s="251"/>
      <c r="Z847" s="251"/>
      <c r="AA847" s="137"/>
      <c r="AB847" s="137"/>
      <c r="AC847" s="137"/>
      <c r="AD847" s="137"/>
      <c r="AE847" s="137"/>
      <c r="AF847" s="137"/>
      <c r="AG847" s="137"/>
    </row>
    <row r="848" ht="30.0" customHeight="1">
      <c r="A848" s="248"/>
      <c r="B848" s="249"/>
      <c r="C848" s="249"/>
      <c r="D848" s="249"/>
      <c r="E848" s="249"/>
      <c r="F848" s="249"/>
      <c r="G848" s="250"/>
      <c r="H848" s="251"/>
      <c r="I848" s="252"/>
      <c r="J848" s="252"/>
      <c r="K848" s="252"/>
      <c r="L848" s="251"/>
      <c r="M848" s="251"/>
      <c r="N848" s="251"/>
      <c r="O848" s="251"/>
      <c r="P848" s="251"/>
      <c r="Q848" s="251"/>
      <c r="R848" s="251"/>
      <c r="S848" s="251"/>
      <c r="T848" s="251"/>
      <c r="U848" s="251"/>
      <c r="V848" s="251"/>
      <c r="W848" s="251"/>
      <c r="X848" s="251"/>
      <c r="Y848" s="251"/>
      <c r="Z848" s="251"/>
      <c r="AA848" s="137"/>
      <c r="AB848" s="137"/>
      <c r="AC848" s="137"/>
      <c r="AD848" s="137"/>
      <c r="AE848" s="137"/>
      <c r="AF848" s="137"/>
      <c r="AG848" s="137"/>
    </row>
    <row r="849" ht="30.0" customHeight="1">
      <c r="A849" s="248"/>
      <c r="B849" s="249"/>
      <c r="C849" s="248"/>
      <c r="D849" s="249"/>
      <c r="E849" s="249"/>
      <c r="F849" s="249"/>
      <c r="G849" s="250"/>
      <c r="H849" s="251"/>
      <c r="I849" s="252"/>
      <c r="J849" s="252"/>
      <c r="K849" s="252"/>
      <c r="L849" s="251"/>
      <c r="M849" s="251"/>
      <c r="N849" s="251"/>
      <c r="O849" s="251"/>
      <c r="P849" s="251"/>
      <c r="Q849" s="251"/>
      <c r="R849" s="251"/>
      <c r="S849" s="251"/>
      <c r="T849" s="251"/>
      <c r="U849" s="251"/>
      <c r="V849" s="251"/>
      <c r="W849" s="251"/>
      <c r="X849" s="251"/>
      <c r="Y849" s="251"/>
      <c r="Z849" s="251"/>
      <c r="AA849" s="137"/>
      <c r="AB849" s="137"/>
      <c r="AC849" s="137"/>
      <c r="AD849" s="137"/>
      <c r="AE849" s="137"/>
      <c r="AF849" s="137"/>
      <c r="AG849" s="137"/>
    </row>
    <row r="850" ht="30.0" customHeight="1">
      <c r="A850" s="248"/>
      <c r="B850" s="249"/>
      <c r="C850" s="248"/>
      <c r="D850" s="249"/>
      <c r="E850" s="251"/>
      <c r="F850" s="249"/>
      <c r="G850" s="250"/>
      <c r="H850" s="251"/>
      <c r="I850" s="252"/>
      <c r="J850" s="252"/>
      <c r="K850" s="252"/>
      <c r="L850" s="251"/>
      <c r="M850" s="251"/>
      <c r="N850" s="251"/>
      <c r="O850" s="251"/>
      <c r="P850" s="251"/>
      <c r="Q850" s="251"/>
      <c r="R850" s="251"/>
      <c r="S850" s="251"/>
      <c r="T850" s="251"/>
      <c r="U850" s="251"/>
      <c r="V850" s="251"/>
      <c r="W850" s="251"/>
      <c r="X850" s="251"/>
      <c r="Y850" s="251"/>
      <c r="Z850" s="251"/>
      <c r="AA850" s="137"/>
      <c r="AB850" s="137"/>
      <c r="AC850" s="137"/>
      <c r="AD850" s="137"/>
      <c r="AE850" s="137"/>
      <c r="AF850" s="137"/>
      <c r="AG850" s="137"/>
    </row>
    <row r="851" ht="30.0" customHeight="1">
      <c r="A851" s="248"/>
      <c r="B851" s="249"/>
      <c r="C851" s="248"/>
      <c r="D851" s="249"/>
      <c r="E851" s="249"/>
      <c r="F851" s="249"/>
      <c r="G851" s="250"/>
      <c r="H851" s="251"/>
      <c r="I851" s="252"/>
      <c r="J851" s="252"/>
      <c r="K851" s="252"/>
      <c r="L851" s="251"/>
      <c r="M851" s="251"/>
      <c r="N851" s="251"/>
      <c r="O851" s="251"/>
      <c r="P851" s="251"/>
      <c r="Q851" s="251"/>
      <c r="R851" s="251"/>
      <c r="S851" s="251"/>
      <c r="T851" s="251"/>
      <c r="U851" s="251"/>
      <c r="V851" s="251"/>
      <c r="W851" s="251"/>
      <c r="X851" s="251"/>
      <c r="Y851" s="251"/>
      <c r="Z851" s="251"/>
      <c r="AA851" s="137"/>
      <c r="AB851" s="137"/>
      <c r="AC851" s="137"/>
      <c r="AD851" s="137"/>
      <c r="AE851" s="137"/>
      <c r="AF851" s="137"/>
      <c r="AG851" s="137"/>
    </row>
    <row r="852" ht="30.0" customHeight="1">
      <c r="A852" s="248"/>
      <c r="B852" s="249"/>
      <c r="C852" s="248"/>
      <c r="D852" s="249"/>
      <c r="E852" s="249"/>
      <c r="F852" s="249"/>
      <c r="G852" s="250"/>
      <c r="H852" s="251"/>
      <c r="I852" s="252"/>
      <c r="J852" s="252"/>
      <c r="K852" s="252"/>
      <c r="L852" s="251"/>
      <c r="M852" s="251"/>
      <c r="N852" s="251"/>
      <c r="O852" s="251"/>
      <c r="P852" s="251"/>
      <c r="Q852" s="251"/>
      <c r="R852" s="251"/>
      <c r="S852" s="251"/>
      <c r="T852" s="251"/>
      <c r="U852" s="251"/>
      <c r="V852" s="251"/>
      <c r="W852" s="251"/>
      <c r="X852" s="251"/>
      <c r="Y852" s="251"/>
      <c r="Z852" s="251"/>
      <c r="AA852" s="137"/>
      <c r="AB852" s="137"/>
      <c r="AC852" s="137"/>
      <c r="AD852" s="137"/>
      <c r="AE852" s="137"/>
      <c r="AF852" s="137"/>
      <c r="AG852" s="137"/>
    </row>
    <row r="853" ht="30.0" customHeight="1">
      <c r="A853" s="248"/>
      <c r="B853" s="249"/>
      <c r="C853" s="248"/>
      <c r="D853" s="249"/>
      <c r="E853" s="249"/>
      <c r="F853" s="249"/>
      <c r="G853" s="250"/>
      <c r="H853" s="251"/>
      <c r="I853" s="252"/>
      <c r="J853" s="252"/>
      <c r="K853" s="252"/>
      <c r="L853" s="251"/>
      <c r="M853" s="251"/>
      <c r="N853" s="251"/>
      <c r="O853" s="251"/>
      <c r="P853" s="251"/>
      <c r="Q853" s="251"/>
      <c r="R853" s="251"/>
      <c r="S853" s="251"/>
      <c r="T853" s="251"/>
      <c r="U853" s="251"/>
      <c r="V853" s="251"/>
      <c r="W853" s="251"/>
      <c r="X853" s="251"/>
      <c r="Y853" s="251"/>
      <c r="Z853" s="251"/>
      <c r="AA853" s="137"/>
      <c r="AB853" s="137"/>
      <c r="AC853" s="137"/>
      <c r="AD853" s="137"/>
      <c r="AE853" s="137"/>
      <c r="AF853" s="137"/>
      <c r="AG853" s="137"/>
    </row>
    <row r="854" ht="30.0" customHeight="1">
      <c r="A854" s="248"/>
      <c r="B854" s="249"/>
      <c r="C854" s="248"/>
      <c r="D854" s="249"/>
      <c r="E854" s="249"/>
      <c r="F854" s="249"/>
      <c r="G854" s="250"/>
      <c r="H854" s="251"/>
      <c r="I854" s="252"/>
      <c r="J854" s="252"/>
      <c r="K854" s="252"/>
      <c r="L854" s="251"/>
      <c r="M854" s="251"/>
      <c r="N854" s="251"/>
      <c r="O854" s="251"/>
      <c r="P854" s="251"/>
      <c r="Q854" s="251"/>
      <c r="R854" s="251"/>
      <c r="S854" s="251"/>
      <c r="T854" s="251"/>
      <c r="U854" s="251"/>
      <c r="V854" s="251"/>
      <c r="W854" s="251"/>
      <c r="X854" s="251"/>
      <c r="Y854" s="251"/>
      <c r="Z854" s="251"/>
      <c r="AA854" s="137"/>
      <c r="AB854" s="137"/>
      <c r="AC854" s="137"/>
      <c r="AD854" s="137"/>
      <c r="AE854" s="137"/>
      <c r="AF854" s="137"/>
      <c r="AG854" s="137"/>
    </row>
    <row r="855" ht="30.0" customHeight="1">
      <c r="A855" s="248"/>
      <c r="B855" s="249"/>
      <c r="C855" s="248"/>
      <c r="D855" s="249"/>
      <c r="E855" s="251"/>
      <c r="F855" s="249"/>
      <c r="G855" s="250"/>
      <c r="H855" s="251"/>
      <c r="I855" s="252"/>
      <c r="J855" s="252"/>
      <c r="K855" s="252"/>
      <c r="L855" s="251"/>
      <c r="M855" s="251"/>
      <c r="N855" s="251"/>
      <c r="O855" s="251"/>
      <c r="P855" s="251"/>
      <c r="Q855" s="251"/>
      <c r="R855" s="251"/>
      <c r="S855" s="251"/>
      <c r="T855" s="251"/>
      <c r="U855" s="251"/>
      <c r="V855" s="251"/>
      <c r="W855" s="251"/>
      <c r="X855" s="251"/>
      <c r="Y855" s="251"/>
      <c r="Z855" s="251"/>
      <c r="AA855" s="137"/>
      <c r="AB855" s="137"/>
      <c r="AC855" s="137"/>
      <c r="AD855" s="137"/>
      <c r="AE855" s="137"/>
      <c r="AF855" s="137"/>
      <c r="AG855" s="137"/>
    </row>
    <row r="856" ht="30.0" customHeight="1">
      <c r="A856" s="248"/>
      <c r="B856" s="249"/>
      <c r="C856" s="248"/>
      <c r="D856" s="249"/>
      <c r="E856" s="249"/>
      <c r="F856" s="249"/>
      <c r="G856" s="250"/>
      <c r="H856" s="251"/>
      <c r="I856" s="252"/>
      <c r="J856" s="252"/>
      <c r="K856" s="252"/>
      <c r="L856" s="251"/>
      <c r="M856" s="251"/>
      <c r="N856" s="251"/>
      <c r="O856" s="251"/>
      <c r="P856" s="251"/>
      <c r="Q856" s="251"/>
      <c r="R856" s="251"/>
      <c r="S856" s="251"/>
      <c r="T856" s="251"/>
      <c r="U856" s="251"/>
      <c r="V856" s="251"/>
      <c r="W856" s="251"/>
      <c r="X856" s="251"/>
      <c r="Y856" s="251"/>
      <c r="Z856" s="251"/>
      <c r="AA856" s="137"/>
      <c r="AB856" s="137"/>
      <c r="AC856" s="137"/>
      <c r="AD856" s="137"/>
      <c r="AE856" s="137"/>
      <c r="AF856" s="137"/>
      <c r="AG856" s="137"/>
    </row>
    <row r="857" ht="30.0" customHeight="1">
      <c r="A857" s="248"/>
      <c r="B857" s="249"/>
      <c r="C857" s="248"/>
      <c r="D857" s="249"/>
      <c r="E857" s="249"/>
      <c r="F857" s="249"/>
      <c r="G857" s="250"/>
      <c r="H857" s="251"/>
      <c r="I857" s="252"/>
      <c r="J857" s="252"/>
      <c r="K857" s="252"/>
      <c r="L857" s="251"/>
      <c r="M857" s="251"/>
      <c r="N857" s="251"/>
      <c r="O857" s="251"/>
      <c r="P857" s="251"/>
      <c r="Q857" s="251"/>
      <c r="R857" s="251"/>
      <c r="S857" s="251"/>
      <c r="T857" s="251"/>
      <c r="U857" s="251"/>
      <c r="V857" s="251"/>
      <c r="W857" s="251"/>
      <c r="X857" s="251"/>
      <c r="Y857" s="251"/>
      <c r="Z857" s="251"/>
      <c r="AA857" s="137"/>
      <c r="AB857" s="137"/>
      <c r="AC857" s="137"/>
      <c r="AD857" s="137"/>
      <c r="AE857" s="137"/>
      <c r="AF857" s="137"/>
      <c r="AG857" s="137"/>
    </row>
    <row r="858" ht="30.0" customHeight="1">
      <c r="A858" s="248"/>
      <c r="B858" s="249"/>
      <c r="C858" s="248"/>
      <c r="D858" s="249"/>
      <c r="E858" s="249"/>
      <c r="F858" s="249"/>
      <c r="G858" s="250"/>
      <c r="H858" s="251"/>
      <c r="I858" s="252"/>
      <c r="J858" s="252"/>
      <c r="K858" s="252"/>
      <c r="L858" s="251"/>
      <c r="M858" s="251"/>
      <c r="N858" s="251"/>
      <c r="O858" s="251"/>
      <c r="P858" s="251"/>
      <c r="Q858" s="251"/>
      <c r="R858" s="251"/>
      <c r="S858" s="251"/>
      <c r="T858" s="251"/>
      <c r="U858" s="251"/>
      <c r="V858" s="251"/>
      <c r="W858" s="251"/>
      <c r="X858" s="251"/>
      <c r="Y858" s="251"/>
      <c r="Z858" s="251"/>
      <c r="AA858" s="137"/>
      <c r="AB858" s="137"/>
      <c r="AC858" s="137"/>
      <c r="AD858" s="137"/>
      <c r="AE858" s="137"/>
      <c r="AF858" s="137"/>
      <c r="AG858" s="137"/>
    </row>
    <row r="859" ht="30.0" customHeight="1">
      <c r="A859" s="248"/>
      <c r="B859" s="249"/>
      <c r="C859" s="248"/>
      <c r="D859" s="249"/>
      <c r="E859" s="251"/>
      <c r="F859" s="249"/>
      <c r="G859" s="250"/>
      <c r="H859" s="251"/>
      <c r="I859" s="252"/>
      <c r="J859" s="252"/>
      <c r="K859" s="252"/>
      <c r="L859" s="251"/>
      <c r="M859" s="251"/>
      <c r="N859" s="251"/>
      <c r="O859" s="251"/>
      <c r="P859" s="251"/>
      <c r="Q859" s="251"/>
      <c r="R859" s="251"/>
      <c r="S859" s="251"/>
      <c r="T859" s="251"/>
      <c r="U859" s="251"/>
      <c r="V859" s="251"/>
      <c r="W859" s="251"/>
      <c r="X859" s="251"/>
      <c r="Y859" s="251"/>
      <c r="Z859" s="251"/>
      <c r="AA859" s="137"/>
      <c r="AB859" s="137"/>
      <c r="AC859" s="137"/>
      <c r="AD859" s="137"/>
      <c r="AE859" s="137"/>
      <c r="AF859" s="137"/>
      <c r="AG859" s="137"/>
    </row>
    <row r="860" ht="30.0" customHeight="1">
      <c r="A860" s="248"/>
      <c r="B860" s="249"/>
      <c r="C860" s="248"/>
      <c r="D860" s="249"/>
      <c r="E860" s="249"/>
      <c r="F860" s="249"/>
      <c r="G860" s="250"/>
      <c r="H860" s="251"/>
      <c r="I860" s="252"/>
      <c r="J860" s="252"/>
      <c r="K860" s="252"/>
      <c r="L860" s="251"/>
      <c r="M860" s="251"/>
      <c r="N860" s="251"/>
      <c r="O860" s="251"/>
      <c r="P860" s="251"/>
      <c r="Q860" s="251"/>
      <c r="R860" s="251"/>
      <c r="S860" s="251"/>
      <c r="T860" s="251"/>
      <c r="U860" s="251"/>
      <c r="V860" s="251"/>
      <c r="W860" s="251"/>
      <c r="X860" s="251"/>
      <c r="Y860" s="251"/>
      <c r="Z860" s="251"/>
      <c r="AA860" s="137"/>
      <c r="AB860" s="137"/>
      <c r="AC860" s="137"/>
      <c r="AD860" s="137"/>
      <c r="AE860" s="137"/>
      <c r="AF860" s="137"/>
      <c r="AG860" s="137"/>
    </row>
    <row r="861" ht="30.0" customHeight="1">
      <c r="A861" s="248"/>
      <c r="B861" s="249"/>
      <c r="C861" s="248"/>
      <c r="D861" s="249"/>
      <c r="E861" s="251"/>
      <c r="F861" s="249"/>
      <c r="G861" s="250"/>
      <c r="H861" s="251"/>
      <c r="I861" s="252"/>
      <c r="J861" s="252"/>
      <c r="K861" s="252"/>
      <c r="L861" s="251"/>
      <c r="M861" s="251"/>
      <c r="N861" s="251"/>
      <c r="O861" s="251"/>
      <c r="P861" s="251"/>
      <c r="Q861" s="251"/>
      <c r="R861" s="251"/>
      <c r="S861" s="251"/>
      <c r="T861" s="251"/>
      <c r="U861" s="251"/>
      <c r="V861" s="251"/>
      <c r="W861" s="251"/>
      <c r="X861" s="251"/>
      <c r="Y861" s="251"/>
      <c r="Z861" s="251"/>
      <c r="AA861" s="137"/>
      <c r="AB861" s="137"/>
      <c r="AC861" s="137"/>
      <c r="AD861" s="137"/>
      <c r="AE861" s="137"/>
      <c r="AF861" s="137"/>
      <c r="AG861" s="137"/>
    </row>
    <row r="862" ht="30.0" customHeight="1">
      <c r="A862" s="248"/>
      <c r="B862" s="249"/>
      <c r="C862" s="248"/>
      <c r="D862" s="249"/>
      <c r="E862" s="249"/>
      <c r="F862" s="249"/>
      <c r="G862" s="250"/>
      <c r="H862" s="251"/>
      <c r="I862" s="252"/>
      <c r="J862" s="252"/>
      <c r="K862" s="252"/>
      <c r="L862" s="251"/>
      <c r="M862" s="251"/>
      <c r="N862" s="251"/>
      <c r="O862" s="251"/>
      <c r="P862" s="251"/>
      <c r="Q862" s="251"/>
      <c r="R862" s="251"/>
      <c r="S862" s="251"/>
      <c r="T862" s="251"/>
      <c r="U862" s="251"/>
      <c r="V862" s="251"/>
      <c r="W862" s="251"/>
      <c r="X862" s="251"/>
      <c r="Y862" s="251"/>
      <c r="Z862" s="251"/>
      <c r="AA862" s="137"/>
      <c r="AB862" s="137"/>
      <c r="AC862" s="137"/>
      <c r="AD862" s="137"/>
      <c r="AE862" s="137"/>
      <c r="AF862" s="137"/>
      <c r="AG862" s="137"/>
    </row>
    <row r="863" ht="30.0" customHeight="1">
      <c r="A863" s="248"/>
      <c r="B863" s="249"/>
      <c r="C863" s="248"/>
      <c r="D863" s="249"/>
      <c r="E863" s="249"/>
      <c r="F863" s="249"/>
      <c r="G863" s="250"/>
      <c r="H863" s="251"/>
      <c r="I863" s="252"/>
      <c r="J863" s="252"/>
      <c r="K863" s="252"/>
      <c r="L863" s="251"/>
      <c r="M863" s="251"/>
      <c r="N863" s="251"/>
      <c r="O863" s="251"/>
      <c r="P863" s="251"/>
      <c r="Q863" s="251"/>
      <c r="R863" s="251"/>
      <c r="S863" s="251"/>
      <c r="T863" s="251"/>
      <c r="U863" s="251"/>
      <c r="V863" s="251"/>
      <c r="W863" s="251"/>
      <c r="X863" s="251"/>
      <c r="Y863" s="251"/>
      <c r="Z863" s="251"/>
      <c r="AA863" s="137"/>
      <c r="AB863" s="137"/>
      <c r="AC863" s="137"/>
      <c r="AD863" s="137"/>
      <c r="AE863" s="137"/>
      <c r="AF863" s="137"/>
      <c r="AG863" s="137"/>
    </row>
    <row r="864" ht="30.0" customHeight="1">
      <c r="A864" s="248"/>
      <c r="B864" s="249"/>
      <c r="C864" s="248"/>
      <c r="D864" s="249"/>
      <c r="E864" s="251"/>
      <c r="F864" s="249"/>
      <c r="G864" s="250"/>
      <c r="H864" s="251"/>
      <c r="I864" s="252"/>
      <c r="J864" s="252"/>
      <c r="K864" s="252"/>
      <c r="L864" s="251"/>
      <c r="M864" s="251"/>
      <c r="N864" s="251"/>
      <c r="O864" s="251"/>
      <c r="P864" s="251"/>
      <c r="Q864" s="251"/>
      <c r="R864" s="251"/>
      <c r="S864" s="251"/>
      <c r="T864" s="251"/>
      <c r="U864" s="251"/>
      <c r="V864" s="251"/>
      <c r="W864" s="251"/>
      <c r="X864" s="251"/>
      <c r="Y864" s="251"/>
      <c r="Z864" s="251"/>
      <c r="AA864" s="137"/>
      <c r="AB864" s="137"/>
      <c r="AC864" s="137"/>
      <c r="AD864" s="137"/>
      <c r="AE864" s="137"/>
      <c r="AF864" s="137"/>
      <c r="AG864" s="137"/>
    </row>
    <row r="865" ht="30.0" customHeight="1">
      <c r="A865" s="248"/>
      <c r="B865" s="249"/>
      <c r="C865" s="248"/>
      <c r="D865" s="249"/>
      <c r="E865" s="251"/>
      <c r="F865" s="249"/>
      <c r="G865" s="250"/>
      <c r="H865" s="251"/>
      <c r="I865" s="252"/>
      <c r="J865" s="252"/>
      <c r="K865" s="252"/>
      <c r="L865" s="251"/>
      <c r="M865" s="251"/>
      <c r="N865" s="251"/>
      <c r="O865" s="251"/>
      <c r="P865" s="251"/>
      <c r="Q865" s="251"/>
      <c r="R865" s="251"/>
      <c r="S865" s="251"/>
      <c r="T865" s="251"/>
      <c r="U865" s="251"/>
      <c r="V865" s="251"/>
      <c r="W865" s="251"/>
      <c r="X865" s="251"/>
      <c r="Y865" s="251"/>
      <c r="Z865" s="251"/>
      <c r="AA865" s="137"/>
      <c r="AB865" s="137"/>
      <c r="AC865" s="137"/>
      <c r="AD865" s="137"/>
      <c r="AE865" s="137"/>
      <c r="AF865" s="137"/>
      <c r="AG865" s="137"/>
    </row>
    <row r="866" ht="30.0" customHeight="1">
      <c r="A866" s="248"/>
      <c r="B866" s="249"/>
      <c r="C866" s="248"/>
      <c r="D866" s="249"/>
      <c r="E866" s="249"/>
      <c r="F866" s="249"/>
      <c r="G866" s="250"/>
      <c r="H866" s="251"/>
      <c r="I866" s="252"/>
      <c r="J866" s="252"/>
      <c r="K866" s="252"/>
      <c r="L866" s="251"/>
      <c r="M866" s="251"/>
      <c r="N866" s="251"/>
      <c r="O866" s="251"/>
      <c r="P866" s="251"/>
      <c r="Q866" s="251"/>
      <c r="R866" s="251"/>
      <c r="S866" s="251"/>
      <c r="T866" s="251"/>
      <c r="U866" s="251"/>
      <c r="V866" s="251"/>
      <c r="W866" s="251"/>
      <c r="X866" s="251"/>
      <c r="Y866" s="251"/>
      <c r="Z866" s="251"/>
      <c r="AA866" s="137"/>
      <c r="AB866" s="137"/>
      <c r="AC866" s="137"/>
      <c r="AD866" s="137"/>
      <c r="AE866" s="137"/>
      <c r="AF866" s="137"/>
      <c r="AG866" s="137"/>
    </row>
    <row r="867" ht="30.0" customHeight="1">
      <c r="A867" s="248"/>
      <c r="B867" s="249"/>
      <c r="C867" s="248"/>
      <c r="D867" s="249"/>
      <c r="E867" s="249"/>
      <c r="F867" s="249"/>
      <c r="G867" s="250"/>
      <c r="H867" s="251"/>
      <c r="I867" s="252"/>
      <c r="J867" s="252"/>
      <c r="K867" s="252"/>
      <c r="L867" s="251"/>
      <c r="M867" s="251"/>
      <c r="N867" s="251"/>
      <c r="O867" s="251"/>
      <c r="P867" s="251"/>
      <c r="Q867" s="251"/>
      <c r="R867" s="251"/>
      <c r="S867" s="251"/>
      <c r="T867" s="251"/>
      <c r="U867" s="251"/>
      <c r="V867" s="251"/>
      <c r="W867" s="251"/>
      <c r="X867" s="251"/>
      <c r="Y867" s="251"/>
      <c r="Z867" s="251"/>
      <c r="AA867" s="137"/>
      <c r="AB867" s="137"/>
      <c r="AC867" s="137"/>
      <c r="AD867" s="137"/>
      <c r="AE867" s="137"/>
      <c r="AF867" s="137"/>
      <c r="AG867" s="137"/>
    </row>
    <row r="868" ht="30.0" customHeight="1">
      <c r="A868" s="248"/>
      <c r="B868" s="249"/>
      <c r="C868" s="248"/>
      <c r="D868" s="249"/>
      <c r="E868" s="251"/>
      <c r="F868" s="249"/>
      <c r="G868" s="250"/>
      <c r="H868" s="251"/>
      <c r="I868" s="252"/>
      <c r="J868" s="252"/>
      <c r="K868" s="252"/>
      <c r="L868" s="251"/>
      <c r="M868" s="251"/>
      <c r="N868" s="251"/>
      <c r="O868" s="251"/>
      <c r="P868" s="251"/>
      <c r="Q868" s="251"/>
      <c r="R868" s="251"/>
      <c r="S868" s="251"/>
      <c r="T868" s="251"/>
      <c r="U868" s="251"/>
      <c r="V868" s="251"/>
      <c r="W868" s="251"/>
      <c r="X868" s="251"/>
      <c r="Y868" s="251"/>
      <c r="Z868" s="251"/>
      <c r="AA868" s="137"/>
      <c r="AB868" s="137"/>
      <c r="AC868" s="137"/>
      <c r="AD868" s="137"/>
      <c r="AE868" s="137"/>
      <c r="AF868" s="137"/>
      <c r="AG868" s="137"/>
    </row>
    <row r="869" ht="30.0" customHeight="1">
      <c r="A869" s="248"/>
      <c r="B869" s="249"/>
      <c r="C869" s="248"/>
      <c r="D869" s="249"/>
      <c r="E869" s="251"/>
      <c r="F869" s="249"/>
      <c r="G869" s="250"/>
      <c r="H869" s="251"/>
      <c r="I869" s="252"/>
      <c r="J869" s="252"/>
      <c r="K869" s="252"/>
      <c r="L869" s="251"/>
      <c r="M869" s="251"/>
      <c r="N869" s="251"/>
      <c r="O869" s="251"/>
      <c r="P869" s="251"/>
      <c r="Q869" s="251"/>
      <c r="R869" s="251"/>
      <c r="S869" s="251"/>
      <c r="T869" s="251"/>
      <c r="U869" s="251"/>
      <c r="V869" s="251"/>
      <c r="W869" s="251"/>
      <c r="X869" s="251"/>
      <c r="Y869" s="251"/>
      <c r="Z869" s="251"/>
      <c r="AA869" s="137"/>
      <c r="AB869" s="137"/>
      <c r="AC869" s="137"/>
      <c r="AD869" s="137"/>
      <c r="AE869" s="137"/>
      <c r="AF869" s="137"/>
      <c r="AG869" s="137"/>
    </row>
    <row r="870" ht="30.0" customHeight="1">
      <c r="A870" s="248"/>
      <c r="B870" s="249"/>
      <c r="C870" s="249"/>
      <c r="D870" s="249"/>
      <c r="E870" s="249"/>
      <c r="F870" s="249"/>
      <c r="G870" s="250"/>
      <c r="H870" s="251"/>
      <c r="I870" s="252"/>
      <c r="J870" s="252"/>
      <c r="K870" s="252"/>
      <c r="L870" s="251"/>
      <c r="M870" s="251"/>
      <c r="N870" s="251"/>
      <c r="O870" s="251"/>
      <c r="P870" s="251"/>
      <c r="Q870" s="251"/>
      <c r="R870" s="251"/>
      <c r="S870" s="251"/>
      <c r="T870" s="251"/>
      <c r="U870" s="251"/>
      <c r="V870" s="251"/>
      <c r="W870" s="251"/>
      <c r="X870" s="251"/>
      <c r="Y870" s="251"/>
      <c r="Z870" s="251"/>
      <c r="AA870" s="137"/>
      <c r="AB870" s="137"/>
      <c r="AC870" s="137"/>
      <c r="AD870" s="137"/>
      <c r="AE870" s="137"/>
      <c r="AF870" s="137"/>
      <c r="AG870" s="137"/>
    </row>
    <row r="871" ht="30.0" customHeight="1">
      <c r="A871" s="248"/>
      <c r="B871" s="249"/>
      <c r="C871" s="248"/>
      <c r="D871" s="249"/>
      <c r="E871" s="251"/>
      <c r="F871" s="249"/>
      <c r="G871" s="250"/>
      <c r="H871" s="251"/>
      <c r="I871" s="252"/>
      <c r="J871" s="252"/>
      <c r="K871" s="252"/>
      <c r="L871" s="251"/>
      <c r="M871" s="251"/>
      <c r="N871" s="251"/>
      <c r="O871" s="251"/>
      <c r="P871" s="251"/>
      <c r="Q871" s="251"/>
      <c r="R871" s="251"/>
      <c r="S871" s="251"/>
      <c r="T871" s="251"/>
      <c r="U871" s="251"/>
      <c r="V871" s="251"/>
      <c r="W871" s="251"/>
      <c r="X871" s="251"/>
      <c r="Y871" s="251"/>
      <c r="Z871" s="251"/>
      <c r="AA871" s="137"/>
      <c r="AB871" s="137"/>
      <c r="AC871" s="137"/>
      <c r="AD871" s="137"/>
      <c r="AE871" s="137"/>
      <c r="AF871" s="137"/>
      <c r="AG871" s="137"/>
    </row>
    <row r="872" ht="30.0" customHeight="1">
      <c r="A872" s="248"/>
      <c r="B872" s="251"/>
      <c r="C872" s="248"/>
      <c r="D872" s="249"/>
      <c r="E872" s="249"/>
      <c r="F872" s="249"/>
      <c r="G872" s="250"/>
      <c r="H872" s="251"/>
      <c r="I872" s="252"/>
      <c r="J872" s="252"/>
      <c r="K872" s="252"/>
      <c r="L872" s="251"/>
      <c r="M872" s="251"/>
      <c r="N872" s="251"/>
      <c r="O872" s="251"/>
      <c r="P872" s="251"/>
      <c r="Q872" s="251"/>
      <c r="R872" s="251"/>
      <c r="S872" s="251"/>
      <c r="T872" s="251"/>
      <c r="U872" s="251"/>
      <c r="V872" s="251"/>
      <c r="W872" s="251"/>
      <c r="X872" s="251"/>
      <c r="Y872" s="251"/>
      <c r="Z872" s="251"/>
      <c r="AA872" s="137"/>
      <c r="AB872" s="137"/>
      <c r="AC872" s="137"/>
      <c r="AD872" s="137"/>
      <c r="AE872" s="137"/>
      <c r="AF872" s="137"/>
      <c r="AG872" s="137"/>
    </row>
    <row r="873" ht="30.0" customHeight="1">
      <c r="A873" s="248"/>
      <c r="B873" s="251"/>
      <c r="C873" s="248"/>
      <c r="D873" s="249"/>
      <c r="E873" s="249"/>
      <c r="F873" s="249"/>
      <c r="G873" s="250"/>
      <c r="H873" s="251"/>
      <c r="I873" s="252"/>
      <c r="J873" s="252"/>
      <c r="K873" s="252"/>
      <c r="L873" s="251"/>
      <c r="M873" s="251"/>
      <c r="N873" s="251"/>
      <c r="O873" s="251"/>
      <c r="P873" s="251"/>
      <c r="Q873" s="251"/>
      <c r="R873" s="251"/>
      <c r="S873" s="251"/>
      <c r="T873" s="251"/>
      <c r="U873" s="251"/>
      <c r="V873" s="251"/>
      <c r="W873" s="251"/>
      <c r="X873" s="251"/>
      <c r="Y873" s="251"/>
      <c r="Z873" s="251"/>
      <c r="AA873" s="137"/>
      <c r="AB873" s="137"/>
      <c r="AC873" s="137"/>
      <c r="AD873" s="137"/>
      <c r="AE873" s="137"/>
      <c r="AF873" s="137"/>
      <c r="AG873" s="137"/>
    </row>
    <row r="874" ht="30.0" customHeight="1">
      <c r="A874" s="248"/>
      <c r="B874" s="249"/>
      <c r="C874" s="248"/>
      <c r="D874" s="249"/>
      <c r="E874" s="251"/>
      <c r="F874" s="249"/>
      <c r="G874" s="250"/>
      <c r="H874" s="251"/>
      <c r="I874" s="252"/>
      <c r="J874" s="252"/>
      <c r="K874" s="252"/>
      <c r="L874" s="251"/>
      <c r="M874" s="251"/>
      <c r="N874" s="251"/>
      <c r="O874" s="251"/>
      <c r="P874" s="251"/>
      <c r="Q874" s="251"/>
      <c r="R874" s="251"/>
      <c r="S874" s="251"/>
      <c r="T874" s="251"/>
      <c r="U874" s="251"/>
      <c r="V874" s="251"/>
      <c r="W874" s="251"/>
      <c r="X874" s="251"/>
      <c r="Y874" s="251"/>
      <c r="Z874" s="251"/>
      <c r="AA874" s="137"/>
      <c r="AB874" s="137"/>
      <c r="AC874" s="137"/>
      <c r="AD874" s="137"/>
      <c r="AE874" s="137"/>
      <c r="AF874" s="137"/>
      <c r="AG874" s="137"/>
    </row>
    <row r="875" ht="30.0" customHeight="1">
      <c r="A875" s="248"/>
      <c r="B875" s="249"/>
      <c r="C875" s="248"/>
      <c r="D875" s="249"/>
      <c r="E875" s="251"/>
      <c r="F875" s="249"/>
      <c r="G875" s="250"/>
      <c r="H875" s="251"/>
      <c r="I875" s="252"/>
      <c r="J875" s="252"/>
      <c r="K875" s="252"/>
      <c r="L875" s="251"/>
      <c r="M875" s="251"/>
      <c r="N875" s="251"/>
      <c r="O875" s="251"/>
      <c r="P875" s="251"/>
      <c r="Q875" s="251"/>
      <c r="R875" s="251"/>
      <c r="S875" s="251"/>
      <c r="T875" s="251"/>
      <c r="U875" s="251"/>
      <c r="V875" s="251"/>
      <c r="W875" s="251"/>
      <c r="X875" s="251"/>
      <c r="Y875" s="251"/>
      <c r="Z875" s="251"/>
      <c r="AA875" s="137"/>
      <c r="AB875" s="137"/>
      <c r="AC875" s="137"/>
      <c r="AD875" s="137"/>
      <c r="AE875" s="137"/>
      <c r="AF875" s="137"/>
      <c r="AG875" s="137"/>
    </row>
    <row r="876" ht="30.0" customHeight="1">
      <c r="A876" s="248"/>
      <c r="B876" s="249"/>
      <c r="C876" s="249"/>
      <c r="D876" s="249"/>
      <c r="E876" s="251"/>
      <c r="F876" s="249"/>
      <c r="G876" s="250"/>
      <c r="H876" s="251"/>
      <c r="I876" s="252"/>
      <c r="J876" s="252"/>
      <c r="K876" s="252"/>
      <c r="L876" s="251"/>
      <c r="M876" s="251"/>
      <c r="N876" s="251"/>
      <c r="O876" s="251"/>
      <c r="P876" s="251"/>
      <c r="Q876" s="251"/>
      <c r="R876" s="251"/>
      <c r="S876" s="251"/>
      <c r="T876" s="251"/>
      <c r="U876" s="251"/>
      <c r="V876" s="251"/>
      <c r="W876" s="251"/>
      <c r="X876" s="251"/>
      <c r="Y876" s="251"/>
      <c r="Z876" s="251"/>
      <c r="AA876" s="137"/>
      <c r="AB876" s="137"/>
      <c r="AC876" s="137"/>
      <c r="AD876" s="137"/>
      <c r="AE876" s="137"/>
      <c r="AF876" s="137"/>
      <c r="AG876" s="137"/>
    </row>
    <row r="877" ht="30.0" customHeight="1">
      <c r="A877" s="248"/>
      <c r="B877" s="251"/>
      <c r="C877" s="248"/>
      <c r="D877" s="249"/>
      <c r="E877" s="249"/>
      <c r="F877" s="249"/>
      <c r="G877" s="250"/>
      <c r="H877" s="251"/>
      <c r="I877" s="252"/>
      <c r="J877" s="252"/>
      <c r="K877" s="252"/>
      <c r="L877" s="251"/>
      <c r="M877" s="251"/>
      <c r="N877" s="251"/>
      <c r="O877" s="251"/>
      <c r="P877" s="251"/>
      <c r="Q877" s="251"/>
      <c r="R877" s="251"/>
      <c r="S877" s="251"/>
      <c r="T877" s="251"/>
      <c r="U877" s="251"/>
      <c r="V877" s="251"/>
      <c r="W877" s="251"/>
      <c r="X877" s="251"/>
      <c r="Y877" s="251"/>
      <c r="Z877" s="251"/>
      <c r="AA877" s="137"/>
      <c r="AB877" s="137"/>
      <c r="AC877" s="137"/>
      <c r="AD877" s="137"/>
      <c r="AE877" s="137"/>
      <c r="AF877" s="137"/>
      <c r="AG877" s="137"/>
    </row>
    <row r="878" ht="30.0" customHeight="1">
      <c r="A878" s="248"/>
      <c r="B878" s="248"/>
      <c r="C878" s="248"/>
      <c r="D878" s="249"/>
      <c r="E878" s="249"/>
      <c r="F878" s="249"/>
      <c r="G878" s="250"/>
      <c r="H878" s="251"/>
      <c r="I878" s="252"/>
      <c r="J878" s="252"/>
      <c r="K878" s="252"/>
      <c r="L878" s="251"/>
      <c r="M878" s="251"/>
      <c r="N878" s="251"/>
      <c r="O878" s="251"/>
      <c r="P878" s="251"/>
      <c r="Q878" s="251"/>
      <c r="R878" s="251"/>
      <c r="S878" s="251"/>
      <c r="T878" s="251"/>
      <c r="U878" s="251"/>
      <c r="V878" s="251"/>
      <c r="W878" s="251"/>
      <c r="X878" s="251"/>
      <c r="Y878" s="251"/>
      <c r="Z878" s="251"/>
      <c r="AA878" s="137"/>
      <c r="AB878" s="137"/>
      <c r="AC878" s="137"/>
      <c r="AD878" s="137"/>
      <c r="AE878" s="137"/>
      <c r="AF878" s="137"/>
      <c r="AG878" s="137"/>
    </row>
    <row r="879" ht="30.0" customHeight="1">
      <c r="A879" s="248"/>
      <c r="B879" s="249"/>
      <c r="C879" s="248"/>
      <c r="D879" s="249"/>
      <c r="E879" s="251"/>
      <c r="F879" s="249"/>
      <c r="G879" s="250"/>
      <c r="H879" s="251"/>
      <c r="I879" s="252"/>
      <c r="J879" s="252"/>
      <c r="K879" s="252"/>
      <c r="L879" s="251"/>
      <c r="M879" s="251"/>
      <c r="N879" s="251"/>
      <c r="O879" s="251"/>
      <c r="P879" s="251"/>
      <c r="Q879" s="251"/>
      <c r="R879" s="251"/>
      <c r="S879" s="251"/>
      <c r="T879" s="251"/>
      <c r="U879" s="251"/>
      <c r="V879" s="251"/>
      <c r="W879" s="251"/>
      <c r="X879" s="251"/>
      <c r="Y879" s="251"/>
      <c r="Z879" s="251"/>
      <c r="AA879" s="137"/>
      <c r="AB879" s="137"/>
      <c r="AC879" s="137"/>
      <c r="AD879" s="137"/>
      <c r="AE879" s="137"/>
      <c r="AF879" s="137"/>
      <c r="AG879" s="137"/>
    </row>
    <row r="880" ht="30.0" customHeight="1">
      <c r="A880" s="248"/>
      <c r="B880" s="249"/>
      <c r="C880" s="248"/>
      <c r="D880" s="249"/>
      <c r="E880" s="249"/>
      <c r="F880" s="249"/>
      <c r="G880" s="250"/>
      <c r="H880" s="251"/>
      <c r="I880" s="252"/>
      <c r="J880" s="252"/>
      <c r="K880" s="252"/>
      <c r="L880" s="251"/>
      <c r="M880" s="251"/>
      <c r="N880" s="251"/>
      <c r="O880" s="251"/>
      <c r="P880" s="251"/>
      <c r="Q880" s="251"/>
      <c r="R880" s="251"/>
      <c r="S880" s="251"/>
      <c r="T880" s="251"/>
      <c r="U880" s="251"/>
      <c r="V880" s="251"/>
      <c r="W880" s="251"/>
      <c r="X880" s="251"/>
      <c r="Y880" s="251"/>
      <c r="Z880" s="251"/>
      <c r="AA880" s="137"/>
      <c r="AB880" s="137"/>
      <c r="AC880" s="137"/>
      <c r="AD880" s="137"/>
      <c r="AE880" s="137"/>
      <c r="AF880" s="137"/>
      <c r="AG880" s="137"/>
    </row>
    <row r="881" ht="30.0" customHeight="1">
      <c r="A881" s="248"/>
      <c r="B881" s="249"/>
      <c r="C881" s="248"/>
      <c r="D881" s="249"/>
      <c r="E881" s="249"/>
      <c r="F881" s="249"/>
      <c r="G881" s="249"/>
      <c r="H881" s="251"/>
      <c r="I881" s="252"/>
      <c r="J881" s="252"/>
      <c r="K881" s="252"/>
      <c r="L881" s="251"/>
      <c r="M881" s="251"/>
      <c r="N881" s="251"/>
      <c r="O881" s="251"/>
      <c r="P881" s="251"/>
      <c r="Q881" s="251"/>
      <c r="R881" s="251"/>
      <c r="S881" s="251"/>
      <c r="T881" s="251"/>
      <c r="U881" s="251"/>
      <c r="V881" s="251"/>
      <c r="W881" s="251"/>
      <c r="X881" s="251"/>
      <c r="Y881" s="251"/>
      <c r="Z881" s="251"/>
      <c r="AA881" s="137"/>
      <c r="AB881" s="137"/>
      <c r="AC881" s="137"/>
      <c r="AD881" s="137"/>
      <c r="AE881" s="137"/>
      <c r="AF881" s="137"/>
      <c r="AG881" s="137"/>
    </row>
    <row r="882" ht="30.0" customHeight="1">
      <c r="A882" s="248"/>
      <c r="B882" s="249"/>
      <c r="C882" s="248"/>
      <c r="D882" s="249"/>
      <c r="E882" s="251"/>
      <c r="F882" s="249"/>
      <c r="G882" s="250"/>
      <c r="H882" s="251"/>
      <c r="I882" s="252"/>
      <c r="J882" s="252"/>
      <c r="K882" s="252"/>
      <c r="L882" s="251"/>
      <c r="M882" s="251"/>
      <c r="N882" s="251"/>
      <c r="O882" s="251"/>
      <c r="P882" s="251"/>
      <c r="Q882" s="251"/>
      <c r="R882" s="251"/>
      <c r="S882" s="251"/>
      <c r="T882" s="251"/>
      <c r="U882" s="251"/>
      <c r="V882" s="251"/>
      <c r="W882" s="251"/>
      <c r="X882" s="251"/>
      <c r="Y882" s="251"/>
      <c r="Z882" s="251"/>
      <c r="AA882" s="137"/>
      <c r="AB882" s="137"/>
      <c r="AC882" s="137"/>
      <c r="AD882" s="137"/>
      <c r="AE882" s="137"/>
      <c r="AF882" s="137"/>
      <c r="AG882" s="137"/>
    </row>
    <row r="883" ht="30.0" customHeight="1">
      <c r="A883" s="248"/>
      <c r="B883" s="249"/>
      <c r="C883" s="248"/>
      <c r="D883" s="249"/>
      <c r="E883" s="251"/>
      <c r="F883" s="249"/>
      <c r="G883" s="250"/>
      <c r="H883" s="251"/>
      <c r="I883" s="252"/>
      <c r="J883" s="252"/>
      <c r="K883" s="252"/>
      <c r="L883" s="251"/>
      <c r="M883" s="251"/>
      <c r="N883" s="251"/>
      <c r="O883" s="251"/>
      <c r="P883" s="251"/>
      <c r="Q883" s="251"/>
      <c r="R883" s="251"/>
      <c r="S883" s="251"/>
      <c r="T883" s="251"/>
      <c r="U883" s="251"/>
      <c r="V883" s="251"/>
      <c r="W883" s="251"/>
      <c r="X883" s="251"/>
      <c r="Y883" s="251"/>
      <c r="Z883" s="251"/>
      <c r="AA883" s="137"/>
      <c r="AB883" s="137"/>
      <c r="AC883" s="137"/>
      <c r="AD883" s="137"/>
      <c r="AE883" s="137"/>
      <c r="AF883" s="137"/>
      <c r="AG883" s="137"/>
    </row>
    <row r="884" ht="30.0" customHeight="1">
      <c r="A884" s="248"/>
      <c r="B884" s="249"/>
      <c r="C884" s="248"/>
      <c r="D884" s="249"/>
      <c r="E884" s="251"/>
      <c r="F884" s="249"/>
      <c r="G884" s="250"/>
      <c r="H884" s="251"/>
      <c r="I884" s="252"/>
      <c r="J884" s="252"/>
      <c r="K884" s="252"/>
      <c r="L884" s="251"/>
      <c r="M884" s="251"/>
      <c r="N884" s="251"/>
      <c r="O884" s="251"/>
      <c r="P884" s="251"/>
      <c r="Q884" s="251"/>
      <c r="R884" s="251"/>
      <c r="S884" s="251"/>
      <c r="T884" s="251"/>
      <c r="U884" s="251"/>
      <c r="V884" s="251"/>
      <c r="W884" s="251"/>
      <c r="X884" s="251"/>
      <c r="Y884" s="251"/>
      <c r="Z884" s="251"/>
      <c r="AA884" s="137"/>
      <c r="AB884" s="137"/>
      <c r="AC884" s="137"/>
      <c r="AD884" s="137"/>
      <c r="AE884" s="137"/>
      <c r="AF884" s="137"/>
      <c r="AG884" s="137"/>
    </row>
    <row r="885" ht="30.0" customHeight="1">
      <c r="A885" s="248"/>
      <c r="B885" s="249"/>
      <c r="C885" s="248"/>
      <c r="D885" s="249"/>
      <c r="E885" s="249"/>
      <c r="F885" s="249"/>
      <c r="G885" s="250"/>
      <c r="H885" s="251"/>
      <c r="I885" s="252"/>
      <c r="J885" s="252"/>
      <c r="K885" s="252"/>
      <c r="L885" s="251"/>
      <c r="M885" s="251"/>
      <c r="N885" s="251"/>
      <c r="O885" s="251"/>
      <c r="P885" s="251"/>
      <c r="Q885" s="251"/>
      <c r="R885" s="251"/>
      <c r="S885" s="251"/>
      <c r="T885" s="251"/>
      <c r="U885" s="251"/>
      <c r="V885" s="251"/>
      <c r="W885" s="251"/>
      <c r="X885" s="251"/>
      <c r="Y885" s="251"/>
      <c r="Z885" s="251"/>
      <c r="AA885" s="137"/>
      <c r="AB885" s="137"/>
      <c r="AC885" s="137"/>
      <c r="AD885" s="137"/>
      <c r="AE885" s="137"/>
      <c r="AF885" s="137"/>
      <c r="AG885" s="137"/>
    </row>
    <row r="886" ht="30.0" customHeight="1">
      <c r="A886" s="248"/>
      <c r="B886" s="249"/>
      <c r="C886" s="248"/>
      <c r="D886" s="249"/>
      <c r="E886" s="249"/>
      <c r="F886" s="249"/>
      <c r="G886" s="250"/>
      <c r="H886" s="251"/>
      <c r="I886" s="252"/>
      <c r="J886" s="252"/>
      <c r="K886" s="252"/>
      <c r="L886" s="251"/>
      <c r="M886" s="251"/>
      <c r="N886" s="251"/>
      <c r="O886" s="251"/>
      <c r="P886" s="251"/>
      <c r="Q886" s="251"/>
      <c r="R886" s="251"/>
      <c r="S886" s="251"/>
      <c r="T886" s="251"/>
      <c r="U886" s="251"/>
      <c r="V886" s="251"/>
      <c r="W886" s="251"/>
      <c r="X886" s="251"/>
      <c r="Y886" s="251"/>
      <c r="Z886" s="251"/>
      <c r="AA886" s="137"/>
      <c r="AB886" s="137"/>
      <c r="AC886" s="137"/>
      <c r="AD886" s="137"/>
      <c r="AE886" s="137"/>
      <c r="AF886" s="137"/>
      <c r="AG886" s="137"/>
    </row>
    <row r="887" ht="30.0" customHeight="1">
      <c r="A887" s="248"/>
      <c r="B887" s="249"/>
      <c r="C887" s="248"/>
      <c r="D887" s="249"/>
      <c r="E887" s="251"/>
      <c r="F887" s="249"/>
      <c r="G887" s="250"/>
      <c r="H887" s="251"/>
      <c r="I887" s="252"/>
      <c r="J887" s="252"/>
      <c r="K887" s="252"/>
      <c r="L887" s="251"/>
      <c r="M887" s="251"/>
      <c r="N887" s="251"/>
      <c r="O887" s="251"/>
      <c r="P887" s="251"/>
      <c r="Q887" s="251"/>
      <c r="R887" s="251"/>
      <c r="S887" s="251"/>
      <c r="T887" s="251"/>
      <c r="U887" s="251"/>
      <c r="V887" s="251"/>
      <c r="W887" s="251"/>
      <c r="X887" s="251"/>
      <c r="Y887" s="251"/>
      <c r="Z887" s="251"/>
      <c r="AA887" s="137"/>
      <c r="AB887" s="137"/>
      <c r="AC887" s="137"/>
      <c r="AD887" s="137"/>
      <c r="AE887" s="137"/>
      <c r="AF887" s="137"/>
      <c r="AG887" s="137"/>
    </row>
    <row r="888" ht="30.0" customHeight="1">
      <c r="A888" s="248"/>
      <c r="B888" s="249"/>
      <c r="C888" s="248"/>
      <c r="D888" s="249"/>
      <c r="E888" s="251"/>
      <c r="F888" s="249"/>
      <c r="G888" s="250"/>
      <c r="H888" s="251"/>
      <c r="I888" s="252"/>
      <c r="J888" s="252"/>
      <c r="K888" s="252"/>
      <c r="L888" s="251"/>
      <c r="M888" s="251"/>
      <c r="N888" s="251"/>
      <c r="O888" s="251"/>
      <c r="P888" s="251"/>
      <c r="Q888" s="251"/>
      <c r="R888" s="251"/>
      <c r="S888" s="251"/>
      <c r="T888" s="251"/>
      <c r="U888" s="251"/>
      <c r="V888" s="251"/>
      <c r="W888" s="251"/>
      <c r="X888" s="251"/>
      <c r="Y888" s="251"/>
      <c r="Z888" s="251"/>
      <c r="AA888" s="137"/>
      <c r="AB888" s="137"/>
      <c r="AC888" s="137"/>
      <c r="AD888" s="137"/>
      <c r="AE888" s="137"/>
      <c r="AF888" s="137"/>
      <c r="AG888" s="137"/>
    </row>
    <row r="889" ht="30.0" customHeight="1">
      <c r="A889" s="248"/>
      <c r="B889" s="249"/>
      <c r="C889" s="248"/>
      <c r="D889" s="249"/>
      <c r="E889" s="251"/>
      <c r="F889" s="249"/>
      <c r="G889" s="250"/>
      <c r="H889" s="251"/>
      <c r="I889" s="252"/>
      <c r="J889" s="252"/>
      <c r="K889" s="252"/>
      <c r="L889" s="251"/>
      <c r="M889" s="251"/>
      <c r="N889" s="251"/>
      <c r="O889" s="251"/>
      <c r="P889" s="251"/>
      <c r="Q889" s="251"/>
      <c r="R889" s="251"/>
      <c r="S889" s="251"/>
      <c r="T889" s="251"/>
      <c r="U889" s="251"/>
      <c r="V889" s="251"/>
      <c r="W889" s="251"/>
      <c r="X889" s="251"/>
      <c r="Y889" s="251"/>
      <c r="Z889" s="251"/>
      <c r="AA889" s="137"/>
      <c r="AB889" s="137"/>
      <c r="AC889" s="137"/>
      <c r="AD889" s="137"/>
      <c r="AE889" s="137"/>
      <c r="AF889" s="137"/>
      <c r="AG889" s="137"/>
    </row>
    <row r="890" ht="30.0" customHeight="1">
      <c r="A890" s="248"/>
      <c r="B890" s="251"/>
      <c r="C890" s="248"/>
      <c r="D890" s="249"/>
      <c r="E890" s="251"/>
      <c r="F890" s="249"/>
      <c r="G890" s="250"/>
      <c r="H890" s="251"/>
      <c r="I890" s="252"/>
      <c r="J890" s="252"/>
      <c r="K890" s="252"/>
      <c r="L890" s="251"/>
      <c r="M890" s="251"/>
      <c r="N890" s="251"/>
      <c r="O890" s="251"/>
      <c r="P890" s="251"/>
      <c r="Q890" s="251"/>
      <c r="R890" s="251"/>
      <c r="S890" s="251"/>
      <c r="T890" s="251"/>
      <c r="U890" s="251"/>
      <c r="V890" s="251"/>
      <c r="W890" s="251"/>
      <c r="X890" s="251"/>
      <c r="Y890" s="251"/>
      <c r="Z890" s="251"/>
      <c r="AA890" s="137"/>
      <c r="AB890" s="137"/>
      <c r="AC890" s="137"/>
      <c r="AD890" s="137"/>
      <c r="AE890" s="137"/>
      <c r="AF890" s="137"/>
      <c r="AG890" s="137"/>
    </row>
    <row r="891" ht="30.0" customHeight="1">
      <c r="A891" s="248"/>
      <c r="B891" s="249"/>
      <c r="C891" s="248"/>
      <c r="D891" s="249"/>
      <c r="E891" s="251"/>
      <c r="F891" s="249"/>
      <c r="G891" s="250"/>
      <c r="H891" s="251"/>
      <c r="I891" s="252"/>
      <c r="J891" s="252"/>
      <c r="K891" s="252"/>
      <c r="L891" s="251"/>
      <c r="M891" s="251"/>
      <c r="N891" s="251"/>
      <c r="O891" s="251"/>
      <c r="P891" s="251"/>
      <c r="Q891" s="251"/>
      <c r="R891" s="251"/>
      <c r="S891" s="251"/>
      <c r="T891" s="251"/>
      <c r="U891" s="251"/>
      <c r="V891" s="251"/>
      <c r="W891" s="251"/>
      <c r="X891" s="251"/>
      <c r="Y891" s="251"/>
      <c r="Z891" s="251"/>
      <c r="AA891" s="137"/>
      <c r="AB891" s="137"/>
      <c r="AC891" s="137"/>
      <c r="AD891" s="137"/>
      <c r="AE891" s="137"/>
      <c r="AF891" s="137"/>
      <c r="AG891" s="137"/>
    </row>
    <row r="892" ht="30.0" customHeight="1">
      <c r="A892" s="248"/>
      <c r="B892" s="249"/>
      <c r="C892" s="248"/>
      <c r="D892" s="249"/>
      <c r="E892" s="251"/>
      <c r="F892" s="249"/>
      <c r="G892" s="250"/>
      <c r="H892" s="251"/>
      <c r="I892" s="252"/>
      <c r="J892" s="252"/>
      <c r="K892" s="252"/>
      <c r="L892" s="251"/>
      <c r="M892" s="251"/>
      <c r="N892" s="251"/>
      <c r="O892" s="251"/>
      <c r="P892" s="251"/>
      <c r="Q892" s="251"/>
      <c r="R892" s="251"/>
      <c r="S892" s="251"/>
      <c r="T892" s="251"/>
      <c r="U892" s="251"/>
      <c r="V892" s="251"/>
      <c r="W892" s="251"/>
      <c r="X892" s="251"/>
      <c r="Y892" s="251"/>
      <c r="Z892" s="251"/>
      <c r="AA892" s="137"/>
      <c r="AB892" s="137"/>
      <c r="AC892" s="137"/>
      <c r="AD892" s="137"/>
      <c r="AE892" s="137"/>
      <c r="AF892" s="137"/>
      <c r="AG892" s="137"/>
    </row>
    <row r="893" ht="30.0" customHeight="1">
      <c r="A893" s="248"/>
      <c r="B893" s="249"/>
      <c r="C893" s="248"/>
      <c r="D893" s="249"/>
      <c r="E893" s="251"/>
      <c r="F893" s="249"/>
      <c r="G893" s="250"/>
      <c r="H893" s="251"/>
      <c r="I893" s="252"/>
      <c r="J893" s="252"/>
      <c r="K893" s="252"/>
      <c r="L893" s="251"/>
      <c r="M893" s="251"/>
      <c r="N893" s="251"/>
      <c r="O893" s="251"/>
      <c r="P893" s="251"/>
      <c r="Q893" s="251"/>
      <c r="R893" s="251"/>
      <c r="S893" s="251"/>
      <c r="T893" s="251"/>
      <c r="U893" s="251"/>
      <c r="V893" s="251"/>
      <c r="W893" s="251"/>
      <c r="X893" s="251"/>
      <c r="Y893" s="251"/>
      <c r="Z893" s="251"/>
      <c r="AA893" s="137"/>
      <c r="AB893" s="137"/>
      <c r="AC893" s="137"/>
      <c r="AD893" s="137"/>
      <c r="AE893" s="137"/>
      <c r="AF893" s="137"/>
      <c r="AG893" s="137"/>
    </row>
    <row r="894" ht="30.0" customHeight="1">
      <c r="A894" s="248"/>
      <c r="B894" s="249"/>
      <c r="C894" s="248"/>
      <c r="D894" s="249"/>
      <c r="E894" s="249"/>
      <c r="F894" s="249"/>
      <c r="G894" s="250"/>
      <c r="H894" s="251"/>
      <c r="I894" s="252"/>
      <c r="J894" s="252"/>
      <c r="K894" s="252"/>
      <c r="L894" s="251"/>
      <c r="M894" s="251"/>
      <c r="N894" s="251"/>
      <c r="O894" s="251"/>
      <c r="P894" s="251"/>
      <c r="Q894" s="251"/>
      <c r="R894" s="251"/>
      <c r="S894" s="251"/>
      <c r="T894" s="251"/>
      <c r="U894" s="251"/>
      <c r="V894" s="251"/>
      <c r="W894" s="251"/>
      <c r="X894" s="251"/>
      <c r="Y894" s="251"/>
      <c r="Z894" s="251"/>
      <c r="AA894" s="137"/>
      <c r="AB894" s="137"/>
      <c r="AC894" s="137"/>
      <c r="AD894" s="137"/>
      <c r="AE894" s="137"/>
      <c r="AF894" s="137"/>
      <c r="AG894" s="137"/>
    </row>
    <row r="895" ht="30.0" customHeight="1">
      <c r="A895" s="248"/>
      <c r="B895" s="249"/>
      <c r="C895" s="248"/>
      <c r="D895" s="249"/>
      <c r="E895" s="251"/>
      <c r="F895" s="249"/>
      <c r="G895" s="249"/>
      <c r="H895" s="251"/>
      <c r="I895" s="252"/>
      <c r="J895" s="252"/>
      <c r="K895" s="252"/>
      <c r="L895" s="251"/>
      <c r="M895" s="251"/>
      <c r="N895" s="251"/>
      <c r="O895" s="251"/>
      <c r="P895" s="251"/>
      <c r="Q895" s="251"/>
      <c r="R895" s="251"/>
      <c r="S895" s="251"/>
      <c r="T895" s="251"/>
      <c r="U895" s="251"/>
      <c r="V895" s="251"/>
      <c r="W895" s="251"/>
      <c r="X895" s="251"/>
      <c r="Y895" s="251"/>
      <c r="Z895" s="251"/>
      <c r="AA895" s="137"/>
      <c r="AB895" s="137"/>
      <c r="AC895" s="137"/>
      <c r="AD895" s="137"/>
      <c r="AE895" s="137"/>
      <c r="AF895" s="137"/>
      <c r="AG895" s="137"/>
    </row>
    <row r="896" ht="30.0" customHeight="1">
      <c r="A896" s="248"/>
      <c r="B896" s="249"/>
      <c r="C896" s="248"/>
      <c r="D896" s="249"/>
      <c r="E896" s="251"/>
      <c r="F896" s="249"/>
      <c r="G896" s="250"/>
      <c r="H896" s="251"/>
      <c r="I896" s="252"/>
      <c r="J896" s="252"/>
      <c r="K896" s="252"/>
      <c r="L896" s="251"/>
      <c r="M896" s="251"/>
      <c r="N896" s="251"/>
      <c r="O896" s="251"/>
      <c r="P896" s="251"/>
      <c r="Q896" s="251"/>
      <c r="R896" s="251"/>
      <c r="S896" s="251"/>
      <c r="T896" s="251"/>
      <c r="U896" s="251"/>
      <c r="V896" s="251"/>
      <c r="W896" s="251"/>
      <c r="X896" s="251"/>
      <c r="Y896" s="251"/>
      <c r="Z896" s="251"/>
      <c r="AA896" s="137"/>
      <c r="AB896" s="137"/>
      <c r="AC896" s="137"/>
      <c r="AD896" s="137"/>
      <c r="AE896" s="137"/>
      <c r="AF896" s="137"/>
      <c r="AG896" s="137"/>
    </row>
    <row r="897" ht="30.0" customHeight="1">
      <c r="A897" s="248"/>
      <c r="B897" s="251"/>
      <c r="C897" s="248"/>
      <c r="D897" s="249"/>
      <c r="E897" s="249"/>
      <c r="F897" s="249"/>
      <c r="G897" s="249"/>
      <c r="H897" s="251"/>
      <c r="I897" s="252"/>
      <c r="J897" s="252"/>
      <c r="K897" s="252"/>
      <c r="L897" s="251"/>
      <c r="M897" s="251"/>
      <c r="N897" s="251"/>
      <c r="O897" s="251"/>
      <c r="P897" s="251"/>
      <c r="Q897" s="251"/>
      <c r="R897" s="251"/>
      <c r="S897" s="251"/>
      <c r="T897" s="251"/>
      <c r="U897" s="251"/>
      <c r="V897" s="251"/>
      <c r="W897" s="251"/>
      <c r="X897" s="251"/>
      <c r="Y897" s="251"/>
      <c r="Z897" s="251"/>
      <c r="AA897" s="137"/>
      <c r="AB897" s="137"/>
      <c r="AC897" s="137"/>
      <c r="AD897" s="137"/>
      <c r="AE897" s="137"/>
      <c r="AF897" s="137"/>
      <c r="AG897" s="137"/>
    </row>
    <row r="898" ht="30.0" customHeight="1">
      <c r="A898" s="248"/>
      <c r="B898" s="249"/>
      <c r="C898" s="248"/>
      <c r="D898" s="249"/>
      <c r="E898" s="251"/>
      <c r="F898" s="249"/>
      <c r="G898" s="250"/>
      <c r="H898" s="251"/>
      <c r="I898" s="252"/>
      <c r="J898" s="252"/>
      <c r="K898" s="252"/>
      <c r="L898" s="251"/>
      <c r="M898" s="251"/>
      <c r="N898" s="251"/>
      <c r="O898" s="251"/>
      <c r="P898" s="251"/>
      <c r="Q898" s="251"/>
      <c r="R898" s="251"/>
      <c r="S898" s="251"/>
      <c r="T898" s="251"/>
      <c r="U898" s="251"/>
      <c r="V898" s="251"/>
      <c r="W898" s="251"/>
      <c r="X898" s="251"/>
      <c r="Y898" s="251"/>
      <c r="Z898" s="251"/>
      <c r="AA898" s="137"/>
      <c r="AB898" s="137"/>
      <c r="AC898" s="137"/>
      <c r="AD898" s="137"/>
      <c r="AE898" s="137"/>
      <c r="AF898" s="137"/>
      <c r="AG898" s="137"/>
    </row>
    <row r="899" ht="30.0" customHeight="1">
      <c r="A899" s="248"/>
      <c r="B899" s="249"/>
      <c r="C899" s="248"/>
      <c r="D899" s="249"/>
      <c r="E899" s="251"/>
      <c r="F899" s="249"/>
      <c r="G899" s="250"/>
      <c r="H899" s="251"/>
      <c r="I899" s="252"/>
      <c r="J899" s="252"/>
      <c r="K899" s="252"/>
      <c r="L899" s="251"/>
      <c r="M899" s="251"/>
      <c r="N899" s="251"/>
      <c r="O899" s="251"/>
      <c r="P899" s="251"/>
      <c r="Q899" s="251"/>
      <c r="R899" s="251"/>
      <c r="S899" s="251"/>
      <c r="T899" s="251"/>
      <c r="U899" s="251"/>
      <c r="V899" s="251"/>
      <c r="W899" s="251"/>
      <c r="X899" s="251"/>
      <c r="Y899" s="251"/>
      <c r="Z899" s="251"/>
      <c r="AA899" s="137"/>
      <c r="AB899" s="137"/>
      <c r="AC899" s="137"/>
      <c r="AD899" s="137"/>
      <c r="AE899" s="137"/>
      <c r="AF899" s="137"/>
      <c r="AG899" s="137"/>
    </row>
    <row r="900" ht="30.0" customHeight="1">
      <c r="A900" s="248"/>
      <c r="B900" s="251"/>
      <c r="C900" s="248"/>
      <c r="D900" s="249"/>
      <c r="E900" s="249"/>
      <c r="F900" s="249"/>
      <c r="G900" s="249"/>
      <c r="H900" s="251"/>
      <c r="I900" s="252"/>
      <c r="J900" s="252"/>
      <c r="K900" s="252"/>
      <c r="L900" s="251"/>
      <c r="M900" s="251"/>
      <c r="N900" s="251"/>
      <c r="O900" s="251"/>
      <c r="P900" s="251"/>
      <c r="Q900" s="251"/>
      <c r="R900" s="251"/>
      <c r="S900" s="251"/>
      <c r="T900" s="251"/>
      <c r="U900" s="251"/>
      <c r="V900" s="251"/>
      <c r="W900" s="251"/>
      <c r="X900" s="251"/>
      <c r="Y900" s="251"/>
      <c r="Z900" s="251"/>
      <c r="AA900" s="137"/>
      <c r="AB900" s="137"/>
      <c r="AC900" s="137"/>
      <c r="AD900" s="137"/>
      <c r="AE900" s="137"/>
      <c r="AF900" s="137"/>
      <c r="AG900" s="137"/>
    </row>
    <row r="901" ht="30.0" customHeight="1">
      <c r="A901" s="248"/>
      <c r="B901" s="249"/>
      <c r="C901" s="248"/>
      <c r="D901" s="249"/>
      <c r="E901" s="249"/>
      <c r="F901" s="249"/>
      <c r="G901" s="249"/>
      <c r="H901" s="251"/>
      <c r="I901" s="252"/>
      <c r="J901" s="252"/>
      <c r="K901" s="252"/>
      <c r="L901" s="251"/>
      <c r="M901" s="251"/>
      <c r="N901" s="251"/>
      <c r="O901" s="251"/>
      <c r="P901" s="251"/>
      <c r="Q901" s="251"/>
      <c r="R901" s="251"/>
      <c r="S901" s="251"/>
      <c r="T901" s="251"/>
      <c r="U901" s="251"/>
      <c r="V901" s="251"/>
      <c r="W901" s="251"/>
      <c r="X901" s="251"/>
      <c r="Y901" s="251"/>
      <c r="Z901" s="251"/>
      <c r="AA901" s="137"/>
      <c r="AB901" s="137"/>
      <c r="AC901" s="137"/>
      <c r="AD901" s="137"/>
      <c r="AE901" s="137"/>
      <c r="AF901" s="137"/>
      <c r="AG901" s="137"/>
    </row>
    <row r="902" ht="30.0" customHeight="1">
      <c r="A902" s="248"/>
      <c r="B902" s="249"/>
      <c r="C902" s="248"/>
      <c r="D902" s="249"/>
      <c r="E902" s="251"/>
      <c r="F902" s="249"/>
      <c r="G902" s="249"/>
      <c r="H902" s="251"/>
      <c r="I902" s="252"/>
      <c r="J902" s="252"/>
      <c r="K902" s="252"/>
      <c r="L902" s="251"/>
      <c r="M902" s="251"/>
      <c r="N902" s="251"/>
      <c r="O902" s="251"/>
      <c r="P902" s="251"/>
      <c r="Q902" s="251"/>
      <c r="R902" s="251"/>
      <c r="S902" s="251"/>
      <c r="T902" s="251"/>
      <c r="U902" s="251"/>
      <c r="V902" s="251"/>
      <c r="W902" s="251"/>
      <c r="X902" s="251"/>
      <c r="Y902" s="251"/>
      <c r="Z902" s="251"/>
      <c r="AA902" s="137"/>
      <c r="AB902" s="137"/>
      <c r="AC902" s="137"/>
      <c r="AD902" s="137"/>
      <c r="AE902" s="137"/>
      <c r="AF902" s="137"/>
      <c r="AG902" s="137"/>
    </row>
    <row r="903" ht="30.0" customHeight="1">
      <c r="A903" s="248"/>
      <c r="B903" s="249"/>
      <c r="C903" s="248"/>
      <c r="D903" s="249"/>
      <c r="E903" s="251"/>
      <c r="F903" s="249"/>
      <c r="G903" s="250"/>
      <c r="H903" s="251"/>
      <c r="I903" s="252"/>
      <c r="J903" s="252"/>
      <c r="K903" s="252"/>
      <c r="L903" s="251"/>
      <c r="M903" s="251"/>
      <c r="N903" s="251"/>
      <c r="O903" s="251"/>
      <c r="P903" s="251"/>
      <c r="Q903" s="251"/>
      <c r="R903" s="251"/>
      <c r="S903" s="251"/>
      <c r="T903" s="251"/>
      <c r="U903" s="251"/>
      <c r="V903" s="251"/>
      <c r="W903" s="251"/>
      <c r="X903" s="251"/>
      <c r="Y903" s="251"/>
      <c r="Z903" s="251"/>
      <c r="AA903" s="137"/>
      <c r="AB903" s="137"/>
      <c r="AC903" s="137"/>
      <c r="AD903" s="137"/>
      <c r="AE903" s="137"/>
      <c r="AF903" s="137"/>
      <c r="AG903" s="137"/>
    </row>
    <row r="904" ht="30.0" customHeight="1">
      <c r="A904" s="248"/>
      <c r="B904" s="249"/>
      <c r="C904" s="248"/>
      <c r="D904" s="249"/>
      <c r="E904" s="251"/>
      <c r="F904" s="249"/>
      <c r="G904" s="250"/>
      <c r="H904" s="251"/>
      <c r="I904" s="252"/>
      <c r="J904" s="252"/>
      <c r="K904" s="252"/>
      <c r="L904" s="251"/>
      <c r="M904" s="251"/>
      <c r="N904" s="251"/>
      <c r="O904" s="251"/>
      <c r="P904" s="251"/>
      <c r="Q904" s="251"/>
      <c r="R904" s="251"/>
      <c r="S904" s="251"/>
      <c r="T904" s="251"/>
      <c r="U904" s="251"/>
      <c r="V904" s="251"/>
      <c r="W904" s="251"/>
      <c r="X904" s="251"/>
      <c r="Y904" s="251"/>
      <c r="Z904" s="251"/>
      <c r="AA904" s="137"/>
      <c r="AB904" s="137"/>
      <c r="AC904" s="137"/>
      <c r="AD904" s="137"/>
      <c r="AE904" s="137"/>
      <c r="AF904" s="137"/>
      <c r="AG904" s="137"/>
    </row>
    <row r="905" ht="30.0" customHeight="1">
      <c r="A905" s="248"/>
      <c r="B905" s="249"/>
      <c r="C905" s="249"/>
      <c r="D905" s="249"/>
      <c r="E905" s="251"/>
      <c r="F905" s="249"/>
      <c r="G905" s="250"/>
      <c r="H905" s="251"/>
      <c r="I905" s="252"/>
      <c r="J905" s="252"/>
      <c r="K905" s="252"/>
      <c r="L905" s="251"/>
      <c r="M905" s="251"/>
      <c r="N905" s="251"/>
      <c r="O905" s="251"/>
      <c r="P905" s="251"/>
      <c r="Q905" s="251"/>
      <c r="R905" s="251"/>
      <c r="S905" s="251"/>
      <c r="T905" s="251"/>
      <c r="U905" s="251"/>
      <c r="V905" s="251"/>
      <c r="W905" s="251"/>
      <c r="X905" s="251"/>
      <c r="Y905" s="251"/>
      <c r="Z905" s="251"/>
      <c r="AA905" s="137"/>
      <c r="AB905" s="137"/>
      <c r="AC905" s="137"/>
      <c r="AD905" s="137"/>
      <c r="AE905" s="137"/>
      <c r="AF905" s="137"/>
      <c r="AG905" s="137"/>
    </row>
    <row r="906" ht="30.0" customHeight="1">
      <c r="A906" s="248"/>
      <c r="B906" s="249"/>
      <c r="C906" s="248"/>
      <c r="D906" s="249"/>
      <c r="E906" s="251"/>
      <c r="F906" s="249"/>
      <c r="G906" s="250"/>
      <c r="H906" s="251"/>
      <c r="I906" s="252"/>
      <c r="J906" s="252"/>
      <c r="K906" s="252"/>
      <c r="L906" s="251"/>
      <c r="M906" s="251"/>
      <c r="N906" s="251"/>
      <c r="O906" s="251"/>
      <c r="P906" s="251"/>
      <c r="Q906" s="251"/>
      <c r="R906" s="251"/>
      <c r="S906" s="251"/>
      <c r="T906" s="251"/>
      <c r="U906" s="251"/>
      <c r="V906" s="251"/>
      <c r="W906" s="251"/>
      <c r="X906" s="251"/>
      <c r="Y906" s="251"/>
      <c r="Z906" s="251"/>
      <c r="AA906" s="137"/>
      <c r="AB906" s="137"/>
      <c r="AC906" s="137"/>
      <c r="AD906" s="137"/>
      <c r="AE906" s="137"/>
      <c r="AF906" s="137"/>
      <c r="AG906" s="137"/>
    </row>
    <row r="907" ht="30.0" customHeight="1">
      <c r="A907" s="248"/>
      <c r="B907" s="249"/>
      <c r="C907" s="248"/>
      <c r="D907" s="249"/>
      <c r="E907" s="251"/>
      <c r="F907" s="249"/>
      <c r="G907" s="250"/>
      <c r="H907" s="251"/>
      <c r="I907" s="252"/>
      <c r="J907" s="252"/>
      <c r="K907" s="252"/>
      <c r="L907" s="251"/>
      <c r="M907" s="251"/>
      <c r="N907" s="251"/>
      <c r="O907" s="251"/>
      <c r="P907" s="251"/>
      <c r="Q907" s="251"/>
      <c r="R907" s="251"/>
      <c r="S907" s="251"/>
      <c r="T907" s="251"/>
      <c r="U907" s="251"/>
      <c r="V907" s="251"/>
      <c r="W907" s="251"/>
      <c r="X907" s="251"/>
      <c r="Y907" s="251"/>
      <c r="Z907" s="251"/>
      <c r="AA907" s="137"/>
      <c r="AB907" s="137"/>
      <c r="AC907" s="137"/>
      <c r="AD907" s="137"/>
      <c r="AE907" s="137"/>
      <c r="AF907" s="137"/>
      <c r="AG907" s="137"/>
    </row>
    <row r="908" ht="30.0" customHeight="1">
      <c r="A908" s="248"/>
      <c r="B908" s="249"/>
      <c r="C908" s="248"/>
      <c r="D908" s="249"/>
      <c r="E908" s="251"/>
      <c r="F908" s="249"/>
      <c r="G908" s="250"/>
      <c r="H908" s="251"/>
      <c r="I908" s="252"/>
      <c r="J908" s="252"/>
      <c r="K908" s="252"/>
      <c r="L908" s="251"/>
      <c r="M908" s="251"/>
      <c r="N908" s="251"/>
      <c r="O908" s="251"/>
      <c r="P908" s="251"/>
      <c r="Q908" s="251"/>
      <c r="R908" s="251"/>
      <c r="S908" s="251"/>
      <c r="T908" s="251"/>
      <c r="U908" s="251"/>
      <c r="V908" s="251"/>
      <c r="W908" s="251"/>
      <c r="X908" s="251"/>
      <c r="Y908" s="251"/>
      <c r="Z908" s="251"/>
      <c r="AA908" s="137"/>
      <c r="AB908" s="137"/>
      <c r="AC908" s="137"/>
      <c r="AD908" s="137"/>
      <c r="AE908" s="137"/>
      <c r="AF908" s="137"/>
      <c r="AG908" s="137"/>
    </row>
    <row r="909" ht="30.0" customHeight="1">
      <c r="A909" s="248"/>
      <c r="B909" s="249"/>
      <c r="C909" s="249"/>
      <c r="D909" s="249"/>
      <c r="E909" s="251"/>
      <c r="F909" s="249"/>
      <c r="G909" s="250"/>
      <c r="H909" s="251"/>
      <c r="I909" s="252"/>
      <c r="J909" s="252"/>
      <c r="K909" s="252"/>
      <c r="L909" s="251"/>
      <c r="M909" s="251"/>
      <c r="N909" s="251"/>
      <c r="O909" s="251"/>
      <c r="P909" s="251"/>
      <c r="Q909" s="251"/>
      <c r="R909" s="251"/>
      <c r="S909" s="251"/>
      <c r="T909" s="251"/>
      <c r="U909" s="251"/>
      <c r="V909" s="251"/>
      <c r="W909" s="251"/>
      <c r="X909" s="251"/>
      <c r="Y909" s="251"/>
      <c r="Z909" s="251"/>
      <c r="AA909" s="137"/>
      <c r="AB909" s="137"/>
      <c r="AC909" s="137"/>
      <c r="AD909" s="137"/>
      <c r="AE909" s="137"/>
      <c r="AF909" s="137"/>
      <c r="AG909" s="137"/>
    </row>
    <row r="910" ht="30.0" customHeight="1">
      <c r="A910" s="248"/>
      <c r="B910" s="251"/>
      <c r="C910" s="249"/>
      <c r="D910" s="249"/>
      <c r="E910" s="249"/>
      <c r="F910" s="249"/>
      <c r="G910" s="250"/>
      <c r="H910" s="251"/>
      <c r="I910" s="252"/>
      <c r="J910" s="252"/>
      <c r="K910" s="252"/>
      <c r="L910" s="251"/>
      <c r="M910" s="251"/>
      <c r="N910" s="251"/>
      <c r="O910" s="251"/>
      <c r="P910" s="251"/>
      <c r="Q910" s="251"/>
      <c r="R910" s="251"/>
      <c r="S910" s="251"/>
      <c r="T910" s="251"/>
      <c r="U910" s="251"/>
      <c r="V910" s="251"/>
      <c r="W910" s="251"/>
      <c r="X910" s="251"/>
      <c r="Y910" s="251"/>
      <c r="Z910" s="251"/>
      <c r="AA910" s="137"/>
      <c r="AB910" s="137"/>
      <c r="AC910" s="137"/>
      <c r="AD910" s="137"/>
      <c r="AE910" s="137"/>
      <c r="AF910" s="137"/>
      <c r="AG910" s="137"/>
    </row>
    <row r="911" ht="30.0" customHeight="1">
      <c r="A911" s="248"/>
      <c r="B911" s="249"/>
      <c r="C911" s="248"/>
      <c r="D911" s="249"/>
      <c r="E911" s="251"/>
      <c r="F911" s="249"/>
      <c r="G911" s="250"/>
      <c r="H911" s="251"/>
      <c r="I911" s="252"/>
      <c r="J911" s="252"/>
      <c r="K911" s="252"/>
      <c r="L911" s="251"/>
      <c r="M911" s="251"/>
      <c r="N911" s="251"/>
      <c r="O911" s="251"/>
      <c r="P911" s="251"/>
      <c r="Q911" s="251"/>
      <c r="R911" s="251"/>
      <c r="S911" s="251"/>
      <c r="T911" s="251"/>
      <c r="U911" s="251"/>
      <c r="V911" s="251"/>
      <c r="W911" s="251"/>
      <c r="X911" s="251"/>
      <c r="Y911" s="251"/>
      <c r="Z911" s="251"/>
      <c r="AA911" s="137"/>
      <c r="AB911" s="137"/>
      <c r="AC911" s="137"/>
      <c r="AD911" s="137"/>
      <c r="AE911" s="137"/>
      <c r="AF911" s="137"/>
      <c r="AG911" s="137"/>
    </row>
    <row r="912" ht="30.0" customHeight="1">
      <c r="A912" s="248"/>
      <c r="B912" s="249"/>
      <c r="C912" s="248"/>
      <c r="D912" s="249"/>
      <c r="E912" s="251"/>
      <c r="F912" s="249"/>
      <c r="G912" s="250"/>
      <c r="H912" s="251"/>
      <c r="I912" s="252"/>
      <c r="J912" s="252"/>
      <c r="K912" s="252"/>
      <c r="L912" s="251"/>
      <c r="M912" s="251"/>
      <c r="N912" s="251"/>
      <c r="O912" s="251"/>
      <c r="P912" s="251"/>
      <c r="Q912" s="251"/>
      <c r="R912" s="251"/>
      <c r="S912" s="251"/>
      <c r="T912" s="251"/>
      <c r="U912" s="251"/>
      <c r="V912" s="251"/>
      <c r="W912" s="251"/>
      <c r="X912" s="251"/>
      <c r="Y912" s="251"/>
      <c r="Z912" s="251"/>
      <c r="AA912" s="137"/>
      <c r="AB912" s="137"/>
      <c r="AC912" s="137"/>
      <c r="AD912" s="137"/>
      <c r="AE912" s="137"/>
      <c r="AF912" s="137"/>
      <c r="AG912" s="137"/>
    </row>
    <row r="913" ht="30.0" customHeight="1">
      <c r="A913" s="248"/>
      <c r="B913" s="249"/>
      <c r="C913" s="248"/>
      <c r="D913" s="249"/>
      <c r="E913" s="251"/>
      <c r="F913" s="249"/>
      <c r="G913" s="250"/>
      <c r="H913" s="251"/>
      <c r="I913" s="252"/>
      <c r="J913" s="252"/>
      <c r="K913" s="252"/>
      <c r="L913" s="251"/>
      <c r="M913" s="251"/>
      <c r="N913" s="251"/>
      <c r="O913" s="251"/>
      <c r="P913" s="251"/>
      <c r="Q913" s="251"/>
      <c r="R913" s="251"/>
      <c r="S913" s="251"/>
      <c r="T913" s="251"/>
      <c r="U913" s="251"/>
      <c r="V913" s="251"/>
      <c r="W913" s="251"/>
      <c r="X913" s="251"/>
      <c r="Y913" s="251"/>
      <c r="Z913" s="251"/>
      <c r="AA913" s="137"/>
      <c r="AB913" s="137"/>
      <c r="AC913" s="137"/>
      <c r="AD913" s="137"/>
      <c r="AE913" s="137"/>
      <c r="AF913" s="137"/>
      <c r="AG913" s="137"/>
    </row>
    <row r="914" ht="30.0" customHeight="1">
      <c r="A914" s="248"/>
      <c r="B914" s="249"/>
      <c r="C914" s="248"/>
      <c r="D914" s="249"/>
      <c r="E914" s="251"/>
      <c r="F914" s="249"/>
      <c r="G914" s="250"/>
      <c r="H914" s="251"/>
      <c r="I914" s="252"/>
      <c r="J914" s="252"/>
      <c r="K914" s="252"/>
      <c r="L914" s="251"/>
      <c r="M914" s="251"/>
      <c r="N914" s="251"/>
      <c r="O914" s="251"/>
      <c r="P914" s="251"/>
      <c r="Q914" s="251"/>
      <c r="R914" s="251"/>
      <c r="S914" s="251"/>
      <c r="T914" s="251"/>
      <c r="U914" s="251"/>
      <c r="V914" s="251"/>
      <c r="W914" s="251"/>
      <c r="X914" s="251"/>
      <c r="Y914" s="251"/>
      <c r="Z914" s="251"/>
      <c r="AA914" s="137"/>
      <c r="AB914" s="137"/>
      <c r="AC914" s="137"/>
      <c r="AD914" s="137"/>
      <c r="AE914" s="137"/>
      <c r="AF914" s="137"/>
      <c r="AG914" s="137"/>
    </row>
    <row r="915" ht="30.0" customHeight="1">
      <c r="A915" s="248"/>
      <c r="B915" s="249"/>
      <c r="C915" s="248"/>
      <c r="D915" s="249"/>
      <c r="E915" s="251"/>
      <c r="F915" s="249"/>
      <c r="G915" s="250"/>
      <c r="H915" s="251"/>
      <c r="I915" s="252"/>
      <c r="J915" s="252"/>
      <c r="K915" s="252"/>
      <c r="L915" s="251"/>
      <c r="M915" s="251"/>
      <c r="N915" s="251"/>
      <c r="O915" s="251"/>
      <c r="P915" s="251"/>
      <c r="Q915" s="251"/>
      <c r="R915" s="251"/>
      <c r="S915" s="251"/>
      <c r="T915" s="251"/>
      <c r="U915" s="251"/>
      <c r="V915" s="251"/>
      <c r="W915" s="251"/>
      <c r="X915" s="251"/>
      <c r="Y915" s="251"/>
      <c r="Z915" s="251"/>
      <c r="AA915" s="137"/>
      <c r="AB915" s="137"/>
      <c r="AC915" s="137"/>
      <c r="AD915" s="137"/>
      <c r="AE915" s="137"/>
      <c r="AF915" s="137"/>
      <c r="AG915" s="137"/>
    </row>
    <row r="916" ht="30.0" customHeight="1">
      <c r="A916" s="248"/>
      <c r="B916" s="249"/>
      <c r="C916" s="248"/>
      <c r="D916" s="249"/>
      <c r="E916" s="251"/>
      <c r="F916" s="249"/>
      <c r="G916" s="250"/>
      <c r="H916" s="251"/>
      <c r="I916" s="252"/>
      <c r="J916" s="252"/>
      <c r="K916" s="252"/>
      <c r="L916" s="251"/>
      <c r="M916" s="251"/>
      <c r="N916" s="251"/>
      <c r="O916" s="251"/>
      <c r="P916" s="251"/>
      <c r="Q916" s="251"/>
      <c r="R916" s="251"/>
      <c r="S916" s="251"/>
      <c r="T916" s="251"/>
      <c r="U916" s="251"/>
      <c r="V916" s="251"/>
      <c r="W916" s="251"/>
      <c r="X916" s="251"/>
      <c r="Y916" s="251"/>
      <c r="Z916" s="251"/>
      <c r="AA916" s="137"/>
      <c r="AB916" s="137"/>
      <c r="AC916" s="137"/>
      <c r="AD916" s="137"/>
      <c r="AE916" s="137"/>
      <c r="AF916" s="137"/>
      <c r="AG916" s="137"/>
    </row>
    <row r="917" ht="30.0" customHeight="1">
      <c r="A917" s="248"/>
      <c r="B917" s="249"/>
      <c r="C917" s="248"/>
      <c r="D917" s="249"/>
      <c r="E917" s="251"/>
      <c r="F917" s="249"/>
      <c r="G917" s="250"/>
      <c r="H917" s="251"/>
      <c r="I917" s="252"/>
      <c r="J917" s="252"/>
      <c r="K917" s="252"/>
      <c r="L917" s="251"/>
      <c r="M917" s="251"/>
      <c r="N917" s="251"/>
      <c r="O917" s="251"/>
      <c r="P917" s="251"/>
      <c r="Q917" s="251"/>
      <c r="R917" s="251"/>
      <c r="S917" s="251"/>
      <c r="T917" s="251"/>
      <c r="U917" s="251"/>
      <c r="V917" s="251"/>
      <c r="W917" s="251"/>
      <c r="X917" s="251"/>
      <c r="Y917" s="251"/>
      <c r="Z917" s="251"/>
      <c r="AA917" s="137"/>
      <c r="AB917" s="137"/>
      <c r="AC917" s="137"/>
      <c r="AD917" s="137"/>
      <c r="AE917" s="137"/>
      <c r="AF917" s="137"/>
      <c r="AG917" s="137"/>
    </row>
    <row r="918" ht="30.0" customHeight="1">
      <c r="A918" s="248"/>
      <c r="B918" s="249"/>
      <c r="C918" s="248"/>
      <c r="D918" s="249"/>
      <c r="E918" s="251"/>
      <c r="F918" s="249"/>
      <c r="G918" s="250"/>
      <c r="H918" s="251"/>
      <c r="I918" s="252"/>
      <c r="J918" s="252"/>
      <c r="K918" s="252"/>
      <c r="L918" s="251"/>
      <c r="M918" s="251"/>
      <c r="N918" s="251"/>
      <c r="O918" s="251"/>
      <c r="P918" s="251"/>
      <c r="Q918" s="251"/>
      <c r="R918" s="251"/>
      <c r="S918" s="251"/>
      <c r="T918" s="251"/>
      <c r="U918" s="251"/>
      <c r="V918" s="251"/>
      <c r="W918" s="251"/>
      <c r="X918" s="251"/>
      <c r="Y918" s="251"/>
      <c r="Z918" s="251"/>
      <c r="AA918" s="137"/>
      <c r="AB918" s="137"/>
      <c r="AC918" s="137"/>
      <c r="AD918" s="137"/>
      <c r="AE918" s="137"/>
      <c r="AF918" s="137"/>
      <c r="AG918" s="137"/>
    </row>
    <row r="919" ht="30.0" customHeight="1">
      <c r="A919" s="248"/>
      <c r="B919" s="249"/>
      <c r="C919" s="248"/>
      <c r="D919" s="249"/>
      <c r="E919" s="251"/>
      <c r="F919" s="249"/>
      <c r="G919" s="250"/>
      <c r="H919" s="251"/>
      <c r="I919" s="252"/>
      <c r="J919" s="252"/>
      <c r="K919" s="252"/>
      <c r="L919" s="251"/>
      <c r="M919" s="251"/>
      <c r="N919" s="251"/>
      <c r="O919" s="251"/>
      <c r="P919" s="251"/>
      <c r="Q919" s="251"/>
      <c r="R919" s="251"/>
      <c r="S919" s="251"/>
      <c r="T919" s="251"/>
      <c r="U919" s="251"/>
      <c r="V919" s="251"/>
      <c r="W919" s="251"/>
      <c r="X919" s="251"/>
      <c r="Y919" s="251"/>
      <c r="Z919" s="251"/>
      <c r="AA919" s="137"/>
      <c r="AB919" s="137"/>
      <c r="AC919" s="137"/>
      <c r="AD919" s="137"/>
      <c r="AE919" s="137"/>
      <c r="AF919" s="137"/>
      <c r="AG919" s="137"/>
    </row>
    <row r="920" ht="30.0" customHeight="1">
      <c r="A920" s="248"/>
      <c r="B920" s="251"/>
      <c r="C920" s="248"/>
      <c r="D920" s="249"/>
      <c r="E920" s="249"/>
      <c r="F920" s="249"/>
      <c r="G920" s="250"/>
      <c r="H920" s="251"/>
      <c r="I920" s="252"/>
      <c r="J920" s="252"/>
      <c r="K920" s="252"/>
      <c r="L920" s="251"/>
      <c r="M920" s="251"/>
      <c r="N920" s="251"/>
      <c r="O920" s="251"/>
      <c r="P920" s="251"/>
      <c r="Q920" s="251"/>
      <c r="R920" s="251"/>
      <c r="S920" s="251"/>
      <c r="T920" s="251"/>
      <c r="U920" s="251"/>
      <c r="V920" s="251"/>
      <c r="W920" s="251"/>
      <c r="X920" s="251"/>
      <c r="Y920" s="251"/>
      <c r="Z920" s="251"/>
      <c r="AA920" s="137"/>
      <c r="AB920" s="137"/>
      <c r="AC920" s="137"/>
      <c r="AD920" s="137"/>
      <c r="AE920" s="137"/>
      <c r="AF920" s="137"/>
      <c r="AG920" s="137"/>
    </row>
    <row r="921" ht="30.0" customHeight="1">
      <c r="A921" s="248"/>
      <c r="B921" s="251"/>
      <c r="C921" s="248"/>
      <c r="D921" s="249"/>
      <c r="E921" s="249"/>
      <c r="F921" s="249"/>
      <c r="G921" s="250"/>
      <c r="H921" s="251"/>
      <c r="I921" s="252"/>
      <c r="J921" s="252"/>
      <c r="K921" s="252"/>
      <c r="L921" s="251"/>
      <c r="M921" s="251"/>
      <c r="N921" s="251"/>
      <c r="O921" s="251"/>
      <c r="P921" s="251"/>
      <c r="Q921" s="251"/>
      <c r="R921" s="251"/>
      <c r="S921" s="251"/>
      <c r="T921" s="251"/>
      <c r="U921" s="251"/>
      <c r="V921" s="251"/>
      <c r="W921" s="251"/>
      <c r="X921" s="251"/>
      <c r="Y921" s="251"/>
      <c r="Z921" s="251"/>
      <c r="AA921" s="137"/>
      <c r="AB921" s="137"/>
      <c r="AC921" s="137"/>
      <c r="AD921" s="137"/>
      <c r="AE921" s="137"/>
      <c r="AF921" s="137"/>
      <c r="AG921" s="137"/>
    </row>
    <row r="922" ht="30.0" customHeight="1">
      <c r="A922" s="248"/>
      <c r="B922" s="251"/>
      <c r="C922" s="248"/>
      <c r="D922" s="249"/>
      <c r="E922" s="249"/>
      <c r="F922" s="249"/>
      <c r="G922" s="250"/>
      <c r="H922" s="251"/>
      <c r="I922" s="252"/>
      <c r="J922" s="252"/>
      <c r="K922" s="252"/>
      <c r="L922" s="251"/>
      <c r="M922" s="251"/>
      <c r="N922" s="251"/>
      <c r="O922" s="251"/>
      <c r="P922" s="251"/>
      <c r="Q922" s="251"/>
      <c r="R922" s="251"/>
      <c r="S922" s="251"/>
      <c r="T922" s="251"/>
      <c r="U922" s="251"/>
      <c r="V922" s="251"/>
      <c r="W922" s="251"/>
      <c r="X922" s="251"/>
      <c r="Y922" s="251"/>
      <c r="Z922" s="251"/>
      <c r="AA922" s="137"/>
      <c r="AB922" s="137"/>
      <c r="AC922" s="137"/>
      <c r="AD922" s="137"/>
      <c r="AE922" s="137"/>
      <c r="AF922" s="137"/>
      <c r="AG922" s="137"/>
    </row>
    <row r="923" ht="30.0" customHeight="1">
      <c r="A923" s="248"/>
      <c r="B923" s="249"/>
      <c r="C923" s="248"/>
      <c r="D923" s="249"/>
      <c r="E923" s="251"/>
      <c r="F923" s="249"/>
      <c r="G923" s="250"/>
      <c r="H923" s="251"/>
      <c r="I923" s="252"/>
      <c r="J923" s="252"/>
      <c r="K923" s="252"/>
      <c r="L923" s="251"/>
      <c r="M923" s="251"/>
      <c r="N923" s="251"/>
      <c r="O923" s="251"/>
      <c r="P923" s="251"/>
      <c r="Q923" s="251"/>
      <c r="R923" s="251"/>
      <c r="S923" s="251"/>
      <c r="T923" s="251"/>
      <c r="U923" s="251"/>
      <c r="V923" s="251"/>
      <c r="W923" s="251"/>
      <c r="X923" s="251"/>
      <c r="Y923" s="251"/>
      <c r="Z923" s="251"/>
      <c r="AA923" s="137"/>
      <c r="AB923" s="137"/>
      <c r="AC923" s="137"/>
      <c r="AD923" s="137"/>
      <c r="AE923" s="137"/>
      <c r="AF923" s="137"/>
      <c r="AG923" s="137"/>
    </row>
    <row r="924" ht="30.0" customHeight="1">
      <c r="A924" s="248"/>
      <c r="B924" s="249"/>
      <c r="C924" s="248"/>
      <c r="D924" s="249"/>
      <c r="E924" s="249"/>
      <c r="F924" s="249"/>
      <c r="G924" s="250"/>
      <c r="H924" s="251"/>
      <c r="I924" s="252"/>
      <c r="J924" s="252"/>
      <c r="K924" s="252"/>
      <c r="L924" s="251"/>
      <c r="M924" s="251"/>
      <c r="N924" s="251"/>
      <c r="O924" s="251"/>
      <c r="P924" s="251"/>
      <c r="Q924" s="251"/>
      <c r="R924" s="251"/>
      <c r="S924" s="251"/>
      <c r="T924" s="251"/>
      <c r="U924" s="251"/>
      <c r="V924" s="251"/>
      <c r="W924" s="251"/>
      <c r="X924" s="251"/>
      <c r="Y924" s="251"/>
      <c r="Z924" s="251"/>
      <c r="AA924" s="137"/>
      <c r="AB924" s="137"/>
      <c r="AC924" s="137"/>
      <c r="AD924" s="137"/>
      <c r="AE924" s="137"/>
      <c r="AF924" s="137"/>
      <c r="AG924" s="137"/>
    </row>
    <row r="925" ht="30.0" customHeight="1">
      <c r="A925" s="248"/>
      <c r="B925" s="249"/>
      <c r="C925" s="248"/>
      <c r="D925" s="249"/>
      <c r="E925" s="251"/>
      <c r="F925" s="249"/>
      <c r="G925" s="250"/>
      <c r="H925" s="251"/>
      <c r="I925" s="252"/>
      <c r="J925" s="252"/>
      <c r="K925" s="252"/>
      <c r="L925" s="251"/>
      <c r="M925" s="251"/>
      <c r="N925" s="251"/>
      <c r="O925" s="251"/>
      <c r="P925" s="251"/>
      <c r="Q925" s="251"/>
      <c r="R925" s="251"/>
      <c r="S925" s="251"/>
      <c r="T925" s="251"/>
      <c r="U925" s="251"/>
      <c r="V925" s="251"/>
      <c r="W925" s="251"/>
      <c r="X925" s="251"/>
      <c r="Y925" s="251"/>
      <c r="Z925" s="251"/>
      <c r="AA925" s="137"/>
      <c r="AB925" s="137"/>
      <c r="AC925" s="137"/>
      <c r="AD925" s="137"/>
      <c r="AE925" s="137"/>
      <c r="AF925" s="137"/>
      <c r="AG925" s="137"/>
    </row>
    <row r="926" ht="30.0" customHeight="1">
      <c r="A926" s="248"/>
      <c r="B926" s="249"/>
      <c r="C926" s="248"/>
      <c r="D926" s="249"/>
      <c r="E926" s="251"/>
      <c r="F926" s="249"/>
      <c r="G926" s="250"/>
      <c r="H926" s="251"/>
      <c r="I926" s="252"/>
      <c r="J926" s="252"/>
      <c r="K926" s="252"/>
      <c r="L926" s="251"/>
      <c r="M926" s="251"/>
      <c r="N926" s="251"/>
      <c r="O926" s="251"/>
      <c r="P926" s="251"/>
      <c r="Q926" s="251"/>
      <c r="R926" s="251"/>
      <c r="S926" s="251"/>
      <c r="T926" s="251"/>
      <c r="U926" s="251"/>
      <c r="V926" s="251"/>
      <c r="W926" s="251"/>
      <c r="X926" s="251"/>
      <c r="Y926" s="251"/>
      <c r="Z926" s="251"/>
      <c r="AA926" s="137"/>
      <c r="AB926" s="137"/>
      <c r="AC926" s="137"/>
      <c r="AD926" s="137"/>
      <c r="AE926" s="137"/>
      <c r="AF926" s="137"/>
      <c r="AG926" s="137"/>
    </row>
    <row r="927" ht="30.0" customHeight="1">
      <c r="A927" s="248"/>
      <c r="B927" s="249"/>
      <c r="C927" s="248"/>
      <c r="D927" s="249"/>
      <c r="E927" s="251"/>
      <c r="F927" s="249"/>
      <c r="G927" s="250"/>
      <c r="H927" s="251"/>
      <c r="I927" s="252"/>
      <c r="J927" s="252"/>
      <c r="K927" s="252"/>
      <c r="L927" s="251"/>
      <c r="M927" s="251"/>
      <c r="N927" s="251"/>
      <c r="O927" s="251"/>
      <c r="P927" s="251"/>
      <c r="Q927" s="251"/>
      <c r="R927" s="251"/>
      <c r="S927" s="251"/>
      <c r="T927" s="251"/>
      <c r="U927" s="251"/>
      <c r="V927" s="251"/>
      <c r="W927" s="251"/>
      <c r="X927" s="251"/>
      <c r="Y927" s="251"/>
      <c r="Z927" s="251"/>
      <c r="AA927" s="137"/>
      <c r="AB927" s="137"/>
      <c r="AC927" s="137"/>
      <c r="AD927" s="137"/>
      <c r="AE927" s="137"/>
      <c r="AF927" s="137"/>
      <c r="AG927" s="137"/>
    </row>
    <row r="928" ht="30.0" customHeight="1">
      <c r="A928" s="248"/>
      <c r="B928" s="249"/>
      <c r="C928" s="248"/>
      <c r="D928" s="249"/>
      <c r="E928" s="251"/>
      <c r="F928" s="249"/>
      <c r="G928" s="249"/>
      <c r="H928" s="251"/>
      <c r="I928" s="252"/>
      <c r="J928" s="252"/>
      <c r="K928" s="252"/>
      <c r="L928" s="251"/>
      <c r="M928" s="251"/>
      <c r="N928" s="251"/>
      <c r="O928" s="251"/>
      <c r="P928" s="251"/>
      <c r="Q928" s="251"/>
      <c r="R928" s="251"/>
      <c r="S928" s="251"/>
      <c r="T928" s="251"/>
      <c r="U928" s="251"/>
      <c r="V928" s="251"/>
      <c r="W928" s="251"/>
      <c r="X928" s="251"/>
      <c r="Y928" s="251"/>
      <c r="Z928" s="251"/>
      <c r="AA928" s="137"/>
      <c r="AB928" s="137"/>
      <c r="AC928" s="137"/>
      <c r="AD928" s="137"/>
      <c r="AE928" s="137"/>
      <c r="AF928" s="137"/>
      <c r="AG928" s="137"/>
    </row>
    <row r="929" ht="30.0" customHeight="1">
      <c r="A929" s="248"/>
      <c r="B929" s="249"/>
      <c r="C929" s="248"/>
      <c r="D929" s="249"/>
      <c r="E929" s="249"/>
      <c r="F929" s="249"/>
      <c r="G929" s="249"/>
      <c r="H929" s="251"/>
      <c r="I929" s="252"/>
      <c r="J929" s="252"/>
      <c r="K929" s="252"/>
      <c r="L929" s="251"/>
      <c r="M929" s="251"/>
      <c r="N929" s="251"/>
      <c r="O929" s="251"/>
      <c r="P929" s="251"/>
      <c r="Q929" s="251"/>
      <c r="R929" s="251"/>
      <c r="S929" s="251"/>
      <c r="T929" s="251"/>
      <c r="U929" s="251"/>
      <c r="V929" s="251"/>
      <c r="W929" s="251"/>
      <c r="X929" s="251"/>
      <c r="Y929" s="251"/>
      <c r="Z929" s="251"/>
      <c r="AA929" s="137"/>
      <c r="AB929" s="137"/>
      <c r="AC929" s="137"/>
      <c r="AD929" s="137"/>
      <c r="AE929" s="137"/>
      <c r="AF929" s="137"/>
      <c r="AG929" s="137"/>
    </row>
    <row r="930" ht="30.0" customHeight="1">
      <c r="A930" s="248"/>
      <c r="B930" s="249"/>
      <c r="C930" s="248"/>
      <c r="D930" s="249"/>
      <c r="E930" s="251"/>
      <c r="F930" s="249"/>
      <c r="G930" s="249"/>
      <c r="H930" s="251"/>
      <c r="I930" s="252"/>
      <c r="J930" s="252"/>
      <c r="K930" s="252"/>
      <c r="L930" s="251"/>
      <c r="M930" s="251"/>
      <c r="N930" s="251"/>
      <c r="O930" s="251"/>
      <c r="P930" s="251"/>
      <c r="Q930" s="251"/>
      <c r="R930" s="251"/>
      <c r="S930" s="251"/>
      <c r="T930" s="251"/>
      <c r="U930" s="251"/>
      <c r="V930" s="251"/>
      <c r="W930" s="251"/>
      <c r="X930" s="251"/>
      <c r="Y930" s="251"/>
      <c r="Z930" s="251"/>
      <c r="AA930" s="137"/>
      <c r="AB930" s="137"/>
      <c r="AC930" s="137"/>
      <c r="AD930" s="137"/>
      <c r="AE930" s="137"/>
      <c r="AF930" s="137"/>
      <c r="AG930" s="137"/>
    </row>
    <row r="931" ht="30.0" customHeight="1">
      <c r="A931" s="249"/>
      <c r="B931" s="249"/>
      <c r="C931" s="248"/>
      <c r="D931" s="249"/>
      <c r="E931" s="251"/>
      <c r="F931" s="249"/>
      <c r="G931" s="249"/>
      <c r="H931" s="251"/>
      <c r="I931" s="252"/>
      <c r="J931" s="252"/>
      <c r="K931" s="252"/>
      <c r="L931" s="251"/>
      <c r="M931" s="251"/>
      <c r="N931" s="251"/>
      <c r="O931" s="251"/>
      <c r="P931" s="251"/>
      <c r="Q931" s="251"/>
      <c r="R931" s="251"/>
      <c r="S931" s="251"/>
      <c r="T931" s="251"/>
      <c r="U931" s="251"/>
      <c r="V931" s="251"/>
      <c r="W931" s="251"/>
      <c r="X931" s="251"/>
      <c r="Y931" s="251"/>
      <c r="Z931" s="251"/>
      <c r="AA931" s="137"/>
      <c r="AB931" s="137"/>
      <c r="AC931" s="137"/>
      <c r="AD931" s="137"/>
      <c r="AE931" s="137"/>
      <c r="AF931" s="137"/>
      <c r="AG931" s="137"/>
    </row>
    <row r="932" ht="30.0" customHeight="1">
      <c r="A932" s="248"/>
      <c r="B932" s="249"/>
      <c r="C932" s="249"/>
      <c r="D932" s="249"/>
      <c r="E932" s="251"/>
      <c r="F932" s="249"/>
      <c r="G932" s="250"/>
      <c r="H932" s="251"/>
      <c r="I932" s="252"/>
      <c r="J932" s="252"/>
      <c r="K932" s="252"/>
      <c r="L932" s="251"/>
      <c r="M932" s="251"/>
      <c r="N932" s="251"/>
      <c r="O932" s="251"/>
      <c r="P932" s="251"/>
      <c r="Q932" s="251"/>
      <c r="R932" s="251"/>
      <c r="S932" s="251"/>
      <c r="T932" s="251"/>
      <c r="U932" s="251"/>
      <c r="V932" s="251"/>
      <c r="W932" s="251"/>
      <c r="X932" s="251"/>
      <c r="Y932" s="251"/>
      <c r="Z932" s="251"/>
      <c r="AA932" s="137"/>
      <c r="AB932" s="137"/>
      <c r="AC932" s="137"/>
      <c r="AD932" s="137"/>
      <c r="AE932" s="137"/>
      <c r="AF932" s="137"/>
      <c r="AG932" s="137"/>
    </row>
    <row r="933" ht="30.0" customHeight="1">
      <c r="A933" s="248"/>
      <c r="B933" s="249"/>
      <c r="C933" s="248"/>
      <c r="D933" s="249"/>
      <c r="E933" s="251"/>
      <c r="F933" s="249"/>
      <c r="G933" s="250"/>
      <c r="H933" s="251"/>
      <c r="I933" s="252"/>
      <c r="J933" s="252"/>
      <c r="K933" s="252"/>
      <c r="L933" s="251"/>
      <c r="M933" s="251"/>
      <c r="N933" s="251"/>
      <c r="O933" s="251"/>
      <c r="P933" s="251"/>
      <c r="Q933" s="251"/>
      <c r="R933" s="251"/>
      <c r="S933" s="251"/>
      <c r="T933" s="251"/>
      <c r="U933" s="251"/>
      <c r="V933" s="251"/>
      <c r="W933" s="251"/>
      <c r="X933" s="251"/>
      <c r="Y933" s="251"/>
      <c r="Z933" s="251"/>
      <c r="AA933" s="137"/>
      <c r="AB933" s="137"/>
      <c r="AC933" s="137"/>
      <c r="AD933" s="137"/>
      <c r="AE933" s="137"/>
      <c r="AF933" s="137"/>
      <c r="AG933" s="137"/>
    </row>
    <row r="934" ht="30.0" customHeight="1">
      <c r="A934" s="248"/>
      <c r="B934" s="249"/>
      <c r="C934" s="248"/>
      <c r="D934" s="249"/>
      <c r="E934" s="251"/>
      <c r="F934" s="249"/>
      <c r="G934" s="250"/>
      <c r="H934" s="251"/>
      <c r="I934" s="252"/>
      <c r="J934" s="252"/>
      <c r="K934" s="252"/>
      <c r="L934" s="251"/>
      <c r="M934" s="251"/>
      <c r="N934" s="251"/>
      <c r="O934" s="251"/>
      <c r="P934" s="251"/>
      <c r="Q934" s="251"/>
      <c r="R934" s="251"/>
      <c r="S934" s="251"/>
      <c r="T934" s="251"/>
      <c r="U934" s="251"/>
      <c r="V934" s="251"/>
      <c r="W934" s="251"/>
      <c r="X934" s="251"/>
      <c r="Y934" s="251"/>
      <c r="Z934" s="251"/>
      <c r="AA934" s="137"/>
      <c r="AB934" s="137"/>
      <c r="AC934" s="137"/>
      <c r="AD934" s="137"/>
      <c r="AE934" s="137"/>
      <c r="AF934" s="137"/>
      <c r="AG934" s="137"/>
    </row>
    <row r="935" ht="30.0" customHeight="1">
      <c r="A935" s="248"/>
      <c r="B935" s="249"/>
      <c r="C935" s="248"/>
      <c r="D935" s="249"/>
      <c r="E935" s="251"/>
      <c r="F935" s="249"/>
      <c r="G935" s="250"/>
      <c r="H935" s="251"/>
      <c r="I935" s="252"/>
      <c r="J935" s="252"/>
      <c r="K935" s="252"/>
      <c r="L935" s="251"/>
      <c r="M935" s="251"/>
      <c r="N935" s="251"/>
      <c r="O935" s="251"/>
      <c r="P935" s="251"/>
      <c r="Q935" s="251"/>
      <c r="R935" s="251"/>
      <c r="S935" s="251"/>
      <c r="T935" s="251"/>
      <c r="U935" s="251"/>
      <c r="V935" s="251"/>
      <c r="W935" s="251"/>
      <c r="X935" s="251"/>
      <c r="Y935" s="251"/>
      <c r="Z935" s="251"/>
      <c r="AA935" s="137"/>
      <c r="AB935" s="137"/>
      <c r="AC935" s="137"/>
      <c r="AD935" s="137"/>
      <c r="AE935" s="137"/>
      <c r="AF935" s="137"/>
      <c r="AG935" s="137"/>
    </row>
    <row r="936" ht="30.0" customHeight="1">
      <c r="A936" s="248"/>
      <c r="B936" s="249"/>
      <c r="C936" s="248"/>
      <c r="D936" s="249"/>
      <c r="E936" s="251"/>
      <c r="F936" s="249"/>
      <c r="G936" s="250"/>
      <c r="H936" s="251"/>
      <c r="I936" s="252"/>
      <c r="J936" s="252"/>
      <c r="K936" s="252"/>
      <c r="L936" s="251"/>
      <c r="M936" s="251"/>
      <c r="N936" s="251"/>
      <c r="O936" s="251"/>
      <c r="P936" s="251"/>
      <c r="Q936" s="251"/>
      <c r="R936" s="251"/>
      <c r="S936" s="251"/>
      <c r="T936" s="251"/>
      <c r="U936" s="251"/>
      <c r="V936" s="251"/>
      <c r="W936" s="251"/>
      <c r="X936" s="251"/>
      <c r="Y936" s="251"/>
      <c r="Z936" s="251"/>
      <c r="AA936" s="137"/>
      <c r="AB936" s="137"/>
      <c r="AC936" s="137"/>
      <c r="AD936" s="137"/>
      <c r="AE936" s="137"/>
      <c r="AF936" s="137"/>
      <c r="AG936" s="137"/>
    </row>
    <row r="937" ht="30.0" customHeight="1">
      <c r="A937" s="248"/>
      <c r="B937" s="249"/>
      <c r="C937" s="248"/>
      <c r="D937" s="249"/>
      <c r="E937" s="251"/>
      <c r="F937" s="249"/>
      <c r="G937" s="250"/>
      <c r="H937" s="251"/>
      <c r="I937" s="252"/>
      <c r="J937" s="252"/>
      <c r="K937" s="252"/>
      <c r="L937" s="251"/>
      <c r="M937" s="251"/>
      <c r="N937" s="251"/>
      <c r="O937" s="251"/>
      <c r="P937" s="251"/>
      <c r="Q937" s="251"/>
      <c r="R937" s="251"/>
      <c r="S937" s="251"/>
      <c r="T937" s="251"/>
      <c r="U937" s="251"/>
      <c r="V937" s="251"/>
      <c r="W937" s="251"/>
      <c r="X937" s="251"/>
      <c r="Y937" s="251"/>
      <c r="Z937" s="251"/>
      <c r="AA937" s="137"/>
      <c r="AB937" s="137"/>
      <c r="AC937" s="137"/>
      <c r="AD937" s="137"/>
      <c r="AE937" s="137"/>
      <c r="AF937" s="137"/>
      <c r="AG937" s="137"/>
    </row>
    <row r="938" ht="30.0" customHeight="1">
      <c r="A938" s="248"/>
      <c r="B938" s="249"/>
      <c r="C938" s="248"/>
      <c r="D938" s="249"/>
      <c r="E938" s="251"/>
      <c r="F938" s="249"/>
      <c r="G938" s="250"/>
      <c r="H938" s="251"/>
      <c r="I938" s="252"/>
      <c r="J938" s="252"/>
      <c r="K938" s="252"/>
      <c r="L938" s="251"/>
      <c r="M938" s="251"/>
      <c r="N938" s="251"/>
      <c r="O938" s="251"/>
      <c r="P938" s="251"/>
      <c r="Q938" s="251"/>
      <c r="R938" s="251"/>
      <c r="S938" s="251"/>
      <c r="T938" s="251"/>
      <c r="U938" s="251"/>
      <c r="V938" s="251"/>
      <c r="W938" s="251"/>
      <c r="X938" s="251"/>
      <c r="Y938" s="251"/>
      <c r="Z938" s="251"/>
      <c r="AA938" s="137"/>
      <c r="AB938" s="137"/>
      <c r="AC938" s="137"/>
      <c r="AD938" s="137"/>
      <c r="AE938" s="137"/>
      <c r="AF938" s="137"/>
      <c r="AG938" s="137"/>
    </row>
    <row r="939" ht="30.0" customHeight="1">
      <c r="A939" s="248"/>
      <c r="B939" s="249"/>
      <c r="C939" s="248"/>
      <c r="D939" s="249"/>
      <c r="E939" s="251"/>
      <c r="F939" s="249"/>
      <c r="G939" s="250"/>
      <c r="H939" s="251"/>
      <c r="I939" s="252"/>
      <c r="J939" s="252"/>
      <c r="K939" s="252"/>
      <c r="L939" s="251"/>
      <c r="M939" s="251"/>
      <c r="N939" s="251"/>
      <c r="O939" s="251"/>
      <c r="P939" s="251"/>
      <c r="Q939" s="251"/>
      <c r="R939" s="251"/>
      <c r="S939" s="251"/>
      <c r="T939" s="251"/>
      <c r="U939" s="251"/>
      <c r="V939" s="251"/>
      <c r="W939" s="251"/>
      <c r="X939" s="251"/>
      <c r="Y939" s="251"/>
      <c r="Z939" s="251"/>
      <c r="AA939" s="137"/>
      <c r="AB939" s="137"/>
      <c r="AC939" s="137"/>
      <c r="AD939" s="137"/>
      <c r="AE939" s="137"/>
      <c r="AF939" s="137"/>
      <c r="AG939" s="137"/>
    </row>
    <row r="940" ht="30.0" customHeight="1">
      <c r="A940" s="248"/>
      <c r="B940" s="249"/>
      <c r="C940" s="248"/>
      <c r="D940" s="249"/>
      <c r="E940" s="251"/>
      <c r="F940" s="249"/>
      <c r="G940" s="250"/>
      <c r="H940" s="251"/>
      <c r="I940" s="252"/>
      <c r="J940" s="252"/>
      <c r="K940" s="252"/>
      <c r="L940" s="251"/>
      <c r="M940" s="251"/>
      <c r="N940" s="251"/>
      <c r="O940" s="251"/>
      <c r="P940" s="251"/>
      <c r="Q940" s="251"/>
      <c r="R940" s="251"/>
      <c r="S940" s="251"/>
      <c r="T940" s="251"/>
      <c r="U940" s="251"/>
      <c r="V940" s="251"/>
      <c r="W940" s="251"/>
      <c r="X940" s="251"/>
      <c r="Y940" s="251"/>
      <c r="Z940" s="251"/>
      <c r="AA940" s="137"/>
      <c r="AB940" s="137"/>
      <c r="AC940" s="137"/>
      <c r="AD940" s="137"/>
      <c r="AE940" s="137"/>
      <c r="AF940" s="137"/>
      <c r="AG940" s="137"/>
    </row>
    <row r="941" ht="30.0" customHeight="1">
      <c r="A941" s="248"/>
      <c r="B941" s="249"/>
      <c r="C941" s="248"/>
      <c r="D941" s="249"/>
      <c r="E941" s="249"/>
      <c r="F941" s="249"/>
      <c r="G941" s="250"/>
      <c r="H941" s="251"/>
      <c r="I941" s="252"/>
      <c r="J941" s="252"/>
      <c r="K941" s="252"/>
      <c r="L941" s="251"/>
      <c r="M941" s="251"/>
      <c r="N941" s="251"/>
      <c r="O941" s="251"/>
      <c r="P941" s="251"/>
      <c r="Q941" s="251"/>
      <c r="R941" s="251"/>
      <c r="S941" s="251"/>
      <c r="T941" s="251"/>
      <c r="U941" s="251"/>
      <c r="V941" s="251"/>
      <c r="W941" s="251"/>
      <c r="X941" s="251"/>
      <c r="Y941" s="251"/>
      <c r="Z941" s="251"/>
      <c r="AA941" s="137"/>
      <c r="AB941" s="137"/>
      <c r="AC941" s="137"/>
      <c r="AD941" s="137"/>
      <c r="AE941" s="137"/>
      <c r="AF941" s="137"/>
      <c r="AG941" s="137"/>
    </row>
    <row r="942" ht="30.0" customHeight="1">
      <c r="A942" s="248"/>
      <c r="B942" s="249"/>
      <c r="C942" s="248"/>
      <c r="D942" s="249"/>
      <c r="E942" s="251"/>
      <c r="F942" s="249"/>
      <c r="G942" s="249"/>
      <c r="H942" s="251"/>
      <c r="I942" s="252"/>
      <c r="J942" s="252"/>
      <c r="K942" s="252"/>
      <c r="L942" s="251"/>
      <c r="M942" s="251"/>
      <c r="N942" s="251"/>
      <c r="O942" s="251"/>
      <c r="P942" s="251"/>
      <c r="Q942" s="251"/>
      <c r="R942" s="251"/>
      <c r="S942" s="251"/>
      <c r="T942" s="251"/>
      <c r="U942" s="251"/>
      <c r="V942" s="251"/>
      <c r="W942" s="251"/>
      <c r="X942" s="251"/>
      <c r="Y942" s="251"/>
      <c r="Z942" s="251"/>
      <c r="AA942" s="137"/>
      <c r="AB942" s="137"/>
      <c r="AC942" s="137"/>
      <c r="AD942" s="137"/>
      <c r="AE942" s="137"/>
      <c r="AF942" s="137"/>
      <c r="AG942" s="137"/>
    </row>
    <row r="943" ht="30.0" customHeight="1">
      <c r="A943" s="248"/>
      <c r="B943" s="249"/>
      <c r="C943" s="248"/>
      <c r="D943" s="249"/>
      <c r="E943" s="251"/>
      <c r="F943" s="249"/>
      <c r="G943" s="249"/>
      <c r="H943" s="251"/>
      <c r="I943" s="252"/>
      <c r="J943" s="252"/>
      <c r="K943" s="252"/>
      <c r="L943" s="251"/>
      <c r="M943" s="251"/>
      <c r="N943" s="251"/>
      <c r="O943" s="251"/>
      <c r="P943" s="251"/>
      <c r="Q943" s="251"/>
      <c r="R943" s="251"/>
      <c r="S943" s="251"/>
      <c r="T943" s="251"/>
      <c r="U943" s="251"/>
      <c r="V943" s="251"/>
      <c r="W943" s="251"/>
      <c r="X943" s="251"/>
      <c r="Y943" s="251"/>
      <c r="Z943" s="251"/>
      <c r="AA943" s="137"/>
      <c r="AB943" s="137"/>
      <c r="AC943" s="137"/>
      <c r="AD943" s="137"/>
      <c r="AE943" s="137"/>
      <c r="AF943" s="137"/>
      <c r="AG943" s="137"/>
    </row>
    <row r="944" ht="30.0" customHeight="1">
      <c r="A944" s="248"/>
      <c r="B944" s="249"/>
      <c r="C944" s="248"/>
      <c r="D944" s="249"/>
      <c r="E944" s="251"/>
      <c r="F944" s="249"/>
      <c r="G944" s="249"/>
      <c r="H944" s="251"/>
      <c r="I944" s="252"/>
      <c r="J944" s="252"/>
      <c r="K944" s="252"/>
      <c r="L944" s="251"/>
      <c r="M944" s="251"/>
      <c r="N944" s="251"/>
      <c r="O944" s="251"/>
      <c r="P944" s="251"/>
      <c r="Q944" s="251"/>
      <c r="R944" s="251"/>
      <c r="S944" s="251"/>
      <c r="T944" s="251"/>
      <c r="U944" s="251"/>
      <c r="V944" s="251"/>
      <c r="W944" s="251"/>
      <c r="X944" s="251"/>
      <c r="Y944" s="251"/>
      <c r="Z944" s="251"/>
      <c r="AA944" s="137"/>
      <c r="AB944" s="137"/>
      <c r="AC944" s="137"/>
      <c r="AD944" s="137"/>
      <c r="AE944" s="137"/>
      <c r="AF944" s="137"/>
      <c r="AG944" s="137"/>
    </row>
    <row r="945" ht="30.0" customHeight="1">
      <c r="A945" s="248"/>
      <c r="B945" s="249"/>
      <c r="C945" s="248"/>
      <c r="D945" s="249"/>
      <c r="E945" s="251"/>
      <c r="F945" s="249"/>
      <c r="G945" s="249"/>
      <c r="H945" s="251"/>
      <c r="I945" s="252"/>
      <c r="J945" s="252"/>
      <c r="K945" s="252"/>
      <c r="L945" s="251"/>
      <c r="M945" s="251"/>
      <c r="N945" s="251"/>
      <c r="O945" s="251"/>
      <c r="P945" s="251"/>
      <c r="Q945" s="251"/>
      <c r="R945" s="251"/>
      <c r="S945" s="251"/>
      <c r="T945" s="251"/>
      <c r="U945" s="251"/>
      <c r="V945" s="251"/>
      <c r="W945" s="251"/>
      <c r="X945" s="251"/>
      <c r="Y945" s="251"/>
      <c r="Z945" s="251"/>
      <c r="AA945" s="137"/>
      <c r="AB945" s="137"/>
      <c r="AC945" s="137"/>
      <c r="AD945" s="137"/>
      <c r="AE945" s="137"/>
      <c r="AF945" s="137"/>
      <c r="AG945" s="137"/>
    </row>
    <row r="946" ht="30.0" customHeight="1">
      <c r="A946" s="248"/>
      <c r="B946" s="249"/>
      <c r="C946" s="248"/>
      <c r="D946" s="249"/>
      <c r="E946" s="251"/>
      <c r="F946" s="249"/>
      <c r="G946" s="249"/>
      <c r="H946" s="251"/>
      <c r="I946" s="252"/>
      <c r="J946" s="252"/>
      <c r="K946" s="252"/>
      <c r="L946" s="251"/>
      <c r="M946" s="251"/>
      <c r="N946" s="251"/>
      <c r="O946" s="251"/>
      <c r="P946" s="251"/>
      <c r="Q946" s="251"/>
      <c r="R946" s="251"/>
      <c r="S946" s="251"/>
      <c r="T946" s="251"/>
      <c r="U946" s="251"/>
      <c r="V946" s="251"/>
      <c r="W946" s="251"/>
      <c r="X946" s="251"/>
      <c r="Y946" s="251"/>
      <c r="Z946" s="251"/>
      <c r="AA946" s="137"/>
      <c r="AB946" s="137"/>
      <c r="AC946" s="137"/>
      <c r="AD946" s="137"/>
      <c r="AE946" s="137"/>
      <c r="AF946" s="137"/>
      <c r="AG946" s="137"/>
    </row>
    <row r="947" ht="30.0" customHeight="1">
      <c r="A947" s="248"/>
      <c r="B947" s="249"/>
      <c r="C947" s="248"/>
      <c r="D947" s="249"/>
      <c r="E947" s="251"/>
      <c r="F947" s="249"/>
      <c r="G947" s="250"/>
      <c r="H947" s="251"/>
      <c r="I947" s="252"/>
      <c r="J947" s="252"/>
      <c r="K947" s="252"/>
      <c r="L947" s="251"/>
      <c r="M947" s="251"/>
      <c r="N947" s="251"/>
      <c r="O947" s="251"/>
      <c r="P947" s="251"/>
      <c r="Q947" s="251"/>
      <c r="R947" s="251"/>
      <c r="S947" s="251"/>
      <c r="T947" s="251"/>
      <c r="U947" s="251"/>
      <c r="V947" s="251"/>
      <c r="W947" s="251"/>
      <c r="X947" s="251"/>
      <c r="Y947" s="251"/>
      <c r="Z947" s="251"/>
      <c r="AA947" s="137"/>
      <c r="AB947" s="137"/>
      <c r="AC947" s="137"/>
      <c r="AD947" s="137"/>
      <c r="AE947" s="137"/>
      <c r="AF947" s="137"/>
      <c r="AG947" s="137"/>
    </row>
    <row r="948" ht="30.0" customHeight="1">
      <c r="A948" s="248"/>
      <c r="B948" s="249"/>
      <c r="C948" s="248"/>
      <c r="D948" s="249"/>
      <c r="E948" s="251"/>
      <c r="F948" s="249"/>
      <c r="G948" s="250"/>
      <c r="H948" s="251"/>
      <c r="I948" s="252"/>
      <c r="J948" s="252"/>
      <c r="K948" s="252"/>
      <c r="L948" s="251"/>
      <c r="M948" s="251"/>
      <c r="N948" s="251"/>
      <c r="O948" s="251"/>
      <c r="P948" s="251"/>
      <c r="Q948" s="251"/>
      <c r="R948" s="251"/>
      <c r="S948" s="251"/>
      <c r="T948" s="251"/>
      <c r="U948" s="251"/>
      <c r="V948" s="251"/>
      <c r="W948" s="251"/>
      <c r="X948" s="251"/>
      <c r="Y948" s="251"/>
      <c r="Z948" s="251"/>
      <c r="AA948" s="137"/>
      <c r="AB948" s="137"/>
      <c r="AC948" s="137"/>
      <c r="AD948" s="137"/>
      <c r="AE948" s="137"/>
      <c r="AF948" s="137"/>
      <c r="AG948" s="137"/>
    </row>
    <row r="949" ht="30.0" customHeight="1">
      <c r="A949" s="248"/>
      <c r="B949" s="249"/>
      <c r="C949" s="248"/>
      <c r="D949" s="249"/>
      <c r="E949" s="251"/>
      <c r="F949" s="249"/>
      <c r="G949" s="250"/>
      <c r="H949" s="251"/>
      <c r="I949" s="252"/>
      <c r="J949" s="252"/>
      <c r="K949" s="252"/>
      <c r="L949" s="251"/>
      <c r="M949" s="251"/>
      <c r="N949" s="251"/>
      <c r="O949" s="251"/>
      <c r="P949" s="251"/>
      <c r="Q949" s="251"/>
      <c r="R949" s="251"/>
      <c r="S949" s="251"/>
      <c r="T949" s="251"/>
      <c r="U949" s="251"/>
      <c r="V949" s="251"/>
      <c r="W949" s="251"/>
      <c r="X949" s="251"/>
      <c r="Y949" s="251"/>
      <c r="Z949" s="251"/>
      <c r="AA949" s="137"/>
      <c r="AB949" s="137"/>
      <c r="AC949" s="137"/>
      <c r="AD949" s="137"/>
      <c r="AE949" s="137"/>
      <c r="AF949" s="137"/>
      <c r="AG949" s="137"/>
    </row>
    <row r="950" ht="30.0" customHeight="1">
      <c r="A950" s="248"/>
      <c r="B950" s="249"/>
      <c r="C950" s="248"/>
      <c r="D950" s="249"/>
      <c r="E950" s="249"/>
      <c r="F950" s="249"/>
      <c r="G950" s="250"/>
      <c r="H950" s="251"/>
      <c r="I950" s="252"/>
      <c r="J950" s="252"/>
      <c r="K950" s="252"/>
      <c r="L950" s="251"/>
      <c r="M950" s="251"/>
      <c r="N950" s="251"/>
      <c r="O950" s="251"/>
      <c r="P950" s="251"/>
      <c r="Q950" s="251"/>
      <c r="R950" s="251"/>
      <c r="S950" s="251"/>
      <c r="T950" s="251"/>
      <c r="U950" s="251"/>
      <c r="V950" s="251"/>
      <c r="W950" s="251"/>
      <c r="X950" s="251"/>
      <c r="Y950" s="251"/>
      <c r="Z950" s="251"/>
      <c r="AA950" s="137"/>
      <c r="AB950" s="137"/>
      <c r="AC950" s="137"/>
      <c r="AD950" s="137"/>
      <c r="AE950" s="137"/>
      <c r="AF950" s="137"/>
      <c r="AG950" s="137"/>
    </row>
    <row r="951" ht="30.0" customHeight="1">
      <c r="A951" s="248"/>
      <c r="B951" s="249"/>
      <c r="C951" s="248"/>
      <c r="D951" s="249"/>
      <c r="E951" s="249"/>
      <c r="F951" s="249"/>
      <c r="G951" s="250"/>
      <c r="H951" s="251"/>
      <c r="I951" s="252"/>
      <c r="J951" s="252"/>
      <c r="K951" s="252"/>
      <c r="L951" s="251"/>
      <c r="M951" s="251"/>
      <c r="N951" s="251"/>
      <c r="O951" s="251"/>
      <c r="P951" s="251"/>
      <c r="Q951" s="251"/>
      <c r="R951" s="251"/>
      <c r="S951" s="251"/>
      <c r="T951" s="251"/>
      <c r="U951" s="251"/>
      <c r="V951" s="251"/>
      <c r="W951" s="251"/>
      <c r="X951" s="251"/>
      <c r="Y951" s="251"/>
      <c r="Z951" s="251"/>
      <c r="AA951" s="137"/>
      <c r="AB951" s="137"/>
      <c r="AC951" s="137"/>
      <c r="AD951" s="137"/>
      <c r="AE951" s="137"/>
      <c r="AF951" s="137"/>
      <c r="AG951" s="137"/>
    </row>
    <row r="952" ht="30.0" customHeight="1">
      <c r="A952" s="248"/>
      <c r="B952" s="249"/>
      <c r="C952" s="248"/>
      <c r="D952" s="249"/>
      <c r="E952" s="251"/>
      <c r="F952" s="249"/>
      <c r="G952" s="250"/>
      <c r="H952" s="251"/>
      <c r="I952" s="252"/>
      <c r="J952" s="252"/>
      <c r="K952" s="252"/>
      <c r="L952" s="251"/>
      <c r="M952" s="251"/>
      <c r="N952" s="251"/>
      <c r="O952" s="251"/>
      <c r="P952" s="251"/>
      <c r="Q952" s="251"/>
      <c r="R952" s="251"/>
      <c r="S952" s="251"/>
      <c r="T952" s="251"/>
      <c r="U952" s="251"/>
      <c r="V952" s="251"/>
      <c r="W952" s="251"/>
      <c r="X952" s="251"/>
      <c r="Y952" s="251"/>
      <c r="Z952" s="251"/>
      <c r="AA952" s="137"/>
      <c r="AB952" s="137"/>
      <c r="AC952" s="137"/>
      <c r="AD952" s="137"/>
      <c r="AE952" s="137"/>
      <c r="AF952" s="137"/>
      <c r="AG952" s="137"/>
    </row>
    <row r="953" ht="30.0" customHeight="1">
      <c r="A953" s="248"/>
      <c r="B953" s="249"/>
      <c r="C953" s="248"/>
      <c r="D953" s="249"/>
      <c r="E953" s="249"/>
      <c r="F953" s="249"/>
      <c r="G953" s="250"/>
      <c r="H953" s="251"/>
      <c r="I953" s="252"/>
      <c r="J953" s="252"/>
      <c r="K953" s="252"/>
      <c r="L953" s="251"/>
      <c r="M953" s="251"/>
      <c r="N953" s="251"/>
      <c r="O953" s="251"/>
      <c r="P953" s="251"/>
      <c r="Q953" s="251"/>
      <c r="R953" s="251"/>
      <c r="S953" s="251"/>
      <c r="T953" s="251"/>
      <c r="U953" s="251"/>
      <c r="V953" s="251"/>
      <c r="W953" s="251"/>
      <c r="X953" s="251"/>
      <c r="Y953" s="251"/>
      <c r="Z953" s="251"/>
      <c r="AA953" s="137"/>
      <c r="AB953" s="137"/>
      <c r="AC953" s="137"/>
      <c r="AD953" s="137"/>
      <c r="AE953" s="137"/>
      <c r="AF953" s="137"/>
      <c r="AG953" s="137"/>
    </row>
    <row r="954" ht="30.0" customHeight="1">
      <c r="A954" s="248"/>
      <c r="B954" s="249"/>
      <c r="C954" s="248"/>
      <c r="D954" s="249"/>
      <c r="E954" s="249"/>
      <c r="F954" s="249"/>
      <c r="G954" s="250"/>
      <c r="H954" s="251"/>
      <c r="I954" s="252"/>
      <c r="J954" s="252"/>
      <c r="K954" s="252"/>
      <c r="L954" s="251"/>
      <c r="M954" s="251"/>
      <c r="N954" s="251"/>
      <c r="O954" s="251"/>
      <c r="P954" s="251"/>
      <c r="Q954" s="251"/>
      <c r="R954" s="251"/>
      <c r="S954" s="251"/>
      <c r="T954" s="251"/>
      <c r="U954" s="251"/>
      <c r="V954" s="251"/>
      <c r="W954" s="251"/>
      <c r="X954" s="251"/>
      <c r="Y954" s="251"/>
      <c r="Z954" s="251"/>
      <c r="AA954" s="137"/>
      <c r="AB954" s="137"/>
      <c r="AC954" s="137"/>
      <c r="AD954" s="137"/>
      <c r="AE954" s="137"/>
      <c r="AF954" s="137"/>
      <c r="AG954" s="137"/>
    </row>
    <row r="955" ht="30.0" customHeight="1">
      <c r="A955" s="248"/>
      <c r="B955" s="249"/>
      <c r="C955" s="248"/>
      <c r="D955" s="249"/>
      <c r="E955" s="249"/>
      <c r="F955" s="249"/>
      <c r="G955" s="250"/>
      <c r="H955" s="251"/>
      <c r="I955" s="252"/>
      <c r="J955" s="252"/>
      <c r="K955" s="252"/>
      <c r="L955" s="251"/>
      <c r="M955" s="251"/>
      <c r="N955" s="251"/>
      <c r="O955" s="251"/>
      <c r="P955" s="251"/>
      <c r="Q955" s="251"/>
      <c r="R955" s="251"/>
      <c r="S955" s="251"/>
      <c r="T955" s="251"/>
      <c r="U955" s="251"/>
      <c r="V955" s="251"/>
      <c r="W955" s="251"/>
      <c r="X955" s="251"/>
      <c r="Y955" s="251"/>
      <c r="Z955" s="251"/>
      <c r="AA955" s="137"/>
      <c r="AB955" s="137"/>
      <c r="AC955" s="137"/>
      <c r="AD955" s="137"/>
      <c r="AE955" s="137"/>
      <c r="AF955" s="137"/>
      <c r="AG955" s="137"/>
    </row>
    <row r="956" ht="30.0" customHeight="1">
      <c r="A956" s="248"/>
      <c r="B956" s="249"/>
      <c r="C956" s="248"/>
      <c r="D956" s="249"/>
      <c r="E956" s="251"/>
      <c r="F956" s="249"/>
      <c r="G956" s="250"/>
      <c r="H956" s="251"/>
      <c r="I956" s="252"/>
      <c r="J956" s="252"/>
      <c r="K956" s="252"/>
      <c r="L956" s="251"/>
      <c r="M956" s="251"/>
      <c r="N956" s="251"/>
      <c r="O956" s="251"/>
      <c r="P956" s="251"/>
      <c r="Q956" s="251"/>
      <c r="R956" s="251"/>
      <c r="S956" s="251"/>
      <c r="T956" s="251"/>
      <c r="U956" s="251"/>
      <c r="V956" s="251"/>
      <c r="W956" s="251"/>
      <c r="X956" s="251"/>
      <c r="Y956" s="251"/>
      <c r="Z956" s="251"/>
      <c r="AA956" s="137"/>
      <c r="AB956" s="137"/>
      <c r="AC956" s="137"/>
      <c r="AD956" s="137"/>
      <c r="AE956" s="137"/>
      <c r="AF956" s="137"/>
      <c r="AG956" s="137"/>
    </row>
    <row r="957" ht="30.0" customHeight="1">
      <c r="A957" s="248"/>
      <c r="B957" s="249"/>
      <c r="C957" s="248"/>
      <c r="D957" s="249"/>
      <c r="E957" s="249"/>
      <c r="F957" s="249"/>
      <c r="G957" s="250"/>
      <c r="H957" s="251"/>
      <c r="I957" s="252"/>
      <c r="J957" s="252"/>
      <c r="K957" s="252"/>
      <c r="L957" s="251"/>
      <c r="M957" s="251"/>
      <c r="N957" s="251"/>
      <c r="O957" s="251"/>
      <c r="P957" s="251"/>
      <c r="Q957" s="251"/>
      <c r="R957" s="251"/>
      <c r="S957" s="251"/>
      <c r="T957" s="251"/>
      <c r="U957" s="251"/>
      <c r="V957" s="251"/>
      <c r="W957" s="251"/>
      <c r="X957" s="251"/>
      <c r="Y957" s="251"/>
      <c r="Z957" s="251"/>
      <c r="AA957" s="137"/>
      <c r="AB957" s="137"/>
      <c r="AC957" s="137"/>
      <c r="AD957" s="137"/>
      <c r="AE957" s="137"/>
      <c r="AF957" s="137"/>
      <c r="AG957" s="137"/>
    </row>
    <row r="958" ht="30.0" customHeight="1">
      <c r="A958" s="248"/>
      <c r="B958" s="249"/>
      <c r="C958" s="248"/>
      <c r="D958" s="249"/>
      <c r="E958" s="251"/>
      <c r="F958" s="249"/>
      <c r="G958" s="250"/>
      <c r="H958" s="251"/>
      <c r="I958" s="252"/>
      <c r="J958" s="252"/>
      <c r="K958" s="252"/>
      <c r="L958" s="251"/>
      <c r="M958" s="251"/>
      <c r="N958" s="251"/>
      <c r="O958" s="251"/>
      <c r="P958" s="251"/>
      <c r="Q958" s="251"/>
      <c r="R958" s="251"/>
      <c r="S958" s="251"/>
      <c r="T958" s="251"/>
      <c r="U958" s="251"/>
      <c r="V958" s="251"/>
      <c r="W958" s="251"/>
      <c r="X958" s="251"/>
      <c r="Y958" s="251"/>
      <c r="Z958" s="251"/>
      <c r="AA958" s="137"/>
      <c r="AB958" s="137"/>
      <c r="AC958" s="137"/>
      <c r="AD958" s="137"/>
      <c r="AE958" s="137"/>
      <c r="AF958" s="137"/>
      <c r="AG958" s="137"/>
    </row>
    <row r="959" ht="30.0" customHeight="1">
      <c r="A959" s="248"/>
      <c r="B959" s="249"/>
      <c r="C959" s="248"/>
      <c r="D959" s="249"/>
      <c r="E959" s="251"/>
      <c r="F959" s="249"/>
      <c r="G959" s="250"/>
      <c r="H959" s="251"/>
      <c r="I959" s="252"/>
      <c r="J959" s="252"/>
      <c r="K959" s="252"/>
      <c r="L959" s="251"/>
      <c r="M959" s="251"/>
      <c r="N959" s="251"/>
      <c r="O959" s="251"/>
      <c r="P959" s="251"/>
      <c r="Q959" s="251"/>
      <c r="R959" s="251"/>
      <c r="S959" s="251"/>
      <c r="T959" s="251"/>
      <c r="U959" s="251"/>
      <c r="V959" s="251"/>
      <c r="W959" s="251"/>
      <c r="X959" s="251"/>
      <c r="Y959" s="251"/>
      <c r="Z959" s="251"/>
      <c r="AA959" s="137"/>
      <c r="AB959" s="137"/>
      <c r="AC959" s="137"/>
      <c r="AD959" s="137"/>
      <c r="AE959" s="137"/>
      <c r="AF959" s="137"/>
      <c r="AG959" s="137"/>
    </row>
    <row r="960" ht="30.0" customHeight="1">
      <c r="A960" s="248"/>
      <c r="B960" s="249"/>
      <c r="C960" s="248"/>
      <c r="D960" s="249"/>
      <c r="E960" s="249"/>
      <c r="F960" s="249"/>
      <c r="G960" s="250"/>
      <c r="H960" s="251"/>
      <c r="I960" s="252"/>
      <c r="J960" s="252"/>
      <c r="K960" s="252"/>
      <c r="L960" s="251"/>
      <c r="M960" s="251"/>
      <c r="N960" s="251"/>
      <c r="O960" s="251"/>
      <c r="P960" s="251"/>
      <c r="Q960" s="251"/>
      <c r="R960" s="251"/>
      <c r="S960" s="251"/>
      <c r="T960" s="251"/>
      <c r="U960" s="251"/>
      <c r="V960" s="251"/>
      <c r="W960" s="251"/>
      <c r="X960" s="251"/>
      <c r="Y960" s="251"/>
      <c r="Z960" s="251"/>
      <c r="AA960" s="137"/>
      <c r="AB960" s="137"/>
      <c r="AC960" s="137"/>
      <c r="AD960" s="137"/>
      <c r="AE960" s="137"/>
      <c r="AF960" s="137"/>
      <c r="AG960" s="137"/>
    </row>
    <row r="961" ht="30.0" customHeight="1">
      <c r="A961" s="248"/>
      <c r="B961" s="249"/>
      <c r="C961" s="248"/>
      <c r="D961" s="249"/>
      <c r="E961" s="249"/>
      <c r="F961" s="249"/>
      <c r="G961" s="250"/>
      <c r="H961" s="251"/>
      <c r="I961" s="252"/>
      <c r="J961" s="252"/>
      <c r="K961" s="252"/>
      <c r="L961" s="251"/>
      <c r="M961" s="251"/>
      <c r="N961" s="251"/>
      <c r="O961" s="251"/>
      <c r="P961" s="251"/>
      <c r="Q961" s="251"/>
      <c r="R961" s="251"/>
      <c r="S961" s="251"/>
      <c r="T961" s="251"/>
      <c r="U961" s="251"/>
      <c r="V961" s="251"/>
      <c r="W961" s="251"/>
      <c r="X961" s="251"/>
      <c r="Y961" s="251"/>
      <c r="Z961" s="251"/>
      <c r="AA961" s="137"/>
      <c r="AB961" s="137"/>
      <c r="AC961" s="137"/>
      <c r="AD961" s="137"/>
      <c r="AE961" s="137"/>
      <c r="AF961" s="137"/>
      <c r="AG961" s="137"/>
    </row>
    <row r="962" ht="30.0" customHeight="1">
      <c r="A962" s="248"/>
      <c r="B962" s="249"/>
      <c r="C962" s="248"/>
      <c r="D962" s="249"/>
      <c r="E962" s="249"/>
      <c r="F962" s="249"/>
      <c r="G962" s="250"/>
      <c r="H962" s="251"/>
      <c r="I962" s="252"/>
      <c r="J962" s="252"/>
      <c r="K962" s="252"/>
      <c r="L962" s="251"/>
      <c r="M962" s="251"/>
      <c r="N962" s="251"/>
      <c r="O962" s="251"/>
      <c r="P962" s="251"/>
      <c r="Q962" s="251"/>
      <c r="R962" s="251"/>
      <c r="S962" s="251"/>
      <c r="T962" s="251"/>
      <c r="U962" s="251"/>
      <c r="V962" s="251"/>
      <c r="W962" s="251"/>
      <c r="X962" s="251"/>
      <c r="Y962" s="251"/>
      <c r="Z962" s="251"/>
      <c r="AA962" s="137"/>
      <c r="AB962" s="137"/>
      <c r="AC962" s="137"/>
      <c r="AD962" s="137"/>
      <c r="AE962" s="137"/>
      <c r="AF962" s="137"/>
      <c r="AG962" s="137"/>
    </row>
    <row r="963" ht="30.0" customHeight="1">
      <c r="A963" s="248"/>
      <c r="B963" s="249"/>
      <c r="C963" s="248"/>
      <c r="D963" s="249"/>
      <c r="E963" s="249"/>
      <c r="F963" s="249"/>
      <c r="G963" s="250"/>
      <c r="H963" s="251"/>
      <c r="I963" s="252"/>
      <c r="J963" s="252"/>
      <c r="K963" s="252"/>
      <c r="L963" s="251"/>
      <c r="M963" s="251"/>
      <c r="N963" s="251"/>
      <c r="O963" s="251"/>
      <c r="P963" s="251"/>
      <c r="Q963" s="251"/>
      <c r="R963" s="251"/>
      <c r="S963" s="251"/>
      <c r="T963" s="251"/>
      <c r="U963" s="251"/>
      <c r="V963" s="251"/>
      <c r="W963" s="251"/>
      <c r="X963" s="251"/>
      <c r="Y963" s="251"/>
      <c r="Z963" s="251"/>
      <c r="AA963" s="137"/>
      <c r="AB963" s="137"/>
      <c r="AC963" s="137"/>
      <c r="AD963" s="137"/>
      <c r="AE963" s="137"/>
      <c r="AF963" s="137"/>
      <c r="AG963" s="137"/>
    </row>
    <row r="964" ht="30.0" customHeight="1">
      <c r="A964" s="248"/>
      <c r="B964" s="249"/>
      <c r="C964" s="248"/>
      <c r="D964" s="249"/>
      <c r="E964" s="249"/>
      <c r="F964" s="249"/>
      <c r="G964" s="250"/>
      <c r="H964" s="251"/>
      <c r="I964" s="252"/>
      <c r="J964" s="252"/>
      <c r="K964" s="252"/>
      <c r="L964" s="251"/>
      <c r="M964" s="251"/>
      <c r="N964" s="251"/>
      <c r="O964" s="251"/>
      <c r="P964" s="251"/>
      <c r="Q964" s="251"/>
      <c r="R964" s="251"/>
      <c r="S964" s="251"/>
      <c r="T964" s="251"/>
      <c r="U964" s="251"/>
      <c r="V964" s="251"/>
      <c r="W964" s="251"/>
      <c r="X964" s="251"/>
      <c r="Y964" s="251"/>
      <c r="Z964" s="251"/>
      <c r="AA964" s="137"/>
      <c r="AB964" s="137"/>
      <c r="AC964" s="137"/>
      <c r="AD964" s="137"/>
      <c r="AE964" s="137"/>
      <c r="AF964" s="137"/>
      <c r="AG964" s="137"/>
    </row>
    <row r="965" ht="30.0" customHeight="1">
      <c r="A965" s="248"/>
      <c r="B965" s="249"/>
      <c r="C965" s="248"/>
      <c r="D965" s="249"/>
      <c r="E965" s="251"/>
      <c r="F965" s="249"/>
      <c r="G965" s="250"/>
      <c r="H965" s="251"/>
      <c r="I965" s="252"/>
      <c r="J965" s="252"/>
      <c r="K965" s="252"/>
      <c r="L965" s="251"/>
      <c r="M965" s="251"/>
      <c r="N965" s="251"/>
      <c r="O965" s="251"/>
      <c r="P965" s="251"/>
      <c r="Q965" s="251"/>
      <c r="R965" s="251"/>
      <c r="S965" s="251"/>
      <c r="T965" s="251"/>
      <c r="U965" s="251"/>
      <c r="V965" s="251"/>
      <c r="W965" s="251"/>
      <c r="X965" s="251"/>
      <c r="Y965" s="251"/>
      <c r="Z965" s="251"/>
      <c r="AA965" s="137"/>
      <c r="AB965" s="137"/>
      <c r="AC965" s="137"/>
      <c r="AD965" s="137"/>
      <c r="AE965" s="137"/>
      <c r="AF965" s="137"/>
      <c r="AG965" s="137"/>
    </row>
    <row r="966" ht="30.0" customHeight="1">
      <c r="A966" s="248"/>
      <c r="B966" s="249"/>
      <c r="C966" s="248"/>
      <c r="D966" s="249"/>
      <c r="E966" s="251"/>
      <c r="F966" s="249"/>
      <c r="G966" s="250"/>
      <c r="H966" s="251"/>
      <c r="I966" s="252"/>
      <c r="J966" s="252"/>
      <c r="K966" s="252"/>
      <c r="L966" s="251"/>
      <c r="M966" s="251"/>
      <c r="N966" s="251"/>
      <c r="O966" s="251"/>
      <c r="P966" s="251"/>
      <c r="Q966" s="251"/>
      <c r="R966" s="251"/>
      <c r="S966" s="251"/>
      <c r="T966" s="251"/>
      <c r="U966" s="251"/>
      <c r="V966" s="251"/>
      <c r="W966" s="251"/>
      <c r="X966" s="251"/>
      <c r="Y966" s="251"/>
      <c r="Z966" s="251"/>
      <c r="AA966" s="137"/>
      <c r="AB966" s="137"/>
      <c r="AC966" s="137"/>
      <c r="AD966" s="137"/>
      <c r="AE966" s="137"/>
      <c r="AF966" s="137"/>
      <c r="AG966" s="137"/>
    </row>
    <row r="967" ht="30.0" customHeight="1">
      <c r="A967" s="248"/>
      <c r="B967" s="249"/>
      <c r="C967" s="248"/>
      <c r="D967" s="249"/>
      <c r="E967" s="249"/>
      <c r="F967" s="249"/>
      <c r="G967" s="250"/>
      <c r="H967" s="251"/>
      <c r="I967" s="252"/>
      <c r="J967" s="252"/>
      <c r="K967" s="252"/>
      <c r="L967" s="251"/>
      <c r="M967" s="251"/>
      <c r="N967" s="251"/>
      <c r="O967" s="251"/>
      <c r="P967" s="251"/>
      <c r="Q967" s="251"/>
      <c r="R967" s="251"/>
      <c r="S967" s="251"/>
      <c r="T967" s="251"/>
      <c r="U967" s="251"/>
      <c r="V967" s="251"/>
      <c r="W967" s="251"/>
      <c r="X967" s="251"/>
      <c r="Y967" s="251"/>
      <c r="Z967" s="251"/>
      <c r="AA967" s="137"/>
      <c r="AB967" s="137"/>
      <c r="AC967" s="137"/>
      <c r="AD967" s="137"/>
      <c r="AE967" s="137"/>
      <c r="AF967" s="137"/>
      <c r="AG967" s="137"/>
    </row>
    <row r="968" ht="30.0" customHeight="1">
      <c r="A968" s="248"/>
      <c r="B968" s="249"/>
      <c r="C968" s="248"/>
      <c r="D968" s="249"/>
      <c r="E968" s="249"/>
      <c r="F968" s="249"/>
      <c r="G968" s="250"/>
      <c r="H968" s="251"/>
      <c r="I968" s="252"/>
      <c r="J968" s="252"/>
      <c r="K968" s="252"/>
      <c r="L968" s="251"/>
      <c r="M968" s="251"/>
      <c r="N968" s="251"/>
      <c r="O968" s="251"/>
      <c r="P968" s="251"/>
      <c r="Q968" s="251"/>
      <c r="R968" s="251"/>
      <c r="S968" s="251"/>
      <c r="T968" s="251"/>
      <c r="U968" s="251"/>
      <c r="V968" s="251"/>
      <c r="W968" s="251"/>
      <c r="X968" s="251"/>
      <c r="Y968" s="251"/>
      <c r="Z968" s="251"/>
      <c r="AA968" s="137"/>
      <c r="AB968" s="137"/>
      <c r="AC968" s="137"/>
      <c r="AD968" s="137"/>
      <c r="AE968" s="137"/>
      <c r="AF968" s="137"/>
      <c r="AG968" s="137"/>
    </row>
    <row r="969" ht="30.0" customHeight="1">
      <c r="A969" s="248"/>
      <c r="B969" s="249"/>
      <c r="C969" s="248"/>
      <c r="D969" s="249"/>
      <c r="E969" s="249"/>
      <c r="F969" s="249"/>
      <c r="G969" s="250"/>
      <c r="H969" s="251"/>
      <c r="I969" s="252"/>
      <c r="J969" s="252"/>
      <c r="K969" s="252"/>
      <c r="L969" s="251"/>
      <c r="M969" s="251"/>
      <c r="N969" s="251"/>
      <c r="O969" s="251"/>
      <c r="P969" s="251"/>
      <c r="Q969" s="251"/>
      <c r="R969" s="251"/>
      <c r="S969" s="251"/>
      <c r="T969" s="251"/>
      <c r="U969" s="251"/>
      <c r="V969" s="251"/>
      <c r="W969" s="251"/>
      <c r="X969" s="251"/>
      <c r="Y969" s="251"/>
      <c r="Z969" s="251"/>
      <c r="AA969" s="137"/>
      <c r="AB969" s="137"/>
      <c r="AC969" s="137"/>
      <c r="AD969" s="137"/>
      <c r="AE969" s="137"/>
      <c r="AF969" s="137"/>
      <c r="AG969" s="137"/>
    </row>
    <row r="970" ht="30.0" customHeight="1">
      <c r="A970" s="248"/>
      <c r="B970" s="249"/>
      <c r="C970" s="248"/>
      <c r="D970" s="249"/>
      <c r="E970" s="251"/>
      <c r="F970" s="249"/>
      <c r="G970" s="250"/>
      <c r="H970" s="251"/>
      <c r="I970" s="252"/>
      <c r="J970" s="252"/>
      <c r="K970" s="252"/>
      <c r="L970" s="251"/>
      <c r="M970" s="251"/>
      <c r="N970" s="251"/>
      <c r="O970" s="251"/>
      <c r="P970" s="251"/>
      <c r="Q970" s="251"/>
      <c r="R970" s="251"/>
      <c r="S970" s="251"/>
      <c r="T970" s="251"/>
      <c r="U970" s="251"/>
      <c r="V970" s="251"/>
      <c r="W970" s="251"/>
      <c r="X970" s="251"/>
      <c r="Y970" s="251"/>
      <c r="Z970" s="251"/>
      <c r="AA970" s="137"/>
      <c r="AB970" s="137"/>
      <c r="AC970" s="137"/>
      <c r="AD970" s="137"/>
      <c r="AE970" s="137"/>
      <c r="AF970" s="137"/>
      <c r="AG970" s="137"/>
    </row>
    <row r="971" ht="30.0" customHeight="1">
      <c r="A971" s="248"/>
      <c r="B971" s="249"/>
      <c r="C971" s="248"/>
      <c r="D971" s="249"/>
      <c r="E971" s="249"/>
      <c r="F971" s="249"/>
      <c r="G971" s="250"/>
      <c r="H971" s="251"/>
      <c r="I971" s="252"/>
      <c r="J971" s="252"/>
      <c r="K971" s="252"/>
      <c r="L971" s="251"/>
      <c r="M971" s="251"/>
      <c r="N971" s="251"/>
      <c r="O971" s="251"/>
      <c r="P971" s="251"/>
      <c r="Q971" s="251"/>
      <c r="R971" s="251"/>
      <c r="S971" s="251"/>
      <c r="T971" s="251"/>
      <c r="U971" s="251"/>
      <c r="V971" s="251"/>
      <c r="W971" s="251"/>
      <c r="X971" s="251"/>
      <c r="Y971" s="251"/>
      <c r="Z971" s="251"/>
      <c r="AA971" s="137"/>
      <c r="AB971" s="137"/>
      <c r="AC971" s="137"/>
      <c r="AD971" s="137"/>
      <c r="AE971" s="137"/>
      <c r="AF971" s="137"/>
      <c r="AG971" s="137"/>
    </row>
    <row r="972" ht="30.0" customHeight="1">
      <c r="A972" s="248"/>
      <c r="B972" s="249"/>
      <c r="C972" s="248"/>
      <c r="D972" s="249"/>
      <c r="E972" s="249"/>
      <c r="F972" s="249"/>
      <c r="G972" s="250"/>
      <c r="H972" s="251"/>
      <c r="I972" s="252"/>
      <c r="J972" s="252"/>
      <c r="K972" s="252"/>
      <c r="L972" s="251"/>
      <c r="M972" s="251"/>
      <c r="N972" s="251"/>
      <c r="O972" s="251"/>
      <c r="P972" s="251"/>
      <c r="Q972" s="251"/>
      <c r="R972" s="251"/>
      <c r="S972" s="251"/>
      <c r="T972" s="251"/>
      <c r="U972" s="251"/>
      <c r="V972" s="251"/>
      <c r="W972" s="251"/>
      <c r="X972" s="251"/>
      <c r="Y972" s="251"/>
      <c r="Z972" s="251"/>
      <c r="AA972" s="137"/>
      <c r="AB972" s="137"/>
      <c r="AC972" s="137"/>
      <c r="AD972" s="137"/>
      <c r="AE972" s="137"/>
      <c r="AF972" s="137"/>
      <c r="AG972" s="137"/>
    </row>
    <row r="973" ht="30.0" customHeight="1">
      <c r="A973" s="248"/>
      <c r="B973" s="249"/>
      <c r="C973" s="248"/>
      <c r="D973" s="249"/>
      <c r="E973" s="249"/>
      <c r="F973" s="249"/>
      <c r="G973" s="250"/>
      <c r="H973" s="251"/>
      <c r="I973" s="252"/>
      <c r="J973" s="252"/>
      <c r="K973" s="252"/>
      <c r="L973" s="251"/>
      <c r="M973" s="251"/>
      <c r="N973" s="251"/>
      <c r="O973" s="251"/>
      <c r="P973" s="251"/>
      <c r="Q973" s="251"/>
      <c r="R973" s="251"/>
      <c r="S973" s="251"/>
      <c r="T973" s="251"/>
      <c r="U973" s="251"/>
      <c r="V973" s="251"/>
      <c r="W973" s="251"/>
      <c r="X973" s="251"/>
      <c r="Y973" s="251"/>
      <c r="Z973" s="251"/>
      <c r="AA973" s="137"/>
      <c r="AB973" s="137"/>
      <c r="AC973" s="137"/>
      <c r="AD973" s="137"/>
      <c r="AE973" s="137"/>
      <c r="AF973" s="137"/>
      <c r="AG973" s="137"/>
    </row>
    <row r="974" ht="30.0" customHeight="1">
      <c r="A974" s="248"/>
      <c r="B974" s="249"/>
      <c r="C974" s="248"/>
      <c r="D974" s="249"/>
      <c r="E974" s="251"/>
      <c r="F974" s="249"/>
      <c r="G974" s="249"/>
      <c r="H974" s="251"/>
      <c r="I974" s="252"/>
      <c r="J974" s="252"/>
      <c r="K974" s="252"/>
      <c r="L974" s="251"/>
      <c r="M974" s="251"/>
      <c r="N974" s="251"/>
      <c r="O974" s="251"/>
      <c r="P974" s="251"/>
      <c r="Q974" s="251"/>
      <c r="R974" s="251"/>
      <c r="S974" s="251"/>
      <c r="T974" s="251"/>
      <c r="U974" s="251"/>
      <c r="V974" s="251"/>
      <c r="W974" s="251"/>
      <c r="X974" s="251"/>
      <c r="Y974" s="251"/>
      <c r="Z974" s="251"/>
      <c r="AA974" s="137"/>
      <c r="AB974" s="137"/>
      <c r="AC974" s="137"/>
      <c r="AD974" s="137"/>
      <c r="AE974" s="137"/>
      <c r="AF974" s="137"/>
      <c r="AG974" s="137"/>
    </row>
    <row r="975" ht="30.0" customHeight="1">
      <c r="A975" s="248"/>
      <c r="B975" s="249"/>
      <c r="C975" s="248"/>
      <c r="D975" s="249"/>
      <c r="E975" s="251"/>
      <c r="F975" s="249"/>
      <c r="G975" s="250"/>
      <c r="H975" s="251"/>
      <c r="I975" s="252"/>
      <c r="J975" s="252"/>
      <c r="K975" s="252"/>
      <c r="L975" s="251"/>
      <c r="M975" s="251"/>
      <c r="N975" s="251"/>
      <c r="O975" s="251"/>
      <c r="P975" s="251"/>
      <c r="Q975" s="251"/>
      <c r="R975" s="251"/>
      <c r="S975" s="251"/>
      <c r="T975" s="251"/>
      <c r="U975" s="251"/>
      <c r="V975" s="251"/>
      <c r="W975" s="251"/>
      <c r="X975" s="251"/>
      <c r="Y975" s="251"/>
      <c r="Z975" s="251"/>
      <c r="AA975" s="137"/>
      <c r="AB975" s="137"/>
      <c r="AC975" s="137"/>
      <c r="AD975" s="137"/>
      <c r="AE975" s="137"/>
      <c r="AF975" s="137"/>
      <c r="AG975" s="137"/>
    </row>
    <row r="976" ht="30.0" customHeight="1">
      <c r="A976" s="248"/>
      <c r="B976" s="249"/>
      <c r="C976" s="248"/>
      <c r="D976" s="249"/>
      <c r="E976" s="249"/>
      <c r="F976" s="249"/>
      <c r="G976" s="249"/>
      <c r="H976" s="251"/>
      <c r="I976" s="252"/>
      <c r="J976" s="252"/>
      <c r="K976" s="252"/>
      <c r="L976" s="251"/>
      <c r="M976" s="251"/>
      <c r="N976" s="251"/>
      <c r="O976" s="251"/>
      <c r="P976" s="251"/>
      <c r="Q976" s="251"/>
      <c r="R976" s="251"/>
      <c r="S976" s="251"/>
      <c r="T976" s="251"/>
      <c r="U976" s="251"/>
      <c r="V976" s="251"/>
      <c r="W976" s="251"/>
      <c r="X976" s="251"/>
      <c r="Y976" s="251"/>
      <c r="Z976" s="251"/>
      <c r="AA976" s="137"/>
      <c r="AB976" s="137"/>
      <c r="AC976" s="137"/>
      <c r="AD976" s="137"/>
      <c r="AE976" s="137"/>
      <c r="AF976" s="137"/>
      <c r="AG976" s="137"/>
    </row>
    <row r="977" ht="30.0" customHeight="1">
      <c r="A977" s="248"/>
      <c r="B977" s="249"/>
      <c r="C977" s="248"/>
      <c r="D977" s="249"/>
      <c r="E977" s="249"/>
      <c r="F977" s="249"/>
      <c r="G977" s="250"/>
      <c r="H977" s="251"/>
      <c r="I977" s="252"/>
      <c r="J977" s="252"/>
      <c r="K977" s="252"/>
      <c r="L977" s="251"/>
      <c r="M977" s="251"/>
      <c r="N977" s="251"/>
      <c r="O977" s="251"/>
      <c r="P977" s="251"/>
      <c r="Q977" s="251"/>
      <c r="R977" s="251"/>
      <c r="S977" s="251"/>
      <c r="T977" s="251"/>
      <c r="U977" s="251"/>
      <c r="V977" s="251"/>
      <c r="W977" s="251"/>
      <c r="X977" s="251"/>
      <c r="Y977" s="251"/>
      <c r="Z977" s="251"/>
      <c r="AA977" s="137"/>
      <c r="AB977" s="137"/>
      <c r="AC977" s="137"/>
      <c r="AD977" s="137"/>
      <c r="AE977" s="137"/>
      <c r="AF977" s="137"/>
      <c r="AG977" s="137"/>
    </row>
    <row r="978" ht="30.0" customHeight="1">
      <c r="A978" s="248"/>
      <c r="B978" s="249"/>
      <c r="C978" s="248"/>
      <c r="D978" s="249"/>
      <c r="E978" s="249"/>
      <c r="F978" s="249"/>
      <c r="G978" s="250"/>
      <c r="H978" s="251"/>
      <c r="I978" s="252"/>
      <c r="J978" s="252"/>
      <c r="K978" s="252"/>
      <c r="L978" s="251"/>
      <c r="M978" s="251"/>
      <c r="N978" s="251"/>
      <c r="O978" s="251"/>
      <c r="P978" s="251"/>
      <c r="Q978" s="251"/>
      <c r="R978" s="251"/>
      <c r="S978" s="251"/>
      <c r="T978" s="251"/>
      <c r="U978" s="251"/>
      <c r="V978" s="251"/>
      <c r="W978" s="251"/>
      <c r="X978" s="251"/>
      <c r="Y978" s="251"/>
      <c r="Z978" s="251"/>
      <c r="AA978" s="137"/>
      <c r="AB978" s="137"/>
      <c r="AC978" s="137"/>
      <c r="AD978" s="137"/>
      <c r="AE978" s="137"/>
      <c r="AF978" s="137"/>
      <c r="AG978" s="137"/>
    </row>
    <row r="979" ht="30.0" customHeight="1">
      <c r="A979" s="248"/>
      <c r="B979" s="249"/>
      <c r="C979" s="248"/>
      <c r="D979" s="249"/>
      <c r="E979" s="249"/>
      <c r="F979" s="249"/>
      <c r="G979" s="250"/>
      <c r="H979" s="251"/>
      <c r="I979" s="252"/>
      <c r="J979" s="252"/>
      <c r="K979" s="252"/>
      <c r="L979" s="251"/>
      <c r="M979" s="251"/>
      <c r="N979" s="251"/>
      <c r="O979" s="251"/>
      <c r="P979" s="251"/>
      <c r="Q979" s="251"/>
      <c r="R979" s="251"/>
      <c r="S979" s="251"/>
      <c r="T979" s="251"/>
      <c r="U979" s="251"/>
      <c r="V979" s="251"/>
      <c r="W979" s="251"/>
      <c r="X979" s="251"/>
      <c r="Y979" s="251"/>
      <c r="Z979" s="251"/>
      <c r="AA979" s="137"/>
      <c r="AB979" s="137"/>
      <c r="AC979" s="137"/>
      <c r="AD979" s="137"/>
      <c r="AE979" s="137"/>
      <c r="AF979" s="137"/>
      <c r="AG979" s="137"/>
    </row>
    <row r="980" ht="30.0" customHeight="1">
      <c r="A980" s="248"/>
      <c r="B980" s="249"/>
      <c r="C980" s="248"/>
      <c r="D980" s="249"/>
      <c r="E980" s="249"/>
      <c r="F980" s="249"/>
      <c r="G980" s="250"/>
      <c r="H980" s="251"/>
      <c r="I980" s="252"/>
      <c r="J980" s="252"/>
      <c r="K980" s="252"/>
      <c r="L980" s="251"/>
      <c r="M980" s="251"/>
      <c r="N980" s="251"/>
      <c r="O980" s="251"/>
      <c r="P980" s="251"/>
      <c r="Q980" s="251"/>
      <c r="R980" s="251"/>
      <c r="S980" s="251"/>
      <c r="T980" s="251"/>
      <c r="U980" s="251"/>
      <c r="V980" s="251"/>
      <c r="W980" s="251"/>
      <c r="X980" s="251"/>
      <c r="Y980" s="251"/>
      <c r="Z980" s="251"/>
      <c r="AA980" s="137"/>
      <c r="AB980" s="137"/>
      <c r="AC980" s="137"/>
      <c r="AD980" s="137"/>
      <c r="AE980" s="137"/>
      <c r="AF980" s="137"/>
      <c r="AG980" s="137"/>
    </row>
    <row r="981" ht="30.0" customHeight="1">
      <c r="A981" s="248"/>
      <c r="B981" s="249"/>
      <c r="C981" s="248"/>
      <c r="D981" s="249"/>
      <c r="E981" s="249"/>
      <c r="F981" s="249"/>
      <c r="G981" s="250"/>
      <c r="H981" s="251"/>
      <c r="I981" s="252"/>
      <c r="J981" s="252"/>
      <c r="K981" s="252"/>
      <c r="L981" s="251"/>
      <c r="M981" s="251"/>
      <c r="N981" s="251"/>
      <c r="O981" s="251"/>
      <c r="P981" s="251"/>
      <c r="Q981" s="251"/>
      <c r="R981" s="251"/>
      <c r="S981" s="251"/>
      <c r="T981" s="251"/>
      <c r="U981" s="251"/>
      <c r="V981" s="251"/>
      <c r="W981" s="251"/>
      <c r="X981" s="251"/>
      <c r="Y981" s="251"/>
      <c r="Z981" s="251"/>
      <c r="AA981" s="137"/>
      <c r="AB981" s="137"/>
      <c r="AC981" s="137"/>
      <c r="AD981" s="137"/>
      <c r="AE981" s="137"/>
      <c r="AF981" s="137"/>
      <c r="AG981" s="137"/>
    </row>
    <row r="982" ht="30.0" customHeight="1">
      <c r="A982" s="248"/>
      <c r="B982" s="249"/>
      <c r="C982" s="248"/>
      <c r="D982" s="249"/>
      <c r="E982" s="249"/>
      <c r="F982" s="249"/>
      <c r="G982" s="250"/>
      <c r="H982" s="251"/>
      <c r="I982" s="252"/>
      <c r="J982" s="252"/>
      <c r="K982" s="252"/>
      <c r="L982" s="251"/>
      <c r="M982" s="251"/>
      <c r="N982" s="251"/>
      <c r="O982" s="251"/>
      <c r="P982" s="251"/>
      <c r="Q982" s="251"/>
      <c r="R982" s="251"/>
      <c r="S982" s="251"/>
      <c r="T982" s="251"/>
      <c r="U982" s="251"/>
      <c r="V982" s="251"/>
      <c r="W982" s="251"/>
      <c r="X982" s="251"/>
      <c r="Y982" s="251"/>
      <c r="Z982" s="251"/>
      <c r="AA982" s="137"/>
      <c r="AB982" s="137"/>
      <c r="AC982" s="137"/>
      <c r="AD982" s="137"/>
      <c r="AE982" s="137"/>
      <c r="AF982" s="137"/>
      <c r="AG982" s="137"/>
    </row>
    <row r="983" ht="30.0" customHeight="1">
      <c r="A983" s="248"/>
      <c r="B983" s="249"/>
      <c r="C983" s="248"/>
      <c r="D983" s="249"/>
      <c r="E983" s="249"/>
      <c r="F983" s="249"/>
      <c r="G983" s="250"/>
      <c r="H983" s="251"/>
      <c r="I983" s="252"/>
      <c r="J983" s="252"/>
      <c r="K983" s="252"/>
      <c r="L983" s="251"/>
      <c r="M983" s="251"/>
      <c r="N983" s="251"/>
      <c r="O983" s="251"/>
      <c r="P983" s="251"/>
      <c r="Q983" s="251"/>
      <c r="R983" s="251"/>
      <c r="S983" s="251"/>
      <c r="T983" s="251"/>
      <c r="U983" s="251"/>
      <c r="V983" s="251"/>
      <c r="W983" s="251"/>
      <c r="X983" s="251"/>
      <c r="Y983" s="251"/>
      <c r="Z983" s="251"/>
      <c r="AA983" s="137"/>
      <c r="AB983" s="137"/>
      <c r="AC983" s="137"/>
      <c r="AD983" s="137"/>
      <c r="AE983" s="137"/>
      <c r="AF983" s="137"/>
      <c r="AG983" s="137"/>
    </row>
    <row r="984" ht="30.0" customHeight="1">
      <c r="A984" s="248"/>
      <c r="B984" s="249"/>
      <c r="C984" s="248"/>
      <c r="D984" s="249"/>
      <c r="E984" s="249"/>
      <c r="F984" s="249"/>
      <c r="G984" s="250"/>
      <c r="H984" s="251"/>
      <c r="I984" s="252"/>
      <c r="J984" s="252"/>
      <c r="K984" s="252"/>
      <c r="L984" s="251"/>
      <c r="M984" s="251"/>
      <c r="N984" s="251"/>
      <c r="O984" s="251"/>
      <c r="P984" s="251"/>
      <c r="Q984" s="251"/>
      <c r="R984" s="251"/>
      <c r="S984" s="251"/>
      <c r="T984" s="251"/>
      <c r="U984" s="251"/>
      <c r="V984" s="251"/>
      <c r="W984" s="251"/>
      <c r="X984" s="251"/>
      <c r="Y984" s="251"/>
      <c r="Z984" s="251"/>
      <c r="AA984" s="137"/>
      <c r="AB984" s="137"/>
      <c r="AC984" s="137"/>
      <c r="AD984" s="137"/>
      <c r="AE984" s="137"/>
      <c r="AF984" s="137"/>
      <c r="AG984" s="137"/>
    </row>
    <row r="985" ht="30.0" customHeight="1">
      <c r="A985" s="248"/>
      <c r="B985" s="249"/>
      <c r="C985" s="248"/>
      <c r="D985" s="249"/>
      <c r="E985" s="251"/>
      <c r="F985" s="249"/>
      <c r="G985" s="250"/>
      <c r="H985" s="251"/>
      <c r="I985" s="252"/>
      <c r="J985" s="252"/>
      <c r="K985" s="252"/>
      <c r="L985" s="251"/>
      <c r="M985" s="251"/>
      <c r="N985" s="251"/>
      <c r="O985" s="251"/>
      <c r="P985" s="251"/>
      <c r="Q985" s="251"/>
      <c r="R985" s="251"/>
      <c r="S985" s="251"/>
      <c r="T985" s="251"/>
      <c r="U985" s="251"/>
      <c r="V985" s="251"/>
      <c r="W985" s="251"/>
      <c r="X985" s="251"/>
      <c r="Y985" s="251"/>
      <c r="Z985" s="251"/>
      <c r="AA985" s="137"/>
      <c r="AB985" s="137"/>
      <c r="AC985" s="137"/>
      <c r="AD985" s="137"/>
      <c r="AE985" s="137"/>
      <c r="AF985" s="137"/>
      <c r="AG985" s="137"/>
    </row>
    <row r="986" ht="30.0" customHeight="1">
      <c r="A986" s="248"/>
      <c r="B986" s="249"/>
      <c r="C986" s="248"/>
      <c r="D986" s="249"/>
      <c r="E986" s="249"/>
      <c r="F986" s="249"/>
      <c r="G986" s="250"/>
      <c r="H986" s="251"/>
      <c r="I986" s="252"/>
      <c r="J986" s="252"/>
      <c r="K986" s="252"/>
      <c r="L986" s="251"/>
      <c r="M986" s="251"/>
      <c r="N986" s="251"/>
      <c r="O986" s="251"/>
      <c r="P986" s="251"/>
      <c r="Q986" s="251"/>
      <c r="R986" s="251"/>
      <c r="S986" s="251"/>
      <c r="T986" s="251"/>
      <c r="U986" s="251"/>
      <c r="V986" s="251"/>
      <c r="W986" s="251"/>
      <c r="X986" s="251"/>
      <c r="Y986" s="251"/>
      <c r="Z986" s="251"/>
      <c r="AA986" s="137"/>
      <c r="AB986" s="137"/>
      <c r="AC986" s="137"/>
      <c r="AD986" s="137"/>
      <c r="AE986" s="137"/>
      <c r="AF986" s="137"/>
      <c r="AG986" s="137"/>
    </row>
    <row r="987" ht="30.0" customHeight="1">
      <c r="A987" s="248"/>
      <c r="B987" s="249"/>
      <c r="C987" s="248"/>
      <c r="D987" s="249"/>
      <c r="E987" s="249"/>
      <c r="F987" s="249"/>
      <c r="G987" s="250"/>
      <c r="H987" s="251"/>
      <c r="I987" s="252"/>
      <c r="J987" s="252"/>
      <c r="K987" s="252"/>
      <c r="L987" s="251"/>
      <c r="M987" s="251"/>
      <c r="N987" s="251"/>
      <c r="O987" s="251"/>
      <c r="P987" s="251"/>
      <c r="Q987" s="251"/>
      <c r="R987" s="251"/>
      <c r="S987" s="251"/>
      <c r="T987" s="251"/>
      <c r="U987" s="251"/>
      <c r="V987" s="251"/>
      <c r="W987" s="251"/>
      <c r="X987" s="251"/>
      <c r="Y987" s="251"/>
      <c r="Z987" s="251"/>
      <c r="AA987" s="137"/>
      <c r="AB987" s="137"/>
      <c r="AC987" s="137"/>
      <c r="AD987" s="137"/>
      <c r="AE987" s="137"/>
      <c r="AF987" s="137"/>
      <c r="AG987" s="137"/>
    </row>
    <row r="988" ht="30.0" customHeight="1">
      <c r="A988" s="248"/>
      <c r="B988" s="249"/>
      <c r="C988" s="248"/>
      <c r="D988" s="249"/>
      <c r="E988" s="249"/>
      <c r="F988" s="249"/>
      <c r="G988" s="250"/>
      <c r="H988" s="251"/>
      <c r="I988" s="252"/>
      <c r="J988" s="252"/>
      <c r="K988" s="252"/>
      <c r="L988" s="251"/>
      <c r="M988" s="251"/>
      <c r="N988" s="251"/>
      <c r="O988" s="251"/>
      <c r="P988" s="251"/>
      <c r="Q988" s="251"/>
      <c r="R988" s="251"/>
      <c r="S988" s="251"/>
      <c r="T988" s="251"/>
      <c r="U988" s="251"/>
      <c r="V988" s="251"/>
      <c r="W988" s="251"/>
      <c r="X988" s="251"/>
      <c r="Y988" s="251"/>
      <c r="Z988" s="251"/>
      <c r="AA988" s="137"/>
      <c r="AB988" s="137"/>
      <c r="AC988" s="137"/>
      <c r="AD988" s="137"/>
      <c r="AE988" s="137"/>
      <c r="AF988" s="137"/>
      <c r="AG988" s="137"/>
    </row>
    <row r="989" ht="30.0" customHeight="1">
      <c r="A989" s="248"/>
      <c r="B989" s="249"/>
      <c r="C989" s="248"/>
      <c r="D989" s="249"/>
      <c r="E989" s="249"/>
      <c r="F989" s="249"/>
      <c r="G989" s="250"/>
      <c r="H989" s="251"/>
      <c r="I989" s="252"/>
      <c r="J989" s="252"/>
      <c r="K989" s="252"/>
      <c r="L989" s="251"/>
      <c r="M989" s="251"/>
      <c r="N989" s="251"/>
      <c r="O989" s="251"/>
      <c r="P989" s="251"/>
      <c r="Q989" s="251"/>
      <c r="R989" s="251"/>
      <c r="S989" s="251"/>
      <c r="T989" s="251"/>
      <c r="U989" s="251"/>
      <c r="V989" s="251"/>
      <c r="W989" s="251"/>
      <c r="X989" s="251"/>
      <c r="Y989" s="251"/>
      <c r="Z989" s="251"/>
      <c r="AA989" s="137"/>
      <c r="AB989" s="137"/>
      <c r="AC989" s="137"/>
      <c r="AD989" s="137"/>
      <c r="AE989" s="137"/>
      <c r="AF989" s="137"/>
      <c r="AG989" s="137"/>
    </row>
    <row r="990" ht="30.0" customHeight="1">
      <c r="A990" s="248"/>
      <c r="B990" s="249"/>
      <c r="C990" s="248"/>
      <c r="D990" s="249"/>
      <c r="E990" s="249"/>
      <c r="F990" s="249"/>
      <c r="G990" s="250"/>
      <c r="H990" s="251"/>
      <c r="I990" s="252"/>
      <c r="J990" s="252"/>
      <c r="K990" s="252"/>
      <c r="L990" s="251"/>
      <c r="M990" s="251"/>
      <c r="N990" s="251"/>
      <c r="O990" s="251"/>
      <c r="P990" s="251"/>
      <c r="Q990" s="251"/>
      <c r="R990" s="251"/>
      <c r="S990" s="251"/>
      <c r="T990" s="251"/>
      <c r="U990" s="251"/>
      <c r="V990" s="251"/>
      <c r="W990" s="251"/>
      <c r="X990" s="251"/>
      <c r="Y990" s="251"/>
      <c r="Z990" s="251"/>
      <c r="AA990" s="137"/>
      <c r="AB990" s="137"/>
      <c r="AC990" s="137"/>
      <c r="AD990" s="137"/>
      <c r="AE990" s="137"/>
      <c r="AF990" s="137"/>
      <c r="AG990" s="137"/>
    </row>
    <row r="991" ht="30.0" customHeight="1">
      <c r="A991" s="248"/>
      <c r="B991" s="249"/>
      <c r="C991" s="248"/>
      <c r="D991" s="249"/>
      <c r="E991" s="249"/>
      <c r="F991" s="249"/>
      <c r="G991" s="250"/>
      <c r="H991" s="251"/>
      <c r="I991" s="252"/>
      <c r="J991" s="252"/>
      <c r="K991" s="252"/>
      <c r="L991" s="251"/>
      <c r="M991" s="251"/>
      <c r="N991" s="251"/>
      <c r="O991" s="251"/>
      <c r="P991" s="251"/>
      <c r="Q991" s="251"/>
      <c r="R991" s="251"/>
      <c r="S991" s="251"/>
      <c r="T991" s="251"/>
      <c r="U991" s="251"/>
      <c r="V991" s="251"/>
      <c r="W991" s="251"/>
      <c r="X991" s="251"/>
      <c r="Y991" s="251"/>
      <c r="Z991" s="251"/>
      <c r="AA991" s="137"/>
      <c r="AB991" s="137"/>
      <c r="AC991" s="137"/>
      <c r="AD991" s="137"/>
      <c r="AE991" s="137"/>
      <c r="AF991" s="137"/>
      <c r="AG991" s="137"/>
    </row>
    <row r="992" ht="30.0" customHeight="1">
      <c r="A992" s="248"/>
      <c r="B992" s="249"/>
      <c r="C992" s="248"/>
      <c r="D992" s="249"/>
      <c r="E992" s="249"/>
      <c r="F992" s="249"/>
      <c r="G992" s="250"/>
      <c r="H992" s="251"/>
      <c r="I992" s="252"/>
      <c r="J992" s="252"/>
      <c r="K992" s="252"/>
      <c r="L992" s="251"/>
      <c r="M992" s="251"/>
      <c r="N992" s="251"/>
      <c r="O992" s="251"/>
      <c r="P992" s="251"/>
      <c r="Q992" s="251"/>
      <c r="R992" s="251"/>
      <c r="S992" s="251"/>
      <c r="T992" s="251"/>
      <c r="U992" s="251"/>
      <c r="V992" s="251"/>
      <c r="W992" s="251"/>
      <c r="X992" s="251"/>
      <c r="Y992" s="251"/>
      <c r="Z992" s="251"/>
      <c r="AA992" s="137"/>
      <c r="AB992" s="137"/>
      <c r="AC992" s="137"/>
      <c r="AD992" s="137"/>
      <c r="AE992" s="137"/>
      <c r="AF992" s="137"/>
      <c r="AG992" s="137"/>
    </row>
    <row r="993" ht="30.0" customHeight="1">
      <c r="A993" s="248"/>
      <c r="B993" s="249"/>
      <c r="C993" s="248"/>
      <c r="D993" s="249"/>
      <c r="E993" s="251"/>
      <c r="F993" s="249"/>
      <c r="G993" s="250"/>
      <c r="H993" s="251"/>
      <c r="I993" s="252"/>
      <c r="J993" s="252"/>
      <c r="K993" s="252"/>
      <c r="L993" s="251"/>
      <c r="M993" s="251"/>
      <c r="N993" s="251"/>
      <c r="O993" s="251"/>
      <c r="P993" s="251"/>
      <c r="Q993" s="251"/>
      <c r="R993" s="251"/>
      <c r="S993" s="251"/>
      <c r="T993" s="251"/>
      <c r="U993" s="251"/>
      <c r="V993" s="251"/>
      <c r="W993" s="251"/>
      <c r="X993" s="251"/>
      <c r="Y993" s="251"/>
      <c r="Z993" s="251"/>
      <c r="AA993" s="137"/>
      <c r="AB993" s="137"/>
      <c r="AC993" s="137"/>
      <c r="AD993" s="137"/>
      <c r="AE993" s="137"/>
      <c r="AF993" s="137"/>
      <c r="AG993" s="137"/>
    </row>
    <row r="994" ht="30.0" customHeight="1">
      <c r="A994" s="248"/>
      <c r="B994" s="249"/>
      <c r="C994" s="248"/>
      <c r="D994" s="249"/>
      <c r="E994" s="249"/>
      <c r="F994" s="249"/>
      <c r="G994" s="250"/>
      <c r="H994" s="251"/>
      <c r="I994" s="252"/>
      <c r="J994" s="252"/>
      <c r="K994" s="252"/>
      <c r="L994" s="251"/>
      <c r="M994" s="251"/>
      <c r="N994" s="251"/>
      <c r="O994" s="251"/>
      <c r="P994" s="251"/>
      <c r="Q994" s="251"/>
      <c r="R994" s="251"/>
      <c r="S994" s="251"/>
      <c r="T994" s="251"/>
      <c r="U994" s="251"/>
      <c r="V994" s="251"/>
      <c r="W994" s="251"/>
      <c r="X994" s="251"/>
      <c r="Y994" s="251"/>
      <c r="Z994" s="251"/>
      <c r="AA994" s="137"/>
      <c r="AB994" s="137"/>
      <c r="AC994" s="137"/>
      <c r="AD994" s="137"/>
      <c r="AE994" s="137"/>
      <c r="AF994" s="137"/>
      <c r="AG994" s="137"/>
    </row>
    <row r="995" ht="30.0" customHeight="1">
      <c r="A995" s="248"/>
      <c r="B995" s="249"/>
      <c r="C995" s="248"/>
      <c r="D995" s="249"/>
      <c r="E995" s="249"/>
      <c r="F995" s="249"/>
      <c r="G995" s="250"/>
      <c r="H995" s="251"/>
      <c r="I995" s="252"/>
      <c r="J995" s="252"/>
      <c r="K995" s="252"/>
      <c r="L995" s="251"/>
      <c r="M995" s="251"/>
      <c r="N995" s="251"/>
      <c r="O995" s="251"/>
      <c r="P995" s="251"/>
      <c r="Q995" s="251"/>
      <c r="R995" s="251"/>
      <c r="S995" s="251"/>
      <c r="T995" s="251"/>
      <c r="U995" s="251"/>
      <c r="V995" s="251"/>
      <c r="W995" s="251"/>
      <c r="X995" s="251"/>
      <c r="Y995" s="251"/>
      <c r="Z995" s="251"/>
      <c r="AA995" s="137"/>
      <c r="AB995" s="137"/>
      <c r="AC995" s="137"/>
      <c r="AD995" s="137"/>
      <c r="AE995" s="137"/>
      <c r="AF995" s="137"/>
      <c r="AG995" s="137"/>
    </row>
    <row r="996" ht="30.0" customHeight="1">
      <c r="A996" s="248"/>
      <c r="B996" s="249"/>
      <c r="C996" s="248"/>
      <c r="D996" s="249"/>
      <c r="E996" s="249"/>
      <c r="F996" s="249"/>
      <c r="G996" s="250"/>
      <c r="H996" s="251"/>
      <c r="I996" s="252"/>
      <c r="J996" s="252"/>
      <c r="K996" s="252"/>
      <c r="L996" s="251"/>
      <c r="M996" s="251"/>
      <c r="N996" s="251"/>
      <c r="O996" s="251"/>
      <c r="P996" s="251"/>
      <c r="Q996" s="251"/>
      <c r="R996" s="251"/>
      <c r="S996" s="251"/>
      <c r="T996" s="251"/>
      <c r="U996" s="251"/>
      <c r="V996" s="251"/>
      <c r="W996" s="251"/>
      <c r="X996" s="251"/>
      <c r="Y996" s="251"/>
      <c r="Z996" s="251"/>
      <c r="AA996" s="137"/>
      <c r="AB996" s="137"/>
      <c r="AC996" s="137"/>
      <c r="AD996" s="137"/>
      <c r="AE996" s="137"/>
      <c r="AF996" s="137"/>
      <c r="AG996" s="137"/>
    </row>
    <row r="997" ht="30.0" customHeight="1">
      <c r="A997" s="248"/>
      <c r="B997" s="249"/>
      <c r="C997" s="248"/>
      <c r="D997" s="249"/>
      <c r="E997" s="251"/>
      <c r="F997" s="249"/>
      <c r="G997" s="250"/>
      <c r="H997" s="251"/>
      <c r="I997" s="252"/>
      <c r="J997" s="252"/>
      <c r="K997" s="252"/>
      <c r="L997" s="251"/>
      <c r="M997" s="251"/>
      <c r="N997" s="251"/>
      <c r="O997" s="251"/>
      <c r="P997" s="251"/>
      <c r="Q997" s="251"/>
      <c r="R997" s="251"/>
      <c r="S997" s="251"/>
      <c r="T997" s="251"/>
      <c r="U997" s="251"/>
      <c r="V997" s="251"/>
      <c r="W997" s="251"/>
      <c r="X997" s="251"/>
      <c r="Y997" s="251"/>
      <c r="Z997" s="251"/>
      <c r="AA997" s="137"/>
      <c r="AB997" s="137"/>
      <c r="AC997" s="137"/>
      <c r="AD997" s="137"/>
      <c r="AE997" s="137"/>
      <c r="AF997" s="137"/>
      <c r="AG997" s="137"/>
    </row>
    <row r="998" ht="30.0" customHeight="1">
      <c r="A998" s="248"/>
      <c r="B998" s="249"/>
      <c r="C998" s="248"/>
      <c r="D998" s="249"/>
      <c r="E998" s="251"/>
      <c r="F998" s="249"/>
      <c r="G998" s="250"/>
      <c r="H998" s="251"/>
      <c r="I998" s="252"/>
      <c r="J998" s="252"/>
      <c r="K998" s="252"/>
      <c r="L998" s="251"/>
      <c r="M998" s="251"/>
      <c r="N998" s="251"/>
      <c r="O998" s="251"/>
      <c r="P998" s="251"/>
      <c r="Q998" s="251"/>
      <c r="R998" s="251"/>
      <c r="S998" s="251"/>
      <c r="T998" s="251"/>
      <c r="U998" s="251"/>
      <c r="V998" s="251"/>
      <c r="W998" s="251"/>
      <c r="X998" s="251"/>
      <c r="Y998" s="251"/>
      <c r="Z998" s="251"/>
      <c r="AA998" s="137"/>
      <c r="AB998" s="137"/>
      <c r="AC998" s="137"/>
      <c r="AD998" s="137"/>
      <c r="AE998" s="137"/>
      <c r="AF998" s="137"/>
      <c r="AG998" s="137"/>
    </row>
    <row r="999" ht="30.0" customHeight="1">
      <c r="A999" s="248"/>
      <c r="B999" s="249"/>
      <c r="C999" s="249"/>
      <c r="D999" s="249"/>
      <c r="E999" s="251"/>
      <c r="F999" s="249"/>
      <c r="G999" s="250"/>
      <c r="H999" s="251"/>
      <c r="I999" s="252"/>
      <c r="J999" s="252"/>
      <c r="K999" s="252"/>
      <c r="L999" s="251"/>
      <c r="M999" s="251"/>
      <c r="N999" s="251"/>
      <c r="O999" s="251"/>
      <c r="P999" s="251"/>
      <c r="Q999" s="251"/>
      <c r="R999" s="251"/>
      <c r="S999" s="251"/>
      <c r="T999" s="251"/>
      <c r="U999" s="251"/>
      <c r="V999" s="251"/>
      <c r="W999" s="251"/>
      <c r="X999" s="251"/>
      <c r="Y999" s="251"/>
      <c r="Z999" s="251"/>
      <c r="AA999" s="137"/>
      <c r="AB999" s="137"/>
      <c r="AC999" s="137"/>
      <c r="AD999" s="137"/>
      <c r="AE999" s="137"/>
      <c r="AF999" s="137"/>
      <c r="AG999" s="137"/>
    </row>
    <row r="1000" ht="30.0" customHeight="1">
      <c r="A1000" s="248"/>
      <c r="B1000" s="249"/>
      <c r="C1000" s="248"/>
      <c r="D1000" s="249"/>
      <c r="E1000" s="249"/>
      <c r="F1000" s="249"/>
      <c r="G1000" s="250"/>
      <c r="H1000" s="251"/>
      <c r="I1000" s="252"/>
      <c r="J1000" s="252"/>
      <c r="K1000" s="252"/>
      <c r="L1000" s="251"/>
      <c r="M1000" s="251"/>
      <c r="N1000" s="251"/>
      <c r="O1000" s="251"/>
      <c r="P1000" s="251"/>
      <c r="Q1000" s="251"/>
      <c r="R1000" s="251"/>
      <c r="S1000" s="251"/>
      <c r="T1000" s="251"/>
      <c r="U1000" s="251"/>
      <c r="V1000" s="251"/>
      <c r="W1000" s="251"/>
      <c r="X1000" s="251"/>
      <c r="Y1000" s="251"/>
      <c r="Z1000" s="251"/>
      <c r="AA1000" s="137"/>
      <c r="AB1000" s="137"/>
      <c r="AC1000" s="137"/>
      <c r="AD1000" s="137"/>
      <c r="AE1000" s="137"/>
      <c r="AF1000" s="137"/>
      <c r="AG1000" s="137"/>
    </row>
    <row r="1001" ht="30.0" customHeight="1">
      <c r="A1001" s="248"/>
      <c r="B1001" s="249"/>
      <c r="C1001" s="248"/>
      <c r="D1001" s="249"/>
      <c r="E1001" s="249"/>
      <c r="F1001" s="249"/>
      <c r="G1001" s="250"/>
      <c r="H1001" s="251"/>
      <c r="I1001" s="252"/>
      <c r="J1001" s="252"/>
      <c r="K1001" s="252"/>
      <c r="L1001" s="251"/>
      <c r="M1001" s="251"/>
      <c r="N1001" s="251"/>
      <c r="O1001" s="251"/>
      <c r="P1001" s="251"/>
      <c r="Q1001" s="251"/>
      <c r="R1001" s="251"/>
      <c r="S1001" s="251"/>
      <c r="T1001" s="251"/>
      <c r="U1001" s="251"/>
      <c r="V1001" s="251"/>
      <c r="W1001" s="251"/>
      <c r="X1001" s="251"/>
      <c r="Y1001" s="251"/>
      <c r="Z1001" s="251"/>
      <c r="AA1001" s="137"/>
      <c r="AB1001" s="137"/>
      <c r="AC1001" s="137"/>
      <c r="AD1001" s="137"/>
      <c r="AE1001" s="137"/>
      <c r="AF1001" s="137"/>
      <c r="AG1001" s="137"/>
    </row>
    <row r="1002" ht="30.0" customHeight="1">
      <c r="A1002" s="248"/>
      <c r="B1002" s="249"/>
      <c r="C1002" s="248"/>
      <c r="D1002" s="249"/>
      <c r="E1002" s="249"/>
      <c r="F1002" s="249"/>
      <c r="G1002" s="249"/>
      <c r="H1002" s="251"/>
      <c r="I1002" s="252"/>
      <c r="J1002" s="252"/>
      <c r="K1002" s="252"/>
      <c r="L1002" s="251"/>
      <c r="M1002" s="251"/>
      <c r="N1002" s="251"/>
      <c r="O1002" s="251"/>
      <c r="P1002" s="251"/>
      <c r="Q1002" s="251"/>
      <c r="R1002" s="251"/>
      <c r="S1002" s="251"/>
      <c r="T1002" s="251"/>
      <c r="U1002" s="251"/>
      <c r="V1002" s="251"/>
      <c r="W1002" s="251"/>
      <c r="X1002" s="251"/>
      <c r="Y1002" s="251"/>
      <c r="Z1002" s="251"/>
      <c r="AA1002" s="137"/>
      <c r="AB1002" s="137"/>
      <c r="AC1002" s="137"/>
      <c r="AD1002" s="137"/>
      <c r="AE1002" s="137"/>
      <c r="AF1002" s="137"/>
      <c r="AG1002" s="137"/>
    </row>
    <row r="1003" ht="30.0" customHeight="1">
      <c r="A1003" s="248"/>
      <c r="B1003" s="249"/>
      <c r="C1003" s="248"/>
      <c r="D1003" s="249"/>
      <c r="E1003" s="249"/>
      <c r="F1003" s="249"/>
      <c r="G1003" s="250"/>
      <c r="H1003" s="251"/>
      <c r="I1003" s="252"/>
      <c r="J1003" s="252"/>
      <c r="K1003" s="252"/>
      <c r="L1003" s="251"/>
      <c r="M1003" s="251"/>
      <c r="N1003" s="251"/>
      <c r="O1003" s="251"/>
      <c r="P1003" s="251"/>
      <c r="Q1003" s="251"/>
      <c r="R1003" s="251"/>
      <c r="S1003" s="251"/>
      <c r="T1003" s="251"/>
      <c r="U1003" s="251"/>
      <c r="V1003" s="251"/>
      <c r="W1003" s="251"/>
      <c r="X1003" s="251"/>
      <c r="Y1003" s="251"/>
      <c r="Z1003" s="251"/>
      <c r="AA1003" s="137"/>
      <c r="AB1003" s="137"/>
      <c r="AC1003" s="137"/>
      <c r="AD1003" s="137"/>
      <c r="AE1003" s="137"/>
      <c r="AF1003" s="137"/>
      <c r="AG1003" s="137"/>
    </row>
    <row r="1004" ht="30.0" customHeight="1">
      <c r="A1004" s="248"/>
      <c r="B1004" s="249"/>
      <c r="C1004" s="248"/>
      <c r="D1004" s="249"/>
      <c r="E1004" s="249"/>
      <c r="F1004" s="249"/>
      <c r="G1004" s="250"/>
      <c r="H1004" s="251"/>
      <c r="I1004" s="252"/>
      <c r="J1004" s="252"/>
      <c r="K1004" s="252"/>
      <c r="L1004" s="251"/>
      <c r="M1004" s="251"/>
      <c r="N1004" s="251"/>
      <c r="O1004" s="251"/>
      <c r="P1004" s="251"/>
      <c r="Q1004" s="251"/>
      <c r="R1004" s="251"/>
      <c r="S1004" s="251"/>
      <c r="T1004" s="251"/>
      <c r="U1004" s="251"/>
      <c r="V1004" s="251"/>
      <c r="W1004" s="251"/>
      <c r="X1004" s="251"/>
      <c r="Y1004" s="251"/>
      <c r="Z1004" s="251"/>
      <c r="AA1004" s="137"/>
      <c r="AB1004" s="137"/>
      <c r="AC1004" s="137"/>
      <c r="AD1004" s="137"/>
      <c r="AE1004" s="137"/>
      <c r="AF1004" s="137"/>
      <c r="AG1004" s="137"/>
    </row>
    <row r="1005" ht="30.0" customHeight="1">
      <c r="A1005" s="248"/>
      <c r="B1005" s="249"/>
      <c r="C1005" s="248"/>
      <c r="D1005" s="249"/>
      <c r="E1005" s="249"/>
      <c r="F1005" s="249"/>
      <c r="G1005" s="250"/>
      <c r="H1005" s="251"/>
      <c r="I1005" s="252"/>
      <c r="J1005" s="252"/>
      <c r="K1005" s="252"/>
      <c r="L1005" s="251"/>
      <c r="M1005" s="251"/>
      <c r="N1005" s="251"/>
      <c r="O1005" s="251"/>
      <c r="P1005" s="251"/>
      <c r="Q1005" s="251"/>
      <c r="R1005" s="251"/>
      <c r="S1005" s="251"/>
      <c r="T1005" s="251"/>
      <c r="U1005" s="251"/>
      <c r="V1005" s="251"/>
      <c r="W1005" s="251"/>
      <c r="X1005" s="251"/>
      <c r="Y1005" s="251"/>
      <c r="Z1005" s="251"/>
      <c r="AA1005" s="137"/>
      <c r="AB1005" s="137"/>
      <c r="AC1005" s="137"/>
      <c r="AD1005" s="137"/>
      <c r="AE1005" s="137"/>
      <c r="AF1005" s="137"/>
      <c r="AG1005" s="137"/>
    </row>
    <row r="1006" ht="30.0" customHeight="1">
      <c r="A1006" s="248"/>
      <c r="B1006" s="249"/>
      <c r="C1006" s="248"/>
      <c r="D1006" s="249"/>
      <c r="E1006" s="249"/>
      <c r="F1006" s="249"/>
      <c r="G1006" s="250"/>
      <c r="H1006" s="251"/>
      <c r="I1006" s="252"/>
      <c r="J1006" s="252"/>
      <c r="K1006" s="252"/>
      <c r="L1006" s="251"/>
      <c r="M1006" s="251"/>
      <c r="N1006" s="251"/>
      <c r="O1006" s="251"/>
      <c r="P1006" s="251"/>
      <c r="Q1006" s="251"/>
      <c r="R1006" s="251"/>
      <c r="S1006" s="251"/>
      <c r="T1006" s="251"/>
      <c r="U1006" s="251"/>
      <c r="V1006" s="251"/>
      <c r="W1006" s="251"/>
      <c r="X1006" s="251"/>
      <c r="Y1006" s="251"/>
      <c r="Z1006" s="251"/>
      <c r="AA1006" s="137"/>
      <c r="AB1006" s="137"/>
      <c r="AC1006" s="137"/>
      <c r="AD1006" s="137"/>
      <c r="AE1006" s="137"/>
      <c r="AF1006" s="137"/>
      <c r="AG1006" s="137"/>
    </row>
    <row r="1007" ht="30.0" customHeight="1">
      <c r="A1007" s="248"/>
      <c r="B1007" s="249"/>
      <c r="C1007" s="248"/>
      <c r="D1007" s="249"/>
      <c r="E1007" s="249"/>
      <c r="F1007" s="249"/>
      <c r="G1007" s="249"/>
      <c r="H1007" s="251"/>
      <c r="I1007" s="252"/>
      <c r="J1007" s="252"/>
      <c r="K1007" s="252"/>
      <c r="L1007" s="251"/>
      <c r="M1007" s="251"/>
      <c r="N1007" s="251"/>
      <c r="O1007" s="251"/>
      <c r="P1007" s="251"/>
      <c r="Q1007" s="251"/>
      <c r="R1007" s="251"/>
      <c r="S1007" s="251"/>
      <c r="T1007" s="251"/>
      <c r="U1007" s="251"/>
      <c r="V1007" s="251"/>
      <c r="W1007" s="251"/>
      <c r="X1007" s="251"/>
      <c r="Y1007" s="251"/>
      <c r="Z1007" s="251"/>
      <c r="AA1007" s="137"/>
      <c r="AB1007" s="137"/>
      <c r="AC1007" s="137"/>
      <c r="AD1007" s="137"/>
      <c r="AE1007" s="137"/>
      <c r="AF1007" s="137"/>
      <c r="AG1007" s="137"/>
    </row>
    <row r="1008" ht="30.0" customHeight="1">
      <c r="A1008" s="248"/>
      <c r="B1008" s="249"/>
      <c r="C1008" s="248"/>
      <c r="D1008" s="249"/>
      <c r="E1008" s="249"/>
      <c r="F1008" s="249"/>
      <c r="G1008" s="250"/>
      <c r="H1008" s="251"/>
      <c r="I1008" s="252"/>
      <c r="J1008" s="252"/>
      <c r="K1008" s="252"/>
      <c r="L1008" s="251"/>
      <c r="M1008" s="251"/>
      <c r="N1008" s="251"/>
      <c r="O1008" s="251"/>
      <c r="P1008" s="251"/>
      <c r="Q1008" s="251"/>
      <c r="R1008" s="251"/>
      <c r="S1008" s="251"/>
      <c r="T1008" s="251"/>
      <c r="U1008" s="251"/>
      <c r="V1008" s="251"/>
      <c r="W1008" s="251"/>
      <c r="X1008" s="251"/>
      <c r="Y1008" s="251"/>
      <c r="Z1008" s="251"/>
      <c r="AA1008" s="137"/>
      <c r="AB1008" s="137"/>
      <c r="AC1008" s="137"/>
      <c r="AD1008" s="137"/>
      <c r="AE1008" s="137"/>
      <c r="AF1008" s="137"/>
      <c r="AG1008" s="137"/>
    </row>
    <row r="1009" ht="30.0" customHeight="1">
      <c r="A1009" s="248"/>
      <c r="B1009" s="249"/>
      <c r="C1009" s="248"/>
      <c r="D1009" s="249"/>
      <c r="E1009" s="249"/>
      <c r="F1009" s="249"/>
      <c r="G1009" s="250"/>
      <c r="H1009" s="251"/>
      <c r="I1009" s="252"/>
      <c r="J1009" s="252"/>
      <c r="K1009" s="252"/>
      <c r="L1009" s="251"/>
      <c r="M1009" s="251"/>
      <c r="N1009" s="251"/>
      <c r="O1009" s="251"/>
      <c r="P1009" s="251"/>
      <c r="Q1009" s="251"/>
      <c r="R1009" s="251"/>
      <c r="S1009" s="251"/>
      <c r="T1009" s="251"/>
      <c r="U1009" s="251"/>
      <c r="V1009" s="251"/>
      <c r="W1009" s="251"/>
      <c r="X1009" s="251"/>
      <c r="Y1009" s="251"/>
      <c r="Z1009" s="251"/>
      <c r="AA1009" s="137"/>
      <c r="AB1009" s="137"/>
      <c r="AC1009" s="137"/>
      <c r="AD1009" s="137"/>
      <c r="AE1009" s="137"/>
      <c r="AF1009" s="137"/>
      <c r="AG1009" s="137"/>
    </row>
    <row r="1010" ht="30.0" customHeight="1">
      <c r="A1010" s="248"/>
      <c r="B1010" s="249"/>
      <c r="C1010" s="248"/>
      <c r="D1010" s="249"/>
      <c r="E1010" s="249"/>
      <c r="F1010" s="249"/>
      <c r="G1010" s="249"/>
      <c r="H1010" s="251"/>
      <c r="I1010" s="252"/>
      <c r="J1010" s="252"/>
      <c r="K1010" s="252"/>
      <c r="L1010" s="251"/>
      <c r="M1010" s="251"/>
      <c r="N1010" s="251"/>
      <c r="O1010" s="251"/>
      <c r="P1010" s="251"/>
      <c r="Q1010" s="251"/>
      <c r="R1010" s="251"/>
      <c r="S1010" s="251"/>
      <c r="T1010" s="251"/>
      <c r="U1010" s="251"/>
      <c r="V1010" s="251"/>
      <c r="W1010" s="251"/>
      <c r="X1010" s="251"/>
      <c r="Y1010" s="251"/>
      <c r="Z1010" s="251"/>
      <c r="AA1010" s="137"/>
      <c r="AB1010" s="137"/>
      <c r="AC1010" s="137"/>
      <c r="AD1010" s="137"/>
      <c r="AE1010" s="137"/>
      <c r="AF1010" s="137"/>
      <c r="AG1010" s="137"/>
    </row>
    <row r="1011" ht="30.0" customHeight="1">
      <c r="A1011" s="248"/>
      <c r="B1011" s="249"/>
      <c r="C1011" s="248"/>
      <c r="D1011" s="249"/>
      <c r="E1011" s="249"/>
      <c r="F1011" s="249"/>
      <c r="G1011" s="250"/>
      <c r="H1011" s="251"/>
      <c r="I1011" s="252"/>
      <c r="J1011" s="252"/>
      <c r="K1011" s="252"/>
      <c r="L1011" s="251"/>
      <c r="M1011" s="251"/>
      <c r="N1011" s="251"/>
      <c r="O1011" s="251"/>
      <c r="P1011" s="251"/>
      <c r="Q1011" s="251"/>
      <c r="R1011" s="251"/>
      <c r="S1011" s="251"/>
      <c r="T1011" s="251"/>
      <c r="U1011" s="251"/>
      <c r="V1011" s="251"/>
      <c r="W1011" s="251"/>
      <c r="X1011" s="251"/>
      <c r="Y1011" s="251"/>
      <c r="Z1011" s="251"/>
      <c r="AA1011" s="137"/>
      <c r="AB1011" s="137"/>
      <c r="AC1011" s="137"/>
      <c r="AD1011" s="137"/>
      <c r="AE1011" s="137"/>
      <c r="AF1011" s="137"/>
      <c r="AG1011" s="137"/>
    </row>
    <row r="1012" ht="30.0" customHeight="1">
      <c r="A1012" s="248"/>
      <c r="B1012" s="249"/>
      <c r="C1012" s="248"/>
      <c r="D1012" s="249"/>
      <c r="E1012" s="249"/>
      <c r="F1012" s="249"/>
      <c r="G1012" s="249"/>
      <c r="H1012" s="251"/>
      <c r="I1012" s="252"/>
      <c r="J1012" s="252"/>
      <c r="K1012" s="252"/>
      <c r="L1012" s="251"/>
      <c r="M1012" s="251"/>
      <c r="N1012" s="251"/>
      <c r="O1012" s="251"/>
      <c r="P1012" s="251"/>
      <c r="Q1012" s="251"/>
      <c r="R1012" s="251"/>
      <c r="S1012" s="251"/>
      <c r="T1012" s="251"/>
      <c r="U1012" s="251"/>
      <c r="V1012" s="251"/>
      <c r="W1012" s="251"/>
      <c r="X1012" s="251"/>
      <c r="Y1012" s="251"/>
      <c r="Z1012" s="251"/>
      <c r="AA1012" s="137"/>
      <c r="AB1012" s="137"/>
      <c r="AC1012" s="137"/>
      <c r="AD1012" s="137"/>
      <c r="AE1012" s="137"/>
      <c r="AF1012" s="137"/>
      <c r="AG1012" s="137"/>
    </row>
    <row r="1013" ht="30.0" customHeight="1">
      <c r="A1013" s="248"/>
      <c r="B1013" s="249"/>
      <c r="C1013" s="248"/>
      <c r="D1013" s="249"/>
      <c r="E1013" s="249"/>
      <c r="F1013" s="249"/>
      <c r="G1013" s="250"/>
      <c r="H1013" s="251"/>
      <c r="I1013" s="252"/>
      <c r="J1013" s="252"/>
      <c r="K1013" s="252"/>
      <c r="L1013" s="251"/>
      <c r="M1013" s="251"/>
      <c r="N1013" s="251"/>
      <c r="O1013" s="251"/>
      <c r="P1013" s="251"/>
      <c r="Q1013" s="251"/>
      <c r="R1013" s="251"/>
      <c r="S1013" s="251"/>
      <c r="T1013" s="251"/>
      <c r="U1013" s="251"/>
      <c r="V1013" s="251"/>
      <c r="W1013" s="251"/>
      <c r="X1013" s="251"/>
      <c r="Y1013" s="251"/>
      <c r="Z1013" s="251"/>
      <c r="AA1013" s="137"/>
      <c r="AB1013" s="137"/>
      <c r="AC1013" s="137"/>
      <c r="AD1013" s="137"/>
      <c r="AE1013" s="137"/>
      <c r="AF1013" s="137"/>
      <c r="AG1013" s="137"/>
    </row>
    <row r="1014" ht="30.0" customHeight="1">
      <c r="A1014" s="248"/>
      <c r="B1014" s="249"/>
      <c r="C1014" s="248"/>
      <c r="D1014" s="249"/>
      <c r="E1014" s="249"/>
      <c r="F1014" s="249"/>
      <c r="G1014" s="249"/>
      <c r="H1014" s="251"/>
      <c r="I1014" s="252"/>
      <c r="J1014" s="252"/>
      <c r="K1014" s="252"/>
      <c r="L1014" s="251"/>
      <c r="M1014" s="251"/>
      <c r="N1014" s="251"/>
      <c r="O1014" s="251"/>
      <c r="P1014" s="251"/>
      <c r="Q1014" s="251"/>
      <c r="R1014" s="251"/>
      <c r="S1014" s="251"/>
      <c r="T1014" s="251"/>
      <c r="U1014" s="251"/>
      <c r="V1014" s="251"/>
      <c r="W1014" s="251"/>
      <c r="X1014" s="251"/>
      <c r="Y1014" s="251"/>
      <c r="Z1014" s="251"/>
      <c r="AA1014" s="137"/>
      <c r="AB1014" s="137"/>
      <c r="AC1014" s="137"/>
      <c r="AD1014" s="137"/>
      <c r="AE1014" s="137"/>
      <c r="AF1014" s="137"/>
      <c r="AG1014" s="137"/>
    </row>
    <row r="1015" ht="30.0" customHeight="1">
      <c r="A1015" s="248"/>
      <c r="B1015" s="249"/>
      <c r="C1015" s="248"/>
      <c r="D1015" s="249"/>
      <c r="E1015" s="249"/>
      <c r="F1015" s="249"/>
      <c r="G1015" s="250"/>
      <c r="H1015" s="251"/>
      <c r="I1015" s="252"/>
      <c r="J1015" s="252"/>
      <c r="K1015" s="252"/>
      <c r="L1015" s="251"/>
      <c r="M1015" s="251"/>
      <c r="N1015" s="251"/>
      <c r="O1015" s="251"/>
      <c r="P1015" s="251"/>
      <c r="Q1015" s="251"/>
      <c r="R1015" s="251"/>
      <c r="S1015" s="251"/>
      <c r="T1015" s="251"/>
      <c r="U1015" s="251"/>
      <c r="V1015" s="251"/>
      <c r="W1015" s="251"/>
      <c r="X1015" s="251"/>
      <c r="Y1015" s="251"/>
      <c r="Z1015" s="251"/>
      <c r="AA1015" s="137"/>
      <c r="AB1015" s="137"/>
      <c r="AC1015" s="137"/>
      <c r="AD1015" s="137"/>
      <c r="AE1015" s="137"/>
      <c r="AF1015" s="137"/>
      <c r="AG1015" s="137"/>
    </row>
    <row r="1016" ht="30.0" customHeight="1">
      <c r="A1016" s="248"/>
      <c r="B1016" s="249"/>
      <c r="C1016" s="248"/>
      <c r="D1016" s="249"/>
      <c r="E1016" s="249"/>
      <c r="F1016" s="249"/>
      <c r="G1016" s="249"/>
      <c r="H1016" s="251"/>
      <c r="I1016" s="252"/>
      <c r="J1016" s="252"/>
      <c r="K1016" s="252"/>
      <c r="L1016" s="251"/>
      <c r="M1016" s="251"/>
      <c r="N1016" s="251"/>
      <c r="O1016" s="251"/>
      <c r="P1016" s="251"/>
      <c r="Q1016" s="251"/>
      <c r="R1016" s="251"/>
      <c r="S1016" s="251"/>
      <c r="T1016" s="251"/>
      <c r="U1016" s="251"/>
      <c r="V1016" s="251"/>
      <c r="W1016" s="251"/>
      <c r="X1016" s="251"/>
      <c r="Y1016" s="251"/>
      <c r="Z1016" s="251"/>
      <c r="AA1016" s="137"/>
      <c r="AB1016" s="137"/>
      <c r="AC1016" s="137"/>
      <c r="AD1016" s="137"/>
      <c r="AE1016" s="137"/>
      <c r="AF1016" s="137"/>
      <c r="AG1016" s="137"/>
    </row>
    <row r="1017" ht="30.0" customHeight="1">
      <c r="A1017" s="248"/>
      <c r="B1017" s="249"/>
      <c r="C1017" s="248"/>
      <c r="D1017" s="249"/>
      <c r="E1017" s="249"/>
      <c r="F1017" s="249"/>
      <c r="G1017" s="250"/>
      <c r="H1017" s="251"/>
      <c r="I1017" s="252"/>
      <c r="J1017" s="252"/>
      <c r="K1017" s="252"/>
      <c r="L1017" s="251"/>
      <c r="M1017" s="251"/>
      <c r="N1017" s="251"/>
      <c r="O1017" s="251"/>
      <c r="P1017" s="251"/>
      <c r="Q1017" s="251"/>
      <c r="R1017" s="251"/>
      <c r="S1017" s="251"/>
      <c r="T1017" s="251"/>
      <c r="U1017" s="251"/>
      <c r="V1017" s="251"/>
      <c r="W1017" s="251"/>
      <c r="X1017" s="251"/>
      <c r="Y1017" s="251"/>
      <c r="Z1017" s="251"/>
      <c r="AA1017" s="137"/>
      <c r="AB1017" s="137"/>
      <c r="AC1017" s="137"/>
      <c r="AD1017" s="137"/>
      <c r="AE1017" s="137"/>
      <c r="AF1017" s="137"/>
      <c r="AG1017" s="137"/>
    </row>
    <row r="1018" ht="30.0" customHeight="1">
      <c r="A1018" s="248"/>
      <c r="B1018" s="249"/>
      <c r="C1018" s="248"/>
      <c r="D1018" s="249"/>
      <c r="E1018" s="249"/>
      <c r="F1018" s="249"/>
      <c r="G1018" s="250"/>
      <c r="H1018" s="251"/>
      <c r="I1018" s="252"/>
      <c r="J1018" s="252"/>
      <c r="K1018" s="252"/>
      <c r="L1018" s="251"/>
      <c r="M1018" s="251"/>
      <c r="N1018" s="251"/>
      <c r="O1018" s="251"/>
      <c r="P1018" s="251"/>
      <c r="Q1018" s="251"/>
      <c r="R1018" s="251"/>
      <c r="S1018" s="251"/>
      <c r="T1018" s="251"/>
      <c r="U1018" s="251"/>
      <c r="V1018" s="251"/>
      <c r="W1018" s="251"/>
      <c r="X1018" s="251"/>
      <c r="Y1018" s="251"/>
      <c r="Z1018" s="251"/>
      <c r="AA1018" s="137"/>
      <c r="AB1018" s="137"/>
      <c r="AC1018" s="137"/>
      <c r="AD1018" s="137"/>
      <c r="AE1018" s="137"/>
      <c r="AF1018" s="137"/>
      <c r="AG1018" s="137"/>
    </row>
    <row r="1019" ht="30.0" customHeight="1">
      <c r="A1019" s="248"/>
      <c r="B1019" s="249"/>
      <c r="C1019" s="248"/>
      <c r="D1019" s="249"/>
      <c r="E1019" s="249"/>
      <c r="F1019" s="249"/>
      <c r="G1019" s="250"/>
      <c r="H1019" s="251"/>
      <c r="I1019" s="252"/>
      <c r="J1019" s="252"/>
      <c r="K1019" s="252"/>
      <c r="L1019" s="251"/>
      <c r="M1019" s="251"/>
      <c r="N1019" s="251"/>
      <c r="O1019" s="251"/>
      <c r="P1019" s="251"/>
      <c r="Q1019" s="251"/>
      <c r="R1019" s="251"/>
      <c r="S1019" s="251"/>
      <c r="T1019" s="251"/>
      <c r="U1019" s="251"/>
      <c r="V1019" s="251"/>
      <c r="W1019" s="251"/>
      <c r="X1019" s="251"/>
      <c r="Y1019" s="251"/>
      <c r="Z1019" s="251"/>
      <c r="AA1019" s="137"/>
      <c r="AB1019" s="137"/>
      <c r="AC1019" s="137"/>
      <c r="AD1019" s="137"/>
      <c r="AE1019" s="137"/>
      <c r="AF1019" s="137"/>
      <c r="AG1019" s="137"/>
    </row>
    <row r="1020" ht="30.0" customHeight="1">
      <c r="A1020" s="248"/>
      <c r="B1020" s="249"/>
      <c r="C1020" s="248"/>
      <c r="D1020" s="249"/>
      <c r="E1020" s="249"/>
      <c r="F1020" s="249"/>
      <c r="G1020" s="250"/>
      <c r="H1020" s="251"/>
      <c r="I1020" s="252"/>
      <c r="J1020" s="252"/>
      <c r="K1020" s="252"/>
      <c r="L1020" s="251"/>
      <c r="M1020" s="251"/>
      <c r="N1020" s="251"/>
      <c r="O1020" s="251"/>
      <c r="P1020" s="251"/>
      <c r="Q1020" s="251"/>
      <c r="R1020" s="251"/>
      <c r="S1020" s="251"/>
      <c r="T1020" s="251"/>
      <c r="U1020" s="251"/>
      <c r="V1020" s="251"/>
      <c r="W1020" s="251"/>
      <c r="X1020" s="251"/>
      <c r="Y1020" s="251"/>
      <c r="Z1020" s="251"/>
      <c r="AA1020" s="137"/>
      <c r="AB1020" s="137"/>
      <c r="AC1020" s="137"/>
      <c r="AD1020" s="137"/>
      <c r="AE1020" s="137"/>
      <c r="AF1020" s="137"/>
      <c r="AG1020" s="137"/>
    </row>
    <row r="1021" ht="30.0" customHeight="1">
      <c r="A1021" s="248"/>
      <c r="B1021" s="249"/>
      <c r="C1021" s="248"/>
      <c r="D1021" s="249"/>
      <c r="E1021" s="249"/>
      <c r="F1021" s="249"/>
      <c r="G1021" s="250"/>
      <c r="H1021" s="251"/>
      <c r="I1021" s="252"/>
      <c r="J1021" s="252"/>
      <c r="K1021" s="252"/>
      <c r="L1021" s="251"/>
      <c r="M1021" s="251"/>
      <c r="N1021" s="251"/>
      <c r="O1021" s="251"/>
      <c r="P1021" s="251"/>
      <c r="Q1021" s="251"/>
      <c r="R1021" s="251"/>
      <c r="S1021" s="251"/>
      <c r="T1021" s="251"/>
      <c r="U1021" s="251"/>
      <c r="V1021" s="251"/>
      <c r="W1021" s="251"/>
      <c r="X1021" s="251"/>
      <c r="Y1021" s="251"/>
      <c r="Z1021" s="251"/>
      <c r="AA1021" s="137"/>
      <c r="AB1021" s="137"/>
      <c r="AC1021" s="137"/>
      <c r="AD1021" s="137"/>
      <c r="AE1021" s="137"/>
      <c r="AF1021" s="137"/>
      <c r="AG1021" s="137"/>
    </row>
    <row r="1022" ht="30.0" customHeight="1">
      <c r="A1022" s="248"/>
      <c r="B1022" s="249"/>
      <c r="C1022" s="248"/>
      <c r="D1022" s="249"/>
      <c r="E1022" s="249"/>
      <c r="F1022" s="249"/>
      <c r="G1022" s="250"/>
      <c r="H1022" s="251"/>
      <c r="I1022" s="252"/>
      <c r="J1022" s="252"/>
      <c r="K1022" s="252"/>
      <c r="L1022" s="251"/>
      <c r="M1022" s="251"/>
      <c r="N1022" s="251"/>
      <c r="O1022" s="251"/>
      <c r="P1022" s="251"/>
      <c r="Q1022" s="251"/>
      <c r="R1022" s="251"/>
      <c r="S1022" s="251"/>
      <c r="T1022" s="251"/>
      <c r="U1022" s="251"/>
      <c r="V1022" s="251"/>
      <c r="W1022" s="251"/>
      <c r="X1022" s="251"/>
      <c r="Y1022" s="251"/>
      <c r="Z1022" s="251"/>
      <c r="AA1022" s="137"/>
      <c r="AB1022" s="137"/>
      <c r="AC1022" s="137"/>
      <c r="AD1022" s="137"/>
      <c r="AE1022" s="137"/>
      <c r="AF1022" s="137"/>
      <c r="AG1022" s="137"/>
    </row>
    <row r="1023" ht="30.0" customHeight="1">
      <c r="A1023" s="248"/>
      <c r="B1023" s="249"/>
      <c r="C1023" s="248"/>
      <c r="D1023" s="249"/>
      <c r="E1023" s="249"/>
      <c r="F1023" s="249"/>
      <c r="G1023" s="250"/>
      <c r="H1023" s="251"/>
      <c r="I1023" s="252"/>
      <c r="J1023" s="252"/>
      <c r="K1023" s="252"/>
      <c r="L1023" s="251"/>
      <c r="M1023" s="251"/>
      <c r="N1023" s="251"/>
      <c r="O1023" s="251"/>
      <c r="P1023" s="251"/>
      <c r="Q1023" s="251"/>
      <c r="R1023" s="251"/>
      <c r="S1023" s="251"/>
      <c r="T1023" s="251"/>
      <c r="U1023" s="251"/>
      <c r="V1023" s="251"/>
      <c r="W1023" s="251"/>
      <c r="X1023" s="251"/>
      <c r="Y1023" s="251"/>
      <c r="Z1023" s="251"/>
      <c r="AA1023" s="137"/>
      <c r="AB1023" s="137"/>
      <c r="AC1023" s="137"/>
      <c r="AD1023" s="137"/>
      <c r="AE1023" s="137"/>
      <c r="AF1023" s="137"/>
      <c r="AG1023" s="137"/>
    </row>
    <row r="1024" ht="30.0" customHeight="1">
      <c r="A1024" s="248"/>
      <c r="B1024" s="249"/>
      <c r="C1024" s="248"/>
      <c r="D1024" s="249"/>
      <c r="E1024" s="249"/>
      <c r="F1024" s="249"/>
      <c r="G1024" s="250"/>
      <c r="H1024" s="251"/>
      <c r="I1024" s="252"/>
      <c r="J1024" s="252"/>
      <c r="K1024" s="252"/>
      <c r="L1024" s="251"/>
      <c r="M1024" s="251"/>
      <c r="N1024" s="251"/>
      <c r="O1024" s="251"/>
      <c r="P1024" s="251"/>
      <c r="Q1024" s="251"/>
      <c r="R1024" s="251"/>
      <c r="S1024" s="251"/>
      <c r="T1024" s="251"/>
      <c r="U1024" s="251"/>
      <c r="V1024" s="251"/>
      <c r="W1024" s="251"/>
      <c r="X1024" s="251"/>
      <c r="Y1024" s="251"/>
      <c r="Z1024" s="251"/>
      <c r="AA1024" s="137"/>
      <c r="AB1024" s="137"/>
      <c r="AC1024" s="137"/>
      <c r="AD1024" s="137"/>
      <c r="AE1024" s="137"/>
      <c r="AF1024" s="137"/>
      <c r="AG1024" s="137"/>
    </row>
    <row r="1025" ht="30.0" customHeight="1">
      <c r="A1025" s="248"/>
      <c r="B1025" s="249"/>
      <c r="C1025" s="248"/>
      <c r="D1025" s="249"/>
      <c r="E1025" s="249"/>
      <c r="F1025" s="249"/>
      <c r="G1025" s="250"/>
      <c r="H1025" s="251"/>
      <c r="I1025" s="252"/>
      <c r="J1025" s="252"/>
      <c r="K1025" s="252"/>
      <c r="L1025" s="251"/>
      <c r="M1025" s="251"/>
      <c r="N1025" s="251"/>
      <c r="O1025" s="251"/>
      <c r="P1025" s="251"/>
      <c r="Q1025" s="251"/>
      <c r="R1025" s="251"/>
      <c r="S1025" s="251"/>
      <c r="T1025" s="251"/>
      <c r="U1025" s="251"/>
      <c r="V1025" s="251"/>
      <c r="W1025" s="251"/>
      <c r="X1025" s="251"/>
      <c r="Y1025" s="251"/>
      <c r="Z1025" s="251"/>
      <c r="AA1025" s="137"/>
      <c r="AB1025" s="137"/>
      <c r="AC1025" s="137"/>
      <c r="AD1025" s="137"/>
      <c r="AE1025" s="137"/>
      <c r="AF1025" s="137"/>
      <c r="AG1025" s="137"/>
    </row>
    <row r="1026" ht="30.0" customHeight="1">
      <c r="A1026" s="248"/>
      <c r="B1026" s="249"/>
      <c r="C1026" s="248"/>
      <c r="D1026" s="249"/>
      <c r="E1026" s="249"/>
      <c r="F1026" s="249"/>
      <c r="G1026" s="249"/>
      <c r="H1026" s="251"/>
      <c r="I1026" s="252"/>
      <c r="J1026" s="252"/>
      <c r="K1026" s="252"/>
      <c r="L1026" s="251"/>
      <c r="M1026" s="251"/>
      <c r="N1026" s="251"/>
      <c r="O1026" s="251"/>
      <c r="P1026" s="251"/>
      <c r="Q1026" s="251"/>
      <c r="R1026" s="251"/>
      <c r="S1026" s="251"/>
      <c r="T1026" s="251"/>
      <c r="U1026" s="251"/>
      <c r="V1026" s="251"/>
      <c r="W1026" s="251"/>
      <c r="X1026" s="251"/>
      <c r="Y1026" s="251"/>
      <c r="Z1026" s="251"/>
      <c r="AA1026" s="137"/>
      <c r="AB1026" s="137"/>
      <c r="AC1026" s="137"/>
      <c r="AD1026" s="137"/>
      <c r="AE1026" s="137"/>
      <c r="AF1026" s="137"/>
      <c r="AG1026" s="137"/>
    </row>
    <row r="1027" ht="30.0" customHeight="1">
      <c r="A1027" s="248"/>
      <c r="B1027" s="249"/>
      <c r="C1027" s="248"/>
      <c r="D1027" s="249"/>
      <c r="E1027" s="249"/>
      <c r="F1027" s="249"/>
      <c r="G1027" s="250"/>
      <c r="H1027" s="251"/>
      <c r="I1027" s="252"/>
      <c r="J1027" s="252"/>
      <c r="K1027" s="252"/>
      <c r="L1027" s="251"/>
      <c r="M1027" s="251"/>
      <c r="N1027" s="251"/>
      <c r="O1027" s="251"/>
      <c r="P1027" s="251"/>
      <c r="Q1027" s="251"/>
      <c r="R1027" s="251"/>
      <c r="S1027" s="251"/>
      <c r="T1027" s="251"/>
      <c r="U1027" s="251"/>
      <c r="V1027" s="251"/>
      <c r="W1027" s="251"/>
      <c r="X1027" s="251"/>
      <c r="Y1027" s="251"/>
      <c r="Z1027" s="251"/>
      <c r="AA1027" s="137"/>
      <c r="AB1027" s="137"/>
      <c r="AC1027" s="137"/>
      <c r="AD1027" s="137"/>
      <c r="AE1027" s="137"/>
      <c r="AF1027" s="137"/>
      <c r="AG1027" s="137"/>
    </row>
    <row r="1028" ht="30.0" customHeight="1">
      <c r="A1028" s="248"/>
      <c r="B1028" s="249"/>
      <c r="C1028" s="248"/>
      <c r="D1028" s="249"/>
      <c r="E1028" s="249"/>
      <c r="F1028" s="249"/>
      <c r="G1028" s="250"/>
      <c r="H1028" s="251"/>
      <c r="I1028" s="252"/>
      <c r="J1028" s="252"/>
      <c r="K1028" s="252"/>
      <c r="L1028" s="251"/>
      <c r="M1028" s="251"/>
      <c r="N1028" s="251"/>
      <c r="O1028" s="251"/>
      <c r="P1028" s="251"/>
      <c r="Q1028" s="251"/>
      <c r="R1028" s="251"/>
      <c r="S1028" s="251"/>
      <c r="T1028" s="251"/>
      <c r="U1028" s="251"/>
      <c r="V1028" s="251"/>
      <c r="W1028" s="251"/>
      <c r="X1028" s="251"/>
      <c r="Y1028" s="251"/>
      <c r="Z1028" s="251"/>
      <c r="AA1028" s="137"/>
      <c r="AB1028" s="137"/>
      <c r="AC1028" s="137"/>
      <c r="AD1028" s="137"/>
      <c r="AE1028" s="137"/>
      <c r="AF1028" s="137"/>
      <c r="AG1028" s="137"/>
    </row>
    <row r="1029" ht="30.0" customHeight="1">
      <c r="A1029" s="248"/>
      <c r="B1029" s="249"/>
      <c r="C1029" s="248"/>
      <c r="D1029" s="249"/>
      <c r="E1029" s="249"/>
      <c r="F1029" s="249"/>
      <c r="G1029" s="250"/>
      <c r="H1029" s="251"/>
      <c r="I1029" s="252"/>
      <c r="J1029" s="252"/>
      <c r="K1029" s="252"/>
      <c r="L1029" s="251"/>
      <c r="M1029" s="251"/>
      <c r="N1029" s="251"/>
      <c r="O1029" s="251"/>
      <c r="P1029" s="251"/>
      <c r="Q1029" s="251"/>
      <c r="R1029" s="251"/>
      <c r="S1029" s="251"/>
      <c r="T1029" s="251"/>
      <c r="U1029" s="251"/>
      <c r="V1029" s="251"/>
      <c r="W1029" s="251"/>
      <c r="X1029" s="251"/>
      <c r="Y1029" s="251"/>
      <c r="Z1029" s="251"/>
      <c r="AA1029" s="137"/>
      <c r="AB1029" s="137"/>
      <c r="AC1029" s="137"/>
      <c r="AD1029" s="137"/>
      <c r="AE1029" s="137"/>
      <c r="AF1029" s="137"/>
      <c r="AG1029" s="137"/>
    </row>
    <row r="1030" ht="30.0" customHeight="1">
      <c r="A1030" s="248"/>
      <c r="B1030" s="249"/>
      <c r="C1030" s="248"/>
      <c r="D1030" s="249"/>
      <c r="E1030" s="249"/>
      <c r="F1030" s="249"/>
      <c r="G1030" s="250"/>
      <c r="H1030" s="251"/>
      <c r="I1030" s="252"/>
      <c r="J1030" s="252"/>
      <c r="K1030" s="252"/>
      <c r="L1030" s="251"/>
      <c r="M1030" s="251"/>
      <c r="N1030" s="251"/>
      <c r="O1030" s="251"/>
      <c r="P1030" s="251"/>
      <c r="Q1030" s="251"/>
      <c r="R1030" s="251"/>
      <c r="S1030" s="251"/>
      <c r="T1030" s="251"/>
      <c r="U1030" s="251"/>
      <c r="V1030" s="251"/>
      <c r="W1030" s="251"/>
      <c r="X1030" s="251"/>
      <c r="Y1030" s="251"/>
      <c r="Z1030" s="251"/>
      <c r="AA1030" s="137"/>
      <c r="AB1030" s="137"/>
      <c r="AC1030" s="137"/>
      <c r="AD1030" s="137"/>
      <c r="AE1030" s="137"/>
      <c r="AF1030" s="137"/>
      <c r="AG1030" s="137"/>
    </row>
    <row r="1031" ht="30.0" customHeight="1">
      <c r="A1031" s="248"/>
      <c r="B1031" s="249"/>
      <c r="C1031" s="248"/>
      <c r="D1031" s="249"/>
      <c r="E1031" s="249"/>
      <c r="F1031" s="249"/>
      <c r="G1031" s="250"/>
      <c r="H1031" s="251"/>
      <c r="I1031" s="252"/>
      <c r="J1031" s="252"/>
      <c r="K1031" s="252"/>
      <c r="L1031" s="251"/>
      <c r="M1031" s="251"/>
      <c r="N1031" s="251"/>
      <c r="O1031" s="251"/>
      <c r="P1031" s="251"/>
      <c r="Q1031" s="251"/>
      <c r="R1031" s="251"/>
      <c r="S1031" s="251"/>
      <c r="T1031" s="251"/>
      <c r="U1031" s="251"/>
      <c r="V1031" s="251"/>
      <c r="W1031" s="251"/>
      <c r="X1031" s="251"/>
      <c r="Y1031" s="251"/>
      <c r="Z1031" s="251"/>
      <c r="AA1031" s="137"/>
      <c r="AB1031" s="137"/>
      <c r="AC1031" s="137"/>
      <c r="AD1031" s="137"/>
      <c r="AE1031" s="137"/>
      <c r="AF1031" s="137"/>
      <c r="AG1031" s="137"/>
    </row>
    <row r="1032" ht="30.0" customHeight="1">
      <c r="A1032" s="248"/>
      <c r="B1032" s="249"/>
      <c r="C1032" s="249"/>
      <c r="D1032" s="249"/>
      <c r="E1032" s="249"/>
      <c r="F1032" s="249"/>
      <c r="G1032" s="250"/>
      <c r="H1032" s="251"/>
      <c r="I1032" s="252"/>
      <c r="J1032" s="252"/>
      <c r="K1032" s="252"/>
      <c r="L1032" s="251"/>
      <c r="M1032" s="251"/>
      <c r="N1032" s="251"/>
      <c r="O1032" s="251"/>
      <c r="P1032" s="251"/>
      <c r="Q1032" s="251"/>
      <c r="R1032" s="251"/>
      <c r="S1032" s="251"/>
      <c r="T1032" s="251"/>
      <c r="U1032" s="251"/>
      <c r="V1032" s="251"/>
      <c r="W1032" s="251"/>
      <c r="X1032" s="251"/>
      <c r="Y1032" s="251"/>
      <c r="Z1032" s="251"/>
      <c r="AA1032" s="137"/>
      <c r="AB1032" s="137"/>
      <c r="AC1032" s="137"/>
      <c r="AD1032" s="137"/>
      <c r="AE1032" s="137"/>
      <c r="AF1032" s="137"/>
      <c r="AG1032" s="137"/>
    </row>
    <row r="1033" ht="30.0" customHeight="1">
      <c r="A1033" s="248"/>
      <c r="B1033" s="249"/>
      <c r="C1033" s="248"/>
      <c r="D1033" s="249"/>
      <c r="E1033" s="249"/>
      <c r="F1033" s="249"/>
      <c r="G1033" s="250"/>
      <c r="H1033" s="251"/>
      <c r="I1033" s="252"/>
      <c r="J1033" s="252"/>
      <c r="K1033" s="252"/>
      <c r="L1033" s="251"/>
      <c r="M1033" s="251"/>
      <c r="N1033" s="251"/>
      <c r="O1033" s="251"/>
      <c r="P1033" s="251"/>
      <c r="Q1033" s="251"/>
      <c r="R1033" s="251"/>
      <c r="S1033" s="251"/>
      <c r="T1033" s="251"/>
      <c r="U1033" s="251"/>
      <c r="V1033" s="251"/>
      <c r="W1033" s="251"/>
      <c r="X1033" s="251"/>
      <c r="Y1033" s="251"/>
      <c r="Z1033" s="251"/>
      <c r="AA1033" s="137"/>
      <c r="AB1033" s="137"/>
      <c r="AC1033" s="137"/>
      <c r="AD1033" s="137"/>
      <c r="AE1033" s="137"/>
      <c r="AF1033" s="137"/>
      <c r="AG1033" s="137"/>
    </row>
    <row r="1034" ht="30.0" customHeight="1">
      <c r="A1034" s="248"/>
      <c r="B1034" s="249"/>
      <c r="C1034" s="248"/>
      <c r="D1034" s="249"/>
      <c r="E1034" s="249"/>
      <c r="F1034" s="249"/>
      <c r="G1034" s="249"/>
      <c r="H1034" s="251"/>
      <c r="I1034" s="252"/>
      <c r="J1034" s="252"/>
      <c r="K1034" s="252"/>
      <c r="L1034" s="251"/>
      <c r="M1034" s="251"/>
      <c r="N1034" s="251"/>
      <c r="O1034" s="251"/>
      <c r="P1034" s="251"/>
      <c r="Q1034" s="251"/>
      <c r="R1034" s="251"/>
      <c r="S1034" s="251"/>
      <c r="T1034" s="251"/>
      <c r="U1034" s="251"/>
      <c r="V1034" s="251"/>
      <c r="W1034" s="251"/>
      <c r="X1034" s="251"/>
      <c r="Y1034" s="251"/>
      <c r="Z1034" s="251"/>
      <c r="AA1034" s="137"/>
      <c r="AB1034" s="137"/>
      <c r="AC1034" s="137"/>
      <c r="AD1034" s="137"/>
      <c r="AE1034" s="137"/>
      <c r="AF1034" s="137"/>
      <c r="AG1034" s="137"/>
    </row>
    <row r="1035" ht="30.0" customHeight="1">
      <c r="A1035" s="248"/>
      <c r="B1035" s="249"/>
      <c r="C1035" s="249"/>
      <c r="D1035" s="249"/>
      <c r="E1035" s="249"/>
      <c r="F1035" s="249"/>
      <c r="G1035" s="250"/>
      <c r="H1035" s="251"/>
      <c r="I1035" s="252"/>
      <c r="J1035" s="252"/>
      <c r="K1035" s="252"/>
      <c r="L1035" s="251"/>
      <c r="M1035" s="251"/>
      <c r="N1035" s="251"/>
      <c r="O1035" s="251"/>
      <c r="P1035" s="251"/>
      <c r="Q1035" s="251"/>
      <c r="R1035" s="251"/>
      <c r="S1035" s="251"/>
      <c r="T1035" s="251"/>
      <c r="U1035" s="251"/>
      <c r="V1035" s="251"/>
      <c r="W1035" s="251"/>
      <c r="X1035" s="251"/>
      <c r="Y1035" s="251"/>
      <c r="Z1035" s="251"/>
      <c r="AA1035" s="137"/>
      <c r="AB1035" s="137"/>
      <c r="AC1035" s="137"/>
      <c r="AD1035" s="137"/>
      <c r="AE1035" s="137"/>
      <c r="AF1035" s="137"/>
      <c r="AG1035" s="137"/>
    </row>
    <row r="1036" ht="30.0" customHeight="1">
      <c r="A1036" s="248"/>
      <c r="B1036" s="249"/>
      <c r="C1036" s="248"/>
      <c r="D1036" s="249"/>
      <c r="E1036" s="249"/>
      <c r="F1036" s="249"/>
      <c r="G1036" s="250"/>
      <c r="H1036" s="251"/>
      <c r="I1036" s="252"/>
      <c r="J1036" s="252"/>
      <c r="K1036" s="252"/>
      <c r="L1036" s="251"/>
      <c r="M1036" s="251"/>
      <c r="N1036" s="251"/>
      <c r="O1036" s="251"/>
      <c r="P1036" s="251"/>
      <c r="Q1036" s="251"/>
      <c r="R1036" s="251"/>
      <c r="S1036" s="251"/>
      <c r="T1036" s="251"/>
      <c r="U1036" s="251"/>
      <c r="V1036" s="251"/>
      <c r="W1036" s="251"/>
      <c r="X1036" s="251"/>
      <c r="Y1036" s="251"/>
      <c r="Z1036" s="251"/>
      <c r="AA1036" s="137"/>
      <c r="AB1036" s="137"/>
      <c r="AC1036" s="137"/>
      <c r="AD1036" s="137"/>
      <c r="AE1036" s="137"/>
      <c r="AF1036" s="137"/>
      <c r="AG1036" s="137"/>
    </row>
    <row r="1037" ht="30.0" customHeight="1">
      <c r="A1037" s="248"/>
      <c r="B1037" s="249"/>
      <c r="C1037" s="248"/>
      <c r="D1037" s="249"/>
      <c r="E1037" s="249"/>
      <c r="F1037" s="249"/>
      <c r="G1037" s="250"/>
      <c r="H1037" s="251"/>
      <c r="I1037" s="252"/>
      <c r="J1037" s="252"/>
      <c r="K1037" s="252"/>
      <c r="L1037" s="251"/>
      <c r="M1037" s="251"/>
      <c r="N1037" s="251"/>
      <c r="O1037" s="251"/>
      <c r="P1037" s="251"/>
      <c r="Q1037" s="251"/>
      <c r="R1037" s="251"/>
      <c r="S1037" s="251"/>
      <c r="T1037" s="251"/>
      <c r="U1037" s="251"/>
      <c r="V1037" s="251"/>
      <c r="W1037" s="251"/>
      <c r="X1037" s="251"/>
      <c r="Y1037" s="251"/>
      <c r="Z1037" s="251"/>
      <c r="AA1037" s="137"/>
      <c r="AB1037" s="137"/>
      <c r="AC1037" s="137"/>
      <c r="AD1037" s="137"/>
      <c r="AE1037" s="137"/>
      <c r="AF1037" s="137"/>
      <c r="AG1037" s="137"/>
    </row>
    <row r="1038" ht="30.0" customHeight="1">
      <c r="A1038" s="248"/>
      <c r="B1038" s="249"/>
      <c r="C1038" s="248"/>
      <c r="D1038" s="249"/>
      <c r="E1038" s="249"/>
      <c r="F1038" s="249"/>
      <c r="G1038" s="250"/>
      <c r="H1038" s="251"/>
      <c r="I1038" s="252"/>
      <c r="J1038" s="252"/>
      <c r="K1038" s="252"/>
      <c r="L1038" s="251"/>
      <c r="M1038" s="251"/>
      <c r="N1038" s="251"/>
      <c r="O1038" s="251"/>
      <c r="P1038" s="251"/>
      <c r="Q1038" s="251"/>
      <c r="R1038" s="251"/>
      <c r="S1038" s="251"/>
      <c r="T1038" s="251"/>
      <c r="U1038" s="251"/>
      <c r="V1038" s="251"/>
      <c r="W1038" s="251"/>
      <c r="X1038" s="251"/>
      <c r="Y1038" s="251"/>
      <c r="Z1038" s="251"/>
      <c r="AA1038" s="137"/>
      <c r="AB1038" s="137"/>
      <c r="AC1038" s="137"/>
      <c r="AD1038" s="137"/>
      <c r="AE1038" s="137"/>
      <c r="AF1038" s="137"/>
      <c r="AG1038" s="137"/>
    </row>
    <row r="1039" ht="30.0" customHeight="1">
      <c r="A1039" s="248"/>
      <c r="B1039" s="249"/>
      <c r="C1039" s="248"/>
      <c r="D1039" s="249"/>
      <c r="E1039" s="249"/>
      <c r="F1039" s="249"/>
      <c r="G1039" s="250"/>
      <c r="H1039" s="251"/>
      <c r="I1039" s="252"/>
      <c r="J1039" s="252"/>
      <c r="K1039" s="252"/>
      <c r="L1039" s="251"/>
      <c r="M1039" s="251"/>
      <c r="N1039" s="251"/>
      <c r="O1039" s="251"/>
      <c r="P1039" s="251"/>
      <c r="Q1039" s="251"/>
      <c r="R1039" s="251"/>
      <c r="S1039" s="251"/>
      <c r="T1039" s="251"/>
      <c r="U1039" s="251"/>
      <c r="V1039" s="251"/>
      <c r="W1039" s="251"/>
      <c r="X1039" s="251"/>
      <c r="Y1039" s="251"/>
      <c r="Z1039" s="251"/>
      <c r="AA1039" s="137"/>
      <c r="AB1039" s="137"/>
      <c r="AC1039" s="137"/>
      <c r="AD1039" s="137"/>
      <c r="AE1039" s="137"/>
      <c r="AF1039" s="137"/>
      <c r="AG1039" s="137"/>
    </row>
    <row r="1040" ht="30.0" customHeight="1">
      <c r="A1040" s="248"/>
      <c r="B1040" s="249"/>
      <c r="C1040" s="248"/>
      <c r="D1040" s="249"/>
      <c r="E1040" s="249"/>
      <c r="F1040" s="249"/>
      <c r="G1040" s="250"/>
      <c r="H1040" s="251"/>
      <c r="I1040" s="252"/>
      <c r="J1040" s="252"/>
      <c r="K1040" s="252"/>
      <c r="L1040" s="251"/>
      <c r="M1040" s="251"/>
      <c r="N1040" s="251"/>
      <c r="O1040" s="251"/>
      <c r="P1040" s="251"/>
      <c r="Q1040" s="251"/>
      <c r="R1040" s="251"/>
      <c r="S1040" s="251"/>
      <c r="T1040" s="251"/>
      <c r="U1040" s="251"/>
      <c r="V1040" s="251"/>
      <c r="W1040" s="251"/>
      <c r="X1040" s="251"/>
      <c r="Y1040" s="251"/>
      <c r="Z1040" s="251"/>
      <c r="AA1040" s="137"/>
      <c r="AB1040" s="137"/>
      <c r="AC1040" s="137"/>
      <c r="AD1040" s="137"/>
      <c r="AE1040" s="137"/>
      <c r="AF1040" s="137"/>
      <c r="AG1040" s="137"/>
    </row>
    <row r="1041" ht="30.0" customHeight="1">
      <c r="A1041" s="248"/>
      <c r="B1041" s="249"/>
      <c r="C1041" s="248"/>
      <c r="D1041" s="249"/>
      <c r="E1041" s="249"/>
      <c r="F1041" s="249"/>
      <c r="G1041" s="250"/>
      <c r="H1041" s="251"/>
      <c r="I1041" s="252"/>
      <c r="J1041" s="252"/>
      <c r="K1041" s="252"/>
      <c r="L1041" s="251"/>
      <c r="M1041" s="251"/>
      <c r="N1041" s="251"/>
      <c r="O1041" s="251"/>
      <c r="P1041" s="251"/>
      <c r="Q1041" s="251"/>
      <c r="R1041" s="251"/>
      <c r="S1041" s="251"/>
      <c r="T1041" s="251"/>
      <c r="U1041" s="251"/>
      <c r="V1041" s="251"/>
      <c r="W1041" s="251"/>
      <c r="X1041" s="251"/>
      <c r="Y1041" s="251"/>
      <c r="Z1041" s="251"/>
      <c r="AA1041" s="137"/>
      <c r="AB1041" s="137"/>
      <c r="AC1041" s="137"/>
      <c r="AD1041" s="137"/>
      <c r="AE1041" s="137"/>
      <c r="AF1041" s="137"/>
      <c r="AG1041" s="137"/>
    </row>
    <row r="1042" ht="30.0" customHeight="1">
      <c r="A1042" s="248"/>
      <c r="B1042" s="249"/>
      <c r="C1042" s="248"/>
      <c r="D1042" s="249"/>
      <c r="E1042" s="249"/>
      <c r="F1042" s="249"/>
      <c r="G1042" s="250"/>
      <c r="H1042" s="251"/>
      <c r="I1042" s="252"/>
      <c r="J1042" s="252"/>
      <c r="K1042" s="252"/>
      <c r="L1042" s="251"/>
      <c r="M1042" s="251"/>
      <c r="N1042" s="251"/>
      <c r="O1042" s="251"/>
      <c r="P1042" s="251"/>
      <c r="Q1042" s="251"/>
      <c r="R1042" s="251"/>
      <c r="S1042" s="251"/>
      <c r="T1042" s="251"/>
      <c r="U1042" s="251"/>
      <c r="V1042" s="251"/>
      <c r="W1042" s="251"/>
      <c r="X1042" s="251"/>
      <c r="Y1042" s="251"/>
      <c r="Z1042" s="251"/>
      <c r="AA1042" s="137"/>
      <c r="AB1042" s="137"/>
      <c r="AC1042" s="137"/>
      <c r="AD1042" s="137"/>
      <c r="AE1042" s="137"/>
      <c r="AF1042" s="137"/>
      <c r="AG1042" s="137"/>
    </row>
    <row r="1043" ht="30.0" customHeight="1">
      <c r="A1043" s="248"/>
      <c r="B1043" s="249"/>
      <c r="C1043" s="248"/>
      <c r="D1043" s="249"/>
      <c r="E1043" s="249"/>
      <c r="F1043" s="249"/>
      <c r="G1043" s="250"/>
      <c r="H1043" s="251"/>
      <c r="I1043" s="252"/>
      <c r="J1043" s="252"/>
      <c r="K1043" s="252"/>
      <c r="L1043" s="251"/>
      <c r="M1043" s="251"/>
      <c r="N1043" s="251"/>
      <c r="O1043" s="251"/>
      <c r="P1043" s="251"/>
      <c r="Q1043" s="251"/>
      <c r="R1043" s="251"/>
      <c r="S1043" s="251"/>
      <c r="T1043" s="251"/>
      <c r="U1043" s="251"/>
      <c r="V1043" s="251"/>
      <c r="W1043" s="251"/>
      <c r="X1043" s="251"/>
      <c r="Y1043" s="251"/>
      <c r="Z1043" s="251"/>
      <c r="AA1043" s="137"/>
      <c r="AB1043" s="137"/>
      <c r="AC1043" s="137"/>
      <c r="AD1043" s="137"/>
      <c r="AE1043" s="137"/>
      <c r="AF1043" s="137"/>
      <c r="AG1043" s="137"/>
    </row>
    <row r="1044" ht="30.0" customHeight="1">
      <c r="A1044" s="248"/>
      <c r="B1044" s="249"/>
      <c r="C1044" s="248"/>
      <c r="D1044" s="249"/>
      <c r="E1044" s="249"/>
      <c r="F1044" s="249"/>
      <c r="G1044" s="249"/>
      <c r="H1044" s="251"/>
      <c r="I1044" s="252"/>
      <c r="J1044" s="252"/>
      <c r="K1044" s="252"/>
      <c r="L1044" s="251"/>
      <c r="M1044" s="251"/>
      <c r="N1044" s="251"/>
      <c r="O1044" s="251"/>
      <c r="P1044" s="251"/>
      <c r="Q1044" s="251"/>
      <c r="R1044" s="251"/>
      <c r="S1044" s="251"/>
      <c r="T1044" s="251"/>
      <c r="U1044" s="251"/>
      <c r="V1044" s="251"/>
      <c r="W1044" s="251"/>
      <c r="X1044" s="251"/>
      <c r="Y1044" s="251"/>
      <c r="Z1044" s="251"/>
      <c r="AA1044" s="137"/>
      <c r="AB1044" s="137"/>
      <c r="AC1044" s="137"/>
      <c r="AD1044" s="137"/>
      <c r="AE1044" s="137"/>
      <c r="AF1044" s="137"/>
      <c r="AG1044" s="137"/>
    </row>
    <row r="1045" ht="30.0" customHeight="1">
      <c r="A1045" s="248"/>
      <c r="B1045" s="249"/>
      <c r="C1045" s="248"/>
      <c r="D1045" s="249"/>
      <c r="E1045" s="249"/>
      <c r="F1045" s="249"/>
      <c r="G1045" s="250"/>
      <c r="H1045" s="251"/>
      <c r="I1045" s="252"/>
      <c r="J1045" s="252"/>
      <c r="K1045" s="252"/>
      <c r="L1045" s="251"/>
      <c r="M1045" s="251"/>
      <c r="N1045" s="251"/>
      <c r="O1045" s="251"/>
      <c r="P1045" s="251"/>
      <c r="Q1045" s="251"/>
      <c r="R1045" s="251"/>
      <c r="S1045" s="251"/>
      <c r="T1045" s="251"/>
      <c r="U1045" s="251"/>
      <c r="V1045" s="251"/>
      <c r="W1045" s="251"/>
      <c r="X1045" s="251"/>
      <c r="Y1045" s="251"/>
      <c r="Z1045" s="251"/>
      <c r="AA1045" s="137"/>
      <c r="AB1045" s="137"/>
      <c r="AC1045" s="137"/>
      <c r="AD1045" s="137"/>
      <c r="AE1045" s="137"/>
      <c r="AF1045" s="137"/>
      <c r="AG1045" s="137"/>
    </row>
    <row r="1046" ht="30.0" customHeight="1">
      <c r="A1046" s="248"/>
      <c r="B1046" s="249"/>
      <c r="C1046" s="248"/>
      <c r="D1046" s="249"/>
      <c r="E1046" s="249"/>
      <c r="F1046" s="249"/>
      <c r="G1046" s="250"/>
      <c r="H1046" s="251"/>
      <c r="I1046" s="252"/>
      <c r="J1046" s="252"/>
      <c r="K1046" s="252"/>
      <c r="L1046" s="251"/>
      <c r="M1046" s="251"/>
      <c r="N1046" s="251"/>
      <c r="O1046" s="251"/>
      <c r="P1046" s="251"/>
      <c r="Q1046" s="251"/>
      <c r="R1046" s="251"/>
      <c r="S1046" s="251"/>
      <c r="T1046" s="251"/>
      <c r="U1046" s="251"/>
      <c r="V1046" s="251"/>
      <c r="W1046" s="251"/>
      <c r="X1046" s="251"/>
      <c r="Y1046" s="251"/>
      <c r="Z1046" s="251"/>
      <c r="AA1046" s="137"/>
      <c r="AB1046" s="137"/>
      <c r="AC1046" s="137"/>
      <c r="AD1046" s="137"/>
      <c r="AE1046" s="137"/>
      <c r="AF1046" s="137"/>
      <c r="AG1046" s="137"/>
    </row>
    <row r="1047" ht="30.0" customHeight="1">
      <c r="A1047" s="248"/>
      <c r="B1047" s="249"/>
      <c r="C1047" s="248"/>
      <c r="D1047" s="249"/>
      <c r="E1047" s="249"/>
      <c r="F1047" s="249"/>
      <c r="G1047" s="250"/>
      <c r="H1047" s="251"/>
      <c r="I1047" s="252"/>
      <c r="J1047" s="252"/>
      <c r="K1047" s="252"/>
      <c r="L1047" s="251"/>
      <c r="M1047" s="251"/>
      <c r="N1047" s="251"/>
      <c r="O1047" s="251"/>
      <c r="P1047" s="251"/>
      <c r="Q1047" s="251"/>
      <c r="R1047" s="251"/>
      <c r="S1047" s="251"/>
      <c r="T1047" s="251"/>
      <c r="U1047" s="251"/>
      <c r="V1047" s="251"/>
      <c r="W1047" s="251"/>
      <c r="X1047" s="251"/>
      <c r="Y1047" s="251"/>
      <c r="Z1047" s="251"/>
      <c r="AA1047" s="137"/>
      <c r="AB1047" s="137"/>
      <c r="AC1047" s="137"/>
      <c r="AD1047" s="137"/>
      <c r="AE1047" s="137"/>
      <c r="AF1047" s="137"/>
      <c r="AG1047" s="137"/>
    </row>
    <row r="1048" ht="30.0" customHeight="1">
      <c r="A1048" s="248"/>
      <c r="B1048" s="249"/>
      <c r="C1048" s="248"/>
      <c r="D1048" s="249"/>
      <c r="E1048" s="249"/>
      <c r="F1048" s="249"/>
      <c r="G1048" s="250"/>
      <c r="H1048" s="251"/>
      <c r="I1048" s="252"/>
      <c r="J1048" s="252"/>
      <c r="K1048" s="252"/>
      <c r="L1048" s="251"/>
      <c r="M1048" s="251"/>
      <c r="N1048" s="251"/>
      <c r="O1048" s="251"/>
      <c r="P1048" s="251"/>
      <c r="Q1048" s="251"/>
      <c r="R1048" s="251"/>
      <c r="S1048" s="251"/>
      <c r="T1048" s="251"/>
      <c r="U1048" s="251"/>
      <c r="V1048" s="251"/>
      <c r="W1048" s="251"/>
      <c r="X1048" s="251"/>
      <c r="Y1048" s="251"/>
      <c r="Z1048" s="251"/>
      <c r="AA1048" s="137"/>
      <c r="AB1048" s="137"/>
      <c r="AC1048" s="137"/>
      <c r="AD1048" s="137"/>
      <c r="AE1048" s="137"/>
      <c r="AF1048" s="137"/>
      <c r="AG1048" s="137"/>
    </row>
    <row r="1049" ht="30.0" customHeight="1">
      <c r="A1049" s="248"/>
      <c r="B1049" s="249"/>
      <c r="C1049" s="248"/>
      <c r="D1049" s="249"/>
      <c r="E1049" s="249"/>
      <c r="F1049" s="249"/>
      <c r="G1049" s="250"/>
      <c r="H1049" s="251"/>
      <c r="I1049" s="252"/>
      <c r="J1049" s="252"/>
      <c r="K1049" s="252"/>
      <c r="L1049" s="251"/>
      <c r="M1049" s="251"/>
      <c r="N1049" s="251"/>
      <c r="O1049" s="251"/>
      <c r="P1049" s="251"/>
      <c r="Q1049" s="251"/>
      <c r="R1049" s="251"/>
      <c r="S1049" s="251"/>
      <c r="T1049" s="251"/>
      <c r="U1049" s="251"/>
      <c r="V1049" s="251"/>
      <c r="W1049" s="251"/>
      <c r="X1049" s="251"/>
      <c r="Y1049" s="251"/>
      <c r="Z1049" s="251"/>
      <c r="AA1049" s="137"/>
      <c r="AB1049" s="137"/>
      <c r="AC1049" s="137"/>
      <c r="AD1049" s="137"/>
      <c r="AE1049" s="137"/>
      <c r="AF1049" s="137"/>
      <c r="AG1049" s="137"/>
    </row>
    <row r="1050" ht="30.0" customHeight="1">
      <c r="A1050" s="248"/>
      <c r="B1050" s="249"/>
      <c r="C1050" s="248"/>
      <c r="D1050" s="249"/>
      <c r="E1050" s="249"/>
      <c r="F1050" s="249"/>
      <c r="G1050" s="250"/>
      <c r="H1050" s="251"/>
      <c r="I1050" s="252"/>
      <c r="J1050" s="252"/>
      <c r="K1050" s="252"/>
      <c r="L1050" s="251"/>
      <c r="M1050" s="251"/>
      <c r="N1050" s="251"/>
      <c r="O1050" s="251"/>
      <c r="P1050" s="251"/>
      <c r="Q1050" s="251"/>
      <c r="R1050" s="251"/>
      <c r="S1050" s="251"/>
      <c r="T1050" s="251"/>
      <c r="U1050" s="251"/>
      <c r="V1050" s="251"/>
      <c r="W1050" s="251"/>
      <c r="X1050" s="251"/>
      <c r="Y1050" s="251"/>
      <c r="Z1050" s="251"/>
      <c r="AA1050" s="137"/>
      <c r="AB1050" s="137"/>
      <c r="AC1050" s="137"/>
      <c r="AD1050" s="137"/>
      <c r="AE1050" s="137"/>
      <c r="AF1050" s="137"/>
      <c r="AG1050" s="137"/>
    </row>
    <row r="1051" ht="30.0" customHeight="1">
      <c r="A1051" s="248"/>
      <c r="B1051" s="249"/>
      <c r="C1051" s="248"/>
      <c r="D1051" s="249"/>
      <c r="E1051" s="249"/>
      <c r="F1051" s="249"/>
      <c r="G1051" s="250"/>
      <c r="H1051" s="251"/>
      <c r="I1051" s="252"/>
      <c r="J1051" s="252"/>
      <c r="K1051" s="252"/>
      <c r="L1051" s="251"/>
      <c r="M1051" s="251"/>
      <c r="N1051" s="251"/>
      <c r="O1051" s="251"/>
      <c r="P1051" s="251"/>
      <c r="Q1051" s="251"/>
      <c r="R1051" s="251"/>
      <c r="S1051" s="251"/>
      <c r="T1051" s="251"/>
      <c r="U1051" s="251"/>
      <c r="V1051" s="251"/>
      <c r="W1051" s="251"/>
      <c r="X1051" s="251"/>
      <c r="Y1051" s="251"/>
      <c r="Z1051" s="251"/>
      <c r="AA1051" s="137"/>
      <c r="AB1051" s="137"/>
      <c r="AC1051" s="137"/>
      <c r="AD1051" s="137"/>
      <c r="AE1051" s="137"/>
      <c r="AF1051" s="137"/>
      <c r="AG1051" s="137"/>
    </row>
    <row r="1052" ht="30.0" customHeight="1">
      <c r="A1052" s="248"/>
      <c r="B1052" s="249"/>
      <c r="C1052" s="248"/>
      <c r="D1052" s="249"/>
      <c r="E1052" s="249"/>
      <c r="F1052" s="249"/>
      <c r="G1052" s="250"/>
      <c r="H1052" s="251"/>
      <c r="I1052" s="252"/>
      <c r="J1052" s="252"/>
      <c r="K1052" s="252"/>
      <c r="L1052" s="251"/>
      <c r="M1052" s="251"/>
      <c r="N1052" s="251"/>
      <c r="O1052" s="251"/>
      <c r="P1052" s="251"/>
      <c r="Q1052" s="251"/>
      <c r="R1052" s="251"/>
      <c r="S1052" s="251"/>
      <c r="T1052" s="251"/>
      <c r="U1052" s="251"/>
      <c r="V1052" s="251"/>
      <c r="W1052" s="251"/>
      <c r="X1052" s="251"/>
      <c r="Y1052" s="251"/>
      <c r="Z1052" s="251"/>
      <c r="AA1052" s="137"/>
      <c r="AB1052" s="137"/>
      <c r="AC1052" s="137"/>
      <c r="AD1052" s="137"/>
      <c r="AE1052" s="137"/>
      <c r="AF1052" s="137"/>
      <c r="AG1052" s="137"/>
    </row>
    <row r="1053" ht="30.0" customHeight="1">
      <c r="A1053" s="248"/>
      <c r="B1053" s="249"/>
      <c r="C1053" s="248"/>
      <c r="D1053" s="249"/>
      <c r="E1053" s="249"/>
      <c r="F1053" s="249"/>
      <c r="G1053" s="250"/>
      <c r="H1053" s="251"/>
      <c r="I1053" s="252"/>
      <c r="J1053" s="252"/>
      <c r="K1053" s="252"/>
      <c r="L1053" s="251"/>
      <c r="M1053" s="251"/>
      <c r="N1053" s="251"/>
      <c r="O1053" s="251"/>
      <c r="P1053" s="251"/>
      <c r="Q1053" s="251"/>
      <c r="R1053" s="251"/>
      <c r="S1053" s="251"/>
      <c r="T1053" s="251"/>
      <c r="U1053" s="251"/>
      <c r="V1053" s="251"/>
      <c r="W1053" s="251"/>
      <c r="X1053" s="251"/>
      <c r="Y1053" s="251"/>
      <c r="Z1053" s="251"/>
      <c r="AA1053" s="137"/>
      <c r="AB1053" s="137"/>
      <c r="AC1053" s="137"/>
      <c r="AD1053" s="137"/>
      <c r="AE1053" s="137"/>
      <c r="AF1053" s="137"/>
      <c r="AG1053" s="137"/>
    </row>
    <row r="1054" ht="30.0" customHeight="1">
      <c r="A1054" s="248"/>
      <c r="B1054" s="249"/>
      <c r="C1054" s="249"/>
      <c r="D1054" s="249"/>
      <c r="E1054" s="249"/>
      <c r="F1054" s="249"/>
      <c r="G1054" s="250"/>
      <c r="H1054" s="251"/>
      <c r="I1054" s="252"/>
      <c r="J1054" s="252"/>
      <c r="K1054" s="252"/>
      <c r="L1054" s="251"/>
      <c r="M1054" s="251"/>
      <c r="N1054" s="251"/>
      <c r="O1054" s="251"/>
      <c r="P1054" s="251"/>
      <c r="Q1054" s="251"/>
      <c r="R1054" s="251"/>
      <c r="S1054" s="251"/>
      <c r="T1054" s="251"/>
      <c r="U1054" s="251"/>
      <c r="V1054" s="251"/>
      <c r="W1054" s="251"/>
      <c r="X1054" s="251"/>
      <c r="Y1054" s="251"/>
      <c r="Z1054" s="251"/>
      <c r="AA1054" s="137"/>
      <c r="AB1054" s="137"/>
      <c r="AC1054" s="137"/>
      <c r="AD1054" s="137"/>
      <c r="AE1054" s="137"/>
      <c r="AF1054" s="137"/>
      <c r="AG1054" s="137"/>
    </row>
    <row r="1055" ht="30.0" customHeight="1">
      <c r="A1055" s="248"/>
      <c r="B1055" s="249"/>
      <c r="C1055" s="248"/>
      <c r="D1055" s="249"/>
      <c r="E1055" s="249"/>
      <c r="F1055" s="249"/>
      <c r="G1055" s="250"/>
      <c r="H1055" s="251"/>
      <c r="I1055" s="252"/>
      <c r="J1055" s="252"/>
      <c r="K1055" s="252"/>
      <c r="L1055" s="251"/>
      <c r="M1055" s="251"/>
      <c r="N1055" s="251"/>
      <c r="O1055" s="251"/>
      <c r="P1055" s="251"/>
      <c r="Q1055" s="251"/>
      <c r="R1055" s="251"/>
      <c r="S1055" s="251"/>
      <c r="T1055" s="251"/>
      <c r="U1055" s="251"/>
      <c r="V1055" s="251"/>
      <c r="W1055" s="251"/>
      <c r="X1055" s="251"/>
      <c r="Y1055" s="251"/>
      <c r="Z1055" s="251"/>
      <c r="AA1055" s="137"/>
      <c r="AB1055" s="137"/>
      <c r="AC1055" s="137"/>
      <c r="AD1055" s="137"/>
      <c r="AE1055" s="137"/>
      <c r="AF1055" s="137"/>
      <c r="AG1055" s="137"/>
    </row>
    <row r="1056" ht="30.0" customHeight="1">
      <c r="A1056" s="248"/>
      <c r="B1056" s="249"/>
      <c r="C1056" s="248"/>
      <c r="D1056" s="249"/>
      <c r="E1056" s="249"/>
      <c r="F1056" s="249"/>
      <c r="G1056" s="250"/>
      <c r="H1056" s="251"/>
      <c r="I1056" s="252"/>
      <c r="J1056" s="252"/>
      <c r="K1056" s="252"/>
      <c r="L1056" s="251"/>
      <c r="M1056" s="251"/>
      <c r="N1056" s="251"/>
      <c r="O1056" s="251"/>
      <c r="P1056" s="251"/>
      <c r="Q1056" s="251"/>
      <c r="R1056" s="251"/>
      <c r="S1056" s="251"/>
      <c r="T1056" s="251"/>
      <c r="U1056" s="251"/>
      <c r="V1056" s="251"/>
      <c r="W1056" s="251"/>
      <c r="X1056" s="251"/>
      <c r="Y1056" s="251"/>
      <c r="Z1056" s="251"/>
      <c r="AA1056" s="137"/>
      <c r="AB1056" s="137"/>
      <c r="AC1056" s="137"/>
      <c r="AD1056" s="137"/>
      <c r="AE1056" s="137"/>
      <c r="AF1056" s="137"/>
      <c r="AG1056" s="137"/>
    </row>
    <row r="1057" ht="30.0" customHeight="1">
      <c r="A1057" s="248"/>
      <c r="B1057" s="249"/>
      <c r="C1057" s="248"/>
      <c r="D1057" s="249"/>
      <c r="E1057" s="249"/>
      <c r="F1057" s="249"/>
      <c r="G1057" s="250"/>
      <c r="H1057" s="251"/>
      <c r="I1057" s="252"/>
      <c r="J1057" s="252"/>
      <c r="K1057" s="252"/>
      <c r="L1057" s="251"/>
      <c r="M1057" s="251"/>
      <c r="N1057" s="251"/>
      <c r="O1057" s="251"/>
      <c r="P1057" s="251"/>
      <c r="Q1057" s="251"/>
      <c r="R1057" s="251"/>
      <c r="S1057" s="251"/>
      <c r="T1057" s="251"/>
      <c r="U1057" s="251"/>
      <c r="V1057" s="251"/>
      <c r="W1057" s="251"/>
      <c r="X1057" s="251"/>
      <c r="Y1057" s="251"/>
      <c r="Z1057" s="251"/>
      <c r="AA1057" s="137"/>
      <c r="AB1057" s="137"/>
      <c r="AC1057" s="137"/>
      <c r="AD1057" s="137"/>
      <c r="AE1057" s="137"/>
      <c r="AF1057" s="137"/>
      <c r="AG1057" s="137"/>
    </row>
    <row r="1058" ht="30.0" customHeight="1">
      <c r="A1058" s="248"/>
      <c r="B1058" s="249"/>
      <c r="C1058" s="248"/>
      <c r="D1058" s="249"/>
      <c r="E1058" s="249"/>
      <c r="F1058" s="249"/>
      <c r="G1058" s="250"/>
      <c r="H1058" s="251"/>
      <c r="I1058" s="252"/>
      <c r="J1058" s="252"/>
      <c r="K1058" s="252"/>
      <c r="L1058" s="251"/>
      <c r="M1058" s="251"/>
      <c r="N1058" s="251"/>
      <c r="O1058" s="251"/>
      <c r="P1058" s="251"/>
      <c r="Q1058" s="251"/>
      <c r="R1058" s="251"/>
      <c r="S1058" s="251"/>
      <c r="T1058" s="251"/>
      <c r="U1058" s="251"/>
      <c r="V1058" s="251"/>
      <c r="W1058" s="251"/>
      <c r="X1058" s="251"/>
      <c r="Y1058" s="251"/>
      <c r="Z1058" s="251"/>
      <c r="AA1058" s="137"/>
      <c r="AB1058" s="137"/>
      <c r="AC1058" s="137"/>
      <c r="AD1058" s="137"/>
      <c r="AE1058" s="137"/>
      <c r="AF1058" s="137"/>
      <c r="AG1058" s="137"/>
    </row>
    <row r="1059" ht="30.0" customHeight="1">
      <c r="A1059" s="248"/>
      <c r="B1059" s="249"/>
      <c r="C1059" s="248"/>
      <c r="D1059" s="249"/>
      <c r="E1059" s="249"/>
      <c r="F1059" s="249"/>
      <c r="G1059" s="250"/>
      <c r="H1059" s="251"/>
      <c r="I1059" s="252"/>
      <c r="J1059" s="252"/>
      <c r="K1059" s="252"/>
      <c r="L1059" s="251"/>
      <c r="M1059" s="251"/>
      <c r="N1059" s="251"/>
      <c r="O1059" s="251"/>
      <c r="P1059" s="251"/>
      <c r="Q1059" s="251"/>
      <c r="R1059" s="251"/>
      <c r="S1059" s="251"/>
      <c r="T1059" s="251"/>
      <c r="U1059" s="251"/>
      <c r="V1059" s="251"/>
      <c r="W1059" s="251"/>
      <c r="X1059" s="251"/>
      <c r="Y1059" s="251"/>
      <c r="Z1059" s="251"/>
      <c r="AA1059" s="137"/>
      <c r="AB1059" s="137"/>
      <c r="AC1059" s="137"/>
      <c r="AD1059" s="137"/>
      <c r="AE1059" s="137"/>
      <c r="AF1059" s="137"/>
      <c r="AG1059" s="137"/>
    </row>
    <row r="1060" ht="30.0" customHeight="1">
      <c r="A1060" s="248"/>
      <c r="B1060" s="249"/>
      <c r="C1060" s="248"/>
      <c r="D1060" s="249"/>
      <c r="E1060" s="249"/>
      <c r="F1060" s="249"/>
      <c r="G1060" s="250"/>
      <c r="H1060" s="251"/>
      <c r="I1060" s="252"/>
      <c r="J1060" s="252"/>
      <c r="K1060" s="252"/>
      <c r="L1060" s="251"/>
      <c r="M1060" s="251"/>
      <c r="N1060" s="251"/>
      <c r="O1060" s="251"/>
      <c r="P1060" s="251"/>
      <c r="Q1060" s="251"/>
      <c r="R1060" s="251"/>
      <c r="S1060" s="251"/>
      <c r="T1060" s="251"/>
      <c r="U1060" s="251"/>
      <c r="V1060" s="251"/>
      <c r="W1060" s="251"/>
      <c r="X1060" s="251"/>
      <c r="Y1060" s="251"/>
      <c r="Z1060" s="251"/>
      <c r="AA1060" s="137"/>
      <c r="AB1060" s="137"/>
      <c r="AC1060" s="137"/>
      <c r="AD1060" s="137"/>
      <c r="AE1060" s="137"/>
      <c r="AF1060" s="137"/>
      <c r="AG1060" s="137"/>
    </row>
    <row r="1061" ht="30.0" customHeight="1">
      <c r="A1061" s="248"/>
      <c r="B1061" s="249"/>
      <c r="C1061" s="248"/>
      <c r="D1061" s="249"/>
      <c r="E1061" s="249"/>
      <c r="F1061" s="249"/>
      <c r="G1061" s="250"/>
      <c r="H1061" s="251"/>
      <c r="I1061" s="252"/>
      <c r="J1061" s="252"/>
      <c r="K1061" s="252"/>
      <c r="L1061" s="251"/>
      <c r="M1061" s="251"/>
      <c r="N1061" s="251"/>
      <c r="O1061" s="251"/>
      <c r="P1061" s="251"/>
      <c r="Q1061" s="251"/>
      <c r="R1061" s="251"/>
      <c r="S1061" s="251"/>
      <c r="T1061" s="251"/>
      <c r="U1061" s="251"/>
      <c r="V1061" s="251"/>
      <c r="W1061" s="251"/>
      <c r="X1061" s="251"/>
      <c r="Y1061" s="251"/>
      <c r="Z1061" s="251"/>
      <c r="AA1061" s="137"/>
      <c r="AB1061" s="137"/>
      <c r="AC1061" s="137"/>
      <c r="AD1061" s="137"/>
      <c r="AE1061" s="137"/>
      <c r="AF1061" s="137"/>
      <c r="AG1061" s="137"/>
    </row>
    <row r="1062" ht="30.0" customHeight="1">
      <c r="A1062" s="248"/>
      <c r="B1062" s="249"/>
      <c r="C1062" s="248"/>
      <c r="D1062" s="249"/>
      <c r="E1062" s="249"/>
      <c r="F1062" s="249"/>
      <c r="G1062" s="249"/>
      <c r="H1062" s="251"/>
      <c r="I1062" s="252"/>
      <c r="J1062" s="252"/>
      <c r="K1062" s="252"/>
      <c r="L1062" s="251"/>
      <c r="M1062" s="251"/>
      <c r="N1062" s="251"/>
      <c r="O1062" s="251"/>
      <c r="P1062" s="251"/>
      <c r="Q1062" s="251"/>
      <c r="R1062" s="251"/>
      <c r="S1062" s="251"/>
      <c r="T1062" s="251"/>
      <c r="U1062" s="251"/>
      <c r="V1062" s="251"/>
      <c r="W1062" s="251"/>
      <c r="X1062" s="251"/>
      <c r="Y1062" s="251"/>
      <c r="Z1062" s="251"/>
      <c r="AA1062" s="137"/>
      <c r="AB1062" s="137"/>
      <c r="AC1062" s="137"/>
      <c r="AD1062" s="137"/>
      <c r="AE1062" s="137"/>
      <c r="AF1062" s="137"/>
      <c r="AG1062" s="137"/>
    </row>
    <row r="1063" ht="30.0" customHeight="1">
      <c r="A1063" s="248"/>
      <c r="B1063" s="249"/>
      <c r="C1063" s="248"/>
      <c r="D1063" s="249"/>
      <c r="E1063" s="249"/>
      <c r="F1063" s="249"/>
      <c r="G1063" s="250"/>
      <c r="H1063" s="251"/>
      <c r="I1063" s="252"/>
      <c r="J1063" s="252"/>
      <c r="K1063" s="252"/>
      <c r="L1063" s="251"/>
      <c r="M1063" s="251"/>
      <c r="N1063" s="251"/>
      <c r="O1063" s="251"/>
      <c r="P1063" s="251"/>
      <c r="Q1063" s="251"/>
      <c r="R1063" s="251"/>
      <c r="S1063" s="251"/>
      <c r="T1063" s="251"/>
      <c r="U1063" s="251"/>
      <c r="V1063" s="251"/>
      <c r="W1063" s="251"/>
      <c r="X1063" s="251"/>
      <c r="Y1063" s="251"/>
      <c r="Z1063" s="251"/>
      <c r="AA1063" s="137"/>
      <c r="AB1063" s="137"/>
      <c r="AC1063" s="137"/>
      <c r="AD1063" s="137"/>
      <c r="AE1063" s="137"/>
      <c r="AF1063" s="137"/>
      <c r="AG1063" s="137"/>
    </row>
    <row r="1064" ht="30.0" customHeight="1">
      <c r="A1064" s="248"/>
      <c r="B1064" s="249"/>
      <c r="C1064" s="248"/>
      <c r="D1064" s="249"/>
      <c r="E1064" s="249"/>
      <c r="F1064" s="249"/>
      <c r="G1064" s="250"/>
      <c r="H1064" s="251"/>
      <c r="I1064" s="252"/>
      <c r="J1064" s="252"/>
      <c r="K1064" s="252"/>
      <c r="L1064" s="251"/>
      <c r="M1064" s="251"/>
      <c r="N1064" s="251"/>
      <c r="O1064" s="251"/>
      <c r="P1064" s="251"/>
      <c r="Q1064" s="251"/>
      <c r="R1064" s="251"/>
      <c r="S1064" s="251"/>
      <c r="T1064" s="251"/>
      <c r="U1064" s="251"/>
      <c r="V1064" s="251"/>
      <c r="W1064" s="251"/>
      <c r="X1064" s="251"/>
      <c r="Y1064" s="251"/>
      <c r="Z1064" s="251"/>
      <c r="AA1064" s="137"/>
      <c r="AB1064" s="137"/>
      <c r="AC1064" s="137"/>
      <c r="AD1064" s="137"/>
      <c r="AE1064" s="137"/>
      <c r="AF1064" s="137"/>
      <c r="AG1064" s="137"/>
    </row>
    <row r="1065" ht="30.0" customHeight="1">
      <c r="A1065" s="248"/>
      <c r="B1065" s="249"/>
      <c r="C1065" s="248"/>
      <c r="D1065" s="249"/>
      <c r="E1065" s="249"/>
      <c r="F1065" s="249"/>
      <c r="G1065" s="250"/>
      <c r="H1065" s="251"/>
      <c r="I1065" s="252"/>
      <c r="J1065" s="252"/>
      <c r="K1065" s="252"/>
      <c r="L1065" s="251"/>
      <c r="M1065" s="251"/>
      <c r="N1065" s="251"/>
      <c r="O1065" s="251"/>
      <c r="P1065" s="251"/>
      <c r="Q1065" s="251"/>
      <c r="R1065" s="251"/>
      <c r="S1065" s="251"/>
      <c r="T1065" s="251"/>
      <c r="U1065" s="251"/>
      <c r="V1065" s="251"/>
      <c r="W1065" s="251"/>
      <c r="X1065" s="251"/>
      <c r="Y1065" s="251"/>
      <c r="Z1065" s="251"/>
      <c r="AA1065" s="137"/>
      <c r="AB1065" s="137"/>
      <c r="AC1065" s="137"/>
      <c r="AD1065" s="137"/>
      <c r="AE1065" s="137"/>
      <c r="AF1065" s="137"/>
      <c r="AG1065" s="137"/>
    </row>
    <row r="1066" ht="30.0" customHeight="1">
      <c r="A1066" s="248"/>
      <c r="B1066" s="249"/>
      <c r="C1066" s="248"/>
      <c r="D1066" s="249"/>
      <c r="E1066" s="249"/>
      <c r="F1066" s="249"/>
      <c r="G1066" s="250"/>
      <c r="H1066" s="251"/>
      <c r="I1066" s="252"/>
      <c r="J1066" s="252"/>
      <c r="K1066" s="252"/>
      <c r="L1066" s="251"/>
      <c r="M1066" s="251"/>
      <c r="N1066" s="251"/>
      <c r="O1066" s="251"/>
      <c r="P1066" s="251"/>
      <c r="Q1066" s="251"/>
      <c r="R1066" s="251"/>
      <c r="S1066" s="251"/>
      <c r="T1066" s="251"/>
      <c r="U1066" s="251"/>
      <c r="V1066" s="251"/>
      <c r="W1066" s="251"/>
      <c r="X1066" s="251"/>
      <c r="Y1066" s="251"/>
      <c r="Z1066" s="251"/>
      <c r="AA1066" s="137"/>
      <c r="AB1066" s="137"/>
      <c r="AC1066" s="137"/>
      <c r="AD1066" s="137"/>
      <c r="AE1066" s="137"/>
      <c r="AF1066" s="137"/>
      <c r="AG1066" s="137"/>
    </row>
    <row r="1067" ht="30.0" customHeight="1">
      <c r="A1067" s="248"/>
      <c r="B1067" s="249"/>
      <c r="C1067" s="248"/>
      <c r="D1067" s="249"/>
      <c r="E1067" s="249"/>
      <c r="F1067" s="249"/>
      <c r="G1067" s="250"/>
      <c r="H1067" s="251"/>
      <c r="I1067" s="252"/>
      <c r="J1067" s="252"/>
      <c r="K1067" s="252"/>
      <c r="L1067" s="251"/>
      <c r="M1067" s="251"/>
      <c r="N1067" s="251"/>
      <c r="O1067" s="251"/>
      <c r="P1067" s="251"/>
      <c r="Q1067" s="251"/>
      <c r="R1067" s="251"/>
      <c r="S1067" s="251"/>
      <c r="T1067" s="251"/>
      <c r="U1067" s="251"/>
      <c r="V1067" s="251"/>
      <c r="W1067" s="251"/>
      <c r="X1067" s="251"/>
      <c r="Y1067" s="251"/>
      <c r="Z1067" s="251"/>
      <c r="AA1067" s="137"/>
      <c r="AB1067" s="137"/>
      <c r="AC1067" s="137"/>
      <c r="AD1067" s="137"/>
      <c r="AE1067" s="137"/>
      <c r="AF1067" s="137"/>
      <c r="AG1067" s="137"/>
    </row>
    <row r="1068" ht="30.0" customHeight="1">
      <c r="A1068" s="248"/>
      <c r="B1068" s="249"/>
      <c r="C1068" s="248"/>
      <c r="D1068" s="249"/>
      <c r="E1068" s="249"/>
      <c r="F1068" s="249"/>
      <c r="G1068" s="250"/>
      <c r="H1068" s="251"/>
      <c r="I1068" s="252"/>
      <c r="J1068" s="252"/>
      <c r="K1068" s="252"/>
      <c r="L1068" s="251"/>
      <c r="M1068" s="251"/>
      <c r="N1068" s="251"/>
      <c r="O1068" s="251"/>
      <c r="P1068" s="251"/>
      <c r="Q1068" s="251"/>
      <c r="R1068" s="251"/>
      <c r="S1068" s="251"/>
      <c r="T1068" s="251"/>
      <c r="U1068" s="251"/>
      <c r="V1068" s="251"/>
      <c r="W1068" s="251"/>
      <c r="X1068" s="251"/>
      <c r="Y1068" s="251"/>
      <c r="Z1068" s="251"/>
      <c r="AA1068" s="137"/>
      <c r="AB1068" s="137"/>
      <c r="AC1068" s="137"/>
      <c r="AD1068" s="137"/>
      <c r="AE1068" s="137"/>
      <c r="AF1068" s="137"/>
      <c r="AG1068" s="137"/>
    </row>
    <row r="1069" ht="30.0" customHeight="1">
      <c r="A1069" s="248"/>
      <c r="B1069" s="249"/>
      <c r="C1069" s="248"/>
      <c r="D1069" s="249"/>
      <c r="E1069" s="249"/>
      <c r="F1069" s="249"/>
      <c r="G1069" s="250"/>
      <c r="H1069" s="251"/>
      <c r="I1069" s="252"/>
      <c r="J1069" s="252"/>
      <c r="K1069" s="252"/>
      <c r="L1069" s="251"/>
      <c r="M1069" s="251"/>
      <c r="N1069" s="251"/>
      <c r="O1069" s="251"/>
      <c r="P1069" s="251"/>
      <c r="Q1069" s="251"/>
      <c r="R1069" s="251"/>
      <c r="S1069" s="251"/>
      <c r="T1069" s="251"/>
      <c r="U1069" s="251"/>
      <c r="V1069" s="251"/>
      <c r="W1069" s="251"/>
      <c r="X1069" s="251"/>
      <c r="Y1069" s="251"/>
      <c r="Z1069" s="251"/>
      <c r="AA1069" s="137"/>
      <c r="AB1069" s="137"/>
      <c r="AC1069" s="137"/>
      <c r="AD1069" s="137"/>
      <c r="AE1069" s="137"/>
      <c r="AF1069" s="137"/>
      <c r="AG1069" s="137"/>
    </row>
    <row r="1070" ht="30.0" customHeight="1">
      <c r="A1070" s="248"/>
      <c r="B1070" s="249"/>
      <c r="C1070" s="248"/>
      <c r="D1070" s="249"/>
      <c r="E1070" s="249"/>
      <c r="F1070" s="249"/>
      <c r="G1070" s="250"/>
      <c r="H1070" s="251"/>
      <c r="I1070" s="252"/>
      <c r="J1070" s="252"/>
      <c r="K1070" s="252"/>
      <c r="L1070" s="251"/>
      <c r="M1070" s="251"/>
      <c r="N1070" s="251"/>
      <c r="O1070" s="251"/>
      <c r="P1070" s="251"/>
      <c r="Q1070" s="251"/>
      <c r="R1070" s="251"/>
      <c r="S1070" s="251"/>
      <c r="T1070" s="251"/>
      <c r="U1070" s="251"/>
      <c r="V1070" s="251"/>
      <c r="W1070" s="251"/>
      <c r="X1070" s="251"/>
      <c r="Y1070" s="251"/>
      <c r="Z1070" s="251"/>
      <c r="AA1070" s="137"/>
      <c r="AB1070" s="137"/>
      <c r="AC1070" s="137"/>
      <c r="AD1070" s="137"/>
      <c r="AE1070" s="137"/>
      <c r="AF1070" s="137"/>
      <c r="AG1070" s="137"/>
    </row>
    <row r="1071" ht="30.0" customHeight="1">
      <c r="A1071" s="248"/>
      <c r="B1071" s="249"/>
      <c r="C1071" s="248"/>
      <c r="D1071" s="249"/>
      <c r="E1071" s="249"/>
      <c r="F1071" s="249"/>
      <c r="G1071" s="250"/>
      <c r="H1071" s="251"/>
      <c r="I1071" s="252"/>
      <c r="J1071" s="252"/>
      <c r="K1071" s="252"/>
      <c r="L1071" s="251"/>
      <c r="M1071" s="251"/>
      <c r="N1071" s="251"/>
      <c r="O1071" s="251"/>
      <c r="P1071" s="251"/>
      <c r="Q1071" s="251"/>
      <c r="R1071" s="251"/>
      <c r="S1071" s="251"/>
      <c r="T1071" s="251"/>
      <c r="U1071" s="251"/>
      <c r="V1071" s="251"/>
      <c r="W1071" s="251"/>
      <c r="X1071" s="251"/>
      <c r="Y1071" s="251"/>
      <c r="Z1071" s="251"/>
      <c r="AA1071" s="137"/>
      <c r="AB1071" s="137"/>
      <c r="AC1071" s="137"/>
      <c r="AD1071" s="137"/>
      <c r="AE1071" s="137"/>
      <c r="AF1071" s="137"/>
      <c r="AG1071" s="137"/>
    </row>
    <row r="1072" ht="30.0" customHeight="1">
      <c r="A1072" s="248"/>
      <c r="B1072" s="249"/>
      <c r="C1072" s="249"/>
      <c r="D1072" s="249"/>
      <c r="E1072" s="249"/>
      <c r="F1072" s="249"/>
      <c r="G1072" s="249"/>
      <c r="H1072" s="251"/>
      <c r="I1072" s="252"/>
      <c r="J1072" s="252"/>
      <c r="K1072" s="252"/>
      <c r="L1072" s="251"/>
      <c r="M1072" s="251"/>
      <c r="N1072" s="251"/>
      <c r="O1072" s="251"/>
      <c r="P1072" s="251"/>
      <c r="Q1072" s="251"/>
      <c r="R1072" s="251"/>
      <c r="S1072" s="251"/>
      <c r="T1072" s="251"/>
      <c r="U1072" s="251"/>
      <c r="V1072" s="251"/>
      <c r="W1072" s="251"/>
      <c r="X1072" s="251"/>
      <c r="Y1072" s="251"/>
      <c r="Z1072" s="251"/>
      <c r="AA1072" s="137"/>
      <c r="AB1072" s="137"/>
      <c r="AC1072" s="137"/>
      <c r="AD1072" s="137"/>
      <c r="AE1072" s="137"/>
      <c r="AF1072" s="137"/>
      <c r="AG1072" s="137"/>
    </row>
    <row r="1073" ht="30.0" customHeight="1">
      <c r="A1073" s="248"/>
      <c r="B1073" s="249"/>
      <c r="C1073" s="248"/>
      <c r="D1073" s="249"/>
      <c r="E1073" s="249"/>
      <c r="F1073" s="249"/>
      <c r="G1073" s="250"/>
      <c r="H1073" s="251"/>
      <c r="I1073" s="252"/>
      <c r="J1073" s="252"/>
      <c r="K1073" s="252"/>
      <c r="L1073" s="251"/>
      <c r="M1073" s="251"/>
      <c r="N1073" s="251"/>
      <c r="O1073" s="251"/>
      <c r="P1073" s="251"/>
      <c r="Q1073" s="251"/>
      <c r="R1073" s="251"/>
      <c r="S1073" s="251"/>
      <c r="T1073" s="251"/>
      <c r="U1073" s="251"/>
      <c r="V1073" s="251"/>
      <c r="W1073" s="251"/>
      <c r="X1073" s="251"/>
      <c r="Y1073" s="251"/>
      <c r="Z1073" s="251"/>
      <c r="AA1073" s="137"/>
      <c r="AB1073" s="137"/>
      <c r="AC1073" s="137"/>
      <c r="AD1073" s="137"/>
      <c r="AE1073" s="137"/>
      <c r="AF1073" s="137"/>
      <c r="AG1073" s="137"/>
    </row>
    <row r="1074" ht="30.0" customHeight="1">
      <c r="A1074" s="248"/>
      <c r="B1074" s="249"/>
      <c r="C1074" s="248"/>
      <c r="D1074" s="249"/>
      <c r="E1074" s="249"/>
      <c r="F1074" s="249"/>
      <c r="G1074" s="250"/>
      <c r="H1074" s="251"/>
      <c r="I1074" s="252"/>
      <c r="J1074" s="252"/>
      <c r="K1074" s="252"/>
      <c r="L1074" s="251"/>
      <c r="M1074" s="251"/>
      <c r="N1074" s="251"/>
      <c r="O1074" s="251"/>
      <c r="P1074" s="251"/>
      <c r="Q1074" s="251"/>
      <c r="R1074" s="251"/>
      <c r="S1074" s="251"/>
      <c r="T1074" s="251"/>
      <c r="U1074" s="251"/>
      <c r="V1074" s="251"/>
      <c r="W1074" s="251"/>
      <c r="X1074" s="251"/>
      <c r="Y1074" s="251"/>
      <c r="Z1074" s="251"/>
      <c r="AA1074" s="137"/>
      <c r="AB1074" s="137"/>
      <c r="AC1074" s="137"/>
      <c r="AD1074" s="137"/>
      <c r="AE1074" s="137"/>
      <c r="AF1074" s="137"/>
      <c r="AG1074" s="137"/>
    </row>
    <row r="1075" ht="30.0" customHeight="1">
      <c r="A1075" s="248"/>
      <c r="B1075" s="249"/>
      <c r="C1075" s="248"/>
      <c r="D1075" s="249"/>
      <c r="E1075" s="249"/>
      <c r="F1075" s="249"/>
      <c r="G1075" s="250"/>
      <c r="H1075" s="251"/>
      <c r="I1075" s="252"/>
      <c r="J1075" s="252"/>
      <c r="K1075" s="252"/>
      <c r="L1075" s="251"/>
      <c r="M1075" s="251"/>
      <c r="N1075" s="251"/>
      <c r="O1075" s="251"/>
      <c r="P1075" s="251"/>
      <c r="Q1075" s="251"/>
      <c r="R1075" s="251"/>
      <c r="S1075" s="251"/>
      <c r="T1075" s="251"/>
      <c r="U1075" s="251"/>
      <c r="V1075" s="251"/>
      <c r="W1075" s="251"/>
      <c r="X1075" s="251"/>
      <c r="Y1075" s="251"/>
      <c r="Z1075" s="251"/>
      <c r="AA1075" s="137"/>
      <c r="AB1075" s="137"/>
      <c r="AC1075" s="137"/>
      <c r="AD1075" s="137"/>
      <c r="AE1075" s="137"/>
      <c r="AF1075" s="137"/>
      <c r="AG1075" s="137"/>
    </row>
    <row r="1076" ht="30.0" customHeight="1">
      <c r="A1076" s="248"/>
      <c r="B1076" s="249"/>
      <c r="C1076" s="248"/>
      <c r="D1076" s="249"/>
      <c r="E1076" s="249"/>
      <c r="F1076" s="249"/>
      <c r="G1076" s="250"/>
      <c r="H1076" s="251"/>
      <c r="I1076" s="252"/>
      <c r="J1076" s="252"/>
      <c r="K1076" s="252"/>
      <c r="L1076" s="251"/>
      <c r="M1076" s="251"/>
      <c r="N1076" s="251"/>
      <c r="O1076" s="251"/>
      <c r="P1076" s="251"/>
      <c r="Q1076" s="251"/>
      <c r="R1076" s="251"/>
      <c r="S1076" s="251"/>
      <c r="T1076" s="251"/>
      <c r="U1076" s="251"/>
      <c r="V1076" s="251"/>
      <c r="W1076" s="251"/>
      <c r="X1076" s="251"/>
      <c r="Y1076" s="251"/>
      <c r="Z1076" s="251"/>
      <c r="AA1076" s="137"/>
      <c r="AB1076" s="137"/>
      <c r="AC1076" s="137"/>
      <c r="AD1076" s="137"/>
      <c r="AE1076" s="137"/>
      <c r="AF1076" s="137"/>
      <c r="AG1076" s="137"/>
    </row>
    <row r="1077" ht="30.0" customHeight="1">
      <c r="A1077" s="248"/>
      <c r="B1077" s="249"/>
      <c r="C1077" s="248"/>
      <c r="D1077" s="249"/>
      <c r="E1077" s="249"/>
      <c r="F1077" s="249"/>
      <c r="G1077" s="250"/>
      <c r="H1077" s="251"/>
      <c r="I1077" s="252"/>
      <c r="J1077" s="252"/>
      <c r="K1077" s="252"/>
      <c r="L1077" s="251"/>
      <c r="M1077" s="251"/>
      <c r="N1077" s="251"/>
      <c r="O1077" s="251"/>
      <c r="P1077" s="251"/>
      <c r="Q1077" s="251"/>
      <c r="R1077" s="251"/>
      <c r="S1077" s="251"/>
      <c r="T1077" s="251"/>
      <c r="U1077" s="251"/>
      <c r="V1077" s="251"/>
      <c r="W1077" s="251"/>
      <c r="X1077" s="251"/>
      <c r="Y1077" s="251"/>
      <c r="Z1077" s="251"/>
      <c r="AA1077" s="137"/>
      <c r="AB1077" s="137"/>
      <c r="AC1077" s="137"/>
      <c r="AD1077" s="137"/>
      <c r="AE1077" s="137"/>
      <c r="AF1077" s="137"/>
      <c r="AG1077" s="137"/>
    </row>
    <row r="1078" ht="30.0" customHeight="1">
      <c r="A1078" s="248"/>
      <c r="B1078" s="249"/>
      <c r="C1078" s="248"/>
      <c r="D1078" s="249"/>
      <c r="E1078" s="249"/>
      <c r="F1078" s="249"/>
      <c r="G1078" s="250"/>
      <c r="H1078" s="251"/>
      <c r="I1078" s="252"/>
      <c r="J1078" s="252"/>
      <c r="K1078" s="252"/>
      <c r="L1078" s="251"/>
      <c r="M1078" s="251"/>
      <c r="N1078" s="251"/>
      <c r="O1078" s="251"/>
      <c r="P1078" s="251"/>
      <c r="Q1078" s="251"/>
      <c r="R1078" s="251"/>
      <c r="S1078" s="251"/>
      <c r="T1078" s="251"/>
      <c r="U1078" s="251"/>
      <c r="V1078" s="251"/>
      <c r="W1078" s="251"/>
      <c r="X1078" s="251"/>
      <c r="Y1078" s="251"/>
      <c r="Z1078" s="251"/>
      <c r="AA1078" s="137"/>
      <c r="AB1078" s="137"/>
      <c r="AC1078" s="137"/>
      <c r="AD1078" s="137"/>
      <c r="AE1078" s="137"/>
      <c r="AF1078" s="137"/>
      <c r="AG1078" s="137"/>
    </row>
    <row r="1079" ht="30.0" customHeight="1">
      <c r="A1079" s="248"/>
      <c r="B1079" s="249"/>
      <c r="C1079" s="248"/>
      <c r="D1079" s="249"/>
      <c r="E1079" s="249"/>
      <c r="F1079" s="249"/>
      <c r="G1079" s="249"/>
      <c r="H1079" s="251"/>
      <c r="I1079" s="252"/>
      <c r="J1079" s="252"/>
      <c r="K1079" s="252"/>
      <c r="L1079" s="251"/>
      <c r="M1079" s="251"/>
      <c r="N1079" s="251"/>
      <c r="O1079" s="251"/>
      <c r="P1079" s="251"/>
      <c r="Q1079" s="251"/>
      <c r="R1079" s="251"/>
      <c r="S1079" s="251"/>
      <c r="T1079" s="251"/>
      <c r="U1079" s="251"/>
      <c r="V1079" s="251"/>
      <c r="W1079" s="251"/>
      <c r="X1079" s="251"/>
      <c r="Y1079" s="251"/>
      <c r="Z1079" s="251"/>
      <c r="AA1079" s="137"/>
      <c r="AB1079" s="137"/>
      <c r="AC1079" s="137"/>
      <c r="AD1079" s="137"/>
      <c r="AE1079" s="137"/>
      <c r="AF1079" s="137"/>
      <c r="AG1079" s="137"/>
    </row>
    <row r="1080" ht="30.0" customHeight="1">
      <c r="A1080" s="248"/>
      <c r="B1080" s="249"/>
      <c r="C1080" s="248"/>
      <c r="D1080" s="249"/>
      <c r="E1080" s="249"/>
      <c r="F1080" s="249"/>
      <c r="G1080" s="250"/>
      <c r="H1080" s="251"/>
      <c r="I1080" s="252"/>
      <c r="J1080" s="252"/>
      <c r="K1080" s="252"/>
      <c r="L1080" s="251"/>
      <c r="M1080" s="251"/>
      <c r="N1080" s="251"/>
      <c r="O1080" s="251"/>
      <c r="P1080" s="251"/>
      <c r="Q1080" s="251"/>
      <c r="R1080" s="251"/>
      <c r="S1080" s="251"/>
      <c r="T1080" s="251"/>
      <c r="U1080" s="251"/>
      <c r="V1080" s="251"/>
      <c r="W1080" s="251"/>
      <c r="X1080" s="251"/>
      <c r="Y1080" s="251"/>
      <c r="Z1080" s="251"/>
      <c r="AA1080" s="137"/>
      <c r="AB1080" s="137"/>
      <c r="AC1080" s="137"/>
      <c r="AD1080" s="137"/>
      <c r="AE1080" s="137"/>
      <c r="AF1080" s="137"/>
      <c r="AG1080" s="137"/>
    </row>
    <row r="1081" ht="30.0" customHeight="1">
      <c r="A1081" s="248"/>
      <c r="B1081" s="249"/>
      <c r="C1081" s="248"/>
      <c r="D1081" s="249"/>
      <c r="E1081" s="249"/>
      <c r="F1081" s="249"/>
      <c r="G1081" s="249"/>
      <c r="H1081" s="251"/>
      <c r="I1081" s="252"/>
      <c r="J1081" s="252"/>
      <c r="K1081" s="252"/>
      <c r="L1081" s="251"/>
      <c r="M1081" s="251"/>
      <c r="N1081" s="251"/>
      <c r="O1081" s="251"/>
      <c r="P1081" s="251"/>
      <c r="Q1081" s="251"/>
      <c r="R1081" s="251"/>
      <c r="S1081" s="251"/>
      <c r="T1081" s="251"/>
      <c r="U1081" s="251"/>
      <c r="V1081" s="251"/>
      <c r="W1081" s="251"/>
      <c r="X1081" s="251"/>
      <c r="Y1081" s="251"/>
      <c r="Z1081" s="251"/>
      <c r="AA1081" s="137"/>
      <c r="AB1081" s="137"/>
      <c r="AC1081" s="137"/>
      <c r="AD1081" s="137"/>
      <c r="AE1081" s="137"/>
      <c r="AF1081" s="137"/>
      <c r="AG1081" s="137"/>
    </row>
    <row r="1082" ht="30.0" customHeight="1">
      <c r="A1082" s="248"/>
      <c r="B1082" s="249"/>
      <c r="C1082" s="248"/>
      <c r="D1082" s="249"/>
      <c r="E1082" s="249"/>
      <c r="F1082" s="249"/>
      <c r="G1082" s="250"/>
      <c r="H1082" s="251"/>
      <c r="I1082" s="252"/>
      <c r="J1082" s="252"/>
      <c r="K1082" s="252"/>
      <c r="L1082" s="251"/>
      <c r="M1082" s="251"/>
      <c r="N1082" s="251"/>
      <c r="O1082" s="251"/>
      <c r="P1082" s="251"/>
      <c r="Q1082" s="251"/>
      <c r="R1082" s="251"/>
      <c r="S1082" s="251"/>
      <c r="T1082" s="251"/>
      <c r="U1082" s="251"/>
      <c r="V1082" s="251"/>
      <c r="W1082" s="251"/>
      <c r="X1082" s="251"/>
      <c r="Y1082" s="251"/>
      <c r="Z1082" s="251"/>
      <c r="AA1082" s="137"/>
      <c r="AB1082" s="137"/>
      <c r="AC1082" s="137"/>
      <c r="AD1082" s="137"/>
      <c r="AE1082" s="137"/>
      <c r="AF1082" s="137"/>
      <c r="AG1082" s="137"/>
    </row>
    <row r="1083" ht="30.0" customHeight="1">
      <c r="A1083" s="248"/>
      <c r="B1083" s="249"/>
      <c r="C1083" s="248"/>
      <c r="D1083" s="249"/>
      <c r="E1083" s="249"/>
      <c r="F1083" s="249"/>
      <c r="G1083" s="250"/>
      <c r="H1083" s="251"/>
      <c r="I1083" s="252"/>
      <c r="J1083" s="252"/>
      <c r="K1083" s="252"/>
      <c r="L1083" s="251"/>
      <c r="M1083" s="251"/>
      <c r="N1083" s="251"/>
      <c r="O1083" s="251"/>
      <c r="P1083" s="251"/>
      <c r="Q1083" s="251"/>
      <c r="R1083" s="251"/>
      <c r="S1083" s="251"/>
      <c r="T1083" s="251"/>
      <c r="U1083" s="251"/>
      <c r="V1083" s="251"/>
      <c r="W1083" s="251"/>
      <c r="X1083" s="251"/>
      <c r="Y1083" s="251"/>
      <c r="Z1083" s="251"/>
      <c r="AA1083" s="137"/>
      <c r="AB1083" s="137"/>
      <c r="AC1083" s="137"/>
      <c r="AD1083" s="137"/>
      <c r="AE1083" s="137"/>
      <c r="AF1083" s="137"/>
      <c r="AG1083" s="137"/>
    </row>
    <row r="1084" ht="30.0" customHeight="1">
      <c r="A1084" s="248"/>
      <c r="B1084" s="249"/>
      <c r="C1084" s="249"/>
      <c r="D1084" s="249"/>
      <c r="E1084" s="249"/>
      <c r="F1084" s="249"/>
      <c r="G1084" s="250"/>
      <c r="H1084" s="251"/>
      <c r="I1084" s="252"/>
      <c r="J1084" s="252"/>
      <c r="K1084" s="252"/>
      <c r="L1084" s="251"/>
      <c r="M1084" s="251"/>
      <c r="N1084" s="251"/>
      <c r="O1084" s="251"/>
      <c r="P1084" s="251"/>
      <c r="Q1084" s="251"/>
      <c r="R1084" s="251"/>
      <c r="S1084" s="251"/>
      <c r="T1084" s="251"/>
      <c r="U1084" s="251"/>
      <c r="V1084" s="251"/>
      <c r="W1084" s="251"/>
      <c r="X1084" s="251"/>
      <c r="Y1084" s="251"/>
      <c r="Z1084" s="251"/>
      <c r="AA1084" s="137"/>
      <c r="AB1084" s="137"/>
      <c r="AC1084" s="137"/>
      <c r="AD1084" s="137"/>
      <c r="AE1084" s="137"/>
      <c r="AF1084" s="137"/>
      <c r="AG1084" s="137"/>
    </row>
    <row r="1085" ht="30.0" customHeight="1">
      <c r="A1085" s="248"/>
      <c r="B1085" s="249"/>
      <c r="C1085" s="248"/>
      <c r="D1085" s="249"/>
      <c r="E1085" s="249"/>
      <c r="F1085" s="249"/>
      <c r="G1085" s="249"/>
      <c r="H1085" s="251"/>
      <c r="I1085" s="252"/>
      <c r="J1085" s="252"/>
      <c r="K1085" s="252"/>
      <c r="L1085" s="251"/>
      <c r="M1085" s="251"/>
      <c r="N1085" s="251"/>
      <c r="O1085" s="251"/>
      <c r="P1085" s="251"/>
      <c r="Q1085" s="251"/>
      <c r="R1085" s="251"/>
      <c r="S1085" s="251"/>
      <c r="T1085" s="251"/>
      <c r="U1085" s="251"/>
      <c r="V1085" s="251"/>
      <c r="W1085" s="251"/>
      <c r="X1085" s="251"/>
      <c r="Y1085" s="251"/>
      <c r="Z1085" s="251"/>
      <c r="AA1085" s="137"/>
      <c r="AB1085" s="137"/>
      <c r="AC1085" s="137"/>
      <c r="AD1085" s="137"/>
      <c r="AE1085" s="137"/>
      <c r="AF1085" s="137"/>
      <c r="AG1085" s="137"/>
    </row>
    <row r="1086" ht="30.0" customHeight="1">
      <c r="A1086" s="248"/>
      <c r="B1086" s="249"/>
      <c r="C1086" s="248"/>
      <c r="D1086" s="249"/>
      <c r="E1086" s="249"/>
      <c r="F1086" s="249"/>
      <c r="G1086" s="250"/>
      <c r="H1086" s="251"/>
      <c r="I1086" s="252"/>
      <c r="J1086" s="252"/>
      <c r="K1086" s="252"/>
      <c r="L1086" s="251"/>
      <c r="M1086" s="251"/>
      <c r="N1086" s="251"/>
      <c r="O1086" s="251"/>
      <c r="P1086" s="251"/>
      <c r="Q1086" s="251"/>
      <c r="R1086" s="251"/>
      <c r="S1086" s="251"/>
      <c r="T1086" s="251"/>
      <c r="U1086" s="251"/>
      <c r="V1086" s="251"/>
      <c r="W1086" s="251"/>
      <c r="X1086" s="251"/>
      <c r="Y1086" s="251"/>
      <c r="Z1086" s="251"/>
      <c r="AA1086" s="137"/>
      <c r="AB1086" s="137"/>
      <c r="AC1086" s="137"/>
      <c r="AD1086" s="137"/>
      <c r="AE1086" s="137"/>
      <c r="AF1086" s="137"/>
      <c r="AG1086" s="137"/>
    </row>
    <row r="1087" ht="30.0" customHeight="1">
      <c r="A1087" s="248"/>
      <c r="B1087" s="249"/>
      <c r="C1087" s="248"/>
      <c r="D1087" s="249"/>
      <c r="E1087" s="249"/>
      <c r="F1087" s="249"/>
      <c r="G1087" s="250"/>
      <c r="H1087" s="251"/>
      <c r="I1087" s="252"/>
      <c r="J1087" s="252"/>
      <c r="K1087" s="252"/>
      <c r="L1087" s="251"/>
      <c r="M1087" s="251"/>
      <c r="N1087" s="251"/>
      <c r="O1087" s="251"/>
      <c r="P1087" s="251"/>
      <c r="Q1087" s="251"/>
      <c r="R1087" s="251"/>
      <c r="S1087" s="251"/>
      <c r="T1087" s="251"/>
      <c r="U1087" s="251"/>
      <c r="V1087" s="251"/>
      <c r="W1087" s="251"/>
      <c r="X1087" s="251"/>
      <c r="Y1087" s="251"/>
      <c r="Z1087" s="251"/>
      <c r="AA1087" s="137"/>
      <c r="AB1087" s="137"/>
      <c r="AC1087" s="137"/>
      <c r="AD1087" s="137"/>
      <c r="AE1087" s="137"/>
      <c r="AF1087" s="137"/>
      <c r="AG1087" s="137"/>
    </row>
    <row r="1088" ht="30.0" customHeight="1">
      <c r="A1088" s="249"/>
      <c r="B1088" s="249"/>
      <c r="C1088" s="248"/>
      <c r="D1088" s="249"/>
      <c r="E1088" s="249"/>
      <c r="F1088" s="249"/>
      <c r="G1088" s="250"/>
      <c r="H1088" s="251"/>
      <c r="I1088" s="252"/>
      <c r="J1088" s="252"/>
      <c r="K1088" s="252"/>
      <c r="L1088" s="251"/>
      <c r="M1088" s="251"/>
      <c r="N1088" s="251"/>
      <c r="O1088" s="251"/>
      <c r="P1088" s="251"/>
      <c r="Q1088" s="251"/>
      <c r="R1088" s="251"/>
      <c r="S1088" s="251"/>
      <c r="T1088" s="251"/>
      <c r="U1088" s="251"/>
      <c r="V1088" s="251"/>
      <c r="W1088" s="251"/>
      <c r="X1088" s="251"/>
      <c r="Y1088" s="251"/>
      <c r="Z1088" s="251"/>
      <c r="AA1088" s="137"/>
      <c r="AB1088" s="137"/>
      <c r="AC1088" s="137"/>
      <c r="AD1088" s="137"/>
      <c r="AE1088" s="137"/>
      <c r="AF1088" s="137"/>
      <c r="AG1088" s="137"/>
    </row>
    <row r="1089" ht="30.0" customHeight="1">
      <c r="A1089" s="249"/>
      <c r="B1089" s="249"/>
      <c r="C1089" s="248"/>
      <c r="D1089" s="249"/>
      <c r="E1089" s="249"/>
      <c r="F1089" s="249"/>
      <c r="G1089" s="250"/>
      <c r="H1089" s="251"/>
      <c r="I1089" s="252"/>
      <c r="J1089" s="252"/>
      <c r="K1089" s="252"/>
      <c r="L1089" s="251"/>
      <c r="M1089" s="251"/>
      <c r="N1089" s="251"/>
      <c r="O1089" s="251"/>
      <c r="P1089" s="251"/>
      <c r="Q1089" s="251"/>
      <c r="R1089" s="251"/>
      <c r="S1089" s="251"/>
      <c r="T1089" s="251"/>
      <c r="U1089" s="251"/>
      <c r="V1089" s="251"/>
      <c r="W1089" s="251"/>
      <c r="X1089" s="251"/>
      <c r="Y1089" s="251"/>
      <c r="Z1089" s="251"/>
      <c r="AA1089" s="137"/>
      <c r="AB1089" s="137"/>
      <c r="AC1089" s="137"/>
      <c r="AD1089" s="137"/>
      <c r="AE1089" s="137"/>
      <c r="AF1089" s="137"/>
      <c r="AG1089" s="137"/>
    </row>
    <row r="1090" ht="30.0" customHeight="1">
      <c r="A1090" s="248"/>
      <c r="B1090" s="249"/>
      <c r="C1090" s="248"/>
      <c r="D1090" s="249"/>
      <c r="E1090" s="249"/>
      <c r="F1090" s="249"/>
      <c r="G1090" s="250"/>
      <c r="H1090" s="251"/>
      <c r="I1090" s="252"/>
      <c r="J1090" s="252"/>
      <c r="K1090" s="252"/>
      <c r="L1090" s="251"/>
      <c r="M1090" s="251"/>
      <c r="N1090" s="251"/>
      <c r="O1090" s="251"/>
      <c r="P1090" s="251"/>
      <c r="Q1090" s="251"/>
      <c r="R1090" s="251"/>
      <c r="S1090" s="251"/>
      <c r="T1090" s="251"/>
      <c r="U1090" s="251"/>
      <c r="V1090" s="251"/>
      <c r="W1090" s="251"/>
      <c r="X1090" s="251"/>
      <c r="Y1090" s="251"/>
      <c r="Z1090" s="251"/>
      <c r="AA1090" s="137"/>
      <c r="AB1090" s="137"/>
      <c r="AC1090" s="137"/>
      <c r="AD1090" s="137"/>
      <c r="AE1090" s="137"/>
      <c r="AF1090" s="137"/>
      <c r="AG1090" s="137"/>
    </row>
    <row r="1091" ht="30.0" customHeight="1">
      <c r="A1091" s="248"/>
      <c r="B1091" s="249"/>
      <c r="C1091" s="248"/>
      <c r="D1091" s="249"/>
      <c r="E1091" s="249"/>
      <c r="F1091" s="249"/>
      <c r="G1091" s="249"/>
      <c r="H1091" s="251"/>
      <c r="I1091" s="252"/>
      <c r="J1091" s="252"/>
      <c r="K1091" s="252"/>
      <c r="L1091" s="251"/>
      <c r="M1091" s="251"/>
      <c r="N1091" s="251"/>
      <c r="O1091" s="251"/>
      <c r="P1091" s="251"/>
      <c r="Q1091" s="251"/>
      <c r="R1091" s="251"/>
      <c r="S1091" s="251"/>
      <c r="T1091" s="251"/>
      <c r="U1091" s="251"/>
      <c r="V1091" s="251"/>
      <c r="W1091" s="251"/>
      <c r="X1091" s="251"/>
      <c r="Y1091" s="251"/>
      <c r="Z1091" s="251"/>
      <c r="AA1091" s="137"/>
      <c r="AB1091" s="137"/>
      <c r="AC1091" s="137"/>
      <c r="AD1091" s="137"/>
      <c r="AE1091" s="137"/>
      <c r="AF1091" s="137"/>
      <c r="AG1091" s="137"/>
    </row>
    <row r="1092" ht="30.0" customHeight="1">
      <c r="A1092" s="248"/>
      <c r="B1092" s="249"/>
      <c r="C1092" s="248"/>
      <c r="D1092" s="249"/>
      <c r="E1092" s="249"/>
      <c r="F1092" s="249"/>
      <c r="G1092" s="250"/>
      <c r="H1092" s="251"/>
      <c r="I1092" s="252"/>
      <c r="J1092" s="252"/>
      <c r="K1092" s="252"/>
      <c r="L1092" s="251"/>
      <c r="M1092" s="251"/>
      <c r="N1092" s="251"/>
      <c r="O1092" s="251"/>
      <c r="P1092" s="251"/>
      <c r="Q1092" s="251"/>
      <c r="R1092" s="251"/>
      <c r="S1092" s="251"/>
      <c r="T1092" s="251"/>
      <c r="U1092" s="251"/>
      <c r="V1092" s="251"/>
      <c r="W1092" s="251"/>
      <c r="X1092" s="251"/>
      <c r="Y1092" s="251"/>
      <c r="Z1092" s="251"/>
      <c r="AA1092" s="137"/>
      <c r="AB1092" s="137"/>
      <c r="AC1092" s="137"/>
      <c r="AD1092" s="137"/>
      <c r="AE1092" s="137"/>
      <c r="AF1092" s="137"/>
      <c r="AG1092" s="137"/>
    </row>
    <row r="1093" ht="30.0" customHeight="1">
      <c r="A1093" s="248"/>
      <c r="B1093" s="249"/>
      <c r="C1093" s="248"/>
      <c r="D1093" s="249"/>
      <c r="E1093" s="249"/>
      <c r="F1093" s="249"/>
      <c r="G1093" s="250"/>
      <c r="H1093" s="251"/>
      <c r="I1093" s="252"/>
      <c r="J1093" s="252"/>
      <c r="K1093" s="252"/>
      <c r="L1093" s="251"/>
      <c r="M1093" s="251"/>
      <c r="N1093" s="251"/>
      <c r="O1093" s="251"/>
      <c r="P1093" s="251"/>
      <c r="Q1093" s="251"/>
      <c r="R1093" s="251"/>
      <c r="S1093" s="251"/>
      <c r="T1093" s="251"/>
      <c r="U1093" s="251"/>
      <c r="V1093" s="251"/>
      <c r="W1093" s="251"/>
      <c r="X1093" s="251"/>
      <c r="Y1093" s="251"/>
      <c r="Z1093" s="251"/>
      <c r="AA1093" s="137"/>
      <c r="AB1093" s="137"/>
      <c r="AC1093" s="137"/>
      <c r="AD1093" s="137"/>
      <c r="AE1093" s="137"/>
      <c r="AF1093" s="137"/>
      <c r="AG1093" s="137"/>
    </row>
    <row r="1094" ht="30.0" customHeight="1">
      <c r="A1094" s="248"/>
      <c r="B1094" s="249"/>
      <c r="C1094" s="248"/>
      <c r="D1094" s="249"/>
      <c r="E1094" s="249"/>
      <c r="F1094" s="249"/>
      <c r="G1094" s="250"/>
      <c r="H1094" s="251"/>
      <c r="I1094" s="252"/>
      <c r="J1094" s="252"/>
      <c r="K1094" s="252"/>
      <c r="L1094" s="251"/>
      <c r="M1094" s="251"/>
      <c r="N1094" s="251"/>
      <c r="O1094" s="251"/>
      <c r="P1094" s="251"/>
      <c r="Q1094" s="251"/>
      <c r="R1094" s="251"/>
      <c r="S1094" s="251"/>
      <c r="T1094" s="251"/>
      <c r="U1094" s="251"/>
      <c r="V1094" s="251"/>
      <c r="W1094" s="251"/>
      <c r="X1094" s="251"/>
      <c r="Y1094" s="251"/>
      <c r="Z1094" s="251"/>
      <c r="AA1094" s="137"/>
      <c r="AB1094" s="137"/>
      <c r="AC1094" s="137"/>
      <c r="AD1094" s="137"/>
      <c r="AE1094" s="137"/>
      <c r="AF1094" s="137"/>
      <c r="AG1094" s="137"/>
    </row>
    <row r="1095" ht="30.0" customHeight="1">
      <c r="A1095" s="248"/>
      <c r="B1095" s="249"/>
      <c r="C1095" s="248"/>
      <c r="D1095" s="249"/>
      <c r="E1095" s="249"/>
      <c r="F1095" s="249"/>
      <c r="G1095" s="250"/>
      <c r="H1095" s="251"/>
      <c r="I1095" s="252"/>
      <c r="J1095" s="252"/>
      <c r="K1095" s="252"/>
      <c r="L1095" s="251"/>
      <c r="M1095" s="251"/>
      <c r="N1095" s="251"/>
      <c r="O1095" s="251"/>
      <c r="P1095" s="251"/>
      <c r="Q1095" s="251"/>
      <c r="R1095" s="251"/>
      <c r="S1095" s="251"/>
      <c r="T1095" s="251"/>
      <c r="U1095" s="251"/>
      <c r="V1095" s="251"/>
      <c r="W1095" s="251"/>
      <c r="X1095" s="251"/>
      <c r="Y1095" s="251"/>
      <c r="Z1095" s="251"/>
      <c r="AA1095" s="137"/>
      <c r="AB1095" s="137"/>
      <c r="AC1095" s="137"/>
      <c r="AD1095" s="137"/>
      <c r="AE1095" s="137"/>
      <c r="AF1095" s="137"/>
      <c r="AG1095" s="137"/>
    </row>
    <row r="1096" ht="30.0" customHeight="1">
      <c r="A1096" s="248"/>
      <c r="B1096" s="249"/>
      <c r="C1096" s="248"/>
      <c r="D1096" s="249"/>
      <c r="E1096" s="249"/>
      <c r="F1096" s="249"/>
      <c r="G1096" s="250"/>
      <c r="H1096" s="251"/>
      <c r="I1096" s="252"/>
      <c r="J1096" s="252"/>
      <c r="K1096" s="252"/>
      <c r="L1096" s="251"/>
      <c r="M1096" s="251"/>
      <c r="N1096" s="251"/>
      <c r="O1096" s="251"/>
      <c r="P1096" s="251"/>
      <c r="Q1096" s="251"/>
      <c r="R1096" s="251"/>
      <c r="S1096" s="251"/>
      <c r="T1096" s="251"/>
      <c r="U1096" s="251"/>
      <c r="V1096" s="251"/>
      <c r="W1096" s="251"/>
      <c r="X1096" s="251"/>
      <c r="Y1096" s="251"/>
      <c r="Z1096" s="251"/>
      <c r="AA1096" s="137"/>
      <c r="AB1096" s="137"/>
      <c r="AC1096" s="137"/>
      <c r="AD1096" s="137"/>
      <c r="AE1096" s="137"/>
      <c r="AF1096" s="137"/>
      <c r="AG1096" s="137"/>
    </row>
    <row r="1097" ht="30.0" customHeight="1">
      <c r="A1097" s="248"/>
      <c r="B1097" s="249"/>
      <c r="C1097" s="248"/>
      <c r="D1097" s="249"/>
      <c r="E1097" s="249"/>
      <c r="F1097" s="249"/>
      <c r="G1097" s="249"/>
      <c r="H1097" s="251"/>
      <c r="I1097" s="252"/>
      <c r="J1097" s="252"/>
      <c r="K1097" s="252"/>
      <c r="L1097" s="251"/>
      <c r="M1097" s="251"/>
      <c r="N1097" s="251"/>
      <c r="O1097" s="251"/>
      <c r="P1097" s="251"/>
      <c r="Q1097" s="251"/>
      <c r="R1097" s="251"/>
      <c r="S1097" s="251"/>
      <c r="T1097" s="251"/>
      <c r="U1097" s="251"/>
      <c r="V1097" s="251"/>
      <c r="W1097" s="251"/>
      <c r="X1097" s="251"/>
      <c r="Y1097" s="251"/>
      <c r="Z1097" s="251"/>
      <c r="AA1097" s="137"/>
      <c r="AB1097" s="137"/>
      <c r="AC1097" s="137"/>
      <c r="AD1097" s="137"/>
      <c r="AE1097" s="137"/>
      <c r="AF1097" s="137"/>
      <c r="AG1097" s="137"/>
    </row>
    <row r="1098" ht="30.0" customHeight="1">
      <c r="A1098" s="248"/>
      <c r="B1098" s="249"/>
      <c r="C1098" s="248"/>
      <c r="D1098" s="249"/>
      <c r="E1098" s="249"/>
      <c r="F1098" s="249"/>
      <c r="G1098" s="250"/>
      <c r="H1098" s="251"/>
      <c r="I1098" s="252"/>
      <c r="J1098" s="252"/>
      <c r="K1098" s="252"/>
      <c r="L1098" s="251"/>
      <c r="M1098" s="251"/>
      <c r="N1098" s="251"/>
      <c r="O1098" s="251"/>
      <c r="P1098" s="251"/>
      <c r="Q1098" s="251"/>
      <c r="R1098" s="251"/>
      <c r="S1098" s="251"/>
      <c r="T1098" s="251"/>
      <c r="U1098" s="251"/>
      <c r="V1098" s="251"/>
      <c r="W1098" s="251"/>
      <c r="X1098" s="251"/>
      <c r="Y1098" s="251"/>
      <c r="Z1098" s="251"/>
      <c r="AA1098" s="137"/>
      <c r="AB1098" s="137"/>
      <c r="AC1098" s="137"/>
      <c r="AD1098" s="137"/>
      <c r="AE1098" s="137"/>
      <c r="AF1098" s="137"/>
      <c r="AG1098" s="137"/>
    </row>
    <row r="1099" ht="30.0" customHeight="1">
      <c r="A1099" s="248"/>
      <c r="B1099" s="249"/>
      <c r="C1099" s="248"/>
      <c r="D1099" s="249"/>
      <c r="E1099" s="249"/>
      <c r="F1099" s="249"/>
      <c r="G1099" s="250"/>
      <c r="H1099" s="251"/>
      <c r="I1099" s="252"/>
      <c r="J1099" s="252"/>
      <c r="K1099" s="252"/>
      <c r="L1099" s="251"/>
      <c r="M1099" s="251"/>
      <c r="N1099" s="251"/>
      <c r="O1099" s="251"/>
      <c r="P1099" s="251"/>
      <c r="Q1099" s="251"/>
      <c r="R1099" s="251"/>
      <c r="S1099" s="251"/>
      <c r="T1099" s="251"/>
      <c r="U1099" s="251"/>
      <c r="V1099" s="251"/>
      <c r="W1099" s="251"/>
      <c r="X1099" s="251"/>
      <c r="Y1099" s="251"/>
      <c r="Z1099" s="251"/>
      <c r="AA1099" s="137"/>
      <c r="AB1099" s="137"/>
      <c r="AC1099" s="137"/>
      <c r="AD1099" s="137"/>
      <c r="AE1099" s="137"/>
      <c r="AF1099" s="137"/>
      <c r="AG1099" s="137"/>
    </row>
    <row r="1100" ht="30.0" customHeight="1">
      <c r="A1100" s="248"/>
      <c r="B1100" s="249"/>
      <c r="C1100" s="248"/>
      <c r="D1100" s="249"/>
      <c r="E1100" s="249"/>
      <c r="F1100" s="249"/>
      <c r="G1100" s="250"/>
      <c r="H1100" s="251"/>
      <c r="I1100" s="252"/>
      <c r="J1100" s="252"/>
      <c r="K1100" s="252"/>
      <c r="L1100" s="251"/>
      <c r="M1100" s="251"/>
      <c r="N1100" s="251"/>
      <c r="O1100" s="251"/>
      <c r="P1100" s="251"/>
      <c r="Q1100" s="251"/>
      <c r="R1100" s="251"/>
      <c r="S1100" s="251"/>
      <c r="T1100" s="251"/>
      <c r="U1100" s="251"/>
      <c r="V1100" s="251"/>
      <c r="W1100" s="251"/>
      <c r="X1100" s="251"/>
      <c r="Y1100" s="251"/>
      <c r="Z1100" s="251"/>
      <c r="AA1100" s="137"/>
      <c r="AB1100" s="137"/>
      <c r="AC1100" s="137"/>
      <c r="AD1100" s="137"/>
      <c r="AE1100" s="137"/>
      <c r="AF1100" s="137"/>
      <c r="AG1100" s="137"/>
    </row>
    <row r="1101" ht="30.0" customHeight="1">
      <c r="A1101" s="248"/>
      <c r="B1101" s="249"/>
      <c r="C1101" s="248"/>
      <c r="D1101" s="249"/>
      <c r="E1101" s="249"/>
      <c r="F1101" s="249"/>
      <c r="G1101" s="250"/>
      <c r="H1101" s="251"/>
      <c r="I1101" s="252"/>
      <c r="J1101" s="252"/>
      <c r="K1101" s="252"/>
      <c r="L1101" s="251"/>
      <c r="M1101" s="251"/>
      <c r="N1101" s="251"/>
      <c r="O1101" s="251"/>
      <c r="P1101" s="251"/>
      <c r="Q1101" s="251"/>
      <c r="R1101" s="251"/>
      <c r="S1101" s="251"/>
      <c r="T1101" s="251"/>
      <c r="U1101" s="251"/>
      <c r="V1101" s="251"/>
      <c r="W1101" s="251"/>
      <c r="X1101" s="251"/>
      <c r="Y1101" s="251"/>
      <c r="Z1101" s="251"/>
      <c r="AA1101" s="137"/>
      <c r="AB1101" s="137"/>
      <c r="AC1101" s="137"/>
      <c r="AD1101" s="137"/>
      <c r="AE1101" s="137"/>
      <c r="AF1101" s="137"/>
      <c r="AG1101" s="137"/>
    </row>
    <row r="1102" ht="30.0" customHeight="1">
      <c r="A1102" s="248"/>
      <c r="B1102" s="249"/>
      <c r="C1102" s="248"/>
      <c r="D1102" s="249"/>
      <c r="E1102" s="249"/>
      <c r="F1102" s="249"/>
      <c r="G1102" s="250"/>
      <c r="H1102" s="251"/>
      <c r="I1102" s="252"/>
      <c r="J1102" s="252"/>
      <c r="K1102" s="252"/>
      <c r="L1102" s="251"/>
      <c r="M1102" s="251"/>
      <c r="N1102" s="251"/>
      <c r="O1102" s="251"/>
      <c r="P1102" s="251"/>
      <c r="Q1102" s="251"/>
      <c r="R1102" s="251"/>
      <c r="S1102" s="251"/>
      <c r="T1102" s="251"/>
      <c r="U1102" s="251"/>
      <c r="V1102" s="251"/>
      <c r="W1102" s="251"/>
      <c r="X1102" s="251"/>
      <c r="Y1102" s="251"/>
      <c r="Z1102" s="251"/>
      <c r="AA1102" s="137"/>
      <c r="AB1102" s="137"/>
      <c r="AC1102" s="137"/>
      <c r="AD1102" s="137"/>
      <c r="AE1102" s="137"/>
      <c r="AF1102" s="137"/>
      <c r="AG1102" s="137"/>
    </row>
    <row r="1103" ht="30.0" customHeight="1">
      <c r="A1103" s="248"/>
      <c r="B1103" s="249"/>
      <c r="C1103" s="248"/>
      <c r="D1103" s="249"/>
      <c r="E1103" s="249"/>
      <c r="F1103" s="249"/>
      <c r="G1103" s="250"/>
      <c r="H1103" s="251"/>
      <c r="I1103" s="252"/>
      <c r="J1103" s="252"/>
      <c r="K1103" s="252"/>
      <c r="L1103" s="251"/>
      <c r="M1103" s="251"/>
      <c r="N1103" s="251"/>
      <c r="O1103" s="251"/>
      <c r="P1103" s="251"/>
      <c r="Q1103" s="251"/>
      <c r="R1103" s="251"/>
      <c r="S1103" s="251"/>
      <c r="T1103" s="251"/>
      <c r="U1103" s="251"/>
      <c r="V1103" s="251"/>
      <c r="W1103" s="251"/>
      <c r="X1103" s="251"/>
      <c r="Y1103" s="251"/>
      <c r="Z1103" s="251"/>
      <c r="AA1103" s="137"/>
      <c r="AB1103" s="137"/>
      <c r="AC1103" s="137"/>
      <c r="AD1103" s="137"/>
      <c r="AE1103" s="137"/>
      <c r="AF1103" s="137"/>
      <c r="AG1103" s="137"/>
    </row>
    <row r="1104" ht="30.0" customHeight="1">
      <c r="A1104" s="248"/>
      <c r="B1104" s="249"/>
      <c r="C1104" s="248"/>
      <c r="D1104" s="249"/>
      <c r="E1104" s="249"/>
      <c r="F1104" s="249"/>
      <c r="G1104" s="250"/>
      <c r="H1104" s="251"/>
      <c r="I1104" s="252"/>
      <c r="J1104" s="252"/>
      <c r="K1104" s="252"/>
      <c r="L1104" s="251"/>
      <c r="M1104" s="251"/>
      <c r="N1104" s="251"/>
      <c r="O1104" s="251"/>
      <c r="P1104" s="251"/>
      <c r="Q1104" s="251"/>
      <c r="R1104" s="251"/>
      <c r="S1104" s="251"/>
      <c r="T1104" s="251"/>
      <c r="U1104" s="251"/>
      <c r="V1104" s="251"/>
      <c r="W1104" s="251"/>
      <c r="X1104" s="251"/>
      <c r="Y1104" s="251"/>
      <c r="Z1104" s="251"/>
      <c r="AA1104" s="137"/>
      <c r="AB1104" s="137"/>
      <c r="AC1104" s="137"/>
      <c r="AD1104" s="137"/>
      <c r="AE1104" s="137"/>
      <c r="AF1104" s="137"/>
      <c r="AG1104" s="137"/>
    </row>
    <row r="1105" ht="30.0" customHeight="1">
      <c r="A1105" s="248"/>
      <c r="B1105" s="249"/>
      <c r="C1105" s="248"/>
      <c r="D1105" s="249"/>
      <c r="E1105" s="249"/>
      <c r="F1105" s="249"/>
      <c r="G1105" s="250"/>
      <c r="H1105" s="251"/>
      <c r="I1105" s="252"/>
      <c r="J1105" s="252"/>
      <c r="K1105" s="252"/>
      <c r="L1105" s="251"/>
      <c r="M1105" s="251"/>
      <c r="N1105" s="251"/>
      <c r="O1105" s="251"/>
      <c r="P1105" s="251"/>
      <c r="Q1105" s="251"/>
      <c r="R1105" s="251"/>
      <c r="S1105" s="251"/>
      <c r="T1105" s="251"/>
      <c r="U1105" s="251"/>
      <c r="V1105" s="251"/>
      <c r="W1105" s="251"/>
      <c r="X1105" s="251"/>
      <c r="Y1105" s="251"/>
      <c r="Z1105" s="251"/>
      <c r="AA1105" s="137"/>
      <c r="AB1105" s="137"/>
      <c r="AC1105" s="137"/>
      <c r="AD1105" s="137"/>
      <c r="AE1105" s="137"/>
      <c r="AF1105" s="137"/>
      <c r="AG1105" s="137"/>
    </row>
    <row r="1106" ht="30.0" customHeight="1">
      <c r="A1106" s="248"/>
      <c r="B1106" s="249"/>
      <c r="C1106" s="248"/>
      <c r="D1106" s="249"/>
      <c r="E1106" s="249"/>
      <c r="F1106" s="249"/>
      <c r="G1106" s="250"/>
      <c r="H1106" s="251"/>
      <c r="I1106" s="252"/>
      <c r="J1106" s="252"/>
      <c r="K1106" s="252"/>
      <c r="L1106" s="251"/>
      <c r="M1106" s="251"/>
      <c r="N1106" s="251"/>
      <c r="O1106" s="251"/>
      <c r="P1106" s="251"/>
      <c r="Q1106" s="251"/>
      <c r="R1106" s="251"/>
      <c r="S1106" s="251"/>
      <c r="T1106" s="251"/>
      <c r="U1106" s="251"/>
      <c r="V1106" s="251"/>
      <c r="W1106" s="251"/>
      <c r="X1106" s="251"/>
      <c r="Y1106" s="251"/>
      <c r="Z1106" s="251"/>
      <c r="AA1106" s="137"/>
      <c r="AB1106" s="137"/>
      <c r="AC1106" s="137"/>
      <c r="AD1106" s="137"/>
      <c r="AE1106" s="137"/>
      <c r="AF1106" s="137"/>
      <c r="AG1106" s="137"/>
    </row>
    <row r="1107" ht="30.0" customHeight="1">
      <c r="A1107" s="248"/>
      <c r="B1107" s="249"/>
      <c r="C1107" s="248"/>
      <c r="D1107" s="249"/>
      <c r="E1107" s="249"/>
      <c r="F1107" s="249"/>
      <c r="G1107" s="250"/>
      <c r="H1107" s="251"/>
      <c r="I1107" s="252"/>
      <c r="J1107" s="252"/>
      <c r="K1107" s="252"/>
      <c r="L1107" s="251"/>
      <c r="M1107" s="251"/>
      <c r="N1107" s="251"/>
      <c r="O1107" s="251"/>
      <c r="P1107" s="251"/>
      <c r="Q1107" s="251"/>
      <c r="R1107" s="251"/>
      <c r="S1107" s="251"/>
      <c r="T1107" s="251"/>
      <c r="U1107" s="251"/>
      <c r="V1107" s="251"/>
      <c r="W1107" s="251"/>
      <c r="X1107" s="251"/>
      <c r="Y1107" s="251"/>
      <c r="Z1107" s="251"/>
      <c r="AA1107" s="137"/>
      <c r="AB1107" s="137"/>
      <c r="AC1107" s="137"/>
      <c r="AD1107" s="137"/>
      <c r="AE1107" s="137"/>
      <c r="AF1107" s="137"/>
      <c r="AG1107" s="137"/>
    </row>
    <row r="1108" ht="30.0" customHeight="1">
      <c r="A1108" s="248"/>
      <c r="B1108" s="249"/>
      <c r="C1108" s="248"/>
      <c r="D1108" s="249"/>
      <c r="E1108" s="249"/>
      <c r="F1108" s="249"/>
      <c r="G1108" s="250"/>
      <c r="H1108" s="251"/>
      <c r="I1108" s="252"/>
      <c r="J1108" s="252"/>
      <c r="K1108" s="252"/>
      <c r="L1108" s="251"/>
      <c r="M1108" s="251"/>
      <c r="N1108" s="251"/>
      <c r="O1108" s="251"/>
      <c r="P1108" s="251"/>
      <c r="Q1108" s="251"/>
      <c r="R1108" s="251"/>
      <c r="S1108" s="251"/>
      <c r="T1108" s="251"/>
      <c r="U1108" s="251"/>
      <c r="V1108" s="251"/>
      <c r="W1108" s="251"/>
      <c r="X1108" s="251"/>
      <c r="Y1108" s="251"/>
      <c r="Z1108" s="251"/>
      <c r="AA1108" s="137"/>
      <c r="AB1108" s="137"/>
      <c r="AC1108" s="137"/>
      <c r="AD1108" s="137"/>
      <c r="AE1108" s="137"/>
      <c r="AF1108" s="137"/>
      <c r="AG1108" s="137"/>
    </row>
    <row r="1109" ht="30.0" customHeight="1">
      <c r="A1109" s="248"/>
      <c r="B1109" s="249"/>
      <c r="C1109" s="248"/>
      <c r="D1109" s="249"/>
      <c r="E1109" s="249"/>
      <c r="F1109" s="249"/>
      <c r="G1109" s="249"/>
      <c r="H1109" s="251"/>
      <c r="I1109" s="252"/>
      <c r="J1109" s="252"/>
      <c r="K1109" s="252"/>
      <c r="L1109" s="251"/>
      <c r="M1109" s="251"/>
      <c r="N1109" s="251"/>
      <c r="O1109" s="251"/>
      <c r="P1109" s="251"/>
      <c r="Q1109" s="251"/>
      <c r="R1109" s="251"/>
      <c r="S1109" s="251"/>
      <c r="T1109" s="251"/>
      <c r="U1109" s="251"/>
      <c r="V1109" s="251"/>
      <c r="W1109" s="251"/>
      <c r="X1109" s="251"/>
      <c r="Y1109" s="251"/>
      <c r="Z1109" s="251"/>
      <c r="AA1109" s="137"/>
      <c r="AB1109" s="137"/>
      <c r="AC1109" s="137"/>
      <c r="AD1109" s="137"/>
      <c r="AE1109" s="137"/>
      <c r="AF1109" s="137"/>
      <c r="AG1109" s="137"/>
    </row>
    <row r="1110" ht="30.0" customHeight="1">
      <c r="A1110" s="248"/>
      <c r="B1110" s="249"/>
      <c r="C1110" s="248"/>
      <c r="D1110" s="249"/>
      <c r="E1110" s="249"/>
      <c r="F1110" s="249"/>
      <c r="G1110" s="249"/>
      <c r="H1110" s="251"/>
      <c r="I1110" s="252"/>
      <c r="J1110" s="252"/>
      <c r="K1110" s="252"/>
      <c r="L1110" s="251"/>
      <c r="M1110" s="251"/>
      <c r="N1110" s="251"/>
      <c r="O1110" s="251"/>
      <c r="P1110" s="251"/>
      <c r="Q1110" s="251"/>
      <c r="R1110" s="251"/>
      <c r="S1110" s="251"/>
      <c r="T1110" s="251"/>
      <c r="U1110" s="251"/>
      <c r="V1110" s="251"/>
      <c r="W1110" s="251"/>
      <c r="X1110" s="251"/>
      <c r="Y1110" s="251"/>
      <c r="Z1110" s="251"/>
      <c r="AA1110" s="137"/>
      <c r="AB1110" s="137"/>
      <c r="AC1110" s="137"/>
      <c r="AD1110" s="137"/>
      <c r="AE1110" s="137"/>
      <c r="AF1110" s="137"/>
      <c r="AG1110" s="137"/>
    </row>
    <row r="1111" ht="30.0" customHeight="1">
      <c r="A1111" s="248"/>
      <c r="B1111" s="249"/>
      <c r="C1111" s="248"/>
      <c r="D1111" s="249"/>
      <c r="E1111" s="249"/>
      <c r="F1111" s="249"/>
      <c r="G1111" s="249"/>
      <c r="H1111" s="251"/>
      <c r="I1111" s="252"/>
      <c r="J1111" s="252"/>
      <c r="K1111" s="252"/>
      <c r="L1111" s="251"/>
      <c r="M1111" s="251"/>
      <c r="N1111" s="251"/>
      <c r="O1111" s="251"/>
      <c r="P1111" s="251"/>
      <c r="Q1111" s="251"/>
      <c r="R1111" s="251"/>
      <c r="S1111" s="251"/>
      <c r="T1111" s="251"/>
      <c r="U1111" s="251"/>
      <c r="V1111" s="251"/>
      <c r="W1111" s="251"/>
      <c r="X1111" s="251"/>
      <c r="Y1111" s="251"/>
      <c r="Z1111" s="251"/>
      <c r="AA1111" s="137"/>
      <c r="AB1111" s="137"/>
      <c r="AC1111" s="137"/>
      <c r="AD1111" s="137"/>
      <c r="AE1111" s="137"/>
      <c r="AF1111" s="137"/>
      <c r="AG1111" s="137"/>
    </row>
    <row r="1112" ht="30.0" customHeight="1">
      <c r="A1112" s="248"/>
      <c r="B1112" s="249"/>
      <c r="C1112" s="248"/>
      <c r="D1112" s="249"/>
      <c r="E1112" s="249"/>
      <c r="F1112" s="249"/>
      <c r="G1112" s="250"/>
      <c r="H1112" s="251"/>
      <c r="I1112" s="252"/>
      <c r="J1112" s="252"/>
      <c r="K1112" s="252"/>
      <c r="L1112" s="251"/>
      <c r="M1112" s="251"/>
      <c r="N1112" s="251"/>
      <c r="O1112" s="251"/>
      <c r="P1112" s="251"/>
      <c r="Q1112" s="251"/>
      <c r="R1112" s="251"/>
      <c r="S1112" s="251"/>
      <c r="T1112" s="251"/>
      <c r="U1112" s="251"/>
      <c r="V1112" s="251"/>
      <c r="W1112" s="251"/>
      <c r="X1112" s="251"/>
      <c r="Y1112" s="251"/>
      <c r="Z1112" s="251"/>
      <c r="AA1112" s="137"/>
      <c r="AB1112" s="137"/>
      <c r="AC1112" s="137"/>
      <c r="AD1112" s="137"/>
      <c r="AE1112" s="137"/>
      <c r="AF1112" s="137"/>
      <c r="AG1112" s="137"/>
    </row>
    <row r="1113" ht="30.0" customHeight="1">
      <c r="A1113" s="248"/>
      <c r="B1113" s="249"/>
      <c r="C1113" s="248"/>
      <c r="D1113" s="249"/>
      <c r="E1113" s="249"/>
      <c r="F1113" s="249"/>
      <c r="G1113" s="250"/>
      <c r="H1113" s="251"/>
      <c r="I1113" s="252"/>
      <c r="J1113" s="252"/>
      <c r="K1113" s="252"/>
      <c r="L1113" s="251"/>
      <c r="M1113" s="251"/>
      <c r="N1113" s="251"/>
      <c r="O1113" s="251"/>
      <c r="P1113" s="251"/>
      <c r="Q1113" s="251"/>
      <c r="R1113" s="251"/>
      <c r="S1113" s="251"/>
      <c r="T1113" s="251"/>
      <c r="U1113" s="251"/>
      <c r="V1113" s="251"/>
      <c r="W1113" s="251"/>
      <c r="X1113" s="251"/>
      <c r="Y1113" s="251"/>
      <c r="Z1113" s="251"/>
      <c r="AA1113" s="137"/>
      <c r="AB1113" s="137"/>
      <c r="AC1113" s="137"/>
      <c r="AD1113" s="137"/>
      <c r="AE1113" s="137"/>
      <c r="AF1113" s="137"/>
      <c r="AG1113" s="137"/>
    </row>
    <row r="1114" ht="30.0" customHeight="1">
      <c r="A1114" s="248"/>
      <c r="B1114" s="249"/>
      <c r="C1114" s="248"/>
      <c r="D1114" s="249"/>
      <c r="E1114" s="249"/>
      <c r="F1114" s="249"/>
      <c r="G1114" s="250"/>
      <c r="H1114" s="251"/>
      <c r="I1114" s="252"/>
      <c r="J1114" s="252"/>
      <c r="K1114" s="252"/>
      <c r="L1114" s="251"/>
      <c r="M1114" s="251"/>
      <c r="N1114" s="251"/>
      <c r="O1114" s="251"/>
      <c r="P1114" s="251"/>
      <c r="Q1114" s="251"/>
      <c r="R1114" s="251"/>
      <c r="S1114" s="251"/>
      <c r="T1114" s="251"/>
      <c r="U1114" s="251"/>
      <c r="V1114" s="251"/>
      <c r="W1114" s="251"/>
      <c r="X1114" s="251"/>
      <c r="Y1114" s="251"/>
      <c r="Z1114" s="251"/>
      <c r="AA1114" s="137"/>
      <c r="AB1114" s="137"/>
      <c r="AC1114" s="137"/>
      <c r="AD1114" s="137"/>
      <c r="AE1114" s="137"/>
      <c r="AF1114" s="137"/>
      <c r="AG1114" s="137"/>
    </row>
    <row r="1115" ht="30.0" customHeight="1">
      <c r="A1115" s="248"/>
      <c r="B1115" s="249"/>
      <c r="C1115" s="248"/>
      <c r="D1115" s="249"/>
      <c r="E1115" s="249"/>
      <c r="F1115" s="249"/>
      <c r="G1115" s="250"/>
      <c r="H1115" s="251"/>
      <c r="I1115" s="252"/>
      <c r="J1115" s="252"/>
      <c r="K1115" s="252"/>
      <c r="L1115" s="251"/>
      <c r="M1115" s="251"/>
      <c r="N1115" s="251"/>
      <c r="O1115" s="251"/>
      <c r="P1115" s="251"/>
      <c r="Q1115" s="251"/>
      <c r="R1115" s="251"/>
      <c r="S1115" s="251"/>
      <c r="T1115" s="251"/>
      <c r="U1115" s="251"/>
      <c r="V1115" s="251"/>
      <c r="W1115" s="251"/>
      <c r="X1115" s="251"/>
      <c r="Y1115" s="251"/>
      <c r="Z1115" s="251"/>
      <c r="AA1115" s="137"/>
      <c r="AB1115" s="137"/>
      <c r="AC1115" s="137"/>
      <c r="AD1115" s="137"/>
      <c r="AE1115" s="137"/>
      <c r="AF1115" s="137"/>
      <c r="AG1115" s="137"/>
    </row>
    <row r="1116" ht="30.0" customHeight="1">
      <c r="A1116" s="248"/>
      <c r="B1116" s="249"/>
      <c r="C1116" s="248"/>
      <c r="D1116" s="249"/>
      <c r="E1116" s="249"/>
      <c r="F1116" s="249"/>
      <c r="G1116" s="250"/>
      <c r="H1116" s="251"/>
      <c r="I1116" s="252"/>
      <c r="J1116" s="252"/>
      <c r="K1116" s="252"/>
      <c r="L1116" s="251"/>
      <c r="M1116" s="251"/>
      <c r="N1116" s="251"/>
      <c r="O1116" s="251"/>
      <c r="P1116" s="251"/>
      <c r="Q1116" s="251"/>
      <c r="R1116" s="251"/>
      <c r="S1116" s="251"/>
      <c r="T1116" s="251"/>
      <c r="U1116" s="251"/>
      <c r="V1116" s="251"/>
      <c r="W1116" s="251"/>
      <c r="X1116" s="251"/>
      <c r="Y1116" s="251"/>
      <c r="Z1116" s="251"/>
      <c r="AA1116" s="137"/>
      <c r="AB1116" s="137"/>
      <c r="AC1116" s="137"/>
      <c r="AD1116" s="137"/>
      <c r="AE1116" s="137"/>
      <c r="AF1116" s="137"/>
      <c r="AG1116" s="137"/>
    </row>
    <row r="1117" ht="30.0" customHeight="1">
      <c r="A1117" s="248"/>
      <c r="B1117" s="249"/>
      <c r="C1117" s="248"/>
      <c r="D1117" s="249"/>
      <c r="E1117" s="249"/>
      <c r="F1117" s="249"/>
      <c r="G1117" s="250"/>
      <c r="H1117" s="251"/>
      <c r="I1117" s="252"/>
      <c r="J1117" s="252"/>
      <c r="K1117" s="252"/>
      <c r="L1117" s="251"/>
      <c r="M1117" s="251"/>
      <c r="N1117" s="251"/>
      <c r="O1117" s="251"/>
      <c r="P1117" s="251"/>
      <c r="Q1117" s="251"/>
      <c r="R1117" s="251"/>
      <c r="S1117" s="251"/>
      <c r="T1117" s="251"/>
      <c r="U1117" s="251"/>
      <c r="V1117" s="251"/>
      <c r="W1117" s="251"/>
      <c r="X1117" s="251"/>
      <c r="Y1117" s="251"/>
      <c r="Z1117" s="251"/>
      <c r="AA1117" s="137"/>
      <c r="AB1117" s="137"/>
      <c r="AC1117" s="137"/>
      <c r="AD1117" s="137"/>
      <c r="AE1117" s="137"/>
      <c r="AF1117" s="137"/>
      <c r="AG1117" s="137"/>
    </row>
    <row r="1118" ht="30.0" customHeight="1">
      <c r="A1118" s="248"/>
      <c r="B1118" s="249"/>
      <c r="C1118" s="249"/>
      <c r="D1118" s="249"/>
      <c r="E1118" s="249"/>
      <c r="F1118" s="249"/>
      <c r="G1118" s="250"/>
      <c r="H1118" s="251"/>
      <c r="I1118" s="252"/>
      <c r="J1118" s="252"/>
      <c r="K1118" s="252"/>
      <c r="L1118" s="251"/>
      <c r="M1118" s="251"/>
      <c r="N1118" s="251"/>
      <c r="O1118" s="251"/>
      <c r="P1118" s="251"/>
      <c r="Q1118" s="251"/>
      <c r="R1118" s="251"/>
      <c r="S1118" s="251"/>
      <c r="T1118" s="251"/>
      <c r="U1118" s="251"/>
      <c r="V1118" s="251"/>
      <c r="W1118" s="251"/>
      <c r="X1118" s="251"/>
      <c r="Y1118" s="251"/>
      <c r="Z1118" s="251"/>
      <c r="AA1118" s="137"/>
      <c r="AB1118" s="137"/>
      <c r="AC1118" s="137"/>
      <c r="AD1118" s="137"/>
      <c r="AE1118" s="137"/>
      <c r="AF1118" s="137"/>
      <c r="AG1118" s="137"/>
    </row>
    <row r="1119" ht="30.0" customHeight="1">
      <c r="A1119" s="248"/>
      <c r="B1119" s="249"/>
      <c r="C1119" s="248"/>
      <c r="D1119" s="249"/>
      <c r="E1119" s="249"/>
      <c r="F1119" s="249"/>
      <c r="G1119" s="250"/>
      <c r="H1119" s="251"/>
      <c r="I1119" s="252"/>
      <c r="J1119" s="252"/>
      <c r="K1119" s="252"/>
      <c r="L1119" s="251"/>
      <c r="M1119" s="251"/>
      <c r="N1119" s="251"/>
      <c r="O1119" s="251"/>
      <c r="P1119" s="251"/>
      <c r="Q1119" s="251"/>
      <c r="R1119" s="251"/>
      <c r="S1119" s="251"/>
      <c r="T1119" s="251"/>
      <c r="U1119" s="251"/>
      <c r="V1119" s="251"/>
      <c r="W1119" s="251"/>
      <c r="X1119" s="251"/>
      <c r="Y1119" s="251"/>
      <c r="Z1119" s="251"/>
      <c r="AA1119" s="137"/>
      <c r="AB1119" s="137"/>
      <c r="AC1119" s="137"/>
      <c r="AD1119" s="137"/>
      <c r="AE1119" s="137"/>
      <c r="AF1119" s="137"/>
      <c r="AG1119" s="137"/>
    </row>
    <row r="1120" ht="30.0" customHeight="1">
      <c r="A1120" s="248"/>
      <c r="B1120" s="249"/>
      <c r="C1120" s="248"/>
      <c r="D1120" s="249"/>
      <c r="E1120" s="249"/>
      <c r="F1120" s="249"/>
      <c r="G1120" s="250"/>
      <c r="H1120" s="251"/>
      <c r="I1120" s="252"/>
      <c r="J1120" s="252"/>
      <c r="K1120" s="252"/>
      <c r="L1120" s="251"/>
      <c r="M1120" s="251"/>
      <c r="N1120" s="251"/>
      <c r="O1120" s="251"/>
      <c r="P1120" s="251"/>
      <c r="Q1120" s="251"/>
      <c r="R1120" s="251"/>
      <c r="S1120" s="251"/>
      <c r="T1120" s="251"/>
      <c r="U1120" s="251"/>
      <c r="V1120" s="251"/>
      <c r="W1120" s="251"/>
      <c r="X1120" s="251"/>
      <c r="Y1120" s="251"/>
      <c r="Z1120" s="251"/>
      <c r="AA1120" s="137"/>
      <c r="AB1120" s="137"/>
      <c r="AC1120" s="137"/>
      <c r="AD1120" s="137"/>
      <c r="AE1120" s="137"/>
      <c r="AF1120" s="137"/>
      <c r="AG1120" s="137"/>
    </row>
    <row r="1121" ht="30.0" customHeight="1">
      <c r="A1121" s="248"/>
      <c r="B1121" s="249"/>
      <c r="C1121" s="248"/>
      <c r="D1121" s="249"/>
      <c r="E1121" s="249"/>
      <c r="F1121" s="249"/>
      <c r="G1121" s="250"/>
      <c r="H1121" s="251"/>
      <c r="I1121" s="252"/>
      <c r="J1121" s="252"/>
      <c r="K1121" s="252"/>
      <c r="L1121" s="251"/>
      <c r="M1121" s="251"/>
      <c r="N1121" s="251"/>
      <c r="O1121" s="251"/>
      <c r="P1121" s="251"/>
      <c r="Q1121" s="251"/>
      <c r="R1121" s="251"/>
      <c r="S1121" s="251"/>
      <c r="T1121" s="251"/>
      <c r="U1121" s="251"/>
      <c r="V1121" s="251"/>
      <c r="W1121" s="251"/>
      <c r="X1121" s="251"/>
      <c r="Y1121" s="251"/>
      <c r="Z1121" s="251"/>
      <c r="AA1121" s="137"/>
      <c r="AB1121" s="137"/>
      <c r="AC1121" s="137"/>
      <c r="AD1121" s="137"/>
      <c r="AE1121" s="137"/>
      <c r="AF1121" s="137"/>
      <c r="AG1121" s="137"/>
    </row>
    <row r="1122" ht="30.0" customHeight="1">
      <c r="A1122" s="248"/>
      <c r="B1122" s="249"/>
      <c r="C1122" s="248"/>
      <c r="D1122" s="249"/>
      <c r="E1122" s="249"/>
      <c r="F1122" s="249"/>
      <c r="G1122" s="250"/>
      <c r="H1122" s="251"/>
      <c r="I1122" s="252"/>
      <c r="J1122" s="252"/>
      <c r="K1122" s="252"/>
      <c r="L1122" s="251"/>
      <c r="M1122" s="251"/>
      <c r="N1122" s="251"/>
      <c r="O1122" s="251"/>
      <c r="P1122" s="251"/>
      <c r="Q1122" s="251"/>
      <c r="R1122" s="251"/>
      <c r="S1122" s="251"/>
      <c r="T1122" s="251"/>
      <c r="U1122" s="251"/>
      <c r="V1122" s="251"/>
      <c r="W1122" s="251"/>
      <c r="X1122" s="251"/>
      <c r="Y1122" s="251"/>
      <c r="Z1122" s="251"/>
      <c r="AA1122" s="137"/>
      <c r="AB1122" s="137"/>
      <c r="AC1122" s="137"/>
      <c r="AD1122" s="137"/>
      <c r="AE1122" s="137"/>
      <c r="AF1122" s="137"/>
      <c r="AG1122" s="137"/>
    </row>
    <row r="1123" ht="30.0" customHeight="1">
      <c r="A1123" s="248"/>
      <c r="B1123" s="249"/>
      <c r="C1123" s="248"/>
      <c r="D1123" s="249"/>
      <c r="E1123" s="249"/>
      <c r="F1123" s="249"/>
      <c r="G1123" s="250"/>
      <c r="H1123" s="251"/>
      <c r="I1123" s="252"/>
      <c r="J1123" s="252"/>
      <c r="K1123" s="252"/>
      <c r="L1123" s="251"/>
      <c r="M1123" s="251"/>
      <c r="N1123" s="251"/>
      <c r="O1123" s="251"/>
      <c r="P1123" s="251"/>
      <c r="Q1123" s="251"/>
      <c r="R1123" s="251"/>
      <c r="S1123" s="251"/>
      <c r="T1123" s="251"/>
      <c r="U1123" s="251"/>
      <c r="V1123" s="251"/>
      <c r="W1123" s="251"/>
      <c r="X1123" s="251"/>
      <c r="Y1123" s="251"/>
      <c r="Z1123" s="251"/>
      <c r="AA1123" s="137"/>
      <c r="AB1123" s="137"/>
      <c r="AC1123" s="137"/>
      <c r="AD1123" s="137"/>
      <c r="AE1123" s="137"/>
      <c r="AF1123" s="137"/>
      <c r="AG1123" s="137"/>
    </row>
    <row r="1124" ht="30.0" customHeight="1">
      <c r="A1124" s="248"/>
      <c r="B1124" s="249"/>
      <c r="C1124" s="248"/>
      <c r="D1124" s="249"/>
      <c r="E1124" s="249"/>
      <c r="F1124" s="249"/>
      <c r="G1124" s="250"/>
      <c r="H1124" s="251"/>
      <c r="I1124" s="252"/>
      <c r="J1124" s="252"/>
      <c r="K1124" s="252"/>
      <c r="L1124" s="251"/>
      <c r="M1124" s="251"/>
      <c r="N1124" s="251"/>
      <c r="O1124" s="251"/>
      <c r="P1124" s="251"/>
      <c r="Q1124" s="251"/>
      <c r="R1124" s="251"/>
      <c r="S1124" s="251"/>
      <c r="T1124" s="251"/>
      <c r="U1124" s="251"/>
      <c r="V1124" s="251"/>
      <c r="W1124" s="251"/>
      <c r="X1124" s="251"/>
      <c r="Y1124" s="251"/>
      <c r="Z1124" s="251"/>
      <c r="AA1124" s="137"/>
      <c r="AB1124" s="137"/>
      <c r="AC1124" s="137"/>
      <c r="AD1124" s="137"/>
      <c r="AE1124" s="137"/>
      <c r="AF1124" s="137"/>
      <c r="AG1124" s="137"/>
    </row>
    <row r="1125" ht="30.0" customHeight="1">
      <c r="A1125" s="248"/>
      <c r="B1125" s="249"/>
      <c r="C1125" s="248"/>
      <c r="D1125" s="249"/>
      <c r="E1125" s="249"/>
      <c r="F1125" s="249"/>
      <c r="G1125" s="250"/>
      <c r="H1125" s="251"/>
      <c r="I1125" s="252"/>
      <c r="J1125" s="252"/>
      <c r="K1125" s="252"/>
      <c r="L1125" s="251"/>
      <c r="M1125" s="251"/>
      <c r="N1125" s="251"/>
      <c r="O1125" s="251"/>
      <c r="P1125" s="251"/>
      <c r="Q1125" s="251"/>
      <c r="R1125" s="251"/>
      <c r="S1125" s="251"/>
      <c r="T1125" s="251"/>
      <c r="U1125" s="251"/>
      <c r="V1125" s="251"/>
      <c r="W1125" s="251"/>
      <c r="X1125" s="251"/>
      <c r="Y1125" s="251"/>
      <c r="Z1125" s="251"/>
      <c r="AA1125" s="137"/>
      <c r="AB1125" s="137"/>
      <c r="AC1125" s="137"/>
      <c r="AD1125" s="137"/>
      <c r="AE1125" s="137"/>
      <c r="AF1125" s="137"/>
      <c r="AG1125" s="137"/>
    </row>
    <row r="1126" ht="30.0" customHeight="1">
      <c r="A1126" s="248"/>
      <c r="B1126" s="249"/>
      <c r="C1126" s="248"/>
      <c r="D1126" s="249"/>
      <c r="E1126" s="249"/>
      <c r="F1126" s="249"/>
      <c r="G1126" s="250"/>
      <c r="H1126" s="251"/>
      <c r="I1126" s="252"/>
      <c r="J1126" s="252"/>
      <c r="K1126" s="252"/>
      <c r="L1126" s="251"/>
      <c r="M1126" s="251"/>
      <c r="N1126" s="251"/>
      <c r="O1126" s="251"/>
      <c r="P1126" s="251"/>
      <c r="Q1126" s="251"/>
      <c r="R1126" s="251"/>
      <c r="S1126" s="251"/>
      <c r="T1126" s="251"/>
      <c r="U1126" s="251"/>
      <c r="V1126" s="251"/>
      <c r="W1126" s="251"/>
      <c r="X1126" s="251"/>
      <c r="Y1126" s="251"/>
      <c r="Z1126" s="251"/>
      <c r="AA1126" s="137"/>
      <c r="AB1126" s="137"/>
      <c r="AC1126" s="137"/>
      <c r="AD1126" s="137"/>
      <c r="AE1126" s="137"/>
      <c r="AF1126" s="137"/>
      <c r="AG1126" s="137"/>
    </row>
    <row r="1127" ht="30.0" customHeight="1">
      <c r="A1127" s="248"/>
      <c r="B1127" s="249"/>
      <c r="C1127" s="248"/>
      <c r="D1127" s="249"/>
      <c r="E1127" s="249"/>
      <c r="F1127" s="249"/>
      <c r="G1127" s="250"/>
      <c r="H1127" s="251"/>
      <c r="I1127" s="252"/>
      <c r="J1127" s="252"/>
      <c r="K1127" s="252"/>
      <c r="L1127" s="251"/>
      <c r="M1127" s="251"/>
      <c r="N1127" s="251"/>
      <c r="O1127" s="251"/>
      <c r="P1127" s="251"/>
      <c r="Q1127" s="251"/>
      <c r="R1127" s="251"/>
      <c r="S1127" s="251"/>
      <c r="T1127" s="251"/>
      <c r="U1127" s="251"/>
      <c r="V1127" s="251"/>
      <c r="W1127" s="251"/>
      <c r="X1127" s="251"/>
      <c r="Y1127" s="251"/>
      <c r="Z1127" s="251"/>
      <c r="AA1127" s="137"/>
      <c r="AB1127" s="137"/>
      <c r="AC1127" s="137"/>
      <c r="AD1127" s="137"/>
      <c r="AE1127" s="137"/>
      <c r="AF1127" s="137"/>
      <c r="AG1127" s="137"/>
    </row>
    <row r="1128" ht="30.0" customHeight="1">
      <c r="A1128" s="248"/>
      <c r="B1128" s="249"/>
      <c r="C1128" s="248"/>
      <c r="D1128" s="249"/>
      <c r="E1128" s="249"/>
      <c r="F1128" s="249"/>
      <c r="G1128" s="250"/>
      <c r="H1128" s="251"/>
      <c r="I1128" s="252"/>
      <c r="J1128" s="252"/>
      <c r="K1128" s="252"/>
      <c r="L1128" s="251"/>
      <c r="M1128" s="251"/>
      <c r="N1128" s="251"/>
      <c r="O1128" s="251"/>
      <c r="P1128" s="251"/>
      <c r="Q1128" s="251"/>
      <c r="R1128" s="251"/>
      <c r="S1128" s="251"/>
      <c r="T1128" s="251"/>
      <c r="U1128" s="251"/>
      <c r="V1128" s="251"/>
      <c r="W1128" s="251"/>
      <c r="X1128" s="251"/>
      <c r="Y1128" s="251"/>
      <c r="Z1128" s="251"/>
      <c r="AA1128" s="137"/>
      <c r="AB1128" s="137"/>
      <c r="AC1128" s="137"/>
      <c r="AD1128" s="137"/>
      <c r="AE1128" s="137"/>
      <c r="AF1128" s="137"/>
      <c r="AG1128" s="137"/>
    </row>
    <row r="1129" ht="30.0" customHeight="1">
      <c r="A1129" s="248"/>
      <c r="B1129" s="249"/>
      <c r="C1129" s="248"/>
      <c r="D1129" s="249"/>
      <c r="E1129" s="249"/>
      <c r="F1129" s="249"/>
      <c r="G1129" s="250"/>
      <c r="H1129" s="251"/>
      <c r="I1129" s="252"/>
      <c r="J1129" s="252"/>
      <c r="K1129" s="252"/>
      <c r="L1129" s="251"/>
      <c r="M1129" s="251"/>
      <c r="N1129" s="251"/>
      <c r="O1129" s="251"/>
      <c r="P1129" s="251"/>
      <c r="Q1129" s="251"/>
      <c r="R1129" s="251"/>
      <c r="S1129" s="251"/>
      <c r="T1129" s="251"/>
      <c r="U1129" s="251"/>
      <c r="V1129" s="251"/>
      <c r="W1129" s="251"/>
      <c r="X1129" s="251"/>
      <c r="Y1129" s="251"/>
      <c r="Z1129" s="251"/>
      <c r="AA1129" s="137"/>
      <c r="AB1129" s="137"/>
      <c r="AC1129" s="137"/>
      <c r="AD1129" s="137"/>
      <c r="AE1129" s="137"/>
      <c r="AF1129" s="137"/>
      <c r="AG1129" s="137"/>
    </row>
    <row r="1130" ht="30.0" customHeight="1">
      <c r="A1130" s="248"/>
      <c r="B1130" s="249"/>
      <c r="C1130" s="248"/>
      <c r="D1130" s="249"/>
      <c r="E1130" s="249"/>
      <c r="F1130" s="249"/>
      <c r="G1130" s="250"/>
      <c r="H1130" s="251"/>
      <c r="I1130" s="252"/>
      <c r="J1130" s="252"/>
      <c r="K1130" s="252"/>
      <c r="L1130" s="251"/>
      <c r="M1130" s="251"/>
      <c r="N1130" s="251"/>
      <c r="O1130" s="251"/>
      <c r="P1130" s="251"/>
      <c r="Q1130" s="251"/>
      <c r="R1130" s="251"/>
      <c r="S1130" s="251"/>
      <c r="T1130" s="251"/>
      <c r="U1130" s="251"/>
      <c r="V1130" s="251"/>
      <c r="W1130" s="251"/>
      <c r="X1130" s="251"/>
      <c r="Y1130" s="251"/>
      <c r="Z1130" s="251"/>
      <c r="AA1130" s="137"/>
      <c r="AB1130" s="137"/>
      <c r="AC1130" s="137"/>
      <c r="AD1130" s="137"/>
      <c r="AE1130" s="137"/>
      <c r="AF1130" s="137"/>
      <c r="AG1130" s="137"/>
    </row>
    <row r="1131" ht="30.0" customHeight="1">
      <c r="A1131" s="248"/>
      <c r="B1131" s="249"/>
      <c r="C1131" s="248"/>
      <c r="D1131" s="249"/>
      <c r="E1131" s="249"/>
      <c r="F1131" s="249"/>
      <c r="G1131" s="250"/>
      <c r="H1131" s="251"/>
      <c r="I1131" s="252"/>
      <c r="J1131" s="252"/>
      <c r="K1131" s="252"/>
      <c r="L1131" s="251"/>
      <c r="M1131" s="251"/>
      <c r="N1131" s="251"/>
      <c r="O1131" s="251"/>
      <c r="P1131" s="251"/>
      <c r="Q1131" s="251"/>
      <c r="R1131" s="251"/>
      <c r="S1131" s="251"/>
      <c r="T1131" s="251"/>
      <c r="U1131" s="251"/>
      <c r="V1131" s="251"/>
      <c r="W1131" s="251"/>
      <c r="X1131" s="251"/>
      <c r="Y1131" s="251"/>
      <c r="Z1131" s="251"/>
      <c r="AA1131" s="137"/>
      <c r="AB1131" s="137"/>
      <c r="AC1131" s="137"/>
      <c r="AD1131" s="137"/>
      <c r="AE1131" s="137"/>
      <c r="AF1131" s="137"/>
      <c r="AG1131" s="137"/>
    </row>
    <row r="1132" ht="30.0" customHeight="1">
      <c r="A1132" s="248"/>
      <c r="B1132" s="249"/>
      <c r="C1132" s="248"/>
      <c r="D1132" s="249"/>
      <c r="E1132" s="249"/>
      <c r="F1132" s="249"/>
      <c r="G1132" s="250"/>
      <c r="H1132" s="251"/>
      <c r="I1132" s="252"/>
      <c r="J1132" s="252"/>
      <c r="K1132" s="252"/>
      <c r="L1132" s="251"/>
      <c r="M1132" s="251"/>
      <c r="N1132" s="251"/>
      <c r="O1132" s="251"/>
      <c r="P1132" s="251"/>
      <c r="Q1132" s="251"/>
      <c r="R1132" s="251"/>
      <c r="S1132" s="251"/>
      <c r="T1132" s="251"/>
      <c r="U1132" s="251"/>
      <c r="V1132" s="251"/>
      <c r="W1132" s="251"/>
      <c r="X1132" s="251"/>
      <c r="Y1132" s="251"/>
      <c r="Z1132" s="251"/>
      <c r="AA1132" s="137"/>
      <c r="AB1132" s="137"/>
      <c r="AC1132" s="137"/>
      <c r="AD1132" s="137"/>
      <c r="AE1132" s="137"/>
      <c r="AF1132" s="137"/>
      <c r="AG1132" s="137"/>
    </row>
    <row r="1133" ht="30.0" customHeight="1">
      <c r="A1133" s="248"/>
      <c r="B1133" s="249"/>
      <c r="C1133" s="248"/>
      <c r="D1133" s="249"/>
      <c r="E1133" s="249"/>
      <c r="F1133" s="249"/>
      <c r="G1133" s="250"/>
      <c r="H1133" s="251"/>
      <c r="I1133" s="252"/>
      <c r="J1133" s="252"/>
      <c r="K1133" s="252"/>
      <c r="L1133" s="251"/>
      <c r="M1133" s="251"/>
      <c r="N1133" s="251"/>
      <c r="O1133" s="251"/>
      <c r="P1133" s="251"/>
      <c r="Q1133" s="251"/>
      <c r="R1133" s="251"/>
      <c r="S1133" s="251"/>
      <c r="T1133" s="251"/>
      <c r="U1133" s="251"/>
      <c r="V1133" s="251"/>
      <c r="W1133" s="251"/>
      <c r="X1133" s="251"/>
      <c r="Y1133" s="251"/>
      <c r="Z1133" s="251"/>
      <c r="AA1133" s="137"/>
      <c r="AB1133" s="137"/>
      <c r="AC1133" s="137"/>
      <c r="AD1133" s="137"/>
      <c r="AE1133" s="137"/>
      <c r="AF1133" s="137"/>
      <c r="AG1133" s="137"/>
    </row>
    <row r="1134" ht="30.0" customHeight="1">
      <c r="A1134" s="248"/>
      <c r="B1134" s="249"/>
      <c r="C1134" s="248"/>
      <c r="D1134" s="249"/>
      <c r="E1134" s="249"/>
      <c r="F1134" s="249"/>
      <c r="G1134" s="250"/>
      <c r="H1134" s="251"/>
      <c r="I1134" s="252"/>
      <c r="J1134" s="252"/>
      <c r="K1134" s="252"/>
      <c r="L1134" s="251"/>
      <c r="M1134" s="251"/>
      <c r="N1134" s="251"/>
      <c r="O1134" s="251"/>
      <c r="P1134" s="251"/>
      <c r="Q1134" s="251"/>
      <c r="R1134" s="251"/>
      <c r="S1134" s="251"/>
      <c r="T1134" s="251"/>
      <c r="U1134" s="251"/>
      <c r="V1134" s="251"/>
      <c r="W1134" s="251"/>
      <c r="X1134" s="251"/>
      <c r="Y1134" s="251"/>
      <c r="Z1134" s="251"/>
      <c r="AA1134" s="137"/>
      <c r="AB1134" s="137"/>
      <c r="AC1134" s="137"/>
      <c r="AD1134" s="137"/>
      <c r="AE1134" s="137"/>
      <c r="AF1134" s="137"/>
      <c r="AG1134" s="137"/>
    </row>
    <row r="1135" ht="30.0" customHeight="1">
      <c r="A1135" s="248"/>
      <c r="B1135" s="249"/>
      <c r="C1135" s="248"/>
      <c r="D1135" s="249"/>
      <c r="E1135" s="249"/>
      <c r="F1135" s="249"/>
      <c r="G1135" s="250"/>
      <c r="H1135" s="251"/>
      <c r="I1135" s="252"/>
      <c r="J1135" s="252"/>
      <c r="K1135" s="252"/>
      <c r="L1135" s="251"/>
      <c r="M1135" s="251"/>
      <c r="N1135" s="251"/>
      <c r="O1135" s="251"/>
      <c r="P1135" s="251"/>
      <c r="Q1135" s="251"/>
      <c r="R1135" s="251"/>
      <c r="S1135" s="251"/>
      <c r="T1135" s="251"/>
      <c r="U1135" s="251"/>
      <c r="V1135" s="251"/>
      <c r="W1135" s="251"/>
      <c r="X1135" s="251"/>
      <c r="Y1135" s="251"/>
      <c r="Z1135" s="251"/>
      <c r="AA1135" s="137"/>
      <c r="AB1135" s="137"/>
      <c r="AC1135" s="137"/>
      <c r="AD1135" s="137"/>
      <c r="AE1135" s="137"/>
      <c r="AF1135" s="137"/>
      <c r="AG1135" s="137"/>
    </row>
    <row r="1136" ht="30.0" customHeight="1">
      <c r="A1136" s="248"/>
      <c r="B1136" s="249"/>
      <c r="C1136" s="248"/>
      <c r="D1136" s="249"/>
      <c r="E1136" s="249"/>
      <c r="F1136" s="249"/>
      <c r="G1136" s="250"/>
      <c r="H1136" s="251"/>
      <c r="I1136" s="252"/>
      <c r="J1136" s="252"/>
      <c r="K1136" s="252"/>
      <c r="L1136" s="251"/>
      <c r="M1136" s="251"/>
      <c r="N1136" s="251"/>
      <c r="O1136" s="251"/>
      <c r="P1136" s="251"/>
      <c r="Q1136" s="251"/>
      <c r="R1136" s="251"/>
      <c r="S1136" s="251"/>
      <c r="T1136" s="251"/>
      <c r="U1136" s="251"/>
      <c r="V1136" s="251"/>
      <c r="W1136" s="251"/>
      <c r="X1136" s="251"/>
      <c r="Y1136" s="251"/>
      <c r="Z1136" s="251"/>
      <c r="AA1136" s="137"/>
      <c r="AB1136" s="137"/>
      <c r="AC1136" s="137"/>
      <c r="AD1136" s="137"/>
      <c r="AE1136" s="137"/>
      <c r="AF1136" s="137"/>
      <c r="AG1136" s="137"/>
    </row>
    <row r="1137" ht="30.0" customHeight="1">
      <c r="A1137" s="248"/>
      <c r="B1137" s="249"/>
      <c r="C1137" s="248"/>
      <c r="D1137" s="249"/>
      <c r="E1137" s="249"/>
      <c r="F1137" s="249"/>
      <c r="G1137" s="250"/>
      <c r="H1137" s="251"/>
      <c r="I1137" s="252"/>
      <c r="J1137" s="252"/>
      <c r="K1137" s="252"/>
      <c r="L1137" s="251"/>
      <c r="M1137" s="251"/>
      <c r="N1137" s="251"/>
      <c r="O1137" s="251"/>
      <c r="P1137" s="251"/>
      <c r="Q1137" s="251"/>
      <c r="R1137" s="251"/>
      <c r="S1137" s="251"/>
      <c r="T1137" s="251"/>
      <c r="U1137" s="251"/>
      <c r="V1137" s="251"/>
      <c r="W1137" s="251"/>
      <c r="X1137" s="251"/>
      <c r="Y1137" s="251"/>
      <c r="Z1137" s="251"/>
      <c r="AA1137" s="137"/>
      <c r="AB1137" s="137"/>
      <c r="AC1137" s="137"/>
      <c r="AD1137" s="137"/>
      <c r="AE1137" s="137"/>
      <c r="AF1137" s="137"/>
      <c r="AG1137" s="137"/>
    </row>
    <row r="1138" ht="30.0" customHeight="1">
      <c r="A1138" s="248"/>
      <c r="B1138" s="249"/>
      <c r="C1138" s="248"/>
      <c r="D1138" s="249"/>
      <c r="E1138" s="249"/>
      <c r="F1138" s="249"/>
      <c r="G1138" s="250"/>
      <c r="H1138" s="251"/>
      <c r="I1138" s="252"/>
      <c r="J1138" s="252"/>
      <c r="K1138" s="252"/>
      <c r="L1138" s="251"/>
      <c r="M1138" s="251"/>
      <c r="N1138" s="251"/>
      <c r="O1138" s="251"/>
      <c r="P1138" s="251"/>
      <c r="Q1138" s="251"/>
      <c r="R1138" s="251"/>
      <c r="S1138" s="251"/>
      <c r="T1138" s="251"/>
      <c r="U1138" s="251"/>
      <c r="V1138" s="251"/>
      <c r="W1138" s="251"/>
      <c r="X1138" s="251"/>
      <c r="Y1138" s="251"/>
      <c r="Z1138" s="251"/>
      <c r="AA1138" s="137"/>
      <c r="AB1138" s="137"/>
      <c r="AC1138" s="137"/>
      <c r="AD1138" s="137"/>
      <c r="AE1138" s="137"/>
      <c r="AF1138" s="137"/>
      <c r="AG1138" s="137"/>
    </row>
    <row r="1139" ht="30.0" customHeight="1">
      <c r="A1139" s="248"/>
      <c r="B1139" s="249"/>
      <c r="C1139" s="248"/>
      <c r="D1139" s="249"/>
      <c r="E1139" s="249"/>
      <c r="F1139" s="249"/>
      <c r="G1139" s="249"/>
      <c r="H1139" s="251"/>
      <c r="I1139" s="252"/>
      <c r="J1139" s="252"/>
      <c r="K1139" s="252"/>
      <c r="L1139" s="251"/>
      <c r="M1139" s="251"/>
      <c r="N1139" s="251"/>
      <c r="O1139" s="251"/>
      <c r="P1139" s="251"/>
      <c r="Q1139" s="251"/>
      <c r="R1139" s="251"/>
      <c r="S1139" s="251"/>
      <c r="T1139" s="251"/>
      <c r="U1139" s="251"/>
      <c r="V1139" s="251"/>
      <c r="W1139" s="251"/>
      <c r="X1139" s="251"/>
      <c r="Y1139" s="251"/>
      <c r="Z1139" s="251"/>
      <c r="AA1139" s="137"/>
      <c r="AB1139" s="137"/>
      <c r="AC1139" s="137"/>
      <c r="AD1139" s="137"/>
      <c r="AE1139" s="137"/>
      <c r="AF1139" s="137"/>
      <c r="AG1139" s="137"/>
    </row>
    <row r="1140" ht="30.0" customHeight="1">
      <c r="A1140" s="248"/>
      <c r="B1140" s="249"/>
      <c r="C1140" s="248"/>
      <c r="D1140" s="249"/>
      <c r="E1140" s="249"/>
      <c r="F1140" s="249"/>
      <c r="G1140" s="249"/>
      <c r="H1140" s="251"/>
      <c r="I1140" s="252"/>
      <c r="J1140" s="252"/>
      <c r="K1140" s="252"/>
      <c r="L1140" s="251"/>
      <c r="M1140" s="251"/>
      <c r="N1140" s="251"/>
      <c r="O1140" s="251"/>
      <c r="P1140" s="251"/>
      <c r="Q1140" s="251"/>
      <c r="R1140" s="251"/>
      <c r="S1140" s="251"/>
      <c r="T1140" s="251"/>
      <c r="U1140" s="251"/>
      <c r="V1140" s="251"/>
      <c r="W1140" s="251"/>
      <c r="X1140" s="251"/>
      <c r="Y1140" s="251"/>
      <c r="Z1140" s="251"/>
      <c r="AA1140" s="137"/>
      <c r="AB1140" s="137"/>
      <c r="AC1140" s="137"/>
      <c r="AD1140" s="137"/>
      <c r="AE1140" s="137"/>
      <c r="AF1140" s="137"/>
      <c r="AG1140" s="137"/>
    </row>
    <row r="1141" ht="30.0" customHeight="1">
      <c r="A1141" s="248"/>
      <c r="B1141" s="249"/>
      <c r="C1141" s="248"/>
      <c r="D1141" s="249"/>
      <c r="E1141" s="249"/>
      <c r="F1141" s="249"/>
      <c r="G1141" s="250"/>
      <c r="H1141" s="251"/>
      <c r="I1141" s="252"/>
      <c r="J1141" s="252"/>
      <c r="K1141" s="252"/>
      <c r="L1141" s="251"/>
      <c r="M1141" s="251"/>
      <c r="N1141" s="251"/>
      <c r="O1141" s="251"/>
      <c r="P1141" s="251"/>
      <c r="Q1141" s="251"/>
      <c r="R1141" s="251"/>
      <c r="S1141" s="251"/>
      <c r="T1141" s="251"/>
      <c r="U1141" s="251"/>
      <c r="V1141" s="251"/>
      <c r="W1141" s="251"/>
      <c r="X1141" s="251"/>
      <c r="Y1141" s="251"/>
      <c r="Z1141" s="251"/>
      <c r="AA1141" s="137"/>
      <c r="AB1141" s="137"/>
      <c r="AC1141" s="137"/>
      <c r="AD1141" s="137"/>
      <c r="AE1141" s="137"/>
      <c r="AF1141" s="137"/>
      <c r="AG1141" s="137"/>
    </row>
    <row r="1142" ht="30.0" customHeight="1">
      <c r="A1142" s="248"/>
      <c r="B1142" s="249"/>
      <c r="C1142" s="248"/>
      <c r="D1142" s="249"/>
      <c r="E1142" s="249"/>
      <c r="F1142" s="249"/>
      <c r="G1142" s="250"/>
      <c r="H1142" s="251"/>
      <c r="I1142" s="252"/>
      <c r="J1142" s="252"/>
      <c r="K1142" s="252"/>
      <c r="L1142" s="251"/>
      <c r="M1142" s="251"/>
      <c r="N1142" s="251"/>
      <c r="O1142" s="251"/>
      <c r="P1142" s="251"/>
      <c r="Q1142" s="251"/>
      <c r="R1142" s="251"/>
      <c r="S1142" s="251"/>
      <c r="T1142" s="251"/>
      <c r="U1142" s="251"/>
      <c r="V1142" s="251"/>
      <c r="W1142" s="251"/>
      <c r="X1142" s="251"/>
      <c r="Y1142" s="251"/>
      <c r="Z1142" s="251"/>
      <c r="AA1142" s="137"/>
      <c r="AB1142" s="137"/>
      <c r="AC1142" s="137"/>
      <c r="AD1142" s="137"/>
      <c r="AE1142" s="137"/>
      <c r="AF1142" s="137"/>
      <c r="AG1142" s="137"/>
    </row>
    <row r="1143" ht="30.0" customHeight="1">
      <c r="A1143" s="248"/>
      <c r="B1143" s="249"/>
      <c r="C1143" s="248"/>
      <c r="D1143" s="249"/>
      <c r="E1143" s="249"/>
      <c r="F1143" s="249"/>
      <c r="G1143" s="250"/>
      <c r="H1143" s="251"/>
      <c r="I1143" s="252"/>
      <c r="J1143" s="252"/>
      <c r="K1143" s="252"/>
      <c r="L1143" s="251"/>
      <c r="M1143" s="251"/>
      <c r="N1143" s="251"/>
      <c r="O1143" s="251"/>
      <c r="P1143" s="251"/>
      <c r="Q1143" s="251"/>
      <c r="R1143" s="251"/>
      <c r="S1143" s="251"/>
      <c r="T1143" s="251"/>
      <c r="U1143" s="251"/>
      <c r="V1143" s="251"/>
      <c r="W1143" s="251"/>
      <c r="X1143" s="251"/>
      <c r="Y1143" s="251"/>
      <c r="Z1143" s="251"/>
      <c r="AA1143" s="137"/>
      <c r="AB1143" s="137"/>
      <c r="AC1143" s="137"/>
      <c r="AD1143" s="137"/>
      <c r="AE1143" s="137"/>
      <c r="AF1143" s="137"/>
      <c r="AG1143" s="137"/>
    </row>
    <row r="1144" ht="30.0" customHeight="1">
      <c r="A1144" s="248"/>
      <c r="B1144" s="249"/>
      <c r="C1144" s="248"/>
      <c r="D1144" s="249"/>
      <c r="E1144" s="249"/>
      <c r="F1144" s="249"/>
      <c r="G1144" s="250"/>
      <c r="H1144" s="251"/>
      <c r="I1144" s="252"/>
      <c r="J1144" s="252"/>
      <c r="K1144" s="252"/>
      <c r="L1144" s="251"/>
      <c r="M1144" s="251"/>
      <c r="N1144" s="251"/>
      <c r="O1144" s="251"/>
      <c r="P1144" s="251"/>
      <c r="Q1144" s="251"/>
      <c r="R1144" s="251"/>
      <c r="S1144" s="251"/>
      <c r="T1144" s="251"/>
      <c r="U1144" s="251"/>
      <c r="V1144" s="251"/>
      <c r="W1144" s="251"/>
      <c r="X1144" s="251"/>
      <c r="Y1144" s="251"/>
      <c r="Z1144" s="251"/>
      <c r="AA1144" s="137"/>
      <c r="AB1144" s="137"/>
      <c r="AC1144" s="137"/>
      <c r="AD1144" s="137"/>
      <c r="AE1144" s="137"/>
      <c r="AF1144" s="137"/>
      <c r="AG1144" s="137"/>
    </row>
    <row r="1145" ht="30.0" customHeight="1">
      <c r="A1145" s="248"/>
      <c r="B1145" s="249"/>
      <c r="C1145" s="248"/>
      <c r="D1145" s="249"/>
      <c r="E1145" s="249"/>
      <c r="F1145" s="249"/>
      <c r="G1145" s="250"/>
      <c r="H1145" s="251"/>
      <c r="I1145" s="252"/>
      <c r="J1145" s="252"/>
      <c r="K1145" s="252"/>
      <c r="L1145" s="251"/>
      <c r="M1145" s="251"/>
      <c r="N1145" s="251"/>
      <c r="O1145" s="251"/>
      <c r="P1145" s="251"/>
      <c r="Q1145" s="251"/>
      <c r="R1145" s="251"/>
      <c r="S1145" s="251"/>
      <c r="T1145" s="251"/>
      <c r="U1145" s="251"/>
      <c r="V1145" s="251"/>
      <c r="W1145" s="251"/>
      <c r="X1145" s="251"/>
      <c r="Y1145" s="251"/>
      <c r="Z1145" s="251"/>
      <c r="AA1145" s="137"/>
      <c r="AB1145" s="137"/>
      <c r="AC1145" s="137"/>
      <c r="AD1145" s="137"/>
      <c r="AE1145" s="137"/>
      <c r="AF1145" s="137"/>
      <c r="AG1145" s="137"/>
    </row>
    <row r="1146" ht="30.0" customHeight="1">
      <c r="A1146" s="248"/>
      <c r="B1146" s="249"/>
      <c r="C1146" s="248"/>
      <c r="D1146" s="249"/>
      <c r="E1146" s="249"/>
      <c r="F1146" s="249"/>
      <c r="G1146" s="250"/>
      <c r="H1146" s="251"/>
      <c r="I1146" s="252"/>
      <c r="J1146" s="252"/>
      <c r="K1146" s="252"/>
      <c r="L1146" s="251"/>
      <c r="M1146" s="251"/>
      <c r="N1146" s="251"/>
      <c r="O1146" s="251"/>
      <c r="P1146" s="251"/>
      <c r="Q1146" s="251"/>
      <c r="R1146" s="251"/>
      <c r="S1146" s="251"/>
      <c r="T1146" s="251"/>
      <c r="U1146" s="251"/>
      <c r="V1146" s="251"/>
      <c r="W1146" s="251"/>
      <c r="X1146" s="251"/>
      <c r="Y1146" s="251"/>
      <c r="Z1146" s="251"/>
      <c r="AA1146" s="137"/>
      <c r="AB1146" s="137"/>
      <c r="AC1146" s="137"/>
      <c r="AD1146" s="137"/>
      <c r="AE1146" s="137"/>
      <c r="AF1146" s="137"/>
      <c r="AG1146" s="137"/>
    </row>
    <row r="1147" ht="30.0" customHeight="1">
      <c r="A1147" s="248"/>
      <c r="B1147" s="249"/>
      <c r="C1147" s="248"/>
      <c r="D1147" s="249"/>
      <c r="E1147" s="249"/>
      <c r="F1147" s="249"/>
      <c r="G1147" s="250"/>
      <c r="H1147" s="251"/>
      <c r="I1147" s="252"/>
      <c r="J1147" s="252"/>
      <c r="K1147" s="252"/>
      <c r="L1147" s="251"/>
      <c r="M1147" s="251"/>
      <c r="N1147" s="251"/>
      <c r="O1147" s="251"/>
      <c r="P1147" s="251"/>
      <c r="Q1147" s="251"/>
      <c r="R1147" s="251"/>
      <c r="S1147" s="251"/>
      <c r="T1147" s="251"/>
      <c r="U1147" s="251"/>
      <c r="V1147" s="251"/>
      <c r="W1147" s="251"/>
      <c r="X1147" s="251"/>
      <c r="Y1147" s="251"/>
      <c r="Z1147" s="251"/>
      <c r="AA1147" s="137"/>
      <c r="AB1147" s="137"/>
      <c r="AC1147" s="137"/>
      <c r="AD1147" s="137"/>
      <c r="AE1147" s="137"/>
      <c r="AF1147" s="137"/>
      <c r="AG1147" s="137"/>
    </row>
    <row r="1148" ht="30.0" customHeight="1">
      <c r="A1148" s="248"/>
      <c r="B1148" s="249"/>
      <c r="C1148" s="248"/>
      <c r="D1148" s="249"/>
      <c r="E1148" s="249"/>
      <c r="F1148" s="249"/>
      <c r="G1148" s="250"/>
      <c r="H1148" s="251"/>
      <c r="I1148" s="252"/>
      <c r="J1148" s="252"/>
      <c r="K1148" s="252"/>
      <c r="L1148" s="251"/>
      <c r="M1148" s="251"/>
      <c r="N1148" s="251"/>
      <c r="O1148" s="251"/>
      <c r="P1148" s="251"/>
      <c r="Q1148" s="251"/>
      <c r="R1148" s="251"/>
      <c r="S1148" s="251"/>
      <c r="T1148" s="251"/>
      <c r="U1148" s="251"/>
      <c r="V1148" s="251"/>
      <c r="W1148" s="251"/>
      <c r="X1148" s="251"/>
      <c r="Y1148" s="251"/>
      <c r="Z1148" s="251"/>
      <c r="AA1148" s="137"/>
      <c r="AB1148" s="137"/>
      <c r="AC1148" s="137"/>
      <c r="AD1148" s="137"/>
      <c r="AE1148" s="137"/>
      <c r="AF1148" s="137"/>
      <c r="AG1148" s="137"/>
    </row>
    <row r="1149" ht="30.0" customHeight="1">
      <c r="A1149" s="248"/>
      <c r="B1149" s="249"/>
      <c r="C1149" s="248"/>
      <c r="D1149" s="249"/>
      <c r="E1149" s="249"/>
      <c r="F1149" s="249"/>
      <c r="G1149" s="250"/>
      <c r="H1149" s="251"/>
      <c r="I1149" s="252"/>
      <c r="J1149" s="252"/>
      <c r="K1149" s="252"/>
      <c r="L1149" s="251"/>
      <c r="M1149" s="251"/>
      <c r="N1149" s="251"/>
      <c r="O1149" s="251"/>
      <c r="P1149" s="251"/>
      <c r="Q1149" s="251"/>
      <c r="R1149" s="251"/>
      <c r="S1149" s="251"/>
      <c r="T1149" s="251"/>
      <c r="U1149" s="251"/>
      <c r="V1149" s="251"/>
      <c r="W1149" s="251"/>
      <c r="X1149" s="251"/>
      <c r="Y1149" s="251"/>
      <c r="Z1149" s="251"/>
      <c r="AA1149" s="137"/>
      <c r="AB1149" s="137"/>
      <c r="AC1149" s="137"/>
      <c r="AD1149" s="137"/>
      <c r="AE1149" s="137"/>
      <c r="AF1149" s="137"/>
      <c r="AG1149" s="137"/>
    </row>
    <row r="1150" ht="30.0" customHeight="1">
      <c r="A1150" s="248"/>
      <c r="B1150" s="249"/>
      <c r="C1150" s="248"/>
      <c r="D1150" s="249"/>
      <c r="E1150" s="249"/>
      <c r="F1150" s="249"/>
      <c r="G1150" s="250"/>
      <c r="H1150" s="251"/>
      <c r="I1150" s="252"/>
      <c r="J1150" s="252"/>
      <c r="K1150" s="252"/>
      <c r="L1150" s="251"/>
      <c r="M1150" s="251"/>
      <c r="N1150" s="251"/>
      <c r="O1150" s="251"/>
      <c r="P1150" s="251"/>
      <c r="Q1150" s="251"/>
      <c r="R1150" s="251"/>
      <c r="S1150" s="251"/>
      <c r="T1150" s="251"/>
      <c r="U1150" s="251"/>
      <c r="V1150" s="251"/>
      <c r="W1150" s="251"/>
      <c r="X1150" s="251"/>
      <c r="Y1150" s="251"/>
      <c r="Z1150" s="251"/>
      <c r="AA1150" s="137"/>
      <c r="AB1150" s="137"/>
      <c r="AC1150" s="137"/>
      <c r="AD1150" s="137"/>
      <c r="AE1150" s="137"/>
      <c r="AF1150" s="137"/>
      <c r="AG1150" s="137"/>
    </row>
    <row r="1151" ht="30.0" customHeight="1">
      <c r="A1151" s="248"/>
      <c r="B1151" s="249"/>
      <c r="C1151" s="248"/>
      <c r="D1151" s="249"/>
      <c r="E1151" s="249"/>
      <c r="F1151" s="249"/>
      <c r="G1151" s="250"/>
      <c r="H1151" s="251"/>
      <c r="I1151" s="252"/>
      <c r="J1151" s="252"/>
      <c r="K1151" s="252"/>
      <c r="L1151" s="251"/>
      <c r="M1151" s="251"/>
      <c r="N1151" s="251"/>
      <c r="O1151" s="251"/>
      <c r="P1151" s="251"/>
      <c r="Q1151" s="251"/>
      <c r="R1151" s="251"/>
      <c r="S1151" s="251"/>
      <c r="T1151" s="251"/>
      <c r="U1151" s="251"/>
      <c r="V1151" s="251"/>
      <c r="W1151" s="251"/>
      <c r="X1151" s="251"/>
      <c r="Y1151" s="251"/>
      <c r="Z1151" s="251"/>
      <c r="AA1151" s="137"/>
      <c r="AB1151" s="137"/>
      <c r="AC1151" s="137"/>
      <c r="AD1151" s="137"/>
      <c r="AE1151" s="137"/>
      <c r="AF1151" s="137"/>
      <c r="AG1151" s="137"/>
    </row>
    <row r="1152" ht="30.0" customHeight="1">
      <c r="A1152" s="248"/>
      <c r="B1152" s="249"/>
      <c r="C1152" s="248"/>
      <c r="D1152" s="249"/>
      <c r="E1152" s="249"/>
      <c r="F1152" s="249"/>
      <c r="G1152" s="249"/>
      <c r="H1152" s="251"/>
      <c r="I1152" s="252"/>
      <c r="J1152" s="252"/>
      <c r="K1152" s="252"/>
      <c r="L1152" s="251"/>
      <c r="M1152" s="251"/>
      <c r="N1152" s="251"/>
      <c r="O1152" s="251"/>
      <c r="P1152" s="251"/>
      <c r="Q1152" s="251"/>
      <c r="R1152" s="251"/>
      <c r="S1152" s="251"/>
      <c r="T1152" s="251"/>
      <c r="U1152" s="251"/>
      <c r="V1152" s="251"/>
      <c r="W1152" s="251"/>
      <c r="X1152" s="251"/>
      <c r="Y1152" s="251"/>
      <c r="Z1152" s="251"/>
      <c r="AA1152" s="137"/>
      <c r="AB1152" s="137"/>
      <c r="AC1152" s="137"/>
      <c r="AD1152" s="137"/>
      <c r="AE1152" s="137"/>
      <c r="AF1152" s="137"/>
      <c r="AG1152" s="137"/>
    </row>
    <row r="1153" ht="30.0" customHeight="1">
      <c r="A1153" s="248"/>
      <c r="B1153" s="249"/>
      <c r="C1153" s="248"/>
      <c r="D1153" s="249"/>
      <c r="E1153" s="249"/>
      <c r="F1153" s="249"/>
      <c r="G1153" s="250"/>
      <c r="H1153" s="251"/>
      <c r="I1153" s="252"/>
      <c r="J1153" s="252"/>
      <c r="K1153" s="252"/>
      <c r="L1153" s="251"/>
      <c r="M1153" s="251"/>
      <c r="N1153" s="251"/>
      <c r="O1153" s="251"/>
      <c r="P1153" s="251"/>
      <c r="Q1153" s="251"/>
      <c r="R1153" s="251"/>
      <c r="S1153" s="251"/>
      <c r="T1153" s="251"/>
      <c r="U1153" s="251"/>
      <c r="V1153" s="251"/>
      <c r="W1153" s="251"/>
      <c r="X1153" s="251"/>
      <c r="Y1153" s="251"/>
      <c r="Z1153" s="251"/>
      <c r="AA1153" s="137"/>
      <c r="AB1153" s="137"/>
      <c r="AC1153" s="137"/>
      <c r="AD1153" s="137"/>
      <c r="AE1153" s="137"/>
      <c r="AF1153" s="137"/>
      <c r="AG1153" s="137"/>
    </row>
    <row r="1154" ht="30.0" customHeight="1">
      <c r="A1154" s="248"/>
      <c r="B1154" s="249"/>
      <c r="C1154" s="248"/>
      <c r="D1154" s="249"/>
      <c r="E1154" s="249"/>
      <c r="F1154" s="249"/>
      <c r="G1154" s="250"/>
      <c r="H1154" s="251"/>
      <c r="I1154" s="252"/>
      <c r="J1154" s="252"/>
      <c r="K1154" s="252"/>
      <c r="L1154" s="251"/>
      <c r="M1154" s="251"/>
      <c r="N1154" s="251"/>
      <c r="O1154" s="251"/>
      <c r="P1154" s="251"/>
      <c r="Q1154" s="251"/>
      <c r="R1154" s="251"/>
      <c r="S1154" s="251"/>
      <c r="T1154" s="251"/>
      <c r="U1154" s="251"/>
      <c r="V1154" s="251"/>
      <c r="W1154" s="251"/>
      <c r="X1154" s="251"/>
      <c r="Y1154" s="251"/>
      <c r="Z1154" s="251"/>
      <c r="AA1154" s="137"/>
      <c r="AB1154" s="137"/>
      <c r="AC1154" s="137"/>
      <c r="AD1154" s="137"/>
      <c r="AE1154" s="137"/>
      <c r="AF1154" s="137"/>
      <c r="AG1154" s="137"/>
    </row>
    <row r="1155" ht="30.0" customHeight="1">
      <c r="A1155" s="248"/>
      <c r="B1155" s="249"/>
      <c r="C1155" s="248"/>
      <c r="D1155" s="249"/>
      <c r="E1155" s="249"/>
      <c r="F1155" s="249"/>
      <c r="G1155" s="250"/>
      <c r="H1155" s="251"/>
      <c r="I1155" s="252"/>
      <c r="J1155" s="252"/>
      <c r="K1155" s="252"/>
      <c r="L1155" s="251"/>
      <c r="M1155" s="251"/>
      <c r="N1155" s="251"/>
      <c r="O1155" s="251"/>
      <c r="P1155" s="251"/>
      <c r="Q1155" s="251"/>
      <c r="R1155" s="251"/>
      <c r="S1155" s="251"/>
      <c r="T1155" s="251"/>
      <c r="U1155" s="251"/>
      <c r="V1155" s="251"/>
      <c r="W1155" s="251"/>
      <c r="X1155" s="251"/>
      <c r="Y1155" s="251"/>
      <c r="Z1155" s="251"/>
      <c r="AA1155" s="137"/>
      <c r="AB1155" s="137"/>
      <c r="AC1155" s="137"/>
      <c r="AD1155" s="137"/>
      <c r="AE1155" s="137"/>
      <c r="AF1155" s="137"/>
      <c r="AG1155" s="137"/>
    </row>
    <row r="1156" ht="30.0" customHeight="1">
      <c r="A1156" s="248"/>
      <c r="B1156" s="249"/>
      <c r="C1156" s="248"/>
      <c r="D1156" s="249"/>
      <c r="E1156" s="249"/>
      <c r="F1156" s="249"/>
      <c r="G1156" s="250"/>
      <c r="H1156" s="251"/>
      <c r="I1156" s="252"/>
      <c r="J1156" s="252"/>
      <c r="K1156" s="252"/>
      <c r="L1156" s="251"/>
      <c r="M1156" s="251"/>
      <c r="N1156" s="251"/>
      <c r="O1156" s="251"/>
      <c r="P1156" s="251"/>
      <c r="Q1156" s="251"/>
      <c r="R1156" s="251"/>
      <c r="S1156" s="251"/>
      <c r="T1156" s="251"/>
      <c r="U1156" s="251"/>
      <c r="V1156" s="251"/>
      <c r="W1156" s="251"/>
      <c r="X1156" s="251"/>
      <c r="Y1156" s="251"/>
      <c r="Z1156" s="251"/>
      <c r="AA1156" s="137"/>
      <c r="AB1156" s="137"/>
      <c r="AC1156" s="137"/>
      <c r="AD1156" s="137"/>
      <c r="AE1156" s="137"/>
      <c r="AF1156" s="137"/>
      <c r="AG1156" s="137"/>
    </row>
    <row r="1157" ht="30.0" customHeight="1">
      <c r="A1157" s="248"/>
      <c r="B1157" s="249"/>
      <c r="C1157" s="248"/>
      <c r="D1157" s="249"/>
      <c r="E1157" s="249"/>
      <c r="F1157" s="249"/>
      <c r="G1157" s="250"/>
      <c r="H1157" s="251"/>
      <c r="I1157" s="252"/>
      <c r="J1157" s="252"/>
      <c r="K1157" s="252"/>
      <c r="L1157" s="251"/>
      <c r="M1157" s="251"/>
      <c r="N1157" s="251"/>
      <c r="O1157" s="251"/>
      <c r="P1157" s="251"/>
      <c r="Q1157" s="251"/>
      <c r="R1157" s="251"/>
      <c r="S1157" s="251"/>
      <c r="T1157" s="251"/>
      <c r="U1157" s="251"/>
      <c r="V1157" s="251"/>
      <c r="W1157" s="251"/>
      <c r="X1157" s="251"/>
      <c r="Y1157" s="251"/>
      <c r="Z1157" s="251"/>
      <c r="AA1157" s="137"/>
      <c r="AB1157" s="137"/>
      <c r="AC1157" s="137"/>
      <c r="AD1157" s="137"/>
      <c r="AE1157" s="137"/>
      <c r="AF1157" s="137"/>
      <c r="AG1157" s="137"/>
    </row>
    <row r="1158" ht="30.0" customHeight="1">
      <c r="A1158" s="248"/>
      <c r="B1158" s="249"/>
      <c r="C1158" s="248"/>
      <c r="D1158" s="249"/>
      <c r="E1158" s="249"/>
      <c r="F1158" s="249"/>
      <c r="G1158" s="250"/>
      <c r="H1158" s="251"/>
      <c r="I1158" s="252"/>
      <c r="J1158" s="252"/>
      <c r="K1158" s="252"/>
      <c r="L1158" s="251"/>
      <c r="M1158" s="251"/>
      <c r="N1158" s="251"/>
      <c r="O1158" s="251"/>
      <c r="P1158" s="251"/>
      <c r="Q1158" s="251"/>
      <c r="R1158" s="251"/>
      <c r="S1158" s="251"/>
      <c r="T1158" s="251"/>
      <c r="U1158" s="251"/>
      <c r="V1158" s="251"/>
      <c r="W1158" s="251"/>
      <c r="X1158" s="251"/>
      <c r="Y1158" s="251"/>
      <c r="Z1158" s="251"/>
      <c r="AA1158" s="137"/>
      <c r="AB1158" s="137"/>
      <c r="AC1158" s="137"/>
      <c r="AD1158" s="137"/>
      <c r="AE1158" s="137"/>
      <c r="AF1158" s="137"/>
      <c r="AG1158" s="137"/>
    </row>
    <row r="1159" ht="30.0" customHeight="1">
      <c r="A1159" s="248"/>
      <c r="B1159" s="249"/>
      <c r="C1159" s="248"/>
      <c r="D1159" s="249"/>
      <c r="E1159" s="249"/>
      <c r="F1159" s="249"/>
      <c r="G1159" s="250"/>
      <c r="H1159" s="251"/>
      <c r="I1159" s="252"/>
      <c r="J1159" s="252"/>
      <c r="K1159" s="252"/>
      <c r="L1159" s="251"/>
      <c r="M1159" s="251"/>
      <c r="N1159" s="251"/>
      <c r="O1159" s="251"/>
      <c r="P1159" s="251"/>
      <c r="Q1159" s="251"/>
      <c r="R1159" s="251"/>
      <c r="S1159" s="251"/>
      <c r="T1159" s="251"/>
      <c r="U1159" s="251"/>
      <c r="V1159" s="251"/>
      <c r="W1159" s="251"/>
      <c r="X1159" s="251"/>
      <c r="Y1159" s="251"/>
      <c r="Z1159" s="251"/>
      <c r="AA1159" s="137"/>
      <c r="AB1159" s="137"/>
      <c r="AC1159" s="137"/>
      <c r="AD1159" s="137"/>
      <c r="AE1159" s="137"/>
      <c r="AF1159" s="137"/>
      <c r="AG1159" s="137"/>
    </row>
    <row r="1160" ht="30.0" customHeight="1">
      <c r="A1160" s="248"/>
      <c r="B1160" s="249"/>
      <c r="C1160" s="248"/>
      <c r="D1160" s="249"/>
      <c r="E1160" s="249"/>
      <c r="F1160" s="249"/>
      <c r="G1160" s="250"/>
      <c r="H1160" s="251"/>
      <c r="I1160" s="252"/>
      <c r="J1160" s="252"/>
      <c r="K1160" s="252"/>
      <c r="L1160" s="251"/>
      <c r="M1160" s="251"/>
      <c r="N1160" s="251"/>
      <c r="O1160" s="251"/>
      <c r="P1160" s="251"/>
      <c r="Q1160" s="251"/>
      <c r="R1160" s="251"/>
      <c r="S1160" s="251"/>
      <c r="T1160" s="251"/>
      <c r="U1160" s="251"/>
      <c r="V1160" s="251"/>
      <c r="W1160" s="251"/>
      <c r="X1160" s="251"/>
      <c r="Y1160" s="251"/>
      <c r="Z1160" s="251"/>
      <c r="AA1160" s="137"/>
      <c r="AB1160" s="137"/>
      <c r="AC1160" s="137"/>
      <c r="AD1160" s="137"/>
      <c r="AE1160" s="137"/>
      <c r="AF1160" s="137"/>
      <c r="AG1160" s="137"/>
    </row>
    <row r="1161" ht="30.0" customHeight="1">
      <c r="A1161" s="248"/>
      <c r="B1161" s="249"/>
      <c r="C1161" s="248"/>
      <c r="D1161" s="249"/>
      <c r="E1161" s="249"/>
      <c r="F1161" s="249"/>
      <c r="G1161" s="250"/>
      <c r="H1161" s="251"/>
      <c r="I1161" s="252"/>
      <c r="J1161" s="252"/>
      <c r="K1161" s="252"/>
      <c r="L1161" s="251"/>
      <c r="M1161" s="251"/>
      <c r="N1161" s="251"/>
      <c r="O1161" s="251"/>
      <c r="P1161" s="251"/>
      <c r="Q1161" s="251"/>
      <c r="R1161" s="251"/>
      <c r="S1161" s="251"/>
      <c r="T1161" s="251"/>
      <c r="U1161" s="251"/>
      <c r="V1161" s="251"/>
      <c r="W1161" s="251"/>
      <c r="X1161" s="251"/>
      <c r="Y1161" s="251"/>
      <c r="Z1161" s="251"/>
      <c r="AA1161" s="137"/>
      <c r="AB1161" s="137"/>
      <c r="AC1161" s="137"/>
      <c r="AD1161" s="137"/>
      <c r="AE1161" s="137"/>
      <c r="AF1161" s="137"/>
      <c r="AG1161" s="137"/>
    </row>
    <row r="1162" ht="30.0" customHeight="1">
      <c r="A1162" s="248"/>
      <c r="B1162" s="249"/>
      <c r="C1162" s="248"/>
      <c r="D1162" s="249"/>
      <c r="E1162" s="249"/>
      <c r="F1162" s="249"/>
      <c r="G1162" s="250"/>
      <c r="H1162" s="251"/>
      <c r="I1162" s="252"/>
      <c r="J1162" s="252"/>
      <c r="K1162" s="252"/>
      <c r="L1162" s="251"/>
      <c r="M1162" s="251"/>
      <c r="N1162" s="251"/>
      <c r="O1162" s="251"/>
      <c r="P1162" s="251"/>
      <c r="Q1162" s="251"/>
      <c r="R1162" s="251"/>
      <c r="S1162" s="251"/>
      <c r="T1162" s="251"/>
      <c r="U1162" s="251"/>
      <c r="V1162" s="251"/>
      <c r="W1162" s="251"/>
      <c r="X1162" s="251"/>
      <c r="Y1162" s="251"/>
      <c r="Z1162" s="251"/>
      <c r="AA1162" s="137"/>
      <c r="AB1162" s="137"/>
      <c r="AC1162" s="137"/>
      <c r="AD1162" s="137"/>
      <c r="AE1162" s="137"/>
      <c r="AF1162" s="137"/>
      <c r="AG1162" s="137"/>
    </row>
    <row r="1163" ht="30.0" customHeight="1">
      <c r="A1163" s="248"/>
      <c r="B1163" s="249"/>
      <c r="C1163" s="248"/>
      <c r="D1163" s="249"/>
      <c r="E1163" s="249"/>
      <c r="F1163" s="249"/>
      <c r="G1163" s="250"/>
      <c r="H1163" s="251"/>
      <c r="I1163" s="252"/>
      <c r="J1163" s="252"/>
      <c r="K1163" s="252"/>
      <c r="L1163" s="251"/>
      <c r="M1163" s="251"/>
      <c r="N1163" s="251"/>
      <c r="O1163" s="251"/>
      <c r="P1163" s="251"/>
      <c r="Q1163" s="251"/>
      <c r="R1163" s="251"/>
      <c r="S1163" s="251"/>
      <c r="T1163" s="251"/>
      <c r="U1163" s="251"/>
      <c r="V1163" s="251"/>
      <c r="W1163" s="251"/>
      <c r="X1163" s="251"/>
      <c r="Y1163" s="251"/>
      <c r="Z1163" s="251"/>
      <c r="AA1163" s="137"/>
      <c r="AB1163" s="137"/>
      <c r="AC1163" s="137"/>
      <c r="AD1163" s="137"/>
      <c r="AE1163" s="137"/>
      <c r="AF1163" s="137"/>
      <c r="AG1163" s="137"/>
    </row>
    <row r="1164" ht="30.0" customHeight="1">
      <c r="A1164" s="248"/>
      <c r="B1164" s="249"/>
      <c r="C1164" s="248"/>
      <c r="D1164" s="249"/>
      <c r="E1164" s="249"/>
      <c r="F1164" s="249"/>
      <c r="G1164" s="250"/>
      <c r="H1164" s="251"/>
      <c r="I1164" s="252"/>
      <c r="J1164" s="252"/>
      <c r="K1164" s="252"/>
      <c r="L1164" s="251"/>
      <c r="M1164" s="251"/>
      <c r="N1164" s="251"/>
      <c r="O1164" s="251"/>
      <c r="P1164" s="251"/>
      <c r="Q1164" s="251"/>
      <c r="R1164" s="251"/>
      <c r="S1164" s="251"/>
      <c r="T1164" s="251"/>
      <c r="U1164" s="251"/>
      <c r="V1164" s="251"/>
      <c r="W1164" s="251"/>
      <c r="X1164" s="251"/>
      <c r="Y1164" s="251"/>
      <c r="Z1164" s="251"/>
      <c r="AA1164" s="137"/>
      <c r="AB1164" s="137"/>
      <c r="AC1164" s="137"/>
      <c r="AD1164" s="137"/>
      <c r="AE1164" s="137"/>
      <c r="AF1164" s="137"/>
      <c r="AG1164" s="137"/>
    </row>
    <row r="1165" ht="30.0" customHeight="1">
      <c r="A1165" s="248"/>
      <c r="B1165" s="249"/>
      <c r="C1165" s="248"/>
      <c r="D1165" s="249"/>
      <c r="E1165" s="249"/>
      <c r="F1165" s="249"/>
      <c r="G1165" s="250"/>
      <c r="H1165" s="251"/>
      <c r="I1165" s="252"/>
      <c r="J1165" s="252"/>
      <c r="K1165" s="252"/>
      <c r="L1165" s="251"/>
      <c r="M1165" s="251"/>
      <c r="N1165" s="251"/>
      <c r="O1165" s="251"/>
      <c r="P1165" s="251"/>
      <c r="Q1165" s="251"/>
      <c r="R1165" s="251"/>
      <c r="S1165" s="251"/>
      <c r="T1165" s="251"/>
      <c r="U1165" s="251"/>
      <c r="V1165" s="251"/>
      <c r="W1165" s="251"/>
      <c r="X1165" s="251"/>
      <c r="Y1165" s="251"/>
      <c r="Z1165" s="251"/>
      <c r="AA1165" s="137"/>
      <c r="AB1165" s="137"/>
      <c r="AC1165" s="137"/>
      <c r="AD1165" s="137"/>
      <c r="AE1165" s="137"/>
      <c r="AF1165" s="137"/>
      <c r="AG1165" s="137"/>
    </row>
    <row r="1166" ht="30.0" customHeight="1">
      <c r="A1166" s="248"/>
      <c r="B1166" s="249"/>
      <c r="C1166" s="248"/>
      <c r="D1166" s="249"/>
      <c r="E1166" s="249"/>
      <c r="F1166" s="249"/>
      <c r="G1166" s="250"/>
      <c r="H1166" s="251"/>
      <c r="I1166" s="252"/>
      <c r="J1166" s="252"/>
      <c r="K1166" s="252"/>
      <c r="L1166" s="251"/>
      <c r="M1166" s="251"/>
      <c r="N1166" s="251"/>
      <c r="O1166" s="251"/>
      <c r="P1166" s="251"/>
      <c r="Q1166" s="251"/>
      <c r="R1166" s="251"/>
      <c r="S1166" s="251"/>
      <c r="T1166" s="251"/>
      <c r="U1166" s="251"/>
      <c r="V1166" s="251"/>
      <c r="W1166" s="251"/>
      <c r="X1166" s="251"/>
      <c r="Y1166" s="251"/>
      <c r="Z1166" s="251"/>
      <c r="AA1166" s="137"/>
      <c r="AB1166" s="137"/>
      <c r="AC1166" s="137"/>
      <c r="AD1166" s="137"/>
      <c r="AE1166" s="137"/>
      <c r="AF1166" s="137"/>
      <c r="AG1166" s="137"/>
    </row>
    <row r="1167" ht="30.0" customHeight="1">
      <c r="A1167" s="248"/>
      <c r="B1167" s="249"/>
      <c r="C1167" s="248"/>
      <c r="D1167" s="249"/>
      <c r="E1167" s="249"/>
      <c r="F1167" s="249"/>
      <c r="G1167" s="250"/>
      <c r="H1167" s="251"/>
      <c r="I1167" s="252"/>
      <c r="J1167" s="252"/>
      <c r="K1167" s="252"/>
      <c r="L1167" s="251"/>
      <c r="M1167" s="251"/>
      <c r="N1167" s="251"/>
      <c r="O1167" s="251"/>
      <c r="P1167" s="251"/>
      <c r="Q1167" s="251"/>
      <c r="R1167" s="251"/>
      <c r="S1167" s="251"/>
      <c r="T1167" s="251"/>
      <c r="U1167" s="251"/>
      <c r="V1167" s="251"/>
      <c r="W1167" s="251"/>
      <c r="X1167" s="251"/>
      <c r="Y1167" s="251"/>
      <c r="Z1167" s="251"/>
      <c r="AA1167" s="137"/>
      <c r="AB1167" s="137"/>
      <c r="AC1167" s="137"/>
      <c r="AD1167" s="137"/>
      <c r="AE1167" s="137"/>
      <c r="AF1167" s="137"/>
      <c r="AG1167" s="137"/>
    </row>
    <row r="1168" ht="30.0" customHeight="1">
      <c r="A1168" s="248"/>
      <c r="B1168" s="249"/>
      <c r="C1168" s="248"/>
      <c r="D1168" s="249"/>
      <c r="E1168" s="249"/>
      <c r="F1168" s="249"/>
      <c r="G1168" s="250"/>
      <c r="H1168" s="251"/>
      <c r="I1168" s="252"/>
      <c r="J1168" s="252"/>
      <c r="K1168" s="252"/>
      <c r="L1168" s="251"/>
      <c r="M1168" s="251"/>
      <c r="N1168" s="251"/>
      <c r="O1168" s="251"/>
      <c r="P1168" s="251"/>
      <c r="Q1168" s="251"/>
      <c r="R1168" s="251"/>
      <c r="S1168" s="251"/>
      <c r="T1168" s="251"/>
      <c r="U1168" s="251"/>
      <c r="V1168" s="251"/>
      <c r="W1168" s="251"/>
      <c r="X1168" s="251"/>
      <c r="Y1168" s="251"/>
      <c r="Z1168" s="251"/>
      <c r="AA1168" s="137"/>
      <c r="AB1168" s="137"/>
      <c r="AC1168" s="137"/>
      <c r="AD1168" s="137"/>
      <c r="AE1168" s="137"/>
      <c r="AF1168" s="137"/>
      <c r="AG1168" s="137"/>
    </row>
    <row r="1169" ht="30.0" customHeight="1">
      <c r="A1169" s="248"/>
      <c r="B1169" s="249"/>
      <c r="C1169" s="248"/>
      <c r="D1169" s="249"/>
      <c r="E1169" s="249"/>
      <c r="F1169" s="249"/>
      <c r="G1169" s="250"/>
      <c r="H1169" s="251"/>
      <c r="I1169" s="252"/>
      <c r="J1169" s="252"/>
      <c r="K1169" s="252"/>
      <c r="L1169" s="251"/>
      <c r="M1169" s="251"/>
      <c r="N1169" s="251"/>
      <c r="O1169" s="251"/>
      <c r="P1169" s="251"/>
      <c r="Q1169" s="251"/>
      <c r="R1169" s="251"/>
      <c r="S1169" s="251"/>
      <c r="T1169" s="251"/>
      <c r="U1169" s="251"/>
      <c r="V1169" s="251"/>
      <c r="W1169" s="251"/>
      <c r="X1169" s="251"/>
      <c r="Y1169" s="251"/>
      <c r="Z1169" s="251"/>
      <c r="AA1169" s="137"/>
      <c r="AB1169" s="137"/>
      <c r="AC1169" s="137"/>
      <c r="AD1169" s="137"/>
      <c r="AE1169" s="137"/>
      <c r="AF1169" s="137"/>
      <c r="AG1169" s="137"/>
    </row>
    <row r="1170" ht="30.0" customHeight="1">
      <c r="A1170" s="248"/>
      <c r="B1170" s="249"/>
      <c r="C1170" s="248"/>
      <c r="D1170" s="249"/>
      <c r="E1170" s="249"/>
      <c r="F1170" s="249"/>
      <c r="G1170" s="250"/>
      <c r="H1170" s="251"/>
      <c r="I1170" s="252"/>
      <c r="J1170" s="252"/>
      <c r="K1170" s="252"/>
      <c r="L1170" s="251"/>
      <c r="M1170" s="251"/>
      <c r="N1170" s="251"/>
      <c r="O1170" s="251"/>
      <c r="P1170" s="251"/>
      <c r="Q1170" s="251"/>
      <c r="R1170" s="251"/>
      <c r="S1170" s="251"/>
      <c r="T1170" s="251"/>
      <c r="U1170" s="251"/>
      <c r="V1170" s="251"/>
      <c r="W1170" s="251"/>
      <c r="X1170" s="251"/>
      <c r="Y1170" s="251"/>
      <c r="Z1170" s="251"/>
      <c r="AA1170" s="137"/>
      <c r="AB1170" s="137"/>
      <c r="AC1170" s="137"/>
      <c r="AD1170" s="137"/>
      <c r="AE1170" s="137"/>
      <c r="AF1170" s="137"/>
      <c r="AG1170" s="137"/>
    </row>
    <row r="1171" ht="30.0" customHeight="1">
      <c r="A1171" s="248"/>
      <c r="B1171" s="249"/>
      <c r="C1171" s="248"/>
      <c r="D1171" s="249"/>
      <c r="E1171" s="249"/>
      <c r="F1171" s="249"/>
      <c r="G1171" s="250"/>
      <c r="H1171" s="251"/>
      <c r="I1171" s="252"/>
      <c r="J1171" s="252"/>
      <c r="K1171" s="252"/>
      <c r="L1171" s="251"/>
      <c r="M1171" s="251"/>
      <c r="N1171" s="251"/>
      <c r="O1171" s="251"/>
      <c r="P1171" s="251"/>
      <c r="Q1171" s="251"/>
      <c r="R1171" s="251"/>
      <c r="S1171" s="251"/>
      <c r="T1171" s="251"/>
      <c r="U1171" s="251"/>
      <c r="V1171" s="251"/>
      <c r="W1171" s="251"/>
      <c r="X1171" s="251"/>
      <c r="Y1171" s="251"/>
      <c r="Z1171" s="251"/>
      <c r="AA1171" s="137"/>
      <c r="AB1171" s="137"/>
      <c r="AC1171" s="137"/>
      <c r="AD1171" s="137"/>
      <c r="AE1171" s="137"/>
      <c r="AF1171" s="137"/>
      <c r="AG1171" s="137"/>
    </row>
    <row r="1172" ht="30.0" customHeight="1">
      <c r="A1172" s="248"/>
      <c r="B1172" s="249"/>
      <c r="C1172" s="248"/>
      <c r="D1172" s="249"/>
      <c r="E1172" s="249"/>
      <c r="F1172" s="249"/>
      <c r="G1172" s="250"/>
      <c r="H1172" s="251"/>
      <c r="I1172" s="252"/>
      <c r="J1172" s="252"/>
      <c r="K1172" s="252"/>
      <c r="L1172" s="251"/>
      <c r="M1172" s="251"/>
      <c r="N1172" s="251"/>
      <c r="O1172" s="251"/>
      <c r="P1172" s="251"/>
      <c r="Q1172" s="251"/>
      <c r="R1172" s="251"/>
      <c r="S1172" s="251"/>
      <c r="T1172" s="251"/>
      <c r="U1172" s="251"/>
      <c r="V1172" s="251"/>
      <c r="W1172" s="251"/>
      <c r="X1172" s="251"/>
      <c r="Y1172" s="251"/>
      <c r="Z1172" s="251"/>
      <c r="AA1172" s="137"/>
      <c r="AB1172" s="137"/>
      <c r="AC1172" s="137"/>
      <c r="AD1172" s="137"/>
      <c r="AE1172" s="137"/>
      <c r="AF1172" s="137"/>
      <c r="AG1172" s="137"/>
    </row>
    <row r="1173" ht="30.0" customHeight="1">
      <c r="A1173" s="248"/>
      <c r="B1173" s="249"/>
      <c r="C1173" s="248"/>
      <c r="D1173" s="249"/>
      <c r="E1173" s="249"/>
      <c r="F1173" s="249"/>
      <c r="G1173" s="249"/>
      <c r="H1173" s="251"/>
      <c r="I1173" s="252"/>
      <c r="J1173" s="252"/>
      <c r="K1173" s="252"/>
      <c r="L1173" s="251"/>
      <c r="M1173" s="251"/>
      <c r="N1173" s="251"/>
      <c r="O1173" s="251"/>
      <c r="P1173" s="251"/>
      <c r="Q1173" s="251"/>
      <c r="R1173" s="251"/>
      <c r="S1173" s="251"/>
      <c r="T1173" s="251"/>
      <c r="U1173" s="251"/>
      <c r="V1173" s="251"/>
      <c r="W1173" s="251"/>
      <c r="X1173" s="251"/>
      <c r="Y1173" s="251"/>
      <c r="Z1173" s="251"/>
      <c r="AA1173" s="137"/>
      <c r="AB1173" s="137"/>
      <c r="AC1173" s="137"/>
      <c r="AD1173" s="137"/>
      <c r="AE1173" s="137"/>
      <c r="AF1173" s="137"/>
      <c r="AG1173" s="137"/>
    </row>
    <row r="1174" ht="30.0" customHeight="1">
      <c r="A1174" s="248"/>
      <c r="B1174" s="249"/>
      <c r="C1174" s="248"/>
      <c r="D1174" s="249"/>
      <c r="E1174" s="249"/>
      <c r="F1174" s="249"/>
      <c r="G1174" s="250"/>
      <c r="H1174" s="251"/>
      <c r="I1174" s="252"/>
      <c r="J1174" s="252"/>
      <c r="K1174" s="252"/>
      <c r="L1174" s="251"/>
      <c r="M1174" s="251"/>
      <c r="N1174" s="251"/>
      <c r="O1174" s="251"/>
      <c r="P1174" s="251"/>
      <c r="Q1174" s="251"/>
      <c r="R1174" s="251"/>
      <c r="S1174" s="251"/>
      <c r="T1174" s="251"/>
      <c r="U1174" s="251"/>
      <c r="V1174" s="251"/>
      <c r="W1174" s="251"/>
      <c r="X1174" s="251"/>
      <c r="Y1174" s="251"/>
      <c r="Z1174" s="251"/>
      <c r="AA1174" s="137"/>
      <c r="AB1174" s="137"/>
      <c r="AC1174" s="137"/>
      <c r="AD1174" s="137"/>
      <c r="AE1174" s="137"/>
      <c r="AF1174" s="137"/>
      <c r="AG1174" s="137"/>
    </row>
    <row r="1175" ht="30.0" customHeight="1">
      <c r="A1175" s="248"/>
      <c r="B1175" s="249"/>
      <c r="C1175" s="248"/>
      <c r="D1175" s="249"/>
      <c r="E1175" s="249"/>
      <c r="F1175" s="249"/>
      <c r="G1175" s="250"/>
      <c r="H1175" s="251"/>
      <c r="I1175" s="252"/>
      <c r="J1175" s="252"/>
      <c r="K1175" s="252"/>
      <c r="L1175" s="251"/>
      <c r="M1175" s="251"/>
      <c r="N1175" s="251"/>
      <c r="O1175" s="251"/>
      <c r="P1175" s="251"/>
      <c r="Q1175" s="251"/>
      <c r="R1175" s="251"/>
      <c r="S1175" s="251"/>
      <c r="T1175" s="251"/>
      <c r="U1175" s="251"/>
      <c r="V1175" s="251"/>
      <c r="W1175" s="251"/>
      <c r="X1175" s="251"/>
      <c r="Y1175" s="251"/>
      <c r="Z1175" s="251"/>
      <c r="AA1175" s="137"/>
      <c r="AB1175" s="137"/>
      <c r="AC1175" s="137"/>
      <c r="AD1175" s="137"/>
      <c r="AE1175" s="137"/>
      <c r="AF1175" s="137"/>
      <c r="AG1175" s="137"/>
    </row>
    <row r="1176" ht="30.0" customHeight="1">
      <c r="A1176" s="248"/>
      <c r="B1176" s="249"/>
      <c r="C1176" s="248"/>
      <c r="D1176" s="249"/>
      <c r="E1176" s="249"/>
      <c r="F1176" s="249"/>
      <c r="G1176" s="250"/>
      <c r="H1176" s="251"/>
      <c r="I1176" s="252"/>
      <c r="J1176" s="252"/>
      <c r="K1176" s="252"/>
      <c r="L1176" s="251"/>
      <c r="M1176" s="251"/>
      <c r="N1176" s="251"/>
      <c r="O1176" s="251"/>
      <c r="P1176" s="251"/>
      <c r="Q1176" s="251"/>
      <c r="R1176" s="251"/>
      <c r="S1176" s="251"/>
      <c r="T1176" s="251"/>
      <c r="U1176" s="251"/>
      <c r="V1176" s="251"/>
      <c r="W1176" s="251"/>
      <c r="X1176" s="251"/>
      <c r="Y1176" s="251"/>
      <c r="Z1176" s="251"/>
      <c r="AA1176" s="137"/>
      <c r="AB1176" s="137"/>
      <c r="AC1176" s="137"/>
      <c r="AD1176" s="137"/>
      <c r="AE1176" s="137"/>
      <c r="AF1176" s="137"/>
      <c r="AG1176" s="137"/>
    </row>
    <row r="1177" ht="30.0" customHeight="1">
      <c r="A1177" s="248"/>
      <c r="B1177" s="249"/>
      <c r="C1177" s="248"/>
      <c r="D1177" s="249"/>
      <c r="E1177" s="249"/>
      <c r="F1177" s="249"/>
      <c r="G1177" s="250"/>
      <c r="H1177" s="251"/>
      <c r="I1177" s="252"/>
      <c r="J1177" s="252"/>
      <c r="K1177" s="252"/>
      <c r="L1177" s="251"/>
      <c r="M1177" s="251"/>
      <c r="N1177" s="251"/>
      <c r="O1177" s="251"/>
      <c r="P1177" s="251"/>
      <c r="Q1177" s="251"/>
      <c r="R1177" s="251"/>
      <c r="S1177" s="251"/>
      <c r="T1177" s="251"/>
      <c r="U1177" s="251"/>
      <c r="V1177" s="251"/>
      <c r="W1177" s="251"/>
      <c r="X1177" s="251"/>
      <c r="Y1177" s="251"/>
      <c r="Z1177" s="251"/>
      <c r="AA1177" s="137"/>
      <c r="AB1177" s="137"/>
      <c r="AC1177" s="137"/>
      <c r="AD1177" s="137"/>
      <c r="AE1177" s="137"/>
      <c r="AF1177" s="137"/>
      <c r="AG1177" s="137"/>
    </row>
    <row r="1178" ht="30.0" customHeight="1">
      <c r="A1178" s="248"/>
      <c r="B1178" s="249"/>
      <c r="C1178" s="248"/>
      <c r="D1178" s="249"/>
      <c r="E1178" s="249"/>
      <c r="F1178" s="249"/>
      <c r="G1178" s="250"/>
      <c r="H1178" s="251"/>
      <c r="I1178" s="252"/>
      <c r="J1178" s="252"/>
      <c r="K1178" s="252"/>
      <c r="L1178" s="251"/>
      <c r="M1178" s="251"/>
      <c r="N1178" s="251"/>
      <c r="O1178" s="251"/>
      <c r="P1178" s="251"/>
      <c r="Q1178" s="251"/>
      <c r="R1178" s="251"/>
      <c r="S1178" s="251"/>
      <c r="T1178" s="251"/>
      <c r="U1178" s="251"/>
      <c r="V1178" s="251"/>
      <c r="W1178" s="251"/>
      <c r="X1178" s="251"/>
      <c r="Y1178" s="251"/>
      <c r="Z1178" s="251"/>
      <c r="AA1178" s="137"/>
      <c r="AB1178" s="137"/>
      <c r="AC1178" s="137"/>
      <c r="AD1178" s="137"/>
      <c r="AE1178" s="137"/>
      <c r="AF1178" s="137"/>
      <c r="AG1178" s="137"/>
    </row>
    <row r="1179" ht="30.0" customHeight="1">
      <c r="A1179" s="248"/>
      <c r="B1179" s="249"/>
      <c r="C1179" s="248"/>
      <c r="D1179" s="249"/>
      <c r="E1179" s="249"/>
      <c r="F1179" s="249"/>
      <c r="G1179" s="250"/>
      <c r="H1179" s="251"/>
      <c r="I1179" s="252"/>
      <c r="J1179" s="252"/>
      <c r="K1179" s="252"/>
      <c r="L1179" s="251"/>
      <c r="M1179" s="251"/>
      <c r="N1179" s="251"/>
      <c r="O1179" s="251"/>
      <c r="P1179" s="251"/>
      <c r="Q1179" s="251"/>
      <c r="R1179" s="251"/>
      <c r="S1179" s="251"/>
      <c r="T1179" s="251"/>
      <c r="U1179" s="251"/>
      <c r="V1179" s="251"/>
      <c r="W1179" s="251"/>
      <c r="X1179" s="251"/>
      <c r="Y1179" s="251"/>
      <c r="Z1179" s="251"/>
      <c r="AA1179" s="137"/>
      <c r="AB1179" s="137"/>
      <c r="AC1179" s="137"/>
      <c r="AD1179" s="137"/>
      <c r="AE1179" s="137"/>
      <c r="AF1179" s="137"/>
      <c r="AG1179" s="137"/>
    </row>
    <row r="1180" ht="30.0" customHeight="1">
      <c r="A1180" s="248"/>
      <c r="B1180" s="249"/>
      <c r="C1180" s="248"/>
      <c r="D1180" s="249"/>
      <c r="E1180" s="249"/>
      <c r="F1180" s="249"/>
      <c r="G1180" s="250"/>
      <c r="H1180" s="251"/>
      <c r="I1180" s="252"/>
      <c r="J1180" s="252"/>
      <c r="K1180" s="252"/>
      <c r="L1180" s="251"/>
      <c r="M1180" s="251"/>
      <c r="N1180" s="251"/>
      <c r="O1180" s="251"/>
      <c r="P1180" s="251"/>
      <c r="Q1180" s="251"/>
      <c r="R1180" s="251"/>
      <c r="S1180" s="251"/>
      <c r="T1180" s="251"/>
      <c r="U1180" s="251"/>
      <c r="V1180" s="251"/>
      <c r="W1180" s="251"/>
      <c r="X1180" s="251"/>
      <c r="Y1180" s="251"/>
      <c r="Z1180" s="251"/>
      <c r="AA1180" s="137"/>
      <c r="AB1180" s="137"/>
      <c r="AC1180" s="137"/>
      <c r="AD1180" s="137"/>
      <c r="AE1180" s="137"/>
      <c r="AF1180" s="137"/>
      <c r="AG1180" s="137"/>
    </row>
    <row r="1181" ht="30.0" customHeight="1">
      <c r="A1181" s="248"/>
      <c r="B1181" s="249"/>
      <c r="C1181" s="248"/>
      <c r="D1181" s="249"/>
      <c r="E1181" s="249"/>
      <c r="F1181" s="249"/>
      <c r="G1181" s="250"/>
      <c r="H1181" s="251"/>
      <c r="I1181" s="252"/>
      <c r="J1181" s="252"/>
      <c r="K1181" s="252"/>
      <c r="L1181" s="251"/>
      <c r="M1181" s="251"/>
      <c r="N1181" s="251"/>
      <c r="O1181" s="251"/>
      <c r="P1181" s="251"/>
      <c r="Q1181" s="251"/>
      <c r="R1181" s="251"/>
      <c r="S1181" s="251"/>
      <c r="T1181" s="251"/>
      <c r="U1181" s="251"/>
      <c r="V1181" s="251"/>
      <c r="W1181" s="251"/>
      <c r="X1181" s="251"/>
      <c r="Y1181" s="251"/>
      <c r="Z1181" s="251"/>
      <c r="AA1181" s="137"/>
      <c r="AB1181" s="137"/>
      <c r="AC1181" s="137"/>
      <c r="AD1181" s="137"/>
      <c r="AE1181" s="137"/>
      <c r="AF1181" s="137"/>
      <c r="AG1181" s="137"/>
    </row>
    <row r="1182" ht="30.0" customHeight="1">
      <c r="A1182" s="248"/>
      <c r="B1182" s="249"/>
      <c r="C1182" s="248"/>
      <c r="D1182" s="249"/>
      <c r="E1182" s="249"/>
      <c r="F1182" s="249"/>
      <c r="G1182" s="250"/>
      <c r="H1182" s="251"/>
      <c r="I1182" s="252"/>
      <c r="J1182" s="252"/>
      <c r="K1182" s="252"/>
      <c r="L1182" s="251"/>
      <c r="M1182" s="251"/>
      <c r="N1182" s="251"/>
      <c r="O1182" s="251"/>
      <c r="P1182" s="251"/>
      <c r="Q1182" s="251"/>
      <c r="R1182" s="251"/>
      <c r="S1182" s="251"/>
      <c r="T1182" s="251"/>
      <c r="U1182" s="251"/>
      <c r="V1182" s="251"/>
      <c r="W1182" s="251"/>
      <c r="X1182" s="251"/>
      <c r="Y1182" s="251"/>
      <c r="Z1182" s="251"/>
      <c r="AA1182" s="137"/>
      <c r="AB1182" s="137"/>
      <c r="AC1182" s="137"/>
      <c r="AD1182" s="137"/>
      <c r="AE1182" s="137"/>
      <c r="AF1182" s="137"/>
      <c r="AG1182" s="137"/>
    </row>
    <row r="1183" ht="30.0" customHeight="1">
      <c r="A1183" s="248"/>
      <c r="B1183" s="249"/>
      <c r="C1183" s="248"/>
      <c r="D1183" s="249"/>
      <c r="E1183" s="249"/>
      <c r="F1183" s="249"/>
      <c r="G1183" s="250"/>
      <c r="H1183" s="251"/>
      <c r="I1183" s="252"/>
      <c r="J1183" s="252"/>
      <c r="K1183" s="252"/>
      <c r="L1183" s="251"/>
      <c r="M1183" s="251"/>
      <c r="N1183" s="251"/>
      <c r="O1183" s="251"/>
      <c r="P1183" s="251"/>
      <c r="Q1183" s="251"/>
      <c r="R1183" s="251"/>
      <c r="S1183" s="251"/>
      <c r="T1183" s="251"/>
      <c r="U1183" s="251"/>
      <c r="V1183" s="251"/>
      <c r="W1183" s="251"/>
      <c r="X1183" s="251"/>
      <c r="Y1183" s="251"/>
      <c r="Z1183" s="251"/>
      <c r="AA1183" s="137"/>
      <c r="AB1183" s="137"/>
      <c r="AC1183" s="137"/>
      <c r="AD1183" s="137"/>
      <c r="AE1183" s="137"/>
      <c r="AF1183" s="137"/>
      <c r="AG1183" s="137"/>
    </row>
    <row r="1184" ht="30.0" customHeight="1">
      <c r="A1184" s="248"/>
      <c r="B1184" s="249"/>
      <c r="C1184" s="248"/>
      <c r="D1184" s="249"/>
      <c r="E1184" s="249"/>
      <c r="F1184" s="249"/>
      <c r="G1184" s="250"/>
      <c r="H1184" s="251"/>
      <c r="I1184" s="252"/>
      <c r="J1184" s="252"/>
      <c r="K1184" s="252"/>
      <c r="L1184" s="251"/>
      <c r="M1184" s="251"/>
      <c r="N1184" s="251"/>
      <c r="O1184" s="251"/>
      <c r="P1184" s="251"/>
      <c r="Q1184" s="251"/>
      <c r="R1184" s="251"/>
      <c r="S1184" s="251"/>
      <c r="T1184" s="251"/>
      <c r="U1184" s="251"/>
      <c r="V1184" s="251"/>
      <c r="W1184" s="251"/>
      <c r="X1184" s="251"/>
      <c r="Y1184" s="251"/>
      <c r="Z1184" s="251"/>
      <c r="AA1184" s="137"/>
      <c r="AB1184" s="137"/>
      <c r="AC1184" s="137"/>
      <c r="AD1184" s="137"/>
      <c r="AE1184" s="137"/>
      <c r="AF1184" s="137"/>
      <c r="AG1184" s="137"/>
    </row>
    <row r="1185" ht="30.0" customHeight="1">
      <c r="A1185" s="248"/>
      <c r="B1185" s="249"/>
      <c r="C1185" s="248"/>
      <c r="D1185" s="249"/>
      <c r="E1185" s="249"/>
      <c r="F1185" s="249"/>
      <c r="G1185" s="250"/>
      <c r="H1185" s="251"/>
      <c r="I1185" s="252"/>
      <c r="J1185" s="252"/>
      <c r="K1185" s="252"/>
      <c r="L1185" s="251"/>
      <c r="M1185" s="251"/>
      <c r="N1185" s="251"/>
      <c r="O1185" s="251"/>
      <c r="P1185" s="251"/>
      <c r="Q1185" s="251"/>
      <c r="R1185" s="251"/>
      <c r="S1185" s="251"/>
      <c r="T1185" s="251"/>
      <c r="U1185" s="251"/>
      <c r="V1185" s="251"/>
      <c r="W1185" s="251"/>
      <c r="X1185" s="251"/>
      <c r="Y1185" s="251"/>
      <c r="Z1185" s="251"/>
      <c r="AA1185" s="137"/>
      <c r="AB1185" s="137"/>
      <c r="AC1185" s="137"/>
      <c r="AD1185" s="137"/>
      <c r="AE1185" s="137"/>
      <c r="AF1185" s="137"/>
      <c r="AG1185" s="137"/>
    </row>
    <row r="1186" ht="30.0" customHeight="1">
      <c r="A1186" s="248"/>
      <c r="B1186" s="249"/>
      <c r="C1186" s="248"/>
      <c r="D1186" s="249"/>
      <c r="E1186" s="249"/>
      <c r="F1186" s="249"/>
      <c r="G1186" s="250"/>
      <c r="H1186" s="251"/>
      <c r="I1186" s="252"/>
      <c r="J1186" s="252"/>
      <c r="K1186" s="252"/>
      <c r="L1186" s="251"/>
      <c r="M1186" s="251"/>
      <c r="N1186" s="251"/>
      <c r="O1186" s="251"/>
      <c r="P1186" s="251"/>
      <c r="Q1186" s="251"/>
      <c r="R1186" s="251"/>
      <c r="S1186" s="251"/>
      <c r="T1186" s="251"/>
      <c r="U1186" s="251"/>
      <c r="V1186" s="251"/>
      <c r="W1186" s="251"/>
      <c r="X1186" s="251"/>
      <c r="Y1186" s="251"/>
      <c r="Z1186" s="251"/>
      <c r="AA1186" s="137"/>
      <c r="AB1186" s="137"/>
      <c r="AC1186" s="137"/>
      <c r="AD1186" s="137"/>
      <c r="AE1186" s="137"/>
      <c r="AF1186" s="137"/>
      <c r="AG1186" s="137"/>
    </row>
    <row r="1187" ht="30.0" customHeight="1">
      <c r="A1187" s="248"/>
      <c r="B1187" s="249"/>
      <c r="C1187" s="248"/>
      <c r="D1187" s="249"/>
      <c r="E1187" s="249"/>
      <c r="F1187" s="249"/>
      <c r="G1187" s="250"/>
      <c r="H1187" s="251"/>
      <c r="I1187" s="252"/>
      <c r="J1187" s="252"/>
      <c r="K1187" s="252"/>
      <c r="L1187" s="251"/>
      <c r="M1187" s="251"/>
      <c r="N1187" s="251"/>
      <c r="O1187" s="251"/>
      <c r="P1187" s="251"/>
      <c r="Q1187" s="251"/>
      <c r="R1187" s="251"/>
      <c r="S1187" s="251"/>
      <c r="T1187" s="251"/>
      <c r="U1187" s="251"/>
      <c r="V1187" s="251"/>
      <c r="W1187" s="251"/>
      <c r="X1187" s="251"/>
      <c r="Y1187" s="251"/>
      <c r="Z1187" s="251"/>
      <c r="AA1187" s="137"/>
      <c r="AB1187" s="137"/>
      <c r="AC1187" s="137"/>
      <c r="AD1187" s="137"/>
      <c r="AE1187" s="137"/>
      <c r="AF1187" s="137"/>
      <c r="AG1187" s="137"/>
    </row>
    <row r="1188" ht="30.0" customHeight="1">
      <c r="A1188" s="248"/>
      <c r="B1188" s="249"/>
      <c r="C1188" s="248"/>
      <c r="D1188" s="249"/>
      <c r="E1188" s="249"/>
      <c r="F1188" s="249"/>
      <c r="G1188" s="250"/>
      <c r="H1188" s="251"/>
      <c r="I1188" s="252"/>
      <c r="J1188" s="252"/>
      <c r="K1188" s="252"/>
      <c r="L1188" s="251"/>
      <c r="M1188" s="251"/>
      <c r="N1188" s="251"/>
      <c r="O1188" s="251"/>
      <c r="P1188" s="251"/>
      <c r="Q1188" s="251"/>
      <c r="R1188" s="251"/>
      <c r="S1188" s="251"/>
      <c r="T1188" s="251"/>
      <c r="U1188" s="251"/>
      <c r="V1188" s="251"/>
      <c r="W1188" s="251"/>
      <c r="X1188" s="251"/>
      <c r="Y1188" s="251"/>
      <c r="Z1188" s="251"/>
      <c r="AA1188" s="137"/>
      <c r="AB1188" s="137"/>
      <c r="AC1188" s="137"/>
      <c r="AD1188" s="137"/>
      <c r="AE1188" s="137"/>
      <c r="AF1188" s="137"/>
      <c r="AG1188" s="137"/>
    </row>
    <row r="1189" ht="30.0" customHeight="1">
      <c r="A1189" s="248"/>
      <c r="B1189" s="249"/>
      <c r="C1189" s="248"/>
      <c r="D1189" s="249"/>
      <c r="E1189" s="249"/>
      <c r="F1189" s="249"/>
      <c r="G1189" s="250"/>
      <c r="H1189" s="251"/>
      <c r="I1189" s="252"/>
      <c r="J1189" s="252"/>
      <c r="K1189" s="252"/>
      <c r="L1189" s="251"/>
      <c r="M1189" s="251"/>
      <c r="N1189" s="251"/>
      <c r="O1189" s="251"/>
      <c r="P1189" s="251"/>
      <c r="Q1189" s="251"/>
      <c r="R1189" s="251"/>
      <c r="S1189" s="251"/>
      <c r="T1189" s="251"/>
      <c r="U1189" s="251"/>
      <c r="V1189" s="251"/>
      <c r="W1189" s="251"/>
      <c r="X1189" s="251"/>
      <c r="Y1189" s="251"/>
      <c r="Z1189" s="251"/>
      <c r="AA1189" s="137"/>
      <c r="AB1189" s="137"/>
      <c r="AC1189" s="137"/>
      <c r="AD1189" s="137"/>
      <c r="AE1189" s="137"/>
      <c r="AF1189" s="137"/>
      <c r="AG1189" s="137"/>
    </row>
    <row r="1190" ht="30.0" customHeight="1">
      <c r="A1190" s="248"/>
      <c r="B1190" s="249"/>
      <c r="C1190" s="248"/>
      <c r="D1190" s="249"/>
      <c r="E1190" s="249"/>
      <c r="F1190" s="249"/>
      <c r="G1190" s="250"/>
      <c r="H1190" s="251"/>
      <c r="I1190" s="252"/>
      <c r="J1190" s="252"/>
      <c r="K1190" s="252"/>
      <c r="L1190" s="251"/>
      <c r="M1190" s="251"/>
      <c r="N1190" s="251"/>
      <c r="O1190" s="251"/>
      <c r="P1190" s="251"/>
      <c r="Q1190" s="251"/>
      <c r="R1190" s="251"/>
      <c r="S1190" s="251"/>
      <c r="T1190" s="251"/>
      <c r="U1190" s="251"/>
      <c r="V1190" s="251"/>
      <c r="W1190" s="251"/>
      <c r="X1190" s="251"/>
      <c r="Y1190" s="251"/>
      <c r="Z1190" s="251"/>
      <c r="AA1190" s="137"/>
      <c r="AB1190" s="137"/>
      <c r="AC1190" s="137"/>
      <c r="AD1190" s="137"/>
      <c r="AE1190" s="137"/>
      <c r="AF1190" s="137"/>
      <c r="AG1190" s="137"/>
    </row>
    <row r="1191" ht="30.0" customHeight="1">
      <c r="A1191" s="248"/>
      <c r="B1191" s="249"/>
      <c r="C1191" s="248"/>
      <c r="D1191" s="249"/>
      <c r="E1191" s="249"/>
      <c r="F1191" s="249"/>
      <c r="G1191" s="250"/>
      <c r="H1191" s="251"/>
      <c r="I1191" s="252"/>
      <c r="J1191" s="252"/>
      <c r="K1191" s="252"/>
      <c r="L1191" s="251"/>
      <c r="M1191" s="251"/>
      <c r="N1191" s="251"/>
      <c r="O1191" s="251"/>
      <c r="P1191" s="251"/>
      <c r="Q1191" s="251"/>
      <c r="R1191" s="251"/>
      <c r="S1191" s="251"/>
      <c r="T1191" s="251"/>
      <c r="U1191" s="251"/>
      <c r="V1191" s="251"/>
      <c r="W1191" s="251"/>
      <c r="X1191" s="251"/>
      <c r="Y1191" s="251"/>
      <c r="Z1191" s="251"/>
      <c r="AA1191" s="137"/>
      <c r="AB1191" s="137"/>
      <c r="AC1191" s="137"/>
      <c r="AD1191" s="137"/>
      <c r="AE1191" s="137"/>
      <c r="AF1191" s="137"/>
      <c r="AG1191" s="137"/>
    </row>
    <row r="1192" ht="30.0" customHeight="1">
      <c r="A1192" s="248"/>
      <c r="B1192" s="249"/>
      <c r="C1192" s="248"/>
      <c r="D1192" s="249"/>
      <c r="E1192" s="249"/>
      <c r="F1192" s="249"/>
      <c r="G1192" s="249"/>
      <c r="H1192" s="251"/>
      <c r="I1192" s="252"/>
      <c r="J1192" s="252"/>
      <c r="K1192" s="252"/>
      <c r="L1192" s="251"/>
      <c r="M1192" s="251"/>
      <c r="N1192" s="251"/>
      <c r="O1192" s="251"/>
      <c r="P1192" s="251"/>
      <c r="Q1192" s="251"/>
      <c r="R1192" s="251"/>
      <c r="S1192" s="251"/>
      <c r="T1192" s="251"/>
      <c r="U1192" s="251"/>
      <c r="V1192" s="251"/>
      <c r="W1192" s="251"/>
      <c r="X1192" s="251"/>
      <c r="Y1192" s="251"/>
      <c r="Z1192" s="251"/>
      <c r="AA1192" s="137"/>
      <c r="AB1192" s="137"/>
      <c r="AC1192" s="137"/>
      <c r="AD1192" s="137"/>
      <c r="AE1192" s="137"/>
      <c r="AF1192" s="137"/>
      <c r="AG1192" s="137"/>
    </row>
    <row r="1193" ht="30.0" customHeight="1">
      <c r="A1193" s="248"/>
      <c r="B1193" s="249"/>
      <c r="C1193" s="248"/>
      <c r="D1193" s="249"/>
      <c r="E1193" s="249"/>
      <c r="F1193" s="249"/>
      <c r="G1193" s="249"/>
      <c r="H1193" s="251"/>
      <c r="I1193" s="252"/>
      <c r="J1193" s="252"/>
      <c r="K1193" s="252"/>
      <c r="L1193" s="251"/>
      <c r="M1193" s="251"/>
      <c r="N1193" s="251"/>
      <c r="O1193" s="251"/>
      <c r="P1193" s="251"/>
      <c r="Q1193" s="251"/>
      <c r="R1193" s="251"/>
      <c r="S1193" s="251"/>
      <c r="T1193" s="251"/>
      <c r="U1193" s="251"/>
      <c r="V1193" s="251"/>
      <c r="W1193" s="251"/>
      <c r="X1193" s="251"/>
      <c r="Y1193" s="251"/>
      <c r="Z1193" s="251"/>
      <c r="AA1193" s="137"/>
      <c r="AB1193" s="137"/>
      <c r="AC1193" s="137"/>
      <c r="AD1193" s="137"/>
      <c r="AE1193" s="137"/>
      <c r="AF1193" s="137"/>
      <c r="AG1193" s="137"/>
    </row>
    <row r="1194" ht="30.0" customHeight="1">
      <c r="A1194" s="248"/>
      <c r="B1194" s="249"/>
      <c r="C1194" s="248"/>
      <c r="D1194" s="249"/>
      <c r="E1194" s="249"/>
      <c r="F1194" s="249"/>
      <c r="G1194" s="250"/>
      <c r="H1194" s="251"/>
      <c r="I1194" s="252"/>
      <c r="J1194" s="252"/>
      <c r="K1194" s="252"/>
      <c r="L1194" s="251"/>
      <c r="M1194" s="251"/>
      <c r="N1194" s="251"/>
      <c r="O1194" s="251"/>
      <c r="P1194" s="251"/>
      <c r="Q1194" s="251"/>
      <c r="R1194" s="251"/>
      <c r="S1194" s="251"/>
      <c r="T1194" s="251"/>
      <c r="U1194" s="251"/>
      <c r="V1194" s="251"/>
      <c r="W1194" s="251"/>
      <c r="X1194" s="251"/>
      <c r="Y1194" s="251"/>
      <c r="Z1194" s="251"/>
      <c r="AA1194" s="137"/>
      <c r="AB1194" s="137"/>
      <c r="AC1194" s="137"/>
      <c r="AD1194" s="137"/>
      <c r="AE1194" s="137"/>
      <c r="AF1194" s="137"/>
      <c r="AG1194" s="137"/>
    </row>
    <row r="1195" ht="30.0" customHeight="1">
      <c r="A1195" s="248"/>
      <c r="B1195" s="249"/>
      <c r="C1195" s="248"/>
      <c r="D1195" s="249"/>
      <c r="E1195" s="249"/>
      <c r="F1195" s="249"/>
      <c r="G1195" s="250"/>
      <c r="H1195" s="251"/>
      <c r="I1195" s="252"/>
      <c r="J1195" s="252"/>
      <c r="K1195" s="252"/>
      <c r="L1195" s="251"/>
      <c r="M1195" s="251"/>
      <c r="N1195" s="251"/>
      <c r="O1195" s="251"/>
      <c r="P1195" s="251"/>
      <c r="Q1195" s="251"/>
      <c r="R1195" s="251"/>
      <c r="S1195" s="251"/>
      <c r="T1195" s="251"/>
      <c r="U1195" s="251"/>
      <c r="V1195" s="251"/>
      <c r="W1195" s="251"/>
      <c r="X1195" s="251"/>
      <c r="Y1195" s="251"/>
      <c r="Z1195" s="251"/>
      <c r="AA1195" s="137"/>
      <c r="AB1195" s="137"/>
      <c r="AC1195" s="137"/>
      <c r="AD1195" s="137"/>
      <c r="AE1195" s="137"/>
      <c r="AF1195" s="137"/>
      <c r="AG1195" s="137"/>
    </row>
    <row r="1196" ht="30.0" customHeight="1">
      <c r="A1196" s="248"/>
      <c r="B1196" s="249"/>
      <c r="C1196" s="248"/>
      <c r="D1196" s="249"/>
      <c r="E1196" s="249"/>
      <c r="F1196" s="249"/>
      <c r="G1196" s="250"/>
      <c r="H1196" s="251"/>
      <c r="I1196" s="252"/>
      <c r="J1196" s="252"/>
      <c r="K1196" s="252"/>
      <c r="L1196" s="251"/>
      <c r="M1196" s="251"/>
      <c r="N1196" s="251"/>
      <c r="O1196" s="251"/>
      <c r="P1196" s="251"/>
      <c r="Q1196" s="251"/>
      <c r="R1196" s="251"/>
      <c r="S1196" s="251"/>
      <c r="T1196" s="251"/>
      <c r="U1196" s="251"/>
      <c r="V1196" s="251"/>
      <c r="W1196" s="251"/>
      <c r="X1196" s="251"/>
      <c r="Y1196" s="251"/>
      <c r="Z1196" s="251"/>
      <c r="AA1196" s="137"/>
      <c r="AB1196" s="137"/>
      <c r="AC1196" s="137"/>
      <c r="AD1196" s="137"/>
      <c r="AE1196" s="137"/>
      <c r="AF1196" s="137"/>
      <c r="AG1196" s="137"/>
    </row>
    <row r="1197" ht="30.0" customHeight="1">
      <c r="A1197" s="248"/>
      <c r="B1197" s="249"/>
      <c r="C1197" s="248"/>
      <c r="D1197" s="249"/>
      <c r="E1197" s="249"/>
      <c r="F1197" s="249"/>
      <c r="G1197" s="250"/>
      <c r="H1197" s="251"/>
      <c r="I1197" s="252"/>
      <c r="J1197" s="252"/>
      <c r="K1197" s="252"/>
      <c r="L1197" s="251"/>
      <c r="M1197" s="251"/>
      <c r="N1197" s="251"/>
      <c r="O1197" s="251"/>
      <c r="P1197" s="251"/>
      <c r="Q1197" s="251"/>
      <c r="R1197" s="251"/>
      <c r="S1197" s="251"/>
      <c r="T1197" s="251"/>
      <c r="U1197" s="251"/>
      <c r="V1197" s="251"/>
      <c r="W1197" s="251"/>
      <c r="X1197" s="251"/>
      <c r="Y1197" s="251"/>
      <c r="Z1197" s="251"/>
      <c r="AA1197" s="137"/>
      <c r="AB1197" s="137"/>
      <c r="AC1197" s="137"/>
      <c r="AD1197" s="137"/>
      <c r="AE1197" s="137"/>
      <c r="AF1197" s="137"/>
      <c r="AG1197" s="137"/>
    </row>
    <row r="1198" ht="30.0" customHeight="1">
      <c r="A1198" s="248"/>
      <c r="B1198" s="249"/>
      <c r="C1198" s="248"/>
      <c r="D1198" s="249"/>
      <c r="E1198" s="249"/>
      <c r="F1198" s="249"/>
      <c r="G1198" s="249"/>
      <c r="H1198" s="251"/>
      <c r="I1198" s="252"/>
      <c r="J1198" s="252"/>
      <c r="K1198" s="252"/>
      <c r="L1198" s="251"/>
      <c r="M1198" s="251"/>
      <c r="N1198" s="251"/>
      <c r="O1198" s="251"/>
      <c r="P1198" s="251"/>
      <c r="Q1198" s="251"/>
      <c r="R1198" s="251"/>
      <c r="S1198" s="251"/>
      <c r="T1198" s="251"/>
      <c r="U1198" s="251"/>
      <c r="V1198" s="251"/>
      <c r="W1198" s="251"/>
      <c r="X1198" s="251"/>
      <c r="Y1198" s="251"/>
      <c r="Z1198" s="251"/>
      <c r="AA1198" s="137"/>
      <c r="AB1198" s="137"/>
      <c r="AC1198" s="137"/>
      <c r="AD1198" s="137"/>
      <c r="AE1198" s="137"/>
      <c r="AF1198" s="137"/>
      <c r="AG1198" s="137"/>
    </row>
    <row r="1199" ht="30.0" customHeight="1">
      <c r="A1199" s="248"/>
      <c r="B1199" s="249"/>
      <c r="C1199" s="248"/>
      <c r="D1199" s="249"/>
      <c r="E1199" s="249"/>
      <c r="F1199" s="249"/>
      <c r="G1199" s="249"/>
      <c r="H1199" s="251"/>
      <c r="I1199" s="252"/>
      <c r="J1199" s="252"/>
      <c r="K1199" s="252"/>
      <c r="L1199" s="251"/>
      <c r="M1199" s="251"/>
      <c r="N1199" s="251"/>
      <c r="O1199" s="251"/>
      <c r="P1199" s="251"/>
      <c r="Q1199" s="251"/>
      <c r="R1199" s="251"/>
      <c r="S1199" s="251"/>
      <c r="T1199" s="251"/>
      <c r="U1199" s="251"/>
      <c r="V1199" s="251"/>
      <c r="W1199" s="251"/>
      <c r="X1199" s="251"/>
      <c r="Y1199" s="251"/>
      <c r="Z1199" s="251"/>
      <c r="AA1199" s="137"/>
      <c r="AB1199" s="137"/>
      <c r="AC1199" s="137"/>
      <c r="AD1199" s="137"/>
      <c r="AE1199" s="137"/>
      <c r="AF1199" s="137"/>
      <c r="AG1199" s="137"/>
    </row>
    <row r="1200" ht="30.0" customHeight="1">
      <c r="A1200" s="248"/>
      <c r="B1200" s="249"/>
      <c r="C1200" s="248"/>
      <c r="D1200" s="249"/>
      <c r="E1200" s="249"/>
      <c r="F1200" s="249"/>
      <c r="G1200" s="250"/>
      <c r="H1200" s="251"/>
      <c r="I1200" s="252"/>
      <c r="J1200" s="252"/>
      <c r="K1200" s="252"/>
      <c r="L1200" s="251"/>
      <c r="M1200" s="251"/>
      <c r="N1200" s="251"/>
      <c r="O1200" s="251"/>
      <c r="P1200" s="251"/>
      <c r="Q1200" s="251"/>
      <c r="R1200" s="251"/>
      <c r="S1200" s="251"/>
      <c r="T1200" s="251"/>
      <c r="U1200" s="251"/>
      <c r="V1200" s="251"/>
      <c r="W1200" s="251"/>
      <c r="X1200" s="251"/>
      <c r="Y1200" s="251"/>
      <c r="Z1200" s="251"/>
      <c r="AA1200" s="137"/>
      <c r="AB1200" s="137"/>
      <c r="AC1200" s="137"/>
      <c r="AD1200" s="137"/>
      <c r="AE1200" s="137"/>
      <c r="AF1200" s="137"/>
      <c r="AG1200" s="137"/>
    </row>
    <row r="1201" ht="30.0" customHeight="1">
      <c r="A1201" s="248"/>
      <c r="B1201" s="249"/>
      <c r="C1201" s="248"/>
      <c r="D1201" s="249"/>
      <c r="E1201" s="249"/>
      <c r="F1201" s="249"/>
      <c r="G1201" s="250"/>
      <c r="H1201" s="251"/>
      <c r="I1201" s="252"/>
      <c r="J1201" s="252"/>
      <c r="K1201" s="252"/>
      <c r="L1201" s="251"/>
      <c r="M1201" s="251"/>
      <c r="N1201" s="251"/>
      <c r="O1201" s="251"/>
      <c r="P1201" s="251"/>
      <c r="Q1201" s="251"/>
      <c r="R1201" s="251"/>
      <c r="S1201" s="251"/>
      <c r="T1201" s="251"/>
      <c r="U1201" s="251"/>
      <c r="V1201" s="251"/>
      <c r="W1201" s="251"/>
      <c r="X1201" s="251"/>
      <c r="Y1201" s="251"/>
      <c r="Z1201" s="251"/>
      <c r="AA1201" s="137"/>
      <c r="AB1201" s="137"/>
      <c r="AC1201" s="137"/>
      <c r="AD1201" s="137"/>
      <c r="AE1201" s="137"/>
      <c r="AF1201" s="137"/>
      <c r="AG1201" s="137"/>
    </row>
    <row r="1202" ht="30.0" customHeight="1">
      <c r="A1202" s="248"/>
      <c r="B1202" s="249"/>
      <c r="C1202" s="248"/>
      <c r="D1202" s="249"/>
      <c r="E1202" s="249"/>
      <c r="F1202" s="249"/>
      <c r="G1202" s="250"/>
      <c r="H1202" s="251"/>
      <c r="I1202" s="252"/>
      <c r="J1202" s="252"/>
      <c r="K1202" s="252"/>
      <c r="L1202" s="251"/>
      <c r="M1202" s="251"/>
      <c r="N1202" s="251"/>
      <c r="O1202" s="251"/>
      <c r="P1202" s="251"/>
      <c r="Q1202" s="251"/>
      <c r="R1202" s="251"/>
      <c r="S1202" s="251"/>
      <c r="T1202" s="251"/>
      <c r="U1202" s="251"/>
      <c r="V1202" s="251"/>
      <c r="W1202" s="251"/>
      <c r="X1202" s="251"/>
      <c r="Y1202" s="251"/>
      <c r="Z1202" s="251"/>
      <c r="AA1202" s="137"/>
      <c r="AB1202" s="137"/>
      <c r="AC1202" s="137"/>
      <c r="AD1202" s="137"/>
      <c r="AE1202" s="137"/>
      <c r="AF1202" s="137"/>
      <c r="AG1202" s="137"/>
    </row>
    <row r="1203" ht="30.0" customHeight="1">
      <c r="A1203" s="248"/>
      <c r="B1203" s="249"/>
      <c r="C1203" s="248"/>
      <c r="D1203" s="249"/>
      <c r="E1203" s="249"/>
      <c r="F1203" s="249"/>
      <c r="G1203" s="250"/>
      <c r="H1203" s="251"/>
      <c r="I1203" s="252"/>
      <c r="J1203" s="252"/>
      <c r="K1203" s="252"/>
      <c r="L1203" s="251"/>
      <c r="M1203" s="251"/>
      <c r="N1203" s="251"/>
      <c r="O1203" s="251"/>
      <c r="P1203" s="251"/>
      <c r="Q1203" s="251"/>
      <c r="R1203" s="251"/>
      <c r="S1203" s="251"/>
      <c r="T1203" s="251"/>
      <c r="U1203" s="251"/>
      <c r="V1203" s="251"/>
      <c r="W1203" s="251"/>
      <c r="X1203" s="251"/>
      <c r="Y1203" s="251"/>
      <c r="Z1203" s="251"/>
      <c r="AA1203" s="137"/>
      <c r="AB1203" s="137"/>
      <c r="AC1203" s="137"/>
      <c r="AD1203" s="137"/>
      <c r="AE1203" s="137"/>
      <c r="AF1203" s="137"/>
      <c r="AG1203" s="137"/>
    </row>
    <row r="1204" ht="30.0" customHeight="1">
      <c r="A1204" s="248"/>
      <c r="B1204" s="249"/>
      <c r="C1204" s="248"/>
      <c r="D1204" s="249"/>
      <c r="E1204" s="249"/>
      <c r="F1204" s="249"/>
      <c r="G1204" s="250"/>
      <c r="H1204" s="251"/>
      <c r="I1204" s="252"/>
      <c r="J1204" s="252"/>
      <c r="K1204" s="252"/>
      <c r="L1204" s="251"/>
      <c r="M1204" s="251"/>
      <c r="N1204" s="251"/>
      <c r="O1204" s="251"/>
      <c r="P1204" s="251"/>
      <c r="Q1204" s="251"/>
      <c r="R1204" s="251"/>
      <c r="S1204" s="251"/>
      <c r="T1204" s="251"/>
      <c r="U1204" s="251"/>
      <c r="V1204" s="251"/>
      <c r="W1204" s="251"/>
      <c r="X1204" s="251"/>
      <c r="Y1204" s="251"/>
      <c r="Z1204" s="251"/>
      <c r="AA1204" s="137"/>
      <c r="AB1204" s="137"/>
      <c r="AC1204" s="137"/>
      <c r="AD1204" s="137"/>
      <c r="AE1204" s="137"/>
      <c r="AF1204" s="137"/>
      <c r="AG1204" s="137"/>
    </row>
    <row r="1205" ht="30.0" customHeight="1">
      <c r="A1205" s="248"/>
      <c r="B1205" s="249"/>
      <c r="C1205" s="248"/>
      <c r="D1205" s="249"/>
      <c r="E1205" s="249"/>
      <c r="F1205" s="249"/>
      <c r="G1205" s="250"/>
      <c r="H1205" s="251"/>
      <c r="I1205" s="252"/>
      <c r="J1205" s="252"/>
      <c r="K1205" s="252"/>
      <c r="L1205" s="251"/>
      <c r="M1205" s="251"/>
      <c r="N1205" s="251"/>
      <c r="O1205" s="251"/>
      <c r="P1205" s="251"/>
      <c r="Q1205" s="251"/>
      <c r="R1205" s="251"/>
      <c r="S1205" s="251"/>
      <c r="T1205" s="251"/>
      <c r="U1205" s="251"/>
      <c r="V1205" s="251"/>
      <c r="W1205" s="251"/>
      <c r="X1205" s="251"/>
      <c r="Y1205" s="251"/>
      <c r="Z1205" s="251"/>
      <c r="AA1205" s="137"/>
      <c r="AB1205" s="137"/>
      <c r="AC1205" s="137"/>
      <c r="AD1205" s="137"/>
      <c r="AE1205" s="137"/>
      <c r="AF1205" s="137"/>
      <c r="AG1205" s="137"/>
    </row>
    <row r="1206" ht="30.0" customHeight="1">
      <c r="A1206" s="248"/>
      <c r="B1206" s="249"/>
      <c r="C1206" s="248"/>
      <c r="D1206" s="249"/>
      <c r="E1206" s="249"/>
      <c r="F1206" s="249"/>
      <c r="G1206" s="250"/>
      <c r="H1206" s="251"/>
      <c r="I1206" s="252"/>
      <c r="J1206" s="252"/>
      <c r="K1206" s="252"/>
      <c r="L1206" s="251"/>
      <c r="M1206" s="251"/>
      <c r="N1206" s="251"/>
      <c r="O1206" s="251"/>
      <c r="P1206" s="251"/>
      <c r="Q1206" s="251"/>
      <c r="R1206" s="251"/>
      <c r="S1206" s="251"/>
      <c r="T1206" s="251"/>
      <c r="U1206" s="251"/>
      <c r="V1206" s="251"/>
      <c r="W1206" s="251"/>
      <c r="X1206" s="251"/>
      <c r="Y1206" s="251"/>
      <c r="Z1206" s="251"/>
      <c r="AA1206" s="137"/>
      <c r="AB1206" s="137"/>
      <c r="AC1206" s="137"/>
      <c r="AD1206" s="137"/>
      <c r="AE1206" s="137"/>
      <c r="AF1206" s="137"/>
      <c r="AG1206" s="137"/>
    </row>
    <row r="1207" ht="30.0" customHeight="1">
      <c r="A1207" s="248"/>
      <c r="B1207" s="249"/>
      <c r="C1207" s="248"/>
      <c r="D1207" s="249"/>
      <c r="E1207" s="249"/>
      <c r="F1207" s="249"/>
      <c r="G1207" s="250"/>
      <c r="H1207" s="251"/>
      <c r="I1207" s="252"/>
      <c r="J1207" s="252"/>
      <c r="K1207" s="252"/>
      <c r="L1207" s="251"/>
      <c r="M1207" s="251"/>
      <c r="N1207" s="251"/>
      <c r="O1207" s="251"/>
      <c r="P1207" s="251"/>
      <c r="Q1207" s="251"/>
      <c r="R1207" s="251"/>
      <c r="S1207" s="251"/>
      <c r="T1207" s="251"/>
      <c r="U1207" s="251"/>
      <c r="V1207" s="251"/>
      <c r="W1207" s="251"/>
      <c r="X1207" s="251"/>
      <c r="Y1207" s="251"/>
      <c r="Z1207" s="251"/>
      <c r="AA1207" s="137"/>
      <c r="AB1207" s="137"/>
      <c r="AC1207" s="137"/>
      <c r="AD1207" s="137"/>
      <c r="AE1207" s="137"/>
      <c r="AF1207" s="137"/>
      <c r="AG1207" s="137"/>
    </row>
    <row r="1208" ht="30.0" customHeight="1">
      <c r="A1208" s="248"/>
      <c r="B1208" s="249"/>
      <c r="C1208" s="248"/>
      <c r="D1208" s="249"/>
      <c r="E1208" s="249"/>
      <c r="F1208" s="249"/>
      <c r="G1208" s="250"/>
      <c r="H1208" s="251"/>
      <c r="I1208" s="252"/>
      <c r="J1208" s="252"/>
      <c r="K1208" s="252"/>
      <c r="L1208" s="251"/>
      <c r="M1208" s="251"/>
      <c r="N1208" s="251"/>
      <c r="O1208" s="251"/>
      <c r="P1208" s="251"/>
      <c r="Q1208" s="251"/>
      <c r="R1208" s="251"/>
      <c r="S1208" s="251"/>
      <c r="T1208" s="251"/>
      <c r="U1208" s="251"/>
      <c r="V1208" s="251"/>
      <c r="W1208" s="251"/>
      <c r="X1208" s="251"/>
      <c r="Y1208" s="251"/>
      <c r="Z1208" s="251"/>
      <c r="AA1208" s="137"/>
      <c r="AB1208" s="137"/>
      <c r="AC1208" s="137"/>
      <c r="AD1208" s="137"/>
      <c r="AE1208" s="137"/>
      <c r="AF1208" s="137"/>
      <c r="AG1208" s="137"/>
    </row>
    <row r="1209" ht="30.0" customHeight="1">
      <c r="A1209" s="248"/>
      <c r="B1209" s="249"/>
      <c r="C1209" s="248"/>
      <c r="D1209" s="249"/>
      <c r="E1209" s="249"/>
      <c r="F1209" s="249"/>
      <c r="G1209" s="250"/>
      <c r="H1209" s="251"/>
      <c r="I1209" s="252"/>
      <c r="J1209" s="252"/>
      <c r="K1209" s="252"/>
      <c r="L1209" s="251"/>
      <c r="M1209" s="251"/>
      <c r="N1209" s="251"/>
      <c r="O1209" s="251"/>
      <c r="P1209" s="251"/>
      <c r="Q1209" s="251"/>
      <c r="R1209" s="251"/>
      <c r="S1209" s="251"/>
      <c r="T1209" s="251"/>
      <c r="U1209" s="251"/>
      <c r="V1209" s="251"/>
      <c r="W1209" s="251"/>
      <c r="X1209" s="251"/>
      <c r="Y1209" s="251"/>
      <c r="Z1209" s="251"/>
      <c r="AA1209" s="137"/>
      <c r="AB1209" s="137"/>
      <c r="AC1209" s="137"/>
      <c r="AD1209" s="137"/>
      <c r="AE1209" s="137"/>
      <c r="AF1209" s="137"/>
      <c r="AG1209" s="137"/>
    </row>
    <row r="1210" ht="30.0" customHeight="1">
      <c r="A1210" s="248"/>
      <c r="B1210" s="249"/>
      <c r="C1210" s="248"/>
      <c r="D1210" s="249"/>
      <c r="E1210" s="249"/>
      <c r="F1210" s="249"/>
      <c r="G1210" s="249"/>
      <c r="H1210" s="251"/>
      <c r="I1210" s="252"/>
      <c r="J1210" s="252"/>
      <c r="K1210" s="252"/>
      <c r="L1210" s="251"/>
      <c r="M1210" s="251"/>
      <c r="N1210" s="251"/>
      <c r="O1210" s="251"/>
      <c r="P1210" s="251"/>
      <c r="Q1210" s="251"/>
      <c r="R1210" s="251"/>
      <c r="S1210" s="251"/>
      <c r="T1210" s="251"/>
      <c r="U1210" s="251"/>
      <c r="V1210" s="251"/>
      <c r="W1210" s="251"/>
      <c r="X1210" s="251"/>
      <c r="Y1210" s="251"/>
      <c r="Z1210" s="251"/>
      <c r="AA1210" s="137"/>
      <c r="AB1210" s="137"/>
      <c r="AC1210" s="137"/>
      <c r="AD1210" s="137"/>
      <c r="AE1210" s="137"/>
      <c r="AF1210" s="137"/>
      <c r="AG1210" s="137"/>
    </row>
    <row r="1211" ht="30.0" customHeight="1">
      <c r="A1211" s="248"/>
      <c r="B1211" s="249"/>
      <c r="C1211" s="248"/>
      <c r="D1211" s="249"/>
      <c r="E1211" s="249"/>
      <c r="F1211" s="249"/>
      <c r="G1211" s="250"/>
      <c r="H1211" s="251"/>
      <c r="I1211" s="252"/>
      <c r="J1211" s="252"/>
      <c r="K1211" s="252"/>
      <c r="L1211" s="251"/>
      <c r="M1211" s="251"/>
      <c r="N1211" s="251"/>
      <c r="O1211" s="251"/>
      <c r="P1211" s="251"/>
      <c r="Q1211" s="251"/>
      <c r="R1211" s="251"/>
      <c r="S1211" s="251"/>
      <c r="T1211" s="251"/>
      <c r="U1211" s="251"/>
      <c r="V1211" s="251"/>
      <c r="W1211" s="251"/>
      <c r="X1211" s="251"/>
      <c r="Y1211" s="251"/>
      <c r="Z1211" s="251"/>
      <c r="AA1211" s="137"/>
      <c r="AB1211" s="137"/>
      <c r="AC1211" s="137"/>
      <c r="AD1211" s="137"/>
      <c r="AE1211" s="137"/>
      <c r="AF1211" s="137"/>
      <c r="AG1211" s="137"/>
    </row>
    <row r="1212" ht="30.0" customHeight="1">
      <c r="A1212" s="248"/>
      <c r="B1212" s="249"/>
      <c r="C1212" s="248"/>
      <c r="D1212" s="249"/>
      <c r="E1212" s="249"/>
      <c r="F1212" s="249"/>
      <c r="G1212" s="250"/>
      <c r="H1212" s="251"/>
      <c r="I1212" s="252"/>
      <c r="J1212" s="252"/>
      <c r="K1212" s="252"/>
      <c r="L1212" s="251"/>
      <c r="M1212" s="251"/>
      <c r="N1212" s="251"/>
      <c r="O1212" s="251"/>
      <c r="P1212" s="251"/>
      <c r="Q1212" s="251"/>
      <c r="R1212" s="251"/>
      <c r="S1212" s="251"/>
      <c r="T1212" s="251"/>
      <c r="U1212" s="251"/>
      <c r="V1212" s="251"/>
      <c r="W1212" s="251"/>
      <c r="X1212" s="251"/>
      <c r="Y1212" s="251"/>
      <c r="Z1212" s="251"/>
      <c r="AA1212" s="137"/>
      <c r="AB1212" s="137"/>
      <c r="AC1212" s="137"/>
      <c r="AD1212" s="137"/>
      <c r="AE1212" s="137"/>
      <c r="AF1212" s="137"/>
      <c r="AG1212" s="137"/>
    </row>
    <row r="1213" ht="30.0" customHeight="1">
      <c r="A1213" s="248"/>
      <c r="B1213" s="249"/>
      <c r="C1213" s="248"/>
      <c r="D1213" s="249"/>
      <c r="E1213" s="249"/>
      <c r="F1213" s="249"/>
      <c r="G1213" s="250"/>
      <c r="H1213" s="251"/>
      <c r="I1213" s="252"/>
      <c r="J1213" s="252"/>
      <c r="K1213" s="252"/>
      <c r="L1213" s="251"/>
      <c r="M1213" s="251"/>
      <c r="N1213" s="251"/>
      <c r="O1213" s="251"/>
      <c r="P1213" s="251"/>
      <c r="Q1213" s="251"/>
      <c r="R1213" s="251"/>
      <c r="S1213" s="251"/>
      <c r="T1213" s="251"/>
      <c r="U1213" s="251"/>
      <c r="V1213" s="251"/>
      <c r="W1213" s="251"/>
      <c r="X1213" s="251"/>
      <c r="Y1213" s="251"/>
      <c r="Z1213" s="251"/>
      <c r="AA1213" s="137"/>
      <c r="AB1213" s="137"/>
      <c r="AC1213" s="137"/>
      <c r="AD1213" s="137"/>
      <c r="AE1213" s="137"/>
      <c r="AF1213" s="137"/>
      <c r="AG1213" s="137"/>
    </row>
    <row r="1214" ht="30.0" customHeight="1">
      <c r="A1214" s="248"/>
      <c r="B1214" s="249"/>
      <c r="C1214" s="248"/>
      <c r="D1214" s="249"/>
      <c r="E1214" s="249"/>
      <c r="F1214" s="249"/>
      <c r="G1214" s="250"/>
      <c r="H1214" s="251"/>
      <c r="I1214" s="252"/>
      <c r="J1214" s="252"/>
      <c r="K1214" s="252"/>
      <c r="L1214" s="251"/>
      <c r="M1214" s="251"/>
      <c r="N1214" s="251"/>
      <c r="O1214" s="251"/>
      <c r="P1214" s="251"/>
      <c r="Q1214" s="251"/>
      <c r="R1214" s="251"/>
      <c r="S1214" s="251"/>
      <c r="T1214" s="251"/>
      <c r="U1214" s="251"/>
      <c r="V1214" s="251"/>
      <c r="W1214" s="251"/>
      <c r="X1214" s="251"/>
      <c r="Y1214" s="251"/>
      <c r="Z1214" s="251"/>
      <c r="AA1214" s="137"/>
      <c r="AB1214" s="137"/>
      <c r="AC1214" s="137"/>
      <c r="AD1214" s="137"/>
      <c r="AE1214" s="137"/>
      <c r="AF1214" s="137"/>
      <c r="AG1214" s="137"/>
    </row>
    <row r="1215" ht="30.0" customHeight="1">
      <c r="A1215" s="248"/>
      <c r="B1215" s="249"/>
      <c r="C1215" s="248"/>
      <c r="D1215" s="249"/>
      <c r="E1215" s="249"/>
      <c r="F1215" s="249"/>
      <c r="G1215" s="250"/>
      <c r="H1215" s="251"/>
      <c r="I1215" s="252"/>
      <c r="J1215" s="252"/>
      <c r="K1215" s="252"/>
      <c r="L1215" s="251"/>
      <c r="M1215" s="251"/>
      <c r="N1215" s="251"/>
      <c r="O1215" s="251"/>
      <c r="P1215" s="251"/>
      <c r="Q1215" s="251"/>
      <c r="R1215" s="251"/>
      <c r="S1215" s="251"/>
      <c r="T1215" s="251"/>
      <c r="U1215" s="251"/>
      <c r="V1215" s="251"/>
      <c r="W1215" s="251"/>
      <c r="X1215" s="251"/>
      <c r="Y1215" s="251"/>
      <c r="Z1215" s="251"/>
      <c r="AA1215" s="137"/>
      <c r="AB1215" s="137"/>
      <c r="AC1215" s="137"/>
      <c r="AD1215" s="137"/>
      <c r="AE1215" s="137"/>
      <c r="AF1215" s="137"/>
      <c r="AG1215" s="137"/>
    </row>
    <row r="1216" ht="30.0" customHeight="1">
      <c r="A1216" s="248"/>
      <c r="B1216" s="249"/>
      <c r="C1216" s="248"/>
      <c r="D1216" s="249"/>
      <c r="E1216" s="249"/>
      <c r="F1216" s="249"/>
      <c r="G1216" s="250"/>
      <c r="H1216" s="251"/>
      <c r="I1216" s="252"/>
      <c r="J1216" s="252"/>
      <c r="K1216" s="252"/>
      <c r="L1216" s="251"/>
      <c r="M1216" s="251"/>
      <c r="N1216" s="251"/>
      <c r="O1216" s="251"/>
      <c r="P1216" s="251"/>
      <c r="Q1216" s="251"/>
      <c r="R1216" s="251"/>
      <c r="S1216" s="251"/>
      <c r="T1216" s="251"/>
      <c r="U1216" s="251"/>
      <c r="V1216" s="251"/>
      <c r="W1216" s="251"/>
      <c r="X1216" s="251"/>
      <c r="Y1216" s="251"/>
      <c r="Z1216" s="251"/>
      <c r="AA1216" s="137"/>
      <c r="AB1216" s="137"/>
      <c r="AC1216" s="137"/>
      <c r="AD1216" s="137"/>
      <c r="AE1216" s="137"/>
      <c r="AF1216" s="137"/>
      <c r="AG1216" s="137"/>
    </row>
    <row r="1217" ht="30.0" customHeight="1">
      <c r="A1217" s="248"/>
      <c r="B1217" s="249"/>
      <c r="C1217" s="248"/>
      <c r="D1217" s="249"/>
      <c r="E1217" s="249"/>
      <c r="F1217" s="249"/>
      <c r="G1217" s="250"/>
      <c r="H1217" s="251"/>
      <c r="I1217" s="252"/>
      <c r="J1217" s="252"/>
      <c r="K1217" s="252"/>
      <c r="L1217" s="251"/>
      <c r="M1217" s="251"/>
      <c r="N1217" s="251"/>
      <c r="O1217" s="251"/>
      <c r="P1217" s="251"/>
      <c r="Q1217" s="251"/>
      <c r="R1217" s="251"/>
      <c r="S1217" s="251"/>
      <c r="T1217" s="251"/>
      <c r="U1217" s="251"/>
      <c r="V1217" s="251"/>
      <c r="W1217" s="251"/>
      <c r="X1217" s="251"/>
      <c r="Y1217" s="251"/>
      <c r="Z1217" s="251"/>
      <c r="AA1217" s="137"/>
      <c r="AB1217" s="137"/>
      <c r="AC1217" s="137"/>
      <c r="AD1217" s="137"/>
      <c r="AE1217" s="137"/>
      <c r="AF1217" s="137"/>
      <c r="AG1217" s="137"/>
    </row>
    <row r="1218" ht="30.0" customHeight="1">
      <c r="A1218" s="248"/>
      <c r="B1218" s="249"/>
      <c r="C1218" s="248"/>
      <c r="D1218" s="249"/>
      <c r="E1218" s="249"/>
      <c r="F1218" s="249"/>
      <c r="G1218" s="250"/>
      <c r="H1218" s="251"/>
      <c r="I1218" s="252"/>
      <c r="J1218" s="252"/>
      <c r="K1218" s="252"/>
      <c r="L1218" s="251"/>
      <c r="M1218" s="251"/>
      <c r="N1218" s="251"/>
      <c r="O1218" s="251"/>
      <c r="P1218" s="251"/>
      <c r="Q1218" s="251"/>
      <c r="R1218" s="251"/>
      <c r="S1218" s="251"/>
      <c r="T1218" s="251"/>
      <c r="U1218" s="251"/>
      <c r="V1218" s="251"/>
      <c r="W1218" s="251"/>
      <c r="X1218" s="251"/>
      <c r="Y1218" s="251"/>
      <c r="Z1218" s="251"/>
      <c r="AA1218" s="137"/>
      <c r="AB1218" s="137"/>
      <c r="AC1218" s="137"/>
      <c r="AD1218" s="137"/>
      <c r="AE1218" s="137"/>
      <c r="AF1218" s="137"/>
      <c r="AG1218" s="137"/>
    </row>
    <row r="1219" ht="30.0" customHeight="1">
      <c r="A1219" s="248"/>
      <c r="B1219" s="249"/>
      <c r="C1219" s="248"/>
      <c r="D1219" s="249"/>
      <c r="E1219" s="249"/>
      <c r="F1219" s="249"/>
      <c r="G1219" s="250"/>
      <c r="H1219" s="251"/>
      <c r="I1219" s="252"/>
      <c r="J1219" s="252"/>
      <c r="K1219" s="252"/>
      <c r="L1219" s="251"/>
      <c r="M1219" s="251"/>
      <c r="N1219" s="251"/>
      <c r="O1219" s="251"/>
      <c r="P1219" s="251"/>
      <c r="Q1219" s="251"/>
      <c r="R1219" s="251"/>
      <c r="S1219" s="251"/>
      <c r="T1219" s="251"/>
      <c r="U1219" s="251"/>
      <c r="V1219" s="251"/>
      <c r="W1219" s="251"/>
      <c r="X1219" s="251"/>
      <c r="Y1219" s="251"/>
      <c r="Z1219" s="251"/>
      <c r="AA1219" s="137"/>
      <c r="AB1219" s="137"/>
      <c r="AC1219" s="137"/>
      <c r="AD1219" s="137"/>
      <c r="AE1219" s="137"/>
      <c r="AF1219" s="137"/>
      <c r="AG1219" s="137"/>
    </row>
    <row r="1220" ht="30.0" customHeight="1">
      <c r="A1220" s="248"/>
      <c r="B1220" s="249"/>
      <c r="C1220" s="248"/>
      <c r="D1220" s="249"/>
      <c r="E1220" s="249"/>
      <c r="F1220" s="249"/>
      <c r="G1220" s="249"/>
      <c r="H1220" s="251"/>
      <c r="I1220" s="252"/>
      <c r="J1220" s="252"/>
      <c r="K1220" s="252"/>
      <c r="L1220" s="251"/>
      <c r="M1220" s="251"/>
      <c r="N1220" s="251"/>
      <c r="O1220" s="251"/>
      <c r="P1220" s="251"/>
      <c r="Q1220" s="251"/>
      <c r="R1220" s="251"/>
      <c r="S1220" s="251"/>
      <c r="T1220" s="251"/>
      <c r="U1220" s="251"/>
      <c r="V1220" s="251"/>
      <c r="W1220" s="251"/>
      <c r="X1220" s="251"/>
      <c r="Y1220" s="251"/>
      <c r="Z1220" s="251"/>
      <c r="AA1220" s="137"/>
      <c r="AB1220" s="137"/>
      <c r="AC1220" s="137"/>
      <c r="AD1220" s="137"/>
      <c r="AE1220" s="137"/>
      <c r="AF1220" s="137"/>
      <c r="AG1220" s="137"/>
    </row>
    <row r="1221" ht="30.0" customHeight="1">
      <c r="A1221" s="248"/>
      <c r="B1221" s="249"/>
      <c r="C1221" s="248"/>
      <c r="D1221" s="249"/>
      <c r="E1221" s="249"/>
      <c r="F1221" s="249"/>
      <c r="G1221" s="250"/>
      <c r="H1221" s="251"/>
      <c r="I1221" s="252"/>
      <c r="J1221" s="252"/>
      <c r="K1221" s="252"/>
      <c r="L1221" s="251"/>
      <c r="M1221" s="251"/>
      <c r="N1221" s="251"/>
      <c r="O1221" s="251"/>
      <c r="P1221" s="251"/>
      <c r="Q1221" s="251"/>
      <c r="R1221" s="251"/>
      <c r="S1221" s="251"/>
      <c r="T1221" s="251"/>
      <c r="U1221" s="251"/>
      <c r="V1221" s="251"/>
      <c r="W1221" s="251"/>
      <c r="X1221" s="251"/>
      <c r="Y1221" s="251"/>
      <c r="Z1221" s="251"/>
      <c r="AA1221" s="137"/>
      <c r="AB1221" s="137"/>
      <c r="AC1221" s="137"/>
      <c r="AD1221" s="137"/>
      <c r="AE1221" s="137"/>
      <c r="AF1221" s="137"/>
      <c r="AG1221" s="137"/>
    </row>
    <row r="1222" ht="30.0" customHeight="1">
      <c r="A1222" s="248"/>
      <c r="B1222" s="249"/>
      <c r="C1222" s="248"/>
      <c r="D1222" s="249"/>
      <c r="E1222" s="249"/>
      <c r="F1222" s="249"/>
      <c r="G1222" s="249"/>
      <c r="H1222" s="251"/>
      <c r="I1222" s="252"/>
      <c r="J1222" s="252"/>
      <c r="K1222" s="252"/>
      <c r="L1222" s="251"/>
      <c r="M1222" s="251"/>
      <c r="N1222" s="251"/>
      <c r="O1222" s="251"/>
      <c r="P1222" s="251"/>
      <c r="Q1222" s="251"/>
      <c r="R1222" s="251"/>
      <c r="S1222" s="251"/>
      <c r="T1222" s="251"/>
      <c r="U1222" s="251"/>
      <c r="V1222" s="251"/>
      <c r="W1222" s="251"/>
      <c r="X1222" s="251"/>
      <c r="Y1222" s="251"/>
      <c r="Z1222" s="251"/>
      <c r="AA1222" s="137"/>
      <c r="AB1222" s="137"/>
      <c r="AC1222" s="137"/>
      <c r="AD1222" s="137"/>
      <c r="AE1222" s="137"/>
      <c r="AF1222" s="137"/>
      <c r="AG1222" s="137"/>
    </row>
    <row r="1223" ht="30.0" customHeight="1">
      <c r="A1223" s="248"/>
      <c r="B1223" s="249"/>
      <c r="C1223" s="248"/>
      <c r="D1223" s="249"/>
      <c r="E1223" s="249"/>
      <c r="F1223" s="249"/>
      <c r="G1223" s="250"/>
      <c r="H1223" s="251"/>
      <c r="I1223" s="252"/>
      <c r="J1223" s="252"/>
      <c r="K1223" s="252"/>
      <c r="L1223" s="251"/>
      <c r="M1223" s="251"/>
      <c r="N1223" s="251"/>
      <c r="O1223" s="251"/>
      <c r="P1223" s="251"/>
      <c r="Q1223" s="251"/>
      <c r="R1223" s="251"/>
      <c r="S1223" s="251"/>
      <c r="T1223" s="251"/>
      <c r="U1223" s="251"/>
      <c r="V1223" s="251"/>
      <c r="W1223" s="251"/>
      <c r="X1223" s="251"/>
      <c r="Y1223" s="251"/>
      <c r="Z1223" s="251"/>
      <c r="AA1223" s="137"/>
      <c r="AB1223" s="137"/>
      <c r="AC1223" s="137"/>
      <c r="AD1223" s="137"/>
      <c r="AE1223" s="137"/>
      <c r="AF1223" s="137"/>
      <c r="AG1223" s="137"/>
    </row>
    <row r="1224" ht="30.0" customHeight="1">
      <c r="A1224" s="248"/>
      <c r="B1224" s="249"/>
      <c r="C1224" s="248"/>
      <c r="D1224" s="249"/>
      <c r="E1224" s="249"/>
      <c r="F1224" s="249"/>
      <c r="G1224" s="250"/>
      <c r="H1224" s="251"/>
      <c r="I1224" s="252"/>
      <c r="J1224" s="252"/>
      <c r="K1224" s="252"/>
      <c r="L1224" s="251"/>
      <c r="M1224" s="251"/>
      <c r="N1224" s="251"/>
      <c r="O1224" s="251"/>
      <c r="P1224" s="251"/>
      <c r="Q1224" s="251"/>
      <c r="R1224" s="251"/>
      <c r="S1224" s="251"/>
      <c r="T1224" s="251"/>
      <c r="U1224" s="251"/>
      <c r="V1224" s="251"/>
      <c r="W1224" s="251"/>
      <c r="X1224" s="251"/>
      <c r="Y1224" s="251"/>
      <c r="Z1224" s="251"/>
      <c r="AA1224" s="137"/>
      <c r="AB1224" s="137"/>
      <c r="AC1224" s="137"/>
      <c r="AD1224" s="137"/>
      <c r="AE1224" s="137"/>
      <c r="AF1224" s="137"/>
      <c r="AG1224" s="137"/>
    </row>
    <row r="1225" ht="30.0" customHeight="1">
      <c r="A1225" s="248"/>
      <c r="B1225" s="249"/>
      <c r="C1225" s="248"/>
      <c r="D1225" s="249"/>
      <c r="E1225" s="249"/>
      <c r="F1225" s="249"/>
      <c r="G1225" s="250"/>
      <c r="H1225" s="251"/>
      <c r="I1225" s="252"/>
      <c r="J1225" s="252"/>
      <c r="K1225" s="252"/>
      <c r="L1225" s="251"/>
      <c r="M1225" s="251"/>
      <c r="N1225" s="251"/>
      <c r="O1225" s="251"/>
      <c r="P1225" s="251"/>
      <c r="Q1225" s="251"/>
      <c r="R1225" s="251"/>
      <c r="S1225" s="251"/>
      <c r="T1225" s="251"/>
      <c r="U1225" s="251"/>
      <c r="V1225" s="251"/>
      <c r="W1225" s="251"/>
      <c r="X1225" s="251"/>
      <c r="Y1225" s="251"/>
      <c r="Z1225" s="251"/>
      <c r="AA1225" s="137"/>
      <c r="AB1225" s="137"/>
      <c r="AC1225" s="137"/>
      <c r="AD1225" s="137"/>
      <c r="AE1225" s="137"/>
      <c r="AF1225" s="137"/>
      <c r="AG1225" s="137"/>
    </row>
    <row r="1226" ht="30.0" customHeight="1">
      <c r="A1226" s="248"/>
      <c r="B1226" s="249"/>
      <c r="C1226" s="248"/>
      <c r="D1226" s="249"/>
      <c r="E1226" s="249"/>
      <c r="F1226" s="249"/>
      <c r="G1226" s="250"/>
      <c r="H1226" s="251"/>
      <c r="I1226" s="252"/>
      <c r="J1226" s="252"/>
      <c r="K1226" s="252"/>
      <c r="L1226" s="251"/>
      <c r="M1226" s="251"/>
      <c r="N1226" s="251"/>
      <c r="O1226" s="251"/>
      <c r="P1226" s="251"/>
      <c r="Q1226" s="251"/>
      <c r="R1226" s="251"/>
      <c r="S1226" s="251"/>
      <c r="T1226" s="251"/>
      <c r="U1226" s="251"/>
      <c r="V1226" s="251"/>
      <c r="W1226" s="251"/>
      <c r="X1226" s="251"/>
      <c r="Y1226" s="251"/>
      <c r="Z1226" s="251"/>
      <c r="AA1226" s="137"/>
      <c r="AB1226" s="137"/>
      <c r="AC1226" s="137"/>
      <c r="AD1226" s="137"/>
      <c r="AE1226" s="137"/>
      <c r="AF1226" s="137"/>
      <c r="AG1226" s="137"/>
    </row>
    <row r="1227" ht="30.0" customHeight="1">
      <c r="A1227" s="248"/>
      <c r="B1227" s="249"/>
      <c r="C1227" s="248"/>
      <c r="D1227" s="249"/>
      <c r="E1227" s="249"/>
      <c r="F1227" s="249"/>
      <c r="G1227" s="250"/>
      <c r="H1227" s="251"/>
      <c r="I1227" s="252"/>
      <c r="J1227" s="252"/>
      <c r="K1227" s="252"/>
      <c r="L1227" s="251"/>
      <c r="M1227" s="251"/>
      <c r="N1227" s="251"/>
      <c r="O1227" s="251"/>
      <c r="P1227" s="251"/>
      <c r="Q1227" s="251"/>
      <c r="R1227" s="251"/>
      <c r="S1227" s="251"/>
      <c r="T1227" s="251"/>
      <c r="U1227" s="251"/>
      <c r="V1227" s="251"/>
      <c r="W1227" s="251"/>
      <c r="X1227" s="251"/>
      <c r="Y1227" s="251"/>
      <c r="Z1227" s="251"/>
      <c r="AA1227" s="137"/>
      <c r="AB1227" s="137"/>
      <c r="AC1227" s="137"/>
      <c r="AD1227" s="137"/>
      <c r="AE1227" s="137"/>
      <c r="AF1227" s="137"/>
      <c r="AG1227" s="137"/>
    </row>
    <row r="1228" ht="30.0" customHeight="1">
      <c r="A1228" s="248"/>
      <c r="B1228" s="249"/>
      <c r="C1228" s="248"/>
      <c r="D1228" s="249"/>
      <c r="E1228" s="249"/>
      <c r="F1228" s="249"/>
      <c r="G1228" s="250"/>
      <c r="H1228" s="251"/>
      <c r="I1228" s="252"/>
      <c r="J1228" s="252"/>
      <c r="K1228" s="252"/>
      <c r="L1228" s="251"/>
      <c r="M1228" s="251"/>
      <c r="N1228" s="251"/>
      <c r="O1228" s="251"/>
      <c r="P1228" s="251"/>
      <c r="Q1228" s="251"/>
      <c r="R1228" s="251"/>
      <c r="S1228" s="251"/>
      <c r="T1228" s="251"/>
      <c r="U1228" s="251"/>
      <c r="V1228" s="251"/>
      <c r="W1228" s="251"/>
      <c r="X1228" s="251"/>
      <c r="Y1228" s="251"/>
      <c r="Z1228" s="251"/>
      <c r="AA1228" s="137"/>
      <c r="AB1228" s="137"/>
      <c r="AC1228" s="137"/>
      <c r="AD1228" s="137"/>
      <c r="AE1228" s="137"/>
      <c r="AF1228" s="137"/>
      <c r="AG1228" s="137"/>
    </row>
    <row r="1229" ht="30.0" customHeight="1">
      <c r="A1229" s="248"/>
      <c r="B1229" s="249"/>
      <c r="C1229" s="248"/>
      <c r="D1229" s="249"/>
      <c r="E1229" s="249"/>
      <c r="F1229" s="249"/>
      <c r="G1229" s="250"/>
      <c r="H1229" s="251"/>
      <c r="I1229" s="252"/>
      <c r="J1229" s="252"/>
      <c r="K1229" s="252"/>
      <c r="L1229" s="251"/>
      <c r="M1229" s="251"/>
      <c r="N1229" s="251"/>
      <c r="O1229" s="251"/>
      <c r="P1229" s="251"/>
      <c r="Q1229" s="251"/>
      <c r="R1229" s="251"/>
      <c r="S1229" s="251"/>
      <c r="T1229" s="251"/>
      <c r="U1229" s="251"/>
      <c r="V1229" s="251"/>
      <c r="W1229" s="251"/>
      <c r="X1229" s="251"/>
      <c r="Y1229" s="251"/>
      <c r="Z1229" s="251"/>
      <c r="AA1229" s="137"/>
      <c r="AB1229" s="137"/>
      <c r="AC1229" s="137"/>
      <c r="AD1229" s="137"/>
      <c r="AE1229" s="137"/>
      <c r="AF1229" s="137"/>
      <c r="AG1229" s="137"/>
    </row>
    <row r="1230" ht="30.0" customHeight="1">
      <c r="A1230" s="248"/>
      <c r="B1230" s="249"/>
      <c r="C1230" s="248"/>
      <c r="D1230" s="249"/>
      <c r="E1230" s="249"/>
      <c r="F1230" s="249"/>
      <c r="G1230" s="249"/>
      <c r="H1230" s="251"/>
      <c r="I1230" s="252"/>
      <c r="J1230" s="252"/>
      <c r="K1230" s="252"/>
      <c r="L1230" s="251"/>
      <c r="M1230" s="251"/>
      <c r="N1230" s="251"/>
      <c r="O1230" s="251"/>
      <c r="P1230" s="251"/>
      <c r="Q1230" s="251"/>
      <c r="R1230" s="251"/>
      <c r="S1230" s="251"/>
      <c r="T1230" s="251"/>
      <c r="U1230" s="251"/>
      <c r="V1230" s="251"/>
      <c r="W1230" s="251"/>
      <c r="X1230" s="251"/>
      <c r="Y1230" s="251"/>
      <c r="Z1230" s="251"/>
      <c r="AA1230" s="137"/>
      <c r="AB1230" s="137"/>
      <c r="AC1230" s="137"/>
      <c r="AD1230" s="137"/>
      <c r="AE1230" s="137"/>
      <c r="AF1230" s="137"/>
      <c r="AG1230" s="137"/>
    </row>
    <row r="1231" ht="30.0" customHeight="1">
      <c r="A1231" s="248"/>
      <c r="B1231" s="249"/>
      <c r="C1231" s="249"/>
      <c r="D1231" s="249"/>
      <c r="E1231" s="249"/>
      <c r="F1231" s="249"/>
      <c r="G1231" s="250"/>
      <c r="H1231" s="251"/>
      <c r="I1231" s="252"/>
      <c r="J1231" s="252"/>
      <c r="K1231" s="252"/>
      <c r="L1231" s="251"/>
      <c r="M1231" s="251"/>
      <c r="N1231" s="251"/>
      <c r="O1231" s="251"/>
      <c r="P1231" s="251"/>
      <c r="Q1231" s="251"/>
      <c r="R1231" s="251"/>
      <c r="S1231" s="251"/>
      <c r="T1231" s="251"/>
      <c r="U1231" s="251"/>
      <c r="V1231" s="251"/>
      <c r="W1231" s="251"/>
      <c r="X1231" s="251"/>
      <c r="Y1231" s="251"/>
      <c r="Z1231" s="251"/>
      <c r="AA1231" s="137"/>
      <c r="AB1231" s="137"/>
      <c r="AC1231" s="137"/>
      <c r="AD1231" s="137"/>
      <c r="AE1231" s="137"/>
      <c r="AF1231" s="137"/>
      <c r="AG1231" s="137"/>
    </row>
    <row r="1232" ht="30.0" customHeight="1">
      <c r="A1232" s="248"/>
      <c r="B1232" s="249"/>
      <c r="C1232" s="248"/>
      <c r="D1232" s="249"/>
      <c r="E1232" s="249"/>
      <c r="F1232" s="249"/>
      <c r="G1232" s="250"/>
      <c r="H1232" s="251"/>
      <c r="I1232" s="252"/>
      <c r="J1232" s="252"/>
      <c r="K1232" s="252"/>
      <c r="L1232" s="251"/>
      <c r="M1232" s="251"/>
      <c r="N1232" s="251"/>
      <c r="O1232" s="251"/>
      <c r="P1232" s="251"/>
      <c r="Q1232" s="251"/>
      <c r="R1232" s="251"/>
      <c r="S1232" s="251"/>
      <c r="T1232" s="251"/>
      <c r="U1232" s="251"/>
      <c r="V1232" s="251"/>
      <c r="W1232" s="251"/>
      <c r="X1232" s="251"/>
      <c r="Y1232" s="251"/>
      <c r="Z1232" s="251"/>
      <c r="AA1232" s="137"/>
      <c r="AB1232" s="137"/>
      <c r="AC1232" s="137"/>
      <c r="AD1232" s="137"/>
      <c r="AE1232" s="137"/>
      <c r="AF1232" s="137"/>
      <c r="AG1232" s="137"/>
    </row>
    <row r="1233" ht="30.0" customHeight="1">
      <c r="A1233" s="248"/>
      <c r="B1233" s="249"/>
      <c r="C1233" s="248"/>
      <c r="D1233" s="249"/>
      <c r="E1233" s="249"/>
      <c r="F1233" s="249"/>
      <c r="G1233" s="249"/>
      <c r="H1233" s="251"/>
      <c r="I1233" s="252"/>
      <c r="J1233" s="252"/>
      <c r="K1233" s="252"/>
      <c r="L1233" s="251"/>
      <c r="M1233" s="251"/>
      <c r="N1233" s="251"/>
      <c r="O1233" s="251"/>
      <c r="P1233" s="251"/>
      <c r="Q1233" s="251"/>
      <c r="R1233" s="251"/>
      <c r="S1233" s="251"/>
      <c r="T1233" s="251"/>
      <c r="U1233" s="251"/>
      <c r="V1233" s="251"/>
      <c r="W1233" s="251"/>
      <c r="X1233" s="251"/>
      <c r="Y1233" s="251"/>
      <c r="Z1233" s="251"/>
      <c r="AA1233" s="137"/>
      <c r="AB1233" s="137"/>
      <c r="AC1233" s="137"/>
      <c r="AD1233" s="137"/>
      <c r="AE1233" s="137"/>
      <c r="AF1233" s="137"/>
      <c r="AG1233" s="137"/>
    </row>
    <row r="1234" ht="30.0" customHeight="1">
      <c r="A1234" s="248"/>
      <c r="B1234" s="249"/>
      <c r="C1234" s="248"/>
      <c r="D1234" s="249"/>
      <c r="E1234" s="249"/>
      <c r="F1234" s="249"/>
      <c r="G1234" s="250"/>
      <c r="H1234" s="251"/>
      <c r="I1234" s="252"/>
      <c r="J1234" s="252"/>
      <c r="K1234" s="252"/>
      <c r="L1234" s="251"/>
      <c r="M1234" s="251"/>
      <c r="N1234" s="251"/>
      <c r="O1234" s="251"/>
      <c r="P1234" s="251"/>
      <c r="Q1234" s="251"/>
      <c r="R1234" s="251"/>
      <c r="S1234" s="251"/>
      <c r="T1234" s="251"/>
      <c r="U1234" s="251"/>
      <c r="V1234" s="251"/>
      <c r="W1234" s="251"/>
      <c r="X1234" s="251"/>
      <c r="Y1234" s="251"/>
      <c r="Z1234" s="251"/>
      <c r="AA1234" s="137"/>
      <c r="AB1234" s="137"/>
      <c r="AC1234" s="137"/>
      <c r="AD1234" s="137"/>
      <c r="AE1234" s="137"/>
      <c r="AF1234" s="137"/>
      <c r="AG1234" s="137"/>
    </row>
    <row r="1235" ht="30.0" customHeight="1">
      <c r="A1235" s="248"/>
      <c r="B1235" s="249"/>
      <c r="C1235" s="248"/>
      <c r="D1235" s="249"/>
      <c r="E1235" s="249"/>
      <c r="F1235" s="249"/>
      <c r="G1235" s="250"/>
      <c r="H1235" s="251"/>
      <c r="I1235" s="252"/>
      <c r="J1235" s="252"/>
      <c r="K1235" s="252"/>
      <c r="L1235" s="251"/>
      <c r="M1235" s="251"/>
      <c r="N1235" s="251"/>
      <c r="O1235" s="251"/>
      <c r="P1235" s="251"/>
      <c r="Q1235" s="251"/>
      <c r="R1235" s="251"/>
      <c r="S1235" s="251"/>
      <c r="T1235" s="251"/>
      <c r="U1235" s="251"/>
      <c r="V1235" s="251"/>
      <c r="W1235" s="251"/>
      <c r="X1235" s="251"/>
      <c r="Y1235" s="251"/>
      <c r="Z1235" s="251"/>
      <c r="AA1235" s="137"/>
      <c r="AB1235" s="137"/>
      <c r="AC1235" s="137"/>
      <c r="AD1235" s="137"/>
      <c r="AE1235" s="137"/>
      <c r="AF1235" s="137"/>
      <c r="AG1235" s="137"/>
    </row>
    <row r="1236" ht="30.0" customHeight="1">
      <c r="A1236" s="248"/>
      <c r="B1236" s="249"/>
      <c r="C1236" s="248"/>
      <c r="D1236" s="249"/>
      <c r="E1236" s="249"/>
      <c r="F1236" s="249"/>
      <c r="G1236" s="250"/>
      <c r="H1236" s="251"/>
      <c r="I1236" s="252"/>
      <c r="J1236" s="252"/>
      <c r="K1236" s="252"/>
      <c r="L1236" s="251"/>
      <c r="M1236" s="251"/>
      <c r="N1236" s="251"/>
      <c r="O1236" s="251"/>
      <c r="P1236" s="251"/>
      <c r="Q1236" s="251"/>
      <c r="R1236" s="251"/>
      <c r="S1236" s="251"/>
      <c r="T1236" s="251"/>
      <c r="U1236" s="251"/>
      <c r="V1236" s="251"/>
      <c r="W1236" s="251"/>
      <c r="X1236" s="251"/>
      <c r="Y1236" s="251"/>
      <c r="Z1236" s="251"/>
      <c r="AA1236" s="137"/>
      <c r="AB1236" s="137"/>
      <c r="AC1236" s="137"/>
      <c r="AD1236" s="137"/>
      <c r="AE1236" s="137"/>
      <c r="AF1236" s="137"/>
      <c r="AG1236" s="137"/>
    </row>
    <row r="1237" ht="30.0" customHeight="1">
      <c r="A1237" s="248"/>
      <c r="B1237" s="249"/>
      <c r="C1237" s="248"/>
      <c r="D1237" s="249"/>
      <c r="E1237" s="249"/>
      <c r="F1237" s="249"/>
      <c r="G1237" s="250"/>
      <c r="H1237" s="251"/>
      <c r="I1237" s="252"/>
      <c r="J1237" s="252"/>
      <c r="K1237" s="252"/>
      <c r="L1237" s="251"/>
      <c r="M1237" s="251"/>
      <c r="N1237" s="251"/>
      <c r="O1237" s="251"/>
      <c r="P1237" s="251"/>
      <c r="Q1237" s="251"/>
      <c r="R1237" s="251"/>
      <c r="S1237" s="251"/>
      <c r="T1237" s="251"/>
      <c r="U1237" s="251"/>
      <c r="V1237" s="251"/>
      <c r="W1237" s="251"/>
      <c r="X1237" s="251"/>
      <c r="Y1237" s="251"/>
      <c r="Z1237" s="251"/>
      <c r="AA1237" s="137"/>
      <c r="AB1237" s="137"/>
      <c r="AC1237" s="137"/>
      <c r="AD1237" s="137"/>
      <c r="AE1237" s="137"/>
      <c r="AF1237" s="137"/>
      <c r="AG1237" s="137"/>
    </row>
    <row r="1238" ht="30.0" customHeight="1">
      <c r="A1238" s="248"/>
      <c r="B1238" s="249"/>
      <c r="C1238" s="248"/>
      <c r="D1238" s="249"/>
      <c r="E1238" s="249"/>
      <c r="F1238" s="249"/>
      <c r="G1238" s="250"/>
      <c r="H1238" s="251"/>
      <c r="I1238" s="252"/>
      <c r="J1238" s="252"/>
      <c r="K1238" s="252"/>
      <c r="L1238" s="251"/>
      <c r="M1238" s="251"/>
      <c r="N1238" s="251"/>
      <c r="O1238" s="251"/>
      <c r="P1238" s="251"/>
      <c r="Q1238" s="251"/>
      <c r="R1238" s="251"/>
      <c r="S1238" s="251"/>
      <c r="T1238" s="251"/>
      <c r="U1238" s="251"/>
      <c r="V1238" s="251"/>
      <c r="W1238" s="251"/>
      <c r="X1238" s="251"/>
      <c r="Y1238" s="251"/>
      <c r="Z1238" s="251"/>
      <c r="AA1238" s="137"/>
      <c r="AB1238" s="137"/>
      <c r="AC1238" s="137"/>
      <c r="AD1238" s="137"/>
      <c r="AE1238" s="137"/>
      <c r="AF1238" s="137"/>
      <c r="AG1238" s="137"/>
    </row>
    <row r="1239" ht="30.0" customHeight="1">
      <c r="A1239" s="248"/>
      <c r="B1239" s="249"/>
      <c r="C1239" s="248"/>
      <c r="D1239" s="249"/>
      <c r="E1239" s="249"/>
      <c r="F1239" s="249"/>
      <c r="G1239" s="249"/>
      <c r="H1239" s="251"/>
      <c r="I1239" s="252"/>
      <c r="J1239" s="252"/>
      <c r="K1239" s="252"/>
      <c r="L1239" s="251"/>
      <c r="M1239" s="251"/>
      <c r="N1239" s="251"/>
      <c r="O1239" s="251"/>
      <c r="P1239" s="251"/>
      <c r="Q1239" s="251"/>
      <c r="R1239" s="251"/>
      <c r="S1239" s="251"/>
      <c r="T1239" s="251"/>
      <c r="U1239" s="251"/>
      <c r="V1239" s="251"/>
      <c r="W1239" s="251"/>
      <c r="X1239" s="251"/>
      <c r="Y1239" s="251"/>
      <c r="Z1239" s="251"/>
      <c r="AA1239" s="137"/>
      <c r="AB1239" s="137"/>
      <c r="AC1239" s="137"/>
      <c r="AD1239" s="137"/>
      <c r="AE1239" s="137"/>
      <c r="AF1239" s="137"/>
      <c r="AG1239" s="137"/>
    </row>
    <row r="1240" ht="30.0" customHeight="1">
      <c r="A1240" s="248"/>
      <c r="B1240" s="249"/>
      <c r="C1240" s="248"/>
      <c r="D1240" s="249"/>
      <c r="E1240" s="249"/>
      <c r="F1240" s="249"/>
      <c r="G1240" s="250"/>
      <c r="H1240" s="251"/>
      <c r="I1240" s="252"/>
      <c r="J1240" s="252"/>
      <c r="K1240" s="252"/>
      <c r="L1240" s="251"/>
      <c r="M1240" s="251"/>
      <c r="N1240" s="251"/>
      <c r="O1240" s="251"/>
      <c r="P1240" s="251"/>
      <c r="Q1240" s="251"/>
      <c r="R1240" s="251"/>
      <c r="S1240" s="251"/>
      <c r="T1240" s="251"/>
      <c r="U1240" s="251"/>
      <c r="V1240" s="251"/>
      <c r="W1240" s="251"/>
      <c r="X1240" s="251"/>
      <c r="Y1240" s="251"/>
      <c r="Z1240" s="251"/>
      <c r="AA1240" s="137"/>
      <c r="AB1240" s="137"/>
      <c r="AC1240" s="137"/>
      <c r="AD1240" s="137"/>
      <c r="AE1240" s="137"/>
      <c r="AF1240" s="137"/>
      <c r="AG1240" s="137"/>
    </row>
    <row r="1241" ht="30.0" customHeight="1">
      <c r="A1241" s="248"/>
      <c r="B1241" s="249"/>
      <c r="C1241" s="248"/>
      <c r="D1241" s="249"/>
      <c r="E1241" s="249"/>
      <c r="F1241" s="249"/>
      <c r="G1241" s="250"/>
      <c r="H1241" s="251"/>
      <c r="I1241" s="252"/>
      <c r="J1241" s="252"/>
      <c r="K1241" s="252"/>
      <c r="L1241" s="251"/>
      <c r="M1241" s="251"/>
      <c r="N1241" s="251"/>
      <c r="O1241" s="251"/>
      <c r="P1241" s="251"/>
      <c r="Q1241" s="251"/>
      <c r="R1241" s="251"/>
      <c r="S1241" s="251"/>
      <c r="T1241" s="251"/>
      <c r="U1241" s="251"/>
      <c r="V1241" s="251"/>
      <c r="W1241" s="251"/>
      <c r="X1241" s="251"/>
      <c r="Y1241" s="251"/>
      <c r="Z1241" s="251"/>
      <c r="AA1241" s="137"/>
      <c r="AB1241" s="137"/>
      <c r="AC1241" s="137"/>
      <c r="AD1241" s="137"/>
      <c r="AE1241" s="137"/>
      <c r="AF1241" s="137"/>
      <c r="AG1241" s="137"/>
    </row>
    <row r="1242" ht="30.0" customHeight="1">
      <c r="A1242" s="248"/>
      <c r="B1242" s="249"/>
      <c r="C1242" s="248"/>
      <c r="D1242" s="249"/>
      <c r="E1242" s="249"/>
      <c r="F1242" s="249"/>
      <c r="G1242" s="250"/>
      <c r="H1242" s="251"/>
      <c r="I1242" s="252"/>
      <c r="J1242" s="252"/>
      <c r="K1242" s="252"/>
      <c r="L1242" s="251"/>
      <c r="M1242" s="251"/>
      <c r="N1242" s="251"/>
      <c r="O1242" s="251"/>
      <c r="P1242" s="251"/>
      <c r="Q1242" s="251"/>
      <c r="R1242" s="251"/>
      <c r="S1242" s="251"/>
      <c r="T1242" s="251"/>
      <c r="U1242" s="251"/>
      <c r="V1242" s="251"/>
      <c r="W1242" s="251"/>
      <c r="X1242" s="251"/>
      <c r="Y1242" s="251"/>
      <c r="Z1242" s="251"/>
      <c r="AA1242" s="137"/>
      <c r="AB1242" s="137"/>
      <c r="AC1242" s="137"/>
      <c r="AD1242" s="137"/>
      <c r="AE1242" s="137"/>
      <c r="AF1242" s="137"/>
      <c r="AG1242" s="137"/>
    </row>
    <row r="1243" ht="30.0" customHeight="1">
      <c r="A1243" s="248"/>
      <c r="B1243" s="249"/>
      <c r="C1243" s="248"/>
      <c r="D1243" s="249"/>
      <c r="E1243" s="249"/>
      <c r="F1243" s="249"/>
      <c r="G1243" s="250"/>
      <c r="H1243" s="251"/>
      <c r="I1243" s="252"/>
      <c r="J1243" s="252"/>
      <c r="K1243" s="252"/>
      <c r="L1243" s="251"/>
      <c r="M1243" s="251"/>
      <c r="N1243" s="251"/>
      <c r="O1243" s="251"/>
      <c r="P1243" s="251"/>
      <c r="Q1243" s="251"/>
      <c r="R1243" s="251"/>
      <c r="S1243" s="251"/>
      <c r="T1243" s="251"/>
      <c r="U1243" s="251"/>
      <c r="V1243" s="251"/>
      <c r="W1243" s="251"/>
      <c r="X1243" s="251"/>
      <c r="Y1243" s="251"/>
      <c r="Z1243" s="251"/>
      <c r="AA1243" s="137"/>
      <c r="AB1243" s="137"/>
      <c r="AC1243" s="137"/>
      <c r="AD1243" s="137"/>
      <c r="AE1243" s="137"/>
      <c r="AF1243" s="137"/>
      <c r="AG1243" s="137"/>
    </row>
    <row r="1244" ht="30.0" customHeight="1">
      <c r="A1244" s="248"/>
      <c r="B1244" s="249"/>
      <c r="C1244" s="248"/>
      <c r="D1244" s="249"/>
      <c r="E1244" s="249"/>
      <c r="F1244" s="249"/>
      <c r="G1244" s="250"/>
      <c r="H1244" s="251"/>
      <c r="I1244" s="252"/>
      <c r="J1244" s="252"/>
      <c r="K1244" s="252"/>
      <c r="L1244" s="251"/>
      <c r="M1244" s="251"/>
      <c r="N1244" s="251"/>
      <c r="O1244" s="251"/>
      <c r="P1244" s="251"/>
      <c r="Q1244" s="251"/>
      <c r="R1244" s="251"/>
      <c r="S1244" s="251"/>
      <c r="T1244" s="251"/>
      <c r="U1244" s="251"/>
      <c r="V1244" s="251"/>
      <c r="W1244" s="251"/>
      <c r="X1244" s="251"/>
      <c r="Y1244" s="251"/>
      <c r="Z1244" s="251"/>
      <c r="AA1244" s="137"/>
      <c r="AB1244" s="137"/>
      <c r="AC1244" s="137"/>
      <c r="AD1244" s="137"/>
      <c r="AE1244" s="137"/>
      <c r="AF1244" s="137"/>
      <c r="AG1244" s="137"/>
    </row>
    <row r="1245" ht="30.0" customHeight="1">
      <c r="A1245" s="248"/>
      <c r="B1245" s="249"/>
      <c r="C1245" s="248"/>
      <c r="D1245" s="249"/>
      <c r="E1245" s="249"/>
      <c r="F1245" s="249"/>
      <c r="G1245" s="250"/>
      <c r="H1245" s="251"/>
      <c r="I1245" s="252"/>
      <c r="J1245" s="252"/>
      <c r="K1245" s="252"/>
      <c r="L1245" s="251"/>
      <c r="M1245" s="251"/>
      <c r="N1245" s="251"/>
      <c r="O1245" s="251"/>
      <c r="P1245" s="251"/>
      <c r="Q1245" s="251"/>
      <c r="R1245" s="251"/>
      <c r="S1245" s="251"/>
      <c r="T1245" s="251"/>
      <c r="U1245" s="251"/>
      <c r="V1245" s="251"/>
      <c r="W1245" s="251"/>
      <c r="X1245" s="251"/>
      <c r="Y1245" s="251"/>
      <c r="Z1245" s="251"/>
      <c r="AA1245" s="137"/>
      <c r="AB1245" s="137"/>
      <c r="AC1245" s="137"/>
      <c r="AD1245" s="137"/>
      <c r="AE1245" s="137"/>
      <c r="AF1245" s="137"/>
      <c r="AG1245" s="137"/>
    </row>
    <row r="1246" ht="30.0" customHeight="1">
      <c r="A1246" s="248"/>
      <c r="B1246" s="249"/>
      <c r="C1246" s="248"/>
      <c r="D1246" s="249"/>
      <c r="E1246" s="249"/>
      <c r="F1246" s="249"/>
      <c r="G1246" s="250"/>
      <c r="H1246" s="251"/>
      <c r="I1246" s="252"/>
      <c r="J1246" s="252"/>
      <c r="K1246" s="252"/>
      <c r="L1246" s="251"/>
      <c r="M1246" s="251"/>
      <c r="N1246" s="251"/>
      <c r="O1246" s="251"/>
      <c r="P1246" s="251"/>
      <c r="Q1246" s="251"/>
      <c r="R1246" s="251"/>
      <c r="S1246" s="251"/>
      <c r="T1246" s="251"/>
      <c r="U1246" s="251"/>
      <c r="V1246" s="251"/>
      <c r="W1246" s="251"/>
      <c r="X1246" s="251"/>
      <c r="Y1246" s="251"/>
      <c r="Z1246" s="251"/>
      <c r="AA1246" s="137"/>
      <c r="AB1246" s="137"/>
      <c r="AC1246" s="137"/>
      <c r="AD1246" s="137"/>
      <c r="AE1246" s="137"/>
      <c r="AF1246" s="137"/>
      <c r="AG1246" s="137"/>
    </row>
    <row r="1247" ht="30.0" customHeight="1">
      <c r="A1247" s="248"/>
      <c r="B1247" s="249"/>
      <c r="C1247" s="248"/>
      <c r="D1247" s="249"/>
      <c r="E1247" s="249"/>
      <c r="F1247" s="249"/>
      <c r="G1247" s="250"/>
      <c r="H1247" s="251"/>
      <c r="I1247" s="252"/>
      <c r="J1247" s="252"/>
      <c r="K1247" s="252"/>
      <c r="L1247" s="251"/>
      <c r="M1247" s="251"/>
      <c r="N1247" s="251"/>
      <c r="O1247" s="251"/>
      <c r="P1247" s="251"/>
      <c r="Q1247" s="251"/>
      <c r="R1247" s="251"/>
      <c r="S1247" s="251"/>
      <c r="T1247" s="251"/>
      <c r="U1247" s="251"/>
      <c r="V1247" s="251"/>
      <c r="W1247" s="251"/>
      <c r="X1247" s="251"/>
      <c r="Y1247" s="251"/>
      <c r="Z1247" s="251"/>
      <c r="AA1247" s="137"/>
      <c r="AB1247" s="137"/>
      <c r="AC1247" s="137"/>
      <c r="AD1247" s="137"/>
      <c r="AE1247" s="137"/>
      <c r="AF1247" s="137"/>
      <c r="AG1247" s="137"/>
    </row>
    <row r="1248" ht="30.0" customHeight="1">
      <c r="A1248" s="248"/>
      <c r="B1248" s="249"/>
      <c r="C1248" s="248"/>
      <c r="D1248" s="249"/>
      <c r="E1248" s="249"/>
      <c r="F1248" s="249"/>
      <c r="G1248" s="250"/>
      <c r="H1248" s="251"/>
      <c r="I1248" s="252"/>
      <c r="J1248" s="252"/>
      <c r="K1248" s="252"/>
      <c r="L1248" s="251"/>
      <c r="M1248" s="251"/>
      <c r="N1248" s="251"/>
      <c r="O1248" s="251"/>
      <c r="P1248" s="251"/>
      <c r="Q1248" s="251"/>
      <c r="R1248" s="251"/>
      <c r="S1248" s="251"/>
      <c r="T1248" s="251"/>
      <c r="U1248" s="251"/>
      <c r="V1248" s="251"/>
      <c r="W1248" s="251"/>
      <c r="X1248" s="251"/>
      <c r="Y1248" s="251"/>
      <c r="Z1248" s="251"/>
      <c r="AA1248" s="137"/>
      <c r="AB1248" s="137"/>
      <c r="AC1248" s="137"/>
      <c r="AD1248" s="137"/>
      <c r="AE1248" s="137"/>
      <c r="AF1248" s="137"/>
      <c r="AG1248" s="137"/>
    </row>
    <row r="1249" ht="30.0" customHeight="1">
      <c r="A1249" s="248"/>
      <c r="B1249" s="249"/>
      <c r="C1249" s="248"/>
      <c r="D1249" s="249"/>
      <c r="E1249" s="249"/>
      <c r="F1249" s="249"/>
      <c r="G1249" s="250"/>
      <c r="H1249" s="251"/>
      <c r="I1249" s="252"/>
      <c r="J1249" s="252"/>
      <c r="K1249" s="252"/>
      <c r="L1249" s="251"/>
      <c r="M1249" s="251"/>
      <c r="N1249" s="251"/>
      <c r="O1249" s="251"/>
      <c r="P1249" s="251"/>
      <c r="Q1249" s="251"/>
      <c r="R1249" s="251"/>
      <c r="S1249" s="251"/>
      <c r="T1249" s="251"/>
      <c r="U1249" s="251"/>
      <c r="V1249" s="251"/>
      <c r="W1249" s="251"/>
      <c r="X1249" s="251"/>
      <c r="Y1249" s="251"/>
      <c r="Z1249" s="251"/>
      <c r="AA1249" s="137"/>
      <c r="AB1249" s="137"/>
      <c r="AC1249" s="137"/>
      <c r="AD1249" s="137"/>
      <c r="AE1249" s="137"/>
      <c r="AF1249" s="137"/>
      <c r="AG1249" s="137"/>
    </row>
    <row r="1250" ht="30.0" customHeight="1">
      <c r="A1250" s="248"/>
      <c r="B1250" s="249"/>
      <c r="C1250" s="248"/>
      <c r="D1250" s="249"/>
      <c r="E1250" s="249"/>
      <c r="F1250" s="249"/>
      <c r="G1250" s="250"/>
      <c r="H1250" s="251"/>
      <c r="I1250" s="252"/>
      <c r="J1250" s="252"/>
      <c r="K1250" s="252"/>
      <c r="L1250" s="251"/>
      <c r="M1250" s="251"/>
      <c r="N1250" s="251"/>
      <c r="O1250" s="251"/>
      <c r="P1250" s="251"/>
      <c r="Q1250" s="251"/>
      <c r="R1250" s="251"/>
      <c r="S1250" s="251"/>
      <c r="T1250" s="251"/>
      <c r="U1250" s="251"/>
      <c r="V1250" s="251"/>
      <c r="W1250" s="251"/>
      <c r="X1250" s="251"/>
      <c r="Y1250" s="251"/>
      <c r="Z1250" s="251"/>
      <c r="AA1250" s="137"/>
      <c r="AB1250" s="137"/>
      <c r="AC1250" s="137"/>
      <c r="AD1250" s="137"/>
      <c r="AE1250" s="137"/>
      <c r="AF1250" s="137"/>
      <c r="AG1250" s="137"/>
    </row>
    <row r="1251" ht="30.0" customHeight="1">
      <c r="A1251" s="248"/>
      <c r="B1251" s="249"/>
      <c r="C1251" s="248"/>
      <c r="D1251" s="249"/>
      <c r="E1251" s="249"/>
      <c r="F1251" s="249"/>
      <c r="G1251" s="250"/>
      <c r="H1251" s="251"/>
      <c r="I1251" s="252"/>
      <c r="J1251" s="252"/>
      <c r="K1251" s="252"/>
      <c r="L1251" s="251"/>
      <c r="M1251" s="251"/>
      <c r="N1251" s="251"/>
      <c r="O1251" s="251"/>
      <c r="P1251" s="251"/>
      <c r="Q1251" s="251"/>
      <c r="R1251" s="251"/>
      <c r="S1251" s="251"/>
      <c r="T1251" s="251"/>
      <c r="U1251" s="251"/>
      <c r="V1251" s="251"/>
      <c r="W1251" s="251"/>
      <c r="X1251" s="251"/>
      <c r="Y1251" s="251"/>
      <c r="Z1251" s="251"/>
      <c r="AA1251" s="137"/>
      <c r="AB1251" s="137"/>
      <c r="AC1251" s="137"/>
      <c r="AD1251" s="137"/>
      <c r="AE1251" s="137"/>
      <c r="AF1251" s="137"/>
      <c r="AG1251" s="137"/>
    </row>
    <row r="1252" ht="30.0" customHeight="1">
      <c r="A1252" s="248"/>
      <c r="B1252" s="249"/>
      <c r="C1252" s="248"/>
      <c r="D1252" s="249"/>
      <c r="E1252" s="249"/>
      <c r="F1252" s="249"/>
      <c r="G1252" s="249"/>
      <c r="H1252" s="251"/>
      <c r="I1252" s="252"/>
      <c r="J1252" s="252"/>
      <c r="K1252" s="252"/>
      <c r="L1252" s="251"/>
      <c r="M1252" s="251"/>
      <c r="N1252" s="251"/>
      <c r="O1252" s="251"/>
      <c r="P1252" s="251"/>
      <c r="Q1252" s="251"/>
      <c r="R1252" s="251"/>
      <c r="S1252" s="251"/>
      <c r="T1252" s="251"/>
      <c r="U1252" s="251"/>
      <c r="V1252" s="251"/>
      <c r="W1252" s="251"/>
      <c r="X1252" s="251"/>
      <c r="Y1252" s="251"/>
      <c r="Z1252" s="251"/>
      <c r="AA1252" s="137"/>
      <c r="AB1252" s="137"/>
      <c r="AC1252" s="137"/>
      <c r="AD1252" s="137"/>
      <c r="AE1252" s="137"/>
      <c r="AF1252" s="137"/>
      <c r="AG1252" s="137"/>
    </row>
    <row r="1253" ht="30.0" customHeight="1">
      <c r="A1253" s="248"/>
      <c r="B1253" s="249"/>
      <c r="C1253" s="248"/>
      <c r="D1253" s="249"/>
      <c r="E1253" s="249"/>
      <c r="F1253" s="249"/>
      <c r="G1253" s="250"/>
      <c r="H1253" s="251"/>
      <c r="I1253" s="252"/>
      <c r="J1253" s="252"/>
      <c r="K1253" s="252"/>
      <c r="L1253" s="251"/>
      <c r="M1253" s="251"/>
      <c r="N1253" s="251"/>
      <c r="O1253" s="251"/>
      <c r="P1253" s="251"/>
      <c r="Q1253" s="251"/>
      <c r="R1253" s="251"/>
      <c r="S1253" s="251"/>
      <c r="T1253" s="251"/>
      <c r="U1253" s="251"/>
      <c r="V1253" s="251"/>
      <c r="W1253" s="251"/>
      <c r="X1253" s="251"/>
      <c r="Y1253" s="251"/>
      <c r="Z1253" s="251"/>
      <c r="AA1253" s="137"/>
      <c r="AB1253" s="137"/>
      <c r="AC1253" s="137"/>
      <c r="AD1253" s="137"/>
      <c r="AE1253" s="137"/>
      <c r="AF1253" s="137"/>
      <c r="AG1253" s="137"/>
    </row>
    <row r="1254" ht="30.0" customHeight="1">
      <c r="A1254" s="248"/>
      <c r="B1254" s="249"/>
      <c r="C1254" s="249"/>
      <c r="D1254" s="249"/>
      <c r="E1254" s="249"/>
      <c r="F1254" s="249"/>
      <c r="G1254" s="249"/>
      <c r="H1254" s="251"/>
      <c r="I1254" s="252"/>
      <c r="J1254" s="252"/>
      <c r="K1254" s="252"/>
      <c r="L1254" s="251"/>
      <c r="M1254" s="251"/>
      <c r="N1254" s="251"/>
      <c r="O1254" s="251"/>
      <c r="P1254" s="251"/>
      <c r="Q1254" s="251"/>
      <c r="R1254" s="251"/>
      <c r="S1254" s="251"/>
      <c r="T1254" s="251"/>
      <c r="U1254" s="251"/>
      <c r="V1254" s="251"/>
      <c r="W1254" s="251"/>
      <c r="X1254" s="251"/>
      <c r="Y1254" s="251"/>
      <c r="Z1254" s="251"/>
      <c r="AA1254" s="137"/>
      <c r="AB1254" s="137"/>
      <c r="AC1254" s="137"/>
      <c r="AD1254" s="137"/>
      <c r="AE1254" s="137"/>
      <c r="AF1254" s="137"/>
      <c r="AG1254" s="137"/>
    </row>
    <row r="1255" ht="30.0" customHeight="1">
      <c r="A1255" s="248"/>
      <c r="B1255" s="249"/>
      <c r="C1255" s="248"/>
      <c r="D1255" s="249"/>
      <c r="E1255" s="249"/>
      <c r="F1255" s="249"/>
      <c r="G1255" s="250"/>
      <c r="H1255" s="251"/>
      <c r="I1255" s="252"/>
      <c r="J1255" s="252"/>
      <c r="K1255" s="252"/>
      <c r="L1255" s="251"/>
      <c r="M1255" s="251"/>
      <c r="N1255" s="251"/>
      <c r="O1255" s="251"/>
      <c r="P1255" s="251"/>
      <c r="Q1255" s="251"/>
      <c r="R1255" s="251"/>
      <c r="S1255" s="251"/>
      <c r="T1255" s="251"/>
      <c r="U1255" s="251"/>
      <c r="V1255" s="251"/>
      <c r="W1255" s="251"/>
      <c r="X1255" s="251"/>
      <c r="Y1255" s="251"/>
      <c r="Z1255" s="251"/>
      <c r="AA1255" s="137"/>
      <c r="AB1255" s="137"/>
      <c r="AC1255" s="137"/>
      <c r="AD1255" s="137"/>
      <c r="AE1255" s="137"/>
      <c r="AF1255" s="137"/>
      <c r="AG1255" s="137"/>
    </row>
    <row r="1256" ht="30.0" customHeight="1">
      <c r="A1256" s="248"/>
      <c r="B1256" s="249"/>
      <c r="C1256" s="248"/>
      <c r="D1256" s="249"/>
      <c r="E1256" s="249"/>
      <c r="F1256" s="249"/>
      <c r="G1256" s="250"/>
      <c r="H1256" s="251"/>
      <c r="I1256" s="252"/>
      <c r="J1256" s="252"/>
      <c r="K1256" s="252"/>
      <c r="L1256" s="251"/>
      <c r="M1256" s="251"/>
      <c r="N1256" s="251"/>
      <c r="O1256" s="251"/>
      <c r="P1256" s="251"/>
      <c r="Q1256" s="251"/>
      <c r="R1256" s="251"/>
      <c r="S1256" s="251"/>
      <c r="T1256" s="251"/>
      <c r="U1256" s="251"/>
      <c r="V1256" s="251"/>
      <c r="W1256" s="251"/>
      <c r="X1256" s="251"/>
      <c r="Y1256" s="251"/>
      <c r="Z1256" s="251"/>
      <c r="AA1256" s="137"/>
      <c r="AB1256" s="137"/>
      <c r="AC1256" s="137"/>
      <c r="AD1256" s="137"/>
      <c r="AE1256" s="137"/>
      <c r="AF1256" s="137"/>
      <c r="AG1256" s="137"/>
    </row>
    <row r="1257" ht="30.0" customHeight="1">
      <c r="A1257" s="248"/>
      <c r="B1257" s="249"/>
      <c r="C1257" s="248"/>
      <c r="D1257" s="249"/>
      <c r="E1257" s="249"/>
      <c r="F1257" s="249"/>
      <c r="G1257" s="250"/>
      <c r="H1257" s="251"/>
      <c r="I1257" s="252"/>
      <c r="J1257" s="252"/>
      <c r="K1257" s="252"/>
      <c r="L1257" s="251"/>
      <c r="M1257" s="251"/>
      <c r="N1257" s="251"/>
      <c r="O1257" s="251"/>
      <c r="P1257" s="251"/>
      <c r="Q1257" s="251"/>
      <c r="R1257" s="251"/>
      <c r="S1257" s="251"/>
      <c r="T1257" s="251"/>
      <c r="U1257" s="251"/>
      <c r="V1257" s="251"/>
      <c r="W1257" s="251"/>
      <c r="X1257" s="251"/>
      <c r="Y1257" s="251"/>
      <c r="Z1257" s="251"/>
      <c r="AA1257" s="137"/>
      <c r="AB1257" s="137"/>
      <c r="AC1257" s="137"/>
      <c r="AD1257" s="137"/>
      <c r="AE1257" s="137"/>
      <c r="AF1257" s="137"/>
      <c r="AG1257" s="137"/>
    </row>
    <row r="1258" ht="30.0" customHeight="1">
      <c r="A1258" s="248"/>
      <c r="B1258" s="249"/>
      <c r="C1258" s="248"/>
      <c r="D1258" s="249"/>
      <c r="E1258" s="249"/>
      <c r="F1258" s="249"/>
      <c r="G1258" s="250"/>
      <c r="H1258" s="251"/>
      <c r="I1258" s="252"/>
      <c r="J1258" s="252"/>
      <c r="K1258" s="252"/>
      <c r="L1258" s="251"/>
      <c r="M1258" s="251"/>
      <c r="N1258" s="251"/>
      <c r="O1258" s="251"/>
      <c r="P1258" s="251"/>
      <c r="Q1258" s="251"/>
      <c r="R1258" s="251"/>
      <c r="S1258" s="251"/>
      <c r="T1258" s="251"/>
      <c r="U1258" s="251"/>
      <c r="V1258" s="251"/>
      <c r="W1258" s="251"/>
      <c r="X1258" s="251"/>
      <c r="Y1258" s="251"/>
      <c r="Z1258" s="251"/>
      <c r="AA1258" s="137"/>
      <c r="AB1258" s="137"/>
      <c r="AC1258" s="137"/>
      <c r="AD1258" s="137"/>
      <c r="AE1258" s="137"/>
      <c r="AF1258" s="137"/>
      <c r="AG1258" s="137"/>
    </row>
    <row r="1259" ht="30.0" customHeight="1">
      <c r="A1259" s="248"/>
      <c r="B1259" s="249"/>
      <c r="C1259" s="248"/>
      <c r="D1259" s="249"/>
      <c r="E1259" s="249"/>
      <c r="F1259" s="249"/>
      <c r="G1259" s="250"/>
      <c r="H1259" s="251"/>
      <c r="I1259" s="252"/>
      <c r="J1259" s="252"/>
      <c r="K1259" s="252"/>
      <c r="L1259" s="251"/>
      <c r="M1259" s="251"/>
      <c r="N1259" s="251"/>
      <c r="O1259" s="251"/>
      <c r="P1259" s="251"/>
      <c r="Q1259" s="251"/>
      <c r="R1259" s="251"/>
      <c r="S1259" s="251"/>
      <c r="T1259" s="251"/>
      <c r="U1259" s="251"/>
      <c r="V1259" s="251"/>
      <c r="W1259" s="251"/>
      <c r="X1259" s="251"/>
      <c r="Y1259" s="251"/>
      <c r="Z1259" s="251"/>
      <c r="AA1259" s="137"/>
      <c r="AB1259" s="137"/>
      <c r="AC1259" s="137"/>
      <c r="AD1259" s="137"/>
      <c r="AE1259" s="137"/>
      <c r="AF1259" s="137"/>
      <c r="AG1259" s="137"/>
    </row>
    <row r="1260" ht="30.0" customHeight="1">
      <c r="A1260" s="248"/>
      <c r="B1260" s="249"/>
      <c r="C1260" s="248"/>
      <c r="D1260" s="249"/>
      <c r="E1260" s="249"/>
      <c r="F1260" s="249"/>
      <c r="G1260" s="250"/>
      <c r="H1260" s="251"/>
      <c r="I1260" s="252"/>
      <c r="J1260" s="252"/>
      <c r="K1260" s="252"/>
      <c r="L1260" s="251"/>
      <c r="M1260" s="251"/>
      <c r="N1260" s="251"/>
      <c r="O1260" s="251"/>
      <c r="P1260" s="251"/>
      <c r="Q1260" s="251"/>
      <c r="R1260" s="251"/>
      <c r="S1260" s="251"/>
      <c r="T1260" s="251"/>
      <c r="U1260" s="251"/>
      <c r="V1260" s="251"/>
      <c r="W1260" s="251"/>
      <c r="X1260" s="251"/>
      <c r="Y1260" s="251"/>
      <c r="Z1260" s="251"/>
      <c r="AA1260" s="137"/>
      <c r="AB1260" s="137"/>
      <c r="AC1260" s="137"/>
      <c r="AD1260" s="137"/>
      <c r="AE1260" s="137"/>
      <c r="AF1260" s="137"/>
      <c r="AG1260" s="137"/>
    </row>
    <row r="1261" ht="30.0" customHeight="1">
      <c r="A1261" s="248"/>
      <c r="B1261" s="249"/>
      <c r="C1261" s="248"/>
      <c r="D1261" s="249"/>
      <c r="E1261" s="249"/>
      <c r="F1261" s="249"/>
      <c r="G1261" s="250"/>
      <c r="H1261" s="251"/>
      <c r="I1261" s="252"/>
      <c r="J1261" s="252"/>
      <c r="K1261" s="252"/>
      <c r="L1261" s="251"/>
      <c r="M1261" s="251"/>
      <c r="N1261" s="251"/>
      <c r="O1261" s="251"/>
      <c r="P1261" s="251"/>
      <c r="Q1261" s="251"/>
      <c r="R1261" s="251"/>
      <c r="S1261" s="251"/>
      <c r="T1261" s="251"/>
      <c r="U1261" s="251"/>
      <c r="V1261" s="251"/>
      <c r="W1261" s="251"/>
      <c r="X1261" s="251"/>
      <c r="Y1261" s="251"/>
      <c r="Z1261" s="251"/>
      <c r="AA1261" s="137"/>
      <c r="AB1261" s="137"/>
      <c r="AC1261" s="137"/>
      <c r="AD1261" s="137"/>
      <c r="AE1261" s="137"/>
      <c r="AF1261" s="137"/>
      <c r="AG1261" s="137"/>
    </row>
    <row r="1262" ht="30.0" customHeight="1">
      <c r="A1262" s="248"/>
      <c r="B1262" s="249"/>
      <c r="C1262" s="249"/>
      <c r="D1262" s="249"/>
      <c r="E1262" s="249"/>
      <c r="F1262" s="249"/>
      <c r="G1262" s="250"/>
      <c r="H1262" s="251"/>
      <c r="I1262" s="252"/>
      <c r="J1262" s="252"/>
      <c r="K1262" s="252"/>
      <c r="L1262" s="251"/>
      <c r="M1262" s="251"/>
      <c r="N1262" s="251"/>
      <c r="O1262" s="251"/>
      <c r="P1262" s="251"/>
      <c r="Q1262" s="251"/>
      <c r="R1262" s="251"/>
      <c r="S1262" s="251"/>
      <c r="T1262" s="251"/>
      <c r="U1262" s="251"/>
      <c r="V1262" s="251"/>
      <c r="W1262" s="251"/>
      <c r="X1262" s="251"/>
      <c r="Y1262" s="251"/>
      <c r="Z1262" s="251"/>
      <c r="AA1262" s="137"/>
      <c r="AB1262" s="137"/>
      <c r="AC1262" s="137"/>
      <c r="AD1262" s="137"/>
      <c r="AE1262" s="137"/>
      <c r="AF1262" s="137"/>
      <c r="AG1262" s="137"/>
    </row>
    <row r="1263" ht="30.0" customHeight="1">
      <c r="A1263" s="248"/>
      <c r="B1263" s="249"/>
      <c r="C1263" s="249"/>
      <c r="D1263" s="249"/>
      <c r="E1263" s="249"/>
      <c r="F1263" s="249"/>
      <c r="G1263" s="250"/>
      <c r="H1263" s="251"/>
      <c r="I1263" s="252"/>
      <c r="J1263" s="252"/>
      <c r="K1263" s="252"/>
      <c r="L1263" s="251"/>
      <c r="M1263" s="251"/>
      <c r="N1263" s="251"/>
      <c r="O1263" s="251"/>
      <c r="P1263" s="251"/>
      <c r="Q1263" s="251"/>
      <c r="R1263" s="251"/>
      <c r="S1263" s="251"/>
      <c r="T1263" s="251"/>
      <c r="U1263" s="251"/>
      <c r="V1263" s="251"/>
      <c r="W1263" s="251"/>
      <c r="X1263" s="251"/>
      <c r="Y1263" s="251"/>
      <c r="Z1263" s="251"/>
      <c r="AA1263" s="137"/>
      <c r="AB1263" s="137"/>
      <c r="AC1263" s="137"/>
      <c r="AD1263" s="137"/>
      <c r="AE1263" s="137"/>
      <c r="AF1263" s="137"/>
      <c r="AG1263" s="137"/>
    </row>
    <row r="1264" ht="30.0" customHeight="1">
      <c r="A1264" s="248"/>
      <c r="B1264" s="249"/>
      <c r="C1264" s="248"/>
      <c r="D1264" s="249"/>
      <c r="E1264" s="249"/>
      <c r="F1264" s="249"/>
      <c r="G1264" s="250"/>
      <c r="H1264" s="251"/>
      <c r="I1264" s="252"/>
      <c r="J1264" s="252"/>
      <c r="K1264" s="252"/>
      <c r="L1264" s="251"/>
      <c r="M1264" s="251"/>
      <c r="N1264" s="251"/>
      <c r="O1264" s="251"/>
      <c r="P1264" s="251"/>
      <c r="Q1264" s="251"/>
      <c r="R1264" s="251"/>
      <c r="S1264" s="251"/>
      <c r="T1264" s="251"/>
      <c r="U1264" s="251"/>
      <c r="V1264" s="251"/>
      <c r="W1264" s="251"/>
      <c r="X1264" s="251"/>
      <c r="Y1264" s="251"/>
      <c r="Z1264" s="251"/>
      <c r="AA1264" s="137"/>
      <c r="AB1264" s="137"/>
      <c r="AC1264" s="137"/>
      <c r="AD1264" s="137"/>
      <c r="AE1264" s="137"/>
      <c r="AF1264" s="137"/>
      <c r="AG1264" s="137"/>
    </row>
    <row r="1265" ht="30.0" customHeight="1">
      <c r="A1265" s="248"/>
      <c r="B1265" s="249"/>
      <c r="C1265" s="248"/>
      <c r="D1265" s="249"/>
      <c r="E1265" s="249"/>
      <c r="F1265" s="249"/>
      <c r="G1265" s="250"/>
      <c r="H1265" s="251"/>
      <c r="I1265" s="252"/>
      <c r="J1265" s="252"/>
      <c r="K1265" s="252"/>
      <c r="L1265" s="251"/>
      <c r="M1265" s="251"/>
      <c r="N1265" s="251"/>
      <c r="O1265" s="251"/>
      <c r="P1265" s="251"/>
      <c r="Q1265" s="251"/>
      <c r="R1265" s="251"/>
      <c r="S1265" s="251"/>
      <c r="T1265" s="251"/>
      <c r="U1265" s="251"/>
      <c r="V1265" s="251"/>
      <c r="W1265" s="251"/>
      <c r="X1265" s="251"/>
      <c r="Y1265" s="251"/>
      <c r="Z1265" s="251"/>
      <c r="AA1265" s="137"/>
      <c r="AB1265" s="137"/>
      <c r="AC1265" s="137"/>
      <c r="AD1265" s="137"/>
      <c r="AE1265" s="137"/>
      <c r="AF1265" s="137"/>
      <c r="AG1265" s="137"/>
    </row>
    <row r="1266" ht="30.0" customHeight="1">
      <c r="A1266" s="248"/>
      <c r="B1266" s="249"/>
      <c r="C1266" s="248"/>
      <c r="D1266" s="249"/>
      <c r="E1266" s="249"/>
      <c r="F1266" s="249"/>
      <c r="G1266" s="250"/>
      <c r="H1266" s="251"/>
      <c r="I1266" s="252"/>
      <c r="J1266" s="252"/>
      <c r="K1266" s="252"/>
      <c r="L1266" s="251"/>
      <c r="M1266" s="251"/>
      <c r="N1266" s="251"/>
      <c r="O1266" s="251"/>
      <c r="P1266" s="251"/>
      <c r="Q1266" s="251"/>
      <c r="R1266" s="251"/>
      <c r="S1266" s="251"/>
      <c r="T1266" s="251"/>
      <c r="U1266" s="251"/>
      <c r="V1266" s="251"/>
      <c r="W1266" s="251"/>
      <c r="X1266" s="251"/>
      <c r="Y1266" s="251"/>
      <c r="Z1266" s="251"/>
      <c r="AA1266" s="137"/>
      <c r="AB1266" s="137"/>
      <c r="AC1266" s="137"/>
      <c r="AD1266" s="137"/>
      <c r="AE1266" s="137"/>
      <c r="AF1266" s="137"/>
      <c r="AG1266" s="137"/>
    </row>
    <row r="1267" ht="30.0" customHeight="1">
      <c r="A1267" s="248"/>
      <c r="B1267" s="249"/>
      <c r="C1267" s="248"/>
      <c r="D1267" s="249"/>
      <c r="E1267" s="249"/>
      <c r="F1267" s="249"/>
      <c r="G1267" s="250"/>
      <c r="H1267" s="251"/>
      <c r="I1267" s="252"/>
      <c r="J1267" s="252"/>
      <c r="K1267" s="252"/>
      <c r="L1267" s="251"/>
      <c r="M1267" s="251"/>
      <c r="N1267" s="251"/>
      <c r="O1267" s="251"/>
      <c r="P1267" s="251"/>
      <c r="Q1267" s="251"/>
      <c r="R1267" s="251"/>
      <c r="S1267" s="251"/>
      <c r="T1267" s="251"/>
      <c r="U1267" s="251"/>
      <c r="V1267" s="251"/>
      <c r="W1267" s="251"/>
      <c r="X1267" s="251"/>
      <c r="Y1267" s="251"/>
      <c r="Z1267" s="251"/>
      <c r="AA1267" s="137"/>
      <c r="AB1267" s="137"/>
      <c r="AC1267" s="137"/>
      <c r="AD1267" s="137"/>
      <c r="AE1267" s="137"/>
      <c r="AF1267" s="137"/>
      <c r="AG1267" s="137"/>
    </row>
    <row r="1268" ht="30.0" customHeight="1">
      <c r="A1268" s="248"/>
      <c r="B1268" s="249"/>
      <c r="C1268" s="248"/>
      <c r="D1268" s="249"/>
      <c r="E1268" s="249"/>
      <c r="F1268" s="249"/>
      <c r="G1268" s="250"/>
      <c r="H1268" s="251"/>
      <c r="I1268" s="252"/>
      <c r="J1268" s="252"/>
      <c r="K1268" s="252"/>
      <c r="L1268" s="251"/>
      <c r="M1268" s="251"/>
      <c r="N1268" s="251"/>
      <c r="O1268" s="251"/>
      <c r="P1268" s="251"/>
      <c r="Q1268" s="251"/>
      <c r="R1268" s="251"/>
      <c r="S1268" s="251"/>
      <c r="T1268" s="251"/>
      <c r="U1268" s="251"/>
      <c r="V1268" s="251"/>
      <c r="W1268" s="251"/>
      <c r="X1268" s="251"/>
      <c r="Y1268" s="251"/>
      <c r="Z1268" s="251"/>
      <c r="AA1268" s="137"/>
      <c r="AB1268" s="137"/>
      <c r="AC1268" s="137"/>
      <c r="AD1268" s="137"/>
      <c r="AE1268" s="137"/>
      <c r="AF1268" s="137"/>
      <c r="AG1268" s="137"/>
    </row>
    <row r="1269" ht="30.0" customHeight="1">
      <c r="A1269" s="248"/>
      <c r="B1269" s="249"/>
      <c r="C1269" s="249"/>
      <c r="D1269" s="249"/>
      <c r="E1269" s="249"/>
      <c r="F1269" s="249"/>
      <c r="G1269" s="250"/>
      <c r="H1269" s="251"/>
      <c r="I1269" s="252"/>
      <c r="J1269" s="252"/>
      <c r="K1269" s="252"/>
      <c r="L1269" s="251"/>
      <c r="M1269" s="251"/>
      <c r="N1269" s="251"/>
      <c r="O1269" s="251"/>
      <c r="P1269" s="251"/>
      <c r="Q1269" s="251"/>
      <c r="R1269" s="251"/>
      <c r="S1269" s="251"/>
      <c r="T1269" s="251"/>
      <c r="U1269" s="251"/>
      <c r="V1269" s="251"/>
      <c r="W1269" s="251"/>
      <c r="X1269" s="251"/>
      <c r="Y1269" s="251"/>
      <c r="Z1269" s="251"/>
      <c r="AA1269" s="137"/>
      <c r="AB1269" s="137"/>
      <c r="AC1269" s="137"/>
      <c r="AD1269" s="137"/>
      <c r="AE1269" s="137"/>
      <c r="AF1269" s="137"/>
      <c r="AG1269" s="137"/>
    </row>
    <row r="1270" ht="30.0" customHeight="1">
      <c r="A1270" s="248"/>
      <c r="B1270" s="249"/>
      <c r="C1270" s="249"/>
      <c r="D1270" s="249"/>
      <c r="E1270" s="249"/>
      <c r="F1270" s="249"/>
      <c r="G1270" s="250"/>
      <c r="H1270" s="251"/>
      <c r="I1270" s="252"/>
      <c r="J1270" s="252"/>
      <c r="K1270" s="252"/>
      <c r="L1270" s="251"/>
      <c r="M1270" s="251"/>
      <c r="N1270" s="251"/>
      <c r="O1270" s="251"/>
      <c r="P1270" s="251"/>
      <c r="Q1270" s="251"/>
      <c r="R1270" s="251"/>
      <c r="S1270" s="251"/>
      <c r="T1270" s="251"/>
      <c r="U1270" s="251"/>
      <c r="V1270" s="251"/>
      <c r="W1270" s="251"/>
      <c r="X1270" s="251"/>
      <c r="Y1270" s="251"/>
      <c r="Z1270" s="251"/>
      <c r="AA1270" s="137"/>
      <c r="AB1270" s="137"/>
      <c r="AC1270" s="137"/>
      <c r="AD1270" s="137"/>
      <c r="AE1270" s="137"/>
      <c r="AF1270" s="137"/>
      <c r="AG1270" s="137"/>
    </row>
    <row r="1271" ht="30.0" customHeight="1">
      <c r="A1271" s="248"/>
      <c r="B1271" s="249"/>
      <c r="C1271" s="248"/>
      <c r="D1271" s="249"/>
      <c r="E1271" s="249"/>
      <c r="F1271" s="249"/>
      <c r="G1271" s="250"/>
      <c r="H1271" s="251"/>
      <c r="I1271" s="252"/>
      <c r="J1271" s="252"/>
      <c r="K1271" s="252"/>
      <c r="L1271" s="251"/>
      <c r="M1271" s="251"/>
      <c r="N1271" s="251"/>
      <c r="O1271" s="251"/>
      <c r="P1271" s="251"/>
      <c r="Q1271" s="251"/>
      <c r="R1271" s="251"/>
      <c r="S1271" s="251"/>
      <c r="T1271" s="251"/>
      <c r="U1271" s="251"/>
      <c r="V1271" s="251"/>
      <c r="W1271" s="251"/>
      <c r="X1271" s="251"/>
      <c r="Y1271" s="251"/>
      <c r="Z1271" s="251"/>
      <c r="AA1271" s="137"/>
      <c r="AB1271" s="137"/>
      <c r="AC1271" s="137"/>
      <c r="AD1271" s="137"/>
      <c r="AE1271" s="137"/>
      <c r="AF1271" s="137"/>
      <c r="AG1271" s="137"/>
    </row>
    <row r="1272" ht="30.0" customHeight="1">
      <c r="A1272" s="248"/>
      <c r="B1272" s="249"/>
      <c r="C1272" s="248"/>
      <c r="D1272" s="249"/>
      <c r="E1272" s="249"/>
      <c r="F1272" s="249"/>
      <c r="G1272" s="250"/>
      <c r="H1272" s="251"/>
      <c r="I1272" s="252"/>
      <c r="J1272" s="252"/>
      <c r="K1272" s="252"/>
      <c r="L1272" s="251"/>
      <c r="M1272" s="251"/>
      <c r="N1272" s="251"/>
      <c r="O1272" s="251"/>
      <c r="P1272" s="251"/>
      <c r="Q1272" s="251"/>
      <c r="R1272" s="251"/>
      <c r="S1272" s="251"/>
      <c r="T1272" s="251"/>
      <c r="U1272" s="251"/>
      <c r="V1272" s="251"/>
      <c r="W1272" s="251"/>
      <c r="X1272" s="251"/>
      <c r="Y1272" s="251"/>
      <c r="Z1272" s="251"/>
      <c r="AA1272" s="137"/>
      <c r="AB1272" s="137"/>
      <c r="AC1272" s="137"/>
      <c r="AD1272" s="137"/>
      <c r="AE1272" s="137"/>
      <c r="AF1272" s="137"/>
      <c r="AG1272" s="137"/>
    </row>
    <row r="1273" ht="30.0" customHeight="1">
      <c r="A1273" s="248"/>
      <c r="B1273" s="249"/>
      <c r="C1273" s="248"/>
      <c r="D1273" s="249"/>
      <c r="E1273" s="249"/>
      <c r="F1273" s="249"/>
      <c r="G1273" s="250"/>
      <c r="H1273" s="251"/>
      <c r="I1273" s="252"/>
      <c r="J1273" s="252"/>
      <c r="K1273" s="252"/>
      <c r="L1273" s="251"/>
      <c r="M1273" s="251"/>
      <c r="N1273" s="251"/>
      <c r="O1273" s="251"/>
      <c r="P1273" s="251"/>
      <c r="Q1273" s="251"/>
      <c r="R1273" s="251"/>
      <c r="S1273" s="251"/>
      <c r="T1273" s="251"/>
      <c r="U1273" s="251"/>
      <c r="V1273" s="251"/>
      <c r="W1273" s="251"/>
      <c r="X1273" s="251"/>
      <c r="Y1273" s="251"/>
      <c r="Z1273" s="251"/>
      <c r="AA1273" s="137"/>
      <c r="AB1273" s="137"/>
      <c r="AC1273" s="137"/>
      <c r="AD1273" s="137"/>
      <c r="AE1273" s="137"/>
      <c r="AF1273" s="137"/>
      <c r="AG1273" s="137"/>
    </row>
    <row r="1274" ht="30.0" customHeight="1">
      <c r="A1274" s="248"/>
      <c r="B1274" s="249"/>
      <c r="C1274" s="248"/>
      <c r="D1274" s="249"/>
      <c r="E1274" s="249"/>
      <c r="F1274" s="249"/>
      <c r="G1274" s="250"/>
      <c r="H1274" s="251"/>
      <c r="I1274" s="252"/>
      <c r="J1274" s="252"/>
      <c r="K1274" s="252"/>
      <c r="L1274" s="251"/>
      <c r="M1274" s="251"/>
      <c r="N1274" s="251"/>
      <c r="O1274" s="251"/>
      <c r="P1274" s="251"/>
      <c r="Q1274" s="251"/>
      <c r="R1274" s="251"/>
      <c r="S1274" s="251"/>
      <c r="T1274" s="251"/>
      <c r="U1274" s="251"/>
      <c r="V1274" s="251"/>
      <c r="W1274" s="251"/>
      <c r="X1274" s="251"/>
      <c r="Y1274" s="251"/>
      <c r="Z1274" s="251"/>
      <c r="AA1274" s="137"/>
      <c r="AB1274" s="137"/>
      <c r="AC1274" s="137"/>
      <c r="AD1274" s="137"/>
      <c r="AE1274" s="137"/>
      <c r="AF1274" s="137"/>
      <c r="AG1274" s="137"/>
    </row>
    <row r="1275" ht="30.0" customHeight="1">
      <c r="A1275" s="248"/>
      <c r="B1275" s="249"/>
      <c r="C1275" s="248"/>
      <c r="D1275" s="249"/>
      <c r="E1275" s="249"/>
      <c r="F1275" s="249"/>
      <c r="G1275" s="250"/>
      <c r="H1275" s="251"/>
      <c r="I1275" s="252"/>
      <c r="J1275" s="252"/>
      <c r="K1275" s="252"/>
      <c r="L1275" s="251"/>
      <c r="M1275" s="251"/>
      <c r="N1275" s="251"/>
      <c r="O1275" s="251"/>
      <c r="P1275" s="251"/>
      <c r="Q1275" s="251"/>
      <c r="R1275" s="251"/>
      <c r="S1275" s="251"/>
      <c r="T1275" s="251"/>
      <c r="U1275" s="251"/>
      <c r="V1275" s="251"/>
      <c r="W1275" s="251"/>
      <c r="X1275" s="251"/>
      <c r="Y1275" s="251"/>
      <c r="Z1275" s="251"/>
      <c r="AA1275" s="137"/>
      <c r="AB1275" s="137"/>
      <c r="AC1275" s="137"/>
      <c r="AD1275" s="137"/>
      <c r="AE1275" s="137"/>
      <c r="AF1275" s="137"/>
      <c r="AG1275" s="137"/>
    </row>
    <row r="1276" ht="30.0" customHeight="1">
      <c r="A1276" s="248"/>
      <c r="B1276" s="249"/>
      <c r="C1276" s="248"/>
      <c r="D1276" s="249"/>
      <c r="E1276" s="249"/>
      <c r="F1276" s="249"/>
      <c r="G1276" s="250"/>
      <c r="H1276" s="251"/>
      <c r="I1276" s="252"/>
      <c r="J1276" s="252"/>
      <c r="K1276" s="252"/>
      <c r="L1276" s="251"/>
      <c r="M1276" s="251"/>
      <c r="N1276" s="251"/>
      <c r="O1276" s="251"/>
      <c r="P1276" s="251"/>
      <c r="Q1276" s="251"/>
      <c r="R1276" s="251"/>
      <c r="S1276" s="251"/>
      <c r="T1276" s="251"/>
      <c r="U1276" s="251"/>
      <c r="V1276" s="251"/>
      <c r="W1276" s="251"/>
      <c r="X1276" s="251"/>
      <c r="Y1276" s="251"/>
      <c r="Z1276" s="251"/>
      <c r="AA1276" s="137"/>
      <c r="AB1276" s="137"/>
      <c r="AC1276" s="137"/>
      <c r="AD1276" s="137"/>
      <c r="AE1276" s="137"/>
      <c r="AF1276" s="137"/>
      <c r="AG1276" s="137"/>
    </row>
    <row r="1277" ht="30.0" customHeight="1">
      <c r="A1277" s="248"/>
      <c r="B1277" s="249"/>
      <c r="C1277" s="248"/>
      <c r="D1277" s="249"/>
      <c r="E1277" s="249"/>
      <c r="F1277" s="249"/>
      <c r="G1277" s="250"/>
      <c r="H1277" s="251"/>
      <c r="I1277" s="252"/>
      <c r="J1277" s="252"/>
      <c r="K1277" s="252"/>
      <c r="L1277" s="251"/>
      <c r="M1277" s="251"/>
      <c r="N1277" s="251"/>
      <c r="O1277" s="251"/>
      <c r="P1277" s="251"/>
      <c r="Q1277" s="251"/>
      <c r="R1277" s="251"/>
      <c r="S1277" s="251"/>
      <c r="T1277" s="251"/>
      <c r="U1277" s="251"/>
      <c r="V1277" s="251"/>
      <c r="W1277" s="251"/>
      <c r="X1277" s="251"/>
      <c r="Y1277" s="251"/>
      <c r="Z1277" s="251"/>
      <c r="AA1277" s="137"/>
      <c r="AB1277" s="137"/>
      <c r="AC1277" s="137"/>
      <c r="AD1277" s="137"/>
      <c r="AE1277" s="137"/>
      <c r="AF1277" s="137"/>
      <c r="AG1277" s="137"/>
    </row>
    <row r="1278" ht="30.0" customHeight="1">
      <c r="A1278" s="248"/>
      <c r="B1278" s="249"/>
      <c r="C1278" s="248"/>
      <c r="D1278" s="249"/>
      <c r="E1278" s="249"/>
      <c r="F1278" s="249"/>
      <c r="G1278" s="250"/>
      <c r="H1278" s="251"/>
      <c r="I1278" s="252"/>
      <c r="J1278" s="252"/>
      <c r="K1278" s="252"/>
      <c r="L1278" s="251"/>
      <c r="M1278" s="251"/>
      <c r="N1278" s="251"/>
      <c r="O1278" s="251"/>
      <c r="P1278" s="251"/>
      <c r="Q1278" s="251"/>
      <c r="R1278" s="251"/>
      <c r="S1278" s="251"/>
      <c r="T1278" s="251"/>
      <c r="U1278" s="251"/>
      <c r="V1278" s="251"/>
      <c r="W1278" s="251"/>
      <c r="X1278" s="251"/>
      <c r="Y1278" s="251"/>
      <c r="Z1278" s="251"/>
      <c r="AA1278" s="137"/>
      <c r="AB1278" s="137"/>
      <c r="AC1278" s="137"/>
      <c r="AD1278" s="137"/>
      <c r="AE1278" s="137"/>
      <c r="AF1278" s="137"/>
      <c r="AG1278" s="137"/>
    </row>
    <row r="1279" ht="30.0" customHeight="1">
      <c r="A1279" s="248"/>
      <c r="B1279" s="249"/>
      <c r="C1279" s="248"/>
      <c r="D1279" s="249"/>
      <c r="E1279" s="249"/>
      <c r="F1279" s="249"/>
      <c r="G1279" s="250"/>
      <c r="H1279" s="251"/>
      <c r="I1279" s="252"/>
      <c r="J1279" s="252"/>
      <c r="K1279" s="252"/>
      <c r="L1279" s="251"/>
      <c r="M1279" s="251"/>
      <c r="N1279" s="251"/>
      <c r="O1279" s="251"/>
      <c r="P1279" s="251"/>
      <c r="Q1279" s="251"/>
      <c r="R1279" s="251"/>
      <c r="S1279" s="251"/>
      <c r="T1279" s="251"/>
      <c r="U1279" s="251"/>
      <c r="V1279" s="251"/>
      <c r="W1279" s="251"/>
      <c r="X1279" s="251"/>
      <c r="Y1279" s="251"/>
      <c r="Z1279" s="251"/>
      <c r="AA1279" s="137"/>
      <c r="AB1279" s="137"/>
      <c r="AC1279" s="137"/>
      <c r="AD1279" s="137"/>
      <c r="AE1279" s="137"/>
      <c r="AF1279" s="137"/>
      <c r="AG1279" s="137"/>
    </row>
    <row r="1280" ht="30.0" customHeight="1">
      <c r="A1280" s="248"/>
      <c r="B1280" s="249"/>
      <c r="C1280" s="248"/>
      <c r="D1280" s="249"/>
      <c r="E1280" s="249"/>
      <c r="F1280" s="249"/>
      <c r="G1280" s="250"/>
      <c r="H1280" s="251"/>
      <c r="I1280" s="252"/>
      <c r="J1280" s="252"/>
      <c r="K1280" s="252"/>
      <c r="L1280" s="251"/>
      <c r="M1280" s="251"/>
      <c r="N1280" s="251"/>
      <c r="O1280" s="251"/>
      <c r="P1280" s="251"/>
      <c r="Q1280" s="251"/>
      <c r="R1280" s="251"/>
      <c r="S1280" s="251"/>
      <c r="T1280" s="251"/>
      <c r="U1280" s="251"/>
      <c r="V1280" s="251"/>
      <c r="W1280" s="251"/>
      <c r="X1280" s="251"/>
      <c r="Y1280" s="251"/>
      <c r="Z1280" s="251"/>
      <c r="AA1280" s="137"/>
      <c r="AB1280" s="137"/>
      <c r="AC1280" s="137"/>
      <c r="AD1280" s="137"/>
      <c r="AE1280" s="137"/>
      <c r="AF1280" s="137"/>
      <c r="AG1280" s="137"/>
    </row>
    <row r="1281" ht="30.0" customHeight="1">
      <c r="A1281" s="248"/>
      <c r="B1281" s="249"/>
      <c r="C1281" s="248"/>
      <c r="D1281" s="249"/>
      <c r="E1281" s="249"/>
      <c r="F1281" s="249"/>
      <c r="G1281" s="250"/>
      <c r="H1281" s="251"/>
      <c r="I1281" s="252"/>
      <c r="J1281" s="252"/>
      <c r="K1281" s="252"/>
      <c r="L1281" s="251"/>
      <c r="M1281" s="251"/>
      <c r="N1281" s="251"/>
      <c r="O1281" s="251"/>
      <c r="P1281" s="251"/>
      <c r="Q1281" s="251"/>
      <c r="R1281" s="251"/>
      <c r="S1281" s="251"/>
      <c r="T1281" s="251"/>
      <c r="U1281" s="251"/>
      <c r="V1281" s="251"/>
      <c r="W1281" s="251"/>
      <c r="X1281" s="251"/>
      <c r="Y1281" s="251"/>
      <c r="Z1281" s="251"/>
      <c r="AA1281" s="137"/>
      <c r="AB1281" s="137"/>
      <c r="AC1281" s="137"/>
      <c r="AD1281" s="137"/>
      <c r="AE1281" s="137"/>
      <c r="AF1281" s="137"/>
      <c r="AG1281" s="137"/>
    </row>
    <row r="1282" ht="30.0" customHeight="1">
      <c r="A1282" s="248"/>
      <c r="B1282" s="249"/>
      <c r="C1282" s="248"/>
      <c r="D1282" s="249"/>
      <c r="E1282" s="249"/>
      <c r="F1282" s="249"/>
      <c r="G1282" s="250"/>
      <c r="H1282" s="251"/>
      <c r="I1282" s="252"/>
      <c r="J1282" s="252"/>
      <c r="K1282" s="252"/>
      <c r="L1282" s="251"/>
      <c r="M1282" s="251"/>
      <c r="N1282" s="251"/>
      <c r="O1282" s="251"/>
      <c r="P1282" s="251"/>
      <c r="Q1282" s="251"/>
      <c r="R1282" s="251"/>
      <c r="S1282" s="251"/>
      <c r="T1282" s="251"/>
      <c r="U1282" s="251"/>
      <c r="V1282" s="251"/>
      <c r="W1282" s="251"/>
      <c r="X1282" s="251"/>
      <c r="Y1282" s="251"/>
      <c r="Z1282" s="251"/>
      <c r="AA1282" s="137"/>
      <c r="AB1282" s="137"/>
      <c r="AC1282" s="137"/>
      <c r="AD1282" s="137"/>
      <c r="AE1282" s="137"/>
      <c r="AF1282" s="137"/>
      <c r="AG1282" s="137"/>
    </row>
    <row r="1283" ht="30.0" customHeight="1">
      <c r="A1283" s="248"/>
      <c r="B1283" s="249"/>
      <c r="C1283" s="248"/>
      <c r="D1283" s="249"/>
      <c r="E1283" s="249"/>
      <c r="F1283" s="249"/>
      <c r="G1283" s="250"/>
      <c r="H1283" s="251"/>
      <c r="I1283" s="252"/>
      <c r="J1283" s="252"/>
      <c r="K1283" s="252"/>
      <c r="L1283" s="251"/>
      <c r="M1283" s="251"/>
      <c r="N1283" s="251"/>
      <c r="O1283" s="251"/>
      <c r="P1283" s="251"/>
      <c r="Q1283" s="251"/>
      <c r="R1283" s="251"/>
      <c r="S1283" s="251"/>
      <c r="T1283" s="251"/>
      <c r="U1283" s="251"/>
      <c r="V1283" s="251"/>
      <c r="W1283" s="251"/>
      <c r="X1283" s="251"/>
      <c r="Y1283" s="251"/>
      <c r="Z1283" s="251"/>
      <c r="AA1283" s="137"/>
      <c r="AB1283" s="137"/>
      <c r="AC1283" s="137"/>
      <c r="AD1283" s="137"/>
      <c r="AE1283" s="137"/>
      <c r="AF1283" s="137"/>
      <c r="AG1283" s="137"/>
    </row>
    <row r="1284" ht="30.0" customHeight="1">
      <c r="A1284" s="248"/>
      <c r="B1284" s="249"/>
      <c r="C1284" s="248"/>
      <c r="D1284" s="249"/>
      <c r="E1284" s="249"/>
      <c r="F1284" s="249"/>
      <c r="G1284" s="250"/>
      <c r="H1284" s="251"/>
      <c r="I1284" s="252"/>
      <c r="J1284" s="252"/>
      <c r="K1284" s="252"/>
      <c r="L1284" s="251"/>
      <c r="M1284" s="251"/>
      <c r="N1284" s="251"/>
      <c r="O1284" s="251"/>
      <c r="P1284" s="251"/>
      <c r="Q1284" s="251"/>
      <c r="R1284" s="251"/>
      <c r="S1284" s="251"/>
      <c r="T1284" s="251"/>
      <c r="U1284" s="251"/>
      <c r="V1284" s="251"/>
      <c r="W1284" s="251"/>
      <c r="X1284" s="251"/>
      <c r="Y1284" s="251"/>
      <c r="Z1284" s="251"/>
      <c r="AA1284" s="137"/>
      <c r="AB1284" s="137"/>
      <c r="AC1284" s="137"/>
      <c r="AD1284" s="137"/>
      <c r="AE1284" s="137"/>
      <c r="AF1284" s="137"/>
      <c r="AG1284" s="137"/>
    </row>
    <row r="1285" ht="30.0" customHeight="1">
      <c r="A1285" s="248"/>
      <c r="B1285" s="249"/>
      <c r="C1285" s="248"/>
      <c r="D1285" s="249"/>
      <c r="E1285" s="249"/>
      <c r="F1285" s="249"/>
      <c r="G1285" s="250"/>
      <c r="H1285" s="251"/>
      <c r="I1285" s="252"/>
      <c r="J1285" s="252"/>
      <c r="K1285" s="252"/>
      <c r="L1285" s="251"/>
      <c r="M1285" s="251"/>
      <c r="N1285" s="251"/>
      <c r="O1285" s="251"/>
      <c r="P1285" s="251"/>
      <c r="Q1285" s="251"/>
      <c r="R1285" s="251"/>
      <c r="S1285" s="251"/>
      <c r="T1285" s="251"/>
      <c r="U1285" s="251"/>
      <c r="V1285" s="251"/>
      <c r="W1285" s="251"/>
      <c r="X1285" s="251"/>
      <c r="Y1285" s="251"/>
      <c r="Z1285" s="251"/>
      <c r="AA1285" s="137"/>
      <c r="AB1285" s="137"/>
      <c r="AC1285" s="137"/>
      <c r="AD1285" s="137"/>
      <c r="AE1285" s="137"/>
      <c r="AF1285" s="137"/>
      <c r="AG1285" s="137"/>
    </row>
    <row r="1286" ht="30.0" customHeight="1">
      <c r="A1286" s="248"/>
      <c r="B1286" s="249"/>
      <c r="C1286" s="248"/>
      <c r="D1286" s="249"/>
      <c r="E1286" s="249"/>
      <c r="F1286" s="249"/>
      <c r="G1286" s="249"/>
      <c r="H1286" s="251"/>
      <c r="I1286" s="252"/>
      <c r="J1286" s="252"/>
      <c r="K1286" s="252"/>
      <c r="L1286" s="251"/>
      <c r="M1286" s="251"/>
      <c r="N1286" s="251"/>
      <c r="O1286" s="251"/>
      <c r="P1286" s="251"/>
      <c r="Q1286" s="251"/>
      <c r="R1286" s="251"/>
      <c r="S1286" s="251"/>
      <c r="T1286" s="251"/>
      <c r="U1286" s="251"/>
      <c r="V1286" s="251"/>
      <c r="W1286" s="251"/>
      <c r="X1286" s="251"/>
      <c r="Y1286" s="251"/>
      <c r="Z1286" s="251"/>
      <c r="AA1286" s="137"/>
      <c r="AB1286" s="137"/>
      <c r="AC1286" s="137"/>
      <c r="AD1286" s="137"/>
      <c r="AE1286" s="137"/>
      <c r="AF1286" s="137"/>
      <c r="AG1286" s="137"/>
    </row>
    <row r="1287" ht="30.0" customHeight="1">
      <c r="A1287" s="248"/>
      <c r="B1287" s="249"/>
      <c r="C1287" s="248"/>
      <c r="D1287" s="249"/>
      <c r="E1287" s="249"/>
      <c r="F1287" s="249"/>
      <c r="G1287" s="250"/>
      <c r="H1287" s="251"/>
      <c r="I1287" s="252"/>
      <c r="J1287" s="252"/>
      <c r="K1287" s="252"/>
      <c r="L1287" s="251"/>
      <c r="M1287" s="251"/>
      <c r="N1287" s="251"/>
      <c r="O1287" s="251"/>
      <c r="P1287" s="251"/>
      <c r="Q1287" s="251"/>
      <c r="R1287" s="251"/>
      <c r="S1287" s="251"/>
      <c r="T1287" s="251"/>
      <c r="U1287" s="251"/>
      <c r="V1287" s="251"/>
      <c r="W1287" s="251"/>
      <c r="X1287" s="251"/>
      <c r="Y1287" s="251"/>
      <c r="Z1287" s="251"/>
      <c r="AA1287" s="137"/>
      <c r="AB1287" s="137"/>
      <c r="AC1287" s="137"/>
      <c r="AD1287" s="137"/>
      <c r="AE1287" s="137"/>
      <c r="AF1287" s="137"/>
      <c r="AG1287" s="137"/>
    </row>
    <row r="1288" ht="30.0" customHeight="1">
      <c r="A1288" s="248"/>
      <c r="B1288" s="249"/>
      <c r="C1288" s="248"/>
      <c r="D1288" s="249"/>
      <c r="E1288" s="249"/>
      <c r="F1288" s="249"/>
      <c r="G1288" s="249"/>
      <c r="H1288" s="251"/>
      <c r="I1288" s="252"/>
      <c r="J1288" s="252"/>
      <c r="K1288" s="252"/>
      <c r="L1288" s="251"/>
      <c r="M1288" s="251"/>
      <c r="N1288" s="251"/>
      <c r="O1288" s="251"/>
      <c r="P1288" s="251"/>
      <c r="Q1288" s="251"/>
      <c r="R1288" s="251"/>
      <c r="S1288" s="251"/>
      <c r="T1288" s="251"/>
      <c r="U1288" s="251"/>
      <c r="V1288" s="251"/>
      <c r="W1288" s="251"/>
      <c r="X1288" s="251"/>
      <c r="Y1288" s="251"/>
      <c r="Z1288" s="251"/>
      <c r="AA1288" s="137"/>
      <c r="AB1288" s="137"/>
      <c r="AC1288" s="137"/>
      <c r="AD1288" s="137"/>
      <c r="AE1288" s="137"/>
      <c r="AF1288" s="137"/>
      <c r="AG1288" s="137"/>
    </row>
    <row r="1289" ht="30.0" customHeight="1">
      <c r="A1289" s="248"/>
      <c r="B1289" s="249"/>
      <c r="C1289" s="248"/>
      <c r="D1289" s="249"/>
      <c r="E1289" s="249"/>
      <c r="F1289" s="249"/>
      <c r="G1289" s="250"/>
      <c r="H1289" s="251"/>
      <c r="I1289" s="252"/>
      <c r="J1289" s="252"/>
      <c r="K1289" s="252"/>
      <c r="L1289" s="251"/>
      <c r="M1289" s="251"/>
      <c r="N1289" s="251"/>
      <c r="O1289" s="251"/>
      <c r="P1289" s="251"/>
      <c r="Q1289" s="251"/>
      <c r="R1289" s="251"/>
      <c r="S1289" s="251"/>
      <c r="T1289" s="251"/>
      <c r="U1289" s="251"/>
      <c r="V1289" s="251"/>
      <c r="W1289" s="251"/>
      <c r="X1289" s="251"/>
      <c r="Y1289" s="251"/>
      <c r="Z1289" s="251"/>
      <c r="AA1289" s="137"/>
      <c r="AB1289" s="137"/>
      <c r="AC1289" s="137"/>
      <c r="AD1289" s="137"/>
      <c r="AE1289" s="137"/>
      <c r="AF1289" s="137"/>
      <c r="AG1289" s="137"/>
    </row>
    <row r="1290" ht="30.0" customHeight="1">
      <c r="A1290" s="248"/>
      <c r="B1290" s="249"/>
      <c r="C1290" s="248"/>
      <c r="D1290" s="249"/>
      <c r="E1290" s="249"/>
      <c r="F1290" s="249"/>
      <c r="G1290" s="250"/>
      <c r="H1290" s="251"/>
      <c r="I1290" s="252"/>
      <c r="J1290" s="252"/>
      <c r="K1290" s="252"/>
      <c r="L1290" s="251"/>
      <c r="M1290" s="251"/>
      <c r="N1290" s="251"/>
      <c r="O1290" s="251"/>
      <c r="P1290" s="251"/>
      <c r="Q1290" s="251"/>
      <c r="R1290" s="251"/>
      <c r="S1290" s="251"/>
      <c r="T1290" s="251"/>
      <c r="U1290" s="251"/>
      <c r="V1290" s="251"/>
      <c r="W1290" s="251"/>
      <c r="X1290" s="251"/>
      <c r="Y1290" s="251"/>
      <c r="Z1290" s="251"/>
      <c r="AA1290" s="137"/>
      <c r="AB1290" s="137"/>
      <c r="AC1290" s="137"/>
      <c r="AD1290" s="137"/>
      <c r="AE1290" s="137"/>
      <c r="AF1290" s="137"/>
      <c r="AG1290" s="137"/>
    </row>
    <row r="1291" ht="30.0" customHeight="1">
      <c r="A1291" s="248"/>
      <c r="B1291" s="249"/>
      <c r="C1291" s="248"/>
      <c r="D1291" s="249"/>
      <c r="E1291" s="249"/>
      <c r="F1291" s="249"/>
      <c r="G1291" s="250"/>
      <c r="H1291" s="251"/>
      <c r="I1291" s="252"/>
      <c r="J1291" s="252"/>
      <c r="K1291" s="252"/>
      <c r="L1291" s="251"/>
      <c r="M1291" s="251"/>
      <c r="N1291" s="251"/>
      <c r="O1291" s="251"/>
      <c r="P1291" s="251"/>
      <c r="Q1291" s="251"/>
      <c r="R1291" s="251"/>
      <c r="S1291" s="251"/>
      <c r="T1291" s="251"/>
      <c r="U1291" s="251"/>
      <c r="V1291" s="251"/>
      <c r="W1291" s="251"/>
      <c r="X1291" s="251"/>
      <c r="Y1291" s="251"/>
      <c r="Z1291" s="251"/>
      <c r="AA1291" s="137"/>
      <c r="AB1291" s="137"/>
      <c r="AC1291" s="137"/>
      <c r="AD1291" s="137"/>
      <c r="AE1291" s="137"/>
      <c r="AF1291" s="137"/>
      <c r="AG1291" s="137"/>
    </row>
    <row r="1292" ht="30.0" customHeight="1">
      <c r="A1292" s="248"/>
      <c r="B1292" s="249"/>
      <c r="C1292" s="248"/>
      <c r="D1292" s="249"/>
      <c r="E1292" s="249"/>
      <c r="F1292" s="249"/>
      <c r="G1292" s="250"/>
      <c r="H1292" s="251"/>
      <c r="I1292" s="252"/>
      <c r="J1292" s="252"/>
      <c r="K1292" s="252"/>
      <c r="L1292" s="251"/>
      <c r="M1292" s="251"/>
      <c r="N1292" s="251"/>
      <c r="O1292" s="251"/>
      <c r="P1292" s="251"/>
      <c r="Q1292" s="251"/>
      <c r="R1292" s="251"/>
      <c r="S1292" s="251"/>
      <c r="T1292" s="251"/>
      <c r="U1292" s="251"/>
      <c r="V1292" s="251"/>
      <c r="W1292" s="251"/>
      <c r="X1292" s="251"/>
      <c r="Y1292" s="251"/>
      <c r="Z1292" s="251"/>
      <c r="AA1292" s="137"/>
      <c r="AB1292" s="137"/>
      <c r="AC1292" s="137"/>
      <c r="AD1292" s="137"/>
      <c r="AE1292" s="137"/>
      <c r="AF1292" s="137"/>
      <c r="AG1292" s="137"/>
    </row>
    <row r="1293" ht="30.0" customHeight="1">
      <c r="A1293" s="248"/>
      <c r="B1293" s="249"/>
      <c r="C1293" s="248"/>
      <c r="D1293" s="249"/>
      <c r="E1293" s="249"/>
      <c r="F1293" s="249"/>
      <c r="G1293" s="250"/>
      <c r="H1293" s="251"/>
      <c r="I1293" s="252"/>
      <c r="J1293" s="252"/>
      <c r="K1293" s="252"/>
      <c r="L1293" s="251"/>
      <c r="M1293" s="251"/>
      <c r="N1293" s="251"/>
      <c r="O1293" s="251"/>
      <c r="P1293" s="251"/>
      <c r="Q1293" s="251"/>
      <c r="R1293" s="251"/>
      <c r="S1293" s="251"/>
      <c r="T1293" s="251"/>
      <c r="U1293" s="251"/>
      <c r="V1293" s="251"/>
      <c r="W1293" s="251"/>
      <c r="X1293" s="251"/>
      <c r="Y1293" s="251"/>
      <c r="Z1293" s="251"/>
      <c r="AA1293" s="137"/>
      <c r="AB1293" s="137"/>
      <c r="AC1293" s="137"/>
      <c r="AD1293" s="137"/>
      <c r="AE1293" s="137"/>
      <c r="AF1293" s="137"/>
      <c r="AG1293" s="137"/>
    </row>
    <row r="1294" ht="30.0" customHeight="1">
      <c r="A1294" s="248"/>
      <c r="B1294" s="249"/>
      <c r="C1294" s="248"/>
      <c r="D1294" s="249"/>
      <c r="E1294" s="249"/>
      <c r="F1294" s="249"/>
      <c r="G1294" s="250"/>
      <c r="H1294" s="251"/>
      <c r="I1294" s="252"/>
      <c r="J1294" s="252"/>
      <c r="K1294" s="252"/>
      <c r="L1294" s="251"/>
      <c r="M1294" s="251"/>
      <c r="N1294" s="251"/>
      <c r="O1294" s="251"/>
      <c r="P1294" s="251"/>
      <c r="Q1294" s="251"/>
      <c r="R1294" s="251"/>
      <c r="S1294" s="251"/>
      <c r="T1294" s="251"/>
      <c r="U1294" s="251"/>
      <c r="V1294" s="251"/>
      <c r="W1294" s="251"/>
      <c r="X1294" s="251"/>
      <c r="Y1294" s="251"/>
      <c r="Z1294" s="251"/>
      <c r="AA1294" s="137"/>
      <c r="AB1294" s="137"/>
      <c r="AC1294" s="137"/>
      <c r="AD1294" s="137"/>
      <c r="AE1294" s="137"/>
      <c r="AF1294" s="137"/>
      <c r="AG1294" s="137"/>
    </row>
    <row r="1295" ht="30.0" customHeight="1">
      <c r="A1295" s="248"/>
      <c r="B1295" s="249"/>
      <c r="C1295" s="248"/>
      <c r="D1295" s="249"/>
      <c r="E1295" s="249"/>
      <c r="F1295" s="249"/>
      <c r="G1295" s="250"/>
      <c r="H1295" s="251"/>
      <c r="I1295" s="252"/>
      <c r="J1295" s="252"/>
      <c r="K1295" s="252"/>
      <c r="L1295" s="251"/>
      <c r="M1295" s="251"/>
      <c r="N1295" s="251"/>
      <c r="O1295" s="251"/>
      <c r="P1295" s="251"/>
      <c r="Q1295" s="251"/>
      <c r="R1295" s="251"/>
      <c r="S1295" s="251"/>
      <c r="T1295" s="251"/>
      <c r="U1295" s="251"/>
      <c r="V1295" s="251"/>
      <c r="W1295" s="251"/>
      <c r="X1295" s="251"/>
      <c r="Y1295" s="251"/>
      <c r="Z1295" s="251"/>
      <c r="AA1295" s="137"/>
      <c r="AB1295" s="137"/>
      <c r="AC1295" s="137"/>
      <c r="AD1295" s="137"/>
      <c r="AE1295" s="137"/>
      <c r="AF1295" s="137"/>
      <c r="AG1295" s="137"/>
    </row>
    <row r="1296" ht="30.0" customHeight="1">
      <c r="A1296" s="248"/>
      <c r="B1296" s="249"/>
      <c r="C1296" s="248"/>
      <c r="D1296" s="249"/>
      <c r="E1296" s="249"/>
      <c r="F1296" s="249"/>
      <c r="G1296" s="250"/>
      <c r="H1296" s="251"/>
      <c r="I1296" s="252"/>
      <c r="J1296" s="252"/>
      <c r="K1296" s="252"/>
      <c r="L1296" s="251"/>
      <c r="M1296" s="251"/>
      <c r="N1296" s="251"/>
      <c r="O1296" s="251"/>
      <c r="P1296" s="251"/>
      <c r="Q1296" s="251"/>
      <c r="R1296" s="251"/>
      <c r="S1296" s="251"/>
      <c r="T1296" s="251"/>
      <c r="U1296" s="251"/>
      <c r="V1296" s="251"/>
      <c r="W1296" s="251"/>
      <c r="X1296" s="251"/>
      <c r="Y1296" s="251"/>
      <c r="Z1296" s="251"/>
      <c r="AA1296" s="137"/>
      <c r="AB1296" s="137"/>
      <c r="AC1296" s="137"/>
      <c r="AD1296" s="137"/>
      <c r="AE1296" s="137"/>
      <c r="AF1296" s="137"/>
      <c r="AG1296" s="137"/>
    </row>
    <row r="1297" ht="30.0" customHeight="1">
      <c r="A1297" s="248"/>
      <c r="B1297" s="249"/>
      <c r="C1297" s="248"/>
      <c r="D1297" s="249"/>
      <c r="E1297" s="249"/>
      <c r="F1297" s="249"/>
      <c r="G1297" s="250"/>
      <c r="H1297" s="251"/>
      <c r="I1297" s="252"/>
      <c r="J1297" s="252"/>
      <c r="K1297" s="252"/>
      <c r="L1297" s="251"/>
      <c r="M1297" s="251"/>
      <c r="N1297" s="251"/>
      <c r="O1297" s="251"/>
      <c r="P1297" s="251"/>
      <c r="Q1297" s="251"/>
      <c r="R1297" s="251"/>
      <c r="S1297" s="251"/>
      <c r="T1297" s="251"/>
      <c r="U1297" s="251"/>
      <c r="V1297" s="251"/>
      <c r="W1297" s="251"/>
      <c r="X1297" s="251"/>
      <c r="Y1297" s="251"/>
      <c r="Z1297" s="251"/>
      <c r="AA1297" s="137"/>
      <c r="AB1297" s="137"/>
      <c r="AC1297" s="137"/>
      <c r="AD1297" s="137"/>
      <c r="AE1297" s="137"/>
      <c r="AF1297" s="137"/>
      <c r="AG1297" s="137"/>
    </row>
    <row r="1298" ht="30.0" customHeight="1">
      <c r="A1298" s="248"/>
      <c r="B1298" s="249"/>
      <c r="C1298" s="248"/>
      <c r="D1298" s="249"/>
      <c r="E1298" s="249"/>
      <c r="F1298" s="249"/>
      <c r="G1298" s="250"/>
      <c r="H1298" s="251"/>
      <c r="I1298" s="252"/>
      <c r="J1298" s="252"/>
      <c r="K1298" s="252"/>
      <c r="L1298" s="251"/>
      <c r="M1298" s="251"/>
      <c r="N1298" s="251"/>
      <c r="O1298" s="251"/>
      <c r="P1298" s="251"/>
      <c r="Q1298" s="251"/>
      <c r="R1298" s="251"/>
      <c r="S1298" s="251"/>
      <c r="T1298" s="251"/>
      <c r="U1298" s="251"/>
      <c r="V1298" s="251"/>
      <c r="W1298" s="251"/>
      <c r="X1298" s="251"/>
      <c r="Y1298" s="251"/>
      <c r="Z1298" s="251"/>
      <c r="AA1298" s="137"/>
      <c r="AB1298" s="137"/>
      <c r="AC1298" s="137"/>
      <c r="AD1298" s="137"/>
      <c r="AE1298" s="137"/>
      <c r="AF1298" s="137"/>
      <c r="AG1298" s="137"/>
    </row>
    <row r="1299" ht="30.0" customHeight="1">
      <c r="A1299" s="248"/>
      <c r="B1299" s="249"/>
      <c r="C1299" s="248"/>
      <c r="D1299" s="249"/>
      <c r="E1299" s="249"/>
      <c r="F1299" s="249"/>
      <c r="G1299" s="250"/>
      <c r="H1299" s="251"/>
      <c r="I1299" s="252"/>
      <c r="J1299" s="252"/>
      <c r="K1299" s="252"/>
      <c r="L1299" s="251"/>
      <c r="M1299" s="251"/>
      <c r="N1299" s="251"/>
      <c r="O1299" s="251"/>
      <c r="P1299" s="251"/>
      <c r="Q1299" s="251"/>
      <c r="R1299" s="251"/>
      <c r="S1299" s="251"/>
      <c r="T1299" s="251"/>
      <c r="U1299" s="251"/>
      <c r="V1299" s="251"/>
      <c r="W1299" s="251"/>
      <c r="X1299" s="251"/>
      <c r="Y1299" s="251"/>
      <c r="Z1299" s="251"/>
      <c r="AA1299" s="137"/>
      <c r="AB1299" s="137"/>
      <c r="AC1299" s="137"/>
      <c r="AD1299" s="137"/>
      <c r="AE1299" s="137"/>
      <c r="AF1299" s="137"/>
      <c r="AG1299" s="137"/>
    </row>
    <row r="1300" ht="30.0" customHeight="1">
      <c r="A1300" s="248"/>
      <c r="B1300" s="249"/>
      <c r="C1300" s="248"/>
      <c r="D1300" s="249"/>
      <c r="E1300" s="249"/>
      <c r="F1300" s="249"/>
      <c r="G1300" s="250"/>
      <c r="H1300" s="251"/>
      <c r="I1300" s="252"/>
      <c r="J1300" s="252"/>
      <c r="K1300" s="252"/>
      <c r="L1300" s="251"/>
      <c r="M1300" s="251"/>
      <c r="N1300" s="251"/>
      <c r="O1300" s="251"/>
      <c r="P1300" s="251"/>
      <c r="Q1300" s="251"/>
      <c r="R1300" s="251"/>
      <c r="S1300" s="251"/>
      <c r="T1300" s="251"/>
      <c r="U1300" s="251"/>
      <c r="V1300" s="251"/>
      <c r="W1300" s="251"/>
      <c r="X1300" s="251"/>
      <c r="Y1300" s="251"/>
      <c r="Z1300" s="251"/>
      <c r="AA1300" s="137"/>
      <c r="AB1300" s="137"/>
      <c r="AC1300" s="137"/>
      <c r="AD1300" s="137"/>
      <c r="AE1300" s="137"/>
      <c r="AF1300" s="137"/>
      <c r="AG1300" s="137"/>
    </row>
    <row r="1301" ht="30.0" customHeight="1">
      <c r="A1301" s="248"/>
      <c r="B1301" s="249"/>
      <c r="C1301" s="248"/>
      <c r="D1301" s="249"/>
      <c r="E1301" s="249"/>
      <c r="F1301" s="249"/>
      <c r="G1301" s="250"/>
      <c r="H1301" s="251"/>
      <c r="I1301" s="252"/>
      <c r="J1301" s="252"/>
      <c r="K1301" s="252"/>
      <c r="L1301" s="251"/>
      <c r="M1301" s="251"/>
      <c r="N1301" s="251"/>
      <c r="O1301" s="251"/>
      <c r="P1301" s="251"/>
      <c r="Q1301" s="251"/>
      <c r="R1301" s="251"/>
      <c r="S1301" s="251"/>
      <c r="T1301" s="251"/>
      <c r="U1301" s="251"/>
      <c r="V1301" s="251"/>
      <c r="W1301" s="251"/>
      <c r="X1301" s="251"/>
      <c r="Y1301" s="251"/>
      <c r="Z1301" s="251"/>
      <c r="AA1301" s="137"/>
      <c r="AB1301" s="137"/>
      <c r="AC1301" s="137"/>
      <c r="AD1301" s="137"/>
      <c r="AE1301" s="137"/>
      <c r="AF1301" s="137"/>
      <c r="AG1301" s="137"/>
    </row>
    <row r="1302" ht="30.0" customHeight="1">
      <c r="A1302" s="248"/>
      <c r="B1302" s="249"/>
      <c r="C1302" s="248"/>
      <c r="D1302" s="249"/>
      <c r="E1302" s="249"/>
      <c r="F1302" s="249"/>
      <c r="G1302" s="250"/>
      <c r="H1302" s="251"/>
      <c r="I1302" s="252"/>
      <c r="J1302" s="252"/>
      <c r="K1302" s="252"/>
      <c r="L1302" s="251"/>
      <c r="M1302" s="251"/>
      <c r="N1302" s="251"/>
      <c r="O1302" s="251"/>
      <c r="P1302" s="251"/>
      <c r="Q1302" s="251"/>
      <c r="R1302" s="251"/>
      <c r="S1302" s="251"/>
      <c r="T1302" s="251"/>
      <c r="U1302" s="251"/>
      <c r="V1302" s="251"/>
      <c r="W1302" s="251"/>
      <c r="X1302" s="251"/>
      <c r="Y1302" s="251"/>
      <c r="Z1302" s="251"/>
      <c r="AA1302" s="137"/>
      <c r="AB1302" s="137"/>
      <c r="AC1302" s="137"/>
      <c r="AD1302" s="137"/>
      <c r="AE1302" s="137"/>
      <c r="AF1302" s="137"/>
      <c r="AG1302" s="137"/>
    </row>
    <row r="1303" ht="30.0" customHeight="1">
      <c r="A1303" s="248"/>
      <c r="B1303" s="249"/>
      <c r="C1303" s="248"/>
      <c r="D1303" s="249"/>
      <c r="E1303" s="249"/>
      <c r="F1303" s="249"/>
      <c r="G1303" s="250"/>
      <c r="H1303" s="251"/>
      <c r="I1303" s="252"/>
      <c r="J1303" s="252"/>
      <c r="K1303" s="252"/>
      <c r="L1303" s="251"/>
      <c r="M1303" s="251"/>
      <c r="N1303" s="251"/>
      <c r="O1303" s="251"/>
      <c r="P1303" s="251"/>
      <c r="Q1303" s="251"/>
      <c r="R1303" s="251"/>
      <c r="S1303" s="251"/>
      <c r="T1303" s="251"/>
      <c r="U1303" s="251"/>
      <c r="V1303" s="251"/>
      <c r="W1303" s="251"/>
      <c r="X1303" s="251"/>
      <c r="Y1303" s="251"/>
      <c r="Z1303" s="251"/>
      <c r="AA1303" s="137"/>
      <c r="AB1303" s="137"/>
      <c r="AC1303" s="137"/>
      <c r="AD1303" s="137"/>
      <c r="AE1303" s="137"/>
      <c r="AF1303" s="137"/>
      <c r="AG1303" s="137"/>
    </row>
    <row r="1304" ht="30.0" customHeight="1">
      <c r="A1304" s="248"/>
      <c r="B1304" s="249"/>
      <c r="C1304" s="248"/>
      <c r="D1304" s="249"/>
      <c r="E1304" s="249"/>
      <c r="F1304" s="249"/>
      <c r="G1304" s="250"/>
      <c r="H1304" s="251"/>
      <c r="I1304" s="252"/>
      <c r="J1304" s="252"/>
      <c r="K1304" s="252"/>
      <c r="L1304" s="251"/>
      <c r="M1304" s="251"/>
      <c r="N1304" s="251"/>
      <c r="O1304" s="251"/>
      <c r="P1304" s="251"/>
      <c r="Q1304" s="251"/>
      <c r="R1304" s="251"/>
      <c r="S1304" s="251"/>
      <c r="T1304" s="251"/>
      <c r="U1304" s="251"/>
      <c r="V1304" s="251"/>
      <c r="W1304" s="251"/>
      <c r="X1304" s="251"/>
      <c r="Y1304" s="251"/>
      <c r="Z1304" s="251"/>
      <c r="AA1304" s="137"/>
      <c r="AB1304" s="137"/>
      <c r="AC1304" s="137"/>
      <c r="AD1304" s="137"/>
      <c r="AE1304" s="137"/>
      <c r="AF1304" s="137"/>
      <c r="AG1304" s="137"/>
    </row>
    <row r="1305" ht="30.0" customHeight="1">
      <c r="A1305" s="248"/>
      <c r="B1305" s="249"/>
      <c r="C1305" s="248"/>
      <c r="D1305" s="249"/>
      <c r="E1305" s="249"/>
      <c r="F1305" s="249"/>
      <c r="G1305" s="250"/>
      <c r="H1305" s="251"/>
      <c r="I1305" s="252"/>
      <c r="J1305" s="252"/>
      <c r="K1305" s="252"/>
      <c r="L1305" s="251"/>
      <c r="M1305" s="251"/>
      <c r="N1305" s="251"/>
      <c r="O1305" s="251"/>
      <c r="P1305" s="251"/>
      <c r="Q1305" s="251"/>
      <c r="R1305" s="251"/>
      <c r="S1305" s="251"/>
      <c r="T1305" s="251"/>
      <c r="U1305" s="251"/>
      <c r="V1305" s="251"/>
      <c r="W1305" s="251"/>
      <c r="X1305" s="251"/>
      <c r="Y1305" s="251"/>
      <c r="Z1305" s="251"/>
      <c r="AA1305" s="137"/>
      <c r="AB1305" s="137"/>
      <c r="AC1305" s="137"/>
      <c r="AD1305" s="137"/>
      <c r="AE1305" s="137"/>
      <c r="AF1305" s="137"/>
      <c r="AG1305" s="137"/>
    </row>
    <row r="1306" ht="30.0" customHeight="1">
      <c r="A1306" s="248"/>
      <c r="B1306" s="249"/>
      <c r="C1306" s="248"/>
      <c r="D1306" s="249"/>
      <c r="E1306" s="249"/>
      <c r="F1306" s="249"/>
      <c r="G1306" s="250"/>
      <c r="H1306" s="251"/>
      <c r="I1306" s="252"/>
      <c r="J1306" s="252"/>
      <c r="K1306" s="252"/>
      <c r="L1306" s="251"/>
      <c r="M1306" s="251"/>
      <c r="N1306" s="251"/>
      <c r="O1306" s="251"/>
      <c r="P1306" s="251"/>
      <c r="Q1306" s="251"/>
      <c r="R1306" s="251"/>
      <c r="S1306" s="251"/>
      <c r="T1306" s="251"/>
      <c r="U1306" s="251"/>
      <c r="V1306" s="251"/>
      <c r="W1306" s="251"/>
      <c r="X1306" s="251"/>
      <c r="Y1306" s="251"/>
      <c r="Z1306" s="251"/>
      <c r="AA1306" s="137"/>
      <c r="AB1306" s="137"/>
      <c r="AC1306" s="137"/>
      <c r="AD1306" s="137"/>
      <c r="AE1306" s="137"/>
      <c r="AF1306" s="137"/>
      <c r="AG1306" s="137"/>
    </row>
    <row r="1307" ht="30.0" customHeight="1">
      <c r="A1307" s="248"/>
      <c r="B1307" s="249"/>
      <c r="C1307" s="248"/>
      <c r="D1307" s="249"/>
      <c r="E1307" s="249"/>
      <c r="F1307" s="249"/>
      <c r="G1307" s="250"/>
      <c r="H1307" s="251"/>
      <c r="I1307" s="252"/>
      <c r="J1307" s="252"/>
      <c r="K1307" s="252"/>
      <c r="L1307" s="251"/>
      <c r="M1307" s="251"/>
      <c r="N1307" s="251"/>
      <c r="O1307" s="251"/>
      <c r="P1307" s="251"/>
      <c r="Q1307" s="251"/>
      <c r="R1307" s="251"/>
      <c r="S1307" s="251"/>
      <c r="T1307" s="251"/>
      <c r="U1307" s="251"/>
      <c r="V1307" s="251"/>
      <c r="W1307" s="251"/>
      <c r="X1307" s="251"/>
      <c r="Y1307" s="251"/>
      <c r="Z1307" s="251"/>
      <c r="AA1307" s="137"/>
      <c r="AB1307" s="137"/>
      <c r="AC1307" s="137"/>
      <c r="AD1307" s="137"/>
      <c r="AE1307" s="137"/>
      <c r="AF1307" s="137"/>
      <c r="AG1307" s="137"/>
    </row>
    <row r="1308" ht="30.0" customHeight="1">
      <c r="A1308" s="248"/>
      <c r="B1308" s="249"/>
      <c r="C1308" s="248"/>
      <c r="D1308" s="249"/>
      <c r="E1308" s="249"/>
      <c r="F1308" s="249"/>
      <c r="G1308" s="250"/>
      <c r="H1308" s="251"/>
      <c r="I1308" s="252"/>
      <c r="J1308" s="252"/>
      <c r="K1308" s="252"/>
      <c r="L1308" s="251"/>
      <c r="M1308" s="251"/>
      <c r="N1308" s="251"/>
      <c r="O1308" s="251"/>
      <c r="P1308" s="251"/>
      <c r="Q1308" s="251"/>
      <c r="R1308" s="251"/>
      <c r="S1308" s="251"/>
      <c r="T1308" s="251"/>
      <c r="U1308" s="251"/>
      <c r="V1308" s="251"/>
      <c r="W1308" s="251"/>
      <c r="X1308" s="251"/>
      <c r="Y1308" s="251"/>
      <c r="Z1308" s="251"/>
      <c r="AA1308" s="137"/>
      <c r="AB1308" s="137"/>
      <c r="AC1308" s="137"/>
      <c r="AD1308" s="137"/>
      <c r="AE1308" s="137"/>
      <c r="AF1308" s="137"/>
      <c r="AG1308" s="137"/>
    </row>
    <row r="1309" ht="30.0" customHeight="1">
      <c r="A1309" s="248"/>
      <c r="B1309" s="249"/>
      <c r="C1309" s="248"/>
      <c r="D1309" s="249"/>
      <c r="E1309" s="249"/>
      <c r="F1309" s="249"/>
      <c r="G1309" s="250"/>
      <c r="H1309" s="251"/>
      <c r="I1309" s="252"/>
      <c r="J1309" s="252"/>
      <c r="K1309" s="252"/>
      <c r="L1309" s="251"/>
      <c r="M1309" s="251"/>
      <c r="N1309" s="251"/>
      <c r="O1309" s="251"/>
      <c r="P1309" s="251"/>
      <c r="Q1309" s="251"/>
      <c r="R1309" s="251"/>
      <c r="S1309" s="251"/>
      <c r="T1309" s="251"/>
      <c r="U1309" s="251"/>
      <c r="V1309" s="251"/>
      <c r="W1309" s="251"/>
      <c r="X1309" s="251"/>
      <c r="Y1309" s="251"/>
      <c r="Z1309" s="251"/>
      <c r="AA1309" s="137"/>
      <c r="AB1309" s="137"/>
      <c r="AC1309" s="137"/>
      <c r="AD1309" s="137"/>
      <c r="AE1309" s="137"/>
      <c r="AF1309" s="137"/>
      <c r="AG1309" s="137"/>
    </row>
    <row r="1310" ht="30.0" customHeight="1">
      <c r="A1310" s="248"/>
      <c r="B1310" s="249"/>
      <c r="C1310" s="249"/>
      <c r="D1310" s="249"/>
      <c r="E1310" s="249"/>
      <c r="F1310" s="249"/>
      <c r="G1310" s="250"/>
      <c r="H1310" s="251"/>
      <c r="I1310" s="252"/>
      <c r="J1310" s="252"/>
      <c r="K1310" s="252"/>
      <c r="L1310" s="251"/>
      <c r="M1310" s="251"/>
      <c r="N1310" s="251"/>
      <c r="O1310" s="251"/>
      <c r="P1310" s="251"/>
      <c r="Q1310" s="251"/>
      <c r="R1310" s="251"/>
      <c r="S1310" s="251"/>
      <c r="T1310" s="251"/>
      <c r="U1310" s="251"/>
      <c r="V1310" s="251"/>
      <c r="W1310" s="251"/>
      <c r="X1310" s="251"/>
      <c r="Y1310" s="251"/>
      <c r="Z1310" s="251"/>
      <c r="AA1310" s="137"/>
      <c r="AB1310" s="137"/>
      <c r="AC1310" s="137"/>
      <c r="AD1310" s="137"/>
      <c r="AE1310" s="137"/>
      <c r="AF1310" s="137"/>
      <c r="AG1310" s="137"/>
    </row>
    <row r="1311" ht="30.0" customHeight="1">
      <c r="A1311" s="248"/>
      <c r="B1311" s="249"/>
      <c r="C1311" s="248"/>
      <c r="D1311" s="249"/>
      <c r="E1311" s="249"/>
      <c r="F1311" s="249"/>
      <c r="G1311" s="249"/>
      <c r="H1311" s="251"/>
      <c r="I1311" s="252"/>
      <c r="J1311" s="252"/>
      <c r="K1311" s="252"/>
      <c r="L1311" s="251"/>
      <c r="M1311" s="251"/>
      <c r="N1311" s="251"/>
      <c r="O1311" s="251"/>
      <c r="P1311" s="251"/>
      <c r="Q1311" s="251"/>
      <c r="R1311" s="251"/>
      <c r="S1311" s="251"/>
      <c r="T1311" s="251"/>
      <c r="U1311" s="251"/>
      <c r="V1311" s="251"/>
      <c r="W1311" s="251"/>
      <c r="X1311" s="251"/>
      <c r="Y1311" s="251"/>
      <c r="Z1311" s="251"/>
      <c r="AA1311" s="137"/>
      <c r="AB1311" s="137"/>
      <c r="AC1311" s="137"/>
      <c r="AD1311" s="137"/>
      <c r="AE1311" s="137"/>
      <c r="AF1311" s="137"/>
      <c r="AG1311" s="137"/>
    </row>
    <row r="1312" ht="30.0" customHeight="1">
      <c r="A1312" s="248"/>
      <c r="B1312" s="249"/>
      <c r="C1312" s="248"/>
      <c r="D1312" s="249"/>
      <c r="E1312" s="249"/>
      <c r="F1312" s="249"/>
      <c r="G1312" s="250"/>
      <c r="H1312" s="251"/>
      <c r="I1312" s="252"/>
      <c r="J1312" s="252"/>
      <c r="K1312" s="252"/>
      <c r="L1312" s="251"/>
      <c r="M1312" s="251"/>
      <c r="N1312" s="251"/>
      <c r="O1312" s="251"/>
      <c r="P1312" s="251"/>
      <c r="Q1312" s="251"/>
      <c r="R1312" s="251"/>
      <c r="S1312" s="251"/>
      <c r="T1312" s="251"/>
      <c r="U1312" s="251"/>
      <c r="V1312" s="251"/>
      <c r="W1312" s="251"/>
      <c r="X1312" s="251"/>
      <c r="Y1312" s="251"/>
      <c r="Z1312" s="251"/>
      <c r="AA1312" s="137"/>
      <c r="AB1312" s="137"/>
      <c r="AC1312" s="137"/>
      <c r="AD1312" s="137"/>
      <c r="AE1312" s="137"/>
      <c r="AF1312" s="137"/>
      <c r="AG1312" s="137"/>
    </row>
    <row r="1313" ht="30.0" customHeight="1">
      <c r="A1313" s="248"/>
      <c r="B1313" s="249"/>
      <c r="C1313" s="248"/>
      <c r="D1313" s="249"/>
      <c r="E1313" s="249"/>
      <c r="F1313" s="249"/>
      <c r="G1313" s="250"/>
      <c r="H1313" s="251"/>
      <c r="I1313" s="252"/>
      <c r="J1313" s="252"/>
      <c r="K1313" s="252"/>
      <c r="L1313" s="251"/>
      <c r="M1313" s="251"/>
      <c r="N1313" s="251"/>
      <c r="O1313" s="251"/>
      <c r="P1313" s="251"/>
      <c r="Q1313" s="251"/>
      <c r="R1313" s="251"/>
      <c r="S1313" s="251"/>
      <c r="T1313" s="251"/>
      <c r="U1313" s="251"/>
      <c r="V1313" s="251"/>
      <c r="W1313" s="251"/>
      <c r="X1313" s="251"/>
      <c r="Y1313" s="251"/>
      <c r="Z1313" s="251"/>
      <c r="AA1313" s="137"/>
      <c r="AB1313" s="137"/>
      <c r="AC1313" s="137"/>
      <c r="AD1313" s="137"/>
      <c r="AE1313" s="137"/>
      <c r="AF1313" s="137"/>
      <c r="AG1313" s="137"/>
    </row>
    <row r="1314" ht="30.0" customHeight="1">
      <c r="A1314" s="248"/>
      <c r="B1314" s="249"/>
      <c r="C1314" s="248"/>
      <c r="D1314" s="249"/>
      <c r="E1314" s="249"/>
      <c r="F1314" s="249"/>
      <c r="G1314" s="250"/>
      <c r="H1314" s="251"/>
      <c r="I1314" s="252"/>
      <c r="J1314" s="252"/>
      <c r="K1314" s="252"/>
      <c r="L1314" s="251"/>
      <c r="M1314" s="251"/>
      <c r="N1314" s="251"/>
      <c r="O1314" s="251"/>
      <c r="P1314" s="251"/>
      <c r="Q1314" s="251"/>
      <c r="R1314" s="251"/>
      <c r="S1314" s="251"/>
      <c r="T1314" s="251"/>
      <c r="U1314" s="251"/>
      <c r="V1314" s="251"/>
      <c r="W1314" s="251"/>
      <c r="X1314" s="251"/>
      <c r="Y1314" s="251"/>
      <c r="Z1314" s="251"/>
      <c r="AA1314" s="137"/>
      <c r="AB1314" s="137"/>
      <c r="AC1314" s="137"/>
      <c r="AD1314" s="137"/>
      <c r="AE1314" s="137"/>
      <c r="AF1314" s="137"/>
      <c r="AG1314" s="137"/>
    </row>
    <row r="1315" ht="30.0" customHeight="1">
      <c r="A1315" s="248"/>
      <c r="B1315" s="249"/>
      <c r="C1315" s="248"/>
      <c r="D1315" s="249"/>
      <c r="E1315" s="249"/>
      <c r="F1315" s="249"/>
      <c r="G1315" s="250"/>
      <c r="H1315" s="251"/>
      <c r="I1315" s="252"/>
      <c r="J1315" s="252"/>
      <c r="K1315" s="252"/>
      <c r="L1315" s="251"/>
      <c r="M1315" s="251"/>
      <c r="N1315" s="251"/>
      <c r="O1315" s="251"/>
      <c r="P1315" s="251"/>
      <c r="Q1315" s="251"/>
      <c r="R1315" s="251"/>
      <c r="S1315" s="251"/>
      <c r="T1315" s="251"/>
      <c r="U1315" s="251"/>
      <c r="V1315" s="251"/>
      <c r="W1315" s="251"/>
      <c r="X1315" s="251"/>
      <c r="Y1315" s="251"/>
      <c r="Z1315" s="251"/>
      <c r="AA1315" s="137"/>
      <c r="AB1315" s="137"/>
      <c r="AC1315" s="137"/>
      <c r="AD1315" s="137"/>
      <c r="AE1315" s="137"/>
      <c r="AF1315" s="137"/>
      <c r="AG1315" s="137"/>
    </row>
    <row r="1316" ht="30.0" customHeight="1">
      <c r="A1316" s="248"/>
      <c r="B1316" s="249"/>
      <c r="C1316" s="248"/>
      <c r="D1316" s="249"/>
      <c r="E1316" s="249"/>
      <c r="F1316" s="249"/>
      <c r="G1316" s="250"/>
      <c r="H1316" s="251"/>
      <c r="I1316" s="252"/>
      <c r="J1316" s="252"/>
      <c r="K1316" s="252"/>
      <c r="L1316" s="251"/>
      <c r="M1316" s="251"/>
      <c r="N1316" s="251"/>
      <c r="O1316" s="251"/>
      <c r="P1316" s="251"/>
      <c r="Q1316" s="251"/>
      <c r="R1316" s="251"/>
      <c r="S1316" s="251"/>
      <c r="T1316" s="251"/>
      <c r="U1316" s="251"/>
      <c r="V1316" s="251"/>
      <c r="W1316" s="251"/>
      <c r="X1316" s="251"/>
      <c r="Y1316" s="251"/>
      <c r="Z1316" s="251"/>
      <c r="AA1316" s="137"/>
      <c r="AB1316" s="137"/>
      <c r="AC1316" s="137"/>
      <c r="AD1316" s="137"/>
      <c r="AE1316" s="137"/>
      <c r="AF1316" s="137"/>
      <c r="AG1316" s="137"/>
    </row>
    <row r="1317" ht="30.0" customHeight="1">
      <c r="A1317" s="248"/>
      <c r="B1317" s="249"/>
      <c r="C1317" s="248"/>
      <c r="D1317" s="249"/>
      <c r="E1317" s="249"/>
      <c r="F1317" s="249"/>
      <c r="G1317" s="249"/>
      <c r="H1317" s="251"/>
      <c r="I1317" s="252"/>
      <c r="J1317" s="252"/>
      <c r="K1317" s="252"/>
      <c r="L1317" s="251"/>
      <c r="M1317" s="251"/>
      <c r="N1317" s="251"/>
      <c r="O1317" s="251"/>
      <c r="P1317" s="251"/>
      <c r="Q1317" s="251"/>
      <c r="R1317" s="251"/>
      <c r="S1317" s="251"/>
      <c r="T1317" s="251"/>
      <c r="U1317" s="251"/>
      <c r="V1317" s="251"/>
      <c r="W1317" s="251"/>
      <c r="X1317" s="251"/>
      <c r="Y1317" s="251"/>
      <c r="Z1317" s="251"/>
      <c r="AA1317" s="137"/>
      <c r="AB1317" s="137"/>
      <c r="AC1317" s="137"/>
      <c r="AD1317" s="137"/>
      <c r="AE1317" s="137"/>
      <c r="AF1317" s="137"/>
      <c r="AG1317" s="137"/>
    </row>
    <row r="1318" ht="30.0" customHeight="1">
      <c r="A1318" s="248"/>
      <c r="B1318" s="249"/>
      <c r="C1318" s="248"/>
      <c r="D1318" s="249"/>
      <c r="E1318" s="249"/>
      <c r="F1318" s="249"/>
      <c r="G1318" s="250"/>
      <c r="H1318" s="251"/>
      <c r="I1318" s="252"/>
      <c r="J1318" s="252"/>
      <c r="K1318" s="252"/>
      <c r="L1318" s="251"/>
      <c r="M1318" s="251"/>
      <c r="N1318" s="251"/>
      <c r="O1318" s="251"/>
      <c r="P1318" s="251"/>
      <c r="Q1318" s="251"/>
      <c r="R1318" s="251"/>
      <c r="S1318" s="251"/>
      <c r="T1318" s="251"/>
      <c r="U1318" s="251"/>
      <c r="V1318" s="251"/>
      <c r="W1318" s="251"/>
      <c r="X1318" s="251"/>
      <c r="Y1318" s="251"/>
      <c r="Z1318" s="251"/>
      <c r="AA1318" s="137"/>
      <c r="AB1318" s="137"/>
      <c r="AC1318" s="137"/>
      <c r="AD1318" s="137"/>
      <c r="AE1318" s="137"/>
      <c r="AF1318" s="137"/>
      <c r="AG1318" s="137"/>
    </row>
    <row r="1319" ht="30.0" customHeight="1">
      <c r="A1319" s="248"/>
      <c r="B1319" s="249"/>
      <c r="C1319" s="248"/>
      <c r="D1319" s="249"/>
      <c r="E1319" s="249"/>
      <c r="F1319" s="249"/>
      <c r="G1319" s="250"/>
      <c r="H1319" s="251"/>
      <c r="I1319" s="252"/>
      <c r="J1319" s="252"/>
      <c r="K1319" s="252"/>
      <c r="L1319" s="251"/>
      <c r="M1319" s="251"/>
      <c r="N1319" s="251"/>
      <c r="O1319" s="251"/>
      <c r="P1319" s="251"/>
      <c r="Q1319" s="251"/>
      <c r="R1319" s="251"/>
      <c r="S1319" s="251"/>
      <c r="T1319" s="251"/>
      <c r="U1319" s="251"/>
      <c r="V1319" s="251"/>
      <c r="W1319" s="251"/>
      <c r="X1319" s="251"/>
      <c r="Y1319" s="251"/>
      <c r="Z1319" s="251"/>
      <c r="AA1319" s="137"/>
      <c r="AB1319" s="137"/>
      <c r="AC1319" s="137"/>
      <c r="AD1319" s="137"/>
      <c r="AE1319" s="137"/>
      <c r="AF1319" s="137"/>
      <c r="AG1319" s="137"/>
    </row>
    <row r="1320" ht="30.0" customHeight="1">
      <c r="A1320" s="248"/>
      <c r="B1320" s="249"/>
      <c r="C1320" s="248"/>
      <c r="D1320" s="249"/>
      <c r="E1320" s="249"/>
      <c r="F1320" s="249"/>
      <c r="G1320" s="249"/>
      <c r="H1320" s="251"/>
      <c r="I1320" s="252"/>
      <c r="J1320" s="252"/>
      <c r="K1320" s="252"/>
      <c r="L1320" s="251"/>
      <c r="M1320" s="251"/>
      <c r="N1320" s="251"/>
      <c r="O1320" s="251"/>
      <c r="P1320" s="251"/>
      <c r="Q1320" s="251"/>
      <c r="R1320" s="251"/>
      <c r="S1320" s="251"/>
      <c r="T1320" s="251"/>
      <c r="U1320" s="251"/>
      <c r="V1320" s="251"/>
      <c r="W1320" s="251"/>
      <c r="X1320" s="251"/>
      <c r="Y1320" s="251"/>
      <c r="Z1320" s="251"/>
      <c r="AA1320" s="137"/>
      <c r="AB1320" s="137"/>
      <c r="AC1320" s="137"/>
      <c r="AD1320" s="137"/>
      <c r="AE1320" s="137"/>
      <c r="AF1320" s="137"/>
      <c r="AG1320" s="137"/>
    </row>
    <row r="1321" ht="30.0" customHeight="1">
      <c r="A1321" s="248"/>
      <c r="B1321" s="249"/>
      <c r="C1321" s="248"/>
      <c r="D1321" s="249"/>
      <c r="E1321" s="249"/>
      <c r="F1321" s="249"/>
      <c r="G1321" s="250"/>
      <c r="H1321" s="251"/>
      <c r="I1321" s="252"/>
      <c r="J1321" s="252"/>
      <c r="K1321" s="252"/>
      <c r="L1321" s="251"/>
      <c r="M1321" s="251"/>
      <c r="N1321" s="251"/>
      <c r="O1321" s="251"/>
      <c r="P1321" s="251"/>
      <c r="Q1321" s="251"/>
      <c r="R1321" s="251"/>
      <c r="S1321" s="251"/>
      <c r="T1321" s="251"/>
      <c r="U1321" s="251"/>
      <c r="V1321" s="251"/>
      <c r="W1321" s="251"/>
      <c r="X1321" s="251"/>
      <c r="Y1321" s="251"/>
      <c r="Z1321" s="251"/>
      <c r="AA1321" s="137"/>
      <c r="AB1321" s="137"/>
      <c r="AC1321" s="137"/>
      <c r="AD1321" s="137"/>
      <c r="AE1321" s="137"/>
      <c r="AF1321" s="137"/>
      <c r="AG1321" s="137"/>
    </row>
    <row r="1322" ht="30.0" customHeight="1">
      <c r="A1322" s="248"/>
      <c r="B1322" s="249"/>
      <c r="C1322" s="249"/>
      <c r="D1322" s="249"/>
      <c r="E1322" s="249"/>
      <c r="F1322" s="249"/>
      <c r="G1322" s="250"/>
      <c r="H1322" s="251"/>
      <c r="I1322" s="252"/>
      <c r="J1322" s="252"/>
      <c r="K1322" s="252"/>
      <c r="L1322" s="251"/>
      <c r="M1322" s="251"/>
      <c r="N1322" s="251"/>
      <c r="O1322" s="251"/>
      <c r="P1322" s="251"/>
      <c r="Q1322" s="251"/>
      <c r="R1322" s="251"/>
      <c r="S1322" s="251"/>
      <c r="T1322" s="251"/>
      <c r="U1322" s="251"/>
      <c r="V1322" s="251"/>
      <c r="W1322" s="251"/>
      <c r="X1322" s="251"/>
      <c r="Y1322" s="251"/>
      <c r="Z1322" s="251"/>
      <c r="AA1322" s="137"/>
      <c r="AB1322" s="137"/>
      <c r="AC1322" s="137"/>
      <c r="AD1322" s="137"/>
      <c r="AE1322" s="137"/>
      <c r="AF1322" s="137"/>
      <c r="AG1322" s="137"/>
    </row>
    <row r="1323" ht="30.0" customHeight="1">
      <c r="A1323" s="248"/>
      <c r="B1323" s="249"/>
      <c r="C1323" s="248"/>
      <c r="D1323" s="249"/>
      <c r="E1323" s="249"/>
      <c r="F1323" s="249"/>
      <c r="G1323" s="250"/>
      <c r="H1323" s="251"/>
      <c r="I1323" s="252"/>
      <c r="J1323" s="252"/>
      <c r="K1323" s="252"/>
      <c r="L1323" s="251"/>
      <c r="M1323" s="251"/>
      <c r="N1323" s="251"/>
      <c r="O1323" s="251"/>
      <c r="P1323" s="251"/>
      <c r="Q1323" s="251"/>
      <c r="R1323" s="251"/>
      <c r="S1323" s="251"/>
      <c r="T1323" s="251"/>
      <c r="U1323" s="251"/>
      <c r="V1323" s="251"/>
      <c r="W1323" s="251"/>
      <c r="X1323" s="251"/>
      <c r="Y1323" s="251"/>
      <c r="Z1323" s="251"/>
      <c r="AA1323" s="137"/>
      <c r="AB1323" s="137"/>
      <c r="AC1323" s="137"/>
      <c r="AD1323" s="137"/>
      <c r="AE1323" s="137"/>
      <c r="AF1323" s="137"/>
      <c r="AG1323" s="137"/>
    </row>
    <row r="1324" ht="30.0" customHeight="1">
      <c r="A1324" s="248"/>
      <c r="B1324" s="249"/>
      <c r="C1324" s="248"/>
      <c r="D1324" s="249"/>
      <c r="E1324" s="249"/>
      <c r="F1324" s="249"/>
      <c r="G1324" s="250"/>
      <c r="H1324" s="251"/>
      <c r="I1324" s="252"/>
      <c r="J1324" s="252"/>
      <c r="K1324" s="252"/>
      <c r="L1324" s="251"/>
      <c r="M1324" s="251"/>
      <c r="N1324" s="251"/>
      <c r="O1324" s="251"/>
      <c r="P1324" s="251"/>
      <c r="Q1324" s="251"/>
      <c r="R1324" s="251"/>
      <c r="S1324" s="251"/>
      <c r="T1324" s="251"/>
      <c r="U1324" s="251"/>
      <c r="V1324" s="251"/>
      <c r="W1324" s="251"/>
      <c r="X1324" s="251"/>
      <c r="Y1324" s="251"/>
      <c r="Z1324" s="251"/>
      <c r="AA1324" s="137"/>
      <c r="AB1324" s="137"/>
      <c r="AC1324" s="137"/>
      <c r="AD1324" s="137"/>
      <c r="AE1324" s="137"/>
      <c r="AF1324" s="137"/>
      <c r="AG1324" s="137"/>
    </row>
    <row r="1325" ht="30.0" customHeight="1">
      <c r="A1325" s="248"/>
      <c r="B1325" s="249"/>
      <c r="C1325" s="248"/>
      <c r="D1325" s="249"/>
      <c r="E1325" s="249"/>
      <c r="F1325" s="249"/>
      <c r="G1325" s="250"/>
      <c r="H1325" s="251"/>
      <c r="I1325" s="252"/>
      <c r="J1325" s="252"/>
      <c r="K1325" s="252"/>
      <c r="L1325" s="251"/>
      <c r="M1325" s="251"/>
      <c r="N1325" s="251"/>
      <c r="O1325" s="251"/>
      <c r="P1325" s="251"/>
      <c r="Q1325" s="251"/>
      <c r="R1325" s="251"/>
      <c r="S1325" s="251"/>
      <c r="T1325" s="251"/>
      <c r="U1325" s="251"/>
      <c r="V1325" s="251"/>
      <c r="W1325" s="251"/>
      <c r="X1325" s="251"/>
      <c r="Y1325" s="251"/>
      <c r="Z1325" s="251"/>
      <c r="AA1325" s="137"/>
      <c r="AB1325" s="137"/>
      <c r="AC1325" s="137"/>
      <c r="AD1325" s="137"/>
      <c r="AE1325" s="137"/>
      <c r="AF1325" s="137"/>
      <c r="AG1325" s="137"/>
    </row>
    <row r="1326" ht="30.0" customHeight="1">
      <c r="A1326" s="248"/>
      <c r="B1326" s="249"/>
      <c r="C1326" s="248"/>
      <c r="D1326" s="249"/>
      <c r="E1326" s="249"/>
      <c r="F1326" s="249"/>
      <c r="G1326" s="250"/>
      <c r="H1326" s="251"/>
      <c r="I1326" s="252"/>
      <c r="J1326" s="252"/>
      <c r="K1326" s="252"/>
      <c r="L1326" s="251"/>
      <c r="M1326" s="251"/>
      <c r="N1326" s="251"/>
      <c r="O1326" s="251"/>
      <c r="P1326" s="251"/>
      <c r="Q1326" s="251"/>
      <c r="R1326" s="251"/>
      <c r="S1326" s="251"/>
      <c r="T1326" s="251"/>
      <c r="U1326" s="251"/>
      <c r="V1326" s="251"/>
      <c r="W1326" s="251"/>
      <c r="X1326" s="251"/>
      <c r="Y1326" s="251"/>
      <c r="Z1326" s="251"/>
      <c r="AA1326" s="137"/>
      <c r="AB1326" s="137"/>
      <c r="AC1326" s="137"/>
      <c r="AD1326" s="137"/>
      <c r="AE1326" s="137"/>
      <c r="AF1326" s="137"/>
      <c r="AG1326" s="137"/>
    </row>
    <row r="1327" ht="30.0" customHeight="1">
      <c r="A1327" s="248"/>
      <c r="B1327" s="249"/>
      <c r="C1327" s="248"/>
      <c r="D1327" s="249"/>
      <c r="E1327" s="249"/>
      <c r="F1327" s="249"/>
      <c r="G1327" s="249"/>
      <c r="H1327" s="251"/>
      <c r="I1327" s="252"/>
      <c r="J1327" s="252"/>
      <c r="K1327" s="252"/>
      <c r="L1327" s="251"/>
      <c r="M1327" s="251"/>
      <c r="N1327" s="251"/>
      <c r="O1327" s="251"/>
      <c r="P1327" s="251"/>
      <c r="Q1327" s="251"/>
      <c r="R1327" s="251"/>
      <c r="S1327" s="251"/>
      <c r="T1327" s="251"/>
      <c r="U1327" s="251"/>
      <c r="V1327" s="251"/>
      <c r="W1327" s="251"/>
      <c r="X1327" s="251"/>
      <c r="Y1327" s="251"/>
      <c r="Z1327" s="251"/>
      <c r="AA1327" s="137"/>
      <c r="AB1327" s="137"/>
      <c r="AC1327" s="137"/>
      <c r="AD1327" s="137"/>
      <c r="AE1327" s="137"/>
      <c r="AF1327" s="137"/>
      <c r="AG1327" s="137"/>
    </row>
    <row r="1328" ht="30.0" customHeight="1">
      <c r="A1328" s="248"/>
      <c r="B1328" s="249"/>
      <c r="C1328" s="249"/>
      <c r="D1328" s="249"/>
      <c r="E1328" s="249"/>
      <c r="F1328" s="249"/>
      <c r="G1328" s="250"/>
      <c r="H1328" s="251"/>
      <c r="I1328" s="252"/>
      <c r="J1328" s="252"/>
      <c r="K1328" s="252"/>
      <c r="L1328" s="251"/>
      <c r="M1328" s="251"/>
      <c r="N1328" s="251"/>
      <c r="O1328" s="251"/>
      <c r="P1328" s="251"/>
      <c r="Q1328" s="251"/>
      <c r="R1328" s="251"/>
      <c r="S1328" s="251"/>
      <c r="T1328" s="251"/>
      <c r="U1328" s="251"/>
      <c r="V1328" s="251"/>
      <c r="W1328" s="251"/>
      <c r="X1328" s="251"/>
      <c r="Y1328" s="251"/>
      <c r="Z1328" s="251"/>
      <c r="AA1328" s="137"/>
      <c r="AB1328" s="137"/>
      <c r="AC1328" s="137"/>
      <c r="AD1328" s="137"/>
      <c r="AE1328" s="137"/>
      <c r="AF1328" s="137"/>
      <c r="AG1328" s="137"/>
    </row>
    <row r="1329" ht="30.0" customHeight="1">
      <c r="A1329" s="248"/>
      <c r="B1329" s="249"/>
      <c r="C1329" s="248"/>
      <c r="D1329" s="249"/>
      <c r="E1329" s="249"/>
      <c r="F1329" s="249"/>
      <c r="G1329" s="250"/>
      <c r="H1329" s="251"/>
      <c r="I1329" s="252"/>
      <c r="J1329" s="252"/>
      <c r="K1329" s="252"/>
      <c r="L1329" s="251"/>
      <c r="M1329" s="251"/>
      <c r="N1329" s="251"/>
      <c r="O1329" s="251"/>
      <c r="P1329" s="251"/>
      <c r="Q1329" s="251"/>
      <c r="R1329" s="251"/>
      <c r="S1329" s="251"/>
      <c r="T1329" s="251"/>
      <c r="U1329" s="251"/>
      <c r="V1329" s="251"/>
      <c r="W1329" s="251"/>
      <c r="X1329" s="251"/>
      <c r="Y1329" s="251"/>
      <c r="Z1329" s="251"/>
      <c r="AA1329" s="137"/>
      <c r="AB1329" s="137"/>
      <c r="AC1329" s="137"/>
      <c r="AD1329" s="137"/>
      <c r="AE1329" s="137"/>
      <c r="AF1329" s="137"/>
      <c r="AG1329" s="137"/>
    </row>
    <row r="1330" ht="30.0" customHeight="1">
      <c r="A1330" s="248"/>
      <c r="B1330" s="249"/>
      <c r="C1330" s="248"/>
      <c r="D1330" s="249"/>
      <c r="E1330" s="249"/>
      <c r="F1330" s="249"/>
      <c r="G1330" s="250"/>
      <c r="H1330" s="251"/>
      <c r="I1330" s="252"/>
      <c r="J1330" s="252"/>
      <c r="K1330" s="252"/>
      <c r="L1330" s="251"/>
      <c r="M1330" s="251"/>
      <c r="N1330" s="251"/>
      <c r="O1330" s="251"/>
      <c r="P1330" s="251"/>
      <c r="Q1330" s="251"/>
      <c r="R1330" s="251"/>
      <c r="S1330" s="251"/>
      <c r="T1330" s="251"/>
      <c r="U1330" s="251"/>
      <c r="V1330" s="251"/>
      <c r="W1330" s="251"/>
      <c r="X1330" s="251"/>
      <c r="Y1330" s="251"/>
      <c r="Z1330" s="251"/>
      <c r="AA1330" s="137"/>
      <c r="AB1330" s="137"/>
      <c r="AC1330" s="137"/>
      <c r="AD1330" s="137"/>
      <c r="AE1330" s="137"/>
      <c r="AF1330" s="137"/>
      <c r="AG1330" s="137"/>
    </row>
    <row r="1331" ht="30.0" customHeight="1">
      <c r="A1331" s="248"/>
      <c r="B1331" s="249"/>
      <c r="C1331" s="248"/>
      <c r="D1331" s="249"/>
      <c r="E1331" s="249"/>
      <c r="F1331" s="249"/>
      <c r="G1331" s="250"/>
      <c r="H1331" s="251"/>
      <c r="I1331" s="252"/>
      <c r="J1331" s="252"/>
      <c r="K1331" s="252"/>
      <c r="L1331" s="251"/>
      <c r="M1331" s="251"/>
      <c r="N1331" s="251"/>
      <c r="O1331" s="251"/>
      <c r="P1331" s="251"/>
      <c r="Q1331" s="251"/>
      <c r="R1331" s="251"/>
      <c r="S1331" s="251"/>
      <c r="T1331" s="251"/>
      <c r="U1331" s="251"/>
      <c r="V1331" s="251"/>
      <c r="W1331" s="251"/>
      <c r="X1331" s="251"/>
      <c r="Y1331" s="251"/>
      <c r="Z1331" s="251"/>
      <c r="AA1331" s="137"/>
      <c r="AB1331" s="137"/>
      <c r="AC1331" s="137"/>
      <c r="AD1331" s="137"/>
      <c r="AE1331" s="137"/>
      <c r="AF1331" s="137"/>
      <c r="AG1331" s="137"/>
    </row>
    <row r="1332" ht="30.0" customHeight="1">
      <c r="A1332" s="248"/>
      <c r="B1332" s="249"/>
      <c r="C1332" s="248"/>
      <c r="D1332" s="249"/>
      <c r="E1332" s="249"/>
      <c r="F1332" s="249"/>
      <c r="G1332" s="250"/>
      <c r="H1332" s="251"/>
      <c r="I1332" s="252"/>
      <c r="J1332" s="252"/>
      <c r="K1332" s="252"/>
      <c r="L1332" s="251"/>
      <c r="M1332" s="251"/>
      <c r="N1332" s="251"/>
      <c r="O1332" s="251"/>
      <c r="P1332" s="251"/>
      <c r="Q1332" s="251"/>
      <c r="R1332" s="251"/>
      <c r="S1332" s="251"/>
      <c r="T1332" s="251"/>
      <c r="U1332" s="251"/>
      <c r="V1332" s="251"/>
      <c r="W1332" s="251"/>
      <c r="X1332" s="251"/>
      <c r="Y1332" s="251"/>
      <c r="Z1332" s="251"/>
      <c r="AA1332" s="137"/>
      <c r="AB1332" s="137"/>
      <c r="AC1332" s="137"/>
      <c r="AD1332" s="137"/>
      <c r="AE1332" s="137"/>
      <c r="AF1332" s="137"/>
      <c r="AG1332" s="137"/>
    </row>
    <row r="1333" ht="30.0" customHeight="1">
      <c r="A1333" s="248"/>
      <c r="B1333" s="249"/>
      <c r="C1333" s="248"/>
      <c r="D1333" s="249"/>
      <c r="E1333" s="249"/>
      <c r="F1333" s="249"/>
      <c r="G1333" s="250"/>
      <c r="H1333" s="251"/>
      <c r="I1333" s="252"/>
      <c r="J1333" s="252"/>
      <c r="K1333" s="252"/>
      <c r="L1333" s="251"/>
      <c r="M1333" s="251"/>
      <c r="N1333" s="251"/>
      <c r="O1333" s="251"/>
      <c r="P1333" s="251"/>
      <c r="Q1333" s="251"/>
      <c r="R1333" s="251"/>
      <c r="S1333" s="251"/>
      <c r="T1333" s="251"/>
      <c r="U1333" s="251"/>
      <c r="V1333" s="251"/>
      <c r="W1333" s="251"/>
      <c r="X1333" s="251"/>
      <c r="Y1333" s="251"/>
      <c r="Z1333" s="251"/>
      <c r="AA1333" s="137"/>
      <c r="AB1333" s="137"/>
      <c r="AC1333" s="137"/>
      <c r="AD1333" s="137"/>
      <c r="AE1333" s="137"/>
      <c r="AF1333" s="137"/>
      <c r="AG1333" s="137"/>
    </row>
    <row r="1334" ht="30.0" customHeight="1">
      <c r="A1334" s="248"/>
      <c r="B1334" s="249"/>
      <c r="C1334" s="248"/>
      <c r="D1334" s="249"/>
      <c r="E1334" s="249"/>
      <c r="F1334" s="249"/>
      <c r="G1334" s="250"/>
      <c r="H1334" s="251"/>
      <c r="I1334" s="252"/>
      <c r="J1334" s="252"/>
      <c r="K1334" s="252"/>
      <c r="L1334" s="251"/>
      <c r="M1334" s="251"/>
      <c r="N1334" s="251"/>
      <c r="O1334" s="251"/>
      <c r="P1334" s="251"/>
      <c r="Q1334" s="251"/>
      <c r="R1334" s="251"/>
      <c r="S1334" s="251"/>
      <c r="T1334" s="251"/>
      <c r="U1334" s="251"/>
      <c r="V1334" s="251"/>
      <c r="W1334" s="251"/>
      <c r="X1334" s="251"/>
      <c r="Y1334" s="251"/>
      <c r="Z1334" s="251"/>
      <c r="AA1334" s="137"/>
      <c r="AB1334" s="137"/>
      <c r="AC1334" s="137"/>
      <c r="AD1334" s="137"/>
      <c r="AE1334" s="137"/>
      <c r="AF1334" s="137"/>
      <c r="AG1334" s="137"/>
    </row>
    <row r="1335" ht="30.0" customHeight="1">
      <c r="A1335" s="248"/>
      <c r="B1335" s="249"/>
      <c r="C1335" s="248"/>
      <c r="D1335" s="249"/>
      <c r="E1335" s="249"/>
      <c r="F1335" s="249"/>
      <c r="G1335" s="250"/>
      <c r="H1335" s="251"/>
      <c r="I1335" s="252"/>
      <c r="J1335" s="252"/>
      <c r="K1335" s="252"/>
      <c r="L1335" s="251"/>
      <c r="M1335" s="251"/>
      <c r="N1335" s="251"/>
      <c r="O1335" s="251"/>
      <c r="P1335" s="251"/>
      <c r="Q1335" s="251"/>
      <c r="R1335" s="251"/>
      <c r="S1335" s="251"/>
      <c r="T1335" s="251"/>
      <c r="U1335" s="251"/>
      <c r="V1335" s="251"/>
      <c r="W1335" s="251"/>
      <c r="X1335" s="251"/>
      <c r="Y1335" s="251"/>
      <c r="Z1335" s="251"/>
      <c r="AA1335" s="137"/>
      <c r="AB1335" s="137"/>
      <c r="AC1335" s="137"/>
      <c r="AD1335" s="137"/>
      <c r="AE1335" s="137"/>
      <c r="AF1335" s="137"/>
      <c r="AG1335" s="137"/>
    </row>
    <row r="1336" ht="30.0" customHeight="1">
      <c r="A1336" s="248"/>
      <c r="B1336" s="249"/>
      <c r="C1336" s="249"/>
      <c r="D1336" s="249"/>
      <c r="E1336" s="249"/>
      <c r="F1336" s="249"/>
      <c r="G1336" s="249"/>
      <c r="H1336" s="251"/>
      <c r="I1336" s="252"/>
      <c r="J1336" s="252"/>
      <c r="K1336" s="252"/>
      <c r="L1336" s="251"/>
      <c r="M1336" s="251"/>
      <c r="N1336" s="251"/>
      <c r="O1336" s="251"/>
      <c r="P1336" s="251"/>
      <c r="Q1336" s="251"/>
      <c r="R1336" s="251"/>
      <c r="S1336" s="251"/>
      <c r="T1336" s="251"/>
      <c r="U1336" s="251"/>
      <c r="V1336" s="251"/>
      <c r="W1336" s="251"/>
      <c r="X1336" s="251"/>
      <c r="Y1336" s="251"/>
      <c r="Z1336" s="251"/>
      <c r="AA1336" s="137"/>
      <c r="AB1336" s="137"/>
      <c r="AC1336" s="137"/>
      <c r="AD1336" s="137"/>
      <c r="AE1336" s="137"/>
      <c r="AF1336" s="137"/>
      <c r="AG1336" s="137"/>
    </row>
    <row r="1337" ht="30.0" customHeight="1">
      <c r="A1337" s="248"/>
      <c r="B1337" s="249"/>
      <c r="C1337" s="248"/>
      <c r="D1337" s="249"/>
      <c r="E1337" s="249"/>
      <c r="F1337" s="249"/>
      <c r="G1337" s="249"/>
      <c r="H1337" s="251"/>
      <c r="I1337" s="252"/>
      <c r="J1337" s="252"/>
      <c r="K1337" s="252"/>
      <c r="L1337" s="251"/>
      <c r="M1337" s="251"/>
      <c r="N1337" s="251"/>
      <c r="O1337" s="251"/>
      <c r="P1337" s="251"/>
      <c r="Q1337" s="251"/>
      <c r="R1337" s="251"/>
      <c r="S1337" s="251"/>
      <c r="T1337" s="251"/>
      <c r="U1337" s="251"/>
      <c r="V1337" s="251"/>
      <c r="W1337" s="251"/>
      <c r="X1337" s="251"/>
      <c r="Y1337" s="251"/>
      <c r="Z1337" s="251"/>
      <c r="AA1337" s="137"/>
      <c r="AB1337" s="137"/>
      <c r="AC1337" s="137"/>
      <c r="AD1337" s="137"/>
      <c r="AE1337" s="137"/>
      <c r="AF1337" s="137"/>
      <c r="AG1337" s="137"/>
    </row>
    <row r="1338" ht="30.0" customHeight="1">
      <c r="A1338" s="248"/>
      <c r="B1338" s="249"/>
      <c r="C1338" s="248"/>
      <c r="D1338" s="249"/>
      <c r="E1338" s="249"/>
      <c r="F1338" s="249"/>
      <c r="G1338" s="250"/>
      <c r="H1338" s="251"/>
      <c r="I1338" s="252"/>
      <c r="J1338" s="252"/>
      <c r="K1338" s="252"/>
      <c r="L1338" s="251"/>
      <c r="M1338" s="251"/>
      <c r="N1338" s="251"/>
      <c r="O1338" s="251"/>
      <c r="P1338" s="251"/>
      <c r="Q1338" s="251"/>
      <c r="R1338" s="251"/>
      <c r="S1338" s="251"/>
      <c r="T1338" s="251"/>
      <c r="U1338" s="251"/>
      <c r="V1338" s="251"/>
      <c r="W1338" s="251"/>
      <c r="X1338" s="251"/>
      <c r="Y1338" s="251"/>
      <c r="Z1338" s="251"/>
      <c r="AA1338" s="137"/>
      <c r="AB1338" s="137"/>
      <c r="AC1338" s="137"/>
      <c r="AD1338" s="137"/>
      <c r="AE1338" s="137"/>
      <c r="AF1338" s="137"/>
      <c r="AG1338" s="137"/>
    </row>
    <row r="1339" ht="30.0" customHeight="1">
      <c r="A1339" s="248"/>
      <c r="B1339" s="249"/>
      <c r="C1339" s="248"/>
      <c r="D1339" s="249"/>
      <c r="E1339" s="249"/>
      <c r="F1339" s="249"/>
      <c r="G1339" s="250"/>
      <c r="H1339" s="251"/>
      <c r="I1339" s="252"/>
      <c r="J1339" s="252"/>
      <c r="K1339" s="252"/>
      <c r="L1339" s="251"/>
      <c r="M1339" s="251"/>
      <c r="N1339" s="251"/>
      <c r="O1339" s="251"/>
      <c r="P1339" s="251"/>
      <c r="Q1339" s="251"/>
      <c r="R1339" s="251"/>
      <c r="S1339" s="251"/>
      <c r="T1339" s="251"/>
      <c r="U1339" s="251"/>
      <c r="V1339" s="251"/>
      <c r="W1339" s="251"/>
      <c r="X1339" s="251"/>
      <c r="Y1339" s="251"/>
      <c r="Z1339" s="251"/>
      <c r="AA1339" s="137"/>
      <c r="AB1339" s="137"/>
      <c r="AC1339" s="137"/>
      <c r="AD1339" s="137"/>
      <c r="AE1339" s="137"/>
      <c r="AF1339" s="137"/>
      <c r="AG1339" s="137"/>
    </row>
    <row r="1340" ht="30.0" customHeight="1">
      <c r="A1340" s="248"/>
      <c r="B1340" s="249"/>
      <c r="C1340" s="248"/>
      <c r="D1340" s="249"/>
      <c r="E1340" s="249"/>
      <c r="F1340" s="249"/>
      <c r="G1340" s="250"/>
      <c r="H1340" s="251"/>
      <c r="I1340" s="252"/>
      <c r="J1340" s="252"/>
      <c r="K1340" s="252"/>
      <c r="L1340" s="251"/>
      <c r="M1340" s="251"/>
      <c r="N1340" s="251"/>
      <c r="O1340" s="251"/>
      <c r="P1340" s="251"/>
      <c r="Q1340" s="251"/>
      <c r="R1340" s="251"/>
      <c r="S1340" s="251"/>
      <c r="T1340" s="251"/>
      <c r="U1340" s="251"/>
      <c r="V1340" s="251"/>
      <c r="W1340" s="251"/>
      <c r="X1340" s="251"/>
      <c r="Y1340" s="251"/>
      <c r="Z1340" s="251"/>
      <c r="AA1340" s="137"/>
      <c r="AB1340" s="137"/>
      <c r="AC1340" s="137"/>
      <c r="AD1340" s="137"/>
      <c r="AE1340" s="137"/>
      <c r="AF1340" s="137"/>
      <c r="AG1340" s="137"/>
    </row>
    <row r="1341" ht="30.0" customHeight="1">
      <c r="A1341" s="248"/>
      <c r="B1341" s="249"/>
      <c r="C1341" s="248"/>
      <c r="D1341" s="249"/>
      <c r="E1341" s="249"/>
      <c r="F1341" s="249"/>
      <c r="G1341" s="250"/>
      <c r="H1341" s="251"/>
      <c r="I1341" s="252"/>
      <c r="J1341" s="252"/>
      <c r="K1341" s="252"/>
      <c r="L1341" s="251"/>
      <c r="M1341" s="251"/>
      <c r="N1341" s="251"/>
      <c r="O1341" s="251"/>
      <c r="P1341" s="251"/>
      <c r="Q1341" s="251"/>
      <c r="R1341" s="251"/>
      <c r="S1341" s="251"/>
      <c r="T1341" s="251"/>
      <c r="U1341" s="251"/>
      <c r="V1341" s="251"/>
      <c r="W1341" s="251"/>
      <c r="X1341" s="251"/>
      <c r="Y1341" s="251"/>
      <c r="Z1341" s="251"/>
      <c r="AA1341" s="137"/>
      <c r="AB1341" s="137"/>
      <c r="AC1341" s="137"/>
      <c r="AD1341" s="137"/>
      <c r="AE1341" s="137"/>
      <c r="AF1341" s="137"/>
      <c r="AG1341" s="137"/>
    </row>
    <row r="1342" ht="30.0" customHeight="1">
      <c r="A1342" s="248"/>
      <c r="B1342" s="249"/>
      <c r="C1342" s="248"/>
      <c r="D1342" s="249"/>
      <c r="E1342" s="249"/>
      <c r="F1342" s="249"/>
      <c r="G1342" s="250"/>
      <c r="H1342" s="251"/>
      <c r="I1342" s="252"/>
      <c r="J1342" s="252"/>
      <c r="K1342" s="252"/>
      <c r="L1342" s="251"/>
      <c r="M1342" s="251"/>
      <c r="N1342" s="251"/>
      <c r="O1342" s="251"/>
      <c r="P1342" s="251"/>
      <c r="Q1342" s="251"/>
      <c r="R1342" s="251"/>
      <c r="S1342" s="251"/>
      <c r="T1342" s="251"/>
      <c r="U1342" s="251"/>
      <c r="V1342" s="251"/>
      <c r="W1342" s="251"/>
      <c r="X1342" s="251"/>
      <c r="Y1342" s="251"/>
      <c r="Z1342" s="251"/>
      <c r="AA1342" s="137"/>
      <c r="AB1342" s="137"/>
      <c r="AC1342" s="137"/>
      <c r="AD1342" s="137"/>
      <c r="AE1342" s="137"/>
      <c r="AF1342" s="137"/>
      <c r="AG1342" s="137"/>
    </row>
    <row r="1343" ht="30.0" customHeight="1">
      <c r="A1343" s="248"/>
      <c r="B1343" s="249"/>
      <c r="C1343" s="248"/>
      <c r="D1343" s="249"/>
      <c r="E1343" s="249"/>
      <c r="F1343" s="249"/>
      <c r="G1343" s="250"/>
      <c r="H1343" s="251"/>
      <c r="I1343" s="252"/>
      <c r="J1343" s="252"/>
      <c r="K1343" s="252"/>
      <c r="L1343" s="251"/>
      <c r="M1343" s="251"/>
      <c r="N1343" s="251"/>
      <c r="O1343" s="251"/>
      <c r="P1343" s="251"/>
      <c r="Q1343" s="251"/>
      <c r="R1343" s="251"/>
      <c r="S1343" s="251"/>
      <c r="T1343" s="251"/>
      <c r="U1343" s="251"/>
      <c r="V1343" s="251"/>
      <c r="W1343" s="251"/>
      <c r="X1343" s="251"/>
      <c r="Y1343" s="251"/>
      <c r="Z1343" s="251"/>
      <c r="AA1343" s="137"/>
      <c r="AB1343" s="137"/>
      <c r="AC1343" s="137"/>
      <c r="AD1343" s="137"/>
      <c r="AE1343" s="137"/>
      <c r="AF1343" s="137"/>
      <c r="AG1343" s="137"/>
    </row>
    <row r="1344" ht="30.0" customHeight="1">
      <c r="A1344" s="248"/>
      <c r="B1344" s="249"/>
      <c r="C1344" s="248"/>
      <c r="D1344" s="249"/>
      <c r="E1344" s="249"/>
      <c r="F1344" s="249"/>
      <c r="G1344" s="250"/>
      <c r="H1344" s="251"/>
      <c r="I1344" s="252"/>
      <c r="J1344" s="252"/>
      <c r="K1344" s="252"/>
      <c r="L1344" s="251"/>
      <c r="M1344" s="251"/>
      <c r="N1344" s="251"/>
      <c r="O1344" s="251"/>
      <c r="P1344" s="251"/>
      <c r="Q1344" s="251"/>
      <c r="R1344" s="251"/>
      <c r="S1344" s="251"/>
      <c r="T1344" s="251"/>
      <c r="U1344" s="251"/>
      <c r="V1344" s="251"/>
      <c r="W1344" s="251"/>
      <c r="X1344" s="251"/>
      <c r="Y1344" s="251"/>
      <c r="Z1344" s="251"/>
      <c r="AA1344" s="137"/>
      <c r="AB1344" s="137"/>
      <c r="AC1344" s="137"/>
      <c r="AD1344" s="137"/>
      <c r="AE1344" s="137"/>
      <c r="AF1344" s="137"/>
      <c r="AG1344" s="137"/>
    </row>
    <row r="1345" ht="30.0" customHeight="1">
      <c r="A1345" s="248"/>
      <c r="B1345" s="249"/>
      <c r="C1345" s="248"/>
      <c r="D1345" s="249"/>
      <c r="E1345" s="249"/>
      <c r="F1345" s="249"/>
      <c r="G1345" s="250"/>
      <c r="H1345" s="251"/>
      <c r="I1345" s="252"/>
      <c r="J1345" s="252"/>
      <c r="K1345" s="252"/>
      <c r="L1345" s="251"/>
      <c r="M1345" s="251"/>
      <c r="N1345" s="251"/>
      <c r="O1345" s="251"/>
      <c r="P1345" s="251"/>
      <c r="Q1345" s="251"/>
      <c r="R1345" s="251"/>
      <c r="S1345" s="251"/>
      <c r="T1345" s="251"/>
      <c r="U1345" s="251"/>
      <c r="V1345" s="251"/>
      <c r="W1345" s="251"/>
      <c r="X1345" s="251"/>
      <c r="Y1345" s="251"/>
      <c r="Z1345" s="251"/>
      <c r="AA1345" s="137"/>
      <c r="AB1345" s="137"/>
      <c r="AC1345" s="137"/>
      <c r="AD1345" s="137"/>
      <c r="AE1345" s="137"/>
      <c r="AF1345" s="137"/>
      <c r="AG1345" s="137"/>
    </row>
    <row r="1346" ht="30.0" customHeight="1">
      <c r="A1346" s="248"/>
      <c r="B1346" s="249"/>
      <c r="C1346" s="248"/>
      <c r="D1346" s="249"/>
      <c r="E1346" s="249"/>
      <c r="F1346" s="249"/>
      <c r="G1346" s="250"/>
      <c r="H1346" s="251"/>
      <c r="I1346" s="252"/>
      <c r="J1346" s="252"/>
      <c r="K1346" s="252"/>
      <c r="L1346" s="251"/>
      <c r="M1346" s="251"/>
      <c r="N1346" s="251"/>
      <c r="O1346" s="251"/>
      <c r="P1346" s="251"/>
      <c r="Q1346" s="251"/>
      <c r="R1346" s="251"/>
      <c r="S1346" s="251"/>
      <c r="T1346" s="251"/>
      <c r="U1346" s="251"/>
      <c r="V1346" s="251"/>
      <c r="W1346" s="251"/>
      <c r="X1346" s="251"/>
      <c r="Y1346" s="251"/>
      <c r="Z1346" s="251"/>
      <c r="AA1346" s="137"/>
      <c r="AB1346" s="137"/>
      <c r="AC1346" s="137"/>
      <c r="AD1346" s="137"/>
      <c r="AE1346" s="137"/>
      <c r="AF1346" s="137"/>
      <c r="AG1346" s="137"/>
    </row>
    <row r="1347" ht="30.0" customHeight="1">
      <c r="A1347" s="248"/>
      <c r="B1347" s="249"/>
      <c r="C1347" s="248"/>
      <c r="D1347" s="249"/>
      <c r="E1347" s="249"/>
      <c r="F1347" s="249"/>
      <c r="G1347" s="250"/>
      <c r="H1347" s="251"/>
      <c r="I1347" s="252"/>
      <c r="J1347" s="252"/>
      <c r="K1347" s="252"/>
      <c r="L1347" s="251"/>
      <c r="M1347" s="251"/>
      <c r="N1347" s="251"/>
      <c r="O1347" s="251"/>
      <c r="P1347" s="251"/>
      <c r="Q1347" s="251"/>
      <c r="R1347" s="251"/>
      <c r="S1347" s="251"/>
      <c r="T1347" s="251"/>
      <c r="U1347" s="251"/>
      <c r="V1347" s="251"/>
      <c r="W1347" s="251"/>
      <c r="X1347" s="251"/>
      <c r="Y1347" s="251"/>
      <c r="Z1347" s="251"/>
      <c r="AA1347" s="137"/>
      <c r="AB1347" s="137"/>
      <c r="AC1347" s="137"/>
      <c r="AD1347" s="137"/>
      <c r="AE1347" s="137"/>
      <c r="AF1347" s="137"/>
      <c r="AG1347" s="137"/>
    </row>
    <row r="1348" ht="30.0" customHeight="1">
      <c r="A1348" s="248"/>
      <c r="B1348" s="249"/>
      <c r="C1348" s="248"/>
      <c r="D1348" s="249"/>
      <c r="E1348" s="249"/>
      <c r="F1348" s="249"/>
      <c r="G1348" s="250"/>
      <c r="H1348" s="251"/>
      <c r="I1348" s="252"/>
      <c r="J1348" s="252"/>
      <c r="K1348" s="252"/>
      <c r="L1348" s="251"/>
      <c r="M1348" s="251"/>
      <c r="N1348" s="251"/>
      <c r="O1348" s="251"/>
      <c r="P1348" s="251"/>
      <c r="Q1348" s="251"/>
      <c r="R1348" s="251"/>
      <c r="S1348" s="251"/>
      <c r="T1348" s="251"/>
      <c r="U1348" s="251"/>
      <c r="V1348" s="251"/>
      <c r="W1348" s="251"/>
      <c r="X1348" s="251"/>
      <c r="Y1348" s="251"/>
      <c r="Z1348" s="251"/>
      <c r="AA1348" s="137"/>
      <c r="AB1348" s="137"/>
      <c r="AC1348" s="137"/>
      <c r="AD1348" s="137"/>
      <c r="AE1348" s="137"/>
      <c r="AF1348" s="137"/>
      <c r="AG1348" s="137"/>
    </row>
    <row r="1349" ht="30.0" customHeight="1">
      <c r="A1349" s="248"/>
      <c r="B1349" s="249"/>
      <c r="C1349" s="248"/>
      <c r="D1349" s="249"/>
      <c r="E1349" s="249"/>
      <c r="F1349" s="249"/>
      <c r="G1349" s="250"/>
      <c r="H1349" s="251"/>
      <c r="I1349" s="252"/>
      <c r="J1349" s="252"/>
      <c r="K1349" s="252"/>
      <c r="L1349" s="251"/>
      <c r="M1349" s="251"/>
      <c r="N1349" s="251"/>
      <c r="O1349" s="251"/>
      <c r="P1349" s="251"/>
      <c r="Q1349" s="251"/>
      <c r="R1349" s="251"/>
      <c r="S1349" s="251"/>
      <c r="T1349" s="251"/>
      <c r="U1349" s="251"/>
      <c r="V1349" s="251"/>
      <c r="W1349" s="251"/>
      <c r="X1349" s="251"/>
      <c r="Y1349" s="251"/>
      <c r="Z1349" s="251"/>
      <c r="AA1349" s="137"/>
      <c r="AB1349" s="137"/>
      <c r="AC1349" s="137"/>
      <c r="AD1349" s="137"/>
      <c r="AE1349" s="137"/>
      <c r="AF1349" s="137"/>
      <c r="AG1349" s="137"/>
    </row>
    <row r="1350" ht="30.0" customHeight="1">
      <c r="A1350" s="248"/>
      <c r="B1350" s="249"/>
      <c r="C1350" s="248"/>
      <c r="D1350" s="249"/>
      <c r="E1350" s="249"/>
      <c r="F1350" s="249"/>
      <c r="G1350" s="250"/>
      <c r="H1350" s="251"/>
      <c r="I1350" s="252"/>
      <c r="J1350" s="252"/>
      <c r="K1350" s="252"/>
      <c r="L1350" s="251"/>
      <c r="M1350" s="251"/>
      <c r="N1350" s="251"/>
      <c r="O1350" s="251"/>
      <c r="P1350" s="251"/>
      <c r="Q1350" s="251"/>
      <c r="R1350" s="251"/>
      <c r="S1350" s="251"/>
      <c r="T1350" s="251"/>
      <c r="U1350" s="251"/>
      <c r="V1350" s="251"/>
      <c r="W1350" s="251"/>
      <c r="X1350" s="251"/>
      <c r="Y1350" s="251"/>
      <c r="Z1350" s="251"/>
      <c r="AA1350" s="137"/>
      <c r="AB1350" s="137"/>
      <c r="AC1350" s="137"/>
      <c r="AD1350" s="137"/>
      <c r="AE1350" s="137"/>
      <c r="AF1350" s="137"/>
      <c r="AG1350" s="137"/>
    </row>
    <row r="1351" ht="30.0" customHeight="1">
      <c r="A1351" s="248"/>
      <c r="B1351" s="249"/>
      <c r="C1351" s="248"/>
      <c r="D1351" s="249"/>
      <c r="E1351" s="249"/>
      <c r="F1351" s="249"/>
      <c r="G1351" s="250"/>
      <c r="H1351" s="251"/>
      <c r="I1351" s="252"/>
      <c r="J1351" s="252"/>
      <c r="K1351" s="252"/>
      <c r="L1351" s="251"/>
      <c r="M1351" s="251"/>
      <c r="N1351" s="251"/>
      <c r="O1351" s="251"/>
      <c r="P1351" s="251"/>
      <c r="Q1351" s="251"/>
      <c r="R1351" s="251"/>
      <c r="S1351" s="251"/>
      <c r="T1351" s="251"/>
      <c r="U1351" s="251"/>
      <c r="V1351" s="251"/>
      <c r="W1351" s="251"/>
      <c r="X1351" s="251"/>
      <c r="Y1351" s="251"/>
      <c r="Z1351" s="251"/>
      <c r="AA1351" s="137"/>
      <c r="AB1351" s="137"/>
      <c r="AC1351" s="137"/>
      <c r="AD1351" s="137"/>
      <c r="AE1351" s="137"/>
      <c r="AF1351" s="137"/>
      <c r="AG1351" s="137"/>
    </row>
    <row r="1352" ht="30.0" customHeight="1">
      <c r="A1352" s="248"/>
      <c r="B1352" s="249"/>
      <c r="C1352" s="248"/>
      <c r="D1352" s="249"/>
      <c r="E1352" s="249"/>
      <c r="F1352" s="249"/>
      <c r="G1352" s="250"/>
      <c r="H1352" s="251"/>
      <c r="I1352" s="252"/>
      <c r="J1352" s="252"/>
      <c r="K1352" s="252"/>
      <c r="L1352" s="251"/>
      <c r="M1352" s="251"/>
      <c r="N1352" s="251"/>
      <c r="O1352" s="251"/>
      <c r="P1352" s="251"/>
      <c r="Q1352" s="251"/>
      <c r="R1352" s="251"/>
      <c r="S1352" s="251"/>
      <c r="T1352" s="251"/>
      <c r="U1352" s="251"/>
      <c r="V1352" s="251"/>
      <c r="W1352" s="251"/>
      <c r="X1352" s="251"/>
      <c r="Y1352" s="251"/>
      <c r="Z1352" s="251"/>
      <c r="AA1352" s="137"/>
      <c r="AB1352" s="137"/>
      <c r="AC1352" s="137"/>
      <c r="AD1352" s="137"/>
      <c r="AE1352" s="137"/>
      <c r="AF1352" s="137"/>
      <c r="AG1352" s="137"/>
    </row>
    <row r="1353" ht="30.0" customHeight="1">
      <c r="A1353" s="248"/>
      <c r="B1353" s="249"/>
      <c r="C1353" s="248"/>
      <c r="D1353" s="249"/>
      <c r="E1353" s="249"/>
      <c r="F1353" s="249"/>
      <c r="G1353" s="250"/>
      <c r="H1353" s="251"/>
      <c r="I1353" s="252"/>
      <c r="J1353" s="252"/>
      <c r="K1353" s="252"/>
      <c r="L1353" s="251"/>
      <c r="M1353" s="251"/>
      <c r="N1353" s="251"/>
      <c r="O1353" s="251"/>
      <c r="P1353" s="251"/>
      <c r="Q1353" s="251"/>
      <c r="R1353" s="251"/>
      <c r="S1353" s="251"/>
      <c r="T1353" s="251"/>
      <c r="U1353" s="251"/>
      <c r="V1353" s="251"/>
      <c r="W1353" s="251"/>
      <c r="X1353" s="251"/>
      <c r="Y1353" s="251"/>
      <c r="Z1353" s="251"/>
      <c r="AA1353" s="137"/>
      <c r="AB1353" s="137"/>
      <c r="AC1353" s="137"/>
      <c r="AD1353" s="137"/>
      <c r="AE1353" s="137"/>
      <c r="AF1353" s="137"/>
      <c r="AG1353" s="137"/>
    </row>
    <row r="1354" ht="30.0" customHeight="1">
      <c r="A1354" s="248"/>
      <c r="B1354" s="249"/>
      <c r="C1354" s="248"/>
      <c r="D1354" s="249"/>
      <c r="E1354" s="249"/>
      <c r="F1354" s="249"/>
      <c r="G1354" s="250"/>
      <c r="H1354" s="251"/>
      <c r="I1354" s="252"/>
      <c r="J1354" s="252"/>
      <c r="K1354" s="252"/>
      <c r="L1354" s="251"/>
      <c r="M1354" s="251"/>
      <c r="N1354" s="251"/>
      <c r="O1354" s="251"/>
      <c r="P1354" s="251"/>
      <c r="Q1354" s="251"/>
      <c r="R1354" s="251"/>
      <c r="S1354" s="251"/>
      <c r="T1354" s="251"/>
      <c r="U1354" s="251"/>
      <c r="V1354" s="251"/>
      <c r="W1354" s="251"/>
      <c r="X1354" s="251"/>
      <c r="Y1354" s="251"/>
      <c r="Z1354" s="251"/>
      <c r="AA1354" s="137"/>
      <c r="AB1354" s="137"/>
      <c r="AC1354" s="137"/>
      <c r="AD1354" s="137"/>
      <c r="AE1354" s="137"/>
      <c r="AF1354" s="137"/>
      <c r="AG1354" s="137"/>
    </row>
    <row r="1355" ht="30.0" customHeight="1">
      <c r="A1355" s="248"/>
      <c r="B1355" s="249"/>
      <c r="C1355" s="248"/>
      <c r="D1355" s="249"/>
      <c r="E1355" s="249"/>
      <c r="F1355" s="249"/>
      <c r="G1355" s="250"/>
      <c r="H1355" s="251"/>
      <c r="I1355" s="252"/>
      <c r="J1355" s="252"/>
      <c r="K1355" s="252"/>
      <c r="L1355" s="251"/>
      <c r="M1355" s="251"/>
      <c r="N1355" s="251"/>
      <c r="O1355" s="251"/>
      <c r="P1355" s="251"/>
      <c r="Q1355" s="251"/>
      <c r="R1355" s="251"/>
      <c r="S1355" s="251"/>
      <c r="T1355" s="251"/>
      <c r="U1355" s="251"/>
      <c r="V1355" s="251"/>
      <c r="W1355" s="251"/>
      <c r="X1355" s="251"/>
      <c r="Y1355" s="251"/>
      <c r="Z1355" s="251"/>
      <c r="AA1355" s="137"/>
      <c r="AB1355" s="137"/>
      <c r="AC1355" s="137"/>
      <c r="AD1355" s="137"/>
      <c r="AE1355" s="137"/>
      <c r="AF1355" s="137"/>
      <c r="AG1355" s="137"/>
    </row>
    <row r="1356" ht="30.0" customHeight="1">
      <c r="A1356" s="248"/>
      <c r="B1356" s="249"/>
      <c r="C1356" s="248"/>
      <c r="D1356" s="249"/>
      <c r="E1356" s="249"/>
      <c r="F1356" s="249"/>
      <c r="G1356" s="250"/>
      <c r="H1356" s="251"/>
      <c r="I1356" s="252"/>
      <c r="J1356" s="252"/>
      <c r="K1356" s="252"/>
      <c r="L1356" s="251"/>
      <c r="M1356" s="251"/>
      <c r="N1356" s="251"/>
      <c r="O1356" s="251"/>
      <c r="P1356" s="251"/>
      <c r="Q1356" s="251"/>
      <c r="R1356" s="251"/>
      <c r="S1356" s="251"/>
      <c r="T1356" s="251"/>
      <c r="U1356" s="251"/>
      <c r="V1356" s="251"/>
      <c r="W1356" s="251"/>
      <c r="X1356" s="251"/>
      <c r="Y1356" s="251"/>
      <c r="Z1356" s="251"/>
      <c r="AA1356" s="137"/>
      <c r="AB1356" s="137"/>
      <c r="AC1356" s="137"/>
      <c r="AD1356" s="137"/>
      <c r="AE1356" s="137"/>
      <c r="AF1356" s="137"/>
      <c r="AG1356" s="137"/>
    </row>
    <row r="1357" ht="30.0" customHeight="1">
      <c r="A1357" s="248"/>
      <c r="B1357" s="249"/>
      <c r="C1357" s="248"/>
      <c r="D1357" s="249"/>
      <c r="E1357" s="249"/>
      <c r="F1357" s="249"/>
      <c r="G1357" s="250"/>
      <c r="H1357" s="251"/>
      <c r="I1357" s="252"/>
      <c r="J1357" s="252"/>
      <c r="K1357" s="252"/>
      <c r="L1357" s="251"/>
      <c r="M1357" s="251"/>
      <c r="N1357" s="251"/>
      <c r="O1357" s="251"/>
      <c r="P1357" s="251"/>
      <c r="Q1357" s="251"/>
      <c r="R1357" s="251"/>
      <c r="S1357" s="251"/>
      <c r="T1357" s="251"/>
      <c r="U1357" s="251"/>
      <c r="V1357" s="251"/>
      <c r="W1357" s="251"/>
      <c r="X1357" s="251"/>
      <c r="Y1357" s="251"/>
      <c r="Z1357" s="251"/>
      <c r="AA1357" s="137"/>
      <c r="AB1357" s="137"/>
      <c r="AC1357" s="137"/>
      <c r="AD1357" s="137"/>
      <c r="AE1357" s="137"/>
      <c r="AF1357" s="137"/>
      <c r="AG1357" s="137"/>
    </row>
    <row r="1358" ht="30.0" customHeight="1">
      <c r="A1358" s="248"/>
      <c r="B1358" s="249"/>
      <c r="C1358" s="248"/>
      <c r="D1358" s="249"/>
      <c r="E1358" s="249"/>
      <c r="F1358" s="249"/>
      <c r="G1358" s="250"/>
      <c r="H1358" s="251"/>
      <c r="I1358" s="252"/>
      <c r="J1358" s="252"/>
      <c r="K1358" s="252"/>
      <c r="L1358" s="251"/>
      <c r="M1358" s="251"/>
      <c r="N1358" s="251"/>
      <c r="O1358" s="251"/>
      <c r="P1358" s="251"/>
      <c r="Q1358" s="251"/>
      <c r="R1358" s="251"/>
      <c r="S1358" s="251"/>
      <c r="T1358" s="251"/>
      <c r="U1358" s="251"/>
      <c r="V1358" s="251"/>
      <c r="W1358" s="251"/>
      <c r="X1358" s="251"/>
      <c r="Y1358" s="251"/>
      <c r="Z1358" s="251"/>
      <c r="AA1358" s="137"/>
      <c r="AB1358" s="137"/>
      <c r="AC1358" s="137"/>
      <c r="AD1358" s="137"/>
      <c r="AE1358" s="137"/>
      <c r="AF1358" s="137"/>
      <c r="AG1358" s="137"/>
    </row>
    <row r="1359" ht="30.0" customHeight="1">
      <c r="A1359" s="248"/>
      <c r="B1359" s="249"/>
      <c r="C1359" s="248"/>
      <c r="D1359" s="249"/>
      <c r="E1359" s="249"/>
      <c r="F1359" s="249"/>
      <c r="G1359" s="250"/>
      <c r="H1359" s="251"/>
      <c r="I1359" s="252"/>
      <c r="J1359" s="252"/>
      <c r="K1359" s="252"/>
      <c r="L1359" s="251"/>
      <c r="M1359" s="251"/>
      <c r="N1359" s="251"/>
      <c r="O1359" s="251"/>
      <c r="P1359" s="251"/>
      <c r="Q1359" s="251"/>
      <c r="R1359" s="251"/>
      <c r="S1359" s="251"/>
      <c r="T1359" s="251"/>
      <c r="U1359" s="251"/>
      <c r="V1359" s="251"/>
      <c r="W1359" s="251"/>
      <c r="X1359" s="251"/>
      <c r="Y1359" s="251"/>
      <c r="Z1359" s="251"/>
      <c r="AA1359" s="137"/>
      <c r="AB1359" s="137"/>
      <c r="AC1359" s="137"/>
      <c r="AD1359" s="137"/>
      <c r="AE1359" s="137"/>
      <c r="AF1359" s="137"/>
      <c r="AG1359" s="137"/>
    </row>
    <row r="1360" ht="30.0" customHeight="1">
      <c r="A1360" s="248"/>
      <c r="B1360" s="249"/>
      <c r="C1360" s="248"/>
      <c r="D1360" s="249"/>
      <c r="E1360" s="249"/>
      <c r="F1360" s="249"/>
      <c r="G1360" s="250"/>
      <c r="H1360" s="251"/>
      <c r="I1360" s="252"/>
      <c r="J1360" s="252"/>
      <c r="K1360" s="252"/>
      <c r="L1360" s="251"/>
      <c r="M1360" s="251"/>
      <c r="N1360" s="251"/>
      <c r="O1360" s="251"/>
      <c r="P1360" s="251"/>
      <c r="Q1360" s="251"/>
      <c r="R1360" s="251"/>
      <c r="S1360" s="251"/>
      <c r="T1360" s="251"/>
      <c r="U1360" s="251"/>
      <c r="V1360" s="251"/>
      <c r="W1360" s="251"/>
      <c r="X1360" s="251"/>
      <c r="Y1360" s="251"/>
      <c r="Z1360" s="251"/>
      <c r="AA1360" s="137"/>
      <c r="AB1360" s="137"/>
      <c r="AC1360" s="137"/>
      <c r="AD1360" s="137"/>
      <c r="AE1360" s="137"/>
      <c r="AF1360" s="137"/>
      <c r="AG1360" s="137"/>
    </row>
    <row r="1361" ht="30.0" customHeight="1">
      <c r="A1361" s="248"/>
      <c r="B1361" s="249"/>
      <c r="C1361" s="248"/>
      <c r="D1361" s="249"/>
      <c r="E1361" s="249"/>
      <c r="F1361" s="249"/>
      <c r="G1361" s="250"/>
      <c r="H1361" s="251"/>
      <c r="I1361" s="252"/>
      <c r="J1361" s="252"/>
      <c r="K1361" s="252"/>
      <c r="L1361" s="251"/>
      <c r="M1361" s="251"/>
      <c r="N1361" s="251"/>
      <c r="O1361" s="251"/>
      <c r="P1361" s="251"/>
      <c r="Q1361" s="251"/>
      <c r="R1361" s="251"/>
      <c r="S1361" s="251"/>
      <c r="T1361" s="251"/>
      <c r="U1361" s="251"/>
      <c r="V1361" s="251"/>
      <c r="W1361" s="251"/>
      <c r="X1361" s="251"/>
      <c r="Y1361" s="251"/>
      <c r="Z1361" s="251"/>
      <c r="AA1361" s="137"/>
      <c r="AB1361" s="137"/>
      <c r="AC1361" s="137"/>
      <c r="AD1361" s="137"/>
      <c r="AE1361" s="137"/>
      <c r="AF1361" s="137"/>
      <c r="AG1361" s="137"/>
    </row>
    <row r="1362" ht="30.0" customHeight="1">
      <c r="A1362" s="248"/>
      <c r="B1362" s="249"/>
      <c r="C1362" s="248"/>
      <c r="D1362" s="249"/>
      <c r="E1362" s="249"/>
      <c r="F1362" s="249"/>
      <c r="G1362" s="250"/>
      <c r="H1362" s="251"/>
      <c r="I1362" s="252"/>
      <c r="J1362" s="252"/>
      <c r="K1362" s="252"/>
      <c r="L1362" s="251"/>
      <c r="M1362" s="251"/>
      <c r="N1362" s="251"/>
      <c r="O1362" s="251"/>
      <c r="P1362" s="251"/>
      <c r="Q1362" s="251"/>
      <c r="R1362" s="251"/>
      <c r="S1362" s="251"/>
      <c r="T1362" s="251"/>
      <c r="U1362" s="251"/>
      <c r="V1362" s="251"/>
      <c r="W1362" s="251"/>
      <c r="X1362" s="251"/>
      <c r="Y1362" s="251"/>
      <c r="Z1362" s="251"/>
      <c r="AA1362" s="137"/>
      <c r="AB1362" s="137"/>
      <c r="AC1362" s="137"/>
      <c r="AD1362" s="137"/>
      <c r="AE1362" s="137"/>
      <c r="AF1362" s="137"/>
      <c r="AG1362" s="137"/>
    </row>
    <row r="1363" ht="30.0" customHeight="1">
      <c r="A1363" s="248"/>
      <c r="B1363" s="249"/>
      <c r="C1363" s="248"/>
      <c r="D1363" s="249"/>
      <c r="E1363" s="249"/>
      <c r="F1363" s="249"/>
      <c r="G1363" s="250"/>
      <c r="H1363" s="251"/>
      <c r="I1363" s="252"/>
      <c r="J1363" s="252"/>
      <c r="K1363" s="252"/>
      <c r="L1363" s="251"/>
      <c r="M1363" s="251"/>
      <c r="N1363" s="251"/>
      <c r="O1363" s="251"/>
      <c r="P1363" s="251"/>
      <c r="Q1363" s="251"/>
      <c r="R1363" s="251"/>
      <c r="S1363" s="251"/>
      <c r="T1363" s="251"/>
      <c r="U1363" s="251"/>
      <c r="V1363" s="251"/>
      <c r="W1363" s="251"/>
      <c r="X1363" s="251"/>
      <c r="Y1363" s="251"/>
      <c r="Z1363" s="251"/>
      <c r="AA1363" s="137"/>
      <c r="AB1363" s="137"/>
      <c r="AC1363" s="137"/>
      <c r="AD1363" s="137"/>
      <c r="AE1363" s="137"/>
      <c r="AF1363" s="137"/>
      <c r="AG1363" s="137"/>
    </row>
    <row r="1364" ht="30.0" customHeight="1">
      <c r="A1364" s="248"/>
      <c r="B1364" s="249"/>
      <c r="C1364" s="248"/>
      <c r="D1364" s="249"/>
      <c r="E1364" s="249"/>
      <c r="F1364" s="249"/>
      <c r="G1364" s="250"/>
      <c r="H1364" s="251"/>
      <c r="I1364" s="252"/>
      <c r="J1364" s="252"/>
      <c r="K1364" s="252"/>
      <c r="L1364" s="251"/>
      <c r="M1364" s="251"/>
      <c r="N1364" s="251"/>
      <c r="O1364" s="251"/>
      <c r="P1364" s="251"/>
      <c r="Q1364" s="251"/>
      <c r="R1364" s="251"/>
      <c r="S1364" s="251"/>
      <c r="T1364" s="251"/>
      <c r="U1364" s="251"/>
      <c r="V1364" s="251"/>
      <c r="W1364" s="251"/>
      <c r="X1364" s="251"/>
      <c r="Y1364" s="251"/>
      <c r="Z1364" s="251"/>
      <c r="AA1364" s="137"/>
      <c r="AB1364" s="137"/>
      <c r="AC1364" s="137"/>
      <c r="AD1364" s="137"/>
      <c r="AE1364" s="137"/>
      <c r="AF1364" s="137"/>
      <c r="AG1364" s="137"/>
    </row>
    <row r="1365" ht="30.0" customHeight="1">
      <c r="A1365" s="248"/>
      <c r="B1365" s="249"/>
      <c r="C1365" s="248"/>
      <c r="D1365" s="249"/>
      <c r="E1365" s="249"/>
      <c r="F1365" s="249"/>
      <c r="G1365" s="250"/>
      <c r="H1365" s="251"/>
      <c r="I1365" s="252"/>
      <c r="J1365" s="252"/>
      <c r="K1365" s="252"/>
      <c r="L1365" s="251"/>
      <c r="M1365" s="251"/>
      <c r="N1365" s="251"/>
      <c r="O1365" s="251"/>
      <c r="P1365" s="251"/>
      <c r="Q1365" s="251"/>
      <c r="R1365" s="251"/>
      <c r="S1365" s="251"/>
      <c r="T1365" s="251"/>
      <c r="U1365" s="251"/>
      <c r="V1365" s="251"/>
      <c r="W1365" s="251"/>
      <c r="X1365" s="251"/>
      <c r="Y1365" s="251"/>
      <c r="Z1365" s="251"/>
      <c r="AA1365" s="137"/>
      <c r="AB1365" s="137"/>
      <c r="AC1365" s="137"/>
      <c r="AD1365" s="137"/>
      <c r="AE1365" s="137"/>
      <c r="AF1365" s="137"/>
      <c r="AG1365" s="137"/>
    </row>
    <row r="1366" ht="30.0" customHeight="1">
      <c r="A1366" s="248"/>
      <c r="B1366" s="249"/>
      <c r="C1366" s="248"/>
      <c r="D1366" s="249"/>
      <c r="E1366" s="249"/>
      <c r="F1366" s="249"/>
      <c r="G1366" s="250"/>
      <c r="H1366" s="251"/>
      <c r="I1366" s="252"/>
      <c r="J1366" s="252"/>
      <c r="K1366" s="252"/>
      <c r="L1366" s="251"/>
      <c r="M1366" s="251"/>
      <c r="N1366" s="251"/>
      <c r="O1366" s="251"/>
      <c r="P1366" s="251"/>
      <c r="Q1366" s="251"/>
      <c r="R1366" s="251"/>
      <c r="S1366" s="251"/>
      <c r="T1366" s="251"/>
      <c r="U1366" s="251"/>
      <c r="V1366" s="251"/>
      <c r="W1366" s="251"/>
      <c r="X1366" s="251"/>
      <c r="Y1366" s="251"/>
      <c r="Z1366" s="251"/>
      <c r="AA1366" s="137"/>
      <c r="AB1366" s="137"/>
      <c r="AC1366" s="137"/>
      <c r="AD1366" s="137"/>
      <c r="AE1366" s="137"/>
      <c r="AF1366" s="137"/>
      <c r="AG1366" s="137"/>
    </row>
    <row r="1367" ht="30.0" customHeight="1">
      <c r="A1367" s="248"/>
      <c r="B1367" s="249"/>
      <c r="C1367" s="248"/>
      <c r="D1367" s="249"/>
      <c r="E1367" s="249"/>
      <c r="F1367" s="249"/>
      <c r="G1367" s="250"/>
      <c r="H1367" s="251"/>
      <c r="I1367" s="252"/>
      <c r="J1367" s="252"/>
      <c r="K1367" s="252"/>
      <c r="L1367" s="251"/>
      <c r="M1367" s="251"/>
      <c r="N1367" s="251"/>
      <c r="O1367" s="251"/>
      <c r="P1367" s="251"/>
      <c r="Q1367" s="251"/>
      <c r="R1367" s="251"/>
      <c r="S1367" s="251"/>
      <c r="T1367" s="251"/>
      <c r="U1367" s="251"/>
      <c r="V1367" s="251"/>
      <c r="W1367" s="251"/>
      <c r="X1367" s="251"/>
      <c r="Y1367" s="251"/>
      <c r="Z1367" s="251"/>
      <c r="AA1367" s="137"/>
      <c r="AB1367" s="137"/>
      <c r="AC1367" s="137"/>
      <c r="AD1367" s="137"/>
      <c r="AE1367" s="137"/>
      <c r="AF1367" s="137"/>
      <c r="AG1367" s="137"/>
    </row>
    <row r="1368" ht="30.0" customHeight="1">
      <c r="A1368" s="248"/>
      <c r="B1368" s="249"/>
      <c r="C1368" s="248"/>
      <c r="D1368" s="249"/>
      <c r="E1368" s="249"/>
      <c r="F1368" s="249"/>
      <c r="G1368" s="250"/>
      <c r="H1368" s="251"/>
      <c r="I1368" s="252"/>
      <c r="J1368" s="252"/>
      <c r="K1368" s="252"/>
      <c r="L1368" s="251"/>
      <c r="M1368" s="251"/>
      <c r="N1368" s="251"/>
      <c r="O1368" s="251"/>
      <c r="P1368" s="251"/>
      <c r="Q1368" s="251"/>
      <c r="R1368" s="251"/>
      <c r="S1368" s="251"/>
      <c r="T1368" s="251"/>
      <c r="U1368" s="251"/>
      <c r="V1368" s="251"/>
      <c r="W1368" s="251"/>
      <c r="X1368" s="251"/>
      <c r="Y1368" s="251"/>
      <c r="Z1368" s="251"/>
      <c r="AA1368" s="137"/>
      <c r="AB1368" s="137"/>
      <c r="AC1368" s="137"/>
      <c r="AD1368" s="137"/>
      <c r="AE1368" s="137"/>
      <c r="AF1368" s="137"/>
      <c r="AG1368" s="137"/>
    </row>
    <row r="1369" ht="30.0" customHeight="1">
      <c r="A1369" s="248"/>
      <c r="B1369" s="249"/>
      <c r="C1369" s="248"/>
      <c r="D1369" s="249"/>
      <c r="E1369" s="249"/>
      <c r="F1369" s="249"/>
      <c r="G1369" s="250"/>
      <c r="H1369" s="251"/>
      <c r="I1369" s="252"/>
      <c r="J1369" s="252"/>
      <c r="K1369" s="252"/>
      <c r="L1369" s="251"/>
      <c r="M1369" s="251"/>
      <c r="N1369" s="251"/>
      <c r="O1369" s="251"/>
      <c r="P1369" s="251"/>
      <c r="Q1369" s="251"/>
      <c r="R1369" s="251"/>
      <c r="S1369" s="251"/>
      <c r="T1369" s="251"/>
      <c r="U1369" s="251"/>
      <c r="V1369" s="251"/>
      <c r="W1369" s="251"/>
      <c r="X1369" s="251"/>
      <c r="Y1369" s="251"/>
      <c r="Z1369" s="251"/>
      <c r="AA1369" s="137"/>
      <c r="AB1369" s="137"/>
      <c r="AC1369" s="137"/>
      <c r="AD1369" s="137"/>
      <c r="AE1369" s="137"/>
      <c r="AF1369" s="137"/>
      <c r="AG1369" s="137"/>
    </row>
    <row r="1370" ht="30.0" customHeight="1">
      <c r="A1370" s="248"/>
      <c r="B1370" s="249"/>
      <c r="C1370" s="248"/>
      <c r="D1370" s="249"/>
      <c r="E1370" s="249"/>
      <c r="F1370" s="249"/>
      <c r="G1370" s="250"/>
      <c r="H1370" s="251"/>
      <c r="I1370" s="252"/>
      <c r="J1370" s="252"/>
      <c r="K1370" s="252"/>
      <c r="L1370" s="251"/>
      <c r="M1370" s="251"/>
      <c r="N1370" s="251"/>
      <c r="O1370" s="251"/>
      <c r="P1370" s="251"/>
      <c r="Q1370" s="251"/>
      <c r="R1370" s="251"/>
      <c r="S1370" s="251"/>
      <c r="T1370" s="251"/>
      <c r="U1370" s="251"/>
      <c r="V1370" s="251"/>
      <c r="W1370" s="251"/>
      <c r="X1370" s="251"/>
      <c r="Y1370" s="251"/>
      <c r="Z1370" s="251"/>
      <c r="AA1370" s="137"/>
      <c r="AB1370" s="137"/>
      <c r="AC1370" s="137"/>
      <c r="AD1370" s="137"/>
      <c r="AE1370" s="137"/>
      <c r="AF1370" s="137"/>
      <c r="AG1370" s="137"/>
    </row>
    <row r="1371" ht="30.0" customHeight="1">
      <c r="A1371" s="248"/>
      <c r="B1371" s="249"/>
      <c r="C1371" s="248"/>
      <c r="D1371" s="249"/>
      <c r="E1371" s="249"/>
      <c r="F1371" s="249"/>
      <c r="G1371" s="250"/>
      <c r="H1371" s="251"/>
      <c r="I1371" s="252"/>
      <c r="J1371" s="252"/>
      <c r="K1371" s="252"/>
      <c r="L1371" s="251"/>
      <c r="M1371" s="251"/>
      <c r="N1371" s="251"/>
      <c r="O1371" s="251"/>
      <c r="P1371" s="251"/>
      <c r="Q1371" s="251"/>
      <c r="R1371" s="251"/>
      <c r="S1371" s="251"/>
      <c r="T1371" s="251"/>
      <c r="U1371" s="251"/>
      <c r="V1371" s="251"/>
      <c r="W1371" s="251"/>
      <c r="X1371" s="251"/>
      <c r="Y1371" s="251"/>
      <c r="Z1371" s="251"/>
      <c r="AA1371" s="137"/>
      <c r="AB1371" s="137"/>
      <c r="AC1371" s="137"/>
      <c r="AD1371" s="137"/>
      <c r="AE1371" s="137"/>
      <c r="AF1371" s="137"/>
      <c r="AG1371" s="137"/>
    </row>
    <row r="1372" ht="30.0" customHeight="1">
      <c r="A1372" s="248"/>
      <c r="B1372" s="249"/>
      <c r="C1372" s="248"/>
      <c r="D1372" s="249"/>
      <c r="E1372" s="249"/>
      <c r="F1372" s="249"/>
      <c r="G1372" s="250"/>
      <c r="H1372" s="251"/>
      <c r="I1372" s="252"/>
      <c r="J1372" s="252"/>
      <c r="K1372" s="252"/>
      <c r="L1372" s="251"/>
      <c r="M1372" s="251"/>
      <c r="N1372" s="251"/>
      <c r="O1372" s="251"/>
      <c r="P1372" s="251"/>
      <c r="Q1372" s="251"/>
      <c r="R1372" s="251"/>
      <c r="S1372" s="251"/>
      <c r="T1372" s="251"/>
      <c r="U1372" s="251"/>
      <c r="V1372" s="251"/>
      <c r="W1372" s="251"/>
      <c r="X1372" s="251"/>
      <c r="Y1372" s="251"/>
      <c r="Z1372" s="251"/>
      <c r="AA1372" s="137"/>
      <c r="AB1372" s="137"/>
      <c r="AC1372" s="137"/>
      <c r="AD1372" s="137"/>
      <c r="AE1372" s="137"/>
      <c r="AF1372" s="137"/>
      <c r="AG1372" s="137"/>
    </row>
    <row r="1373" ht="30.0" customHeight="1">
      <c r="A1373" s="248"/>
      <c r="B1373" s="249"/>
      <c r="C1373" s="248"/>
      <c r="D1373" s="249"/>
      <c r="E1373" s="249"/>
      <c r="F1373" s="249"/>
      <c r="G1373" s="250"/>
      <c r="H1373" s="251"/>
      <c r="I1373" s="252"/>
      <c r="J1373" s="252"/>
      <c r="K1373" s="252"/>
      <c r="L1373" s="251"/>
      <c r="M1373" s="251"/>
      <c r="N1373" s="251"/>
      <c r="O1373" s="251"/>
      <c r="P1373" s="251"/>
      <c r="Q1373" s="251"/>
      <c r="R1373" s="251"/>
      <c r="S1373" s="251"/>
      <c r="T1373" s="251"/>
      <c r="U1373" s="251"/>
      <c r="V1373" s="251"/>
      <c r="W1373" s="251"/>
      <c r="X1373" s="251"/>
      <c r="Y1373" s="251"/>
      <c r="Z1373" s="251"/>
      <c r="AA1373" s="137"/>
      <c r="AB1373" s="137"/>
      <c r="AC1373" s="137"/>
      <c r="AD1373" s="137"/>
      <c r="AE1373" s="137"/>
      <c r="AF1373" s="137"/>
      <c r="AG1373" s="137"/>
    </row>
    <row r="1374" ht="30.0" customHeight="1">
      <c r="A1374" s="248"/>
      <c r="B1374" s="249"/>
      <c r="C1374" s="248"/>
      <c r="D1374" s="249"/>
      <c r="E1374" s="249"/>
      <c r="F1374" s="249"/>
      <c r="G1374" s="250"/>
      <c r="H1374" s="251"/>
      <c r="I1374" s="252"/>
      <c r="J1374" s="252"/>
      <c r="K1374" s="252"/>
      <c r="L1374" s="251"/>
      <c r="M1374" s="251"/>
      <c r="N1374" s="251"/>
      <c r="O1374" s="251"/>
      <c r="P1374" s="251"/>
      <c r="Q1374" s="251"/>
      <c r="R1374" s="251"/>
      <c r="S1374" s="251"/>
      <c r="T1374" s="251"/>
      <c r="U1374" s="251"/>
      <c r="V1374" s="251"/>
      <c r="W1374" s="251"/>
      <c r="X1374" s="251"/>
      <c r="Y1374" s="251"/>
      <c r="Z1374" s="251"/>
      <c r="AA1374" s="137"/>
      <c r="AB1374" s="137"/>
      <c r="AC1374" s="137"/>
      <c r="AD1374" s="137"/>
      <c r="AE1374" s="137"/>
      <c r="AF1374" s="137"/>
      <c r="AG1374" s="137"/>
    </row>
    <row r="1375" ht="30.0" customHeight="1">
      <c r="A1375" s="248"/>
      <c r="B1375" s="249"/>
      <c r="C1375" s="248"/>
      <c r="D1375" s="249"/>
      <c r="E1375" s="249"/>
      <c r="F1375" s="249"/>
      <c r="G1375" s="250"/>
      <c r="H1375" s="251"/>
      <c r="I1375" s="252"/>
      <c r="J1375" s="252"/>
      <c r="K1375" s="252"/>
      <c r="L1375" s="251"/>
      <c r="M1375" s="251"/>
      <c r="N1375" s="251"/>
      <c r="O1375" s="251"/>
      <c r="P1375" s="251"/>
      <c r="Q1375" s="251"/>
      <c r="R1375" s="251"/>
      <c r="S1375" s="251"/>
      <c r="T1375" s="251"/>
      <c r="U1375" s="251"/>
      <c r="V1375" s="251"/>
      <c r="W1375" s="251"/>
      <c r="X1375" s="251"/>
      <c r="Y1375" s="251"/>
      <c r="Z1375" s="251"/>
      <c r="AA1375" s="137"/>
      <c r="AB1375" s="137"/>
      <c r="AC1375" s="137"/>
      <c r="AD1375" s="137"/>
      <c r="AE1375" s="137"/>
      <c r="AF1375" s="137"/>
      <c r="AG1375" s="137"/>
    </row>
    <row r="1376" ht="30.0" customHeight="1">
      <c r="A1376" s="248"/>
      <c r="B1376" s="249"/>
      <c r="C1376" s="248"/>
      <c r="D1376" s="249"/>
      <c r="E1376" s="249"/>
      <c r="F1376" s="249"/>
      <c r="G1376" s="250"/>
      <c r="H1376" s="251"/>
      <c r="I1376" s="252"/>
      <c r="J1376" s="252"/>
      <c r="K1376" s="252"/>
      <c r="L1376" s="251"/>
      <c r="M1376" s="251"/>
      <c r="N1376" s="251"/>
      <c r="O1376" s="251"/>
      <c r="P1376" s="251"/>
      <c r="Q1376" s="251"/>
      <c r="R1376" s="251"/>
      <c r="S1376" s="251"/>
      <c r="T1376" s="251"/>
      <c r="U1376" s="251"/>
      <c r="V1376" s="251"/>
      <c r="W1376" s="251"/>
      <c r="X1376" s="251"/>
      <c r="Y1376" s="251"/>
      <c r="Z1376" s="251"/>
      <c r="AA1376" s="137"/>
      <c r="AB1376" s="137"/>
      <c r="AC1376" s="137"/>
      <c r="AD1376" s="137"/>
      <c r="AE1376" s="137"/>
      <c r="AF1376" s="137"/>
      <c r="AG1376" s="137"/>
    </row>
    <row r="1377" ht="30.0" customHeight="1">
      <c r="A1377" s="248"/>
      <c r="B1377" s="249"/>
      <c r="C1377" s="248"/>
      <c r="D1377" s="249"/>
      <c r="E1377" s="249"/>
      <c r="F1377" s="249"/>
      <c r="G1377" s="250"/>
      <c r="H1377" s="251"/>
      <c r="I1377" s="252"/>
      <c r="J1377" s="252"/>
      <c r="K1377" s="252"/>
      <c r="L1377" s="251"/>
      <c r="M1377" s="251"/>
      <c r="N1377" s="251"/>
      <c r="O1377" s="251"/>
      <c r="P1377" s="251"/>
      <c r="Q1377" s="251"/>
      <c r="R1377" s="251"/>
      <c r="S1377" s="251"/>
      <c r="T1377" s="251"/>
      <c r="U1377" s="251"/>
      <c r="V1377" s="251"/>
      <c r="W1377" s="251"/>
      <c r="X1377" s="251"/>
      <c r="Y1377" s="251"/>
      <c r="Z1377" s="251"/>
      <c r="AA1377" s="137"/>
      <c r="AB1377" s="137"/>
      <c r="AC1377" s="137"/>
      <c r="AD1377" s="137"/>
      <c r="AE1377" s="137"/>
      <c r="AF1377" s="137"/>
      <c r="AG1377" s="137"/>
    </row>
    <row r="1378" ht="30.0" customHeight="1">
      <c r="A1378" s="248"/>
      <c r="B1378" s="249"/>
      <c r="C1378" s="248"/>
      <c r="D1378" s="249"/>
      <c r="E1378" s="249"/>
      <c r="F1378" s="249"/>
      <c r="G1378" s="250"/>
      <c r="H1378" s="251"/>
      <c r="I1378" s="252"/>
      <c r="J1378" s="252"/>
      <c r="K1378" s="252"/>
      <c r="L1378" s="251"/>
      <c r="M1378" s="251"/>
      <c r="N1378" s="251"/>
      <c r="O1378" s="251"/>
      <c r="P1378" s="251"/>
      <c r="Q1378" s="251"/>
      <c r="R1378" s="251"/>
      <c r="S1378" s="251"/>
      <c r="T1378" s="251"/>
      <c r="U1378" s="251"/>
      <c r="V1378" s="251"/>
      <c r="W1378" s="251"/>
      <c r="X1378" s="251"/>
      <c r="Y1378" s="251"/>
      <c r="Z1378" s="251"/>
      <c r="AA1378" s="137"/>
      <c r="AB1378" s="137"/>
      <c r="AC1378" s="137"/>
      <c r="AD1378" s="137"/>
      <c r="AE1378" s="137"/>
      <c r="AF1378" s="137"/>
      <c r="AG1378" s="137"/>
    </row>
    <row r="1379" ht="30.0" customHeight="1">
      <c r="A1379" s="248"/>
      <c r="B1379" s="249"/>
      <c r="C1379" s="248"/>
      <c r="D1379" s="249"/>
      <c r="E1379" s="249"/>
      <c r="F1379" s="249"/>
      <c r="G1379" s="250"/>
      <c r="H1379" s="251"/>
      <c r="I1379" s="252"/>
      <c r="J1379" s="252"/>
      <c r="K1379" s="252"/>
      <c r="L1379" s="251"/>
      <c r="M1379" s="251"/>
      <c r="N1379" s="251"/>
      <c r="O1379" s="251"/>
      <c r="P1379" s="251"/>
      <c r="Q1379" s="251"/>
      <c r="R1379" s="251"/>
      <c r="S1379" s="251"/>
      <c r="T1379" s="251"/>
      <c r="U1379" s="251"/>
      <c r="V1379" s="251"/>
      <c r="W1379" s="251"/>
      <c r="X1379" s="251"/>
      <c r="Y1379" s="251"/>
      <c r="Z1379" s="251"/>
      <c r="AA1379" s="137"/>
      <c r="AB1379" s="137"/>
      <c r="AC1379" s="137"/>
      <c r="AD1379" s="137"/>
      <c r="AE1379" s="137"/>
      <c r="AF1379" s="137"/>
      <c r="AG1379" s="137"/>
    </row>
    <row r="1380" ht="30.0" customHeight="1">
      <c r="A1380" s="248"/>
      <c r="B1380" s="249"/>
      <c r="C1380" s="248"/>
      <c r="D1380" s="249"/>
      <c r="E1380" s="249"/>
      <c r="F1380" s="249"/>
      <c r="G1380" s="250"/>
      <c r="H1380" s="251"/>
      <c r="I1380" s="252"/>
      <c r="J1380" s="252"/>
      <c r="K1380" s="252"/>
      <c r="L1380" s="251"/>
      <c r="M1380" s="251"/>
      <c r="N1380" s="251"/>
      <c r="O1380" s="251"/>
      <c r="P1380" s="251"/>
      <c r="Q1380" s="251"/>
      <c r="R1380" s="251"/>
      <c r="S1380" s="251"/>
      <c r="T1380" s="251"/>
      <c r="U1380" s="251"/>
      <c r="V1380" s="251"/>
      <c r="W1380" s="251"/>
      <c r="X1380" s="251"/>
      <c r="Y1380" s="251"/>
      <c r="Z1380" s="251"/>
      <c r="AA1380" s="137"/>
      <c r="AB1380" s="137"/>
      <c r="AC1380" s="137"/>
      <c r="AD1380" s="137"/>
      <c r="AE1380" s="137"/>
      <c r="AF1380" s="137"/>
      <c r="AG1380" s="137"/>
    </row>
    <row r="1381" ht="30.0" customHeight="1">
      <c r="A1381" s="248"/>
      <c r="B1381" s="249"/>
      <c r="C1381" s="248"/>
      <c r="D1381" s="249"/>
      <c r="E1381" s="249"/>
      <c r="F1381" s="249"/>
      <c r="G1381" s="250"/>
      <c r="H1381" s="251"/>
      <c r="I1381" s="252"/>
      <c r="J1381" s="252"/>
      <c r="K1381" s="252"/>
      <c r="L1381" s="251"/>
      <c r="M1381" s="251"/>
      <c r="N1381" s="251"/>
      <c r="O1381" s="251"/>
      <c r="P1381" s="251"/>
      <c r="Q1381" s="251"/>
      <c r="R1381" s="251"/>
      <c r="S1381" s="251"/>
      <c r="T1381" s="251"/>
      <c r="U1381" s="251"/>
      <c r="V1381" s="251"/>
      <c r="W1381" s="251"/>
      <c r="X1381" s="251"/>
      <c r="Y1381" s="251"/>
      <c r="Z1381" s="251"/>
      <c r="AA1381" s="137"/>
      <c r="AB1381" s="137"/>
      <c r="AC1381" s="137"/>
      <c r="AD1381" s="137"/>
      <c r="AE1381" s="137"/>
      <c r="AF1381" s="137"/>
      <c r="AG1381" s="137"/>
    </row>
    <row r="1382" ht="30.0" customHeight="1">
      <c r="A1382" s="248"/>
      <c r="B1382" s="249"/>
      <c r="C1382" s="248"/>
      <c r="D1382" s="249"/>
      <c r="E1382" s="249"/>
      <c r="F1382" s="249"/>
      <c r="G1382" s="250"/>
      <c r="H1382" s="251"/>
      <c r="I1382" s="252"/>
      <c r="J1382" s="252"/>
      <c r="K1382" s="252"/>
      <c r="L1382" s="251"/>
      <c r="M1382" s="251"/>
      <c r="N1382" s="251"/>
      <c r="O1382" s="251"/>
      <c r="P1382" s="251"/>
      <c r="Q1382" s="251"/>
      <c r="R1382" s="251"/>
      <c r="S1382" s="251"/>
      <c r="T1382" s="251"/>
      <c r="U1382" s="251"/>
      <c r="V1382" s="251"/>
      <c r="W1382" s="251"/>
      <c r="X1382" s="251"/>
      <c r="Y1382" s="251"/>
      <c r="Z1382" s="251"/>
      <c r="AA1382" s="137"/>
      <c r="AB1382" s="137"/>
      <c r="AC1382" s="137"/>
      <c r="AD1382" s="137"/>
      <c r="AE1382" s="137"/>
      <c r="AF1382" s="137"/>
      <c r="AG1382" s="137"/>
    </row>
    <row r="1383" ht="30.0" customHeight="1">
      <c r="A1383" s="248"/>
      <c r="B1383" s="249"/>
      <c r="C1383" s="248"/>
      <c r="D1383" s="249"/>
      <c r="E1383" s="249"/>
      <c r="F1383" s="249"/>
      <c r="G1383" s="250"/>
      <c r="H1383" s="251"/>
      <c r="I1383" s="252"/>
      <c r="J1383" s="252"/>
      <c r="K1383" s="252"/>
      <c r="L1383" s="251"/>
      <c r="M1383" s="251"/>
      <c r="N1383" s="251"/>
      <c r="O1383" s="251"/>
      <c r="P1383" s="251"/>
      <c r="Q1383" s="251"/>
      <c r="R1383" s="251"/>
      <c r="S1383" s="251"/>
      <c r="T1383" s="251"/>
      <c r="U1383" s="251"/>
      <c r="V1383" s="251"/>
      <c r="W1383" s="251"/>
      <c r="X1383" s="251"/>
      <c r="Y1383" s="251"/>
      <c r="Z1383" s="251"/>
      <c r="AA1383" s="137"/>
      <c r="AB1383" s="137"/>
      <c r="AC1383" s="137"/>
      <c r="AD1383" s="137"/>
      <c r="AE1383" s="137"/>
      <c r="AF1383" s="137"/>
      <c r="AG1383" s="137"/>
    </row>
    <row r="1384" ht="30.0" customHeight="1">
      <c r="A1384" s="248"/>
      <c r="B1384" s="249"/>
      <c r="C1384" s="249"/>
      <c r="D1384" s="249"/>
      <c r="E1384" s="249"/>
      <c r="F1384" s="249"/>
      <c r="G1384" s="250"/>
      <c r="H1384" s="251"/>
      <c r="I1384" s="252"/>
      <c r="J1384" s="252"/>
      <c r="K1384" s="252"/>
      <c r="L1384" s="251"/>
      <c r="M1384" s="251"/>
      <c r="N1384" s="251"/>
      <c r="O1384" s="251"/>
      <c r="P1384" s="251"/>
      <c r="Q1384" s="251"/>
      <c r="R1384" s="251"/>
      <c r="S1384" s="251"/>
      <c r="T1384" s="251"/>
      <c r="U1384" s="251"/>
      <c r="V1384" s="251"/>
      <c r="W1384" s="251"/>
      <c r="X1384" s="251"/>
      <c r="Y1384" s="251"/>
      <c r="Z1384" s="251"/>
      <c r="AA1384" s="137"/>
      <c r="AB1384" s="137"/>
      <c r="AC1384" s="137"/>
      <c r="AD1384" s="137"/>
      <c r="AE1384" s="137"/>
      <c r="AF1384" s="137"/>
      <c r="AG1384" s="137"/>
    </row>
    <row r="1385" ht="30.0" customHeight="1">
      <c r="A1385" s="248"/>
      <c r="B1385" s="249"/>
      <c r="C1385" s="248"/>
      <c r="D1385" s="249"/>
      <c r="E1385" s="249"/>
      <c r="F1385" s="249"/>
      <c r="G1385" s="250"/>
      <c r="H1385" s="251"/>
      <c r="I1385" s="252"/>
      <c r="J1385" s="252"/>
      <c r="K1385" s="252"/>
      <c r="L1385" s="251"/>
      <c r="M1385" s="251"/>
      <c r="N1385" s="251"/>
      <c r="O1385" s="251"/>
      <c r="P1385" s="251"/>
      <c r="Q1385" s="251"/>
      <c r="R1385" s="251"/>
      <c r="S1385" s="251"/>
      <c r="T1385" s="251"/>
      <c r="U1385" s="251"/>
      <c r="V1385" s="251"/>
      <c r="W1385" s="251"/>
      <c r="X1385" s="251"/>
      <c r="Y1385" s="251"/>
      <c r="Z1385" s="251"/>
      <c r="AA1385" s="137"/>
      <c r="AB1385" s="137"/>
      <c r="AC1385" s="137"/>
      <c r="AD1385" s="137"/>
      <c r="AE1385" s="137"/>
      <c r="AF1385" s="137"/>
      <c r="AG1385" s="137"/>
    </row>
    <row r="1386" ht="30.0" customHeight="1">
      <c r="A1386" s="248"/>
      <c r="B1386" s="249"/>
      <c r="C1386" s="248"/>
      <c r="D1386" s="249"/>
      <c r="E1386" s="249"/>
      <c r="F1386" s="249"/>
      <c r="G1386" s="250"/>
      <c r="H1386" s="251"/>
      <c r="I1386" s="252"/>
      <c r="J1386" s="252"/>
      <c r="K1386" s="252"/>
      <c r="L1386" s="251"/>
      <c r="M1386" s="251"/>
      <c r="N1386" s="251"/>
      <c r="O1386" s="251"/>
      <c r="P1386" s="251"/>
      <c r="Q1386" s="251"/>
      <c r="R1386" s="251"/>
      <c r="S1386" s="251"/>
      <c r="T1386" s="251"/>
      <c r="U1386" s="251"/>
      <c r="V1386" s="251"/>
      <c r="W1386" s="251"/>
      <c r="X1386" s="251"/>
      <c r="Y1386" s="251"/>
      <c r="Z1386" s="251"/>
      <c r="AA1386" s="137"/>
      <c r="AB1386" s="137"/>
      <c r="AC1386" s="137"/>
      <c r="AD1386" s="137"/>
      <c r="AE1386" s="137"/>
      <c r="AF1386" s="137"/>
      <c r="AG1386" s="137"/>
    </row>
    <row r="1387" ht="30.0" customHeight="1">
      <c r="A1387" s="248"/>
      <c r="B1387" s="249"/>
      <c r="C1387" s="248"/>
      <c r="D1387" s="249"/>
      <c r="E1387" s="249"/>
      <c r="F1387" s="249"/>
      <c r="G1387" s="249"/>
      <c r="H1387" s="251"/>
      <c r="I1387" s="252"/>
      <c r="J1387" s="252"/>
      <c r="K1387" s="252"/>
      <c r="L1387" s="251"/>
      <c r="M1387" s="251"/>
      <c r="N1387" s="251"/>
      <c r="O1387" s="251"/>
      <c r="P1387" s="251"/>
      <c r="Q1387" s="251"/>
      <c r="R1387" s="251"/>
      <c r="S1387" s="251"/>
      <c r="T1387" s="251"/>
      <c r="U1387" s="251"/>
      <c r="V1387" s="251"/>
      <c r="W1387" s="251"/>
      <c r="X1387" s="251"/>
      <c r="Y1387" s="251"/>
      <c r="Z1387" s="251"/>
      <c r="AA1387" s="137"/>
      <c r="AB1387" s="137"/>
      <c r="AC1387" s="137"/>
      <c r="AD1387" s="137"/>
      <c r="AE1387" s="137"/>
      <c r="AF1387" s="137"/>
      <c r="AG1387" s="137"/>
    </row>
    <row r="1388" ht="30.0" customHeight="1">
      <c r="A1388" s="248"/>
      <c r="B1388" s="249"/>
      <c r="C1388" s="248"/>
      <c r="D1388" s="249"/>
      <c r="E1388" s="249"/>
      <c r="F1388" s="249"/>
      <c r="G1388" s="250"/>
      <c r="H1388" s="251"/>
      <c r="I1388" s="252"/>
      <c r="J1388" s="252"/>
      <c r="K1388" s="252"/>
      <c r="L1388" s="251"/>
      <c r="M1388" s="251"/>
      <c r="N1388" s="251"/>
      <c r="O1388" s="251"/>
      <c r="P1388" s="251"/>
      <c r="Q1388" s="251"/>
      <c r="R1388" s="251"/>
      <c r="S1388" s="251"/>
      <c r="T1388" s="251"/>
      <c r="U1388" s="251"/>
      <c r="V1388" s="251"/>
      <c r="W1388" s="251"/>
      <c r="X1388" s="251"/>
      <c r="Y1388" s="251"/>
      <c r="Z1388" s="251"/>
      <c r="AA1388" s="137"/>
      <c r="AB1388" s="137"/>
      <c r="AC1388" s="137"/>
      <c r="AD1388" s="137"/>
      <c r="AE1388" s="137"/>
      <c r="AF1388" s="137"/>
      <c r="AG1388" s="137"/>
    </row>
    <row r="1389" ht="30.0" customHeight="1">
      <c r="A1389" s="248"/>
      <c r="B1389" s="249"/>
      <c r="C1389" s="248"/>
      <c r="D1389" s="249"/>
      <c r="E1389" s="249"/>
      <c r="F1389" s="249"/>
      <c r="G1389" s="250"/>
      <c r="H1389" s="251"/>
      <c r="I1389" s="252"/>
      <c r="J1389" s="252"/>
      <c r="K1389" s="252"/>
      <c r="L1389" s="251"/>
      <c r="M1389" s="251"/>
      <c r="N1389" s="251"/>
      <c r="O1389" s="251"/>
      <c r="P1389" s="251"/>
      <c r="Q1389" s="251"/>
      <c r="R1389" s="251"/>
      <c r="S1389" s="251"/>
      <c r="T1389" s="251"/>
      <c r="U1389" s="251"/>
      <c r="V1389" s="251"/>
      <c r="W1389" s="251"/>
      <c r="X1389" s="251"/>
      <c r="Y1389" s="251"/>
      <c r="Z1389" s="251"/>
      <c r="AA1389" s="137"/>
      <c r="AB1389" s="137"/>
      <c r="AC1389" s="137"/>
      <c r="AD1389" s="137"/>
      <c r="AE1389" s="137"/>
      <c r="AF1389" s="137"/>
      <c r="AG1389" s="137"/>
    </row>
    <row r="1390" ht="30.0" customHeight="1">
      <c r="A1390" s="248"/>
      <c r="B1390" s="249"/>
      <c r="C1390" s="248"/>
      <c r="D1390" s="249"/>
      <c r="E1390" s="249"/>
      <c r="F1390" s="249"/>
      <c r="G1390" s="250"/>
      <c r="H1390" s="251"/>
      <c r="I1390" s="252"/>
      <c r="J1390" s="252"/>
      <c r="K1390" s="252"/>
      <c r="L1390" s="251"/>
      <c r="M1390" s="251"/>
      <c r="N1390" s="251"/>
      <c r="O1390" s="251"/>
      <c r="P1390" s="251"/>
      <c r="Q1390" s="251"/>
      <c r="R1390" s="251"/>
      <c r="S1390" s="251"/>
      <c r="T1390" s="251"/>
      <c r="U1390" s="251"/>
      <c r="V1390" s="251"/>
      <c r="W1390" s="251"/>
      <c r="X1390" s="251"/>
      <c r="Y1390" s="251"/>
      <c r="Z1390" s="251"/>
      <c r="AA1390" s="137"/>
      <c r="AB1390" s="137"/>
      <c r="AC1390" s="137"/>
      <c r="AD1390" s="137"/>
      <c r="AE1390" s="137"/>
      <c r="AF1390" s="137"/>
      <c r="AG1390" s="137"/>
    </row>
    <row r="1391" ht="30.0" customHeight="1">
      <c r="A1391" s="248"/>
      <c r="B1391" s="249"/>
      <c r="C1391" s="248"/>
      <c r="D1391" s="249"/>
      <c r="E1391" s="249"/>
      <c r="F1391" s="249"/>
      <c r="G1391" s="250"/>
      <c r="H1391" s="251"/>
      <c r="I1391" s="252"/>
      <c r="J1391" s="252"/>
      <c r="K1391" s="252"/>
      <c r="L1391" s="251"/>
      <c r="M1391" s="251"/>
      <c r="N1391" s="251"/>
      <c r="O1391" s="251"/>
      <c r="P1391" s="251"/>
      <c r="Q1391" s="251"/>
      <c r="R1391" s="251"/>
      <c r="S1391" s="251"/>
      <c r="T1391" s="251"/>
      <c r="U1391" s="251"/>
      <c r="V1391" s="251"/>
      <c r="W1391" s="251"/>
      <c r="X1391" s="251"/>
      <c r="Y1391" s="251"/>
      <c r="Z1391" s="251"/>
      <c r="AA1391" s="137"/>
      <c r="AB1391" s="137"/>
      <c r="AC1391" s="137"/>
      <c r="AD1391" s="137"/>
      <c r="AE1391" s="137"/>
      <c r="AF1391" s="137"/>
      <c r="AG1391" s="137"/>
    </row>
    <row r="1392" ht="30.0" customHeight="1">
      <c r="A1392" s="248"/>
      <c r="B1392" s="249"/>
      <c r="C1392" s="248"/>
      <c r="D1392" s="249"/>
      <c r="E1392" s="249"/>
      <c r="F1392" s="249"/>
      <c r="G1392" s="250"/>
      <c r="H1392" s="251"/>
      <c r="I1392" s="252"/>
      <c r="J1392" s="252"/>
      <c r="K1392" s="252"/>
      <c r="L1392" s="251"/>
      <c r="M1392" s="251"/>
      <c r="N1392" s="251"/>
      <c r="O1392" s="251"/>
      <c r="P1392" s="251"/>
      <c r="Q1392" s="251"/>
      <c r="R1392" s="251"/>
      <c r="S1392" s="251"/>
      <c r="T1392" s="251"/>
      <c r="U1392" s="251"/>
      <c r="V1392" s="251"/>
      <c r="W1392" s="251"/>
      <c r="X1392" s="251"/>
      <c r="Y1392" s="251"/>
      <c r="Z1392" s="251"/>
      <c r="AA1392" s="137"/>
      <c r="AB1392" s="137"/>
      <c r="AC1392" s="137"/>
      <c r="AD1392" s="137"/>
      <c r="AE1392" s="137"/>
      <c r="AF1392" s="137"/>
      <c r="AG1392" s="137"/>
    </row>
    <row r="1393" ht="30.0" customHeight="1">
      <c r="A1393" s="248"/>
      <c r="B1393" s="249"/>
      <c r="C1393" s="248"/>
      <c r="D1393" s="249"/>
      <c r="E1393" s="249"/>
      <c r="F1393" s="249"/>
      <c r="G1393" s="250"/>
      <c r="H1393" s="251"/>
      <c r="I1393" s="252"/>
      <c r="J1393" s="252"/>
      <c r="K1393" s="252"/>
      <c r="L1393" s="251"/>
      <c r="M1393" s="251"/>
      <c r="N1393" s="251"/>
      <c r="O1393" s="251"/>
      <c r="P1393" s="251"/>
      <c r="Q1393" s="251"/>
      <c r="R1393" s="251"/>
      <c r="S1393" s="251"/>
      <c r="T1393" s="251"/>
      <c r="U1393" s="251"/>
      <c r="V1393" s="251"/>
      <c r="W1393" s="251"/>
      <c r="X1393" s="251"/>
      <c r="Y1393" s="251"/>
      <c r="Z1393" s="251"/>
      <c r="AA1393" s="137"/>
      <c r="AB1393" s="137"/>
      <c r="AC1393" s="137"/>
      <c r="AD1393" s="137"/>
      <c r="AE1393" s="137"/>
      <c r="AF1393" s="137"/>
      <c r="AG1393" s="137"/>
    </row>
    <row r="1394" ht="30.0" customHeight="1">
      <c r="A1394" s="248"/>
      <c r="B1394" s="249"/>
      <c r="C1394" s="248"/>
      <c r="D1394" s="249"/>
      <c r="E1394" s="249"/>
      <c r="F1394" s="249"/>
      <c r="G1394" s="250"/>
      <c r="H1394" s="251"/>
      <c r="I1394" s="252"/>
      <c r="J1394" s="252"/>
      <c r="K1394" s="252"/>
      <c r="L1394" s="251"/>
      <c r="M1394" s="251"/>
      <c r="N1394" s="251"/>
      <c r="O1394" s="251"/>
      <c r="P1394" s="251"/>
      <c r="Q1394" s="251"/>
      <c r="R1394" s="251"/>
      <c r="S1394" s="251"/>
      <c r="T1394" s="251"/>
      <c r="U1394" s="251"/>
      <c r="V1394" s="251"/>
      <c r="W1394" s="251"/>
      <c r="X1394" s="251"/>
      <c r="Y1394" s="251"/>
      <c r="Z1394" s="251"/>
      <c r="AA1394" s="137"/>
      <c r="AB1394" s="137"/>
      <c r="AC1394" s="137"/>
      <c r="AD1394" s="137"/>
      <c r="AE1394" s="137"/>
      <c r="AF1394" s="137"/>
      <c r="AG1394" s="137"/>
    </row>
    <row r="1395" ht="30.0" customHeight="1">
      <c r="A1395" s="248"/>
      <c r="B1395" s="249"/>
      <c r="C1395" s="248"/>
      <c r="D1395" s="249"/>
      <c r="E1395" s="249"/>
      <c r="F1395" s="249"/>
      <c r="G1395" s="250"/>
      <c r="H1395" s="251"/>
      <c r="I1395" s="252"/>
      <c r="J1395" s="252"/>
      <c r="K1395" s="252"/>
      <c r="L1395" s="251"/>
      <c r="M1395" s="251"/>
      <c r="N1395" s="251"/>
      <c r="O1395" s="251"/>
      <c r="P1395" s="251"/>
      <c r="Q1395" s="251"/>
      <c r="R1395" s="251"/>
      <c r="S1395" s="251"/>
      <c r="T1395" s="251"/>
      <c r="U1395" s="251"/>
      <c r="V1395" s="251"/>
      <c r="W1395" s="251"/>
      <c r="X1395" s="251"/>
      <c r="Y1395" s="251"/>
      <c r="Z1395" s="251"/>
      <c r="AA1395" s="137"/>
      <c r="AB1395" s="137"/>
      <c r="AC1395" s="137"/>
      <c r="AD1395" s="137"/>
      <c r="AE1395" s="137"/>
      <c r="AF1395" s="137"/>
      <c r="AG1395" s="137"/>
    </row>
    <row r="1396" ht="30.0" customHeight="1">
      <c r="A1396" s="248"/>
      <c r="B1396" s="249"/>
      <c r="C1396" s="248"/>
      <c r="D1396" s="249"/>
      <c r="E1396" s="249"/>
      <c r="F1396" s="249"/>
      <c r="G1396" s="250"/>
      <c r="H1396" s="251"/>
      <c r="I1396" s="252"/>
      <c r="J1396" s="252"/>
      <c r="K1396" s="252"/>
      <c r="L1396" s="251"/>
      <c r="M1396" s="251"/>
      <c r="N1396" s="251"/>
      <c r="O1396" s="251"/>
      <c r="P1396" s="251"/>
      <c r="Q1396" s="251"/>
      <c r="R1396" s="251"/>
      <c r="S1396" s="251"/>
      <c r="T1396" s="251"/>
      <c r="U1396" s="251"/>
      <c r="V1396" s="251"/>
      <c r="W1396" s="251"/>
      <c r="X1396" s="251"/>
      <c r="Y1396" s="251"/>
      <c r="Z1396" s="251"/>
      <c r="AA1396" s="137"/>
      <c r="AB1396" s="137"/>
      <c r="AC1396" s="137"/>
      <c r="AD1396" s="137"/>
      <c r="AE1396" s="137"/>
      <c r="AF1396" s="137"/>
      <c r="AG1396" s="137"/>
    </row>
    <row r="1397" ht="30.0" customHeight="1">
      <c r="A1397" s="248"/>
      <c r="B1397" s="249"/>
      <c r="C1397" s="248"/>
      <c r="D1397" s="249"/>
      <c r="E1397" s="249"/>
      <c r="F1397" s="249"/>
      <c r="G1397" s="249"/>
      <c r="H1397" s="251"/>
      <c r="I1397" s="252"/>
      <c r="J1397" s="252"/>
      <c r="K1397" s="252"/>
      <c r="L1397" s="251"/>
      <c r="M1397" s="251"/>
      <c r="N1397" s="251"/>
      <c r="O1397" s="251"/>
      <c r="P1397" s="251"/>
      <c r="Q1397" s="251"/>
      <c r="R1397" s="251"/>
      <c r="S1397" s="251"/>
      <c r="T1397" s="251"/>
      <c r="U1397" s="251"/>
      <c r="V1397" s="251"/>
      <c r="W1397" s="251"/>
      <c r="X1397" s="251"/>
      <c r="Y1397" s="251"/>
      <c r="Z1397" s="251"/>
      <c r="AA1397" s="137"/>
      <c r="AB1397" s="137"/>
      <c r="AC1397" s="137"/>
      <c r="AD1397" s="137"/>
      <c r="AE1397" s="137"/>
      <c r="AF1397" s="137"/>
      <c r="AG1397" s="137"/>
    </row>
    <row r="1398" ht="30.0" customHeight="1">
      <c r="A1398" s="248"/>
      <c r="B1398" s="249"/>
      <c r="C1398" s="248"/>
      <c r="D1398" s="249"/>
      <c r="E1398" s="249"/>
      <c r="F1398" s="249"/>
      <c r="G1398" s="250"/>
      <c r="H1398" s="251"/>
      <c r="I1398" s="252"/>
      <c r="J1398" s="252"/>
      <c r="K1398" s="252"/>
      <c r="L1398" s="251"/>
      <c r="M1398" s="251"/>
      <c r="N1398" s="251"/>
      <c r="O1398" s="251"/>
      <c r="P1398" s="251"/>
      <c r="Q1398" s="251"/>
      <c r="R1398" s="251"/>
      <c r="S1398" s="251"/>
      <c r="T1398" s="251"/>
      <c r="U1398" s="251"/>
      <c r="V1398" s="251"/>
      <c r="W1398" s="251"/>
      <c r="X1398" s="251"/>
      <c r="Y1398" s="251"/>
      <c r="Z1398" s="251"/>
      <c r="AA1398" s="137"/>
      <c r="AB1398" s="137"/>
      <c r="AC1398" s="137"/>
      <c r="AD1398" s="137"/>
      <c r="AE1398" s="137"/>
      <c r="AF1398" s="137"/>
      <c r="AG1398" s="137"/>
    </row>
    <row r="1399" ht="30.0" customHeight="1">
      <c r="A1399" s="248"/>
      <c r="B1399" s="249"/>
      <c r="C1399" s="248"/>
      <c r="D1399" s="249"/>
      <c r="E1399" s="249"/>
      <c r="F1399" s="249"/>
      <c r="G1399" s="249"/>
      <c r="H1399" s="251"/>
      <c r="I1399" s="252"/>
      <c r="J1399" s="252"/>
      <c r="K1399" s="252"/>
      <c r="L1399" s="251"/>
      <c r="M1399" s="251"/>
      <c r="N1399" s="251"/>
      <c r="O1399" s="251"/>
      <c r="P1399" s="251"/>
      <c r="Q1399" s="251"/>
      <c r="R1399" s="251"/>
      <c r="S1399" s="251"/>
      <c r="T1399" s="251"/>
      <c r="U1399" s="251"/>
      <c r="V1399" s="251"/>
      <c r="W1399" s="251"/>
      <c r="X1399" s="251"/>
      <c r="Y1399" s="251"/>
      <c r="Z1399" s="251"/>
      <c r="AA1399" s="137"/>
      <c r="AB1399" s="137"/>
      <c r="AC1399" s="137"/>
      <c r="AD1399" s="137"/>
      <c r="AE1399" s="137"/>
      <c r="AF1399" s="137"/>
      <c r="AG1399" s="137"/>
    </row>
    <row r="1400" ht="30.0" customHeight="1">
      <c r="A1400" s="248"/>
      <c r="B1400" s="249"/>
      <c r="C1400" s="248"/>
      <c r="D1400" s="249"/>
      <c r="E1400" s="249"/>
      <c r="F1400" s="249"/>
      <c r="G1400" s="249"/>
      <c r="H1400" s="251"/>
      <c r="I1400" s="252"/>
      <c r="J1400" s="252"/>
      <c r="K1400" s="252"/>
      <c r="L1400" s="251"/>
      <c r="M1400" s="251"/>
      <c r="N1400" s="251"/>
      <c r="O1400" s="251"/>
      <c r="P1400" s="251"/>
      <c r="Q1400" s="251"/>
      <c r="R1400" s="251"/>
      <c r="S1400" s="251"/>
      <c r="T1400" s="251"/>
      <c r="U1400" s="251"/>
      <c r="V1400" s="251"/>
      <c r="W1400" s="251"/>
      <c r="X1400" s="251"/>
      <c r="Y1400" s="251"/>
      <c r="Z1400" s="251"/>
      <c r="AA1400" s="137"/>
      <c r="AB1400" s="137"/>
      <c r="AC1400" s="137"/>
      <c r="AD1400" s="137"/>
      <c r="AE1400" s="137"/>
      <c r="AF1400" s="137"/>
      <c r="AG1400" s="137"/>
    </row>
    <row r="1401" ht="30.0" customHeight="1">
      <c r="A1401" s="248"/>
      <c r="B1401" s="249"/>
      <c r="C1401" s="248"/>
      <c r="D1401" s="249"/>
      <c r="E1401" s="249"/>
      <c r="F1401" s="249"/>
      <c r="G1401" s="250"/>
      <c r="H1401" s="251"/>
      <c r="I1401" s="252"/>
      <c r="J1401" s="252"/>
      <c r="K1401" s="252"/>
      <c r="L1401" s="251"/>
      <c r="M1401" s="251"/>
      <c r="N1401" s="251"/>
      <c r="O1401" s="251"/>
      <c r="P1401" s="251"/>
      <c r="Q1401" s="251"/>
      <c r="R1401" s="251"/>
      <c r="S1401" s="251"/>
      <c r="T1401" s="251"/>
      <c r="U1401" s="251"/>
      <c r="V1401" s="251"/>
      <c r="W1401" s="251"/>
      <c r="X1401" s="251"/>
      <c r="Y1401" s="251"/>
      <c r="Z1401" s="251"/>
      <c r="AA1401" s="137"/>
      <c r="AB1401" s="137"/>
      <c r="AC1401" s="137"/>
      <c r="AD1401" s="137"/>
      <c r="AE1401" s="137"/>
      <c r="AF1401" s="137"/>
      <c r="AG1401" s="137"/>
    </row>
    <row r="1402" ht="30.0" customHeight="1">
      <c r="A1402" s="248"/>
      <c r="B1402" s="249"/>
      <c r="C1402" s="248"/>
      <c r="D1402" s="249"/>
      <c r="E1402" s="249"/>
      <c r="F1402" s="249"/>
      <c r="G1402" s="249"/>
      <c r="H1402" s="251"/>
      <c r="I1402" s="252"/>
      <c r="J1402" s="252"/>
      <c r="K1402" s="252"/>
      <c r="L1402" s="251"/>
      <c r="M1402" s="251"/>
      <c r="N1402" s="251"/>
      <c r="O1402" s="251"/>
      <c r="P1402" s="251"/>
      <c r="Q1402" s="251"/>
      <c r="R1402" s="251"/>
      <c r="S1402" s="251"/>
      <c r="T1402" s="251"/>
      <c r="U1402" s="251"/>
      <c r="V1402" s="251"/>
      <c r="W1402" s="251"/>
      <c r="X1402" s="251"/>
      <c r="Y1402" s="251"/>
      <c r="Z1402" s="251"/>
      <c r="AA1402" s="137"/>
      <c r="AB1402" s="137"/>
      <c r="AC1402" s="137"/>
      <c r="AD1402" s="137"/>
      <c r="AE1402" s="137"/>
      <c r="AF1402" s="137"/>
      <c r="AG1402" s="137"/>
    </row>
    <row r="1403" ht="30.0" customHeight="1">
      <c r="A1403" s="248"/>
      <c r="B1403" s="249"/>
      <c r="C1403" s="248"/>
      <c r="D1403" s="249"/>
      <c r="E1403" s="249"/>
      <c r="F1403" s="249"/>
      <c r="G1403" s="250"/>
      <c r="H1403" s="251"/>
      <c r="I1403" s="252"/>
      <c r="J1403" s="252"/>
      <c r="K1403" s="252"/>
      <c r="L1403" s="251"/>
      <c r="M1403" s="251"/>
      <c r="N1403" s="251"/>
      <c r="O1403" s="251"/>
      <c r="P1403" s="251"/>
      <c r="Q1403" s="251"/>
      <c r="R1403" s="251"/>
      <c r="S1403" s="251"/>
      <c r="T1403" s="251"/>
      <c r="U1403" s="251"/>
      <c r="V1403" s="251"/>
      <c r="W1403" s="251"/>
      <c r="X1403" s="251"/>
      <c r="Y1403" s="251"/>
      <c r="Z1403" s="251"/>
      <c r="AA1403" s="137"/>
      <c r="AB1403" s="137"/>
      <c r="AC1403" s="137"/>
      <c r="AD1403" s="137"/>
      <c r="AE1403" s="137"/>
      <c r="AF1403" s="137"/>
      <c r="AG1403" s="137"/>
    </row>
    <row r="1404" ht="30.0" customHeight="1">
      <c r="A1404" s="248"/>
      <c r="B1404" s="249"/>
      <c r="C1404" s="248"/>
      <c r="D1404" s="249"/>
      <c r="E1404" s="249"/>
      <c r="F1404" s="249"/>
      <c r="G1404" s="249"/>
      <c r="H1404" s="251"/>
      <c r="I1404" s="252"/>
      <c r="J1404" s="252"/>
      <c r="K1404" s="252"/>
      <c r="L1404" s="251"/>
      <c r="M1404" s="251"/>
      <c r="N1404" s="251"/>
      <c r="O1404" s="251"/>
      <c r="P1404" s="251"/>
      <c r="Q1404" s="251"/>
      <c r="R1404" s="251"/>
      <c r="S1404" s="251"/>
      <c r="T1404" s="251"/>
      <c r="U1404" s="251"/>
      <c r="V1404" s="251"/>
      <c r="W1404" s="251"/>
      <c r="X1404" s="251"/>
      <c r="Y1404" s="251"/>
      <c r="Z1404" s="251"/>
      <c r="AA1404" s="137"/>
      <c r="AB1404" s="137"/>
      <c r="AC1404" s="137"/>
      <c r="AD1404" s="137"/>
      <c r="AE1404" s="137"/>
      <c r="AF1404" s="137"/>
      <c r="AG1404" s="137"/>
    </row>
    <row r="1405" ht="30.0" customHeight="1">
      <c r="A1405" s="248"/>
      <c r="B1405" s="249"/>
      <c r="C1405" s="248"/>
      <c r="D1405" s="249"/>
      <c r="E1405" s="249"/>
      <c r="F1405" s="249"/>
      <c r="G1405" s="249"/>
      <c r="H1405" s="251"/>
      <c r="I1405" s="252"/>
      <c r="J1405" s="252"/>
      <c r="K1405" s="252"/>
      <c r="L1405" s="251"/>
      <c r="M1405" s="251"/>
      <c r="N1405" s="251"/>
      <c r="O1405" s="251"/>
      <c r="P1405" s="251"/>
      <c r="Q1405" s="251"/>
      <c r="R1405" s="251"/>
      <c r="S1405" s="251"/>
      <c r="T1405" s="251"/>
      <c r="U1405" s="251"/>
      <c r="V1405" s="251"/>
      <c r="W1405" s="251"/>
      <c r="X1405" s="251"/>
      <c r="Y1405" s="251"/>
      <c r="Z1405" s="251"/>
      <c r="AA1405" s="137"/>
      <c r="AB1405" s="137"/>
      <c r="AC1405" s="137"/>
      <c r="AD1405" s="137"/>
      <c r="AE1405" s="137"/>
      <c r="AF1405" s="137"/>
      <c r="AG1405" s="137"/>
    </row>
    <row r="1406" ht="30.0" customHeight="1">
      <c r="A1406" s="248"/>
      <c r="B1406" s="249"/>
      <c r="C1406" s="248"/>
      <c r="D1406" s="249"/>
      <c r="E1406" s="249"/>
      <c r="F1406" s="249"/>
      <c r="G1406" s="249"/>
      <c r="H1406" s="251"/>
      <c r="I1406" s="252"/>
      <c r="J1406" s="252"/>
      <c r="K1406" s="252"/>
      <c r="L1406" s="251"/>
      <c r="M1406" s="251"/>
      <c r="N1406" s="251"/>
      <c r="O1406" s="251"/>
      <c r="P1406" s="251"/>
      <c r="Q1406" s="251"/>
      <c r="R1406" s="251"/>
      <c r="S1406" s="251"/>
      <c r="T1406" s="251"/>
      <c r="U1406" s="251"/>
      <c r="V1406" s="251"/>
      <c r="W1406" s="251"/>
      <c r="X1406" s="251"/>
      <c r="Y1406" s="251"/>
      <c r="Z1406" s="251"/>
      <c r="AA1406" s="137"/>
      <c r="AB1406" s="137"/>
      <c r="AC1406" s="137"/>
      <c r="AD1406" s="137"/>
      <c r="AE1406" s="137"/>
      <c r="AF1406" s="137"/>
      <c r="AG1406" s="137"/>
    </row>
    <row r="1407" ht="30.0" customHeight="1">
      <c r="A1407" s="248"/>
      <c r="B1407" s="249"/>
      <c r="C1407" s="248"/>
      <c r="D1407" s="249"/>
      <c r="E1407" s="249"/>
      <c r="F1407" s="249"/>
      <c r="G1407" s="250"/>
      <c r="H1407" s="251"/>
      <c r="I1407" s="252"/>
      <c r="J1407" s="252"/>
      <c r="K1407" s="252"/>
      <c r="L1407" s="251"/>
      <c r="M1407" s="251"/>
      <c r="N1407" s="251"/>
      <c r="O1407" s="251"/>
      <c r="P1407" s="251"/>
      <c r="Q1407" s="251"/>
      <c r="R1407" s="251"/>
      <c r="S1407" s="251"/>
      <c r="T1407" s="251"/>
      <c r="U1407" s="251"/>
      <c r="V1407" s="251"/>
      <c r="W1407" s="251"/>
      <c r="X1407" s="251"/>
      <c r="Y1407" s="251"/>
      <c r="Z1407" s="251"/>
      <c r="AA1407" s="137"/>
      <c r="AB1407" s="137"/>
      <c r="AC1407" s="137"/>
      <c r="AD1407" s="137"/>
      <c r="AE1407" s="137"/>
      <c r="AF1407" s="137"/>
      <c r="AG1407" s="137"/>
    </row>
    <row r="1408" ht="30.0" customHeight="1">
      <c r="A1408" s="248"/>
      <c r="B1408" s="249"/>
      <c r="C1408" s="248"/>
      <c r="D1408" s="249"/>
      <c r="E1408" s="249"/>
      <c r="F1408" s="249"/>
      <c r="G1408" s="250"/>
      <c r="H1408" s="251"/>
      <c r="I1408" s="252"/>
      <c r="J1408" s="252"/>
      <c r="K1408" s="252"/>
      <c r="L1408" s="251"/>
      <c r="M1408" s="251"/>
      <c r="N1408" s="251"/>
      <c r="O1408" s="251"/>
      <c r="P1408" s="251"/>
      <c r="Q1408" s="251"/>
      <c r="R1408" s="251"/>
      <c r="S1408" s="251"/>
      <c r="T1408" s="251"/>
      <c r="U1408" s="251"/>
      <c r="V1408" s="251"/>
      <c r="W1408" s="251"/>
      <c r="X1408" s="251"/>
      <c r="Y1408" s="251"/>
      <c r="Z1408" s="251"/>
      <c r="AA1408" s="137"/>
      <c r="AB1408" s="137"/>
      <c r="AC1408" s="137"/>
      <c r="AD1408" s="137"/>
      <c r="AE1408" s="137"/>
      <c r="AF1408" s="137"/>
      <c r="AG1408" s="137"/>
    </row>
    <row r="1409" ht="30.0" customHeight="1">
      <c r="A1409" s="248"/>
      <c r="B1409" s="249"/>
      <c r="C1409" s="248"/>
      <c r="D1409" s="249"/>
      <c r="E1409" s="249"/>
      <c r="F1409" s="249"/>
      <c r="G1409" s="250"/>
      <c r="H1409" s="251"/>
      <c r="I1409" s="252"/>
      <c r="J1409" s="252"/>
      <c r="K1409" s="252"/>
      <c r="L1409" s="251"/>
      <c r="M1409" s="251"/>
      <c r="N1409" s="251"/>
      <c r="O1409" s="251"/>
      <c r="P1409" s="251"/>
      <c r="Q1409" s="251"/>
      <c r="R1409" s="251"/>
      <c r="S1409" s="251"/>
      <c r="T1409" s="251"/>
      <c r="U1409" s="251"/>
      <c r="V1409" s="251"/>
      <c r="W1409" s="251"/>
      <c r="X1409" s="251"/>
      <c r="Y1409" s="251"/>
      <c r="Z1409" s="251"/>
      <c r="AA1409" s="137"/>
      <c r="AB1409" s="137"/>
      <c r="AC1409" s="137"/>
      <c r="AD1409" s="137"/>
      <c r="AE1409" s="137"/>
      <c r="AF1409" s="137"/>
      <c r="AG1409" s="137"/>
    </row>
    <row r="1410" ht="30.0" customHeight="1">
      <c r="A1410" s="248"/>
      <c r="B1410" s="249"/>
      <c r="C1410" s="248"/>
      <c r="D1410" s="249"/>
      <c r="E1410" s="249"/>
      <c r="F1410" s="249"/>
      <c r="G1410" s="249"/>
      <c r="H1410" s="251"/>
      <c r="I1410" s="252"/>
      <c r="J1410" s="252"/>
      <c r="K1410" s="252"/>
      <c r="L1410" s="251"/>
      <c r="M1410" s="251"/>
      <c r="N1410" s="251"/>
      <c r="O1410" s="251"/>
      <c r="P1410" s="251"/>
      <c r="Q1410" s="251"/>
      <c r="R1410" s="251"/>
      <c r="S1410" s="251"/>
      <c r="T1410" s="251"/>
      <c r="U1410" s="251"/>
      <c r="V1410" s="251"/>
      <c r="W1410" s="251"/>
      <c r="X1410" s="251"/>
      <c r="Y1410" s="251"/>
      <c r="Z1410" s="251"/>
      <c r="AA1410" s="137"/>
      <c r="AB1410" s="137"/>
      <c r="AC1410" s="137"/>
      <c r="AD1410" s="137"/>
      <c r="AE1410" s="137"/>
      <c r="AF1410" s="137"/>
      <c r="AG1410" s="137"/>
    </row>
    <row r="1411" ht="30.0" customHeight="1">
      <c r="A1411" s="248"/>
      <c r="B1411" s="249"/>
      <c r="C1411" s="248"/>
      <c r="D1411" s="249"/>
      <c r="E1411" s="249"/>
      <c r="F1411" s="249"/>
      <c r="G1411" s="250"/>
      <c r="H1411" s="251"/>
      <c r="I1411" s="252"/>
      <c r="J1411" s="252"/>
      <c r="K1411" s="252"/>
      <c r="L1411" s="251"/>
      <c r="M1411" s="251"/>
      <c r="N1411" s="251"/>
      <c r="O1411" s="251"/>
      <c r="P1411" s="251"/>
      <c r="Q1411" s="251"/>
      <c r="R1411" s="251"/>
      <c r="S1411" s="251"/>
      <c r="T1411" s="251"/>
      <c r="U1411" s="251"/>
      <c r="V1411" s="251"/>
      <c r="W1411" s="251"/>
      <c r="X1411" s="251"/>
      <c r="Y1411" s="251"/>
      <c r="Z1411" s="251"/>
      <c r="AA1411" s="137"/>
      <c r="AB1411" s="137"/>
      <c r="AC1411" s="137"/>
      <c r="AD1411" s="137"/>
      <c r="AE1411" s="137"/>
      <c r="AF1411" s="137"/>
      <c r="AG1411" s="137"/>
    </row>
    <row r="1412" ht="30.0" customHeight="1">
      <c r="A1412" s="248"/>
      <c r="B1412" s="249"/>
      <c r="C1412" s="248"/>
      <c r="D1412" s="249"/>
      <c r="E1412" s="249"/>
      <c r="F1412" s="249"/>
      <c r="G1412" s="250"/>
      <c r="H1412" s="251"/>
      <c r="I1412" s="252"/>
      <c r="J1412" s="252"/>
      <c r="K1412" s="252"/>
      <c r="L1412" s="251"/>
      <c r="M1412" s="251"/>
      <c r="N1412" s="251"/>
      <c r="O1412" s="251"/>
      <c r="P1412" s="251"/>
      <c r="Q1412" s="251"/>
      <c r="R1412" s="251"/>
      <c r="S1412" s="251"/>
      <c r="T1412" s="251"/>
      <c r="U1412" s="251"/>
      <c r="V1412" s="251"/>
      <c r="W1412" s="251"/>
      <c r="X1412" s="251"/>
      <c r="Y1412" s="251"/>
      <c r="Z1412" s="251"/>
      <c r="AA1412" s="137"/>
      <c r="AB1412" s="137"/>
      <c r="AC1412" s="137"/>
      <c r="AD1412" s="137"/>
      <c r="AE1412" s="137"/>
      <c r="AF1412" s="137"/>
      <c r="AG1412" s="137"/>
    </row>
    <row r="1413" ht="30.0" customHeight="1">
      <c r="A1413" s="248"/>
      <c r="B1413" s="249"/>
      <c r="C1413" s="248"/>
      <c r="D1413" s="249"/>
      <c r="E1413" s="249"/>
      <c r="F1413" s="249"/>
      <c r="G1413" s="250"/>
      <c r="H1413" s="251"/>
      <c r="I1413" s="252"/>
      <c r="J1413" s="252"/>
      <c r="K1413" s="252"/>
      <c r="L1413" s="251"/>
      <c r="M1413" s="251"/>
      <c r="N1413" s="251"/>
      <c r="O1413" s="251"/>
      <c r="P1413" s="251"/>
      <c r="Q1413" s="251"/>
      <c r="R1413" s="251"/>
      <c r="S1413" s="251"/>
      <c r="T1413" s="251"/>
      <c r="U1413" s="251"/>
      <c r="V1413" s="251"/>
      <c r="W1413" s="251"/>
      <c r="X1413" s="251"/>
      <c r="Y1413" s="251"/>
      <c r="Z1413" s="251"/>
      <c r="AA1413" s="137"/>
      <c r="AB1413" s="137"/>
      <c r="AC1413" s="137"/>
      <c r="AD1413" s="137"/>
      <c r="AE1413" s="137"/>
      <c r="AF1413" s="137"/>
      <c r="AG1413" s="137"/>
    </row>
    <row r="1414" ht="30.0" customHeight="1">
      <c r="A1414" s="248"/>
      <c r="B1414" s="249"/>
      <c r="C1414" s="248"/>
      <c r="D1414" s="249"/>
      <c r="E1414" s="249"/>
      <c r="F1414" s="249"/>
      <c r="G1414" s="250"/>
      <c r="H1414" s="251"/>
      <c r="I1414" s="252"/>
      <c r="J1414" s="252"/>
      <c r="K1414" s="252"/>
      <c r="L1414" s="251"/>
      <c r="M1414" s="251"/>
      <c r="N1414" s="251"/>
      <c r="O1414" s="251"/>
      <c r="P1414" s="251"/>
      <c r="Q1414" s="251"/>
      <c r="R1414" s="251"/>
      <c r="S1414" s="251"/>
      <c r="T1414" s="251"/>
      <c r="U1414" s="251"/>
      <c r="V1414" s="251"/>
      <c r="W1414" s="251"/>
      <c r="X1414" s="251"/>
      <c r="Y1414" s="251"/>
      <c r="Z1414" s="251"/>
      <c r="AA1414" s="137"/>
      <c r="AB1414" s="137"/>
      <c r="AC1414" s="137"/>
      <c r="AD1414" s="137"/>
      <c r="AE1414" s="137"/>
      <c r="AF1414" s="137"/>
      <c r="AG1414" s="137"/>
    </row>
    <row r="1415" ht="30.0" customHeight="1">
      <c r="A1415" s="248"/>
      <c r="B1415" s="249"/>
      <c r="C1415" s="248"/>
      <c r="D1415" s="249"/>
      <c r="E1415" s="249"/>
      <c r="F1415" s="249"/>
      <c r="G1415" s="250"/>
      <c r="H1415" s="251"/>
      <c r="I1415" s="252"/>
      <c r="J1415" s="252"/>
      <c r="K1415" s="252"/>
      <c r="L1415" s="251"/>
      <c r="M1415" s="251"/>
      <c r="N1415" s="251"/>
      <c r="O1415" s="251"/>
      <c r="P1415" s="251"/>
      <c r="Q1415" s="251"/>
      <c r="R1415" s="251"/>
      <c r="S1415" s="251"/>
      <c r="T1415" s="251"/>
      <c r="U1415" s="251"/>
      <c r="V1415" s="251"/>
      <c r="W1415" s="251"/>
      <c r="X1415" s="251"/>
      <c r="Y1415" s="251"/>
      <c r="Z1415" s="251"/>
      <c r="AA1415" s="137"/>
      <c r="AB1415" s="137"/>
      <c r="AC1415" s="137"/>
      <c r="AD1415" s="137"/>
      <c r="AE1415" s="137"/>
      <c r="AF1415" s="137"/>
      <c r="AG1415" s="137"/>
    </row>
    <row r="1416" ht="30.0" customHeight="1">
      <c r="A1416" s="248"/>
      <c r="B1416" s="249"/>
      <c r="C1416" s="248"/>
      <c r="D1416" s="249"/>
      <c r="E1416" s="249"/>
      <c r="F1416" s="249"/>
      <c r="G1416" s="250"/>
      <c r="H1416" s="251"/>
      <c r="I1416" s="252"/>
      <c r="J1416" s="252"/>
      <c r="K1416" s="252"/>
      <c r="L1416" s="251"/>
      <c r="M1416" s="251"/>
      <c r="N1416" s="251"/>
      <c r="O1416" s="251"/>
      <c r="P1416" s="251"/>
      <c r="Q1416" s="251"/>
      <c r="R1416" s="251"/>
      <c r="S1416" s="251"/>
      <c r="T1416" s="251"/>
      <c r="U1416" s="251"/>
      <c r="V1416" s="251"/>
      <c r="W1416" s="251"/>
      <c r="X1416" s="251"/>
      <c r="Y1416" s="251"/>
      <c r="Z1416" s="251"/>
      <c r="AA1416" s="137"/>
      <c r="AB1416" s="137"/>
      <c r="AC1416" s="137"/>
      <c r="AD1416" s="137"/>
      <c r="AE1416" s="137"/>
      <c r="AF1416" s="137"/>
      <c r="AG1416" s="137"/>
    </row>
    <row r="1417" ht="30.0" customHeight="1">
      <c r="A1417" s="248"/>
      <c r="B1417" s="249"/>
      <c r="C1417" s="248"/>
      <c r="D1417" s="249"/>
      <c r="E1417" s="249"/>
      <c r="F1417" s="249"/>
      <c r="G1417" s="249"/>
      <c r="H1417" s="251"/>
      <c r="I1417" s="252"/>
      <c r="J1417" s="252"/>
      <c r="K1417" s="252"/>
      <c r="L1417" s="251"/>
      <c r="M1417" s="251"/>
      <c r="N1417" s="251"/>
      <c r="O1417" s="251"/>
      <c r="P1417" s="251"/>
      <c r="Q1417" s="251"/>
      <c r="R1417" s="251"/>
      <c r="S1417" s="251"/>
      <c r="T1417" s="251"/>
      <c r="U1417" s="251"/>
      <c r="V1417" s="251"/>
      <c r="W1417" s="251"/>
      <c r="X1417" s="251"/>
      <c r="Y1417" s="251"/>
      <c r="Z1417" s="251"/>
      <c r="AA1417" s="137"/>
      <c r="AB1417" s="137"/>
      <c r="AC1417" s="137"/>
      <c r="AD1417" s="137"/>
      <c r="AE1417" s="137"/>
      <c r="AF1417" s="137"/>
      <c r="AG1417" s="137"/>
    </row>
    <row r="1418" ht="30.0" customHeight="1">
      <c r="A1418" s="248"/>
      <c r="B1418" s="249"/>
      <c r="C1418" s="248"/>
      <c r="D1418" s="249"/>
      <c r="E1418" s="249"/>
      <c r="F1418" s="249"/>
      <c r="G1418" s="249"/>
      <c r="H1418" s="251"/>
      <c r="I1418" s="252"/>
      <c r="J1418" s="252"/>
      <c r="K1418" s="252"/>
      <c r="L1418" s="251"/>
      <c r="M1418" s="251"/>
      <c r="N1418" s="251"/>
      <c r="O1418" s="251"/>
      <c r="P1418" s="251"/>
      <c r="Q1418" s="251"/>
      <c r="R1418" s="251"/>
      <c r="S1418" s="251"/>
      <c r="T1418" s="251"/>
      <c r="U1418" s="251"/>
      <c r="V1418" s="251"/>
      <c r="W1418" s="251"/>
      <c r="X1418" s="251"/>
      <c r="Y1418" s="251"/>
      <c r="Z1418" s="251"/>
      <c r="AA1418" s="137"/>
      <c r="AB1418" s="137"/>
      <c r="AC1418" s="137"/>
      <c r="AD1418" s="137"/>
      <c r="AE1418" s="137"/>
      <c r="AF1418" s="137"/>
      <c r="AG1418" s="137"/>
    </row>
    <row r="1419" ht="30.0" customHeight="1">
      <c r="A1419" s="248"/>
      <c r="B1419" s="249"/>
      <c r="C1419" s="248"/>
      <c r="D1419" s="249"/>
      <c r="E1419" s="249"/>
      <c r="F1419" s="249"/>
      <c r="G1419" s="249"/>
      <c r="H1419" s="251"/>
      <c r="I1419" s="252"/>
      <c r="J1419" s="252"/>
      <c r="K1419" s="252"/>
      <c r="L1419" s="251"/>
      <c r="M1419" s="251"/>
      <c r="N1419" s="251"/>
      <c r="O1419" s="251"/>
      <c r="P1419" s="251"/>
      <c r="Q1419" s="251"/>
      <c r="R1419" s="251"/>
      <c r="S1419" s="251"/>
      <c r="T1419" s="251"/>
      <c r="U1419" s="251"/>
      <c r="V1419" s="251"/>
      <c r="W1419" s="251"/>
      <c r="X1419" s="251"/>
      <c r="Y1419" s="251"/>
      <c r="Z1419" s="251"/>
      <c r="AA1419" s="137"/>
      <c r="AB1419" s="137"/>
      <c r="AC1419" s="137"/>
      <c r="AD1419" s="137"/>
      <c r="AE1419" s="137"/>
      <c r="AF1419" s="137"/>
      <c r="AG1419" s="137"/>
    </row>
    <row r="1420" ht="30.0" customHeight="1">
      <c r="A1420" s="248"/>
      <c r="B1420" s="249"/>
      <c r="C1420" s="248"/>
      <c r="D1420" s="249"/>
      <c r="E1420" s="249"/>
      <c r="F1420" s="249"/>
      <c r="G1420" s="250"/>
      <c r="H1420" s="251"/>
      <c r="I1420" s="252"/>
      <c r="J1420" s="252"/>
      <c r="K1420" s="252"/>
      <c r="L1420" s="251"/>
      <c r="M1420" s="251"/>
      <c r="N1420" s="251"/>
      <c r="O1420" s="251"/>
      <c r="P1420" s="251"/>
      <c r="Q1420" s="251"/>
      <c r="R1420" s="251"/>
      <c r="S1420" s="251"/>
      <c r="T1420" s="251"/>
      <c r="U1420" s="251"/>
      <c r="V1420" s="251"/>
      <c r="W1420" s="251"/>
      <c r="X1420" s="251"/>
      <c r="Y1420" s="251"/>
      <c r="Z1420" s="251"/>
      <c r="AA1420" s="137"/>
      <c r="AB1420" s="137"/>
      <c r="AC1420" s="137"/>
      <c r="AD1420" s="137"/>
      <c r="AE1420" s="137"/>
      <c r="AF1420" s="137"/>
      <c r="AG1420" s="137"/>
    </row>
    <row r="1421" ht="30.0" customHeight="1">
      <c r="A1421" s="248"/>
      <c r="B1421" s="249"/>
      <c r="C1421" s="248"/>
      <c r="D1421" s="249"/>
      <c r="E1421" s="249"/>
      <c r="F1421" s="249"/>
      <c r="G1421" s="249"/>
      <c r="H1421" s="251"/>
      <c r="I1421" s="252"/>
      <c r="J1421" s="252"/>
      <c r="K1421" s="252"/>
      <c r="L1421" s="251"/>
      <c r="M1421" s="251"/>
      <c r="N1421" s="251"/>
      <c r="O1421" s="251"/>
      <c r="P1421" s="251"/>
      <c r="Q1421" s="251"/>
      <c r="R1421" s="251"/>
      <c r="S1421" s="251"/>
      <c r="T1421" s="251"/>
      <c r="U1421" s="251"/>
      <c r="V1421" s="251"/>
      <c r="W1421" s="251"/>
      <c r="X1421" s="251"/>
      <c r="Y1421" s="251"/>
      <c r="Z1421" s="251"/>
      <c r="AA1421" s="137"/>
      <c r="AB1421" s="137"/>
      <c r="AC1421" s="137"/>
      <c r="AD1421" s="137"/>
      <c r="AE1421" s="137"/>
      <c r="AF1421" s="137"/>
      <c r="AG1421" s="137"/>
    </row>
    <row r="1422" ht="30.0" customHeight="1">
      <c r="A1422" s="248"/>
      <c r="B1422" s="249"/>
      <c r="C1422" s="248"/>
      <c r="D1422" s="249"/>
      <c r="E1422" s="249"/>
      <c r="F1422" s="249"/>
      <c r="G1422" s="249"/>
      <c r="H1422" s="251"/>
      <c r="I1422" s="252"/>
      <c r="J1422" s="252"/>
      <c r="K1422" s="252"/>
      <c r="L1422" s="251"/>
      <c r="M1422" s="251"/>
      <c r="N1422" s="251"/>
      <c r="O1422" s="251"/>
      <c r="P1422" s="251"/>
      <c r="Q1422" s="251"/>
      <c r="R1422" s="251"/>
      <c r="S1422" s="251"/>
      <c r="T1422" s="251"/>
      <c r="U1422" s="251"/>
      <c r="V1422" s="251"/>
      <c r="W1422" s="251"/>
      <c r="X1422" s="251"/>
      <c r="Y1422" s="251"/>
      <c r="Z1422" s="251"/>
      <c r="AA1422" s="137"/>
      <c r="AB1422" s="137"/>
      <c r="AC1422" s="137"/>
      <c r="AD1422" s="137"/>
      <c r="AE1422" s="137"/>
      <c r="AF1422" s="137"/>
      <c r="AG1422" s="137"/>
    </row>
    <row r="1423" ht="30.0" customHeight="1">
      <c r="A1423" s="248"/>
      <c r="B1423" s="249"/>
      <c r="C1423" s="248"/>
      <c r="D1423" s="249"/>
      <c r="E1423" s="249"/>
      <c r="F1423" s="249"/>
      <c r="G1423" s="249"/>
      <c r="H1423" s="251"/>
      <c r="I1423" s="252"/>
      <c r="J1423" s="252"/>
      <c r="K1423" s="252"/>
      <c r="L1423" s="251"/>
      <c r="M1423" s="251"/>
      <c r="N1423" s="251"/>
      <c r="O1423" s="251"/>
      <c r="P1423" s="251"/>
      <c r="Q1423" s="251"/>
      <c r="R1423" s="251"/>
      <c r="S1423" s="251"/>
      <c r="T1423" s="251"/>
      <c r="U1423" s="251"/>
      <c r="V1423" s="251"/>
      <c r="W1423" s="251"/>
      <c r="X1423" s="251"/>
      <c r="Y1423" s="251"/>
      <c r="Z1423" s="251"/>
      <c r="AA1423" s="137"/>
      <c r="AB1423" s="137"/>
      <c r="AC1423" s="137"/>
      <c r="AD1423" s="137"/>
      <c r="AE1423" s="137"/>
      <c r="AF1423" s="137"/>
      <c r="AG1423" s="137"/>
    </row>
    <row r="1424" ht="30.0" customHeight="1">
      <c r="A1424" s="248"/>
      <c r="B1424" s="249"/>
      <c r="C1424" s="248"/>
      <c r="D1424" s="249"/>
      <c r="E1424" s="249"/>
      <c r="F1424" s="249"/>
      <c r="G1424" s="250"/>
      <c r="H1424" s="251"/>
      <c r="I1424" s="252"/>
      <c r="J1424" s="252"/>
      <c r="K1424" s="252"/>
      <c r="L1424" s="251"/>
      <c r="M1424" s="251"/>
      <c r="N1424" s="251"/>
      <c r="O1424" s="251"/>
      <c r="P1424" s="251"/>
      <c r="Q1424" s="251"/>
      <c r="R1424" s="251"/>
      <c r="S1424" s="251"/>
      <c r="T1424" s="251"/>
      <c r="U1424" s="251"/>
      <c r="V1424" s="251"/>
      <c r="W1424" s="251"/>
      <c r="X1424" s="251"/>
      <c r="Y1424" s="251"/>
      <c r="Z1424" s="251"/>
      <c r="AA1424" s="137"/>
      <c r="AB1424" s="137"/>
      <c r="AC1424" s="137"/>
      <c r="AD1424" s="137"/>
      <c r="AE1424" s="137"/>
      <c r="AF1424" s="137"/>
      <c r="AG1424" s="137"/>
    </row>
    <row r="1425" ht="30.0" customHeight="1">
      <c r="A1425" s="248"/>
      <c r="B1425" s="249"/>
      <c r="C1425" s="248"/>
      <c r="D1425" s="249"/>
      <c r="E1425" s="249"/>
      <c r="F1425" s="249"/>
      <c r="G1425" s="250"/>
      <c r="H1425" s="251"/>
      <c r="I1425" s="252"/>
      <c r="J1425" s="252"/>
      <c r="K1425" s="252"/>
      <c r="L1425" s="251"/>
      <c r="M1425" s="251"/>
      <c r="N1425" s="251"/>
      <c r="O1425" s="251"/>
      <c r="P1425" s="251"/>
      <c r="Q1425" s="251"/>
      <c r="R1425" s="251"/>
      <c r="S1425" s="251"/>
      <c r="T1425" s="251"/>
      <c r="U1425" s="251"/>
      <c r="V1425" s="251"/>
      <c r="W1425" s="251"/>
      <c r="X1425" s="251"/>
      <c r="Y1425" s="251"/>
      <c r="Z1425" s="251"/>
      <c r="AA1425" s="137"/>
      <c r="AB1425" s="137"/>
      <c r="AC1425" s="137"/>
      <c r="AD1425" s="137"/>
      <c r="AE1425" s="137"/>
      <c r="AF1425" s="137"/>
      <c r="AG1425" s="137"/>
    </row>
    <row r="1426" ht="30.0" customHeight="1">
      <c r="A1426" s="248"/>
      <c r="B1426" s="249"/>
      <c r="C1426" s="248"/>
      <c r="D1426" s="249"/>
      <c r="E1426" s="249"/>
      <c r="F1426" s="249"/>
      <c r="G1426" s="250"/>
      <c r="H1426" s="251"/>
      <c r="I1426" s="252"/>
      <c r="J1426" s="252"/>
      <c r="K1426" s="252"/>
      <c r="L1426" s="251"/>
      <c r="M1426" s="251"/>
      <c r="N1426" s="251"/>
      <c r="O1426" s="251"/>
      <c r="P1426" s="251"/>
      <c r="Q1426" s="251"/>
      <c r="R1426" s="251"/>
      <c r="S1426" s="251"/>
      <c r="T1426" s="251"/>
      <c r="U1426" s="251"/>
      <c r="V1426" s="251"/>
      <c r="W1426" s="251"/>
      <c r="X1426" s="251"/>
      <c r="Y1426" s="251"/>
      <c r="Z1426" s="251"/>
      <c r="AA1426" s="137"/>
      <c r="AB1426" s="137"/>
      <c r="AC1426" s="137"/>
      <c r="AD1426" s="137"/>
      <c r="AE1426" s="137"/>
      <c r="AF1426" s="137"/>
      <c r="AG1426" s="137"/>
    </row>
    <row r="1427" ht="30.0" customHeight="1">
      <c r="A1427" s="248"/>
      <c r="B1427" s="249"/>
      <c r="C1427" s="248"/>
      <c r="D1427" s="249"/>
      <c r="E1427" s="249"/>
      <c r="F1427" s="249"/>
      <c r="G1427" s="250"/>
      <c r="H1427" s="251"/>
      <c r="I1427" s="252"/>
      <c r="J1427" s="252"/>
      <c r="K1427" s="252"/>
      <c r="L1427" s="251"/>
      <c r="M1427" s="251"/>
      <c r="N1427" s="251"/>
      <c r="O1427" s="251"/>
      <c r="P1427" s="251"/>
      <c r="Q1427" s="251"/>
      <c r="R1427" s="251"/>
      <c r="S1427" s="251"/>
      <c r="T1427" s="251"/>
      <c r="U1427" s="251"/>
      <c r="V1427" s="251"/>
      <c r="W1427" s="251"/>
      <c r="X1427" s="251"/>
      <c r="Y1427" s="251"/>
      <c r="Z1427" s="251"/>
      <c r="AA1427" s="137"/>
      <c r="AB1427" s="137"/>
      <c r="AC1427" s="137"/>
      <c r="AD1427" s="137"/>
      <c r="AE1427" s="137"/>
      <c r="AF1427" s="137"/>
      <c r="AG1427" s="137"/>
    </row>
    <row r="1428" ht="30.0" customHeight="1">
      <c r="A1428" s="248"/>
      <c r="B1428" s="249"/>
      <c r="C1428" s="248"/>
      <c r="D1428" s="249"/>
      <c r="E1428" s="249"/>
      <c r="F1428" s="249"/>
      <c r="G1428" s="249"/>
      <c r="H1428" s="251"/>
      <c r="I1428" s="252"/>
      <c r="J1428" s="252"/>
      <c r="K1428" s="252"/>
      <c r="L1428" s="251"/>
      <c r="M1428" s="251"/>
      <c r="N1428" s="251"/>
      <c r="O1428" s="251"/>
      <c r="P1428" s="251"/>
      <c r="Q1428" s="251"/>
      <c r="R1428" s="251"/>
      <c r="S1428" s="251"/>
      <c r="T1428" s="251"/>
      <c r="U1428" s="251"/>
      <c r="V1428" s="251"/>
      <c r="W1428" s="251"/>
      <c r="X1428" s="251"/>
      <c r="Y1428" s="251"/>
      <c r="Z1428" s="251"/>
      <c r="AA1428" s="137"/>
      <c r="AB1428" s="137"/>
      <c r="AC1428" s="137"/>
      <c r="AD1428" s="137"/>
      <c r="AE1428" s="137"/>
      <c r="AF1428" s="137"/>
      <c r="AG1428" s="137"/>
    </row>
    <row r="1429" ht="30.0" customHeight="1">
      <c r="A1429" s="248"/>
      <c r="B1429" s="249"/>
      <c r="C1429" s="248"/>
      <c r="D1429" s="249"/>
      <c r="E1429" s="249"/>
      <c r="F1429" s="249"/>
      <c r="G1429" s="249"/>
      <c r="H1429" s="251"/>
      <c r="I1429" s="252"/>
      <c r="J1429" s="252"/>
      <c r="K1429" s="252"/>
      <c r="L1429" s="251"/>
      <c r="M1429" s="251"/>
      <c r="N1429" s="251"/>
      <c r="O1429" s="251"/>
      <c r="P1429" s="251"/>
      <c r="Q1429" s="251"/>
      <c r="R1429" s="251"/>
      <c r="S1429" s="251"/>
      <c r="T1429" s="251"/>
      <c r="U1429" s="251"/>
      <c r="V1429" s="251"/>
      <c r="W1429" s="251"/>
      <c r="X1429" s="251"/>
      <c r="Y1429" s="251"/>
      <c r="Z1429" s="251"/>
      <c r="AA1429" s="137"/>
      <c r="AB1429" s="137"/>
      <c r="AC1429" s="137"/>
      <c r="AD1429" s="137"/>
      <c r="AE1429" s="137"/>
      <c r="AF1429" s="137"/>
      <c r="AG1429" s="137"/>
    </row>
    <row r="1430" ht="30.0" customHeight="1">
      <c r="A1430" s="248"/>
      <c r="B1430" s="249"/>
      <c r="C1430" s="248"/>
      <c r="D1430" s="249"/>
      <c r="E1430" s="249"/>
      <c r="F1430" s="249"/>
      <c r="G1430" s="250"/>
      <c r="H1430" s="251"/>
      <c r="I1430" s="252"/>
      <c r="J1430" s="252"/>
      <c r="K1430" s="252"/>
      <c r="L1430" s="251"/>
      <c r="M1430" s="251"/>
      <c r="N1430" s="251"/>
      <c r="O1430" s="251"/>
      <c r="P1430" s="251"/>
      <c r="Q1430" s="251"/>
      <c r="R1430" s="251"/>
      <c r="S1430" s="251"/>
      <c r="T1430" s="251"/>
      <c r="U1430" s="251"/>
      <c r="V1430" s="251"/>
      <c r="W1430" s="251"/>
      <c r="X1430" s="251"/>
      <c r="Y1430" s="251"/>
      <c r="Z1430" s="251"/>
      <c r="AA1430" s="137"/>
      <c r="AB1430" s="137"/>
      <c r="AC1430" s="137"/>
      <c r="AD1430" s="137"/>
      <c r="AE1430" s="137"/>
      <c r="AF1430" s="137"/>
      <c r="AG1430" s="137"/>
    </row>
    <row r="1431" ht="30.0" customHeight="1">
      <c r="A1431" s="248"/>
      <c r="B1431" s="249"/>
      <c r="C1431" s="248"/>
      <c r="D1431" s="249"/>
      <c r="E1431" s="249"/>
      <c r="F1431" s="249"/>
      <c r="G1431" s="249"/>
      <c r="H1431" s="251"/>
      <c r="I1431" s="252"/>
      <c r="J1431" s="252"/>
      <c r="K1431" s="252"/>
      <c r="L1431" s="251"/>
      <c r="M1431" s="251"/>
      <c r="N1431" s="251"/>
      <c r="O1431" s="251"/>
      <c r="P1431" s="251"/>
      <c r="Q1431" s="251"/>
      <c r="R1431" s="251"/>
      <c r="S1431" s="251"/>
      <c r="T1431" s="251"/>
      <c r="U1431" s="251"/>
      <c r="V1431" s="251"/>
      <c r="W1431" s="251"/>
      <c r="X1431" s="251"/>
      <c r="Y1431" s="251"/>
      <c r="Z1431" s="251"/>
      <c r="AA1431" s="137"/>
      <c r="AB1431" s="137"/>
      <c r="AC1431" s="137"/>
      <c r="AD1431" s="137"/>
      <c r="AE1431" s="137"/>
      <c r="AF1431" s="137"/>
      <c r="AG1431" s="137"/>
    </row>
    <row r="1432" ht="30.0" customHeight="1">
      <c r="A1432" s="248"/>
      <c r="B1432" s="249"/>
      <c r="C1432" s="248"/>
      <c r="D1432" s="249"/>
      <c r="E1432" s="249"/>
      <c r="F1432" s="249"/>
      <c r="G1432" s="250"/>
      <c r="H1432" s="251"/>
      <c r="I1432" s="252"/>
      <c r="J1432" s="252"/>
      <c r="K1432" s="252"/>
      <c r="L1432" s="251"/>
      <c r="M1432" s="251"/>
      <c r="N1432" s="251"/>
      <c r="O1432" s="251"/>
      <c r="P1432" s="251"/>
      <c r="Q1432" s="251"/>
      <c r="R1432" s="251"/>
      <c r="S1432" s="251"/>
      <c r="T1432" s="251"/>
      <c r="U1432" s="251"/>
      <c r="V1432" s="251"/>
      <c r="W1432" s="251"/>
      <c r="X1432" s="251"/>
      <c r="Y1432" s="251"/>
      <c r="Z1432" s="251"/>
      <c r="AA1432" s="137"/>
      <c r="AB1432" s="137"/>
      <c r="AC1432" s="137"/>
      <c r="AD1432" s="137"/>
      <c r="AE1432" s="137"/>
      <c r="AF1432" s="137"/>
      <c r="AG1432" s="137"/>
    </row>
    <row r="1433" ht="30.0" customHeight="1">
      <c r="A1433" s="248"/>
      <c r="B1433" s="249"/>
      <c r="C1433" s="248"/>
      <c r="D1433" s="249"/>
      <c r="E1433" s="249"/>
      <c r="F1433" s="249"/>
      <c r="G1433" s="249"/>
      <c r="H1433" s="251"/>
      <c r="I1433" s="252"/>
      <c r="J1433" s="252"/>
      <c r="K1433" s="252"/>
      <c r="L1433" s="251"/>
      <c r="M1433" s="251"/>
      <c r="N1433" s="251"/>
      <c r="O1433" s="251"/>
      <c r="P1433" s="251"/>
      <c r="Q1433" s="251"/>
      <c r="R1433" s="251"/>
      <c r="S1433" s="251"/>
      <c r="T1433" s="251"/>
      <c r="U1433" s="251"/>
      <c r="V1433" s="251"/>
      <c r="W1433" s="251"/>
      <c r="X1433" s="251"/>
      <c r="Y1433" s="251"/>
      <c r="Z1433" s="251"/>
      <c r="AA1433" s="137"/>
      <c r="AB1433" s="137"/>
      <c r="AC1433" s="137"/>
      <c r="AD1433" s="137"/>
      <c r="AE1433" s="137"/>
      <c r="AF1433" s="137"/>
      <c r="AG1433" s="137"/>
    </row>
    <row r="1434" ht="30.0" customHeight="1">
      <c r="A1434" s="248"/>
      <c r="B1434" s="249"/>
      <c r="C1434" s="248"/>
      <c r="D1434" s="249"/>
      <c r="E1434" s="249"/>
      <c r="F1434" s="249"/>
      <c r="G1434" s="249"/>
      <c r="H1434" s="251"/>
      <c r="I1434" s="252"/>
      <c r="J1434" s="252"/>
      <c r="K1434" s="252"/>
      <c r="L1434" s="251"/>
      <c r="M1434" s="251"/>
      <c r="N1434" s="251"/>
      <c r="O1434" s="251"/>
      <c r="P1434" s="251"/>
      <c r="Q1434" s="251"/>
      <c r="R1434" s="251"/>
      <c r="S1434" s="251"/>
      <c r="T1434" s="251"/>
      <c r="U1434" s="251"/>
      <c r="V1434" s="251"/>
      <c r="W1434" s="251"/>
      <c r="X1434" s="251"/>
      <c r="Y1434" s="251"/>
      <c r="Z1434" s="251"/>
      <c r="AA1434" s="137"/>
      <c r="AB1434" s="137"/>
      <c r="AC1434" s="137"/>
      <c r="AD1434" s="137"/>
      <c r="AE1434" s="137"/>
      <c r="AF1434" s="137"/>
      <c r="AG1434" s="137"/>
    </row>
    <row r="1435" ht="30.0" customHeight="1">
      <c r="A1435" s="248"/>
      <c r="B1435" s="249"/>
      <c r="C1435" s="248"/>
      <c r="D1435" s="249"/>
      <c r="E1435" s="249"/>
      <c r="F1435" s="249"/>
      <c r="G1435" s="249"/>
      <c r="H1435" s="251"/>
      <c r="I1435" s="252"/>
      <c r="J1435" s="252"/>
      <c r="K1435" s="252"/>
      <c r="L1435" s="251"/>
      <c r="M1435" s="251"/>
      <c r="N1435" s="251"/>
      <c r="O1435" s="251"/>
      <c r="P1435" s="251"/>
      <c r="Q1435" s="251"/>
      <c r="R1435" s="251"/>
      <c r="S1435" s="251"/>
      <c r="T1435" s="251"/>
      <c r="U1435" s="251"/>
      <c r="V1435" s="251"/>
      <c r="W1435" s="251"/>
      <c r="X1435" s="251"/>
      <c r="Y1435" s="251"/>
      <c r="Z1435" s="251"/>
      <c r="AA1435" s="137"/>
      <c r="AB1435" s="137"/>
      <c r="AC1435" s="137"/>
      <c r="AD1435" s="137"/>
      <c r="AE1435" s="137"/>
      <c r="AF1435" s="137"/>
      <c r="AG1435" s="137"/>
    </row>
    <row r="1436" ht="30.0" customHeight="1">
      <c r="A1436" s="248"/>
      <c r="B1436" s="249"/>
      <c r="C1436" s="248"/>
      <c r="D1436" s="249"/>
      <c r="E1436" s="249"/>
      <c r="F1436" s="249"/>
      <c r="G1436" s="249"/>
      <c r="H1436" s="251"/>
      <c r="I1436" s="252"/>
      <c r="J1436" s="252"/>
      <c r="K1436" s="252"/>
      <c r="L1436" s="251"/>
      <c r="M1436" s="251"/>
      <c r="N1436" s="251"/>
      <c r="O1436" s="251"/>
      <c r="P1436" s="251"/>
      <c r="Q1436" s="251"/>
      <c r="R1436" s="251"/>
      <c r="S1436" s="251"/>
      <c r="T1436" s="251"/>
      <c r="U1436" s="251"/>
      <c r="V1436" s="251"/>
      <c r="W1436" s="251"/>
      <c r="X1436" s="251"/>
      <c r="Y1436" s="251"/>
      <c r="Z1436" s="251"/>
      <c r="AA1436" s="137"/>
      <c r="AB1436" s="137"/>
      <c r="AC1436" s="137"/>
      <c r="AD1436" s="137"/>
      <c r="AE1436" s="137"/>
      <c r="AF1436" s="137"/>
      <c r="AG1436" s="137"/>
    </row>
    <row r="1437" ht="30.0" customHeight="1">
      <c r="A1437" s="248"/>
      <c r="B1437" s="249"/>
      <c r="C1437" s="248"/>
      <c r="D1437" s="249"/>
      <c r="E1437" s="249"/>
      <c r="F1437" s="249"/>
      <c r="G1437" s="250"/>
      <c r="H1437" s="251"/>
      <c r="I1437" s="252"/>
      <c r="J1437" s="252"/>
      <c r="K1437" s="252"/>
      <c r="L1437" s="251"/>
      <c r="M1437" s="251"/>
      <c r="N1437" s="251"/>
      <c r="O1437" s="251"/>
      <c r="P1437" s="251"/>
      <c r="Q1437" s="251"/>
      <c r="R1437" s="251"/>
      <c r="S1437" s="251"/>
      <c r="T1437" s="251"/>
      <c r="U1437" s="251"/>
      <c r="V1437" s="251"/>
      <c r="W1437" s="251"/>
      <c r="X1437" s="251"/>
      <c r="Y1437" s="251"/>
      <c r="Z1437" s="251"/>
      <c r="AA1437" s="137"/>
      <c r="AB1437" s="137"/>
      <c r="AC1437" s="137"/>
      <c r="AD1437" s="137"/>
      <c r="AE1437" s="137"/>
      <c r="AF1437" s="137"/>
      <c r="AG1437" s="137"/>
    </row>
    <row r="1438" ht="30.0" customHeight="1">
      <c r="A1438" s="248"/>
      <c r="B1438" s="249"/>
      <c r="C1438" s="248"/>
      <c r="D1438" s="249"/>
      <c r="E1438" s="249"/>
      <c r="F1438" s="249"/>
      <c r="G1438" s="250"/>
      <c r="H1438" s="251"/>
      <c r="I1438" s="252"/>
      <c r="J1438" s="252"/>
      <c r="K1438" s="252"/>
      <c r="L1438" s="251"/>
      <c r="M1438" s="251"/>
      <c r="N1438" s="251"/>
      <c r="O1438" s="251"/>
      <c r="P1438" s="251"/>
      <c r="Q1438" s="251"/>
      <c r="R1438" s="251"/>
      <c r="S1438" s="251"/>
      <c r="T1438" s="251"/>
      <c r="U1438" s="251"/>
      <c r="V1438" s="251"/>
      <c r="W1438" s="251"/>
      <c r="X1438" s="251"/>
      <c r="Y1438" s="251"/>
      <c r="Z1438" s="251"/>
      <c r="AA1438" s="137"/>
      <c r="AB1438" s="137"/>
      <c r="AC1438" s="137"/>
      <c r="AD1438" s="137"/>
      <c r="AE1438" s="137"/>
      <c r="AF1438" s="137"/>
      <c r="AG1438" s="137"/>
    </row>
    <row r="1439" ht="30.0" customHeight="1">
      <c r="A1439" s="248"/>
      <c r="B1439" s="249"/>
      <c r="C1439" s="248"/>
      <c r="D1439" s="249"/>
      <c r="E1439" s="249"/>
      <c r="F1439" s="249"/>
      <c r="G1439" s="249"/>
      <c r="H1439" s="251"/>
      <c r="I1439" s="252"/>
      <c r="J1439" s="252"/>
      <c r="K1439" s="252"/>
      <c r="L1439" s="251"/>
      <c r="M1439" s="251"/>
      <c r="N1439" s="251"/>
      <c r="O1439" s="251"/>
      <c r="P1439" s="251"/>
      <c r="Q1439" s="251"/>
      <c r="R1439" s="251"/>
      <c r="S1439" s="251"/>
      <c r="T1439" s="251"/>
      <c r="U1439" s="251"/>
      <c r="V1439" s="251"/>
      <c r="W1439" s="251"/>
      <c r="X1439" s="251"/>
      <c r="Y1439" s="251"/>
      <c r="Z1439" s="251"/>
      <c r="AA1439" s="137"/>
      <c r="AB1439" s="137"/>
      <c r="AC1439" s="137"/>
      <c r="AD1439" s="137"/>
      <c r="AE1439" s="137"/>
      <c r="AF1439" s="137"/>
      <c r="AG1439" s="137"/>
    </row>
    <row r="1440" ht="30.0" customHeight="1">
      <c r="A1440" s="248"/>
      <c r="B1440" s="249"/>
      <c r="C1440" s="248"/>
      <c r="D1440" s="249"/>
      <c r="E1440" s="249"/>
      <c r="F1440" s="249"/>
      <c r="G1440" s="250"/>
      <c r="H1440" s="251"/>
      <c r="I1440" s="252"/>
      <c r="J1440" s="252"/>
      <c r="K1440" s="252"/>
      <c r="L1440" s="251"/>
      <c r="M1440" s="251"/>
      <c r="N1440" s="251"/>
      <c r="O1440" s="251"/>
      <c r="P1440" s="251"/>
      <c r="Q1440" s="251"/>
      <c r="R1440" s="251"/>
      <c r="S1440" s="251"/>
      <c r="T1440" s="251"/>
      <c r="U1440" s="251"/>
      <c r="V1440" s="251"/>
      <c r="W1440" s="251"/>
      <c r="X1440" s="251"/>
      <c r="Y1440" s="251"/>
      <c r="Z1440" s="251"/>
      <c r="AA1440" s="137"/>
      <c r="AB1440" s="137"/>
      <c r="AC1440" s="137"/>
      <c r="AD1440" s="137"/>
      <c r="AE1440" s="137"/>
      <c r="AF1440" s="137"/>
      <c r="AG1440" s="137"/>
    </row>
    <row r="1441" ht="30.0" customHeight="1">
      <c r="A1441" s="248"/>
      <c r="B1441" s="249"/>
      <c r="C1441" s="248"/>
      <c r="D1441" s="249"/>
      <c r="E1441" s="249"/>
      <c r="F1441" s="249"/>
      <c r="G1441" s="250"/>
      <c r="H1441" s="251"/>
      <c r="I1441" s="252"/>
      <c r="J1441" s="252"/>
      <c r="K1441" s="252"/>
      <c r="L1441" s="251"/>
      <c r="M1441" s="251"/>
      <c r="N1441" s="251"/>
      <c r="O1441" s="251"/>
      <c r="P1441" s="251"/>
      <c r="Q1441" s="251"/>
      <c r="R1441" s="251"/>
      <c r="S1441" s="251"/>
      <c r="T1441" s="251"/>
      <c r="U1441" s="251"/>
      <c r="V1441" s="251"/>
      <c r="W1441" s="251"/>
      <c r="X1441" s="251"/>
      <c r="Y1441" s="251"/>
      <c r="Z1441" s="251"/>
      <c r="AA1441" s="137"/>
      <c r="AB1441" s="137"/>
      <c r="AC1441" s="137"/>
      <c r="AD1441" s="137"/>
      <c r="AE1441" s="137"/>
      <c r="AF1441" s="137"/>
      <c r="AG1441" s="137"/>
    </row>
    <row r="1442" ht="30.0" customHeight="1">
      <c r="A1442" s="248"/>
      <c r="B1442" s="249"/>
      <c r="C1442" s="248"/>
      <c r="D1442" s="249"/>
      <c r="E1442" s="249"/>
      <c r="F1442" s="249"/>
      <c r="G1442" s="250"/>
      <c r="H1442" s="251"/>
      <c r="I1442" s="252"/>
      <c r="J1442" s="252"/>
      <c r="K1442" s="252"/>
      <c r="L1442" s="251"/>
      <c r="M1442" s="251"/>
      <c r="N1442" s="251"/>
      <c r="O1442" s="251"/>
      <c r="P1442" s="251"/>
      <c r="Q1442" s="251"/>
      <c r="R1442" s="251"/>
      <c r="S1442" s="251"/>
      <c r="T1442" s="251"/>
      <c r="U1442" s="251"/>
      <c r="V1442" s="251"/>
      <c r="W1442" s="251"/>
      <c r="X1442" s="251"/>
      <c r="Y1442" s="251"/>
      <c r="Z1442" s="251"/>
      <c r="AA1442" s="137"/>
      <c r="AB1442" s="137"/>
      <c r="AC1442" s="137"/>
      <c r="AD1442" s="137"/>
      <c r="AE1442" s="137"/>
      <c r="AF1442" s="137"/>
      <c r="AG1442" s="137"/>
    </row>
    <row r="1443" ht="30.0" customHeight="1">
      <c r="A1443" s="248"/>
      <c r="B1443" s="249"/>
      <c r="C1443" s="248"/>
      <c r="D1443" s="249"/>
      <c r="E1443" s="249"/>
      <c r="F1443" s="249"/>
      <c r="G1443" s="250"/>
      <c r="H1443" s="251"/>
      <c r="I1443" s="252"/>
      <c r="J1443" s="252"/>
      <c r="K1443" s="252"/>
      <c r="L1443" s="251"/>
      <c r="M1443" s="251"/>
      <c r="N1443" s="251"/>
      <c r="O1443" s="251"/>
      <c r="P1443" s="251"/>
      <c r="Q1443" s="251"/>
      <c r="R1443" s="251"/>
      <c r="S1443" s="251"/>
      <c r="T1443" s="251"/>
      <c r="U1443" s="251"/>
      <c r="V1443" s="251"/>
      <c r="W1443" s="251"/>
      <c r="X1443" s="251"/>
      <c r="Y1443" s="251"/>
      <c r="Z1443" s="251"/>
      <c r="AA1443" s="137"/>
      <c r="AB1443" s="137"/>
      <c r="AC1443" s="137"/>
      <c r="AD1443" s="137"/>
      <c r="AE1443" s="137"/>
      <c r="AF1443" s="137"/>
      <c r="AG1443" s="137"/>
    </row>
    <row r="1444" ht="30.0" customHeight="1">
      <c r="A1444" s="248"/>
      <c r="B1444" s="249"/>
      <c r="C1444" s="248"/>
      <c r="D1444" s="249"/>
      <c r="E1444" s="249"/>
      <c r="F1444" s="249"/>
      <c r="G1444" s="250"/>
      <c r="H1444" s="251"/>
      <c r="I1444" s="252"/>
      <c r="J1444" s="252"/>
      <c r="K1444" s="252"/>
      <c r="L1444" s="251"/>
      <c r="M1444" s="251"/>
      <c r="N1444" s="251"/>
      <c r="O1444" s="251"/>
      <c r="P1444" s="251"/>
      <c r="Q1444" s="251"/>
      <c r="R1444" s="251"/>
      <c r="S1444" s="251"/>
      <c r="T1444" s="251"/>
      <c r="U1444" s="251"/>
      <c r="V1444" s="251"/>
      <c r="W1444" s="251"/>
      <c r="X1444" s="251"/>
      <c r="Y1444" s="251"/>
      <c r="Z1444" s="251"/>
      <c r="AA1444" s="137"/>
      <c r="AB1444" s="137"/>
      <c r="AC1444" s="137"/>
      <c r="AD1444" s="137"/>
      <c r="AE1444" s="137"/>
      <c r="AF1444" s="137"/>
      <c r="AG1444" s="137"/>
    </row>
    <row r="1445" ht="30.0" customHeight="1">
      <c r="A1445" s="248"/>
      <c r="B1445" s="249"/>
      <c r="C1445" s="248"/>
      <c r="D1445" s="249"/>
      <c r="E1445" s="249"/>
      <c r="F1445" s="249"/>
      <c r="G1445" s="250"/>
      <c r="H1445" s="251"/>
      <c r="I1445" s="252"/>
      <c r="J1445" s="252"/>
      <c r="K1445" s="252"/>
      <c r="L1445" s="251"/>
      <c r="M1445" s="251"/>
      <c r="N1445" s="251"/>
      <c r="O1445" s="251"/>
      <c r="P1445" s="251"/>
      <c r="Q1445" s="251"/>
      <c r="R1445" s="251"/>
      <c r="S1445" s="251"/>
      <c r="T1445" s="251"/>
      <c r="U1445" s="251"/>
      <c r="V1445" s="251"/>
      <c r="W1445" s="251"/>
      <c r="X1445" s="251"/>
      <c r="Y1445" s="251"/>
      <c r="Z1445" s="251"/>
      <c r="AA1445" s="137"/>
      <c r="AB1445" s="137"/>
      <c r="AC1445" s="137"/>
      <c r="AD1445" s="137"/>
      <c r="AE1445" s="137"/>
      <c r="AF1445" s="137"/>
      <c r="AG1445" s="137"/>
    </row>
    <row r="1446" ht="30.0" customHeight="1">
      <c r="A1446" s="248"/>
      <c r="B1446" s="249"/>
      <c r="C1446" s="248"/>
      <c r="D1446" s="249"/>
      <c r="E1446" s="249"/>
      <c r="F1446" s="249"/>
      <c r="G1446" s="250"/>
      <c r="H1446" s="251"/>
      <c r="I1446" s="252"/>
      <c r="J1446" s="252"/>
      <c r="K1446" s="252"/>
      <c r="L1446" s="251"/>
      <c r="M1446" s="251"/>
      <c r="N1446" s="251"/>
      <c r="O1446" s="251"/>
      <c r="P1446" s="251"/>
      <c r="Q1446" s="251"/>
      <c r="R1446" s="251"/>
      <c r="S1446" s="251"/>
      <c r="T1446" s="251"/>
      <c r="U1446" s="251"/>
      <c r="V1446" s="251"/>
      <c r="W1446" s="251"/>
      <c r="X1446" s="251"/>
      <c r="Y1446" s="251"/>
      <c r="Z1446" s="251"/>
      <c r="AA1446" s="137"/>
      <c r="AB1446" s="137"/>
      <c r="AC1446" s="137"/>
      <c r="AD1446" s="137"/>
      <c r="AE1446" s="137"/>
      <c r="AF1446" s="137"/>
      <c r="AG1446" s="137"/>
    </row>
    <row r="1447" ht="30.0" customHeight="1">
      <c r="A1447" s="248"/>
      <c r="B1447" s="249"/>
      <c r="C1447" s="248"/>
      <c r="D1447" s="249"/>
      <c r="E1447" s="249"/>
      <c r="F1447" s="249"/>
      <c r="G1447" s="250"/>
      <c r="H1447" s="251"/>
      <c r="I1447" s="252"/>
      <c r="J1447" s="252"/>
      <c r="K1447" s="252"/>
      <c r="L1447" s="251"/>
      <c r="M1447" s="251"/>
      <c r="N1447" s="251"/>
      <c r="O1447" s="251"/>
      <c r="P1447" s="251"/>
      <c r="Q1447" s="251"/>
      <c r="R1447" s="251"/>
      <c r="S1447" s="251"/>
      <c r="T1447" s="251"/>
      <c r="U1447" s="251"/>
      <c r="V1447" s="251"/>
      <c r="W1447" s="251"/>
      <c r="X1447" s="251"/>
      <c r="Y1447" s="251"/>
      <c r="Z1447" s="251"/>
      <c r="AA1447" s="137"/>
      <c r="AB1447" s="137"/>
      <c r="AC1447" s="137"/>
      <c r="AD1447" s="137"/>
      <c r="AE1447" s="137"/>
      <c r="AF1447" s="137"/>
      <c r="AG1447" s="137"/>
    </row>
    <row r="1448" ht="30.0" customHeight="1">
      <c r="A1448" s="248"/>
      <c r="B1448" s="249"/>
      <c r="C1448" s="248"/>
      <c r="D1448" s="249"/>
      <c r="E1448" s="249"/>
      <c r="F1448" s="249"/>
      <c r="G1448" s="250"/>
      <c r="H1448" s="251"/>
      <c r="I1448" s="252"/>
      <c r="J1448" s="252"/>
      <c r="K1448" s="252"/>
      <c r="L1448" s="251"/>
      <c r="M1448" s="251"/>
      <c r="N1448" s="251"/>
      <c r="O1448" s="251"/>
      <c r="P1448" s="251"/>
      <c r="Q1448" s="251"/>
      <c r="R1448" s="251"/>
      <c r="S1448" s="251"/>
      <c r="T1448" s="251"/>
      <c r="U1448" s="251"/>
      <c r="V1448" s="251"/>
      <c r="W1448" s="251"/>
      <c r="X1448" s="251"/>
      <c r="Y1448" s="251"/>
      <c r="Z1448" s="251"/>
      <c r="AA1448" s="137"/>
      <c r="AB1448" s="137"/>
      <c r="AC1448" s="137"/>
      <c r="AD1448" s="137"/>
      <c r="AE1448" s="137"/>
      <c r="AF1448" s="137"/>
      <c r="AG1448" s="137"/>
    </row>
    <row r="1449" ht="30.0" customHeight="1">
      <c r="A1449" s="248"/>
      <c r="B1449" s="249"/>
      <c r="C1449" s="248"/>
      <c r="D1449" s="249"/>
      <c r="E1449" s="249"/>
      <c r="F1449" s="249"/>
      <c r="G1449" s="249"/>
      <c r="H1449" s="251"/>
      <c r="I1449" s="252"/>
      <c r="J1449" s="252"/>
      <c r="K1449" s="252"/>
      <c r="L1449" s="251"/>
      <c r="M1449" s="251"/>
      <c r="N1449" s="251"/>
      <c r="O1449" s="251"/>
      <c r="P1449" s="251"/>
      <c r="Q1449" s="251"/>
      <c r="R1449" s="251"/>
      <c r="S1449" s="251"/>
      <c r="T1449" s="251"/>
      <c r="U1449" s="251"/>
      <c r="V1449" s="251"/>
      <c r="W1449" s="251"/>
      <c r="X1449" s="251"/>
      <c r="Y1449" s="251"/>
      <c r="Z1449" s="251"/>
      <c r="AA1449" s="137"/>
      <c r="AB1449" s="137"/>
      <c r="AC1449" s="137"/>
      <c r="AD1449" s="137"/>
      <c r="AE1449" s="137"/>
      <c r="AF1449" s="137"/>
      <c r="AG1449" s="137"/>
    </row>
    <row r="1450" ht="30.0" customHeight="1">
      <c r="A1450" s="248"/>
      <c r="B1450" s="249"/>
      <c r="C1450" s="248"/>
      <c r="D1450" s="249"/>
      <c r="E1450" s="249"/>
      <c r="F1450" s="249"/>
      <c r="G1450" s="250"/>
      <c r="H1450" s="251"/>
      <c r="I1450" s="252"/>
      <c r="J1450" s="252"/>
      <c r="K1450" s="252"/>
      <c r="L1450" s="251"/>
      <c r="M1450" s="251"/>
      <c r="N1450" s="251"/>
      <c r="O1450" s="251"/>
      <c r="P1450" s="251"/>
      <c r="Q1450" s="251"/>
      <c r="R1450" s="251"/>
      <c r="S1450" s="251"/>
      <c r="T1450" s="251"/>
      <c r="U1450" s="251"/>
      <c r="V1450" s="251"/>
      <c r="W1450" s="251"/>
      <c r="X1450" s="251"/>
      <c r="Y1450" s="251"/>
      <c r="Z1450" s="251"/>
      <c r="AA1450" s="137"/>
      <c r="AB1450" s="137"/>
      <c r="AC1450" s="137"/>
      <c r="AD1450" s="137"/>
      <c r="AE1450" s="137"/>
      <c r="AF1450" s="137"/>
      <c r="AG1450" s="137"/>
    </row>
    <row r="1451" ht="30.0" customHeight="1">
      <c r="A1451" s="248"/>
      <c r="B1451" s="249"/>
      <c r="C1451" s="248"/>
      <c r="D1451" s="249"/>
      <c r="E1451" s="249"/>
      <c r="F1451" s="249"/>
      <c r="G1451" s="250"/>
      <c r="H1451" s="251"/>
      <c r="I1451" s="252"/>
      <c r="J1451" s="252"/>
      <c r="K1451" s="252"/>
      <c r="L1451" s="251"/>
      <c r="M1451" s="251"/>
      <c r="N1451" s="251"/>
      <c r="O1451" s="251"/>
      <c r="P1451" s="251"/>
      <c r="Q1451" s="251"/>
      <c r="R1451" s="251"/>
      <c r="S1451" s="251"/>
      <c r="T1451" s="251"/>
      <c r="U1451" s="251"/>
      <c r="V1451" s="251"/>
      <c r="W1451" s="251"/>
      <c r="X1451" s="251"/>
      <c r="Y1451" s="251"/>
      <c r="Z1451" s="251"/>
      <c r="AA1451" s="137"/>
      <c r="AB1451" s="137"/>
      <c r="AC1451" s="137"/>
      <c r="AD1451" s="137"/>
      <c r="AE1451" s="137"/>
      <c r="AF1451" s="137"/>
      <c r="AG1451" s="137"/>
    </row>
    <row r="1452" ht="30.0" customHeight="1">
      <c r="A1452" s="248"/>
      <c r="B1452" s="249"/>
      <c r="C1452" s="248"/>
      <c r="D1452" s="249"/>
      <c r="E1452" s="249"/>
      <c r="F1452" s="249"/>
      <c r="G1452" s="250"/>
      <c r="H1452" s="251"/>
      <c r="I1452" s="252"/>
      <c r="J1452" s="252"/>
      <c r="K1452" s="252"/>
      <c r="L1452" s="251"/>
      <c r="M1452" s="251"/>
      <c r="N1452" s="251"/>
      <c r="O1452" s="251"/>
      <c r="P1452" s="251"/>
      <c r="Q1452" s="251"/>
      <c r="R1452" s="251"/>
      <c r="S1452" s="251"/>
      <c r="T1452" s="251"/>
      <c r="U1452" s="251"/>
      <c r="V1452" s="251"/>
      <c r="W1452" s="251"/>
      <c r="X1452" s="251"/>
      <c r="Y1452" s="251"/>
      <c r="Z1452" s="251"/>
      <c r="AA1452" s="137"/>
      <c r="AB1452" s="137"/>
      <c r="AC1452" s="137"/>
      <c r="AD1452" s="137"/>
      <c r="AE1452" s="137"/>
      <c r="AF1452" s="137"/>
      <c r="AG1452" s="137"/>
    </row>
    <row r="1453" ht="30.0" customHeight="1">
      <c r="A1453" s="248"/>
      <c r="B1453" s="249"/>
      <c r="C1453" s="248"/>
      <c r="D1453" s="249"/>
      <c r="E1453" s="249"/>
      <c r="F1453" s="249"/>
      <c r="G1453" s="250"/>
      <c r="H1453" s="251"/>
      <c r="I1453" s="252"/>
      <c r="J1453" s="252"/>
      <c r="K1453" s="252"/>
      <c r="L1453" s="251"/>
      <c r="M1453" s="251"/>
      <c r="N1453" s="251"/>
      <c r="O1453" s="251"/>
      <c r="P1453" s="251"/>
      <c r="Q1453" s="251"/>
      <c r="R1453" s="251"/>
      <c r="S1453" s="251"/>
      <c r="T1453" s="251"/>
      <c r="U1453" s="251"/>
      <c r="V1453" s="251"/>
      <c r="W1453" s="251"/>
      <c r="X1453" s="251"/>
      <c r="Y1453" s="251"/>
      <c r="Z1453" s="251"/>
      <c r="AA1453" s="137"/>
      <c r="AB1453" s="137"/>
      <c r="AC1453" s="137"/>
      <c r="AD1453" s="137"/>
      <c r="AE1453" s="137"/>
      <c r="AF1453" s="137"/>
      <c r="AG1453" s="137"/>
    </row>
    <row r="1454" ht="30.0" customHeight="1">
      <c r="A1454" s="248"/>
      <c r="B1454" s="249"/>
      <c r="C1454" s="248"/>
      <c r="D1454" s="249"/>
      <c r="E1454" s="249"/>
      <c r="F1454" s="249"/>
      <c r="G1454" s="250"/>
      <c r="H1454" s="251"/>
      <c r="I1454" s="252"/>
      <c r="J1454" s="252"/>
      <c r="K1454" s="252"/>
      <c r="L1454" s="251"/>
      <c r="M1454" s="251"/>
      <c r="N1454" s="251"/>
      <c r="O1454" s="251"/>
      <c r="P1454" s="251"/>
      <c r="Q1454" s="251"/>
      <c r="R1454" s="251"/>
      <c r="S1454" s="251"/>
      <c r="T1454" s="251"/>
      <c r="U1454" s="251"/>
      <c r="V1454" s="251"/>
      <c r="W1454" s="251"/>
      <c r="X1454" s="251"/>
      <c r="Y1454" s="251"/>
      <c r="Z1454" s="251"/>
      <c r="AA1454" s="137"/>
      <c r="AB1454" s="137"/>
      <c r="AC1454" s="137"/>
      <c r="AD1454" s="137"/>
      <c r="AE1454" s="137"/>
      <c r="AF1454" s="137"/>
      <c r="AG1454" s="137"/>
    </row>
    <row r="1455" ht="30.0" customHeight="1">
      <c r="A1455" s="248"/>
      <c r="B1455" s="249"/>
      <c r="C1455" s="248"/>
      <c r="D1455" s="249"/>
      <c r="E1455" s="249"/>
      <c r="F1455" s="249"/>
      <c r="G1455" s="250"/>
      <c r="H1455" s="251"/>
      <c r="I1455" s="252"/>
      <c r="J1455" s="252"/>
      <c r="K1455" s="252"/>
      <c r="L1455" s="251"/>
      <c r="M1455" s="251"/>
      <c r="N1455" s="251"/>
      <c r="O1455" s="251"/>
      <c r="P1455" s="251"/>
      <c r="Q1455" s="251"/>
      <c r="R1455" s="251"/>
      <c r="S1455" s="251"/>
      <c r="T1455" s="251"/>
      <c r="U1455" s="251"/>
      <c r="V1455" s="251"/>
      <c r="W1455" s="251"/>
      <c r="X1455" s="251"/>
      <c r="Y1455" s="251"/>
      <c r="Z1455" s="251"/>
      <c r="AA1455" s="137"/>
      <c r="AB1455" s="137"/>
      <c r="AC1455" s="137"/>
      <c r="AD1455" s="137"/>
      <c r="AE1455" s="137"/>
      <c r="AF1455" s="137"/>
      <c r="AG1455" s="137"/>
    </row>
    <row r="1456" ht="30.0" customHeight="1">
      <c r="A1456" s="248"/>
      <c r="B1456" s="249"/>
      <c r="C1456" s="248"/>
      <c r="D1456" s="249"/>
      <c r="E1456" s="249"/>
      <c r="F1456" s="249"/>
      <c r="G1456" s="250"/>
      <c r="H1456" s="251"/>
      <c r="I1456" s="252"/>
      <c r="J1456" s="252"/>
      <c r="K1456" s="252"/>
      <c r="L1456" s="251"/>
      <c r="M1456" s="251"/>
      <c r="N1456" s="251"/>
      <c r="O1456" s="251"/>
      <c r="P1456" s="251"/>
      <c r="Q1456" s="251"/>
      <c r="R1456" s="251"/>
      <c r="S1456" s="251"/>
      <c r="T1456" s="251"/>
      <c r="U1456" s="251"/>
      <c r="V1456" s="251"/>
      <c r="W1456" s="251"/>
      <c r="X1456" s="251"/>
      <c r="Y1456" s="251"/>
      <c r="Z1456" s="251"/>
      <c r="AA1456" s="137"/>
      <c r="AB1456" s="137"/>
      <c r="AC1456" s="137"/>
      <c r="AD1456" s="137"/>
      <c r="AE1456" s="137"/>
      <c r="AF1456" s="137"/>
      <c r="AG1456" s="137"/>
    </row>
    <row r="1457" ht="30.0" customHeight="1">
      <c r="A1457" s="248"/>
      <c r="B1457" s="249"/>
      <c r="C1457" s="248"/>
      <c r="D1457" s="249"/>
      <c r="E1457" s="249"/>
      <c r="F1457" s="249"/>
      <c r="G1457" s="250"/>
      <c r="H1457" s="251"/>
      <c r="I1457" s="252"/>
      <c r="J1457" s="252"/>
      <c r="K1457" s="252"/>
      <c r="L1457" s="251"/>
      <c r="M1457" s="251"/>
      <c r="N1457" s="251"/>
      <c r="O1457" s="251"/>
      <c r="P1457" s="251"/>
      <c r="Q1457" s="251"/>
      <c r="R1457" s="251"/>
      <c r="S1457" s="251"/>
      <c r="T1457" s="251"/>
      <c r="U1457" s="251"/>
      <c r="V1457" s="251"/>
      <c r="W1457" s="251"/>
      <c r="X1457" s="251"/>
      <c r="Y1457" s="251"/>
      <c r="Z1457" s="251"/>
      <c r="AA1457" s="137"/>
      <c r="AB1457" s="137"/>
      <c r="AC1457" s="137"/>
      <c r="AD1457" s="137"/>
      <c r="AE1457" s="137"/>
      <c r="AF1457" s="137"/>
      <c r="AG1457" s="137"/>
    </row>
    <row r="1458" ht="30.0" customHeight="1">
      <c r="A1458" s="248"/>
      <c r="B1458" s="249"/>
      <c r="C1458" s="248"/>
      <c r="D1458" s="249"/>
      <c r="E1458" s="249"/>
      <c r="F1458" s="249"/>
      <c r="G1458" s="250"/>
      <c r="H1458" s="251"/>
      <c r="I1458" s="252"/>
      <c r="J1458" s="252"/>
      <c r="K1458" s="252"/>
      <c r="L1458" s="251"/>
      <c r="M1458" s="251"/>
      <c r="N1458" s="251"/>
      <c r="O1458" s="251"/>
      <c r="P1458" s="251"/>
      <c r="Q1458" s="251"/>
      <c r="R1458" s="251"/>
      <c r="S1458" s="251"/>
      <c r="T1458" s="251"/>
      <c r="U1458" s="251"/>
      <c r="V1458" s="251"/>
      <c r="W1458" s="251"/>
      <c r="X1458" s="251"/>
      <c r="Y1458" s="251"/>
      <c r="Z1458" s="251"/>
      <c r="AA1458" s="137"/>
      <c r="AB1458" s="137"/>
      <c r="AC1458" s="137"/>
      <c r="AD1458" s="137"/>
      <c r="AE1458" s="137"/>
      <c r="AF1458" s="137"/>
      <c r="AG1458" s="137"/>
    </row>
    <row r="1459" ht="30.0" customHeight="1">
      <c r="A1459" s="248"/>
      <c r="B1459" s="249"/>
      <c r="C1459" s="248"/>
      <c r="D1459" s="249"/>
      <c r="E1459" s="249"/>
      <c r="F1459" s="249"/>
      <c r="G1459" s="250"/>
      <c r="H1459" s="251"/>
      <c r="I1459" s="252"/>
      <c r="J1459" s="252"/>
      <c r="K1459" s="252"/>
      <c r="L1459" s="251"/>
      <c r="M1459" s="251"/>
      <c r="N1459" s="251"/>
      <c r="O1459" s="251"/>
      <c r="P1459" s="251"/>
      <c r="Q1459" s="251"/>
      <c r="R1459" s="251"/>
      <c r="S1459" s="251"/>
      <c r="T1459" s="251"/>
      <c r="U1459" s="251"/>
      <c r="V1459" s="251"/>
      <c r="W1459" s="251"/>
      <c r="X1459" s="251"/>
      <c r="Y1459" s="251"/>
      <c r="Z1459" s="251"/>
      <c r="AA1459" s="137"/>
      <c r="AB1459" s="137"/>
      <c r="AC1459" s="137"/>
      <c r="AD1459" s="137"/>
      <c r="AE1459" s="137"/>
      <c r="AF1459" s="137"/>
      <c r="AG1459" s="137"/>
    </row>
    <row r="1460" ht="30.0" customHeight="1">
      <c r="A1460" s="248"/>
      <c r="B1460" s="249"/>
      <c r="C1460" s="248"/>
      <c r="D1460" s="249"/>
      <c r="E1460" s="249"/>
      <c r="F1460" s="249"/>
      <c r="G1460" s="250"/>
      <c r="H1460" s="251"/>
      <c r="I1460" s="252"/>
      <c r="J1460" s="252"/>
      <c r="K1460" s="252"/>
      <c r="L1460" s="251"/>
      <c r="M1460" s="251"/>
      <c r="N1460" s="251"/>
      <c r="O1460" s="251"/>
      <c r="P1460" s="251"/>
      <c r="Q1460" s="251"/>
      <c r="R1460" s="251"/>
      <c r="S1460" s="251"/>
      <c r="T1460" s="251"/>
      <c r="U1460" s="251"/>
      <c r="V1460" s="251"/>
      <c r="W1460" s="251"/>
      <c r="X1460" s="251"/>
      <c r="Y1460" s="251"/>
      <c r="Z1460" s="251"/>
      <c r="AA1460" s="137"/>
      <c r="AB1460" s="137"/>
      <c r="AC1460" s="137"/>
      <c r="AD1460" s="137"/>
      <c r="AE1460" s="137"/>
      <c r="AF1460" s="137"/>
      <c r="AG1460" s="137"/>
    </row>
    <row r="1461" ht="30.0" customHeight="1">
      <c r="A1461" s="248"/>
      <c r="B1461" s="249"/>
      <c r="C1461" s="248"/>
      <c r="D1461" s="249"/>
      <c r="E1461" s="249"/>
      <c r="F1461" s="249"/>
      <c r="G1461" s="250"/>
      <c r="H1461" s="251"/>
      <c r="I1461" s="252"/>
      <c r="J1461" s="252"/>
      <c r="K1461" s="252"/>
      <c r="L1461" s="251"/>
      <c r="M1461" s="251"/>
      <c r="N1461" s="251"/>
      <c r="O1461" s="251"/>
      <c r="P1461" s="251"/>
      <c r="Q1461" s="251"/>
      <c r="R1461" s="251"/>
      <c r="S1461" s="251"/>
      <c r="T1461" s="251"/>
      <c r="U1461" s="251"/>
      <c r="V1461" s="251"/>
      <c r="W1461" s="251"/>
      <c r="X1461" s="251"/>
      <c r="Y1461" s="251"/>
      <c r="Z1461" s="251"/>
      <c r="AA1461" s="137"/>
      <c r="AB1461" s="137"/>
      <c r="AC1461" s="137"/>
      <c r="AD1461" s="137"/>
      <c r="AE1461" s="137"/>
      <c r="AF1461" s="137"/>
      <c r="AG1461" s="137"/>
    </row>
    <row r="1462" ht="30.0" customHeight="1">
      <c r="A1462" s="248"/>
      <c r="B1462" s="249"/>
      <c r="C1462" s="248"/>
      <c r="D1462" s="249"/>
      <c r="E1462" s="249"/>
      <c r="F1462" s="249"/>
      <c r="G1462" s="250"/>
      <c r="H1462" s="251"/>
      <c r="I1462" s="252"/>
      <c r="J1462" s="252"/>
      <c r="K1462" s="252"/>
      <c r="L1462" s="251"/>
      <c r="M1462" s="251"/>
      <c r="N1462" s="251"/>
      <c r="O1462" s="251"/>
      <c r="P1462" s="251"/>
      <c r="Q1462" s="251"/>
      <c r="R1462" s="251"/>
      <c r="S1462" s="251"/>
      <c r="T1462" s="251"/>
      <c r="U1462" s="251"/>
      <c r="V1462" s="251"/>
      <c r="W1462" s="251"/>
      <c r="X1462" s="251"/>
      <c r="Y1462" s="251"/>
      <c r="Z1462" s="251"/>
      <c r="AA1462" s="137"/>
      <c r="AB1462" s="137"/>
      <c r="AC1462" s="137"/>
      <c r="AD1462" s="137"/>
      <c r="AE1462" s="137"/>
      <c r="AF1462" s="137"/>
      <c r="AG1462" s="137"/>
    </row>
    <row r="1463" ht="30.0" customHeight="1">
      <c r="A1463" s="248"/>
      <c r="B1463" s="249"/>
      <c r="C1463" s="248"/>
      <c r="D1463" s="249"/>
      <c r="E1463" s="249"/>
      <c r="F1463" s="249"/>
      <c r="G1463" s="250"/>
      <c r="H1463" s="251"/>
      <c r="I1463" s="252"/>
      <c r="J1463" s="252"/>
      <c r="K1463" s="252"/>
      <c r="L1463" s="251"/>
      <c r="M1463" s="251"/>
      <c r="N1463" s="251"/>
      <c r="O1463" s="251"/>
      <c r="P1463" s="251"/>
      <c r="Q1463" s="251"/>
      <c r="R1463" s="251"/>
      <c r="S1463" s="251"/>
      <c r="T1463" s="251"/>
      <c r="U1463" s="251"/>
      <c r="V1463" s="251"/>
      <c r="W1463" s="251"/>
      <c r="X1463" s="251"/>
      <c r="Y1463" s="251"/>
      <c r="Z1463" s="251"/>
      <c r="AA1463" s="137"/>
      <c r="AB1463" s="137"/>
      <c r="AC1463" s="137"/>
      <c r="AD1463" s="137"/>
      <c r="AE1463" s="137"/>
      <c r="AF1463" s="137"/>
      <c r="AG1463" s="137"/>
    </row>
    <row r="1464" ht="30.0" customHeight="1">
      <c r="A1464" s="248"/>
      <c r="B1464" s="249"/>
      <c r="C1464" s="248"/>
      <c r="D1464" s="249"/>
      <c r="E1464" s="249"/>
      <c r="F1464" s="249"/>
      <c r="G1464" s="250"/>
      <c r="H1464" s="251"/>
      <c r="I1464" s="252"/>
      <c r="J1464" s="252"/>
      <c r="K1464" s="252"/>
      <c r="L1464" s="251"/>
      <c r="M1464" s="251"/>
      <c r="N1464" s="251"/>
      <c r="O1464" s="251"/>
      <c r="P1464" s="251"/>
      <c r="Q1464" s="251"/>
      <c r="R1464" s="251"/>
      <c r="S1464" s="251"/>
      <c r="T1464" s="251"/>
      <c r="U1464" s="251"/>
      <c r="V1464" s="251"/>
      <c r="W1464" s="251"/>
      <c r="X1464" s="251"/>
      <c r="Y1464" s="251"/>
      <c r="Z1464" s="251"/>
      <c r="AA1464" s="137"/>
      <c r="AB1464" s="137"/>
      <c r="AC1464" s="137"/>
      <c r="AD1464" s="137"/>
      <c r="AE1464" s="137"/>
      <c r="AF1464" s="137"/>
      <c r="AG1464" s="137"/>
    </row>
    <row r="1465" ht="30.0" customHeight="1">
      <c r="A1465" s="248"/>
      <c r="B1465" s="249"/>
      <c r="C1465" s="248"/>
      <c r="D1465" s="249"/>
      <c r="E1465" s="249"/>
      <c r="F1465" s="249"/>
      <c r="G1465" s="250"/>
      <c r="H1465" s="251"/>
      <c r="I1465" s="252"/>
      <c r="J1465" s="252"/>
      <c r="K1465" s="252"/>
      <c r="L1465" s="251"/>
      <c r="M1465" s="251"/>
      <c r="N1465" s="251"/>
      <c r="O1465" s="251"/>
      <c r="P1465" s="251"/>
      <c r="Q1465" s="251"/>
      <c r="R1465" s="251"/>
      <c r="S1465" s="251"/>
      <c r="T1465" s="251"/>
      <c r="U1465" s="251"/>
      <c r="V1465" s="251"/>
      <c r="W1465" s="251"/>
      <c r="X1465" s="251"/>
      <c r="Y1465" s="251"/>
      <c r="Z1465" s="251"/>
      <c r="AA1465" s="137"/>
      <c r="AB1465" s="137"/>
      <c r="AC1465" s="137"/>
      <c r="AD1465" s="137"/>
      <c r="AE1465" s="137"/>
      <c r="AF1465" s="137"/>
      <c r="AG1465" s="137"/>
    </row>
    <row r="1466" ht="30.0" customHeight="1">
      <c r="A1466" s="248"/>
      <c r="B1466" s="249"/>
      <c r="C1466" s="248"/>
      <c r="D1466" s="249"/>
      <c r="E1466" s="249"/>
      <c r="F1466" s="249"/>
      <c r="G1466" s="250"/>
      <c r="H1466" s="251"/>
      <c r="I1466" s="252"/>
      <c r="J1466" s="252"/>
      <c r="K1466" s="252"/>
      <c r="L1466" s="251"/>
      <c r="M1466" s="251"/>
      <c r="N1466" s="251"/>
      <c r="O1466" s="251"/>
      <c r="P1466" s="251"/>
      <c r="Q1466" s="251"/>
      <c r="R1466" s="251"/>
      <c r="S1466" s="251"/>
      <c r="T1466" s="251"/>
      <c r="U1466" s="251"/>
      <c r="V1466" s="251"/>
      <c r="W1466" s="251"/>
      <c r="X1466" s="251"/>
      <c r="Y1466" s="251"/>
      <c r="Z1466" s="251"/>
      <c r="AA1466" s="137"/>
      <c r="AB1466" s="137"/>
      <c r="AC1466" s="137"/>
      <c r="AD1466" s="137"/>
      <c r="AE1466" s="137"/>
      <c r="AF1466" s="137"/>
      <c r="AG1466" s="137"/>
    </row>
    <row r="1467" ht="30.0" customHeight="1">
      <c r="A1467" s="248"/>
      <c r="B1467" s="249"/>
      <c r="C1467" s="248"/>
      <c r="D1467" s="249"/>
      <c r="E1467" s="249"/>
      <c r="F1467" s="249"/>
      <c r="G1467" s="250"/>
      <c r="H1467" s="251"/>
      <c r="I1467" s="252"/>
      <c r="J1467" s="252"/>
      <c r="K1467" s="252"/>
      <c r="L1467" s="251"/>
      <c r="M1467" s="251"/>
      <c r="N1467" s="251"/>
      <c r="O1467" s="251"/>
      <c r="P1467" s="251"/>
      <c r="Q1467" s="251"/>
      <c r="R1467" s="251"/>
      <c r="S1467" s="251"/>
      <c r="T1467" s="251"/>
      <c r="U1467" s="251"/>
      <c r="V1467" s="251"/>
      <c r="W1467" s="251"/>
      <c r="X1467" s="251"/>
      <c r="Y1467" s="251"/>
      <c r="Z1467" s="251"/>
      <c r="AA1467" s="137"/>
      <c r="AB1467" s="137"/>
      <c r="AC1467" s="137"/>
      <c r="AD1467" s="137"/>
      <c r="AE1467" s="137"/>
      <c r="AF1467" s="137"/>
      <c r="AG1467" s="137"/>
    </row>
    <row r="1468" ht="30.0" customHeight="1">
      <c r="A1468" s="248"/>
      <c r="B1468" s="249"/>
      <c r="C1468" s="248"/>
      <c r="D1468" s="249"/>
      <c r="E1468" s="249"/>
      <c r="F1468" s="249"/>
      <c r="G1468" s="250"/>
      <c r="H1468" s="251"/>
      <c r="I1468" s="252"/>
      <c r="J1468" s="252"/>
      <c r="K1468" s="252"/>
      <c r="L1468" s="251"/>
      <c r="M1468" s="251"/>
      <c r="N1468" s="251"/>
      <c r="O1468" s="251"/>
      <c r="P1468" s="251"/>
      <c r="Q1468" s="251"/>
      <c r="R1468" s="251"/>
      <c r="S1468" s="251"/>
      <c r="T1468" s="251"/>
      <c r="U1468" s="251"/>
      <c r="V1468" s="251"/>
      <c r="W1468" s="251"/>
      <c r="X1468" s="251"/>
      <c r="Y1468" s="251"/>
      <c r="Z1468" s="251"/>
      <c r="AA1468" s="137"/>
      <c r="AB1468" s="137"/>
      <c r="AC1468" s="137"/>
      <c r="AD1468" s="137"/>
      <c r="AE1468" s="137"/>
      <c r="AF1468" s="137"/>
      <c r="AG1468" s="137"/>
    </row>
    <row r="1469" ht="30.0" customHeight="1">
      <c r="A1469" s="248"/>
      <c r="B1469" s="249"/>
      <c r="C1469" s="248"/>
      <c r="D1469" s="249"/>
      <c r="E1469" s="249"/>
      <c r="F1469" s="249"/>
      <c r="G1469" s="249"/>
      <c r="H1469" s="251"/>
      <c r="I1469" s="252"/>
      <c r="J1469" s="252"/>
      <c r="K1469" s="252"/>
      <c r="L1469" s="251"/>
      <c r="M1469" s="251"/>
      <c r="N1469" s="251"/>
      <c r="O1469" s="251"/>
      <c r="P1469" s="251"/>
      <c r="Q1469" s="251"/>
      <c r="R1469" s="251"/>
      <c r="S1469" s="251"/>
      <c r="T1469" s="251"/>
      <c r="U1469" s="251"/>
      <c r="V1469" s="251"/>
      <c r="W1469" s="251"/>
      <c r="X1469" s="251"/>
      <c r="Y1469" s="251"/>
      <c r="Z1469" s="251"/>
      <c r="AA1469" s="137"/>
      <c r="AB1469" s="137"/>
      <c r="AC1469" s="137"/>
      <c r="AD1469" s="137"/>
      <c r="AE1469" s="137"/>
      <c r="AF1469" s="137"/>
      <c r="AG1469" s="137"/>
    </row>
    <row r="1470" ht="30.0" customHeight="1">
      <c r="A1470" s="248"/>
      <c r="B1470" s="249"/>
      <c r="C1470" s="248"/>
      <c r="D1470" s="249"/>
      <c r="E1470" s="249"/>
      <c r="F1470" s="249"/>
      <c r="G1470" s="250"/>
      <c r="H1470" s="251"/>
      <c r="I1470" s="252"/>
      <c r="J1470" s="252"/>
      <c r="K1470" s="252"/>
      <c r="L1470" s="251"/>
      <c r="M1470" s="251"/>
      <c r="N1470" s="251"/>
      <c r="O1470" s="251"/>
      <c r="P1470" s="251"/>
      <c r="Q1470" s="251"/>
      <c r="R1470" s="251"/>
      <c r="S1470" s="251"/>
      <c r="T1470" s="251"/>
      <c r="U1470" s="251"/>
      <c r="V1470" s="251"/>
      <c r="W1470" s="251"/>
      <c r="X1470" s="251"/>
      <c r="Y1470" s="251"/>
      <c r="Z1470" s="251"/>
      <c r="AA1470" s="137"/>
      <c r="AB1470" s="137"/>
      <c r="AC1470" s="137"/>
      <c r="AD1470" s="137"/>
      <c r="AE1470" s="137"/>
      <c r="AF1470" s="137"/>
      <c r="AG1470" s="137"/>
    </row>
    <row r="1471" ht="30.0" customHeight="1">
      <c r="A1471" s="248"/>
      <c r="B1471" s="249"/>
      <c r="C1471" s="248"/>
      <c r="D1471" s="249"/>
      <c r="E1471" s="249"/>
      <c r="F1471" s="249"/>
      <c r="G1471" s="250"/>
      <c r="H1471" s="251"/>
      <c r="I1471" s="252"/>
      <c r="J1471" s="252"/>
      <c r="K1471" s="252"/>
      <c r="L1471" s="251"/>
      <c r="M1471" s="251"/>
      <c r="N1471" s="251"/>
      <c r="O1471" s="251"/>
      <c r="P1471" s="251"/>
      <c r="Q1471" s="251"/>
      <c r="R1471" s="251"/>
      <c r="S1471" s="251"/>
      <c r="T1471" s="251"/>
      <c r="U1471" s="251"/>
      <c r="V1471" s="251"/>
      <c r="W1471" s="251"/>
      <c r="X1471" s="251"/>
      <c r="Y1471" s="251"/>
      <c r="Z1471" s="251"/>
      <c r="AA1471" s="137"/>
      <c r="AB1471" s="137"/>
      <c r="AC1471" s="137"/>
      <c r="AD1471" s="137"/>
      <c r="AE1471" s="137"/>
      <c r="AF1471" s="137"/>
      <c r="AG1471" s="137"/>
    </row>
    <row r="1472" ht="30.0" customHeight="1">
      <c r="A1472" s="248"/>
      <c r="B1472" s="249"/>
      <c r="C1472" s="248"/>
      <c r="D1472" s="249"/>
      <c r="E1472" s="249"/>
      <c r="F1472" s="249"/>
      <c r="G1472" s="250"/>
      <c r="H1472" s="251"/>
      <c r="I1472" s="252"/>
      <c r="J1472" s="252"/>
      <c r="K1472" s="252"/>
      <c r="L1472" s="251"/>
      <c r="M1472" s="251"/>
      <c r="N1472" s="251"/>
      <c r="O1472" s="251"/>
      <c r="P1472" s="251"/>
      <c r="Q1472" s="251"/>
      <c r="R1472" s="251"/>
      <c r="S1472" s="251"/>
      <c r="T1472" s="251"/>
      <c r="U1472" s="251"/>
      <c r="V1472" s="251"/>
      <c r="W1472" s="251"/>
      <c r="X1472" s="251"/>
      <c r="Y1472" s="251"/>
      <c r="Z1472" s="251"/>
      <c r="AA1472" s="137"/>
      <c r="AB1472" s="137"/>
      <c r="AC1472" s="137"/>
      <c r="AD1472" s="137"/>
      <c r="AE1472" s="137"/>
      <c r="AF1472" s="137"/>
      <c r="AG1472" s="137"/>
    </row>
    <row r="1473" ht="30.0" customHeight="1">
      <c r="A1473" s="248"/>
      <c r="B1473" s="249"/>
      <c r="C1473" s="248"/>
      <c r="D1473" s="249"/>
      <c r="E1473" s="249"/>
      <c r="F1473" s="249"/>
      <c r="G1473" s="250"/>
      <c r="H1473" s="251"/>
      <c r="I1473" s="252"/>
      <c r="J1473" s="252"/>
      <c r="K1473" s="252"/>
      <c r="L1473" s="251"/>
      <c r="M1473" s="251"/>
      <c r="N1473" s="251"/>
      <c r="O1473" s="251"/>
      <c r="P1473" s="251"/>
      <c r="Q1473" s="251"/>
      <c r="R1473" s="251"/>
      <c r="S1473" s="251"/>
      <c r="T1473" s="251"/>
      <c r="U1473" s="251"/>
      <c r="V1473" s="251"/>
      <c r="W1473" s="251"/>
      <c r="X1473" s="251"/>
      <c r="Y1473" s="251"/>
      <c r="Z1473" s="251"/>
      <c r="AA1473" s="137"/>
      <c r="AB1473" s="137"/>
      <c r="AC1473" s="137"/>
      <c r="AD1473" s="137"/>
      <c r="AE1473" s="137"/>
      <c r="AF1473" s="137"/>
      <c r="AG1473" s="137"/>
    </row>
    <row r="1474" ht="30.0" customHeight="1">
      <c r="A1474" s="248"/>
      <c r="B1474" s="249"/>
      <c r="C1474" s="248"/>
      <c r="D1474" s="249"/>
      <c r="E1474" s="249"/>
      <c r="F1474" s="249"/>
      <c r="G1474" s="250"/>
      <c r="H1474" s="251"/>
      <c r="I1474" s="252"/>
      <c r="J1474" s="252"/>
      <c r="K1474" s="252"/>
      <c r="L1474" s="251"/>
      <c r="M1474" s="251"/>
      <c r="N1474" s="251"/>
      <c r="O1474" s="251"/>
      <c r="P1474" s="251"/>
      <c r="Q1474" s="251"/>
      <c r="R1474" s="251"/>
      <c r="S1474" s="251"/>
      <c r="T1474" s="251"/>
      <c r="U1474" s="251"/>
      <c r="V1474" s="251"/>
      <c r="W1474" s="251"/>
      <c r="X1474" s="251"/>
      <c r="Y1474" s="251"/>
      <c r="Z1474" s="251"/>
      <c r="AA1474" s="137"/>
      <c r="AB1474" s="137"/>
      <c r="AC1474" s="137"/>
      <c r="AD1474" s="137"/>
      <c r="AE1474" s="137"/>
      <c r="AF1474" s="137"/>
      <c r="AG1474" s="137"/>
    </row>
    <row r="1475" ht="30.0" customHeight="1">
      <c r="A1475" s="248"/>
      <c r="B1475" s="249"/>
      <c r="C1475" s="248"/>
      <c r="D1475" s="249"/>
      <c r="E1475" s="249"/>
      <c r="F1475" s="249"/>
      <c r="G1475" s="250"/>
      <c r="H1475" s="251"/>
      <c r="I1475" s="252"/>
      <c r="J1475" s="252"/>
      <c r="K1475" s="252"/>
      <c r="L1475" s="251"/>
      <c r="M1475" s="251"/>
      <c r="N1475" s="251"/>
      <c r="O1475" s="251"/>
      <c r="P1475" s="251"/>
      <c r="Q1475" s="251"/>
      <c r="R1475" s="251"/>
      <c r="S1475" s="251"/>
      <c r="T1475" s="251"/>
      <c r="U1475" s="251"/>
      <c r="V1475" s="251"/>
      <c r="W1475" s="251"/>
      <c r="X1475" s="251"/>
      <c r="Y1475" s="251"/>
      <c r="Z1475" s="251"/>
      <c r="AA1475" s="137"/>
      <c r="AB1475" s="137"/>
      <c r="AC1475" s="137"/>
      <c r="AD1475" s="137"/>
      <c r="AE1475" s="137"/>
      <c r="AF1475" s="137"/>
      <c r="AG1475" s="137"/>
    </row>
    <row r="1476" ht="30.0" customHeight="1">
      <c r="A1476" s="248"/>
      <c r="B1476" s="249"/>
      <c r="C1476" s="248"/>
      <c r="D1476" s="249"/>
      <c r="E1476" s="249"/>
      <c r="F1476" s="249"/>
      <c r="G1476" s="250"/>
      <c r="H1476" s="251"/>
      <c r="I1476" s="252"/>
      <c r="J1476" s="252"/>
      <c r="K1476" s="252"/>
      <c r="L1476" s="251"/>
      <c r="M1476" s="251"/>
      <c r="N1476" s="251"/>
      <c r="O1476" s="251"/>
      <c r="P1476" s="251"/>
      <c r="Q1476" s="251"/>
      <c r="R1476" s="251"/>
      <c r="S1476" s="251"/>
      <c r="T1476" s="251"/>
      <c r="U1476" s="251"/>
      <c r="V1476" s="251"/>
      <c r="W1476" s="251"/>
      <c r="X1476" s="251"/>
      <c r="Y1476" s="251"/>
      <c r="Z1476" s="251"/>
      <c r="AA1476" s="137"/>
      <c r="AB1476" s="137"/>
      <c r="AC1476" s="137"/>
      <c r="AD1476" s="137"/>
      <c r="AE1476" s="137"/>
      <c r="AF1476" s="137"/>
      <c r="AG1476" s="137"/>
    </row>
    <row r="1477" ht="30.0" customHeight="1">
      <c r="A1477" s="248"/>
      <c r="B1477" s="249"/>
      <c r="C1477" s="248"/>
      <c r="D1477" s="249"/>
      <c r="E1477" s="249"/>
      <c r="F1477" s="249"/>
      <c r="G1477" s="250"/>
      <c r="H1477" s="251"/>
      <c r="I1477" s="252"/>
      <c r="J1477" s="252"/>
      <c r="K1477" s="252"/>
      <c r="L1477" s="251"/>
      <c r="M1477" s="251"/>
      <c r="N1477" s="251"/>
      <c r="O1477" s="251"/>
      <c r="P1477" s="251"/>
      <c r="Q1477" s="251"/>
      <c r="R1477" s="251"/>
      <c r="S1477" s="251"/>
      <c r="T1477" s="251"/>
      <c r="U1477" s="251"/>
      <c r="V1477" s="251"/>
      <c r="W1477" s="251"/>
      <c r="X1477" s="251"/>
      <c r="Y1477" s="251"/>
      <c r="Z1477" s="251"/>
      <c r="AA1477" s="137"/>
      <c r="AB1477" s="137"/>
      <c r="AC1477" s="137"/>
      <c r="AD1477" s="137"/>
      <c r="AE1477" s="137"/>
      <c r="AF1477" s="137"/>
      <c r="AG1477" s="137"/>
    </row>
    <row r="1478" ht="30.0" customHeight="1">
      <c r="A1478" s="248"/>
      <c r="B1478" s="249"/>
      <c r="C1478" s="248"/>
      <c r="D1478" s="249"/>
      <c r="E1478" s="249"/>
      <c r="F1478" s="249"/>
      <c r="G1478" s="250"/>
      <c r="H1478" s="251"/>
      <c r="I1478" s="252"/>
      <c r="J1478" s="252"/>
      <c r="K1478" s="252"/>
      <c r="L1478" s="251"/>
      <c r="M1478" s="251"/>
      <c r="N1478" s="251"/>
      <c r="O1478" s="251"/>
      <c r="P1478" s="251"/>
      <c r="Q1478" s="251"/>
      <c r="R1478" s="251"/>
      <c r="S1478" s="251"/>
      <c r="T1478" s="251"/>
      <c r="U1478" s="251"/>
      <c r="V1478" s="251"/>
      <c r="W1478" s="251"/>
      <c r="X1478" s="251"/>
      <c r="Y1478" s="251"/>
      <c r="Z1478" s="251"/>
      <c r="AA1478" s="137"/>
      <c r="AB1478" s="137"/>
      <c r="AC1478" s="137"/>
      <c r="AD1478" s="137"/>
      <c r="AE1478" s="137"/>
      <c r="AF1478" s="137"/>
      <c r="AG1478" s="137"/>
    </row>
    <row r="1479" ht="30.0" customHeight="1">
      <c r="A1479" s="248"/>
      <c r="B1479" s="249"/>
      <c r="C1479" s="248"/>
      <c r="D1479" s="249"/>
      <c r="E1479" s="249"/>
      <c r="F1479" s="249"/>
      <c r="G1479" s="250"/>
      <c r="H1479" s="251"/>
      <c r="I1479" s="252"/>
      <c r="J1479" s="252"/>
      <c r="K1479" s="252"/>
      <c r="L1479" s="251"/>
      <c r="M1479" s="251"/>
      <c r="N1479" s="251"/>
      <c r="O1479" s="251"/>
      <c r="P1479" s="251"/>
      <c r="Q1479" s="251"/>
      <c r="R1479" s="251"/>
      <c r="S1479" s="251"/>
      <c r="T1479" s="251"/>
      <c r="U1479" s="251"/>
      <c r="V1479" s="251"/>
      <c r="W1479" s="251"/>
      <c r="X1479" s="251"/>
      <c r="Y1479" s="251"/>
      <c r="Z1479" s="251"/>
      <c r="AA1479" s="137"/>
      <c r="AB1479" s="137"/>
      <c r="AC1479" s="137"/>
      <c r="AD1479" s="137"/>
      <c r="AE1479" s="137"/>
      <c r="AF1479" s="137"/>
      <c r="AG1479" s="137"/>
    </row>
    <row r="1480" ht="30.0" customHeight="1">
      <c r="A1480" s="248"/>
      <c r="B1480" s="249"/>
      <c r="C1480" s="248"/>
      <c r="D1480" s="249"/>
      <c r="E1480" s="249"/>
      <c r="F1480" s="249"/>
      <c r="G1480" s="250"/>
      <c r="H1480" s="251"/>
      <c r="I1480" s="252"/>
      <c r="J1480" s="252"/>
      <c r="K1480" s="252"/>
      <c r="L1480" s="251"/>
      <c r="M1480" s="251"/>
      <c r="N1480" s="251"/>
      <c r="O1480" s="251"/>
      <c r="P1480" s="251"/>
      <c r="Q1480" s="251"/>
      <c r="R1480" s="251"/>
      <c r="S1480" s="251"/>
      <c r="T1480" s="251"/>
      <c r="U1480" s="251"/>
      <c r="V1480" s="251"/>
      <c r="W1480" s="251"/>
      <c r="X1480" s="251"/>
      <c r="Y1480" s="251"/>
      <c r="Z1480" s="251"/>
      <c r="AA1480" s="137"/>
      <c r="AB1480" s="137"/>
      <c r="AC1480" s="137"/>
      <c r="AD1480" s="137"/>
      <c r="AE1480" s="137"/>
      <c r="AF1480" s="137"/>
      <c r="AG1480" s="137"/>
    </row>
    <row r="1481" ht="30.0" customHeight="1">
      <c r="A1481" s="248"/>
      <c r="B1481" s="249"/>
      <c r="C1481" s="248"/>
      <c r="D1481" s="249"/>
      <c r="E1481" s="249"/>
      <c r="F1481" s="249"/>
      <c r="G1481" s="250"/>
      <c r="H1481" s="251"/>
      <c r="I1481" s="252"/>
      <c r="J1481" s="252"/>
      <c r="K1481" s="252"/>
      <c r="L1481" s="251"/>
      <c r="M1481" s="251"/>
      <c r="N1481" s="251"/>
      <c r="O1481" s="251"/>
      <c r="P1481" s="251"/>
      <c r="Q1481" s="251"/>
      <c r="R1481" s="251"/>
      <c r="S1481" s="251"/>
      <c r="T1481" s="251"/>
      <c r="U1481" s="251"/>
      <c r="V1481" s="251"/>
      <c r="W1481" s="251"/>
      <c r="X1481" s="251"/>
      <c r="Y1481" s="251"/>
      <c r="Z1481" s="251"/>
      <c r="AA1481" s="137"/>
      <c r="AB1481" s="137"/>
      <c r="AC1481" s="137"/>
      <c r="AD1481" s="137"/>
      <c r="AE1481" s="137"/>
      <c r="AF1481" s="137"/>
      <c r="AG1481" s="137"/>
    </row>
    <row r="1482" ht="30.0" customHeight="1">
      <c r="A1482" s="248"/>
      <c r="B1482" s="249"/>
      <c r="C1482" s="248"/>
      <c r="D1482" s="249"/>
      <c r="E1482" s="249"/>
      <c r="F1482" s="249"/>
      <c r="G1482" s="250"/>
      <c r="H1482" s="251"/>
      <c r="I1482" s="252"/>
      <c r="J1482" s="252"/>
      <c r="K1482" s="252"/>
      <c r="L1482" s="251"/>
      <c r="M1482" s="251"/>
      <c r="N1482" s="251"/>
      <c r="O1482" s="251"/>
      <c r="P1482" s="251"/>
      <c r="Q1482" s="251"/>
      <c r="R1482" s="251"/>
      <c r="S1482" s="251"/>
      <c r="T1482" s="251"/>
      <c r="U1482" s="251"/>
      <c r="V1482" s="251"/>
      <c r="W1482" s="251"/>
      <c r="X1482" s="251"/>
      <c r="Y1482" s="251"/>
      <c r="Z1482" s="251"/>
      <c r="AA1482" s="137"/>
      <c r="AB1482" s="137"/>
      <c r="AC1482" s="137"/>
      <c r="AD1482" s="137"/>
      <c r="AE1482" s="137"/>
      <c r="AF1482" s="137"/>
      <c r="AG1482" s="137"/>
    </row>
    <row r="1483" ht="30.0" customHeight="1">
      <c r="A1483" s="248"/>
      <c r="B1483" s="249"/>
      <c r="C1483" s="248"/>
      <c r="D1483" s="249"/>
      <c r="E1483" s="249"/>
      <c r="F1483" s="249"/>
      <c r="G1483" s="250"/>
      <c r="H1483" s="251"/>
      <c r="I1483" s="252"/>
      <c r="J1483" s="252"/>
      <c r="K1483" s="252"/>
      <c r="L1483" s="251"/>
      <c r="M1483" s="251"/>
      <c r="N1483" s="251"/>
      <c r="O1483" s="251"/>
      <c r="P1483" s="251"/>
      <c r="Q1483" s="251"/>
      <c r="R1483" s="251"/>
      <c r="S1483" s="251"/>
      <c r="T1483" s="251"/>
      <c r="U1483" s="251"/>
      <c r="V1483" s="251"/>
      <c r="W1483" s="251"/>
      <c r="X1483" s="251"/>
      <c r="Y1483" s="251"/>
      <c r="Z1483" s="251"/>
      <c r="AA1483" s="137"/>
      <c r="AB1483" s="137"/>
      <c r="AC1483" s="137"/>
      <c r="AD1483" s="137"/>
      <c r="AE1483" s="137"/>
      <c r="AF1483" s="137"/>
      <c r="AG1483" s="137"/>
    </row>
    <row r="1484" ht="30.0" customHeight="1">
      <c r="A1484" s="248"/>
      <c r="B1484" s="249"/>
      <c r="C1484" s="248"/>
      <c r="D1484" s="249"/>
      <c r="E1484" s="249"/>
      <c r="F1484" s="249"/>
      <c r="G1484" s="250"/>
      <c r="H1484" s="251"/>
      <c r="I1484" s="252"/>
      <c r="J1484" s="252"/>
      <c r="K1484" s="252"/>
      <c r="L1484" s="251"/>
      <c r="M1484" s="251"/>
      <c r="N1484" s="251"/>
      <c r="O1484" s="251"/>
      <c r="P1484" s="251"/>
      <c r="Q1484" s="251"/>
      <c r="R1484" s="251"/>
      <c r="S1484" s="251"/>
      <c r="T1484" s="251"/>
      <c r="U1484" s="251"/>
      <c r="V1484" s="251"/>
      <c r="W1484" s="251"/>
      <c r="X1484" s="251"/>
      <c r="Y1484" s="251"/>
      <c r="Z1484" s="251"/>
      <c r="AA1484" s="137"/>
      <c r="AB1484" s="137"/>
      <c r="AC1484" s="137"/>
      <c r="AD1484" s="137"/>
      <c r="AE1484" s="137"/>
      <c r="AF1484" s="137"/>
      <c r="AG1484" s="137"/>
    </row>
    <row r="1485" ht="30.0" customHeight="1">
      <c r="A1485" s="248"/>
      <c r="B1485" s="249"/>
      <c r="C1485" s="248"/>
      <c r="D1485" s="249"/>
      <c r="E1485" s="249"/>
      <c r="F1485" s="249"/>
      <c r="G1485" s="250"/>
      <c r="H1485" s="251"/>
      <c r="I1485" s="252"/>
      <c r="J1485" s="252"/>
      <c r="K1485" s="252"/>
      <c r="L1485" s="251"/>
      <c r="M1485" s="251"/>
      <c r="N1485" s="251"/>
      <c r="O1485" s="251"/>
      <c r="P1485" s="251"/>
      <c r="Q1485" s="251"/>
      <c r="R1485" s="251"/>
      <c r="S1485" s="251"/>
      <c r="T1485" s="251"/>
      <c r="U1485" s="251"/>
      <c r="V1485" s="251"/>
      <c r="W1485" s="251"/>
      <c r="X1485" s="251"/>
      <c r="Y1485" s="251"/>
      <c r="Z1485" s="251"/>
      <c r="AA1485" s="137"/>
      <c r="AB1485" s="137"/>
      <c r="AC1485" s="137"/>
      <c r="AD1485" s="137"/>
      <c r="AE1485" s="137"/>
      <c r="AF1485" s="137"/>
      <c r="AG1485" s="137"/>
    </row>
    <row r="1486" ht="30.0" customHeight="1">
      <c r="A1486" s="248"/>
      <c r="B1486" s="249"/>
      <c r="C1486" s="248"/>
      <c r="D1486" s="249"/>
      <c r="E1486" s="249"/>
      <c r="F1486" s="249"/>
      <c r="G1486" s="250"/>
      <c r="H1486" s="251"/>
      <c r="I1486" s="252"/>
      <c r="J1486" s="252"/>
      <c r="K1486" s="252"/>
      <c r="L1486" s="251"/>
      <c r="M1486" s="251"/>
      <c r="N1486" s="251"/>
      <c r="O1486" s="251"/>
      <c r="P1486" s="251"/>
      <c r="Q1486" s="251"/>
      <c r="R1486" s="251"/>
      <c r="S1486" s="251"/>
      <c r="T1486" s="251"/>
      <c r="U1486" s="251"/>
      <c r="V1486" s="251"/>
      <c r="W1486" s="251"/>
      <c r="X1486" s="251"/>
      <c r="Y1486" s="251"/>
      <c r="Z1486" s="251"/>
      <c r="AA1486" s="137"/>
      <c r="AB1486" s="137"/>
      <c r="AC1486" s="137"/>
      <c r="AD1486" s="137"/>
      <c r="AE1486" s="137"/>
      <c r="AF1486" s="137"/>
      <c r="AG1486" s="137"/>
    </row>
    <row r="1487" ht="30.0" customHeight="1">
      <c r="A1487" s="248"/>
      <c r="B1487" s="249"/>
      <c r="C1487" s="248"/>
      <c r="D1487" s="249"/>
      <c r="E1487" s="249"/>
      <c r="F1487" s="249"/>
      <c r="G1487" s="250"/>
      <c r="H1487" s="251"/>
      <c r="I1487" s="252"/>
      <c r="J1487" s="252"/>
      <c r="K1487" s="252"/>
      <c r="L1487" s="251"/>
      <c r="M1487" s="251"/>
      <c r="N1487" s="251"/>
      <c r="O1487" s="251"/>
      <c r="P1487" s="251"/>
      <c r="Q1487" s="251"/>
      <c r="R1487" s="251"/>
      <c r="S1487" s="251"/>
      <c r="T1487" s="251"/>
      <c r="U1487" s="251"/>
      <c r="V1487" s="251"/>
      <c r="W1487" s="251"/>
      <c r="X1487" s="251"/>
      <c r="Y1487" s="251"/>
      <c r="Z1487" s="251"/>
      <c r="AA1487" s="137"/>
      <c r="AB1487" s="137"/>
      <c r="AC1487" s="137"/>
      <c r="AD1487" s="137"/>
      <c r="AE1487" s="137"/>
      <c r="AF1487" s="137"/>
      <c r="AG1487" s="137"/>
    </row>
    <row r="1488" ht="30.0" customHeight="1">
      <c r="A1488" s="248"/>
      <c r="B1488" s="249"/>
      <c r="C1488" s="248"/>
      <c r="D1488" s="249"/>
      <c r="E1488" s="249"/>
      <c r="F1488" s="249"/>
      <c r="G1488" s="250"/>
      <c r="H1488" s="251"/>
      <c r="I1488" s="252"/>
      <c r="J1488" s="252"/>
      <c r="K1488" s="252"/>
      <c r="L1488" s="251"/>
      <c r="M1488" s="251"/>
      <c r="N1488" s="251"/>
      <c r="O1488" s="251"/>
      <c r="P1488" s="251"/>
      <c r="Q1488" s="251"/>
      <c r="R1488" s="251"/>
      <c r="S1488" s="251"/>
      <c r="T1488" s="251"/>
      <c r="U1488" s="251"/>
      <c r="V1488" s="251"/>
      <c r="W1488" s="251"/>
      <c r="X1488" s="251"/>
      <c r="Y1488" s="251"/>
      <c r="Z1488" s="251"/>
      <c r="AA1488" s="137"/>
      <c r="AB1488" s="137"/>
      <c r="AC1488" s="137"/>
      <c r="AD1488" s="137"/>
      <c r="AE1488" s="137"/>
      <c r="AF1488" s="137"/>
      <c r="AG1488" s="137"/>
    </row>
    <row r="1489" ht="30.0" customHeight="1">
      <c r="A1489" s="248"/>
      <c r="B1489" s="249"/>
      <c r="C1489" s="248"/>
      <c r="D1489" s="249"/>
      <c r="E1489" s="249"/>
      <c r="F1489" s="249"/>
      <c r="G1489" s="250"/>
      <c r="H1489" s="251"/>
      <c r="I1489" s="252"/>
      <c r="J1489" s="252"/>
      <c r="K1489" s="252"/>
      <c r="L1489" s="251"/>
      <c r="M1489" s="251"/>
      <c r="N1489" s="251"/>
      <c r="O1489" s="251"/>
      <c r="P1489" s="251"/>
      <c r="Q1489" s="251"/>
      <c r="R1489" s="251"/>
      <c r="S1489" s="251"/>
      <c r="T1489" s="251"/>
      <c r="U1489" s="251"/>
      <c r="V1489" s="251"/>
      <c r="W1489" s="251"/>
      <c r="X1489" s="251"/>
      <c r="Y1489" s="251"/>
      <c r="Z1489" s="251"/>
      <c r="AA1489" s="137"/>
      <c r="AB1489" s="137"/>
      <c r="AC1489" s="137"/>
      <c r="AD1489" s="137"/>
      <c r="AE1489" s="137"/>
      <c r="AF1489" s="137"/>
      <c r="AG1489" s="137"/>
    </row>
    <row r="1490" ht="30.0" customHeight="1">
      <c r="A1490" s="248"/>
      <c r="B1490" s="249"/>
      <c r="C1490" s="248"/>
      <c r="D1490" s="249"/>
      <c r="E1490" s="249"/>
      <c r="F1490" s="249"/>
      <c r="G1490" s="250"/>
      <c r="H1490" s="251"/>
      <c r="I1490" s="252"/>
      <c r="J1490" s="252"/>
      <c r="K1490" s="252"/>
      <c r="L1490" s="251"/>
      <c r="M1490" s="251"/>
      <c r="N1490" s="251"/>
      <c r="O1490" s="251"/>
      <c r="P1490" s="251"/>
      <c r="Q1490" s="251"/>
      <c r="R1490" s="251"/>
      <c r="S1490" s="251"/>
      <c r="T1490" s="251"/>
      <c r="U1490" s="251"/>
      <c r="V1490" s="251"/>
      <c r="W1490" s="251"/>
      <c r="X1490" s="251"/>
      <c r="Y1490" s="251"/>
      <c r="Z1490" s="251"/>
      <c r="AA1490" s="137"/>
      <c r="AB1490" s="137"/>
      <c r="AC1490" s="137"/>
      <c r="AD1490" s="137"/>
      <c r="AE1490" s="137"/>
      <c r="AF1490" s="137"/>
      <c r="AG1490" s="137"/>
    </row>
    <row r="1491" ht="30.0" customHeight="1">
      <c r="A1491" s="248"/>
      <c r="B1491" s="249"/>
      <c r="C1491" s="248"/>
      <c r="D1491" s="249"/>
      <c r="E1491" s="249"/>
      <c r="F1491" s="249"/>
      <c r="G1491" s="250"/>
      <c r="H1491" s="251"/>
      <c r="I1491" s="252"/>
      <c r="J1491" s="252"/>
      <c r="K1491" s="252"/>
      <c r="L1491" s="251"/>
      <c r="M1491" s="251"/>
      <c r="N1491" s="251"/>
      <c r="O1491" s="251"/>
      <c r="P1491" s="251"/>
      <c r="Q1491" s="251"/>
      <c r="R1491" s="251"/>
      <c r="S1491" s="251"/>
      <c r="T1491" s="251"/>
      <c r="U1491" s="251"/>
      <c r="V1491" s="251"/>
      <c r="W1491" s="251"/>
      <c r="X1491" s="251"/>
      <c r="Y1491" s="251"/>
      <c r="Z1491" s="251"/>
      <c r="AA1491" s="137"/>
      <c r="AB1491" s="137"/>
      <c r="AC1491" s="137"/>
      <c r="AD1491" s="137"/>
      <c r="AE1491" s="137"/>
      <c r="AF1491" s="137"/>
      <c r="AG1491" s="137"/>
    </row>
    <row r="1492" ht="30.0" customHeight="1">
      <c r="A1492" s="248"/>
      <c r="B1492" s="249"/>
      <c r="C1492" s="248"/>
      <c r="D1492" s="249"/>
      <c r="E1492" s="249"/>
      <c r="F1492" s="249"/>
      <c r="G1492" s="250"/>
      <c r="H1492" s="251"/>
      <c r="I1492" s="252"/>
      <c r="J1492" s="252"/>
      <c r="K1492" s="252"/>
      <c r="L1492" s="251"/>
      <c r="M1492" s="251"/>
      <c r="N1492" s="251"/>
      <c r="O1492" s="251"/>
      <c r="P1492" s="251"/>
      <c r="Q1492" s="251"/>
      <c r="R1492" s="251"/>
      <c r="S1492" s="251"/>
      <c r="T1492" s="251"/>
      <c r="U1492" s="251"/>
      <c r="V1492" s="251"/>
      <c r="W1492" s="251"/>
      <c r="X1492" s="251"/>
      <c r="Y1492" s="251"/>
      <c r="Z1492" s="251"/>
      <c r="AA1492" s="137"/>
      <c r="AB1492" s="137"/>
      <c r="AC1492" s="137"/>
      <c r="AD1492" s="137"/>
      <c r="AE1492" s="137"/>
      <c r="AF1492" s="137"/>
      <c r="AG1492" s="137"/>
    </row>
    <row r="1493" ht="30.0" customHeight="1">
      <c r="A1493" s="248"/>
      <c r="B1493" s="249"/>
      <c r="C1493" s="248"/>
      <c r="D1493" s="249"/>
      <c r="E1493" s="249"/>
      <c r="F1493" s="249"/>
      <c r="G1493" s="250"/>
      <c r="H1493" s="251"/>
      <c r="I1493" s="252"/>
      <c r="J1493" s="252"/>
      <c r="K1493" s="252"/>
      <c r="L1493" s="251"/>
      <c r="M1493" s="251"/>
      <c r="N1493" s="251"/>
      <c r="O1493" s="251"/>
      <c r="P1493" s="251"/>
      <c r="Q1493" s="251"/>
      <c r="R1493" s="251"/>
      <c r="S1493" s="251"/>
      <c r="T1493" s="251"/>
      <c r="U1493" s="251"/>
      <c r="V1493" s="251"/>
      <c r="W1493" s="251"/>
      <c r="X1493" s="251"/>
      <c r="Y1493" s="251"/>
      <c r="Z1493" s="251"/>
      <c r="AA1493" s="137"/>
      <c r="AB1493" s="137"/>
      <c r="AC1493" s="137"/>
      <c r="AD1493" s="137"/>
      <c r="AE1493" s="137"/>
      <c r="AF1493" s="137"/>
      <c r="AG1493" s="137"/>
    </row>
    <row r="1494" ht="30.0" customHeight="1">
      <c r="A1494" s="248"/>
      <c r="B1494" s="249"/>
      <c r="C1494" s="248"/>
      <c r="D1494" s="249"/>
      <c r="E1494" s="249"/>
      <c r="F1494" s="249"/>
      <c r="G1494" s="250"/>
      <c r="H1494" s="251"/>
      <c r="I1494" s="252"/>
      <c r="J1494" s="252"/>
      <c r="K1494" s="252"/>
      <c r="L1494" s="251"/>
      <c r="M1494" s="251"/>
      <c r="N1494" s="251"/>
      <c r="O1494" s="251"/>
      <c r="P1494" s="251"/>
      <c r="Q1494" s="251"/>
      <c r="R1494" s="251"/>
      <c r="S1494" s="251"/>
      <c r="T1494" s="251"/>
      <c r="U1494" s="251"/>
      <c r="V1494" s="251"/>
      <c r="W1494" s="251"/>
      <c r="X1494" s="251"/>
      <c r="Y1494" s="251"/>
      <c r="Z1494" s="251"/>
      <c r="AA1494" s="137"/>
      <c r="AB1494" s="137"/>
      <c r="AC1494" s="137"/>
      <c r="AD1494" s="137"/>
      <c r="AE1494" s="137"/>
      <c r="AF1494" s="137"/>
      <c r="AG1494" s="137"/>
    </row>
    <row r="1495" ht="30.0" customHeight="1">
      <c r="A1495" s="248"/>
      <c r="B1495" s="249"/>
      <c r="C1495" s="248"/>
      <c r="D1495" s="249"/>
      <c r="E1495" s="249"/>
      <c r="F1495" s="249"/>
      <c r="G1495" s="250"/>
      <c r="H1495" s="251"/>
      <c r="I1495" s="252"/>
      <c r="J1495" s="252"/>
      <c r="K1495" s="252"/>
      <c r="L1495" s="251"/>
      <c r="M1495" s="251"/>
      <c r="N1495" s="251"/>
      <c r="O1495" s="251"/>
      <c r="P1495" s="251"/>
      <c r="Q1495" s="251"/>
      <c r="R1495" s="251"/>
      <c r="S1495" s="251"/>
      <c r="T1495" s="251"/>
      <c r="U1495" s="251"/>
      <c r="V1495" s="251"/>
      <c r="W1495" s="251"/>
      <c r="X1495" s="251"/>
      <c r="Y1495" s="251"/>
      <c r="Z1495" s="251"/>
      <c r="AA1495" s="137"/>
      <c r="AB1495" s="137"/>
      <c r="AC1495" s="137"/>
      <c r="AD1495" s="137"/>
      <c r="AE1495" s="137"/>
      <c r="AF1495" s="137"/>
      <c r="AG1495" s="137"/>
    </row>
    <row r="1496" ht="30.0" customHeight="1">
      <c r="A1496" s="248"/>
      <c r="B1496" s="249"/>
      <c r="C1496" s="248"/>
      <c r="D1496" s="249"/>
      <c r="E1496" s="249"/>
      <c r="F1496" s="249"/>
      <c r="G1496" s="250"/>
      <c r="H1496" s="251"/>
      <c r="I1496" s="252"/>
      <c r="J1496" s="252"/>
      <c r="K1496" s="252"/>
      <c r="L1496" s="251"/>
      <c r="M1496" s="251"/>
      <c r="N1496" s="251"/>
      <c r="O1496" s="251"/>
      <c r="P1496" s="251"/>
      <c r="Q1496" s="251"/>
      <c r="R1496" s="251"/>
      <c r="S1496" s="251"/>
      <c r="T1496" s="251"/>
      <c r="U1496" s="251"/>
      <c r="V1496" s="251"/>
      <c r="W1496" s="251"/>
      <c r="X1496" s="251"/>
      <c r="Y1496" s="251"/>
      <c r="Z1496" s="251"/>
      <c r="AA1496" s="137"/>
      <c r="AB1496" s="137"/>
      <c r="AC1496" s="137"/>
      <c r="AD1496" s="137"/>
      <c r="AE1496" s="137"/>
      <c r="AF1496" s="137"/>
      <c r="AG1496" s="137"/>
    </row>
    <row r="1497" ht="30.0" customHeight="1">
      <c r="A1497" s="248"/>
      <c r="B1497" s="249"/>
      <c r="C1497" s="248"/>
      <c r="D1497" s="249"/>
      <c r="E1497" s="249"/>
      <c r="F1497" s="249"/>
      <c r="G1497" s="250"/>
      <c r="H1497" s="251"/>
      <c r="I1497" s="252"/>
      <c r="J1497" s="252"/>
      <c r="K1497" s="252"/>
      <c r="L1497" s="251"/>
      <c r="M1497" s="251"/>
      <c r="N1497" s="251"/>
      <c r="O1497" s="251"/>
      <c r="P1497" s="251"/>
      <c r="Q1497" s="251"/>
      <c r="R1497" s="251"/>
      <c r="S1497" s="251"/>
      <c r="T1497" s="251"/>
      <c r="U1497" s="251"/>
      <c r="V1497" s="251"/>
      <c r="W1497" s="251"/>
      <c r="X1497" s="251"/>
      <c r="Y1497" s="251"/>
      <c r="Z1497" s="251"/>
      <c r="AA1497" s="137"/>
      <c r="AB1497" s="137"/>
      <c r="AC1497" s="137"/>
      <c r="AD1497" s="137"/>
      <c r="AE1497" s="137"/>
      <c r="AF1497" s="137"/>
      <c r="AG1497" s="137"/>
    </row>
    <row r="1498" ht="30.0" customHeight="1">
      <c r="A1498" s="248"/>
      <c r="B1498" s="249"/>
      <c r="C1498" s="248"/>
      <c r="D1498" s="249"/>
      <c r="E1498" s="249"/>
      <c r="F1498" s="249"/>
      <c r="G1498" s="250"/>
      <c r="H1498" s="251"/>
      <c r="I1498" s="252"/>
      <c r="J1498" s="252"/>
      <c r="K1498" s="252"/>
      <c r="L1498" s="251"/>
      <c r="M1498" s="251"/>
      <c r="N1498" s="251"/>
      <c r="O1498" s="251"/>
      <c r="P1498" s="251"/>
      <c r="Q1498" s="251"/>
      <c r="R1498" s="251"/>
      <c r="S1498" s="251"/>
      <c r="T1498" s="251"/>
      <c r="U1498" s="251"/>
      <c r="V1498" s="251"/>
      <c r="W1498" s="251"/>
      <c r="X1498" s="251"/>
      <c r="Y1498" s="251"/>
      <c r="Z1498" s="251"/>
      <c r="AA1498" s="137"/>
      <c r="AB1498" s="137"/>
      <c r="AC1498" s="137"/>
      <c r="AD1498" s="137"/>
      <c r="AE1498" s="137"/>
      <c r="AF1498" s="137"/>
      <c r="AG1498" s="137"/>
    </row>
    <row r="1499" ht="30.0" customHeight="1">
      <c r="A1499" s="248"/>
      <c r="B1499" s="249"/>
      <c r="C1499" s="248"/>
      <c r="D1499" s="249"/>
      <c r="E1499" s="249"/>
      <c r="F1499" s="249"/>
      <c r="G1499" s="250"/>
      <c r="H1499" s="251"/>
      <c r="I1499" s="252"/>
      <c r="J1499" s="252"/>
      <c r="K1499" s="252"/>
      <c r="L1499" s="251"/>
      <c r="M1499" s="251"/>
      <c r="N1499" s="251"/>
      <c r="O1499" s="251"/>
      <c r="P1499" s="251"/>
      <c r="Q1499" s="251"/>
      <c r="R1499" s="251"/>
      <c r="S1499" s="251"/>
      <c r="T1499" s="251"/>
      <c r="U1499" s="251"/>
      <c r="V1499" s="251"/>
      <c r="W1499" s="251"/>
      <c r="X1499" s="251"/>
      <c r="Y1499" s="251"/>
      <c r="Z1499" s="251"/>
      <c r="AA1499" s="137"/>
      <c r="AB1499" s="137"/>
      <c r="AC1499" s="137"/>
      <c r="AD1499" s="137"/>
      <c r="AE1499" s="137"/>
      <c r="AF1499" s="137"/>
      <c r="AG1499" s="137"/>
    </row>
    <row r="1500" ht="30.0" customHeight="1">
      <c r="A1500" s="248"/>
      <c r="B1500" s="249"/>
      <c r="C1500" s="248"/>
      <c r="D1500" s="249"/>
      <c r="E1500" s="249"/>
      <c r="F1500" s="249"/>
      <c r="G1500" s="250"/>
      <c r="H1500" s="251"/>
      <c r="I1500" s="252"/>
      <c r="J1500" s="252"/>
      <c r="K1500" s="252"/>
      <c r="L1500" s="251"/>
      <c r="M1500" s="251"/>
      <c r="N1500" s="251"/>
      <c r="O1500" s="251"/>
      <c r="P1500" s="251"/>
      <c r="Q1500" s="251"/>
      <c r="R1500" s="251"/>
      <c r="S1500" s="251"/>
      <c r="T1500" s="251"/>
      <c r="U1500" s="251"/>
      <c r="V1500" s="251"/>
      <c r="W1500" s="251"/>
      <c r="X1500" s="251"/>
      <c r="Y1500" s="251"/>
      <c r="Z1500" s="251"/>
      <c r="AA1500" s="137"/>
      <c r="AB1500" s="137"/>
      <c r="AC1500" s="137"/>
      <c r="AD1500" s="137"/>
      <c r="AE1500" s="137"/>
      <c r="AF1500" s="137"/>
      <c r="AG1500" s="137"/>
    </row>
    <row r="1501" ht="30.0" customHeight="1">
      <c r="A1501" s="248"/>
      <c r="B1501" s="249"/>
      <c r="C1501" s="248"/>
      <c r="D1501" s="249"/>
      <c r="E1501" s="249"/>
      <c r="F1501" s="249"/>
      <c r="G1501" s="250"/>
      <c r="H1501" s="251"/>
      <c r="I1501" s="252"/>
      <c r="J1501" s="252"/>
      <c r="K1501" s="252"/>
      <c r="L1501" s="251"/>
      <c r="M1501" s="251"/>
      <c r="N1501" s="251"/>
      <c r="O1501" s="251"/>
      <c r="P1501" s="251"/>
      <c r="Q1501" s="251"/>
      <c r="R1501" s="251"/>
      <c r="S1501" s="251"/>
      <c r="T1501" s="251"/>
      <c r="U1501" s="251"/>
      <c r="V1501" s="251"/>
      <c r="W1501" s="251"/>
      <c r="X1501" s="251"/>
      <c r="Y1501" s="251"/>
      <c r="Z1501" s="251"/>
      <c r="AA1501" s="137"/>
      <c r="AB1501" s="137"/>
      <c r="AC1501" s="137"/>
      <c r="AD1501" s="137"/>
      <c r="AE1501" s="137"/>
      <c r="AF1501" s="137"/>
      <c r="AG1501" s="137"/>
    </row>
    <row r="1502" ht="30.0" customHeight="1">
      <c r="A1502" s="248"/>
      <c r="B1502" s="249"/>
      <c r="C1502" s="248"/>
      <c r="D1502" s="249"/>
      <c r="E1502" s="249"/>
      <c r="F1502" s="249"/>
      <c r="G1502" s="250"/>
      <c r="H1502" s="251"/>
      <c r="I1502" s="252"/>
      <c r="J1502" s="252"/>
      <c r="K1502" s="252"/>
      <c r="L1502" s="251"/>
      <c r="M1502" s="251"/>
      <c r="N1502" s="251"/>
      <c r="O1502" s="251"/>
      <c r="P1502" s="251"/>
      <c r="Q1502" s="251"/>
      <c r="R1502" s="251"/>
      <c r="S1502" s="251"/>
      <c r="T1502" s="251"/>
      <c r="U1502" s="251"/>
      <c r="V1502" s="251"/>
      <c r="W1502" s="251"/>
      <c r="X1502" s="251"/>
      <c r="Y1502" s="251"/>
      <c r="Z1502" s="251"/>
      <c r="AA1502" s="137"/>
      <c r="AB1502" s="137"/>
      <c r="AC1502" s="137"/>
      <c r="AD1502" s="137"/>
      <c r="AE1502" s="137"/>
      <c r="AF1502" s="137"/>
      <c r="AG1502" s="137"/>
    </row>
    <row r="1503" ht="30.0" customHeight="1">
      <c r="A1503" s="248"/>
      <c r="B1503" s="249"/>
      <c r="C1503" s="248"/>
      <c r="D1503" s="249"/>
      <c r="E1503" s="249"/>
      <c r="F1503" s="249"/>
      <c r="G1503" s="250"/>
      <c r="H1503" s="251"/>
      <c r="I1503" s="252"/>
      <c r="J1503" s="252"/>
      <c r="K1503" s="252"/>
      <c r="L1503" s="251"/>
      <c r="M1503" s="251"/>
      <c r="N1503" s="251"/>
      <c r="O1503" s="251"/>
      <c r="P1503" s="251"/>
      <c r="Q1503" s="251"/>
      <c r="R1503" s="251"/>
      <c r="S1503" s="251"/>
      <c r="T1503" s="251"/>
      <c r="U1503" s="251"/>
      <c r="V1503" s="251"/>
      <c r="W1503" s="251"/>
      <c r="X1503" s="251"/>
      <c r="Y1503" s="251"/>
      <c r="Z1503" s="251"/>
      <c r="AA1503" s="137"/>
      <c r="AB1503" s="137"/>
      <c r="AC1503" s="137"/>
      <c r="AD1503" s="137"/>
      <c r="AE1503" s="137"/>
      <c r="AF1503" s="137"/>
      <c r="AG1503" s="137"/>
    </row>
    <row r="1504" ht="30.0" customHeight="1">
      <c r="A1504" s="248"/>
      <c r="B1504" s="249"/>
      <c r="C1504" s="248"/>
      <c r="D1504" s="249"/>
      <c r="E1504" s="249"/>
      <c r="F1504" s="249"/>
      <c r="G1504" s="250"/>
      <c r="H1504" s="251"/>
      <c r="I1504" s="252"/>
      <c r="J1504" s="252"/>
      <c r="K1504" s="252"/>
      <c r="L1504" s="251"/>
      <c r="M1504" s="251"/>
      <c r="N1504" s="251"/>
      <c r="O1504" s="251"/>
      <c r="P1504" s="251"/>
      <c r="Q1504" s="251"/>
      <c r="R1504" s="251"/>
      <c r="S1504" s="251"/>
      <c r="T1504" s="251"/>
      <c r="U1504" s="251"/>
      <c r="V1504" s="251"/>
      <c r="W1504" s="251"/>
      <c r="X1504" s="251"/>
      <c r="Y1504" s="251"/>
      <c r="Z1504" s="251"/>
      <c r="AA1504" s="137"/>
      <c r="AB1504" s="137"/>
      <c r="AC1504" s="137"/>
      <c r="AD1504" s="137"/>
      <c r="AE1504" s="137"/>
      <c r="AF1504" s="137"/>
      <c r="AG1504" s="137"/>
    </row>
    <row r="1505" ht="30.0" customHeight="1">
      <c r="A1505" s="248"/>
      <c r="B1505" s="249"/>
      <c r="C1505" s="248"/>
      <c r="D1505" s="249"/>
      <c r="E1505" s="249"/>
      <c r="F1505" s="249"/>
      <c r="G1505" s="249"/>
      <c r="H1505" s="251"/>
      <c r="I1505" s="252"/>
      <c r="J1505" s="252"/>
      <c r="K1505" s="252"/>
      <c r="L1505" s="251"/>
      <c r="M1505" s="251"/>
      <c r="N1505" s="251"/>
      <c r="O1505" s="251"/>
      <c r="P1505" s="251"/>
      <c r="Q1505" s="251"/>
      <c r="R1505" s="251"/>
      <c r="S1505" s="251"/>
      <c r="T1505" s="251"/>
      <c r="U1505" s="251"/>
      <c r="V1505" s="251"/>
      <c r="W1505" s="251"/>
      <c r="X1505" s="251"/>
      <c r="Y1505" s="251"/>
      <c r="Z1505" s="251"/>
      <c r="AA1505" s="137"/>
      <c r="AB1505" s="137"/>
      <c r="AC1505" s="137"/>
      <c r="AD1505" s="137"/>
      <c r="AE1505" s="137"/>
      <c r="AF1505" s="137"/>
      <c r="AG1505" s="137"/>
    </row>
    <row r="1506" ht="30.0" customHeight="1">
      <c r="A1506" s="248"/>
      <c r="B1506" s="249"/>
      <c r="C1506" s="248"/>
      <c r="D1506" s="249"/>
      <c r="E1506" s="249"/>
      <c r="F1506" s="249"/>
      <c r="G1506" s="250"/>
      <c r="H1506" s="251"/>
      <c r="I1506" s="252"/>
      <c r="J1506" s="252"/>
      <c r="K1506" s="252"/>
      <c r="L1506" s="251"/>
      <c r="M1506" s="251"/>
      <c r="N1506" s="251"/>
      <c r="O1506" s="251"/>
      <c r="P1506" s="251"/>
      <c r="Q1506" s="251"/>
      <c r="R1506" s="251"/>
      <c r="S1506" s="251"/>
      <c r="T1506" s="251"/>
      <c r="U1506" s="251"/>
      <c r="V1506" s="251"/>
      <c r="W1506" s="251"/>
      <c r="X1506" s="251"/>
      <c r="Y1506" s="251"/>
      <c r="Z1506" s="251"/>
      <c r="AA1506" s="137"/>
      <c r="AB1506" s="137"/>
      <c r="AC1506" s="137"/>
      <c r="AD1506" s="137"/>
      <c r="AE1506" s="137"/>
      <c r="AF1506" s="137"/>
      <c r="AG1506" s="137"/>
    </row>
    <row r="1507" ht="30.0" customHeight="1">
      <c r="A1507" s="248"/>
      <c r="B1507" s="249"/>
      <c r="C1507" s="248"/>
      <c r="D1507" s="249"/>
      <c r="E1507" s="249"/>
      <c r="F1507" s="249"/>
      <c r="G1507" s="250"/>
      <c r="H1507" s="251"/>
      <c r="I1507" s="252"/>
      <c r="J1507" s="252"/>
      <c r="K1507" s="252"/>
      <c r="L1507" s="251"/>
      <c r="M1507" s="251"/>
      <c r="N1507" s="251"/>
      <c r="O1507" s="251"/>
      <c r="P1507" s="251"/>
      <c r="Q1507" s="251"/>
      <c r="R1507" s="251"/>
      <c r="S1507" s="251"/>
      <c r="T1507" s="251"/>
      <c r="U1507" s="251"/>
      <c r="V1507" s="251"/>
      <c r="W1507" s="251"/>
      <c r="X1507" s="251"/>
      <c r="Y1507" s="251"/>
      <c r="Z1507" s="251"/>
      <c r="AA1507" s="137"/>
      <c r="AB1507" s="137"/>
      <c r="AC1507" s="137"/>
      <c r="AD1507" s="137"/>
      <c r="AE1507" s="137"/>
      <c r="AF1507" s="137"/>
      <c r="AG1507" s="137"/>
    </row>
    <row r="1508" ht="30.0" customHeight="1">
      <c r="A1508" s="248"/>
      <c r="B1508" s="249"/>
      <c r="C1508" s="248"/>
      <c r="D1508" s="249"/>
      <c r="E1508" s="249"/>
      <c r="F1508" s="249"/>
      <c r="G1508" s="250"/>
      <c r="H1508" s="251"/>
      <c r="I1508" s="252"/>
      <c r="J1508" s="252"/>
      <c r="K1508" s="252"/>
      <c r="L1508" s="251"/>
      <c r="M1508" s="251"/>
      <c r="N1508" s="251"/>
      <c r="O1508" s="251"/>
      <c r="P1508" s="251"/>
      <c r="Q1508" s="251"/>
      <c r="R1508" s="251"/>
      <c r="S1508" s="251"/>
      <c r="T1508" s="251"/>
      <c r="U1508" s="251"/>
      <c r="V1508" s="251"/>
      <c r="W1508" s="251"/>
      <c r="X1508" s="251"/>
      <c r="Y1508" s="251"/>
      <c r="Z1508" s="251"/>
      <c r="AA1508" s="137"/>
      <c r="AB1508" s="137"/>
      <c r="AC1508" s="137"/>
      <c r="AD1508" s="137"/>
      <c r="AE1508" s="137"/>
      <c r="AF1508" s="137"/>
      <c r="AG1508" s="137"/>
    </row>
    <row r="1509" ht="30.0" customHeight="1">
      <c r="A1509" s="248"/>
      <c r="B1509" s="249"/>
      <c r="C1509" s="248"/>
      <c r="D1509" s="249"/>
      <c r="E1509" s="249"/>
      <c r="F1509" s="249"/>
      <c r="G1509" s="250"/>
      <c r="H1509" s="251"/>
      <c r="I1509" s="252"/>
      <c r="J1509" s="252"/>
      <c r="K1509" s="252"/>
      <c r="L1509" s="251"/>
      <c r="M1509" s="251"/>
      <c r="N1509" s="251"/>
      <c r="O1509" s="251"/>
      <c r="P1509" s="251"/>
      <c r="Q1509" s="251"/>
      <c r="R1509" s="251"/>
      <c r="S1509" s="251"/>
      <c r="T1509" s="251"/>
      <c r="U1509" s="251"/>
      <c r="V1509" s="251"/>
      <c r="W1509" s="251"/>
      <c r="X1509" s="251"/>
      <c r="Y1509" s="251"/>
      <c r="Z1509" s="251"/>
      <c r="AA1509" s="137"/>
      <c r="AB1509" s="137"/>
      <c r="AC1509" s="137"/>
      <c r="AD1509" s="137"/>
      <c r="AE1509" s="137"/>
      <c r="AF1509" s="137"/>
      <c r="AG1509" s="137"/>
    </row>
    <row r="1510" ht="30.0" customHeight="1">
      <c r="A1510" s="248"/>
      <c r="B1510" s="249"/>
      <c r="C1510" s="248"/>
      <c r="D1510" s="249"/>
      <c r="E1510" s="249"/>
      <c r="F1510" s="249"/>
      <c r="G1510" s="250"/>
      <c r="H1510" s="251"/>
      <c r="I1510" s="252"/>
      <c r="J1510" s="252"/>
      <c r="K1510" s="252"/>
      <c r="L1510" s="251"/>
      <c r="M1510" s="251"/>
      <c r="N1510" s="251"/>
      <c r="O1510" s="251"/>
      <c r="P1510" s="251"/>
      <c r="Q1510" s="251"/>
      <c r="R1510" s="251"/>
      <c r="S1510" s="251"/>
      <c r="T1510" s="251"/>
      <c r="U1510" s="251"/>
      <c r="V1510" s="251"/>
      <c r="W1510" s="251"/>
      <c r="X1510" s="251"/>
      <c r="Y1510" s="251"/>
      <c r="Z1510" s="251"/>
      <c r="AA1510" s="137"/>
      <c r="AB1510" s="137"/>
      <c r="AC1510" s="137"/>
      <c r="AD1510" s="137"/>
      <c r="AE1510" s="137"/>
      <c r="AF1510" s="137"/>
      <c r="AG1510" s="137"/>
    </row>
    <row r="1511" ht="30.0" customHeight="1">
      <c r="A1511" s="248"/>
      <c r="B1511" s="249"/>
      <c r="C1511" s="248"/>
      <c r="D1511" s="249"/>
      <c r="E1511" s="249"/>
      <c r="F1511" s="249"/>
      <c r="G1511" s="249"/>
      <c r="H1511" s="251"/>
      <c r="I1511" s="252"/>
      <c r="J1511" s="252"/>
      <c r="K1511" s="252"/>
      <c r="L1511" s="251"/>
      <c r="M1511" s="251"/>
      <c r="N1511" s="251"/>
      <c r="O1511" s="251"/>
      <c r="P1511" s="251"/>
      <c r="Q1511" s="251"/>
      <c r="R1511" s="251"/>
      <c r="S1511" s="251"/>
      <c r="T1511" s="251"/>
      <c r="U1511" s="251"/>
      <c r="V1511" s="251"/>
      <c r="W1511" s="251"/>
      <c r="X1511" s="251"/>
      <c r="Y1511" s="251"/>
      <c r="Z1511" s="251"/>
      <c r="AA1511" s="137"/>
      <c r="AB1511" s="137"/>
      <c r="AC1511" s="137"/>
      <c r="AD1511" s="137"/>
      <c r="AE1511" s="137"/>
      <c r="AF1511" s="137"/>
      <c r="AG1511" s="137"/>
    </row>
    <row r="1512" ht="30.0" customHeight="1">
      <c r="A1512" s="248"/>
      <c r="B1512" s="249"/>
      <c r="C1512" s="248"/>
      <c r="D1512" s="249"/>
      <c r="E1512" s="249"/>
      <c r="F1512" s="249"/>
      <c r="G1512" s="249"/>
      <c r="H1512" s="251"/>
      <c r="I1512" s="252"/>
      <c r="J1512" s="252"/>
      <c r="K1512" s="252"/>
      <c r="L1512" s="251"/>
      <c r="M1512" s="251"/>
      <c r="N1512" s="251"/>
      <c r="O1512" s="251"/>
      <c r="P1512" s="251"/>
      <c r="Q1512" s="251"/>
      <c r="R1512" s="251"/>
      <c r="S1512" s="251"/>
      <c r="T1512" s="251"/>
      <c r="U1512" s="251"/>
      <c r="V1512" s="251"/>
      <c r="W1512" s="251"/>
      <c r="X1512" s="251"/>
      <c r="Y1512" s="251"/>
      <c r="Z1512" s="251"/>
      <c r="AA1512" s="137"/>
      <c r="AB1512" s="137"/>
      <c r="AC1512" s="137"/>
      <c r="AD1512" s="137"/>
      <c r="AE1512" s="137"/>
      <c r="AF1512" s="137"/>
      <c r="AG1512" s="137"/>
    </row>
    <row r="1513" ht="30.0" customHeight="1">
      <c r="A1513" s="248"/>
      <c r="B1513" s="249"/>
      <c r="C1513" s="248"/>
      <c r="D1513" s="249"/>
      <c r="E1513" s="249"/>
      <c r="F1513" s="249"/>
      <c r="G1513" s="249"/>
      <c r="H1513" s="251"/>
      <c r="I1513" s="252"/>
      <c r="J1513" s="252"/>
      <c r="K1513" s="252"/>
      <c r="L1513" s="251"/>
      <c r="M1513" s="251"/>
      <c r="N1513" s="251"/>
      <c r="O1513" s="251"/>
      <c r="P1513" s="251"/>
      <c r="Q1513" s="251"/>
      <c r="R1513" s="251"/>
      <c r="S1513" s="251"/>
      <c r="T1513" s="251"/>
      <c r="U1513" s="251"/>
      <c r="V1513" s="251"/>
      <c r="W1513" s="251"/>
      <c r="X1513" s="251"/>
      <c r="Y1513" s="251"/>
      <c r="Z1513" s="251"/>
      <c r="AA1513" s="137"/>
      <c r="AB1513" s="137"/>
      <c r="AC1513" s="137"/>
      <c r="AD1513" s="137"/>
      <c r="AE1513" s="137"/>
      <c r="AF1513" s="137"/>
      <c r="AG1513" s="137"/>
    </row>
    <row r="1514" ht="30.0" customHeight="1">
      <c r="A1514" s="248"/>
      <c r="B1514" s="249"/>
      <c r="C1514" s="248"/>
      <c r="D1514" s="249"/>
      <c r="E1514" s="249"/>
      <c r="F1514" s="249"/>
      <c r="G1514" s="249"/>
      <c r="H1514" s="251"/>
      <c r="I1514" s="252"/>
      <c r="J1514" s="252"/>
      <c r="K1514" s="252"/>
      <c r="L1514" s="251"/>
      <c r="M1514" s="251"/>
      <c r="N1514" s="251"/>
      <c r="O1514" s="251"/>
      <c r="P1514" s="251"/>
      <c r="Q1514" s="251"/>
      <c r="R1514" s="251"/>
      <c r="S1514" s="251"/>
      <c r="T1514" s="251"/>
      <c r="U1514" s="251"/>
      <c r="V1514" s="251"/>
      <c r="W1514" s="251"/>
      <c r="X1514" s="251"/>
      <c r="Y1514" s="251"/>
      <c r="Z1514" s="251"/>
      <c r="AA1514" s="137"/>
      <c r="AB1514" s="137"/>
      <c r="AC1514" s="137"/>
      <c r="AD1514" s="137"/>
      <c r="AE1514" s="137"/>
      <c r="AF1514" s="137"/>
      <c r="AG1514" s="137"/>
    </row>
    <row r="1515" ht="30.0" customHeight="1">
      <c r="A1515" s="248"/>
      <c r="B1515" s="249"/>
      <c r="C1515" s="248"/>
      <c r="D1515" s="249"/>
      <c r="E1515" s="249"/>
      <c r="F1515" s="249"/>
      <c r="G1515" s="250"/>
      <c r="H1515" s="251"/>
      <c r="I1515" s="252"/>
      <c r="J1515" s="252"/>
      <c r="K1515" s="252"/>
      <c r="L1515" s="251"/>
      <c r="M1515" s="251"/>
      <c r="N1515" s="251"/>
      <c r="O1515" s="251"/>
      <c r="P1515" s="251"/>
      <c r="Q1515" s="251"/>
      <c r="R1515" s="251"/>
      <c r="S1515" s="251"/>
      <c r="T1515" s="251"/>
      <c r="U1515" s="251"/>
      <c r="V1515" s="251"/>
      <c r="W1515" s="251"/>
      <c r="X1515" s="251"/>
      <c r="Y1515" s="251"/>
      <c r="Z1515" s="251"/>
      <c r="AA1515" s="137"/>
      <c r="AB1515" s="137"/>
      <c r="AC1515" s="137"/>
      <c r="AD1515" s="137"/>
      <c r="AE1515" s="137"/>
      <c r="AF1515" s="137"/>
      <c r="AG1515" s="137"/>
    </row>
    <row r="1516" ht="30.0" customHeight="1">
      <c r="A1516" s="248"/>
      <c r="B1516" s="249"/>
      <c r="C1516" s="248"/>
      <c r="D1516" s="249"/>
      <c r="E1516" s="249"/>
      <c r="F1516" s="249"/>
      <c r="G1516" s="250"/>
      <c r="H1516" s="251"/>
      <c r="I1516" s="252"/>
      <c r="J1516" s="252"/>
      <c r="K1516" s="252"/>
      <c r="L1516" s="251"/>
      <c r="M1516" s="251"/>
      <c r="N1516" s="251"/>
      <c r="O1516" s="251"/>
      <c r="P1516" s="251"/>
      <c r="Q1516" s="251"/>
      <c r="R1516" s="251"/>
      <c r="S1516" s="251"/>
      <c r="T1516" s="251"/>
      <c r="U1516" s="251"/>
      <c r="V1516" s="251"/>
      <c r="W1516" s="251"/>
      <c r="X1516" s="251"/>
      <c r="Y1516" s="251"/>
      <c r="Z1516" s="251"/>
      <c r="AA1516" s="137"/>
      <c r="AB1516" s="137"/>
      <c r="AC1516" s="137"/>
      <c r="AD1516" s="137"/>
      <c r="AE1516" s="137"/>
      <c r="AF1516" s="137"/>
      <c r="AG1516" s="137"/>
    </row>
    <row r="1517" ht="30.0" customHeight="1">
      <c r="A1517" s="248"/>
      <c r="B1517" s="249"/>
      <c r="C1517" s="248"/>
      <c r="D1517" s="249"/>
      <c r="E1517" s="249"/>
      <c r="F1517" s="249"/>
      <c r="G1517" s="250"/>
      <c r="H1517" s="251"/>
      <c r="I1517" s="252"/>
      <c r="J1517" s="252"/>
      <c r="K1517" s="252"/>
      <c r="L1517" s="251"/>
      <c r="M1517" s="251"/>
      <c r="N1517" s="251"/>
      <c r="O1517" s="251"/>
      <c r="P1517" s="251"/>
      <c r="Q1517" s="251"/>
      <c r="R1517" s="251"/>
      <c r="S1517" s="251"/>
      <c r="T1517" s="251"/>
      <c r="U1517" s="251"/>
      <c r="V1517" s="251"/>
      <c r="W1517" s="251"/>
      <c r="X1517" s="251"/>
      <c r="Y1517" s="251"/>
      <c r="Z1517" s="251"/>
      <c r="AA1517" s="137"/>
      <c r="AB1517" s="137"/>
      <c r="AC1517" s="137"/>
      <c r="AD1517" s="137"/>
      <c r="AE1517" s="137"/>
      <c r="AF1517" s="137"/>
      <c r="AG1517" s="137"/>
    </row>
    <row r="1518" ht="30.0" customHeight="1">
      <c r="A1518" s="248"/>
      <c r="B1518" s="249"/>
      <c r="C1518" s="248"/>
      <c r="D1518" s="249"/>
      <c r="E1518" s="249"/>
      <c r="F1518" s="249"/>
      <c r="G1518" s="250"/>
      <c r="H1518" s="251"/>
      <c r="I1518" s="252"/>
      <c r="J1518" s="252"/>
      <c r="K1518" s="252"/>
      <c r="L1518" s="251"/>
      <c r="M1518" s="251"/>
      <c r="N1518" s="251"/>
      <c r="O1518" s="251"/>
      <c r="P1518" s="251"/>
      <c r="Q1518" s="251"/>
      <c r="R1518" s="251"/>
      <c r="S1518" s="251"/>
      <c r="T1518" s="251"/>
      <c r="U1518" s="251"/>
      <c r="V1518" s="251"/>
      <c r="W1518" s="251"/>
      <c r="X1518" s="251"/>
      <c r="Y1518" s="251"/>
      <c r="Z1518" s="251"/>
      <c r="AA1518" s="137"/>
      <c r="AB1518" s="137"/>
      <c r="AC1518" s="137"/>
      <c r="AD1518" s="137"/>
      <c r="AE1518" s="137"/>
      <c r="AF1518" s="137"/>
      <c r="AG1518" s="137"/>
    </row>
    <row r="1519" ht="30.0" customHeight="1">
      <c r="A1519" s="248"/>
      <c r="B1519" s="249"/>
      <c r="C1519" s="248"/>
      <c r="D1519" s="249"/>
      <c r="E1519" s="249"/>
      <c r="F1519" s="249"/>
      <c r="G1519" s="250"/>
      <c r="H1519" s="251"/>
      <c r="I1519" s="252"/>
      <c r="J1519" s="252"/>
      <c r="K1519" s="252"/>
      <c r="L1519" s="251"/>
      <c r="M1519" s="251"/>
      <c r="N1519" s="251"/>
      <c r="O1519" s="251"/>
      <c r="P1519" s="251"/>
      <c r="Q1519" s="251"/>
      <c r="R1519" s="251"/>
      <c r="S1519" s="251"/>
      <c r="T1519" s="251"/>
      <c r="U1519" s="251"/>
      <c r="V1519" s="251"/>
      <c r="W1519" s="251"/>
      <c r="X1519" s="251"/>
      <c r="Y1519" s="251"/>
      <c r="Z1519" s="251"/>
      <c r="AA1519" s="137"/>
      <c r="AB1519" s="137"/>
      <c r="AC1519" s="137"/>
      <c r="AD1519" s="137"/>
      <c r="AE1519" s="137"/>
      <c r="AF1519" s="137"/>
      <c r="AG1519" s="137"/>
    </row>
    <row r="1520" ht="30.0" customHeight="1">
      <c r="A1520" s="248"/>
      <c r="B1520" s="249"/>
      <c r="C1520" s="248"/>
      <c r="D1520" s="249"/>
      <c r="E1520" s="249"/>
      <c r="F1520" s="249"/>
      <c r="G1520" s="250"/>
      <c r="H1520" s="251"/>
      <c r="I1520" s="252"/>
      <c r="J1520" s="252"/>
      <c r="K1520" s="252"/>
      <c r="L1520" s="251"/>
      <c r="M1520" s="251"/>
      <c r="N1520" s="251"/>
      <c r="O1520" s="251"/>
      <c r="P1520" s="251"/>
      <c r="Q1520" s="251"/>
      <c r="R1520" s="251"/>
      <c r="S1520" s="251"/>
      <c r="T1520" s="251"/>
      <c r="U1520" s="251"/>
      <c r="V1520" s="251"/>
      <c r="W1520" s="251"/>
      <c r="X1520" s="251"/>
      <c r="Y1520" s="251"/>
      <c r="Z1520" s="251"/>
      <c r="AA1520" s="137"/>
      <c r="AB1520" s="137"/>
      <c r="AC1520" s="137"/>
      <c r="AD1520" s="137"/>
      <c r="AE1520" s="137"/>
      <c r="AF1520" s="137"/>
      <c r="AG1520" s="137"/>
    </row>
    <row r="1521" ht="30.0" customHeight="1">
      <c r="A1521" s="248"/>
      <c r="B1521" s="249"/>
      <c r="C1521" s="248"/>
      <c r="D1521" s="249"/>
      <c r="E1521" s="249"/>
      <c r="F1521" s="249"/>
      <c r="G1521" s="249"/>
      <c r="H1521" s="251"/>
      <c r="I1521" s="252"/>
      <c r="J1521" s="252"/>
      <c r="K1521" s="252"/>
      <c r="L1521" s="251"/>
      <c r="M1521" s="251"/>
      <c r="N1521" s="251"/>
      <c r="O1521" s="251"/>
      <c r="P1521" s="251"/>
      <c r="Q1521" s="251"/>
      <c r="R1521" s="251"/>
      <c r="S1521" s="251"/>
      <c r="T1521" s="251"/>
      <c r="U1521" s="251"/>
      <c r="V1521" s="251"/>
      <c r="W1521" s="251"/>
      <c r="X1521" s="251"/>
      <c r="Y1521" s="251"/>
      <c r="Z1521" s="251"/>
      <c r="AA1521" s="137"/>
      <c r="AB1521" s="137"/>
      <c r="AC1521" s="137"/>
      <c r="AD1521" s="137"/>
      <c r="AE1521" s="137"/>
      <c r="AF1521" s="137"/>
      <c r="AG1521" s="137"/>
    </row>
    <row r="1522" ht="30.0" customHeight="1">
      <c r="A1522" s="248"/>
      <c r="B1522" s="249"/>
      <c r="C1522" s="248"/>
      <c r="D1522" s="249"/>
      <c r="E1522" s="249"/>
      <c r="F1522" s="249"/>
      <c r="G1522" s="249"/>
      <c r="H1522" s="251"/>
      <c r="I1522" s="252"/>
      <c r="J1522" s="252"/>
      <c r="K1522" s="252"/>
      <c r="L1522" s="251"/>
      <c r="M1522" s="251"/>
      <c r="N1522" s="251"/>
      <c r="O1522" s="251"/>
      <c r="P1522" s="251"/>
      <c r="Q1522" s="251"/>
      <c r="R1522" s="251"/>
      <c r="S1522" s="251"/>
      <c r="T1522" s="251"/>
      <c r="U1522" s="251"/>
      <c r="V1522" s="251"/>
      <c r="W1522" s="251"/>
      <c r="X1522" s="251"/>
      <c r="Y1522" s="251"/>
      <c r="Z1522" s="251"/>
      <c r="AA1522" s="137"/>
      <c r="AB1522" s="137"/>
      <c r="AC1522" s="137"/>
      <c r="AD1522" s="137"/>
      <c r="AE1522" s="137"/>
      <c r="AF1522" s="137"/>
      <c r="AG1522" s="137"/>
    </row>
    <row r="1523" ht="30.0" customHeight="1">
      <c r="A1523" s="248"/>
      <c r="B1523" s="249"/>
      <c r="C1523" s="248"/>
      <c r="D1523" s="249"/>
      <c r="E1523" s="249"/>
      <c r="F1523" s="249"/>
      <c r="G1523" s="249"/>
      <c r="H1523" s="251"/>
      <c r="I1523" s="252"/>
      <c r="J1523" s="252"/>
      <c r="K1523" s="252"/>
      <c r="L1523" s="251"/>
      <c r="M1523" s="251"/>
      <c r="N1523" s="251"/>
      <c r="O1523" s="251"/>
      <c r="P1523" s="251"/>
      <c r="Q1523" s="251"/>
      <c r="R1523" s="251"/>
      <c r="S1523" s="251"/>
      <c r="T1523" s="251"/>
      <c r="U1523" s="251"/>
      <c r="V1523" s="251"/>
      <c r="W1523" s="251"/>
      <c r="X1523" s="251"/>
      <c r="Y1523" s="251"/>
      <c r="Z1523" s="251"/>
      <c r="AA1523" s="137"/>
      <c r="AB1523" s="137"/>
      <c r="AC1523" s="137"/>
      <c r="AD1523" s="137"/>
      <c r="AE1523" s="137"/>
      <c r="AF1523" s="137"/>
      <c r="AG1523" s="137"/>
    </row>
    <row r="1524" ht="30.0" customHeight="1">
      <c r="A1524" s="248"/>
      <c r="B1524" s="249"/>
      <c r="C1524" s="248"/>
      <c r="D1524" s="249"/>
      <c r="E1524" s="249"/>
      <c r="F1524" s="249"/>
      <c r="G1524" s="250"/>
      <c r="H1524" s="251"/>
      <c r="I1524" s="252"/>
      <c r="J1524" s="252"/>
      <c r="K1524" s="252"/>
      <c r="L1524" s="251"/>
      <c r="M1524" s="251"/>
      <c r="N1524" s="251"/>
      <c r="O1524" s="251"/>
      <c r="P1524" s="251"/>
      <c r="Q1524" s="251"/>
      <c r="R1524" s="251"/>
      <c r="S1524" s="251"/>
      <c r="T1524" s="251"/>
      <c r="U1524" s="251"/>
      <c r="V1524" s="251"/>
      <c r="W1524" s="251"/>
      <c r="X1524" s="251"/>
      <c r="Y1524" s="251"/>
      <c r="Z1524" s="251"/>
      <c r="AA1524" s="137"/>
      <c r="AB1524" s="137"/>
      <c r="AC1524" s="137"/>
      <c r="AD1524" s="137"/>
      <c r="AE1524" s="137"/>
      <c r="AF1524" s="137"/>
      <c r="AG1524" s="137"/>
    </row>
    <row r="1525" ht="30.0" customHeight="1">
      <c r="A1525" s="248"/>
      <c r="B1525" s="249"/>
      <c r="C1525" s="248"/>
      <c r="D1525" s="249"/>
      <c r="E1525" s="249"/>
      <c r="F1525" s="249"/>
      <c r="G1525" s="250"/>
      <c r="H1525" s="251"/>
      <c r="I1525" s="252"/>
      <c r="J1525" s="252"/>
      <c r="K1525" s="252"/>
      <c r="L1525" s="251"/>
      <c r="M1525" s="251"/>
      <c r="N1525" s="251"/>
      <c r="O1525" s="251"/>
      <c r="P1525" s="251"/>
      <c r="Q1525" s="251"/>
      <c r="R1525" s="251"/>
      <c r="S1525" s="251"/>
      <c r="T1525" s="251"/>
      <c r="U1525" s="251"/>
      <c r="V1525" s="251"/>
      <c r="W1525" s="251"/>
      <c r="X1525" s="251"/>
      <c r="Y1525" s="251"/>
      <c r="Z1525" s="251"/>
      <c r="AA1525" s="137"/>
      <c r="AB1525" s="137"/>
      <c r="AC1525" s="137"/>
      <c r="AD1525" s="137"/>
      <c r="AE1525" s="137"/>
      <c r="AF1525" s="137"/>
      <c r="AG1525" s="137"/>
    </row>
    <row r="1526" ht="30.0" customHeight="1">
      <c r="A1526" s="248"/>
      <c r="B1526" s="249"/>
      <c r="C1526" s="248"/>
      <c r="D1526" s="249"/>
      <c r="E1526" s="249"/>
      <c r="F1526" s="249"/>
      <c r="G1526" s="250"/>
      <c r="H1526" s="251"/>
      <c r="I1526" s="252"/>
      <c r="J1526" s="252"/>
      <c r="K1526" s="252"/>
      <c r="L1526" s="251"/>
      <c r="M1526" s="251"/>
      <c r="N1526" s="251"/>
      <c r="O1526" s="251"/>
      <c r="P1526" s="251"/>
      <c r="Q1526" s="251"/>
      <c r="R1526" s="251"/>
      <c r="S1526" s="251"/>
      <c r="T1526" s="251"/>
      <c r="U1526" s="251"/>
      <c r="V1526" s="251"/>
      <c r="W1526" s="251"/>
      <c r="X1526" s="251"/>
      <c r="Y1526" s="251"/>
      <c r="Z1526" s="251"/>
      <c r="AA1526" s="137"/>
      <c r="AB1526" s="137"/>
      <c r="AC1526" s="137"/>
      <c r="AD1526" s="137"/>
      <c r="AE1526" s="137"/>
      <c r="AF1526" s="137"/>
      <c r="AG1526" s="137"/>
    </row>
    <row r="1527" ht="30.0" customHeight="1">
      <c r="A1527" s="248"/>
      <c r="B1527" s="249"/>
      <c r="C1527" s="248"/>
      <c r="D1527" s="249"/>
      <c r="E1527" s="249"/>
      <c r="F1527" s="249"/>
      <c r="G1527" s="250"/>
      <c r="H1527" s="251"/>
      <c r="I1527" s="252"/>
      <c r="J1527" s="252"/>
      <c r="K1527" s="252"/>
      <c r="L1527" s="251"/>
      <c r="M1527" s="251"/>
      <c r="N1527" s="251"/>
      <c r="O1527" s="251"/>
      <c r="P1527" s="251"/>
      <c r="Q1527" s="251"/>
      <c r="R1527" s="251"/>
      <c r="S1527" s="251"/>
      <c r="T1527" s="251"/>
      <c r="U1527" s="251"/>
      <c r="V1527" s="251"/>
      <c r="W1527" s="251"/>
      <c r="X1527" s="251"/>
      <c r="Y1527" s="251"/>
      <c r="Z1527" s="251"/>
      <c r="AA1527" s="137"/>
      <c r="AB1527" s="137"/>
      <c r="AC1527" s="137"/>
      <c r="AD1527" s="137"/>
      <c r="AE1527" s="137"/>
      <c r="AF1527" s="137"/>
      <c r="AG1527" s="137"/>
    </row>
    <row r="1528" ht="30.0" customHeight="1">
      <c r="A1528" s="248"/>
      <c r="B1528" s="249"/>
      <c r="C1528" s="248"/>
      <c r="D1528" s="249"/>
      <c r="E1528" s="249"/>
      <c r="F1528" s="249"/>
      <c r="G1528" s="250"/>
      <c r="H1528" s="251"/>
      <c r="I1528" s="252"/>
      <c r="J1528" s="252"/>
      <c r="K1528" s="252"/>
      <c r="L1528" s="251"/>
      <c r="M1528" s="251"/>
      <c r="N1528" s="251"/>
      <c r="O1528" s="251"/>
      <c r="P1528" s="251"/>
      <c r="Q1528" s="251"/>
      <c r="R1528" s="251"/>
      <c r="S1528" s="251"/>
      <c r="T1528" s="251"/>
      <c r="U1528" s="251"/>
      <c r="V1528" s="251"/>
      <c r="W1528" s="251"/>
      <c r="X1528" s="251"/>
      <c r="Y1528" s="251"/>
      <c r="Z1528" s="251"/>
      <c r="AA1528" s="137"/>
      <c r="AB1528" s="137"/>
      <c r="AC1528" s="137"/>
      <c r="AD1528" s="137"/>
      <c r="AE1528" s="137"/>
      <c r="AF1528" s="137"/>
      <c r="AG1528" s="137"/>
    </row>
    <row r="1529" ht="30.0" customHeight="1">
      <c r="A1529" s="248"/>
      <c r="B1529" s="249"/>
      <c r="C1529" s="248"/>
      <c r="D1529" s="249"/>
      <c r="E1529" s="249"/>
      <c r="F1529" s="249"/>
      <c r="G1529" s="250"/>
      <c r="H1529" s="251"/>
      <c r="I1529" s="252"/>
      <c r="J1529" s="252"/>
      <c r="K1529" s="252"/>
      <c r="L1529" s="251"/>
      <c r="M1529" s="251"/>
      <c r="N1529" s="251"/>
      <c r="O1529" s="251"/>
      <c r="P1529" s="251"/>
      <c r="Q1529" s="251"/>
      <c r="R1529" s="251"/>
      <c r="S1529" s="251"/>
      <c r="T1529" s="251"/>
      <c r="U1529" s="251"/>
      <c r="V1529" s="251"/>
      <c r="W1529" s="251"/>
      <c r="X1529" s="251"/>
      <c r="Y1529" s="251"/>
      <c r="Z1529" s="251"/>
      <c r="AA1529" s="137"/>
      <c r="AB1529" s="137"/>
      <c r="AC1529" s="137"/>
      <c r="AD1529" s="137"/>
      <c r="AE1529" s="137"/>
      <c r="AF1529" s="137"/>
      <c r="AG1529" s="137"/>
    </row>
    <row r="1530" ht="30.0" customHeight="1">
      <c r="A1530" s="248"/>
      <c r="B1530" s="249"/>
      <c r="C1530" s="248"/>
      <c r="D1530" s="249"/>
      <c r="E1530" s="249"/>
      <c r="F1530" s="249"/>
      <c r="G1530" s="249"/>
      <c r="H1530" s="251"/>
      <c r="I1530" s="252"/>
      <c r="J1530" s="252"/>
      <c r="K1530" s="252"/>
      <c r="L1530" s="251"/>
      <c r="M1530" s="251"/>
      <c r="N1530" s="251"/>
      <c r="O1530" s="251"/>
      <c r="P1530" s="251"/>
      <c r="Q1530" s="251"/>
      <c r="R1530" s="251"/>
      <c r="S1530" s="251"/>
      <c r="T1530" s="251"/>
      <c r="U1530" s="251"/>
      <c r="V1530" s="251"/>
      <c r="W1530" s="251"/>
      <c r="X1530" s="251"/>
      <c r="Y1530" s="251"/>
      <c r="Z1530" s="251"/>
      <c r="AA1530" s="137"/>
      <c r="AB1530" s="137"/>
      <c r="AC1530" s="137"/>
      <c r="AD1530" s="137"/>
      <c r="AE1530" s="137"/>
      <c r="AF1530" s="137"/>
      <c r="AG1530" s="137"/>
    </row>
    <row r="1531" ht="30.0" customHeight="1">
      <c r="A1531" s="248"/>
      <c r="B1531" s="249"/>
      <c r="C1531" s="248"/>
      <c r="D1531" s="249"/>
      <c r="E1531" s="249"/>
      <c r="F1531" s="249"/>
      <c r="G1531" s="249"/>
      <c r="H1531" s="251"/>
      <c r="I1531" s="252"/>
      <c r="J1531" s="252"/>
      <c r="K1531" s="252"/>
      <c r="L1531" s="251"/>
      <c r="M1531" s="251"/>
      <c r="N1531" s="251"/>
      <c r="O1531" s="251"/>
      <c r="P1531" s="251"/>
      <c r="Q1531" s="251"/>
      <c r="R1531" s="251"/>
      <c r="S1531" s="251"/>
      <c r="T1531" s="251"/>
      <c r="U1531" s="251"/>
      <c r="V1531" s="251"/>
      <c r="W1531" s="251"/>
      <c r="X1531" s="251"/>
      <c r="Y1531" s="251"/>
      <c r="Z1531" s="251"/>
      <c r="AA1531" s="137"/>
      <c r="AB1531" s="137"/>
      <c r="AC1531" s="137"/>
      <c r="AD1531" s="137"/>
      <c r="AE1531" s="137"/>
      <c r="AF1531" s="137"/>
      <c r="AG1531" s="137"/>
    </row>
    <row r="1532" ht="30.0" customHeight="1">
      <c r="A1532" s="248"/>
      <c r="B1532" s="249"/>
      <c r="C1532" s="248"/>
      <c r="D1532" s="249"/>
      <c r="E1532" s="249"/>
      <c r="F1532" s="249"/>
      <c r="G1532" s="249"/>
      <c r="H1532" s="251"/>
      <c r="I1532" s="252"/>
      <c r="J1532" s="252"/>
      <c r="K1532" s="252"/>
      <c r="L1532" s="251"/>
      <c r="M1532" s="251"/>
      <c r="N1532" s="251"/>
      <c r="O1532" s="251"/>
      <c r="P1532" s="251"/>
      <c r="Q1532" s="251"/>
      <c r="R1532" s="251"/>
      <c r="S1532" s="251"/>
      <c r="T1532" s="251"/>
      <c r="U1532" s="251"/>
      <c r="V1532" s="251"/>
      <c r="W1532" s="251"/>
      <c r="X1532" s="251"/>
      <c r="Y1532" s="251"/>
      <c r="Z1532" s="251"/>
      <c r="AA1532" s="137"/>
      <c r="AB1532" s="137"/>
      <c r="AC1532" s="137"/>
      <c r="AD1532" s="137"/>
      <c r="AE1532" s="137"/>
      <c r="AF1532" s="137"/>
      <c r="AG1532" s="137"/>
    </row>
    <row r="1533" ht="30.0" customHeight="1">
      <c r="A1533" s="248"/>
      <c r="B1533" s="249"/>
      <c r="C1533" s="248"/>
      <c r="D1533" s="249"/>
      <c r="E1533" s="249"/>
      <c r="F1533" s="249"/>
      <c r="G1533" s="250"/>
      <c r="H1533" s="251"/>
      <c r="I1533" s="252"/>
      <c r="J1533" s="252"/>
      <c r="K1533" s="252"/>
      <c r="L1533" s="251"/>
      <c r="M1533" s="251"/>
      <c r="N1533" s="251"/>
      <c r="O1533" s="251"/>
      <c r="P1533" s="251"/>
      <c r="Q1533" s="251"/>
      <c r="R1533" s="251"/>
      <c r="S1533" s="251"/>
      <c r="T1533" s="251"/>
      <c r="U1533" s="251"/>
      <c r="V1533" s="251"/>
      <c r="W1533" s="251"/>
      <c r="X1533" s="251"/>
      <c r="Y1533" s="251"/>
      <c r="Z1533" s="251"/>
      <c r="AA1533" s="137"/>
      <c r="AB1533" s="137"/>
      <c r="AC1533" s="137"/>
      <c r="AD1533" s="137"/>
      <c r="AE1533" s="137"/>
      <c r="AF1533" s="137"/>
      <c r="AG1533" s="137"/>
    </row>
    <row r="1534" ht="30.0" customHeight="1">
      <c r="A1534" s="248"/>
      <c r="B1534" s="249"/>
      <c r="C1534" s="248"/>
      <c r="D1534" s="249"/>
      <c r="E1534" s="249"/>
      <c r="F1534" s="249"/>
      <c r="G1534" s="250"/>
      <c r="H1534" s="251"/>
      <c r="I1534" s="252"/>
      <c r="J1534" s="252"/>
      <c r="K1534" s="252"/>
      <c r="L1534" s="251"/>
      <c r="M1534" s="251"/>
      <c r="N1534" s="251"/>
      <c r="O1534" s="251"/>
      <c r="P1534" s="251"/>
      <c r="Q1534" s="251"/>
      <c r="R1534" s="251"/>
      <c r="S1534" s="251"/>
      <c r="T1534" s="251"/>
      <c r="U1534" s="251"/>
      <c r="V1534" s="251"/>
      <c r="W1534" s="251"/>
      <c r="X1534" s="251"/>
      <c r="Y1534" s="251"/>
      <c r="Z1534" s="251"/>
      <c r="AA1534" s="137"/>
      <c r="AB1534" s="137"/>
      <c r="AC1534" s="137"/>
      <c r="AD1534" s="137"/>
      <c r="AE1534" s="137"/>
      <c r="AF1534" s="137"/>
      <c r="AG1534" s="137"/>
    </row>
    <row r="1535" ht="30.0" customHeight="1">
      <c r="A1535" s="248"/>
      <c r="B1535" s="249"/>
      <c r="C1535" s="248"/>
      <c r="D1535" s="249"/>
      <c r="E1535" s="249"/>
      <c r="F1535" s="249"/>
      <c r="G1535" s="250"/>
      <c r="H1535" s="251"/>
      <c r="I1535" s="252"/>
      <c r="J1535" s="252"/>
      <c r="K1535" s="252"/>
      <c r="L1535" s="251"/>
      <c r="M1535" s="251"/>
      <c r="N1535" s="251"/>
      <c r="O1535" s="251"/>
      <c r="P1535" s="251"/>
      <c r="Q1535" s="251"/>
      <c r="R1535" s="251"/>
      <c r="S1535" s="251"/>
      <c r="T1535" s="251"/>
      <c r="U1535" s="251"/>
      <c r="V1535" s="251"/>
      <c r="W1535" s="251"/>
      <c r="X1535" s="251"/>
      <c r="Y1535" s="251"/>
      <c r="Z1535" s="251"/>
      <c r="AA1535" s="137"/>
      <c r="AB1535" s="137"/>
      <c r="AC1535" s="137"/>
      <c r="AD1535" s="137"/>
      <c r="AE1535" s="137"/>
      <c r="AF1535" s="137"/>
      <c r="AG1535" s="137"/>
    </row>
    <row r="1536" ht="30.0" customHeight="1">
      <c r="A1536" s="248"/>
      <c r="B1536" s="249"/>
      <c r="C1536" s="248"/>
      <c r="D1536" s="249"/>
      <c r="E1536" s="249"/>
      <c r="F1536" s="249"/>
      <c r="G1536" s="249"/>
      <c r="H1536" s="251"/>
      <c r="I1536" s="252"/>
      <c r="J1536" s="252"/>
      <c r="K1536" s="252"/>
      <c r="L1536" s="251"/>
      <c r="M1536" s="251"/>
      <c r="N1536" s="251"/>
      <c r="O1536" s="251"/>
      <c r="P1536" s="251"/>
      <c r="Q1536" s="251"/>
      <c r="R1536" s="251"/>
      <c r="S1536" s="251"/>
      <c r="T1536" s="251"/>
      <c r="U1536" s="251"/>
      <c r="V1536" s="251"/>
      <c r="W1536" s="251"/>
      <c r="X1536" s="251"/>
      <c r="Y1536" s="251"/>
      <c r="Z1536" s="251"/>
      <c r="AA1536" s="137"/>
      <c r="AB1536" s="137"/>
      <c r="AC1536" s="137"/>
      <c r="AD1536" s="137"/>
      <c r="AE1536" s="137"/>
      <c r="AF1536" s="137"/>
      <c r="AG1536" s="137"/>
    </row>
    <row r="1537" ht="30.0" customHeight="1">
      <c r="A1537" s="248"/>
      <c r="B1537" s="249"/>
      <c r="C1537" s="248"/>
      <c r="D1537" s="249"/>
      <c r="E1537" s="249"/>
      <c r="F1537" s="249"/>
      <c r="G1537" s="250"/>
      <c r="H1537" s="251"/>
      <c r="I1537" s="252"/>
      <c r="J1537" s="252"/>
      <c r="K1537" s="252"/>
      <c r="L1537" s="251"/>
      <c r="M1537" s="251"/>
      <c r="N1537" s="251"/>
      <c r="O1537" s="251"/>
      <c r="P1537" s="251"/>
      <c r="Q1537" s="251"/>
      <c r="R1537" s="251"/>
      <c r="S1537" s="251"/>
      <c r="T1537" s="251"/>
      <c r="U1537" s="251"/>
      <c r="V1537" s="251"/>
      <c r="W1537" s="251"/>
      <c r="X1537" s="251"/>
      <c r="Y1537" s="251"/>
      <c r="Z1537" s="251"/>
      <c r="AA1537" s="137"/>
      <c r="AB1537" s="137"/>
      <c r="AC1537" s="137"/>
      <c r="AD1537" s="137"/>
      <c r="AE1537" s="137"/>
      <c r="AF1537" s="137"/>
      <c r="AG1537" s="137"/>
    </row>
    <row r="1538" ht="30.0" customHeight="1">
      <c r="A1538" s="248"/>
      <c r="B1538" s="249"/>
      <c r="C1538" s="248"/>
      <c r="D1538" s="249"/>
      <c r="E1538" s="249"/>
      <c r="F1538" s="249"/>
      <c r="G1538" s="250"/>
      <c r="H1538" s="251"/>
      <c r="I1538" s="252"/>
      <c r="J1538" s="252"/>
      <c r="K1538" s="252"/>
      <c r="L1538" s="251"/>
      <c r="M1538" s="251"/>
      <c r="N1538" s="251"/>
      <c r="O1538" s="251"/>
      <c r="P1538" s="251"/>
      <c r="Q1538" s="251"/>
      <c r="R1538" s="251"/>
      <c r="S1538" s="251"/>
      <c r="T1538" s="251"/>
      <c r="U1538" s="251"/>
      <c r="V1538" s="251"/>
      <c r="W1538" s="251"/>
      <c r="X1538" s="251"/>
      <c r="Y1538" s="251"/>
      <c r="Z1538" s="251"/>
      <c r="AA1538" s="137"/>
      <c r="AB1538" s="137"/>
      <c r="AC1538" s="137"/>
      <c r="AD1538" s="137"/>
      <c r="AE1538" s="137"/>
      <c r="AF1538" s="137"/>
      <c r="AG1538" s="137"/>
    </row>
    <row r="1539" ht="30.0" customHeight="1">
      <c r="A1539" s="248"/>
      <c r="B1539" s="249"/>
      <c r="C1539" s="248"/>
      <c r="D1539" s="249"/>
      <c r="E1539" s="249"/>
      <c r="F1539" s="249"/>
      <c r="G1539" s="250"/>
      <c r="H1539" s="251"/>
      <c r="I1539" s="252"/>
      <c r="J1539" s="252"/>
      <c r="K1539" s="252"/>
      <c r="L1539" s="251"/>
      <c r="M1539" s="251"/>
      <c r="N1539" s="251"/>
      <c r="O1539" s="251"/>
      <c r="P1539" s="251"/>
      <c r="Q1539" s="251"/>
      <c r="R1539" s="251"/>
      <c r="S1539" s="251"/>
      <c r="T1539" s="251"/>
      <c r="U1539" s="251"/>
      <c r="V1539" s="251"/>
      <c r="W1539" s="251"/>
      <c r="X1539" s="251"/>
      <c r="Y1539" s="251"/>
      <c r="Z1539" s="251"/>
      <c r="AA1539" s="137"/>
      <c r="AB1539" s="137"/>
      <c r="AC1539" s="137"/>
      <c r="AD1539" s="137"/>
      <c r="AE1539" s="137"/>
      <c r="AF1539" s="137"/>
      <c r="AG1539" s="137"/>
    </row>
    <row r="1540" ht="30.0" customHeight="1">
      <c r="A1540" s="248"/>
      <c r="B1540" s="249"/>
      <c r="C1540" s="248"/>
      <c r="D1540" s="249"/>
      <c r="E1540" s="249"/>
      <c r="F1540" s="249"/>
      <c r="G1540" s="250"/>
      <c r="H1540" s="251"/>
      <c r="I1540" s="252"/>
      <c r="J1540" s="252"/>
      <c r="K1540" s="252"/>
      <c r="L1540" s="251"/>
      <c r="M1540" s="251"/>
      <c r="N1540" s="251"/>
      <c r="O1540" s="251"/>
      <c r="P1540" s="251"/>
      <c r="Q1540" s="251"/>
      <c r="R1540" s="251"/>
      <c r="S1540" s="251"/>
      <c r="T1540" s="251"/>
      <c r="U1540" s="251"/>
      <c r="V1540" s="251"/>
      <c r="W1540" s="251"/>
      <c r="X1540" s="251"/>
      <c r="Y1540" s="251"/>
      <c r="Z1540" s="251"/>
      <c r="AA1540" s="137"/>
      <c r="AB1540" s="137"/>
      <c r="AC1540" s="137"/>
      <c r="AD1540" s="137"/>
      <c r="AE1540" s="137"/>
      <c r="AF1540" s="137"/>
      <c r="AG1540" s="137"/>
    </row>
    <row r="1541" ht="30.0" customHeight="1">
      <c r="A1541" s="248"/>
      <c r="B1541" s="249"/>
      <c r="C1541" s="248"/>
      <c r="D1541" s="249"/>
      <c r="E1541" s="249"/>
      <c r="F1541" s="249"/>
      <c r="G1541" s="250"/>
      <c r="H1541" s="251"/>
      <c r="I1541" s="252"/>
      <c r="J1541" s="252"/>
      <c r="K1541" s="252"/>
      <c r="L1541" s="251"/>
      <c r="M1541" s="251"/>
      <c r="N1541" s="251"/>
      <c r="O1541" s="251"/>
      <c r="P1541" s="251"/>
      <c r="Q1541" s="251"/>
      <c r="R1541" s="251"/>
      <c r="S1541" s="251"/>
      <c r="T1541" s="251"/>
      <c r="U1541" s="251"/>
      <c r="V1541" s="251"/>
      <c r="W1541" s="251"/>
      <c r="X1541" s="251"/>
      <c r="Y1541" s="251"/>
      <c r="Z1541" s="251"/>
      <c r="AA1541" s="137"/>
      <c r="AB1541" s="137"/>
      <c r="AC1541" s="137"/>
      <c r="AD1541" s="137"/>
      <c r="AE1541" s="137"/>
      <c r="AF1541" s="137"/>
      <c r="AG1541" s="137"/>
    </row>
    <row r="1542" ht="30.0" customHeight="1">
      <c r="A1542" s="248"/>
      <c r="B1542" s="249"/>
      <c r="C1542" s="248"/>
      <c r="D1542" s="249"/>
      <c r="E1542" s="249"/>
      <c r="F1542" s="249"/>
      <c r="G1542" s="250"/>
      <c r="H1542" s="251"/>
      <c r="I1542" s="252"/>
      <c r="J1542" s="252"/>
      <c r="K1542" s="252"/>
      <c r="L1542" s="251"/>
      <c r="M1542" s="251"/>
      <c r="N1542" s="251"/>
      <c r="O1542" s="251"/>
      <c r="P1542" s="251"/>
      <c r="Q1542" s="251"/>
      <c r="R1542" s="251"/>
      <c r="S1542" s="251"/>
      <c r="T1542" s="251"/>
      <c r="U1542" s="251"/>
      <c r="V1542" s="251"/>
      <c r="W1542" s="251"/>
      <c r="X1542" s="251"/>
      <c r="Y1542" s="251"/>
      <c r="Z1542" s="251"/>
      <c r="AA1542" s="137"/>
      <c r="AB1542" s="137"/>
      <c r="AC1542" s="137"/>
      <c r="AD1542" s="137"/>
      <c r="AE1542" s="137"/>
      <c r="AF1542" s="137"/>
      <c r="AG1542" s="137"/>
    </row>
    <row r="1543" ht="30.0" customHeight="1">
      <c r="A1543" s="248"/>
      <c r="B1543" s="249"/>
      <c r="C1543" s="248"/>
      <c r="D1543" s="249"/>
      <c r="E1543" s="249"/>
      <c r="F1543" s="249"/>
      <c r="G1543" s="250"/>
      <c r="H1543" s="251"/>
      <c r="I1543" s="252"/>
      <c r="J1543" s="252"/>
      <c r="K1543" s="252"/>
      <c r="L1543" s="251"/>
      <c r="M1543" s="251"/>
      <c r="N1543" s="251"/>
      <c r="O1543" s="251"/>
      <c r="P1543" s="251"/>
      <c r="Q1543" s="251"/>
      <c r="R1543" s="251"/>
      <c r="S1543" s="251"/>
      <c r="T1543" s="251"/>
      <c r="U1543" s="251"/>
      <c r="V1543" s="251"/>
      <c r="W1543" s="251"/>
      <c r="X1543" s="251"/>
      <c r="Y1543" s="251"/>
      <c r="Z1543" s="251"/>
      <c r="AA1543" s="137"/>
      <c r="AB1543" s="137"/>
      <c r="AC1543" s="137"/>
      <c r="AD1543" s="137"/>
      <c r="AE1543" s="137"/>
      <c r="AF1543" s="137"/>
      <c r="AG1543" s="137"/>
    </row>
    <row r="1544" ht="30.0" customHeight="1">
      <c r="A1544" s="248"/>
      <c r="B1544" s="249"/>
      <c r="C1544" s="248"/>
      <c r="D1544" s="249"/>
      <c r="E1544" s="249"/>
      <c r="F1544" s="249"/>
      <c r="G1544" s="250"/>
      <c r="H1544" s="251"/>
      <c r="I1544" s="252"/>
      <c r="J1544" s="252"/>
      <c r="K1544" s="252"/>
      <c r="L1544" s="251"/>
      <c r="M1544" s="251"/>
      <c r="N1544" s="251"/>
      <c r="O1544" s="251"/>
      <c r="P1544" s="251"/>
      <c r="Q1544" s="251"/>
      <c r="R1544" s="251"/>
      <c r="S1544" s="251"/>
      <c r="T1544" s="251"/>
      <c r="U1544" s="251"/>
      <c r="V1544" s="251"/>
      <c r="W1544" s="251"/>
      <c r="X1544" s="251"/>
      <c r="Y1544" s="251"/>
      <c r="Z1544" s="251"/>
      <c r="AA1544" s="137"/>
      <c r="AB1544" s="137"/>
      <c r="AC1544" s="137"/>
      <c r="AD1544" s="137"/>
      <c r="AE1544" s="137"/>
      <c r="AF1544" s="137"/>
      <c r="AG1544" s="137"/>
    </row>
    <row r="1545" ht="30.0" customHeight="1">
      <c r="A1545" s="248"/>
      <c r="B1545" s="249"/>
      <c r="C1545" s="248"/>
      <c r="D1545" s="249"/>
      <c r="E1545" s="249"/>
      <c r="F1545" s="249"/>
      <c r="G1545" s="250"/>
      <c r="H1545" s="251"/>
      <c r="I1545" s="252"/>
      <c r="J1545" s="252"/>
      <c r="K1545" s="252"/>
      <c r="L1545" s="251"/>
      <c r="M1545" s="251"/>
      <c r="N1545" s="251"/>
      <c r="O1545" s="251"/>
      <c r="P1545" s="251"/>
      <c r="Q1545" s="251"/>
      <c r="R1545" s="251"/>
      <c r="S1545" s="251"/>
      <c r="T1545" s="251"/>
      <c r="U1545" s="251"/>
      <c r="V1545" s="251"/>
      <c r="W1545" s="251"/>
      <c r="X1545" s="251"/>
      <c r="Y1545" s="251"/>
      <c r="Z1545" s="251"/>
      <c r="AA1545" s="137"/>
      <c r="AB1545" s="137"/>
      <c r="AC1545" s="137"/>
      <c r="AD1545" s="137"/>
      <c r="AE1545" s="137"/>
      <c r="AF1545" s="137"/>
      <c r="AG1545" s="137"/>
    </row>
    <row r="1546" ht="30.0" customHeight="1">
      <c r="A1546" s="248"/>
      <c r="B1546" s="249"/>
      <c r="C1546" s="248"/>
      <c r="D1546" s="249"/>
      <c r="E1546" s="249"/>
      <c r="F1546" s="249"/>
      <c r="G1546" s="250"/>
      <c r="H1546" s="251"/>
      <c r="I1546" s="252"/>
      <c r="J1546" s="252"/>
      <c r="K1546" s="252"/>
      <c r="L1546" s="251"/>
      <c r="M1546" s="251"/>
      <c r="N1546" s="251"/>
      <c r="O1546" s="251"/>
      <c r="P1546" s="251"/>
      <c r="Q1546" s="251"/>
      <c r="R1546" s="251"/>
      <c r="S1546" s="251"/>
      <c r="T1546" s="251"/>
      <c r="U1546" s="251"/>
      <c r="V1546" s="251"/>
      <c r="W1546" s="251"/>
      <c r="X1546" s="251"/>
      <c r="Y1546" s="251"/>
      <c r="Z1546" s="251"/>
      <c r="AA1546" s="137"/>
      <c r="AB1546" s="137"/>
      <c r="AC1546" s="137"/>
      <c r="AD1546" s="137"/>
      <c r="AE1546" s="137"/>
      <c r="AF1546" s="137"/>
      <c r="AG1546" s="137"/>
    </row>
    <row r="1547" ht="30.0" customHeight="1">
      <c r="A1547" s="248"/>
      <c r="B1547" s="249"/>
      <c r="C1547" s="248"/>
      <c r="D1547" s="249"/>
      <c r="E1547" s="249"/>
      <c r="F1547" s="249"/>
      <c r="G1547" s="250"/>
      <c r="H1547" s="251"/>
      <c r="I1547" s="252"/>
      <c r="J1547" s="252"/>
      <c r="K1547" s="252"/>
      <c r="L1547" s="251"/>
      <c r="M1547" s="251"/>
      <c r="N1547" s="251"/>
      <c r="O1547" s="251"/>
      <c r="P1547" s="251"/>
      <c r="Q1547" s="251"/>
      <c r="R1547" s="251"/>
      <c r="S1547" s="251"/>
      <c r="T1547" s="251"/>
      <c r="U1547" s="251"/>
      <c r="V1547" s="251"/>
      <c r="W1547" s="251"/>
      <c r="X1547" s="251"/>
      <c r="Y1547" s="251"/>
      <c r="Z1547" s="251"/>
      <c r="AA1547" s="137"/>
      <c r="AB1547" s="137"/>
      <c r="AC1547" s="137"/>
      <c r="AD1547" s="137"/>
      <c r="AE1547" s="137"/>
      <c r="AF1547" s="137"/>
      <c r="AG1547" s="137"/>
    </row>
    <row r="1548" ht="30.0" customHeight="1">
      <c r="A1548" s="248"/>
      <c r="B1548" s="249"/>
      <c r="C1548" s="248"/>
      <c r="D1548" s="249"/>
      <c r="E1548" s="249"/>
      <c r="F1548" s="249"/>
      <c r="G1548" s="250"/>
      <c r="H1548" s="251"/>
      <c r="I1548" s="252"/>
      <c r="J1548" s="252"/>
      <c r="K1548" s="252"/>
      <c r="L1548" s="251"/>
      <c r="M1548" s="251"/>
      <c r="N1548" s="251"/>
      <c r="O1548" s="251"/>
      <c r="P1548" s="251"/>
      <c r="Q1548" s="251"/>
      <c r="R1548" s="251"/>
      <c r="S1548" s="251"/>
      <c r="T1548" s="251"/>
      <c r="U1548" s="251"/>
      <c r="V1548" s="251"/>
      <c r="W1548" s="251"/>
      <c r="X1548" s="251"/>
      <c r="Y1548" s="251"/>
      <c r="Z1548" s="251"/>
      <c r="AA1548" s="137"/>
      <c r="AB1548" s="137"/>
      <c r="AC1548" s="137"/>
      <c r="AD1548" s="137"/>
      <c r="AE1548" s="137"/>
      <c r="AF1548" s="137"/>
      <c r="AG1548" s="137"/>
    </row>
    <row r="1549" ht="30.0" customHeight="1">
      <c r="A1549" s="248"/>
      <c r="B1549" s="249"/>
      <c r="C1549" s="248"/>
      <c r="D1549" s="249"/>
      <c r="E1549" s="249"/>
      <c r="F1549" s="249"/>
      <c r="G1549" s="250"/>
      <c r="H1549" s="251"/>
      <c r="I1549" s="252"/>
      <c r="J1549" s="252"/>
      <c r="K1549" s="252"/>
      <c r="L1549" s="251"/>
      <c r="M1549" s="251"/>
      <c r="N1549" s="251"/>
      <c r="O1549" s="251"/>
      <c r="P1549" s="251"/>
      <c r="Q1549" s="251"/>
      <c r="R1549" s="251"/>
      <c r="S1549" s="251"/>
      <c r="T1549" s="251"/>
      <c r="U1549" s="251"/>
      <c r="V1549" s="251"/>
      <c r="W1549" s="251"/>
      <c r="X1549" s="251"/>
      <c r="Y1549" s="251"/>
      <c r="Z1549" s="251"/>
      <c r="AA1549" s="137"/>
      <c r="AB1549" s="137"/>
      <c r="AC1549" s="137"/>
      <c r="AD1549" s="137"/>
      <c r="AE1549" s="137"/>
      <c r="AF1549" s="137"/>
      <c r="AG1549" s="137"/>
    </row>
    <row r="1550" ht="30.0" customHeight="1">
      <c r="A1550" s="248"/>
      <c r="B1550" s="249"/>
      <c r="C1550" s="248"/>
      <c r="D1550" s="249"/>
      <c r="E1550" s="249"/>
      <c r="F1550" s="249"/>
      <c r="G1550" s="250"/>
      <c r="H1550" s="251"/>
      <c r="I1550" s="252"/>
      <c r="J1550" s="252"/>
      <c r="K1550" s="252"/>
      <c r="L1550" s="251"/>
      <c r="M1550" s="251"/>
      <c r="N1550" s="251"/>
      <c r="O1550" s="251"/>
      <c r="P1550" s="251"/>
      <c r="Q1550" s="251"/>
      <c r="R1550" s="251"/>
      <c r="S1550" s="251"/>
      <c r="T1550" s="251"/>
      <c r="U1550" s="251"/>
      <c r="V1550" s="251"/>
      <c r="W1550" s="251"/>
      <c r="X1550" s="251"/>
      <c r="Y1550" s="251"/>
      <c r="Z1550" s="251"/>
      <c r="AA1550" s="137"/>
      <c r="AB1550" s="137"/>
      <c r="AC1550" s="137"/>
      <c r="AD1550" s="137"/>
      <c r="AE1550" s="137"/>
      <c r="AF1550" s="137"/>
      <c r="AG1550" s="137"/>
    </row>
    <row r="1551" ht="30.0" customHeight="1">
      <c r="A1551" s="248"/>
      <c r="B1551" s="249"/>
      <c r="C1551" s="248"/>
      <c r="D1551" s="249"/>
      <c r="E1551" s="249"/>
      <c r="F1551" s="249"/>
      <c r="G1551" s="250"/>
      <c r="H1551" s="251"/>
      <c r="I1551" s="252"/>
      <c r="J1551" s="252"/>
      <c r="K1551" s="252"/>
      <c r="L1551" s="251"/>
      <c r="M1551" s="251"/>
      <c r="N1551" s="251"/>
      <c r="O1551" s="251"/>
      <c r="P1551" s="251"/>
      <c r="Q1551" s="251"/>
      <c r="R1551" s="251"/>
      <c r="S1551" s="251"/>
      <c r="T1551" s="251"/>
      <c r="U1551" s="251"/>
      <c r="V1551" s="251"/>
      <c r="W1551" s="251"/>
      <c r="X1551" s="251"/>
      <c r="Y1551" s="251"/>
      <c r="Z1551" s="251"/>
      <c r="AA1551" s="137"/>
      <c r="AB1551" s="137"/>
      <c r="AC1551" s="137"/>
      <c r="AD1551" s="137"/>
      <c r="AE1551" s="137"/>
      <c r="AF1551" s="137"/>
      <c r="AG1551" s="137"/>
    </row>
    <row r="1552" ht="30.0" customHeight="1">
      <c r="A1552" s="248"/>
      <c r="B1552" s="249"/>
      <c r="C1552" s="248"/>
      <c r="D1552" s="249"/>
      <c r="E1552" s="249"/>
      <c r="F1552" s="249"/>
      <c r="G1552" s="249"/>
      <c r="H1552" s="251"/>
      <c r="I1552" s="252"/>
      <c r="J1552" s="252"/>
      <c r="K1552" s="252"/>
      <c r="L1552" s="251"/>
      <c r="M1552" s="251"/>
      <c r="N1552" s="251"/>
      <c r="O1552" s="251"/>
      <c r="P1552" s="251"/>
      <c r="Q1552" s="251"/>
      <c r="R1552" s="251"/>
      <c r="S1552" s="251"/>
      <c r="T1552" s="251"/>
      <c r="U1552" s="251"/>
      <c r="V1552" s="251"/>
      <c r="W1552" s="251"/>
      <c r="X1552" s="251"/>
      <c r="Y1552" s="251"/>
      <c r="Z1552" s="251"/>
      <c r="AA1552" s="137"/>
      <c r="AB1552" s="137"/>
      <c r="AC1552" s="137"/>
      <c r="AD1552" s="137"/>
      <c r="AE1552" s="137"/>
      <c r="AF1552" s="137"/>
      <c r="AG1552" s="137"/>
    </row>
    <row r="1553" ht="30.0" customHeight="1">
      <c r="A1553" s="248"/>
      <c r="B1553" s="249"/>
      <c r="C1553" s="248"/>
      <c r="D1553" s="249"/>
      <c r="E1553" s="249"/>
      <c r="F1553" s="249"/>
      <c r="G1553" s="249"/>
      <c r="H1553" s="251"/>
      <c r="I1553" s="252"/>
      <c r="J1553" s="252"/>
      <c r="K1553" s="252"/>
      <c r="L1553" s="251"/>
      <c r="M1553" s="251"/>
      <c r="N1553" s="251"/>
      <c r="O1553" s="251"/>
      <c r="P1553" s="251"/>
      <c r="Q1553" s="251"/>
      <c r="R1553" s="251"/>
      <c r="S1553" s="251"/>
      <c r="T1553" s="251"/>
      <c r="U1553" s="251"/>
      <c r="V1553" s="251"/>
      <c r="W1553" s="251"/>
      <c r="X1553" s="251"/>
      <c r="Y1553" s="251"/>
      <c r="Z1553" s="251"/>
      <c r="AA1553" s="137"/>
      <c r="AB1553" s="137"/>
      <c r="AC1553" s="137"/>
      <c r="AD1553" s="137"/>
      <c r="AE1553" s="137"/>
      <c r="AF1553" s="137"/>
      <c r="AG1553" s="137"/>
    </row>
    <row r="1554" ht="30.0" customHeight="1">
      <c r="A1554" s="248"/>
      <c r="B1554" s="249"/>
      <c r="C1554" s="248"/>
      <c r="D1554" s="249"/>
      <c r="E1554" s="249"/>
      <c r="F1554" s="249"/>
      <c r="G1554" s="249"/>
      <c r="H1554" s="251"/>
      <c r="I1554" s="252"/>
      <c r="J1554" s="252"/>
      <c r="K1554" s="252"/>
      <c r="L1554" s="251"/>
      <c r="M1554" s="251"/>
      <c r="N1554" s="251"/>
      <c r="O1554" s="251"/>
      <c r="P1554" s="251"/>
      <c r="Q1554" s="251"/>
      <c r="R1554" s="251"/>
      <c r="S1554" s="251"/>
      <c r="T1554" s="251"/>
      <c r="U1554" s="251"/>
      <c r="V1554" s="251"/>
      <c r="W1554" s="251"/>
      <c r="X1554" s="251"/>
      <c r="Y1554" s="251"/>
      <c r="Z1554" s="251"/>
      <c r="AA1554" s="137"/>
      <c r="AB1554" s="137"/>
      <c r="AC1554" s="137"/>
      <c r="AD1554" s="137"/>
      <c r="AE1554" s="137"/>
      <c r="AF1554" s="137"/>
      <c r="AG1554" s="137"/>
    </row>
    <row r="1555" ht="30.0" customHeight="1">
      <c r="A1555" s="248"/>
      <c r="B1555" s="249"/>
      <c r="C1555" s="248"/>
      <c r="D1555" s="249"/>
      <c r="E1555" s="249"/>
      <c r="F1555" s="249"/>
      <c r="G1555" s="249"/>
      <c r="H1555" s="251"/>
      <c r="I1555" s="252"/>
      <c r="J1555" s="252"/>
      <c r="K1555" s="252"/>
      <c r="L1555" s="251"/>
      <c r="M1555" s="251"/>
      <c r="N1555" s="251"/>
      <c r="O1555" s="251"/>
      <c r="P1555" s="251"/>
      <c r="Q1555" s="251"/>
      <c r="R1555" s="251"/>
      <c r="S1555" s="251"/>
      <c r="T1555" s="251"/>
      <c r="U1555" s="251"/>
      <c r="V1555" s="251"/>
      <c r="W1555" s="251"/>
      <c r="X1555" s="251"/>
      <c r="Y1555" s="251"/>
      <c r="Z1555" s="251"/>
      <c r="AA1555" s="137"/>
      <c r="AB1555" s="137"/>
      <c r="AC1555" s="137"/>
      <c r="AD1555" s="137"/>
      <c r="AE1555" s="137"/>
      <c r="AF1555" s="137"/>
      <c r="AG1555" s="137"/>
    </row>
    <row r="1556" ht="30.0" customHeight="1">
      <c r="A1556" s="248"/>
      <c r="B1556" s="249"/>
      <c r="C1556" s="248"/>
      <c r="D1556" s="249"/>
      <c r="E1556" s="249"/>
      <c r="F1556" s="249"/>
      <c r="G1556" s="249"/>
      <c r="H1556" s="251"/>
      <c r="I1556" s="252"/>
      <c r="J1556" s="252"/>
      <c r="K1556" s="252"/>
      <c r="L1556" s="251"/>
      <c r="M1556" s="251"/>
      <c r="N1556" s="251"/>
      <c r="O1556" s="251"/>
      <c r="P1556" s="251"/>
      <c r="Q1556" s="251"/>
      <c r="R1556" s="251"/>
      <c r="S1556" s="251"/>
      <c r="T1556" s="251"/>
      <c r="U1556" s="251"/>
      <c r="V1556" s="251"/>
      <c r="W1556" s="251"/>
      <c r="X1556" s="251"/>
      <c r="Y1556" s="251"/>
      <c r="Z1556" s="251"/>
      <c r="AA1556" s="137"/>
      <c r="AB1556" s="137"/>
      <c r="AC1556" s="137"/>
      <c r="AD1556" s="137"/>
      <c r="AE1556" s="137"/>
      <c r="AF1556" s="137"/>
      <c r="AG1556" s="137"/>
    </row>
    <row r="1557" ht="30.0" customHeight="1">
      <c r="A1557" s="248"/>
      <c r="B1557" s="249"/>
      <c r="C1557" s="248"/>
      <c r="D1557" s="249"/>
      <c r="E1557" s="249"/>
      <c r="F1557" s="249"/>
      <c r="G1557" s="249"/>
      <c r="H1557" s="251"/>
      <c r="I1557" s="252"/>
      <c r="J1557" s="252"/>
      <c r="K1557" s="252"/>
      <c r="L1557" s="251"/>
      <c r="M1557" s="251"/>
      <c r="N1557" s="251"/>
      <c r="O1557" s="251"/>
      <c r="P1557" s="251"/>
      <c r="Q1557" s="251"/>
      <c r="R1557" s="251"/>
      <c r="S1557" s="251"/>
      <c r="T1557" s="251"/>
      <c r="U1557" s="251"/>
      <c r="V1557" s="251"/>
      <c r="W1557" s="251"/>
      <c r="X1557" s="251"/>
      <c r="Y1557" s="251"/>
      <c r="Z1557" s="251"/>
      <c r="AA1557" s="137"/>
      <c r="AB1557" s="137"/>
      <c r="AC1557" s="137"/>
      <c r="AD1557" s="137"/>
      <c r="AE1557" s="137"/>
      <c r="AF1557" s="137"/>
      <c r="AG1557" s="137"/>
    </row>
    <row r="1558" ht="30.0" customHeight="1">
      <c r="A1558" s="248"/>
      <c r="B1558" s="249"/>
      <c r="C1558" s="248"/>
      <c r="D1558" s="249"/>
      <c r="E1558" s="249"/>
      <c r="F1558" s="249"/>
      <c r="G1558" s="249"/>
      <c r="H1558" s="251"/>
      <c r="I1558" s="252"/>
      <c r="J1558" s="252"/>
      <c r="K1558" s="252"/>
      <c r="L1558" s="251"/>
      <c r="M1558" s="251"/>
      <c r="N1558" s="251"/>
      <c r="O1558" s="251"/>
      <c r="P1558" s="251"/>
      <c r="Q1558" s="251"/>
      <c r="R1558" s="251"/>
      <c r="S1558" s="251"/>
      <c r="T1558" s="251"/>
      <c r="U1558" s="251"/>
      <c r="V1558" s="251"/>
      <c r="W1558" s="251"/>
      <c r="X1558" s="251"/>
      <c r="Y1558" s="251"/>
      <c r="Z1558" s="251"/>
      <c r="AA1558" s="137"/>
      <c r="AB1558" s="137"/>
      <c r="AC1558" s="137"/>
      <c r="AD1558" s="137"/>
      <c r="AE1558" s="137"/>
      <c r="AF1558" s="137"/>
      <c r="AG1558" s="137"/>
    </row>
    <row r="1559" ht="30.0" customHeight="1">
      <c r="A1559" s="248"/>
      <c r="B1559" s="249"/>
      <c r="C1559" s="248"/>
      <c r="D1559" s="249"/>
      <c r="E1559" s="249"/>
      <c r="F1559" s="249"/>
      <c r="G1559" s="249"/>
      <c r="H1559" s="251"/>
      <c r="I1559" s="252"/>
      <c r="J1559" s="252"/>
      <c r="K1559" s="252"/>
      <c r="L1559" s="251"/>
      <c r="M1559" s="251"/>
      <c r="N1559" s="251"/>
      <c r="O1559" s="251"/>
      <c r="P1559" s="251"/>
      <c r="Q1559" s="251"/>
      <c r="R1559" s="251"/>
      <c r="S1559" s="251"/>
      <c r="T1559" s="251"/>
      <c r="U1559" s="251"/>
      <c r="V1559" s="251"/>
      <c r="W1559" s="251"/>
      <c r="X1559" s="251"/>
      <c r="Y1559" s="251"/>
      <c r="Z1559" s="251"/>
      <c r="AA1559" s="137"/>
      <c r="AB1559" s="137"/>
      <c r="AC1559" s="137"/>
      <c r="AD1559" s="137"/>
      <c r="AE1559" s="137"/>
      <c r="AF1559" s="137"/>
      <c r="AG1559" s="137"/>
    </row>
    <row r="1560" ht="30.0" customHeight="1">
      <c r="A1560" s="248"/>
      <c r="B1560" s="249"/>
      <c r="C1560" s="248"/>
      <c r="D1560" s="249"/>
      <c r="E1560" s="249"/>
      <c r="F1560" s="249"/>
      <c r="G1560" s="249"/>
      <c r="H1560" s="251"/>
      <c r="I1560" s="252"/>
      <c r="J1560" s="252"/>
      <c r="K1560" s="252"/>
      <c r="L1560" s="251"/>
      <c r="M1560" s="251"/>
      <c r="N1560" s="251"/>
      <c r="O1560" s="251"/>
      <c r="P1560" s="251"/>
      <c r="Q1560" s="251"/>
      <c r="R1560" s="251"/>
      <c r="S1560" s="251"/>
      <c r="T1560" s="251"/>
      <c r="U1560" s="251"/>
      <c r="V1560" s="251"/>
      <c r="W1560" s="251"/>
      <c r="X1560" s="251"/>
      <c r="Y1560" s="251"/>
      <c r="Z1560" s="251"/>
      <c r="AA1560" s="137"/>
      <c r="AB1560" s="137"/>
      <c r="AC1560" s="137"/>
      <c r="AD1560" s="137"/>
      <c r="AE1560" s="137"/>
      <c r="AF1560" s="137"/>
      <c r="AG1560" s="137"/>
    </row>
    <row r="1561" ht="30.0" customHeight="1">
      <c r="A1561" s="248"/>
      <c r="B1561" s="249"/>
      <c r="C1561" s="248"/>
      <c r="D1561" s="249"/>
      <c r="E1561" s="249"/>
      <c r="F1561" s="249"/>
      <c r="G1561" s="249"/>
      <c r="H1561" s="251"/>
      <c r="I1561" s="252"/>
      <c r="J1561" s="252"/>
      <c r="K1561" s="252"/>
      <c r="L1561" s="251"/>
      <c r="M1561" s="251"/>
      <c r="N1561" s="251"/>
      <c r="O1561" s="251"/>
      <c r="P1561" s="251"/>
      <c r="Q1561" s="251"/>
      <c r="R1561" s="251"/>
      <c r="S1561" s="251"/>
      <c r="T1561" s="251"/>
      <c r="U1561" s="251"/>
      <c r="V1561" s="251"/>
      <c r="W1561" s="251"/>
      <c r="X1561" s="251"/>
      <c r="Y1561" s="251"/>
      <c r="Z1561" s="251"/>
      <c r="AA1561" s="137"/>
      <c r="AB1561" s="137"/>
      <c r="AC1561" s="137"/>
      <c r="AD1561" s="137"/>
      <c r="AE1561" s="137"/>
      <c r="AF1561" s="137"/>
      <c r="AG1561" s="137"/>
    </row>
    <row r="1562" ht="30.0" customHeight="1">
      <c r="A1562" s="248"/>
      <c r="B1562" s="249"/>
      <c r="C1562" s="248"/>
      <c r="D1562" s="249"/>
      <c r="E1562" s="249"/>
      <c r="F1562" s="249"/>
      <c r="G1562" s="249"/>
      <c r="H1562" s="251"/>
      <c r="I1562" s="252"/>
      <c r="J1562" s="252"/>
      <c r="K1562" s="252"/>
      <c r="L1562" s="251"/>
      <c r="M1562" s="251"/>
      <c r="N1562" s="251"/>
      <c r="O1562" s="251"/>
      <c r="P1562" s="251"/>
      <c r="Q1562" s="251"/>
      <c r="R1562" s="251"/>
      <c r="S1562" s="251"/>
      <c r="T1562" s="251"/>
      <c r="U1562" s="251"/>
      <c r="V1562" s="251"/>
      <c r="W1562" s="251"/>
      <c r="X1562" s="251"/>
      <c r="Y1562" s="251"/>
      <c r="Z1562" s="251"/>
      <c r="AA1562" s="137"/>
      <c r="AB1562" s="137"/>
      <c r="AC1562" s="137"/>
      <c r="AD1562" s="137"/>
      <c r="AE1562" s="137"/>
      <c r="AF1562" s="137"/>
      <c r="AG1562" s="137"/>
    </row>
    <row r="1563" ht="30.0" customHeight="1">
      <c r="A1563" s="248"/>
      <c r="B1563" s="249"/>
      <c r="C1563" s="248"/>
      <c r="D1563" s="249"/>
      <c r="E1563" s="249"/>
      <c r="F1563" s="249"/>
      <c r="G1563" s="249"/>
      <c r="H1563" s="251"/>
      <c r="I1563" s="252"/>
      <c r="J1563" s="252"/>
      <c r="K1563" s="252"/>
      <c r="L1563" s="251"/>
      <c r="M1563" s="251"/>
      <c r="N1563" s="251"/>
      <c r="O1563" s="251"/>
      <c r="P1563" s="251"/>
      <c r="Q1563" s="251"/>
      <c r="R1563" s="251"/>
      <c r="S1563" s="251"/>
      <c r="T1563" s="251"/>
      <c r="U1563" s="251"/>
      <c r="V1563" s="251"/>
      <c r="W1563" s="251"/>
      <c r="X1563" s="251"/>
      <c r="Y1563" s="251"/>
      <c r="Z1563" s="251"/>
      <c r="AA1563" s="137"/>
      <c r="AB1563" s="137"/>
      <c r="AC1563" s="137"/>
      <c r="AD1563" s="137"/>
      <c r="AE1563" s="137"/>
      <c r="AF1563" s="137"/>
      <c r="AG1563" s="137"/>
    </row>
    <row r="1564" ht="30.0" customHeight="1">
      <c r="A1564" s="248"/>
      <c r="B1564" s="249"/>
      <c r="C1564" s="248"/>
      <c r="D1564" s="249"/>
      <c r="E1564" s="249"/>
      <c r="F1564" s="249"/>
      <c r="G1564" s="249"/>
      <c r="H1564" s="251"/>
      <c r="I1564" s="252"/>
      <c r="J1564" s="252"/>
      <c r="K1564" s="252"/>
      <c r="L1564" s="251"/>
      <c r="M1564" s="251"/>
      <c r="N1564" s="251"/>
      <c r="O1564" s="251"/>
      <c r="P1564" s="251"/>
      <c r="Q1564" s="251"/>
      <c r="R1564" s="251"/>
      <c r="S1564" s="251"/>
      <c r="T1564" s="251"/>
      <c r="U1564" s="251"/>
      <c r="V1564" s="251"/>
      <c r="W1564" s="251"/>
      <c r="X1564" s="251"/>
      <c r="Y1564" s="251"/>
      <c r="Z1564" s="251"/>
      <c r="AA1564" s="137"/>
      <c r="AB1564" s="137"/>
      <c r="AC1564" s="137"/>
      <c r="AD1564" s="137"/>
      <c r="AE1564" s="137"/>
      <c r="AF1564" s="137"/>
      <c r="AG1564" s="137"/>
    </row>
    <row r="1565" ht="30.0" customHeight="1">
      <c r="A1565" s="248"/>
      <c r="B1565" s="249"/>
      <c r="C1565" s="248"/>
      <c r="D1565" s="249"/>
      <c r="E1565" s="249"/>
      <c r="F1565" s="249"/>
      <c r="G1565" s="249"/>
      <c r="H1565" s="251"/>
      <c r="I1565" s="252"/>
      <c r="J1565" s="252"/>
      <c r="K1565" s="252"/>
      <c r="L1565" s="251"/>
      <c r="M1565" s="251"/>
      <c r="N1565" s="251"/>
      <c r="O1565" s="251"/>
      <c r="P1565" s="251"/>
      <c r="Q1565" s="251"/>
      <c r="R1565" s="251"/>
      <c r="S1565" s="251"/>
      <c r="T1565" s="251"/>
      <c r="U1565" s="251"/>
      <c r="V1565" s="251"/>
      <c r="W1565" s="251"/>
      <c r="X1565" s="251"/>
      <c r="Y1565" s="251"/>
      <c r="Z1565" s="251"/>
      <c r="AA1565" s="137"/>
      <c r="AB1565" s="137"/>
      <c r="AC1565" s="137"/>
      <c r="AD1565" s="137"/>
      <c r="AE1565" s="137"/>
      <c r="AF1565" s="137"/>
      <c r="AG1565" s="137"/>
    </row>
    <row r="1566" ht="30.0" customHeight="1">
      <c r="A1566" s="248"/>
      <c r="B1566" s="249"/>
      <c r="C1566" s="248"/>
      <c r="D1566" s="249"/>
      <c r="E1566" s="249"/>
      <c r="F1566" s="249"/>
      <c r="G1566" s="249"/>
      <c r="H1566" s="251"/>
      <c r="I1566" s="252"/>
      <c r="J1566" s="252"/>
      <c r="K1566" s="252"/>
      <c r="L1566" s="251"/>
      <c r="M1566" s="251"/>
      <c r="N1566" s="251"/>
      <c r="O1566" s="251"/>
      <c r="P1566" s="251"/>
      <c r="Q1566" s="251"/>
      <c r="R1566" s="251"/>
      <c r="S1566" s="251"/>
      <c r="T1566" s="251"/>
      <c r="U1566" s="251"/>
      <c r="V1566" s="251"/>
      <c r="W1566" s="251"/>
      <c r="X1566" s="251"/>
      <c r="Y1566" s="251"/>
      <c r="Z1566" s="251"/>
      <c r="AA1566" s="137"/>
      <c r="AB1566" s="137"/>
      <c r="AC1566" s="137"/>
      <c r="AD1566" s="137"/>
      <c r="AE1566" s="137"/>
      <c r="AF1566" s="137"/>
      <c r="AG1566" s="137"/>
    </row>
    <row r="1567" ht="30.0" customHeight="1">
      <c r="A1567" s="248"/>
      <c r="B1567" s="249"/>
      <c r="C1567" s="248"/>
      <c r="D1567" s="249"/>
      <c r="E1567" s="249"/>
      <c r="F1567" s="249"/>
      <c r="G1567" s="249"/>
      <c r="H1567" s="251"/>
      <c r="I1567" s="252"/>
      <c r="J1567" s="252"/>
      <c r="K1567" s="252"/>
      <c r="L1567" s="251"/>
      <c r="M1567" s="251"/>
      <c r="N1567" s="251"/>
      <c r="O1567" s="251"/>
      <c r="P1567" s="251"/>
      <c r="Q1567" s="251"/>
      <c r="R1567" s="251"/>
      <c r="S1567" s="251"/>
      <c r="T1567" s="251"/>
      <c r="U1567" s="251"/>
      <c r="V1567" s="251"/>
      <c r="W1567" s="251"/>
      <c r="X1567" s="251"/>
      <c r="Y1567" s="251"/>
      <c r="Z1567" s="251"/>
      <c r="AA1567" s="137"/>
      <c r="AB1567" s="137"/>
      <c r="AC1567" s="137"/>
      <c r="AD1567" s="137"/>
      <c r="AE1567" s="137"/>
      <c r="AF1567" s="137"/>
      <c r="AG1567" s="137"/>
    </row>
    <row r="1568" ht="30.0" customHeight="1">
      <c r="A1568" s="248"/>
      <c r="B1568" s="249"/>
      <c r="C1568" s="248"/>
      <c r="D1568" s="249"/>
      <c r="E1568" s="249"/>
      <c r="F1568" s="249"/>
      <c r="G1568" s="249"/>
      <c r="H1568" s="251"/>
      <c r="I1568" s="252"/>
      <c r="J1568" s="252"/>
      <c r="K1568" s="252"/>
      <c r="L1568" s="251"/>
      <c r="M1568" s="251"/>
      <c r="N1568" s="251"/>
      <c r="O1568" s="251"/>
      <c r="P1568" s="251"/>
      <c r="Q1568" s="251"/>
      <c r="R1568" s="251"/>
      <c r="S1568" s="251"/>
      <c r="T1568" s="251"/>
      <c r="U1568" s="251"/>
      <c r="V1568" s="251"/>
      <c r="W1568" s="251"/>
      <c r="X1568" s="251"/>
      <c r="Y1568" s="251"/>
      <c r="Z1568" s="251"/>
      <c r="AA1568" s="137"/>
      <c r="AB1568" s="137"/>
      <c r="AC1568" s="137"/>
      <c r="AD1568" s="137"/>
      <c r="AE1568" s="137"/>
      <c r="AF1568" s="137"/>
      <c r="AG1568" s="137"/>
    </row>
    <row r="1569" ht="30.0" customHeight="1">
      <c r="A1569" s="248"/>
      <c r="B1569" s="249"/>
      <c r="C1569" s="248"/>
      <c r="D1569" s="249"/>
      <c r="E1569" s="249"/>
      <c r="F1569" s="249"/>
      <c r="G1569" s="249"/>
      <c r="H1569" s="251"/>
      <c r="I1569" s="252"/>
      <c r="J1569" s="252"/>
      <c r="K1569" s="252"/>
      <c r="L1569" s="251"/>
      <c r="M1569" s="251"/>
      <c r="N1569" s="251"/>
      <c r="O1569" s="251"/>
      <c r="P1569" s="251"/>
      <c r="Q1569" s="251"/>
      <c r="R1569" s="251"/>
      <c r="S1569" s="251"/>
      <c r="T1569" s="251"/>
      <c r="U1569" s="251"/>
      <c r="V1569" s="251"/>
      <c r="W1569" s="251"/>
      <c r="X1569" s="251"/>
      <c r="Y1569" s="251"/>
      <c r="Z1569" s="251"/>
      <c r="AA1569" s="137"/>
      <c r="AB1569" s="137"/>
      <c r="AC1569" s="137"/>
      <c r="AD1569" s="137"/>
      <c r="AE1569" s="137"/>
      <c r="AF1569" s="137"/>
      <c r="AG1569" s="137"/>
    </row>
    <row r="1570" ht="30.0" customHeight="1">
      <c r="A1570" s="248"/>
      <c r="B1570" s="249"/>
      <c r="C1570" s="248"/>
      <c r="D1570" s="249"/>
      <c r="E1570" s="249"/>
      <c r="F1570" s="249"/>
      <c r="G1570" s="249"/>
      <c r="H1570" s="251"/>
      <c r="I1570" s="252"/>
      <c r="J1570" s="252"/>
      <c r="K1570" s="252"/>
      <c r="L1570" s="251"/>
      <c r="M1570" s="251"/>
      <c r="N1570" s="251"/>
      <c r="O1570" s="251"/>
      <c r="P1570" s="251"/>
      <c r="Q1570" s="251"/>
      <c r="R1570" s="251"/>
      <c r="S1570" s="251"/>
      <c r="T1570" s="251"/>
      <c r="U1570" s="251"/>
      <c r="V1570" s="251"/>
      <c r="W1570" s="251"/>
      <c r="X1570" s="251"/>
      <c r="Y1570" s="251"/>
      <c r="Z1570" s="251"/>
      <c r="AA1570" s="137"/>
      <c r="AB1570" s="137"/>
      <c r="AC1570" s="137"/>
      <c r="AD1570" s="137"/>
      <c r="AE1570" s="137"/>
      <c r="AF1570" s="137"/>
      <c r="AG1570" s="137"/>
    </row>
    <row r="1571" ht="30.0" customHeight="1">
      <c r="A1571" s="248"/>
      <c r="B1571" s="249"/>
      <c r="C1571" s="248"/>
      <c r="D1571" s="249"/>
      <c r="E1571" s="249"/>
      <c r="F1571" s="249"/>
      <c r="G1571" s="249"/>
      <c r="H1571" s="251"/>
      <c r="I1571" s="252"/>
      <c r="J1571" s="252"/>
      <c r="K1571" s="252"/>
      <c r="L1571" s="251"/>
      <c r="M1571" s="251"/>
      <c r="N1571" s="251"/>
      <c r="O1571" s="251"/>
      <c r="P1571" s="251"/>
      <c r="Q1571" s="251"/>
      <c r="R1571" s="251"/>
      <c r="S1571" s="251"/>
      <c r="T1571" s="251"/>
      <c r="U1571" s="251"/>
      <c r="V1571" s="251"/>
      <c r="W1571" s="251"/>
      <c r="X1571" s="251"/>
      <c r="Y1571" s="251"/>
      <c r="Z1571" s="251"/>
      <c r="AA1571" s="137"/>
      <c r="AB1571" s="137"/>
      <c r="AC1571" s="137"/>
      <c r="AD1571" s="137"/>
      <c r="AE1571" s="137"/>
      <c r="AF1571" s="137"/>
      <c r="AG1571" s="137"/>
    </row>
    <row r="1572" ht="30.0" customHeight="1">
      <c r="A1572" s="248"/>
      <c r="B1572" s="249"/>
      <c r="C1572" s="248"/>
      <c r="D1572" s="249"/>
      <c r="E1572" s="249"/>
      <c r="F1572" s="249"/>
      <c r="G1572" s="249"/>
      <c r="H1572" s="251"/>
      <c r="I1572" s="252"/>
      <c r="J1572" s="252"/>
      <c r="K1572" s="252"/>
      <c r="L1572" s="251"/>
      <c r="M1572" s="251"/>
      <c r="N1572" s="251"/>
      <c r="O1572" s="251"/>
      <c r="P1572" s="251"/>
      <c r="Q1572" s="251"/>
      <c r="R1572" s="251"/>
      <c r="S1572" s="251"/>
      <c r="T1572" s="251"/>
      <c r="U1572" s="251"/>
      <c r="V1572" s="251"/>
      <c r="W1572" s="251"/>
      <c r="X1572" s="251"/>
      <c r="Y1572" s="251"/>
      <c r="Z1572" s="251"/>
      <c r="AA1572" s="137"/>
      <c r="AB1572" s="137"/>
      <c r="AC1572" s="137"/>
      <c r="AD1572" s="137"/>
      <c r="AE1572" s="137"/>
      <c r="AF1572" s="137"/>
      <c r="AG1572" s="137"/>
    </row>
    <row r="1573" ht="30.0" customHeight="1">
      <c r="A1573" s="248"/>
      <c r="B1573" s="249"/>
      <c r="C1573" s="248"/>
      <c r="D1573" s="249"/>
      <c r="E1573" s="249"/>
      <c r="F1573" s="249"/>
      <c r="G1573" s="249"/>
      <c r="H1573" s="251"/>
      <c r="I1573" s="252"/>
      <c r="J1573" s="252"/>
      <c r="K1573" s="252"/>
      <c r="L1573" s="251"/>
      <c r="M1573" s="251"/>
      <c r="N1573" s="251"/>
      <c r="O1573" s="251"/>
      <c r="P1573" s="251"/>
      <c r="Q1573" s="251"/>
      <c r="R1573" s="251"/>
      <c r="S1573" s="251"/>
      <c r="T1573" s="251"/>
      <c r="U1573" s="251"/>
      <c r="V1573" s="251"/>
      <c r="W1573" s="251"/>
      <c r="X1573" s="251"/>
      <c r="Y1573" s="251"/>
      <c r="Z1573" s="251"/>
      <c r="AA1573" s="137"/>
      <c r="AB1573" s="137"/>
      <c r="AC1573" s="137"/>
      <c r="AD1573" s="137"/>
      <c r="AE1573" s="137"/>
      <c r="AF1573" s="137"/>
      <c r="AG1573" s="137"/>
    </row>
    <row r="1574" ht="30.0" customHeight="1">
      <c r="A1574" s="248"/>
      <c r="B1574" s="249"/>
      <c r="C1574" s="248"/>
      <c r="D1574" s="249"/>
      <c r="E1574" s="249"/>
      <c r="F1574" s="249"/>
      <c r="G1574" s="249"/>
      <c r="H1574" s="251"/>
      <c r="I1574" s="252"/>
      <c r="J1574" s="252"/>
      <c r="K1574" s="252"/>
      <c r="L1574" s="251"/>
      <c r="M1574" s="251"/>
      <c r="N1574" s="251"/>
      <c r="O1574" s="251"/>
      <c r="P1574" s="251"/>
      <c r="Q1574" s="251"/>
      <c r="R1574" s="251"/>
      <c r="S1574" s="251"/>
      <c r="T1574" s="251"/>
      <c r="U1574" s="251"/>
      <c r="V1574" s="251"/>
      <c r="W1574" s="251"/>
      <c r="X1574" s="251"/>
      <c r="Y1574" s="251"/>
      <c r="Z1574" s="251"/>
      <c r="AA1574" s="137"/>
      <c r="AB1574" s="137"/>
      <c r="AC1574" s="137"/>
      <c r="AD1574" s="137"/>
      <c r="AE1574" s="137"/>
      <c r="AF1574" s="137"/>
      <c r="AG1574" s="137"/>
    </row>
    <row r="1575" ht="30.0" customHeight="1">
      <c r="A1575" s="248"/>
      <c r="B1575" s="249"/>
      <c r="C1575" s="248"/>
      <c r="D1575" s="249"/>
      <c r="E1575" s="249"/>
      <c r="F1575" s="249"/>
      <c r="G1575" s="249"/>
      <c r="H1575" s="251"/>
      <c r="I1575" s="252"/>
      <c r="J1575" s="252"/>
      <c r="K1575" s="252"/>
      <c r="L1575" s="251"/>
      <c r="M1575" s="251"/>
      <c r="N1575" s="251"/>
      <c r="O1575" s="251"/>
      <c r="P1575" s="251"/>
      <c r="Q1575" s="251"/>
      <c r="R1575" s="251"/>
      <c r="S1575" s="251"/>
      <c r="T1575" s="251"/>
      <c r="U1575" s="251"/>
      <c r="V1575" s="251"/>
      <c r="W1575" s="251"/>
      <c r="X1575" s="251"/>
      <c r="Y1575" s="251"/>
      <c r="Z1575" s="251"/>
      <c r="AA1575" s="137"/>
      <c r="AB1575" s="137"/>
      <c r="AC1575" s="137"/>
      <c r="AD1575" s="137"/>
      <c r="AE1575" s="137"/>
      <c r="AF1575" s="137"/>
      <c r="AG1575" s="137"/>
    </row>
    <row r="1576" ht="30.0" customHeight="1">
      <c r="A1576" s="248"/>
      <c r="B1576" s="249"/>
      <c r="C1576" s="248"/>
      <c r="D1576" s="249"/>
      <c r="E1576" s="249"/>
      <c r="F1576" s="249"/>
      <c r="G1576" s="249"/>
      <c r="H1576" s="251"/>
      <c r="I1576" s="252"/>
      <c r="J1576" s="252"/>
      <c r="K1576" s="252"/>
      <c r="L1576" s="251"/>
      <c r="M1576" s="251"/>
      <c r="N1576" s="251"/>
      <c r="O1576" s="251"/>
      <c r="P1576" s="251"/>
      <c r="Q1576" s="251"/>
      <c r="R1576" s="251"/>
      <c r="S1576" s="251"/>
      <c r="T1576" s="251"/>
      <c r="U1576" s="251"/>
      <c r="V1576" s="251"/>
      <c r="W1576" s="251"/>
      <c r="X1576" s="251"/>
      <c r="Y1576" s="251"/>
      <c r="Z1576" s="251"/>
      <c r="AA1576" s="137"/>
      <c r="AB1576" s="137"/>
      <c r="AC1576" s="137"/>
      <c r="AD1576" s="137"/>
      <c r="AE1576" s="137"/>
      <c r="AF1576" s="137"/>
      <c r="AG1576" s="137"/>
    </row>
    <row r="1577" ht="30.0" customHeight="1">
      <c r="A1577" s="248"/>
      <c r="B1577" s="249"/>
      <c r="C1577" s="248"/>
      <c r="D1577" s="249"/>
      <c r="E1577" s="249"/>
      <c r="F1577" s="249"/>
      <c r="G1577" s="249"/>
      <c r="H1577" s="251"/>
      <c r="I1577" s="252"/>
      <c r="J1577" s="252"/>
      <c r="K1577" s="252"/>
      <c r="L1577" s="251"/>
      <c r="M1577" s="251"/>
      <c r="N1577" s="251"/>
      <c r="O1577" s="251"/>
      <c r="P1577" s="251"/>
      <c r="Q1577" s="251"/>
      <c r="R1577" s="251"/>
      <c r="S1577" s="251"/>
      <c r="T1577" s="251"/>
      <c r="U1577" s="251"/>
      <c r="V1577" s="251"/>
      <c r="W1577" s="251"/>
      <c r="X1577" s="251"/>
      <c r="Y1577" s="251"/>
      <c r="Z1577" s="251"/>
      <c r="AA1577" s="137"/>
      <c r="AB1577" s="137"/>
      <c r="AC1577" s="137"/>
      <c r="AD1577" s="137"/>
      <c r="AE1577" s="137"/>
      <c r="AF1577" s="137"/>
      <c r="AG1577" s="137"/>
    </row>
    <row r="1578" ht="30.0" customHeight="1">
      <c r="A1578" s="248"/>
      <c r="B1578" s="249"/>
      <c r="C1578" s="248"/>
      <c r="D1578" s="249"/>
      <c r="E1578" s="249"/>
      <c r="F1578" s="249"/>
      <c r="G1578" s="249"/>
      <c r="H1578" s="251"/>
      <c r="I1578" s="252"/>
      <c r="J1578" s="252"/>
      <c r="K1578" s="252"/>
      <c r="L1578" s="251"/>
      <c r="M1578" s="251"/>
      <c r="N1578" s="251"/>
      <c r="O1578" s="251"/>
      <c r="P1578" s="251"/>
      <c r="Q1578" s="251"/>
      <c r="R1578" s="251"/>
      <c r="S1578" s="251"/>
      <c r="T1578" s="251"/>
      <c r="U1578" s="251"/>
      <c r="V1578" s="251"/>
      <c r="W1578" s="251"/>
      <c r="X1578" s="251"/>
      <c r="Y1578" s="251"/>
      <c r="Z1578" s="251"/>
      <c r="AA1578" s="137"/>
      <c r="AB1578" s="137"/>
      <c r="AC1578" s="137"/>
      <c r="AD1578" s="137"/>
      <c r="AE1578" s="137"/>
      <c r="AF1578" s="137"/>
      <c r="AG1578" s="137"/>
    </row>
    <row r="1579" ht="30.0" customHeight="1">
      <c r="A1579" s="248"/>
      <c r="B1579" s="249"/>
      <c r="C1579" s="248"/>
      <c r="D1579" s="249"/>
      <c r="E1579" s="249"/>
      <c r="F1579" s="249"/>
      <c r="G1579" s="250"/>
      <c r="H1579" s="251"/>
      <c r="I1579" s="252"/>
      <c r="J1579" s="252"/>
      <c r="K1579" s="252"/>
      <c r="L1579" s="251"/>
      <c r="M1579" s="251"/>
      <c r="N1579" s="251"/>
      <c r="O1579" s="251"/>
      <c r="P1579" s="251"/>
      <c r="Q1579" s="251"/>
      <c r="R1579" s="251"/>
      <c r="S1579" s="251"/>
      <c r="T1579" s="251"/>
      <c r="U1579" s="251"/>
      <c r="V1579" s="251"/>
      <c r="W1579" s="251"/>
      <c r="X1579" s="251"/>
      <c r="Y1579" s="251"/>
      <c r="Z1579" s="251"/>
      <c r="AA1579" s="137"/>
      <c r="AB1579" s="137"/>
      <c r="AC1579" s="137"/>
      <c r="AD1579" s="137"/>
      <c r="AE1579" s="137"/>
      <c r="AF1579" s="137"/>
      <c r="AG1579" s="137"/>
    </row>
    <row r="1580" ht="30.0" customHeight="1">
      <c r="A1580" s="248"/>
      <c r="B1580" s="249"/>
      <c r="C1580" s="248"/>
      <c r="D1580" s="249"/>
      <c r="E1580" s="249"/>
      <c r="F1580" s="249"/>
      <c r="G1580" s="250"/>
      <c r="H1580" s="251"/>
      <c r="I1580" s="252"/>
      <c r="J1580" s="252"/>
      <c r="K1580" s="252"/>
      <c r="L1580" s="251"/>
      <c r="M1580" s="251"/>
      <c r="N1580" s="251"/>
      <c r="O1580" s="251"/>
      <c r="P1580" s="251"/>
      <c r="Q1580" s="251"/>
      <c r="R1580" s="251"/>
      <c r="S1580" s="251"/>
      <c r="T1580" s="251"/>
      <c r="U1580" s="251"/>
      <c r="V1580" s="251"/>
      <c r="W1580" s="251"/>
      <c r="X1580" s="251"/>
      <c r="Y1580" s="251"/>
      <c r="Z1580" s="251"/>
      <c r="AA1580" s="137"/>
      <c r="AB1580" s="137"/>
      <c r="AC1580" s="137"/>
      <c r="AD1580" s="137"/>
      <c r="AE1580" s="137"/>
      <c r="AF1580" s="137"/>
      <c r="AG1580" s="137"/>
    </row>
    <row r="1581" ht="30.0" customHeight="1">
      <c r="A1581" s="248"/>
      <c r="B1581" s="249"/>
      <c r="C1581" s="248"/>
      <c r="D1581" s="249"/>
      <c r="E1581" s="249"/>
      <c r="F1581" s="249"/>
      <c r="G1581" s="250"/>
      <c r="H1581" s="251"/>
      <c r="I1581" s="252"/>
      <c r="J1581" s="252"/>
      <c r="K1581" s="252"/>
      <c r="L1581" s="251"/>
      <c r="M1581" s="251"/>
      <c r="N1581" s="251"/>
      <c r="O1581" s="251"/>
      <c r="P1581" s="251"/>
      <c r="Q1581" s="251"/>
      <c r="R1581" s="251"/>
      <c r="S1581" s="251"/>
      <c r="T1581" s="251"/>
      <c r="U1581" s="251"/>
      <c r="V1581" s="251"/>
      <c r="W1581" s="251"/>
      <c r="X1581" s="251"/>
      <c r="Y1581" s="251"/>
      <c r="Z1581" s="251"/>
      <c r="AA1581" s="137"/>
      <c r="AB1581" s="137"/>
      <c r="AC1581" s="137"/>
      <c r="AD1581" s="137"/>
      <c r="AE1581" s="137"/>
      <c r="AF1581" s="137"/>
      <c r="AG1581" s="137"/>
    </row>
    <row r="1582" ht="30.0" customHeight="1">
      <c r="A1582" s="248"/>
      <c r="B1582" s="249"/>
      <c r="C1582" s="248"/>
      <c r="D1582" s="249"/>
      <c r="E1582" s="249"/>
      <c r="F1582" s="249"/>
      <c r="G1582" s="250"/>
      <c r="H1582" s="251"/>
      <c r="I1582" s="252"/>
      <c r="J1582" s="252"/>
      <c r="K1582" s="252"/>
      <c r="L1582" s="251"/>
      <c r="M1582" s="251"/>
      <c r="N1582" s="251"/>
      <c r="O1582" s="251"/>
      <c r="P1582" s="251"/>
      <c r="Q1582" s="251"/>
      <c r="R1582" s="251"/>
      <c r="S1582" s="251"/>
      <c r="T1582" s="251"/>
      <c r="U1582" s="251"/>
      <c r="V1582" s="251"/>
      <c r="W1582" s="251"/>
      <c r="X1582" s="251"/>
      <c r="Y1582" s="251"/>
      <c r="Z1582" s="251"/>
      <c r="AA1582" s="137"/>
      <c r="AB1582" s="137"/>
      <c r="AC1582" s="137"/>
      <c r="AD1582" s="137"/>
      <c r="AE1582" s="137"/>
      <c r="AF1582" s="137"/>
      <c r="AG1582" s="137"/>
    </row>
    <row r="1583" ht="30.0" customHeight="1">
      <c r="A1583" s="248"/>
      <c r="B1583" s="249"/>
      <c r="C1583" s="248"/>
      <c r="D1583" s="249"/>
      <c r="E1583" s="249"/>
      <c r="F1583" s="249"/>
      <c r="G1583" s="250"/>
      <c r="H1583" s="251"/>
      <c r="I1583" s="252"/>
      <c r="J1583" s="252"/>
      <c r="K1583" s="252"/>
      <c r="L1583" s="251"/>
      <c r="M1583" s="251"/>
      <c r="N1583" s="251"/>
      <c r="O1583" s="251"/>
      <c r="P1583" s="251"/>
      <c r="Q1583" s="251"/>
      <c r="R1583" s="251"/>
      <c r="S1583" s="251"/>
      <c r="T1583" s="251"/>
      <c r="U1583" s="251"/>
      <c r="V1583" s="251"/>
      <c r="W1583" s="251"/>
      <c r="X1583" s="251"/>
      <c r="Y1583" s="251"/>
      <c r="Z1583" s="251"/>
      <c r="AA1583" s="137"/>
      <c r="AB1583" s="137"/>
      <c r="AC1583" s="137"/>
      <c r="AD1583" s="137"/>
      <c r="AE1583" s="137"/>
      <c r="AF1583" s="137"/>
      <c r="AG1583" s="137"/>
    </row>
    <row r="1584" ht="30.0" customHeight="1">
      <c r="A1584" s="248"/>
      <c r="B1584" s="249"/>
      <c r="C1584" s="248"/>
      <c r="D1584" s="249"/>
      <c r="E1584" s="249"/>
      <c r="F1584" s="249"/>
      <c r="G1584" s="250"/>
      <c r="H1584" s="251"/>
      <c r="I1584" s="252"/>
      <c r="J1584" s="252"/>
      <c r="K1584" s="252"/>
      <c r="L1584" s="251"/>
      <c r="M1584" s="251"/>
      <c r="N1584" s="251"/>
      <c r="O1584" s="251"/>
      <c r="P1584" s="251"/>
      <c r="Q1584" s="251"/>
      <c r="R1584" s="251"/>
      <c r="S1584" s="251"/>
      <c r="T1584" s="251"/>
      <c r="U1584" s="251"/>
      <c r="V1584" s="251"/>
      <c r="W1584" s="251"/>
      <c r="X1584" s="251"/>
      <c r="Y1584" s="251"/>
      <c r="Z1584" s="251"/>
      <c r="AA1584" s="137"/>
      <c r="AB1584" s="137"/>
      <c r="AC1584" s="137"/>
      <c r="AD1584" s="137"/>
      <c r="AE1584" s="137"/>
      <c r="AF1584" s="137"/>
      <c r="AG1584" s="137"/>
    </row>
    <row r="1585" ht="30.0" customHeight="1">
      <c r="A1585" s="248"/>
      <c r="B1585" s="249"/>
      <c r="C1585" s="248"/>
      <c r="D1585" s="249"/>
      <c r="E1585" s="249"/>
      <c r="F1585" s="249"/>
      <c r="G1585" s="250"/>
      <c r="H1585" s="251"/>
      <c r="I1585" s="252"/>
      <c r="J1585" s="252"/>
      <c r="K1585" s="252"/>
      <c r="L1585" s="251"/>
      <c r="M1585" s="251"/>
      <c r="N1585" s="251"/>
      <c r="O1585" s="251"/>
      <c r="P1585" s="251"/>
      <c r="Q1585" s="251"/>
      <c r="R1585" s="251"/>
      <c r="S1585" s="251"/>
      <c r="T1585" s="251"/>
      <c r="U1585" s="251"/>
      <c r="V1585" s="251"/>
      <c r="W1585" s="251"/>
      <c r="X1585" s="251"/>
      <c r="Y1585" s="251"/>
      <c r="Z1585" s="251"/>
      <c r="AA1585" s="137"/>
      <c r="AB1585" s="137"/>
      <c r="AC1585" s="137"/>
      <c r="AD1585" s="137"/>
      <c r="AE1585" s="137"/>
      <c r="AF1585" s="137"/>
      <c r="AG1585" s="137"/>
    </row>
    <row r="1586" ht="30.0" customHeight="1">
      <c r="A1586" s="248"/>
      <c r="B1586" s="249"/>
      <c r="C1586" s="248"/>
      <c r="D1586" s="249"/>
      <c r="E1586" s="249"/>
      <c r="F1586" s="249"/>
      <c r="G1586" s="250"/>
      <c r="H1586" s="251"/>
      <c r="I1586" s="252"/>
      <c r="J1586" s="252"/>
      <c r="K1586" s="252"/>
      <c r="L1586" s="251"/>
      <c r="M1586" s="251"/>
      <c r="N1586" s="251"/>
      <c r="O1586" s="251"/>
      <c r="P1586" s="251"/>
      <c r="Q1586" s="251"/>
      <c r="R1586" s="251"/>
      <c r="S1586" s="251"/>
      <c r="T1586" s="251"/>
      <c r="U1586" s="251"/>
      <c r="V1586" s="251"/>
      <c r="W1586" s="251"/>
      <c r="X1586" s="251"/>
      <c r="Y1586" s="251"/>
      <c r="Z1586" s="251"/>
      <c r="AA1586" s="137"/>
      <c r="AB1586" s="137"/>
      <c r="AC1586" s="137"/>
      <c r="AD1586" s="137"/>
      <c r="AE1586" s="137"/>
      <c r="AF1586" s="137"/>
      <c r="AG1586" s="137"/>
    </row>
    <row r="1587" ht="30.0" customHeight="1">
      <c r="A1587" s="248"/>
      <c r="B1587" s="249"/>
      <c r="C1587" s="248"/>
      <c r="D1587" s="249"/>
      <c r="E1587" s="249"/>
      <c r="F1587" s="249"/>
      <c r="G1587" s="250"/>
      <c r="H1587" s="251"/>
      <c r="I1587" s="252"/>
      <c r="J1587" s="252"/>
      <c r="K1587" s="252"/>
      <c r="L1587" s="251"/>
      <c r="M1587" s="251"/>
      <c r="N1587" s="251"/>
      <c r="O1587" s="251"/>
      <c r="P1587" s="251"/>
      <c r="Q1587" s="251"/>
      <c r="R1587" s="251"/>
      <c r="S1587" s="251"/>
      <c r="T1587" s="251"/>
      <c r="U1587" s="251"/>
      <c r="V1587" s="251"/>
      <c r="W1587" s="251"/>
      <c r="X1587" s="251"/>
      <c r="Y1587" s="251"/>
      <c r="Z1587" s="251"/>
      <c r="AA1587" s="137"/>
      <c r="AB1587" s="137"/>
      <c r="AC1587" s="137"/>
      <c r="AD1587" s="137"/>
      <c r="AE1587" s="137"/>
      <c r="AF1587" s="137"/>
      <c r="AG1587" s="137"/>
    </row>
    <row r="1588" ht="30.0" customHeight="1">
      <c r="A1588" s="248"/>
      <c r="B1588" s="249"/>
      <c r="C1588" s="248"/>
      <c r="D1588" s="249"/>
      <c r="E1588" s="249"/>
      <c r="F1588" s="249"/>
      <c r="G1588" s="250"/>
      <c r="H1588" s="251"/>
      <c r="I1588" s="252"/>
      <c r="J1588" s="252"/>
      <c r="K1588" s="252"/>
      <c r="L1588" s="251"/>
      <c r="M1588" s="251"/>
      <c r="N1588" s="251"/>
      <c r="O1588" s="251"/>
      <c r="P1588" s="251"/>
      <c r="Q1588" s="251"/>
      <c r="R1588" s="251"/>
      <c r="S1588" s="251"/>
      <c r="T1588" s="251"/>
      <c r="U1588" s="251"/>
      <c r="V1588" s="251"/>
      <c r="W1588" s="251"/>
      <c r="X1588" s="251"/>
      <c r="Y1588" s="251"/>
      <c r="Z1588" s="251"/>
      <c r="AA1588" s="137"/>
      <c r="AB1588" s="137"/>
      <c r="AC1588" s="137"/>
      <c r="AD1588" s="137"/>
      <c r="AE1588" s="137"/>
      <c r="AF1588" s="137"/>
      <c r="AG1588" s="137"/>
    </row>
    <row r="1589" ht="30.0" customHeight="1">
      <c r="A1589" s="248"/>
      <c r="B1589" s="249"/>
      <c r="C1589" s="248"/>
      <c r="D1589" s="249"/>
      <c r="E1589" s="249"/>
      <c r="F1589" s="249"/>
      <c r="G1589" s="250"/>
      <c r="H1589" s="251"/>
      <c r="I1589" s="252"/>
      <c r="J1589" s="252"/>
      <c r="K1589" s="252"/>
      <c r="L1589" s="251"/>
      <c r="M1589" s="251"/>
      <c r="N1589" s="251"/>
      <c r="O1589" s="251"/>
      <c r="P1589" s="251"/>
      <c r="Q1589" s="251"/>
      <c r="R1589" s="251"/>
      <c r="S1589" s="251"/>
      <c r="T1589" s="251"/>
      <c r="U1589" s="251"/>
      <c r="V1589" s="251"/>
      <c r="W1589" s="251"/>
      <c r="X1589" s="251"/>
      <c r="Y1589" s="251"/>
      <c r="Z1589" s="251"/>
      <c r="AA1589" s="137"/>
      <c r="AB1589" s="137"/>
      <c r="AC1589" s="137"/>
      <c r="AD1589" s="137"/>
      <c r="AE1589" s="137"/>
      <c r="AF1589" s="137"/>
      <c r="AG1589" s="137"/>
    </row>
    <row r="1590" ht="30.0" customHeight="1">
      <c r="A1590" s="248"/>
      <c r="B1590" s="249"/>
      <c r="C1590" s="248"/>
      <c r="D1590" s="249"/>
      <c r="E1590" s="249"/>
      <c r="F1590" s="249"/>
      <c r="G1590" s="250"/>
      <c r="H1590" s="251"/>
      <c r="I1590" s="252"/>
      <c r="J1590" s="252"/>
      <c r="K1590" s="252"/>
      <c r="L1590" s="251"/>
      <c r="M1590" s="251"/>
      <c r="N1590" s="251"/>
      <c r="O1590" s="251"/>
      <c r="P1590" s="251"/>
      <c r="Q1590" s="251"/>
      <c r="R1590" s="251"/>
      <c r="S1590" s="251"/>
      <c r="T1590" s="251"/>
      <c r="U1590" s="251"/>
      <c r="V1590" s="251"/>
      <c r="W1590" s="251"/>
      <c r="X1590" s="251"/>
      <c r="Y1590" s="251"/>
      <c r="Z1590" s="251"/>
      <c r="AA1590" s="137"/>
      <c r="AB1590" s="137"/>
      <c r="AC1590" s="137"/>
      <c r="AD1590" s="137"/>
      <c r="AE1590" s="137"/>
      <c r="AF1590" s="137"/>
      <c r="AG1590" s="137"/>
    </row>
    <row r="1591" ht="30.0" customHeight="1">
      <c r="A1591" s="248"/>
      <c r="B1591" s="249"/>
      <c r="C1591" s="248"/>
      <c r="D1591" s="249"/>
      <c r="E1591" s="249"/>
      <c r="F1591" s="249"/>
      <c r="G1591" s="250"/>
      <c r="H1591" s="251"/>
      <c r="I1591" s="252"/>
      <c r="J1591" s="252"/>
      <c r="K1591" s="252"/>
      <c r="L1591" s="251"/>
      <c r="M1591" s="251"/>
      <c r="N1591" s="251"/>
      <c r="O1591" s="251"/>
      <c r="P1591" s="251"/>
      <c r="Q1591" s="251"/>
      <c r="R1591" s="251"/>
      <c r="S1591" s="251"/>
      <c r="T1591" s="251"/>
      <c r="U1591" s="251"/>
      <c r="V1591" s="251"/>
      <c r="W1591" s="251"/>
      <c r="X1591" s="251"/>
      <c r="Y1591" s="251"/>
      <c r="Z1591" s="251"/>
      <c r="AA1591" s="137"/>
      <c r="AB1591" s="137"/>
      <c r="AC1591" s="137"/>
      <c r="AD1591" s="137"/>
      <c r="AE1591" s="137"/>
      <c r="AF1591" s="137"/>
      <c r="AG1591" s="137"/>
    </row>
    <row r="1592" ht="30.0" customHeight="1">
      <c r="A1592" s="248"/>
      <c r="B1592" s="249"/>
      <c r="C1592" s="248"/>
      <c r="D1592" s="249"/>
      <c r="E1592" s="249"/>
      <c r="F1592" s="249"/>
      <c r="G1592" s="250"/>
      <c r="H1592" s="251"/>
      <c r="I1592" s="252"/>
      <c r="J1592" s="252"/>
      <c r="K1592" s="252"/>
      <c r="L1592" s="251"/>
      <c r="M1592" s="251"/>
      <c r="N1592" s="251"/>
      <c r="O1592" s="251"/>
      <c r="P1592" s="251"/>
      <c r="Q1592" s="251"/>
      <c r="R1592" s="251"/>
      <c r="S1592" s="251"/>
      <c r="T1592" s="251"/>
      <c r="U1592" s="251"/>
      <c r="V1592" s="251"/>
      <c r="W1592" s="251"/>
      <c r="X1592" s="251"/>
      <c r="Y1592" s="251"/>
      <c r="Z1592" s="251"/>
      <c r="AA1592" s="137"/>
      <c r="AB1592" s="137"/>
      <c r="AC1592" s="137"/>
      <c r="AD1592" s="137"/>
      <c r="AE1592" s="137"/>
      <c r="AF1592" s="137"/>
      <c r="AG1592" s="137"/>
    </row>
    <row r="1593" ht="30.0" customHeight="1">
      <c r="A1593" s="248"/>
      <c r="B1593" s="249"/>
      <c r="C1593" s="248"/>
      <c r="D1593" s="249"/>
      <c r="E1593" s="249"/>
      <c r="F1593" s="249"/>
      <c r="G1593" s="250"/>
      <c r="H1593" s="251"/>
      <c r="I1593" s="252"/>
      <c r="J1593" s="252"/>
      <c r="K1593" s="252"/>
      <c r="L1593" s="251"/>
      <c r="M1593" s="251"/>
      <c r="N1593" s="251"/>
      <c r="O1593" s="251"/>
      <c r="P1593" s="251"/>
      <c r="Q1593" s="251"/>
      <c r="R1593" s="251"/>
      <c r="S1593" s="251"/>
      <c r="T1593" s="251"/>
      <c r="U1593" s="251"/>
      <c r="V1593" s="251"/>
      <c r="W1593" s="251"/>
      <c r="X1593" s="251"/>
      <c r="Y1593" s="251"/>
      <c r="Z1593" s="251"/>
      <c r="AA1593" s="137"/>
      <c r="AB1593" s="137"/>
      <c r="AC1593" s="137"/>
      <c r="AD1593" s="137"/>
      <c r="AE1593" s="137"/>
      <c r="AF1593" s="137"/>
      <c r="AG1593" s="137"/>
    </row>
    <row r="1594" ht="30.0" customHeight="1">
      <c r="A1594" s="248"/>
      <c r="B1594" s="249"/>
      <c r="C1594" s="248"/>
      <c r="D1594" s="249"/>
      <c r="E1594" s="249"/>
      <c r="F1594" s="249"/>
      <c r="G1594" s="250"/>
      <c r="H1594" s="251"/>
      <c r="I1594" s="252"/>
      <c r="J1594" s="252"/>
      <c r="K1594" s="252"/>
      <c r="L1594" s="251"/>
      <c r="M1594" s="251"/>
      <c r="N1594" s="251"/>
      <c r="O1594" s="251"/>
      <c r="P1594" s="251"/>
      <c r="Q1594" s="251"/>
      <c r="R1594" s="251"/>
      <c r="S1594" s="251"/>
      <c r="T1594" s="251"/>
      <c r="U1594" s="251"/>
      <c r="V1594" s="251"/>
      <c r="W1594" s="251"/>
      <c r="X1594" s="251"/>
      <c r="Y1594" s="251"/>
      <c r="Z1594" s="251"/>
      <c r="AA1594" s="137"/>
      <c r="AB1594" s="137"/>
      <c r="AC1594" s="137"/>
      <c r="AD1594" s="137"/>
      <c r="AE1594" s="137"/>
      <c r="AF1594" s="137"/>
      <c r="AG1594" s="137"/>
    </row>
    <row r="1595" ht="30.0" customHeight="1">
      <c r="A1595" s="248"/>
      <c r="B1595" s="249"/>
      <c r="C1595" s="248"/>
      <c r="D1595" s="249"/>
      <c r="E1595" s="249"/>
      <c r="F1595" s="249"/>
      <c r="G1595" s="250"/>
      <c r="H1595" s="251"/>
      <c r="I1595" s="252"/>
      <c r="J1595" s="252"/>
      <c r="K1595" s="252"/>
      <c r="L1595" s="251"/>
      <c r="M1595" s="251"/>
      <c r="N1595" s="251"/>
      <c r="O1595" s="251"/>
      <c r="P1595" s="251"/>
      <c r="Q1595" s="251"/>
      <c r="R1595" s="251"/>
      <c r="S1595" s="251"/>
      <c r="T1595" s="251"/>
      <c r="U1595" s="251"/>
      <c r="V1595" s="251"/>
      <c r="W1595" s="251"/>
      <c r="X1595" s="251"/>
      <c r="Y1595" s="251"/>
      <c r="Z1595" s="251"/>
      <c r="AA1595" s="137"/>
      <c r="AB1595" s="137"/>
      <c r="AC1595" s="137"/>
      <c r="AD1595" s="137"/>
      <c r="AE1595" s="137"/>
      <c r="AF1595" s="137"/>
      <c r="AG1595" s="137"/>
    </row>
    <row r="1596" ht="30.0" customHeight="1">
      <c r="A1596" s="248"/>
      <c r="B1596" s="249"/>
      <c r="C1596" s="248"/>
      <c r="D1596" s="249"/>
      <c r="E1596" s="249"/>
      <c r="F1596" s="249"/>
      <c r="G1596" s="250"/>
      <c r="H1596" s="251"/>
      <c r="I1596" s="252"/>
      <c r="J1596" s="252"/>
      <c r="K1596" s="252"/>
      <c r="L1596" s="251"/>
      <c r="M1596" s="251"/>
      <c r="N1596" s="251"/>
      <c r="O1596" s="251"/>
      <c r="P1596" s="251"/>
      <c r="Q1596" s="251"/>
      <c r="R1596" s="251"/>
      <c r="S1596" s="251"/>
      <c r="T1596" s="251"/>
      <c r="U1596" s="251"/>
      <c r="V1596" s="251"/>
      <c r="W1596" s="251"/>
      <c r="X1596" s="251"/>
      <c r="Y1596" s="251"/>
      <c r="Z1596" s="251"/>
      <c r="AA1596" s="137"/>
      <c r="AB1596" s="137"/>
      <c r="AC1596" s="137"/>
      <c r="AD1596" s="137"/>
      <c r="AE1596" s="137"/>
      <c r="AF1596" s="137"/>
      <c r="AG1596" s="137"/>
    </row>
    <row r="1597" ht="30.0" customHeight="1">
      <c r="A1597" s="248"/>
      <c r="B1597" s="249"/>
      <c r="C1597" s="248"/>
      <c r="D1597" s="249"/>
      <c r="E1597" s="249"/>
      <c r="F1597" s="249"/>
      <c r="G1597" s="250"/>
      <c r="H1597" s="251"/>
      <c r="I1597" s="252"/>
      <c r="J1597" s="252"/>
      <c r="K1597" s="252"/>
      <c r="L1597" s="251"/>
      <c r="M1597" s="251"/>
      <c r="N1597" s="251"/>
      <c r="O1597" s="251"/>
      <c r="P1597" s="251"/>
      <c r="Q1597" s="251"/>
      <c r="R1597" s="251"/>
      <c r="S1597" s="251"/>
      <c r="T1597" s="251"/>
      <c r="U1597" s="251"/>
      <c r="V1597" s="251"/>
      <c r="W1597" s="251"/>
      <c r="X1597" s="251"/>
      <c r="Y1597" s="251"/>
      <c r="Z1597" s="251"/>
      <c r="AA1597" s="137"/>
      <c r="AB1597" s="137"/>
      <c r="AC1597" s="137"/>
      <c r="AD1597" s="137"/>
      <c r="AE1597" s="137"/>
      <c r="AF1597" s="137"/>
      <c r="AG1597" s="137"/>
    </row>
    <row r="1598" ht="30.0" customHeight="1">
      <c r="A1598" s="248"/>
      <c r="B1598" s="249"/>
      <c r="C1598" s="248"/>
      <c r="D1598" s="249"/>
      <c r="E1598" s="249"/>
      <c r="F1598" s="249"/>
      <c r="G1598" s="250"/>
      <c r="H1598" s="251"/>
      <c r="I1598" s="252"/>
      <c r="J1598" s="252"/>
      <c r="K1598" s="252"/>
      <c r="L1598" s="251"/>
      <c r="M1598" s="251"/>
      <c r="N1598" s="251"/>
      <c r="O1598" s="251"/>
      <c r="P1598" s="251"/>
      <c r="Q1598" s="251"/>
      <c r="R1598" s="251"/>
      <c r="S1598" s="251"/>
      <c r="T1598" s="251"/>
      <c r="U1598" s="251"/>
      <c r="V1598" s="251"/>
      <c r="W1598" s="251"/>
      <c r="X1598" s="251"/>
      <c r="Y1598" s="251"/>
      <c r="Z1598" s="251"/>
      <c r="AA1598" s="137"/>
      <c r="AB1598" s="137"/>
      <c r="AC1598" s="137"/>
      <c r="AD1598" s="137"/>
      <c r="AE1598" s="137"/>
      <c r="AF1598" s="137"/>
      <c r="AG1598" s="137"/>
    </row>
    <row r="1599" ht="30.0" customHeight="1">
      <c r="A1599" s="248"/>
      <c r="B1599" s="249"/>
      <c r="C1599" s="248"/>
      <c r="D1599" s="249"/>
      <c r="E1599" s="249"/>
      <c r="F1599" s="249"/>
      <c r="G1599" s="250"/>
      <c r="H1599" s="251"/>
      <c r="I1599" s="252"/>
      <c r="J1599" s="252"/>
      <c r="K1599" s="252"/>
      <c r="L1599" s="251"/>
      <c r="M1599" s="251"/>
      <c r="N1599" s="251"/>
      <c r="O1599" s="251"/>
      <c r="P1599" s="251"/>
      <c r="Q1599" s="251"/>
      <c r="R1599" s="251"/>
      <c r="S1599" s="251"/>
      <c r="T1599" s="251"/>
      <c r="U1599" s="251"/>
      <c r="V1599" s="251"/>
      <c r="W1599" s="251"/>
      <c r="X1599" s="251"/>
      <c r="Y1599" s="251"/>
      <c r="Z1599" s="251"/>
      <c r="AA1599" s="137"/>
      <c r="AB1599" s="137"/>
      <c r="AC1599" s="137"/>
      <c r="AD1599" s="137"/>
      <c r="AE1599" s="137"/>
      <c r="AF1599" s="137"/>
      <c r="AG1599" s="137"/>
    </row>
    <row r="1600" ht="30.0" customHeight="1">
      <c r="A1600" s="248"/>
      <c r="B1600" s="249"/>
      <c r="C1600" s="248"/>
      <c r="D1600" s="249"/>
      <c r="E1600" s="249"/>
      <c r="F1600" s="249"/>
      <c r="G1600" s="250"/>
      <c r="H1600" s="251"/>
      <c r="I1600" s="252"/>
      <c r="J1600" s="252"/>
      <c r="K1600" s="252"/>
      <c r="L1600" s="251"/>
      <c r="M1600" s="251"/>
      <c r="N1600" s="251"/>
      <c r="O1600" s="251"/>
      <c r="P1600" s="251"/>
      <c r="Q1600" s="251"/>
      <c r="R1600" s="251"/>
      <c r="S1600" s="251"/>
      <c r="T1600" s="251"/>
      <c r="U1600" s="251"/>
      <c r="V1600" s="251"/>
      <c r="W1600" s="251"/>
      <c r="X1600" s="251"/>
      <c r="Y1600" s="251"/>
      <c r="Z1600" s="251"/>
      <c r="AA1600" s="137"/>
      <c r="AB1600" s="137"/>
      <c r="AC1600" s="137"/>
      <c r="AD1600" s="137"/>
      <c r="AE1600" s="137"/>
      <c r="AF1600" s="137"/>
      <c r="AG1600" s="137"/>
    </row>
    <row r="1601" ht="30.0" customHeight="1">
      <c r="A1601" s="248"/>
      <c r="B1601" s="249"/>
      <c r="C1601" s="248"/>
      <c r="D1601" s="249"/>
      <c r="E1601" s="249"/>
      <c r="F1601" s="249"/>
      <c r="G1601" s="250"/>
      <c r="H1601" s="251"/>
      <c r="I1601" s="252"/>
      <c r="J1601" s="252"/>
      <c r="K1601" s="252"/>
      <c r="L1601" s="251"/>
      <c r="M1601" s="251"/>
      <c r="N1601" s="251"/>
      <c r="O1601" s="251"/>
      <c r="P1601" s="251"/>
      <c r="Q1601" s="251"/>
      <c r="R1601" s="251"/>
      <c r="S1601" s="251"/>
      <c r="T1601" s="251"/>
      <c r="U1601" s="251"/>
      <c r="V1601" s="251"/>
      <c r="W1601" s="251"/>
      <c r="X1601" s="251"/>
      <c r="Y1601" s="251"/>
      <c r="Z1601" s="251"/>
      <c r="AA1601" s="137"/>
      <c r="AB1601" s="137"/>
      <c r="AC1601" s="137"/>
      <c r="AD1601" s="137"/>
      <c r="AE1601" s="137"/>
      <c r="AF1601" s="137"/>
      <c r="AG1601" s="137"/>
    </row>
    <row r="1602" ht="30.0" customHeight="1">
      <c r="A1602" s="248"/>
      <c r="B1602" s="249"/>
      <c r="C1602" s="248"/>
      <c r="D1602" s="249"/>
      <c r="E1602" s="249"/>
      <c r="F1602" s="249"/>
      <c r="G1602" s="250"/>
      <c r="H1602" s="251"/>
      <c r="I1602" s="252"/>
      <c r="J1602" s="252"/>
      <c r="K1602" s="252"/>
      <c r="L1602" s="251"/>
      <c r="M1602" s="251"/>
      <c r="N1602" s="251"/>
      <c r="O1602" s="251"/>
      <c r="P1602" s="251"/>
      <c r="Q1602" s="251"/>
      <c r="R1602" s="251"/>
      <c r="S1602" s="251"/>
      <c r="T1602" s="251"/>
      <c r="U1602" s="251"/>
      <c r="V1602" s="251"/>
      <c r="W1602" s="251"/>
      <c r="X1602" s="251"/>
      <c r="Y1602" s="251"/>
      <c r="Z1602" s="251"/>
      <c r="AA1602" s="137"/>
      <c r="AB1602" s="137"/>
      <c r="AC1602" s="137"/>
      <c r="AD1602" s="137"/>
      <c r="AE1602" s="137"/>
      <c r="AF1602" s="137"/>
      <c r="AG1602" s="137"/>
    </row>
    <row r="1603" ht="30.0" customHeight="1">
      <c r="A1603" s="248"/>
      <c r="B1603" s="249"/>
      <c r="C1603" s="248"/>
      <c r="D1603" s="249"/>
      <c r="E1603" s="249"/>
      <c r="F1603" s="249"/>
      <c r="G1603" s="250"/>
      <c r="H1603" s="251"/>
      <c r="I1603" s="252"/>
      <c r="J1603" s="252"/>
      <c r="K1603" s="252"/>
      <c r="L1603" s="251"/>
      <c r="M1603" s="251"/>
      <c r="N1603" s="251"/>
      <c r="O1603" s="251"/>
      <c r="P1603" s="251"/>
      <c r="Q1603" s="251"/>
      <c r="R1603" s="251"/>
      <c r="S1603" s="251"/>
      <c r="T1603" s="251"/>
      <c r="U1603" s="251"/>
      <c r="V1603" s="251"/>
      <c r="W1603" s="251"/>
      <c r="X1603" s="251"/>
      <c r="Y1603" s="251"/>
      <c r="Z1603" s="251"/>
      <c r="AA1603" s="137"/>
      <c r="AB1603" s="137"/>
      <c r="AC1603" s="137"/>
      <c r="AD1603" s="137"/>
      <c r="AE1603" s="137"/>
      <c r="AF1603" s="137"/>
      <c r="AG1603" s="137"/>
    </row>
    <row r="1604" ht="30.0" customHeight="1">
      <c r="A1604" s="248"/>
      <c r="B1604" s="249"/>
      <c r="C1604" s="248"/>
      <c r="D1604" s="249"/>
      <c r="E1604" s="249"/>
      <c r="F1604" s="249"/>
      <c r="G1604" s="250"/>
      <c r="H1604" s="251"/>
      <c r="I1604" s="252"/>
      <c r="J1604" s="252"/>
      <c r="K1604" s="252"/>
      <c r="L1604" s="251"/>
      <c r="M1604" s="251"/>
      <c r="N1604" s="251"/>
      <c r="O1604" s="251"/>
      <c r="P1604" s="251"/>
      <c r="Q1604" s="251"/>
      <c r="R1604" s="251"/>
      <c r="S1604" s="251"/>
      <c r="T1604" s="251"/>
      <c r="U1604" s="251"/>
      <c r="V1604" s="251"/>
      <c r="W1604" s="251"/>
      <c r="X1604" s="251"/>
      <c r="Y1604" s="251"/>
      <c r="Z1604" s="251"/>
      <c r="AA1604" s="137"/>
      <c r="AB1604" s="137"/>
      <c r="AC1604" s="137"/>
      <c r="AD1604" s="137"/>
      <c r="AE1604" s="137"/>
      <c r="AF1604" s="137"/>
      <c r="AG1604" s="137"/>
    </row>
    <row r="1605" ht="30.0" customHeight="1">
      <c r="A1605" s="248"/>
      <c r="B1605" s="249"/>
      <c r="C1605" s="248"/>
      <c r="D1605" s="249"/>
      <c r="E1605" s="249"/>
      <c r="F1605" s="249"/>
      <c r="G1605" s="250"/>
      <c r="H1605" s="251"/>
      <c r="I1605" s="252"/>
      <c r="J1605" s="252"/>
      <c r="K1605" s="252"/>
      <c r="L1605" s="251"/>
      <c r="M1605" s="251"/>
      <c r="N1605" s="251"/>
      <c r="O1605" s="251"/>
      <c r="P1605" s="251"/>
      <c r="Q1605" s="251"/>
      <c r="R1605" s="251"/>
      <c r="S1605" s="251"/>
      <c r="T1605" s="251"/>
      <c r="U1605" s="251"/>
      <c r="V1605" s="251"/>
      <c r="W1605" s="251"/>
      <c r="X1605" s="251"/>
      <c r="Y1605" s="251"/>
      <c r="Z1605" s="251"/>
      <c r="AA1605" s="137"/>
      <c r="AB1605" s="137"/>
      <c r="AC1605" s="137"/>
      <c r="AD1605" s="137"/>
      <c r="AE1605" s="137"/>
      <c r="AF1605" s="137"/>
      <c r="AG1605" s="137"/>
    </row>
    <row r="1606" ht="30.0" customHeight="1">
      <c r="A1606" s="248"/>
      <c r="B1606" s="249"/>
      <c r="C1606" s="248"/>
      <c r="D1606" s="249"/>
      <c r="E1606" s="249"/>
      <c r="F1606" s="249"/>
      <c r="G1606" s="250"/>
      <c r="H1606" s="251"/>
      <c r="I1606" s="252"/>
      <c r="J1606" s="252"/>
      <c r="K1606" s="252"/>
      <c r="L1606" s="251"/>
      <c r="M1606" s="251"/>
      <c r="N1606" s="251"/>
      <c r="O1606" s="251"/>
      <c r="P1606" s="251"/>
      <c r="Q1606" s="251"/>
      <c r="R1606" s="251"/>
      <c r="S1606" s="251"/>
      <c r="T1606" s="251"/>
      <c r="U1606" s="251"/>
      <c r="V1606" s="251"/>
      <c r="W1606" s="251"/>
      <c r="X1606" s="251"/>
      <c r="Y1606" s="251"/>
      <c r="Z1606" s="251"/>
      <c r="AA1606" s="137"/>
      <c r="AB1606" s="137"/>
      <c r="AC1606" s="137"/>
      <c r="AD1606" s="137"/>
      <c r="AE1606" s="137"/>
      <c r="AF1606" s="137"/>
      <c r="AG1606" s="137"/>
    </row>
    <row r="1607" ht="30.0" customHeight="1">
      <c r="A1607" s="248"/>
      <c r="B1607" s="249"/>
      <c r="C1607" s="248"/>
      <c r="D1607" s="249"/>
      <c r="E1607" s="249"/>
      <c r="F1607" s="249"/>
      <c r="G1607" s="250"/>
      <c r="H1607" s="251"/>
      <c r="I1607" s="252"/>
      <c r="J1607" s="252"/>
      <c r="K1607" s="252"/>
      <c r="L1607" s="251"/>
      <c r="M1607" s="251"/>
      <c r="N1607" s="251"/>
      <c r="O1607" s="251"/>
      <c r="P1607" s="251"/>
      <c r="Q1607" s="251"/>
      <c r="R1607" s="251"/>
      <c r="S1607" s="251"/>
      <c r="T1607" s="251"/>
      <c r="U1607" s="251"/>
      <c r="V1607" s="251"/>
      <c r="W1607" s="251"/>
      <c r="X1607" s="251"/>
      <c r="Y1607" s="251"/>
      <c r="Z1607" s="251"/>
      <c r="AA1607" s="137"/>
      <c r="AB1607" s="137"/>
      <c r="AC1607" s="137"/>
      <c r="AD1607" s="137"/>
      <c r="AE1607" s="137"/>
      <c r="AF1607" s="137"/>
      <c r="AG1607" s="137"/>
    </row>
    <row r="1608" ht="30.0" customHeight="1">
      <c r="A1608" s="248"/>
      <c r="B1608" s="249"/>
      <c r="C1608" s="248"/>
      <c r="D1608" s="249"/>
      <c r="E1608" s="249"/>
      <c r="F1608" s="249"/>
      <c r="G1608" s="250"/>
      <c r="H1608" s="251"/>
      <c r="I1608" s="252"/>
      <c r="J1608" s="252"/>
      <c r="K1608" s="252"/>
      <c r="L1608" s="251"/>
      <c r="M1608" s="251"/>
      <c r="N1608" s="251"/>
      <c r="O1608" s="251"/>
      <c r="P1608" s="251"/>
      <c r="Q1608" s="251"/>
      <c r="R1608" s="251"/>
      <c r="S1608" s="251"/>
      <c r="T1608" s="251"/>
      <c r="U1608" s="251"/>
      <c r="V1608" s="251"/>
      <c r="W1608" s="251"/>
      <c r="X1608" s="251"/>
      <c r="Y1608" s="251"/>
      <c r="Z1608" s="251"/>
      <c r="AA1608" s="137"/>
      <c r="AB1608" s="137"/>
      <c r="AC1608" s="137"/>
      <c r="AD1608" s="137"/>
      <c r="AE1608" s="137"/>
      <c r="AF1608" s="137"/>
      <c r="AG1608" s="137"/>
    </row>
    <row r="1609" ht="30.0" customHeight="1">
      <c r="A1609" s="248"/>
      <c r="B1609" s="249"/>
      <c r="C1609" s="248"/>
      <c r="D1609" s="249"/>
      <c r="E1609" s="249"/>
      <c r="F1609" s="249"/>
      <c r="G1609" s="250"/>
      <c r="H1609" s="251"/>
      <c r="I1609" s="252"/>
      <c r="J1609" s="252"/>
      <c r="K1609" s="252"/>
      <c r="L1609" s="251"/>
      <c r="M1609" s="251"/>
      <c r="N1609" s="251"/>
      <c r="O1609" s="251"/>
      <c r="P1609" s="251"/>
      <c r="Q1609" s="251"/>
      <c r="R1609" s="251"/>
      <c r="S1609" s="251"/>
      <c r="T1609" s="251"/>
      <c r="U1609" s="251"/>
      <c r="V1609" s="251"/>
      <c r="W1609" s="251"/>
      <c r="X1609" s="251"/>
      <c r="Y1609" s="251"/>
      <c r="Z1609" s="251"/>
      <c r="AA1609" s="137"/>
      <c r="AB1609" s="137"/>
      <c r="AC1609" s="137"/>
      <c r="AD1609" s="137"/>
      <c r="AE1609" s="137"/>
      <c r="AF1609" s="137"/>
      <c r="AG1609" s="137"/>
    </row>
    <row r="1610" ht="30.0" customHeight="1">
      <c r="A1610" s="248"/>
      <c r="B1610" s="249"/>
      <c r="C1610" s="248"/>
      <c r="D1610" s="249"/>
      <c r="E1610" s="249"/>
      <c r="F1610" s="249"/>
      <c r="G1610" s="250"/>
      <c r="H1610" s="251"/>
      <c r="I1610" s="252"/>
      <c r="J1610" s="252"/>
      <c r="K1610" s="252"/>
      <c r="L1610" s="251"/>
      <c r="M1610" s="251"/>
      <c r="N1610" s="251"/>
      <c r="O1610" s="251"/>
      <c r="P1610" s="251"/>
      <c r="Q1610" s="251"/>
      <c r="R1610" s="251"/>
      <c r="S1610" s="251"/>
      <c r="T1610" s="251"/>
      <c r="U1610" s="251"/>
      <c r="V1610" s="251"/>
      <c r="W1610" s="251"/>
      <c r="X1610" s="251"/>
      <c r="Y1610" s="251"/>
      <c r="Z1610" s="251"/>
      <c r="AA1610" s="137"/>
      <c r="AB1610" s="137"/>
      <c r="AC1610" s="137"/>
      <c r="AD1610" s="137"/>
      <c r="AE1610" s="137"/>
      <c r="AF1610" s="137"/>
      <c r="AG1610" s="137"/>
    </row>
    <row r="1611" ht="30.0" customHeight="1">
      <c r="A1611" s="248"/>
      <c r="B1611" s="249"/>
      <c r="C1611" s="248"/>
      <c r="D1611" s="249"/>
      <c r="E1611" s="249"/>
      <c r="F1611" s="249"/>
      <c r="G1611" s="250"/>
      <c r="H1611" s="251"/>
      <c r="I1611" s="252"/>
      <c r="J1611" s="252"/>
      <c r="K1611" s="252"/>
      <c r="L1611" s="251"/>
      <c r="M1611" s="251"/>
      <c r="N1611" s="251"/>
      <c r="O1611" s="251"/>
      <c r="P1611" s="251"/>
      <c r="Q1611" s="251"/>
      <c r="R1611" s="251"/>
      <c r="S1611" s="251"/>
      <c r="T1611" s="251"/>
      <c r="U1611" s="251"/>
      <c r="V1611" s="251"/>
      <c r="W1611" s="251"/>
      <c r="X1611" s="251"/>
      <c r="Y1611" s="251"/>
      <c r="Z1611" s="251"/>
      <c r="AA1611" s="137"/>
      <c r="AB1611" s="137"/>
      <c r="AC1611" s="137"/>
      <c r="AD1611" s="137"/>
      <c r="AE1611" s="137"/>
      <c r="AF1611" s="137"/>
      <c r="AG1611" s="137"/>
    </row>
    <row r="1612" ht="30.0" customHeight="1">
      <c r="A1612" s="248"/>
      <c r="B1612" s="249"/>
      <c r="C1612" s="248"/>
      <c r="D1612" s="249"/>
      <c r="E1612" s="249"/>
      <c r="F1612" s="249"/>
      <c r="G1612" s="250"/>
      <c r="H1612" s="251"/>
      <c r="I1612" s="252"/>
      <c r="J1612" s="252"/>
      <c r="K1612" s="252"/>
      <c r="L1612" s="251"/>
      <c r="M1612" s="251"/>
      <c r="N1612" s="251"/>
      <c r="O1612" s="251"/>
      <c r="P1612" s="251"/>
      <c r="Q1612" s="251"/>
      <c r="R1612" s="251"/>
      <c r="S1612" s="251"/>
      <c r="T1612" s="251"/>
      <c r="U1612" s="251"/>
      <c r="V1612" s="251"/>
      <c r="W1612" s="251"/>
      <c r="X1612" s="251"/>
      <c r="Y1612" s="251"/>
      <c r="Z1612" s="251"/>
      <c r="AA1612" s="137"/>
      <c r="AB1612" s="137"/>
      <c r="AC1612" s="137"/>
      <c r="AD1612" s="137"/>
      <c r="AE1612" s="137"/>
      <c r="AF1612" s="137"/>
      <c r="AG1612" s="137"/>
    </row>
    <row r="1613" ht="30.0" customHeight="1">
      <c r="A1613" s="248"/>
      <c r="B1613" s="249"/>
      <c r="C1613" s="248"/>
      <c r="D1613" s="249"/>
      <c r="E1613" s="249"/>
      <c r="F1613" s="249"/>
      <c r="G1613" s="249"/>
      <c r="H1613" s="251"/>
      <c r="I1613" s="252"/>
      <c r="J1613" s="252"/>
      <c r="K1613" s="252"/>
      <c r="L1613" s="251"/>
      <c r="M1613" s="251"/>
      <c r="N1613" s="251"/>
      <c r="O1613" s="251"/>
      <c r="P1613" s="251"/>
      <c r="Q1613" s="251"/>
      <c r="R1613" s="251"/>
      <c r="S1613" s="251"/>
      <c r="T1613" s="251"/>
      <c r="U1613" s="251"/>
      <c r="V1613" s="251"/>
      <c r="W1613" s="251"/>
      <c r="X1613" s="251"/>
      <c r="Y1613" s="251"/>
      <c r="Z1613" s="251"/>
      <c r="AA1613" s="137"/>
      <c r="AB1613" s="137"/>
      <c r="AC1613" s="137"/>
      <c r="AD1613" s="137"/>
      <c r="AE1613" s="137"/>
      <c r="AF1613" s="137"/>
      <c r="AG1613" s="137"/>
    </row>
    <row r="1614" ht="30.0" customHeight="1">
      <c r="A1614" s="248"/>
      <c r="B1614" s="249"/>
      <c r="C1614" s="248"/>
      <c r="D1614" s="249"/>
      <c r="E1614" s="249"/>
      <c r="F1614" s="249"/>
      <c r="G1614" s="250"/>
      <c r="H1614" s="251"/>
      <c r="I1614" s="252"/>
      <c r="J1614" s="252"/>
      <c r="K1614" s="252"/>
      <c r="L1614" s="251"/>
      <c r="M1614" s="251"/>
      <c r="N1614" s="251"/>
      <c r="O1614" s="251"/>
      <c r="P1614" s="251"/>
      <c r="Q1614" s="251"/>
      <c r="R1614" s="251"/>
      <c r="S1614" s="251"/>
      <c r="T1614" s="251"/>
      <c r="U1614" s="251"/>
      <c r="V1614" s="251"/>
      <c r="W1614" s="251"/>
      <c r="X1614" s="251"/>
      <c r="Y1614" s="251"/>
      <c r="Z1614" s="251"/>
      <c r="AA1614" s="137"/>
      <c r="AB1614" s="137"/>
      <c r="AC1614" s="137"/>
      <c r="AD1614" s="137"/>
      <c r="AE1614" s="137"/>
      <c r="AF1614" s="137"/>
      <c r="AG1614" s="137"/>
    </row>
    <row r="1615" ht="30.0" customHeight="1">
      <c r="A1615" s="248"/>
      <c r="B1615" s="249"/>
      <c r="C1615" s="248"/>
      <c r="D1615" s="249"/>
      <c r="E1615" s="249"/>
      <c r="F1615" s="249"/>
      <c r="G1615" s="250"/>
      <c r="H1615" s="251"/>
      <c r="I1615" s="252"/>
      <c r="J1615" s="252"/>
      <c r="K1615" s="252"/>
      <c r="L1615" s="251"/>
      <c r="M1615" s="251"/>
      <c r="N1615" s="251"/>
      <c r="O1615" s="251"/>
      <c r="P1615" s="251"/>
      <c r="Q1615" s="251"/>
      <c r="R1615" s="251"/>
      <c r="S1615" s="251"/>
      <c r="T1615" s="251"/>
      <c r="U1615" s="251"/>
      <c r="V1615" s="251"/>
      <c r="W1615" s="251"/>
      <c r="X1615" s="251"/>
      <c r="Y1615" s="251"/>
      <c r="Z1615" s="251"/>
      <c r="AA1615" s="137"/>
      <c r="AB1615" s="137"/>
      <c r="AC1615" s="137"/>
      <c r="AD1615" s="137"/>
      <c r="AE1615" s="137"/>
      <c r="AF1615" s="137"/>
      <c r="AG1615" s="137"/>
    </row>
    <row r="1616" ht="30.0" customHeight="1">
      <c r="A1616" s="248"/>
      <c r="B1616" s="249"/>
      <c r="C1616" s="248"/>
      <c r="D1616" s="249"/>
      <c r="E1616" s="249"/>
      <c r="F1616" s="249"/>
      <c r="G1616" s="250"/>
      <c r="H1616" s="251"/>
      <c r="I1616" s="252"/>
      <c r="J1616" s="252"/>
      <c r="K1616" s="252"/>
      <c r="L1616" s="251"/>
      <c r="M1616" s="251"/>
      <c r="N1616" s="251"/>
      <c r="O1616" s="251"/>
      <c r="P1616" s="251"/>
      <c r="Q1616" s="251"/>
      <c r="R1616" s="251"/>
      <c r="S1616" s="251"/>
      <c r="T1616" s="251"/>
      <c r="U1616" s="251"/>
      <c r="V1616" s="251"/>
      <c r="W1616" s="251"/>
      <c r="X1616" s="251"/>
      <c r="Y1616" s="251"/>
      <c r="Z1616" s="251"/>
      <c r="AA1616" s="137"/>
      <c r="AB1616" s="137"/>
      <c r="AC1616" s="137"/>
      <c r="AD1616" s="137"/>
      <c r="AE1616" s="137"/>
      <c r="AF1616" s="137"/>
      <c r="AG1616" s="137"/>
    </row>
    <row r="1617" ht="30.0" customHeight="1">
      <c r="A1617" s="248"/>
      <c r="B1617" s="249"/>
      <c r="C1617" s="248"/>
      <c r="D1617" s="249"/>
      <c r="E1617" s="249"/>
      <c r="F1617" s="249"/>
      <c r="G1617" s="250"/>
      <c r="H1617" s="251"/>
      <c r="I1617" s="252"/>
      <c r="J1617" s="252"/>
      <c r="K1617" s="252"/>
      <c r="L1617" s="251"/>
      <c r="M1617" s="251"/>
      <c r="N1617" s="251"/>
      <c r="O1617" s="251"/>
      <c r="P1617" s="251"/>
      <c r="Q1617" s="251"/>
      <c r="R1617" s="251"/>
      <c r="S1617" s="251"/>
      <c r="T1617" s="251"/>
      <c r="U1617" s="251"/>
      <c r="V1617" s="251"/>
      <c r="W1617" s="251"/>
      <c r="X1617" s="251"/>
      <c r="Y1617" s="251"/>
      <c r="Z1617" s="251"/>
      <c r="AA1617" s="137"/>
      <c r="AB1617" s="137"/>
      <c r="AC1617" s="137"/>
      <c r="AD1617" s="137"/>
      <c r="AE1617" s="137"/>
      <c r="AF1617" s="137"/>
      <c r="AG1617" s="137"/>
    </row>
    <row r="1618" ht="30.0" customHeight="1">
      <c r="A1618" s="248"/>
      <c r="B1618" s="249"/>
      <c r="C1618" s="248"/>
      <c r="D1618" s="249"/>
      <c r="E1618" s="249"/>
      <c r="F1618" s="249"/>
      <c r="G1618" s="250"/>
      <c r="H1618" s="251"/>
      <c r="I1618" s="252"/>
      <c r="J1618" s="252"/>
      <c r="K1618" s="252"/>
      <c r="L1618" s="251"/>
      <c r="M1618" s="251"/>
      <c r="N1618" s="251"/>
      <c r="O1618" s="251"/>
      <c r="P1618" s="251"/>
      <c r="Q1618" s="251"/>
      <c r="R1618" s="251"/>
      <c r="S1618" s="251"/>
      <c r="T1618" s="251"/>
      <c r="U1618" s="251"/>
      <c r="V1618" s="251"/>
      <c r="W1618" s="251"/>
      <c r="X1618" s="251"/>
      <c r="Y1618" s="251"/>
      <c r="Z1618" s="251"/>
      <c r="AA1618" s="137"/>
      <c r="AB1618" s="137"/>
      <c r="AC1618" s="137"/>
      <c r="AD1618" s="137"/>
      <c r="AE1618" s="137"/>
      <c r="AF1618" s="137"/>
      <c r="AG1618" s="137"/>
    </row>
    <row r="1619" ht="30.0" customHeight="1">
      <c r="A1619" s="248"/>
      <c r="B1619" s="249"/>
      <c r="C1619" s="248"/>
      <c r="D1619" s="249"/>
      <c r="E1619" s="249"/>
      <c r="F1619" s="249"/>
      <c r="G1619" s="250"/>
      <c r="H1619" s="251"/>
      <c r="I1619" s="252"/>
      <c r="J1619" s="252"/>
      <c r="K1619" s="252"/>
      <c r="L1619" s="251"/>
      <c r="M1619" s="251"/>
      <c r="N1619" s="251"/>
      <c r="O1619" s="251"/>
      <c r="P1619" s="251"/>
      <c r="Q1619" s="251"/>
      <c r="R1619" s="251"/>
      <c r="S1619" s="251"/>
      <c r="T1619" s="251"/>
      <c r="U1619" s="251"/>
      <c r="V1619" s="251"/>
      <c r="W1619" s="251"/>
      <c r="X1619" s="251"/>
      <c r="Y1619" s="251"/>
      <c r="Z1619" s="251"/>
      <c r="AA1619" s="137"/>
      <c r="AB1619" s="137"/>
      <c r="AC1619" s="137"/>
      <c r="AD1619" s="137"/>
      <c r="AE1619" s="137"/>
      <c r="AF1619" s="137"/>
      <c r="AG1619" s="137"/>
    </row>
    <row r="1620" ht="30.0" customHeight="1">
      <c r="A1620" s="248"/>
      <c r="B1620" s="249"/>
      <c r="C1620" s="248"/>
      <c r="D1620" s="249"/>
      <c r="E1620" s="249"/>
      <c r="F1620" s="249"/>
      <c r="G1620" s="250"/>
      <c r="H1620" s="251"/>
      <c r="I1620" s="252"/>
      <c r="J1620" s="252"/>
      <c r="K1620" s="252"/>
      <c r="L1620" s="251"/>
      <c r="M1620" s="251"/>
      <c r="N1620" s="251"/>
      <c r="O1620" s="251"/>
      <c r="P1620" s="251"/>
      <c r="Q1620" s="251"/>
      <c r="R1620" s="251"/>
      <c r="S1620" s="251"/>
      <c r="T1620" s="251"/>
      <c r="U1620" s="251"/>
      <c r="V1620" s="251"/>
      <c r="W1620" s="251"/>
      <c r="X1620" s="251"/>
      <c r="Y1620" s="251"/>
      <c r="Z1620" s="251"/>
      <c r="AA1620" s="137"/>
      <c r="AB1620" s="137"/>
      <c r="AC1620" s="137"/>
      <c r="AD1620" s="137"/>
      <c r="AE1620" s="137"/>
      <c r="AF1620" s="137"/>
      <c r="AG1620" s="137"/>
    </row>
    <row r="1621" ht="30.0" customHeight="1">
      <c r="A1621" s="248"/>
      <c r="B1621" s="249"/>
      <c r="C1621" s="248"/>
      <c r="D1621" s="249"/>
      <c r="E1621" s="249"/>
      <c r="F1621" s="249"/>
      <c r="G1621" s="250"/>
      <c r="H1621" s="251"/>
      <c r="I1621" s="252"/>
      <c r="J1621" s="252"/>
      <c r="K1621" s="252"/>
      <c r="L1621" s="251"/>
      <c r="M1621" s="251"/>
      <c r="N1621" s="251"/>
      <c r="O1621" s="251"/>
      <c r="P1621" s="251"/>
      <c r="Q1621" s="251"/>
      <c r="R1621" s="251"/>
      <c r="S1621" s="251"/>
      <c r="T1621" s="251"/>
      <c r="U1621" s="251"/>
      <c r="V1621" s="251"/>
      <c r="W1621" s="251"/>
      <c r="X1621" s="251"/>
      <c r="Y1621" s="251"/>
      <c r="Z1621" s="251"/>
      <c r="AA1621" s="137"/>
      <c r="AB1621" s="137"/>
      <c r="AC1621" s="137"/>
      <c r="AD1621" s="137"/>
      <c r="AE1621" s="137"/>
      <c r="AF1621" s="137"/>
      <c r="AG1621" s="137"/>
    </row>
    <row r="1622" ht="30.0" customHeight="1">
      <c r="A1622" s="248"/>
      <c r="B1622" s="249"/>
      <c r="C1622" s="248"/>
      <c r="D1622" s="249"/>
      <c r="E1622" s="249"/>
      <c r="F1622" s="249"/>
      <c r="G1622" s="250"/>
      <c r="H1622" s="251"/>
      <c r="I1622" s="252"/>
      <c r="J1622" s="252"/>
      <c r="K1622" s="252"/>
      <c r="L1622" s="251"/>
      <c r="M1622" s="251"/>
      <c r="N1622" s="251"/>
      <c r="O1622" s="251"/>
      <c r="P1622" s="251"/>
      <c r="Q1622" s="251"/>
      <c r="R1622" s="251"/>
      <c r="S1622" s="251"/>
      <c r="T1622" s="251"/>
      <c r="U1622" s="251"/>
      <c r="V1622" s="251"/>
      <c r="W1622" s="251"/>
      <c r="X1622" s="251"/>
      <c r="Y1622" s="251"/>
      <c r="Z1622" s="251"/>
      <c r="AA1622" s="137"/>
      <c r="AB1622" s="137"/>
      <c r="AC1622" s="137"/>
      <c r="AD1622" s="137"/>
      <c r="AE1622" s="137"/>
      <c r="AF1622" s="137"/>
      <c r="AG1622" s="137"/>
    </row>
    <row r="1623" ht="30.0" customHeight="1">
      <c r="A1623" s="248"/>
      <c r="B1623" s="249"/>
      <c r="C1623" s="248"/>
      <c r="D1623" s="249"/>
      <c r="E1623" s="249"/>
      <c r="F1623" s="249"/>
      <c r="G1623" s="250"/>
      <c r="H1623" s="251"/>
      <c r="I1623" s="252"/>
      <c r="J1623" s="252"/>
      <c r="K1623" s="252"/>
      <c r="L1623" s="251"/>
      <c r="M1623" s="251"/>
      <c r="N1623" s="251"/>
      <c r="O1623" s="251"/>
      <c r="P1623" s="251"/>
      <c r="Q1623" s="251"/>
      <c r="R1623" s="251"/>
      <c r="S1623" s="251"/>
      <c r="T1623" s="251"/>
      <c r="U1623" s="251"/>
      <c r="V1623" s="251"/>
      <c r="W1623" s="251"/>
      <c r="X1623" s="251"/>
      <c r="Y1623" s="251"/>
      <c r="Z1623" s="251"/>
      <c r="AA1623" s="137"/>
      <c r="AB1623" s="137"/>
      <c r="AC1623" s="137"/>
      <c r="AD1623" s="137"/>
      <c r="AE1623" s="137"/>
      <c r="AF1623" s="137"/>
      <c r="AG1623" s="137"/>
    </row>
    <row r="1624" ht="30.0" customHeight="1">
      <c r="A1624" s="248"/>
      <c r="B1624" s="249"/>
      <c r="C1624" s="248"/>
      <c r="D1624" s="249"/>
      <c r="E1624" s="249"/>
      <c r="F1624" s="249"/>
      <c r="G1624" s="250"/>
      <c r="H1624" s="251"/>
      <c r="I1624" s="252"/>
      <c r="J1624" s="252"/>
      <c r="K1624" s="252"/>
      <c r="L1624" s="251"/>
      <c r="M1624" s="251"/>
      <c r="N1624" s="251"/>
      <c r="O1624" s="251"/>
      <c r="P1624" s="251"/>
      <c r="Q1624" s="251"/>
      <c r="R1624" s="251"/>
      <c r="S1624" s="251"/>
      <c r="T1624" s="251"/>
      <c r="U1624" s="251"/>
      <c r="V1624" s="251"/>
      <c r="W1624" s="251"/>
      <c r="X1624" s="251"/>
      <c r="Y1624" s="251"/>
      <c r="Z1624" s="251"/>
      <c r="AA1624" s="137"/>
      <c r="AB1624" s="137"/>
      <c r="AC1624" s="137"/>
      <c r="AD1624" s="137"/>
      <c r="AE1624" s="137"/>
      <c r="AF1624" s="137"/>
      <c r="AG1624" s="137"/>
    </row>
    <row r="1625" ht="30.0" customHeight="1">
      <c r="A1625" s="248"/>
      <c r="B1625" s="249"/>
      <c r="C1625" s="249"/>
      <c r="D1625" s="249"/>
      <c r="E1625" s="249"/>
      <c r="F1625" s="249"/>
      <c r="G1625" s="250"/>
      <c r="H1625" s="251"/>
      <c r="I1625" s="252"/>
      <c r="J1625" s="252"/>
      <c r="K1625" s="252"/>
      <c r="L1625" s="251"/>
      <c r="M1625" s="251"/>
      <c r="N1625" s="251"/>
      <c r="O1625" s="251"/>
      <c r="P1625" s="251"/>
      <c r="Q1625" s="251"/>
      <c r="R1625" s="251"/>
      <c r="S1625" s="251"/>
      <c r="T1625" s="251"/>
      <c r="U1625" s="251"/>
      <c r="V1625" s="251"/>
      <c r="W1625" s="251"/>
      <c r="X1625" s="251"/>
      <c r="Y1625" s="251"/>
      <c r="Z1625" s="251"/>
      <c r="AA1625" s="137"/>
      <c r="AB1625" s="137"/>
      <c r="AC1625" s="137"/>
      <c r="AD1625" s="137"/>
      <c r="AE1625" s="137"/>
      <c r="AF1625" s="137"/>
      <c r="AG1625" s="137"/>
    </row>
    <row r="1626" ht="30.0" customHeight="1">
      <c r="A1626" s="248"/>
      <c r="B1626" s="249"/>
      <c r="C1626" s="248"/>
      <c r="D1626" s="249"/>
      <c r="E1626" s="249"/>
      <c r="F1626" s="249"/>
      <c r="G1626" s="250"/>
      <c r="H1626" s="251"/>
      <c r="I1626" s="252"/>
      <c r="J1626" s="252"/>
      <c r="K1626" s="252"/>
      <c r="L1626" s="251"/>
      <c r="M1626" s="251"/>
      <c r="N1626" s="251"/>
      <c r="O1626" s="251"/>
      <c r="P1626" s="251"/>
      <c r="Q1626" s="251"/>
      <c r="R1626" s="251"/>
      <c r="S1626" s="251"/>
      <c r="T1626" s="251"/>
      <c r="U1626" s="251"/>
      <c r="V1626" s="251"/>
      <c r="W1626" s="251"/>
      <c r="X1626" s="251"/>
      <c r="Y1626" s="251"/>
      <c r="Z1626" s="251"/>
      <c r="AA1626" s="137"/>
      <c r="AB1626" s="137"/>
      <c r="AC1626" s="137"/>
      <c r="AD1626" s="137"/>
      <c r="AE1626" s="137"/>
      <c r="AF1626" s="137"/>
      <c r="AG1626" s="137"/>
    </row>
    <row r="1627" ht="30.0" customHeight="1">
      <c r="A1627" s="248"/>
      <c r="B1627" s="248"/>
      <c r="C1627" s="248"/>
      <c r="D1627" s="249"/>
      <c r="E1627" s="249"/>
      <c r="F1627" s="249"/>
      <c r="G1627" s="250"/>
      <c r="H1627" s="251"/>
      <c r="I1627" s="252"/>
      <c r="J1627" s="252"/>
      <c r="K1627" s="252"/>
      <c r="L1627" s="251"/>
      <c r="M1627" s="251"/>
      <c r="N1627" s="251"/>
      <c r="O1627" s="251"/>
      <c r="P1627" s="251"/>
      <c r="Q1627" s="251"/>
      <c r="R1627" s="251"/>
      <c r="S1627" s="251"/>
      <c r="T1627" s="251"/>
      <c r="U1627" s="251"/>
      <c r="V1627" s="251"/>
      <c r="W1627" s="251"/>
      <c r="X1627" s="251"/>
      <c r="Y1627" s="251"/>
      <c r="Z1627" s="251"/>
      <c r="AA1627" s="137"/>
      <c r="AB1627" s="137"/>
      <c r="AC1627" s="137"/>
      <c r="AD1627" s="137"/>
      <c r="AE1627" s="137"/>
      <c r="AF1627" s="137"/>
      <c r="AG1627" s="137"/>
    </row>
    <row r="1628" ht="30.0" customHeight="1">
      <c r="A1628" s="248"/>
      <c r="B1628" s="249"/>
      <c r="C1628" s="248"/>
      <c r="D1628" s="249"/>
      <c r="E1628" s="249"/>
      <c r="F1628" s="249"/>
      <c r="G1628" s="250"/>
      <c r="H1628" s="251"/>
      <c r="I1628" s="252"/>
      <c r="J1628" s="252"/>
      <c r="K1628" s="252"/>
      <c r="L1628" s="251"/>
      <c r="M1628" s="251"/>
      <c r="N1628" s="251"/>
      <c r="O1628" s="251"/>
      <c r="P1628" s="251"/>
      <c r="Q1628" s="251"/>
      <c r="R1628" s="251"/>
      <c r="S1628" s="251"/>
      <c r="T1628" s="251"/>
      <c r="U1628" s="251"/>
      <c r="V1628" s="251"/>
      <c r="W1628" s="251"/>
      <c r="X1628" s="251"/>
      <c r="Y1628" s="251"/>
      <c r="Z1628" s="251"/>
      <c r="AA1628" s="137"/>
      <c r="AB1628" s="137"/>
      <c r="AC1628" s="137"/>
      <c r="AD1628" s="137"/>
      <c r="AE1628" s="137"/>
      <c r="AF1628" s="137"/>
      <c r="AG1628" s="137"/>
    </row>
    <row r="1629" ht="30.0" customHeight="1">
      <c r="A1629" s="248"/>
      <c r="B1629" s="249"/>
      <c r="C1629" s="248"/>
      <c r="D1629" s="249"/>
      <c r="E1629" s="249"/>
      <c r="F1629" s="249"/>
      <c r="G1629" s="250"/>
      <c r="H1629" s="251"/>
      <c r="I1629" s="252"/>
      <c r="J1629" s="252"/>
      <c r="K1629" s="252"/>
      <c r="L1629" s="251"/>
      <c r="M1629" s="251"/>
      <c r="N1629" s="251"/>
      <c r="O1629" s="251"/>
      <c r="P1629" s="251"/>
      <c r="Q1629" s="251"/>
      <c r="R1629" s="251"/>
      <c r="S1629" s="251"/>
      <c r="T1629" s="251"/>
      <c r="U1629" s="251"/>
      <c r="V1629" s="251"/>
      <c r="W1629" s="251"/>
      <c r="X1629" s="251"/>
      <c r="Y1629" s="251"/>
      <c r="Z1629" s="251"/>
      <c r="AA1629" s="137"/>
      <c r="AB1629" s="137"/>
      <c r="AC1629" s="137"/>
      <c r="AD1629" s="137"/>
      <c r="AE1629" s="137"/>
      <c r="AF1629" s="137"/>
      <c r="AG1629" s="137"/>
    </row>
    <row r="1630" ht="30.0" customHeight="1">
      <c r="A1630" s="248"/>
      <c r="B1630" s="249"/>
      <c r="C1630" s="248"/>
      <c r="D1630" s="249"/>
      <c r="E1630" s="249"/>
      <c r="F1630" s="249"/>
      <c r="G1630" s="250"/>
      <c r="H1630" s="251"/>
      <c r="I1630" s="252"/>
      <c r="J1630" s="252"/>
      <c r="K1630" s="252"/>
      <c r="L1630" s="251"/>
      <c r="M1630" s="251"/>
      <c r="N1630" s="251"/>
      <c r="O1630" s="251"/>
      <c r="P1630" s="251"/>
      <c r="Q1630" s="251"/>
      <c r="R1630" s="251"/>
      <c r="S1630" s="251"/>
      <c r="T1630" s="251"/>
      <c r="U1630" s="251"/>
      <c r="V1630" s="251"/>
      <c r="W1630" s="251"/>
      <c r="X1630" s="251"/>
      <c r="Y1630" s="251"/>
      <c r="Z1630" s="251"/>
      <c r="AA1630" s="137"/>
      <c r="AB1630" s="137"/>
      <c r="AC1630" s="137"/>
      <c r="AD1630" s="137"/>
      <c r="AE1630" s="137"/>
      <c r="AF1630" s="137"/>
      <c r="AG1630" s="137"/>
    </row>
    <row r="1631" ht="30.0" customHeight="1">
      <c r="A1631" s="248"/>
      <c r="B1631" s="249"/>
      <c r="C1631" s="248"/>
      <c r="D1631" s="249"/>
      <c r="E1631" s="249"/>
      <c r="F1631" s="249"/>
      <c r="G1631" s="250"/>
      <c r="H1631" s="251"/>
      <c r="I1631" s="252"/>
      <c r="J1631" s="252"/>
      <c r="K1631" s="252"/>
      <c r="L1631" s="251"/>
      <c r="M1631" s="251"/>
      <c r="N1631" s="251"/>
      <c r="O1631" s="251"/>
      <c r="P1631" s="251"/>
      <c r="Q1631" s="251"/>
      <c r="R1631" s="251"/>
      <c r="S1631" s="251"/>
      <c r="T1631" s="251"/>
      <c r="U1631" s="251"/>
      <c r="V1631" s="251"/>
      <c r="W1631" s="251"/>
      <c r="X1631" s="251"/>
      <c r="Y1631" s="251"/>
      <c r="Z1631" s="251"/>
      <c r="AA1631" s="137"/>
      <c r="AB1631" s="137"/>
      <c r="AC1631" s="137"/>
      <c r="AD1631" s="137"/>
      <c r="AE1631" s="137"/>
      <c r="AF1631" s="137"/>
      <c r="AG1631" s="137"/>
    </row>
    <row r="1632" ht="30.0" customHeight="1">
      <c r="A1632" s="248"/>
      <c r="B1632" s="249"/>
      <c r="C1632" s="248"/>
      <c r="D1632" s="249"/>
      <c r="E1632" s="249"/>
      <c r="F1632" s="249"/>
      <c r="G1632" s="250"/>
      <c r="H1632" s="251"/>
      <c r="I1632" s="252"/>
      <c r="J1632" s="252"/>
      <c r="K1632" s="252"/>
      <c r="L1632" s="251"/>
      <c r="M1632" s="251"/>
      <c r="N1632" s="251"/>
      <c r="O1632" s="251"/>
      <c r="P1632" s="251"/>
      <c r="Q1632" s="251"/>
      <c r="R1632" s="251"/>
      <c r="S1632" s="251"/>
      <c r="T1632" s="251"/>
      <c r="U1632" s="251"/>
      <c r="V1632" s="251"/>
      <c r="W1632" s="251"/>
      <c r="X1632" s="251"/>
      <c r="Y1632" s="251"/>
      <c r="Z1632" s="251"/>
      <c r="AA1632" s="137"/>
      <c r="AB1632" s="137"/>
      <c r="AC1632" s="137"/>
      <c r="AD1632" s="137"/>
      <c r="AE1632" s="137"/>
      <c r="AF1632" s="137"/>
      <c r="AG1632" s="137"/>
    </row>
    <row r="1633" ht="30.0" customHeight="1">
      <c r="A1633" s="248"/>
      <c r="B1633" s="249"/>
      <c r="C1633" s="248"/>
      <c r="D1633" s="249"/>
      <c r="E1633" s="249"/>
      <c r="F1633" s="249"/>
      <c r="G1633" s="250"/>
      <c r="H1633" s="251"/>
      <c r="I1633" s="252"/>
      <c r="J1633" s="252"/>
      <c r="K1633" s="252"/>
      <c r="L1633" s="251"/>
      <c r="M1633" s="251"/>
      <c r="N1633" s="251"/>
      <c r="O1633" s="251"/>
      <c r="P1633" s="251"/>
      <c r="Q1633" s="251"/>
      <c r="R1633" s="251"/>
      <c r="S1633" s="251"/>
      <c r="T1633" s="251"/>
      <c r="U1633" s="251"/>
      <c r="V1633" s="251"/>
      <c r="W1633" s="251"/>
      <c r="X1633" s="251"/>
      <c r="Y1633" s="251"/>
      <c r="Z1633" s="251"/>
      <c r="AA1633" s="137"/>
      <c r="AB1633" s="137"/>
      <c r="AC1633" s="137"/>
      <c r="AD1633" s="137"/>
      <c r="AE1633" s="137"/>
      <c r="AF1633" s="137"/>
      <c r="AG1633" s="137"/>
    </row>
    <row r="1634" ht="30.0" customHeight="1">
      <c r="A1634" s="248"/>
      <c r="B1634" s="249"/>
      <c r="C1634" s="248"/>
      <c r="D1634" s="249"/>
      <c r="E1634" s="249"/>
      <c r="F1634" s="249"/>
      <c r="G1634" s="250"/>
      <c r="H1634" s="251"/>
      <c r="I1634" s="252"/>
      <c r="J1634" s="252"/>
      <c r="K1634" s="252"/>
      <c r="L1634" s="251"/>
      <c r="M1634" s="251"/>
      <c r="N1634" s="251"/>
      <c r="O1634" s="251"/>
      <c r="P1634" s="251"/>
      <c r="Q1634" s="251"/>
      <c r="R1634" s="251"/>
      <c r="S1634" s="251"/>
      <c r="T1634" s="251"/>
      <c r="U1634" s="251"/>
      <c r="V1634" s="251"/>
      <c r="W1634" s="251"/>
      <c r="X1634" s="251"/>
      <c r="Y1634" s="251"/>
      <c r="Z1634" s="251"/>
      <c r="AA1634" s="137"/>
      <c r="AB1634" s="137"/>
      <c r="AC1634" s="137"/>
      <c r="AD1634" s="137"/>
      <c r="AE1634" s="137"/>
      <c r="AF1634" s="137"/>
      <c r="AG1634" s="137"/>
    </row>
    <row r="1635" ht="30.0" customHeight="1">
      <c r="A1635" s="248"/>
      <c r="B1635" s="249"/>
      <c r="C1635" s="248"/>
      <c r="D1635" s="249"/>
      <c r="E1635" s="249"/>
      <c r="F1635" s="249"/>
      <c r="G1635" s="250"/>
      <c r="H1635" s="251"/>
      <c r="I1635" s="252"/>
      <c r="J1635" s="252"/>
      <c r="K1635" s="252"/>
      <c r="L1635" s="251"/>
      <c r="M1635" s="251"/>
      <c r="N1635" s="251"/>
      <c r="O1635" s="251"/>
      <c r="P1635" s="251"/>
      <c r="Q1635" s="251"/>
      <c r="R1635" s="251"/>
      <c r="S1635" s="251"/>
      <c r="T1635" s="251"/>
      <c r="U1635" s="251"/>
      <c r="V1635" s="251"/>
      <c r="W1635" s="251"/>
      <c r="X1635" s="251"/>
      <c r="Y1635" s="251"/>
      <c r="Z1635" s="251"/>
      <c r="AA1635" s="137"/>
      <c r="AB1635" s="137"/>
      <c r="AC1635" s="137"/>
      <c r="AD1635" s="137"/>
      <c r="AE1635" s="137"/>
      <c r="AF1635" s="137"/>
      <c r="AG1635" s="137"/>
    </row>
    <row r="1636" ht="30.0" customHeight="1">
      <c r="A1636" s="248"/>
      <c r="B1636" s="249"/>
      <c r="C1636" s="248"/>
      <c r="D1636" s="249"/>
      <c r="E1636" s="249"/>
      <c r="F1636" s="249"/>
      <c r="G1636" s="250"/>
      <c r="H1636" s="251"/>
      <c r="I1636" s="252"/>
      <c r="J1636" s="252"/>
      <c r="K1636" s="252"/>
      <c r="L1636" s="251"/>
      <c r="M1636" s="251"/>
      <c r="N1636" s="251"/>
      <c r="O1636" s="251"/>
      <c r="P1636" s="251"/>
      <c r="Q1636" s="251"/>
      <c r="R1636" s="251"/>
      <c r="S1636" s="251"/>
      <c r="T1636" s="251"/>
      <c r="U1636" s="251"/>
      <c r="V1636" s="251"/>
      <c r="W1636" s="251"/>
      <c r="X1636" s="251"/>
      <c r="Y1636" s="251"/>
      <c r="Z1636" s="251"/>
      <c r="AA1636" s="137"/>
      <c r="AB1636" s="137"/>
      <c r="AC1636" s="137"/>
      <c r="AD1636" s="137"/>
      <c r="AE1636" s="137"/>
      <c r="AF1636" s="137"/>
      <c r="AG1636" s="137"/>
    </row>
    <row r="1637" ht="30.0" customHeight="1">
      <c r="A1637" s="248"/>
      <c r="B1637" s="249"/>
      <c r="C1637" s="248"/>
      <c r="D1637" s="249"/>
      <c r="E1637" s="249"/>
      <c r="F1637" s="249"/>
      <c r="G1637" s="250"/>
      <c r="H1637" s="251"/>
      <c r="I1637" s="252"/>
      <c r="J1637" s="252"/>
      <c r="K1637" s="252"/>
      <c r="L1637" s="251"/>
      <c r="M1637" s="251"/>
      <c r="N1637" s="251"/>
      <c r="O1637" s="251"/>
      <c r="P1637" s="251"/>
      <c r="Q1637" s="251"/>
      <c r="R1637" s="251"/>
      <c r="S1637" s="251"/>
      <c r="T1637" s="251"/>
      <c r="U1637" s="251"/>
      <c r="V1637" s="251"/>
      <c r="W1637" s="251"/>
      <c r="X1637" s="251"/>
      <c r="Y1637" s="251"/>
      <c r="Z1637" s="251"/>
      <c r="AA1637" s="137"/>
      <c r="AB1637" s="137"/>
      <c r="AC1637" s="137"/>
      <c r="AD1637" s="137"/>
      <c r="AE1637" s="137"/>
      <c r="AF1637" s="137"/>
      <c r="AG1637" s="137"/>
    </row>
    <row r="1638" ht="30.0" customHeight="1">
      <c r="A1638" s="248"/>
      <c r="B1638" s="249"/>
      <c r="C1638" s="248"/>
      <c r="D1638" s="249"/>
      <c r="E1638" s="249"/>
      <c r="F1638" s="249"/>
      <c r="G1638" s="250"/>
      <c r="H1638" s="251"/>
      <c r="I1638" s="252"/>
      <c r="J1638" s="252"/>
      <c r="K1638" s="252"/>
      <c r="L1638" s="251"/>
      <c r="M1638" s="251"/>
      <c r="N1638" s="251"/>
      <c r="O1638" s="251"/>
      <c r="P1638" s="251"/>
      <c r="Q1638" s="251"/>
      <c r="R1638" s="251"/>
      <c r="S1638" s="251"/>
      <c r="T1638" s="251"/>
      <c r="U1638" s="251"/>
      <c r="V1638" s="251"/>
      <c r="W1638" s="251"/>
      <c r="X1638" s="251"/>
      <c r="Y1638" s="251"/>
      <c r="Z1638" s="251"/>
      <c r="AA1638" s="137"/>
      <c r="AB1638" s="137"/>
      <c r="AC1638" s="137"/>
      <c r="AD1638" s="137"/>
      <c r="AE1638" s="137"/>
      <c r="AF1638" s="137"/>
      <c r="AG1638" s="137"/>
    </row>
    <row r="1639" ht="30.0" customHeight="1">
      <c r="A1639" s="248"/>
      <c r="B1639" s="249"/>
      <c r="C1639" s="248"/>
      <c r="D1639" s="249"/>
      <c r="E1639" s="249"/>
      <c r="F1639" s="249"/>
      <c r="G1639" s="250"/>
      <c r="H1639" s="251"/>
      <c r="I1639" s="252"/>
      <c r="J1639" s="252"/>
      <c r="K1639" s="252"/>
      <c r="L1639" s="251"/>
      <c r="M1639" s="251"/>
      <c r="N1639" s="251"/>
      <c r="O1639" s="251"/>
      <c r="P1639" s="251"/>
      <c r="Q1639" s="251"/>
      <c r="R1639" s="251"/>
      <c r="S1639" s="251"/>
      <c r="T1639" s="251"/>
      <c r="U1639" s="251"/>
      <c r="V1639" s="251"/>
      <c r="W1639" s="251"/>
      <c r="X1639" s="251"/>
      <c r="Y1639" s="251"/>
      <c r="Z1639" s="251"/>
      <c r="AA1639" s="137"/>
      <c r="AB1639" s="137"/>
      <c r="AC1639" s="137"/>
      <c r="AD1639" s="137"/>
      <c r="AE1639" s="137"/>
      <c r="AF1639" s="137"/>
      <c r="AG1639" s="137"/>
    </row>
    <row r="1640" ht="30.0" customHeight="1">
      <c r="A1640" s="248"/>
      <c r="B1640" s="249"/>
      <c r="C1640" s="248"/>
      <c r="D1640" s="249"/>
      <c r="E1640" s="249"/>
      <c r="F1640" s="249"/>
      <c r="G1640" s="250"/>
      <c r="H1640" s="251"/>
      <c r="I1640" s="252"/>
      <c r="J1640" s="252"/>
      <c r="K1640" s="252"/>
      <c r="L1640" s="251"/>
      <c r="M1640" s="251"/>
      <c r="N1640" s="251"/>
      <c r="O1640" s="251"/>
      <c r="P1640" s="251"/>
      <c r="Q1640" s="251"/>
      <c r="R1640" s="251"/>
      <c r="S1640" s="251"/>
      <c r="T1640" s="251"/>
      <c r="U1640" s="251"/>
      <c r="V1640" s="251"/>
      <c r="W1640" s="251"/>
      <c r="X1640" s="251"/>
      <c r="Y1640" s="251"/>
      <c r="Z1640" s="251"/>
      <c r="AA1640" s="137"/>
      <c r="AB1640" s="137"/>
      <c r="AC1640" s="137"/>
      <c r="AD1640" s="137"/>
      <c r="AE1640" s="137"/>
      <c r="AF1640" s="137"/>
      <c r="AG1640" s="137"/>
    </row>
    <row r="1641" ht="30.0" customHeight="1">
      <c r="A1641" s="248"/>
      <c r="B1641" s="249"/>
      <c r="C1641" s="248"/>
      <c r="D1641" s="249"/>
      <c r="E1641" s="249"/>
      <c r="F1641" s="249"/>
      <c r="G1641" s="250"/>
      <c r="H1641" s="251"/>
      <c r="I1641" s="252"/>
      <c r="J1641" s="252"/>
      <c r="K1641" s="252"/>
      <c r="L1641" s="251"/>
      <c r="M1641" s="251"/>
      <c r="N1641" s="251"/>
      <c r="O1641" s="251"/>
      <c r="P1641" s="251"/>
      <c r="Q1641" s="251"/>
      <c r="R1641" s="251"/>
      <c r="S1641" s="251"/>
      <c r="T1641" s="251"/>
      <c r="U1641" s="251"/>
      <c r="V1641" s="251"/>
      <c r="W1641" s="251"/>
      <c r="X1641" s="251"/>
      <c r="Y1641" s="251"/>
      <c r="Z1641" s="251"/>
      <c r="AA1641" s="137"/>
      <c r="AB1641" s="137"/>
      <c r="AC1641" s="137"/>
      <c r="AD1641" s="137"/>
      <c r="AE1641" s="137"/>
      <c r="AF1641" s="137"/>
      <c r="AG1641" s="137"/>
    </row>
    <row r="1642" ht="30.0" customHeight="1">
      <c r="A1642" s="248"/>
      <c r="B1642" s="249"/>
      <c r="C1642" s="248"/>
      <c r="D1642" s="249"/>
      <c r="E1642" s="249"/>
      <c r="F1642" s="249"/>
      <c r="G1642" s="250"/>
      <c r="H1642" s="251"/>
      <c r="I1642" s="252"/>
      <c r="J1642" s="252"/>
      <c r="K1642" s="252"/>
      <c r="L1642" s="251"/>
      <c r="M1642" s="251"/>
      <c r="N1642" s="251"/>
      <c r="O1642" s="251"/>
      <c r="P1642" s="251"/>
      <c r="Q1642" s="251"/>
      <c r="R1642" s="251"/>
      <c r="S1642" s="251"/>
      <c r="T1642" s="251"/>
      <c r="U1642" s="251"/>
      <c r="V1642" s="251"/>
      <c r="W1642" s="251"/>
      <c r="X1642" s="251"/>
      <c r="Y1642" s="251"/>
      <c r="Z1642" s="251"/>
      <c r="AA1642" s="137"/>
      <c r="AB1642" s="137"/>
      <c r="AC1642" s="137"/>
      <c r="AD1642" s="137"/>
      <c r="AE1642" s="137"/>
      <c r="AF1642" s="137"/>
      <c r="AG1642" s="137"/>
    </row>
    <row r="1643" ht="30.0" customHeight="1">
      <c r="A1643" s="248"/>
      <c r="B1643" s="249"/>
      <c r="C1643" s="248"/>
      <c r="D1643" s="249"/>
      <c r="E1643" s="249"/>
      <c r="F1643" s="249"/>
      <c r="G1643" s="249"/>
      <c r="H1643" s="251"/>
      <c r="I1643" s="252"/>
      <c r="J1643" s="252"/>
      <c r="K1643" s="252"/>
      <c r="L1643" s="251"/>
      <c r="M1643" s="251"/>
      <c r="N1643" s="251"/>
      <c r="O1643" s="251"/>
      <c r="P1643" s="251"/>
      <c r="Q1643" s="251"/>
      <c r="R1643" s="251"/>
      <c r="S1643" s="251"/>
      <c r="T1643" s="251"/>
      <c r="U1643" s="251"/>
      <c r="V1643" s="251"/>
      <c r="W1643" s="251"/>
      <c r="X1643" s="251"/>
      <c r="Y1643" s="251"/>
      <c r="Z1643" s="251"/>
      <c r="AA1643" s="137"/>
      <c r="AB1643" s="137"/>
      <c r="AC1643" s="137"/>
      <c r="AD1643" s="137"/>
      <c r="AE1643" s="137"/>
      <c r="AF1643" s="137"/>
      <c r="AG1643" s="137"/>
    </row>
    <row r="1644" ht="30.0" customHeight="1">
      <c r="A1644" s="248"/>
      <c r="B1644" s="249"/>
      <c r="C1644" s="248"/>
      <c r="D1644" s="249"/>
      <c r="E1644" s="249"/>
      <c r="F1644" s="249"/>
      <c r="G1644" s="250"/>
      <c r="H1644" s="251"/>
      <c r="I1644" s="252"/>
      <c r="J1644" s="252"/>
      <c r="K1644" s="252"/>
      <c r="L1644" s="251"/>
      <c r="M1644" s="251"/>
      <c r="N1644" s="251"/>
      <c r="O1644" s="251"/>
      <c r="P1644" s="251"/>
      <c r="Q1644" s="251"/>
      <c r="R1644" s="251"/>
      <c r="S1644" s="251"/>
      <c r="T1644" s="251"/>
      <c r="U1644" s="251"/>
      <c r="V1644" s="251"/>
      <c r="W1644" s="251"/>
      <c r="X1644" s="251"/>
      <c r="Y1644" s="251"/>
      <c r="Z1644" s="251"/>
      <c r="AA1644" s="137"/>
      <c r="AB1644" s="137"/>
      <c r="AC1644" s="137"/>
      <c r="AD1644" s="137"/>
      <c r="AE1644" s="137"/>
      <c r="AF1644" s="137"/>
      <c r="AG1644" s="137"/>
    </row>
    <row r="1645" ht="30.0" customHeight="1">
      <c r="A1645" s="248"/>
      <c r="B1645" s="249"/>
      <c r="C1645" s="248"/>
      <c r="D1645" s="249"/>
      <c r="E1645" s="249"/>
      <c r="F1645" s="249"/>
      <c r="G1645" s="250"/>
      <c r="H1645" s="251"/>
      <c r="I1645" s="252"/>
      <c r="J1645" s="252"/>
      <c r="K1645" s="252"/>
      <c r="L1645" s="251"/>
      <c r="M1645" s="251"/>
      <c r="N1645" s="251"/>
      <c r="O1645" s="251"/>
      <c r="P1645" s="251"/>
      <c r="Q1645" s="251"/>
      <c r="R1645" s="251"/>
      <c r="S1645" s="251"/>
      <c r="T1645" s="251"/>
      <c r="U1645" s="251"/>
      <c r="V1645" s="251"/>
      <c r="W1645" s="251"/>
      <c r="X1645" s="251"/>
      <c r="Y1645" s="251"/>
      <c r="Z1645" s="251"/>
      <c r="AA1645" s="137"/>
      <c r="AB1645" s="137"/>
      <c r="AC1645" s="137"/>
      <c r="AD1645" s="137"/>
      <c r="AE1645" s="137"/>
      <c r="AF1645" s="137"/>
      <c r="AG1645" s="137"/>
    </row>
    <row r="1646" ht="30.0" customHeight="1">
      <c r="A1646" s="248"/>
      <c r="B1646" s="249"/>
      <c r="C1646" s="248"/>
      <c r="D1646" s="249"/>
      <c r="E1646" s="249"/>
      <c r="F1646" s="249"/>
      <c r="G1646" s="250"/>
      <c r="H1646" s="251"/>
      <c r="I1646" s="252"/>
      <c r="J1646" s="252"/>
      <c r="K1646" s="252"/>
      <c r="L1646" s="251"/>
      <c r="M1646" s="251"/>
      <c r="N1646" s="251"/>
      <c r="O1646" s="251"/>
      <c r="P1646" s="251"/>
      <c r="Q1646" s="251"/>
      <c r="R1646" s="251"/>
      <c r="S1646" s="251"/>
      <c r="T1646" s="251"/>
      <c r="U1646" s="251"/>
      <c r="V1646" s="251"/>
      <c r="W1646" s="251"/>
      <c r="X1646" s="251"/>
      <c r="Y1646" s="251"/>
      <c r="Z1646" s="251"/>
      <c r="AA1646" s="137"/>
      <c r="AB1646" s="137"/>
      <c r="AC1646" s="137"/>
      <c r="AD1646" s="137"/>
      <c r="AE1646" s="137"/>
      <c r="AF1646" s="137"/>
      <c r="AG1646" s="137"/>
    </row>
    <row r="1647" ht="30.0" customHeight="1">
      <c r="A1647" s="248"/>
      <c r="B1647" s="249"/>
      <c r="C1647" s="248"/>
      <c r="D1647" s="249"/>
      <c r="E1647" s="249"/>
      <c r="F1647" s="249"/>
      <c r="G1647" s="250"/>
      <c r="H1647" s="251"/>
      <c r="I1647" s="252"/>
      <c r="J1647" s="252"/>
      <c r="K1647" s="252"/>
      <c r="L1647" s="251"/>
      <c r="M1647" s="251"/>
      <c r="N1647" s="251"/>
      <c r="O1647" s="251"/>
      <c r="P1647" s="251"/>
      <c r="Q1647" s="251"/>
      <c r="R1647" s="251"/>
      <c r="S1647" s="251"/>
      <c r="T1647" s="251"/>
      <c r="U1647" s="251"/>
      <c r="V1647" s="251"/>
      <c r="W1647" s="251"/>
      <c r="X1647" s="251"/>
      <c r="Y1647" s="251"/>
      <c r="Z1647" s="251"/>
      <c r="AA1647" s="137"/>
      <c r="AB1647" s="137"/>
      <c r="AC1647" s="137"/>
      <c r="AD1647" s="137"/>
      <c r="AE1647" s="137"/>
      <c r="AF1647" s="137"/>
      <c r="AG1647" s="137"/>
    </row>
    <row r="1648" ht="30.0" customHeight="1">
      <c r="A1648" s="248"/>
      <c r="B1648" s="249"/>
      <c r="C1648" s="248"/>
      <c r="D1648" s="249"/>
      <c r="E1648" s="249"/>
      <c r="F1648" s="249"/>
      <c r="G1648" s="250"/>
      <c r="H1648" s="251"/>
      <c r="I1648" s="252"/>
      <c r="J1648" s="252"/>
      <c r="K1648" s="252"/>
      <c r="L1648" s="251"/>
      <c r="M1648" s="251"/>
      <c r="N1648" s="251"/>
      <c r="O1648" s="251"/>
      <c r="P1648" s="251"/>
      <c r="Q1648" s="251"/>
      <c r="R1648" s="251"/>
      <c r="S1648" s="251"/>
      <c r="T1648" s="251"/>
      <c r="U1648" s="251"/>
      <c r="V1648" s="251"/>
      <c r="W1648" s="251"/>
      <c r="X1648" s="251"/>
      <c r="Y1648" s="251"/>
      <c r="Z1648" s="251"/>
      <c r="AA1648" s="137"/>
      <c r="AB1648" s="137"/>
      <c r="AC1648" s="137"/>
      <c r="AD1648" s="137"/>
      <c r="AE1648" s="137"/>
      <c r="AF1648" s="137"/>
      <c r="AG1648" s="137"/>
    </row>
    <row r="1649" ht="30.0" customHeight="1">
      <c r="A1649" s="248"/>
      <c r="B1649" s="249"/>
      <c r="C1649" s="248"/>
      <c r="D1649" s="249"/>
      <c r="E1649" s="249"/>
      <c r="F1649" s="249"/>
      <c r="G1649" s="250"/>
      <c r="H1649" s="251"/>
      <c r="I1649" s="252"/>
      <c r="J1649" s="252"/>
      <c r="K1649" s="252"/>
      <c r="L1649" s="251"/>
      <c r="M1649" s="251"/>
      <c r="N1649" s="251"/>
      <c r="O1649" s="251"/>
      <c r="P1649" s="251"/>
      <c r="Q1649" s="251"/>
      <c r="R1649" s="251"/>
      <c r="S1649" s="251"/>
      <c r="T1649" s="251"/>
      <c r="U1649" s="251"/>
      <c r="V1649" s="251"/>
      <c r="W1649" s="251"/>
      <c r="X1649" s="251"/>
      <c r="Y1649" s="251"/>
      <c r="Z1649" s="251"/>
      <c r="AA1649" s="137"/>
      <c r="AB1649" s="137"/>
      <c r="AC1649" s="137"/>
      <c r="AD1649" s="137"/>
      <c r="AE1649" s="137"/>
      <c r="AF1649" s="137"/>
      <c r="AG1649" s="137"/>
    </row>
    <row r="1650" ht="30.0" customHeight="1">
      <c r="A1650" s="248"/>
      <c r="B1650" s="249"/>
      <c r="C1650" s="248"/>
      <c r="D1650" s="249"/>
      <c r="E1650" s="249"/>
      <c r="F1650" s="249"/>
      <c r="G1650" s="250"/>
      <c r="H1650" s="251"/>
      <c r="I1650" s="252"/>
      <c r="J1650" s="252"/>
      <c r="K1650" s="252"/>
      <c r="L1650" s="251"/>
      <c r="M1650" s="251"/>
      <c r="N1650" s="251"/>
      <c r="O1650" s="251"/>
      <c r="P1650" s="251"/>
      <c r="Q1650" s="251"/>
      <c r="R1650" s="251"/>
      <c r="S1650" s="251"/>
      <c r="T1650" s="251"/>
      <c r="U1650" s="251"/>
      <c r="V1650" s="251"/>
      <c r="W1650" s="251"/>
      <c r="X1650" s="251"/>
      <c r="Y1650" s="251"/>
      <c r="Z1650" s="251"/>
      <c r="AA1650" s="137"/>
      <c r="AB1650" s="137"/>
      <c r="AC1650" s="137"/>
      <c r="AD1650" s="137"/>
      <c r="AE1650" s="137"/>
      <c r="AF1650" s="137"/>
      <c r="AG1650" s="137"/>
    </row>
    <row r="1651" ht="30.0" customHeight="1">
      <c r="A1651" s="248"/>
      <c r="B1651" s="249"/>
      <c r="C1651" s="248"/>
      <c r="D1651" s="249"/>
      <c r="E1651" s="249"/>
      <c r="F1651" s="249"/>
      <c r="G1651" s="250"/>
      <c r="H1651" s="251"/>
      <c r="I1651" s="252"/>
      <c r="J1651" s="252"/>
      <c r="K1651" s="252"/>
      <c r="L1651" s="251"/>
      <c r="M1651" s="251"/>
      <c r="N1651" s="251"/>
      <c r="O1651" s="251"/>
      <c r="P1651" s="251"/>
      <c r="Q1651" s="251"/>
      <c r="R1651" s="251"/>
      <c r="S1651" s="251"/>
      <c r="T1651" s="251"/>
      <c r="U1651" s="251"/>
      <c r="V1651" s="251"/>
      <c r="W1651" s="251"/>
      <c r="X1651" s="251"/>
      <c r="Y1651" s="251"/>
      <c r="Z1651" s="251"/>
      <c r="AA1651" s="137"/>
      <c r="AB1651" s="137"/>
      <c r="AC1651" s="137"/>
      <c r="AD1651" s="137"/>
      <c r="AE1651" s="137"/>
      <c r="AF1651" s="137"/>
      <c r="AG1651" s="137"/>
    </row>
    <row r="1652" ht="30.0" customHeight="1">
      <c r="A1652" s="248"/>
      <c r="B1652" s="249"/>
      <c r="C1652" s="248"/>
      <c r="D1652" s="249"/>
      <c r="E1652" s="249"/>
      <c r="F1652" s="249"/>
      <c r="G1652" s="250"/>
      <c r="H1652" s="251"/>
      <c r="I1652" s="252"/>
      <c r="J1652" s="252"/>
      <c r="K1652" s="252"/>
      <c r="L1652" s="251"/>
      <c r="M1652" s="251"/>
      <c r="N1652" s="251"/>
      <c r="O1652" s="251"/>
      <c r="P1652" s="251"/>
      <c r="Q1652" s="251"/>
      <c r="R1652" s="251"/>
      <c r="S1652" s="251"/>
      <c r="T1652" s="251"/>
      <c r="U1652" s="251"/>
      <c r="V1652" s="251"/>
      <c r="W1652" s="251"/>
      <c r="X1652" s="251"/>
      <c r="Y1652" s="251"/>
      <c r="Z1652" s="251"/>
      <c r="AA1652" s="137"/>
      <c r="AB1652" s="137"/>
      <c r="AC1652" s="137"/>
      <c r="AD1652" s="137"/>
      <c r="AE1652" s="137"/>
      <c r="AF1652" s="137"/>
      <c r="AG1652" s="137"/>
    </row>
    <row r="1653" ht="30.0" customHeight="1">
      <c r="A1653" s="248"/>
      <c r="B1653" s="249"/>
      <c r="C1653" s="248"/>
      <c r="D1653" s="249"/>
      <c r="E1653" s="249"/>
      <c r="F1653" s="249"/>
      <c r="G1653" s="250"/>
      <c r="H1653" s="251"/>
      <c r="I1653" s="252"/>
      <c r="J1653" s="252"/>
      <c r="K1653" s="252"/>
      <c r="L1653" s="251"/>
      <c r="M1653" s="251"/>
      <c r="N1653" s="251"/>
      <c r="O1653" s="251"/>
      <c r="P1653" s="251"/>
      <c r="Q1653" s="251"/>
      <c r="R1653" s="251"/>
      <c r="S1653" s="251"/>
      <c r="T1653" s="251"/>
      <c r="U1653" s="251"/>
      <c r="V1653" s="251"/>
      <c r="W1653" s="251"/>
      <c r="X1653" s="251"/>
      <c r="Y1653" s="251"/>
      <c r="Z1653" s="251"/>
      <c r="AA1653" s="137"/>
      <c r="AB1653" s="137"/>
      <c r="AC1653" s="137"/>
      <c r="AD1653" s="137"/>
      <c r="AE1653" s="137"/>
      <c r="AF1653" s="137"/>
      <c r="AG1653" s="137"/>
    </row>
    <row r="1654" ht="30.0" customHeight="1">
      <c r="A1654" s="248"/>
      <c r="B1654" s="249"/>
      <c r="C1654" s="248"/>
      <c r="D1654" s="249"/>
      <c r="E1654" s="249"/>
      <c r="F1654" s="249"/>
      <c r="G1654" s="250"/>
      <c r="H1654" s="251"/>
      <c r="I1654" s="252"/>
      <c r="J1654" s="252"/>
      <c r="K1654" s="252"/>
      <c r="L1654" s="251"/>
      <c r="M1654" s="251"/>
      <c r="N1654" s="251"/>
      <c r="O1654" s="251"/>
      <c r="P1654" s="251"/>
      <c r="Q1654" s="251"/>
      <c r="R1654" s="251"/>
      <c r="S1654" s="251"/>
      <c r="T1654" s="251"/>
      <c r="U1654" s="251"/>
      <c r="V1654" s="251"/>
      <c r="W1654" s="251"/>
      <c r="X1654" s="251"/>
      <c r="Y1654" s="251"/>
      <c r="Z1654" s="251"/>
      <c r="AA1654" s="137"/>
      <c r="AB1654" s="137"/>
      <c r="AC1654" s="137"/>
      <c r="AD1654" s="137"/>
      <c r="AE1654" s="137"/>
      <c r="AF1654" s="137"/>
      <c r="AG1654" s="137"/>
    </row>
    <row r="1655" ht="30.0" customHeight="1">
      <c r="A1655" s="248"/>
      <c r="B1655" s="249"/>
      <c r="C1655" s="248"/>
      <c r="D1655" s="249"/>
      <c r="E1655" s="249"/>
      <c r="F1655" s="249"/>
      <c r="G1655" s="250"/>
      <c r="H1655" s="251"/>
      <c r="I1655" s="252"/>
      <c r="J1655" s="252"/>
      <c r="K1655" s="252"/>
      <c r="L1655" s="251"/>
      <c r="M1655" s="251"/>
      <c r="N1655" s="251"/>
      <c r="O1655" s="251"/>
      <c r="P1655" s="251"/>
      <c r="Q1655" s="251"/>
      <c r="R1655" s="251"/>
      <c r="S1655" s="251"/>
      <c r="T1655" s="251"/>
      <c r="U1655" s="251"/>
      <c r="V1655" s="251"/>
      <c r="W1655" s="251"/>
      <c r="X1655" s="251"/>
      <c r="Y1655" s="251"/>
      <c r="Z1655" s="251"/>
      <c r="AA1655" s="137"/>
      <c r="AB1655" s="137"/>
      <c r="AC1655" s="137"/>
      <c r="AD1655" s="137"/>
      <c r="AE1655" s="137"/>
      <c r="AF1655" s="137"/>
      <c r="AG1655" s="137"/>
    </row>
    <row r="1656" ht="30.0" customHeight="1">
      <c r="A1656" s="248"/>
      <c r="B1656" s="249"/>
      <c r="C1656" s="248"/>
      <c r="D1656" s="249"/>
      <c r="E1656" s="249"/>
      <c r="F1656" s="249"/>
      <c r="G1656" s="250"/>
      <c r="H1656" s="251"/>
      <c r="I1656" s="252"/>
      <c r="J1656" s="252"/>
      <c r="K1656" s="252"/>
      <c r="L1656" s="251"/>
      <c r="M1656" s="251"/>
      <c r="N1656" s="251"/>
      <c r="O1656" s="251"/>
      <c r="P1656" s="251"/>
      <c r="Q1656" s="251"/>
      <c r="R1656" s="251"/>
      <c r="S1656" s="251"/>
      <c r="T1656" s="251"/>
      <c r="U1656" s="251"/>
      <c r="V1656" s="251"/>
      <c r="W1656" s="251"/>
      <c r="X1656" s="251"/>
      <c r="Y1656" s="251"/>
      <c r="Z1656" s="251"/>
      <c r="AA1656" s="137"/>
      <c r="AB1656" s="137"/>
      <c r="AC1656" s="137"/>
      <c r="AD1656" s="137"/>
      <c r="AE1656" s="137"/>
      <c r="AF1656" s="137"/>
      <c r="AG1656" s="137"/>
    </row>
    <row r="1657" ht="30.0" customHeight="1">
      <c r="A1657" s="248"/>
      <c r="B1657" s="249"/>
      <c r="C1657" s="248"/>
      <c r="D1657" s="249"/>
      <c r="E1657" s="249"/>
      <c r="F1657" s="249"/>
      <c r="G1657" s="250"/>
      <c r="H1657" s="251"/>
      <c r="I1657" s="252"/>
      <c r="J1657" s="252"/>
      <c r="K1657" s="252"/>
      <c r="L1657" s="251"/>
      <c r="M1657" s="251"/>
      <c r="N1657" s="251"/>
      <c r="O1657" s="251"/>
      <c r="P1657" s="251"/>
      <c r="Q1657" s="251"/>
      <c r="R1657" s="251"/>
      <c r="S1657" s="251"/>
      <c r="T1657" s="251"/>
      <c r="U1657" s="251"/>
      <c r="V1657" s="251"/>
      <c r="W1657" s="251"/>
      <c r="X1657" s="251"/>
      <c r="Y1657" s="251"/>
      <c r="Z1657" s="251"/>
      <c r="AA1657" s="137"/>
      <c r="AB1657" s="137"/>
      <c r="AC1657" s="137"/>
      <c r="AD1657" s="137"/>
      <c r="AE1657" s="137"/>
      <c r="AF1657" s="137"/>
      <c r="AG1657" s="137"/>
    </row>
    <row r="1658" ht="30.0" customHeight="1">
      <c r="A1658" s="248"/>
      <c r="B1658" s="249"/>
      <c r="C1658" s="248"/>
      <c r="D1658" s="249"/>
      <c r="E1658" s="249"/>
      <c r="F1658" s="249"/>
      <c r="G1658" s="250"/>
      <c r="H1658" s="251"/>
      <c r="I1658" s="252"/>
      <c r="J1658" s="252"/>
      <c r="K1658" s="252"/>
      <c r="L1658" s="251"/>
      <c r="M1658" s="251"/>
      <c r="N1658" s="251"/>
      <c r="O1658" s="251"/>
      <c r="P1658" s="251"/>
      <c r="Q1658" s="251"/>
      <c r="R1658" s="251"/>
      <c r="S1658" s="251"/>
      <c r="T1658" s="251"/>
      <c r="U1658" s="251"/>
      <c r="V1658" s="251"/>
      <c r="W1658" s="251"/>
      <c r="X1658" s="251"/>
      <c r="Y1658" s="251"/>
      <c r="Z1658" s="251"/>
      <c r="AA1658" s="137"/>
      <c r="AB1658" s="137"/>
      <c r="AC1658" s="137"/>
      <c r="AD1658" s="137"/>
      <c r="AE1658" s="137"/>
      <c r="AF1658" s="137"/>
      <c r="AG1658" s="137"/>
    </row>
    <row r="1659" ht="30.0" customHeight="1">
      <c r="A1659" s="248"/>
      <c r="B1659" s="249"/>
      <c r="C1659" s="248"/>
      <c r="D1659" s="249"/>
      <c r="E1659" s="249"/>
      <c r="F1659" s="249"/>
      <c r="G1659" s="250"/>
      <c r="H1659" s="251"/>
      <c r="I1659" s="252"/>
      <c r="J1659" s="252"/>
      <c r="K1659" s="252"/>
      <c r="L1659" s="251"/>
      <c r="M1659" s="251"/>
      <c r="N1659" s="251"/>
      <c r="O1659" s="251"/>
      <c r="P1659" s="251"/>
      <c r="Q1659" s="251"/>
      <c r="R1659" s="251"/>
      <c r="S1659" s="251"/>
      <c r="T1659" s="251"/>
      <c r="U1659" s="251"/>
      <c r="V1659" s="251"/>
      <c r="W1659" s="251"/>
      <c r="X1659" s="251"/>
      <c r="Y1659" s="251"/>
      <c r="Z1659" s="251"/>
      <c r="AA1659" s="137"/>
      <c r="AB1659" s="137"/>
      <c r="AC1659" s="137"/>
      <c r="AD1659" s="137"/>
      <c r="AE1659" s="137"/>
      <c r="AF1659" s="137"/>
      <c r="AG1659" s="137"/>
    </row>
    <row r="1660" ht="30.0" customHeight="1">
      <c r="A1660" s="248"/>
      <c r="B1660" s="249"/>
      <c r="C1660" s="248"/>
      <c r="D1660" s="249"/>
      <c r="E1660" s="249"/>
      <c r="F1660" s="249"/>
      <c r="G1660" s="249"/>
      <c r="H1660" s="251"/>
      <c r="I1660" s="252"/>
      <c r="J1660" s="252"/>
      <c r="K1660" s="252"/>
      <c r="L1660" s="251"/>
      <c r="M1660" s="251"/>
      <c r="N1660" s="251"/>
      <c r="O1660" s="251"/>
      <c r="P1660" s="251"/>
      <c r="Q1660" s="251"/>
      <c r="R1660" s="251"/>
      <c r="S1660" s="251"/>
      <c r="T1660" s="251"/>
      <c r="U1660" s="251"/>
      <c r="V1660" s="251"/>
      <c r="W1660" s="251"/>
      <c r="X1660" s="251"/>
      <c r="Y1660" s="251"/>
      <c r="Z1660" s="251"/>
      <c r="AA1660" s="137"/>
      <c r="AB1660" s="137"/>
      <c r="AC1660" s="137"/>
      <c r="AD1660" s="137"/>
      <c r="AE1660" s="137"/>
      <c r="AF1660" s="137"/>
      <c r="AG1660" s="137"/>
    </row>
    <row r="1661" ht="30.0" customHeight="1">
      <c r="A1661" s="248"/>
      <c r="B1661" s="249"/>
      <c r="C1661" s="248"/>
      <c r="D1661" s="249"/>
      <c r="E1661" s="249"/>
      <c r="F1661" s="249"/>
      <c r="G1661" s="250"/>
      <c r="H1661" s="251"/>
      <c r="I1661" s="252"/>
      <c r="J1661" s="252"/>
      <c r="K1661" s="252"/>
      <c r="L1661" s="251"/>
      <c r="M1661" s="251"/>
      <c r="N1661" s="251"/>
      <c r="O1661" s="251"/>
      <c r="P1661" s="251"/>
      <c r="Q1661" s="251"/>
      <c r="R1661" s="251"/>
      <c r="S1661" s="251"/>
      <c r="T1661" s="251"/>
      <c r="U1661" s="251"/>
      <c r="V1661" s="251"/>
      <c r="W1661" s="251"/>
      <c r="X1661" s="251"/>
      <c r="Y1661" s="251"/>
      <c r="Z1661" s="251"/>
      <c r="AA1661" s="137"/>
      <c r="AB1661" s="137"/>
      <c r="AC1661" s="137"/>
      <c r="AD1661" s="137"/>
      <c r="AE1661" s="137"/>
      <c r="AF1661" s="137"/>
      <c r="AG1661" s="137"/>
    </row>
    <row r="1662" ht="30.0" customHeight="1">
      <c r="A1662" s="248"/>
      <c r="B1662" s="249"/>
      <c r="C1662" s="248"/>
      <c r="D1662" s="249"/>
      <c r="E1662" s="249"/>
      <c r="F1662" s="249"/>
      <c r="G1662" s="250"/>
      <c r="H1662" s="251"/>
      <c r="I1662" s="252"/>
      <c r="J1662" s="252"/>
      <c r="K1662" s="252"/>
      <c r="L1662" s="251"/>
      <c r="M1662" s="251"/>
      <c r="N1662" s="251"/>
      <c r="O1662" s="251"/>
      <c r="P1662" s="251"/>
      <c r="Q1662" s="251"/>
      <c r="R1662" s="251"/>
      <c r="S1662" s="251"/>
      <c r="T1662" s="251"/>
      <c r="U1662" s="251"/>
      <c r="V1662" s="251"/>
      <c r="W1662" s="251"/>
      <c r="X1662" s="251"/>
      <c r="Y1662" s="251"/>
      <c r="Z1662" s="251"/>
      <c r="AA1662" s="137"/>
      <c r="AB1662" s="137"/>
      <c r="AC1662" s="137"/>
      <c r="AD1662" s="137"/>
      <c r="AE1662" s="137"/>
      <c r="AF1662" s="137"/>
      <c r="AG1662" s="137"/>
    </row>
    <row r="1663" ht="30.0" customHeight="1">
      <c r="A1663" s="248"/>
      <c r="B1663" s="249"/>
      <c r="C1663" s="248"/>
      <c r="D1663" s="249"/>
      <c r="E1663" s="249"/>
      <c r="F1663" s="249"/>
      <c r="G1663" s="250"/>
      <c r="H1663" s="251"/>
      <c r="I1663" s="252"/>
      <c r="J1663" s="252"/>
      <c r="K1663" s="252"/>
      <c r="L1663" s="251"/>
      <c r="M1663" s="251"/>
      <c r="N1663" s="251"/>
      <c r="O1663" s="251"/>
      <c r="P1663" s="251"/>
      <c r="Q1663" s="251"/>
      <c r="R1663" s="251"/>
      <c r="S1663" s="251"/>
      <c r="T1663" s="251"/>
      <c r="U1663" s="251"/>
      <c r="V1663" s="251"/>
      <c r="W1663" s="251"/>
      <c r="X1663" s="251"/>
      <c r="Y1663" s="251"/>
      <c r="Z1663" s="251"/>
      <c r="AA1663" s="137"/>
      <c r="AB1663" s="137"/>
      <c r="AC1663" s="137"/>
      <c r="AD1663" s="137"/>
      <c r="AE1663" s="137"/>
      <c r="AF1663" s="137"/>
      <c r="AG1663" s="137"/>
    </row>
    <row r="1664" ht="30.0" customHeight="1">
      <c r="A1664" s="248"/>
      <c r="B1664" s="249"/>
      <c r="C1664" s="248"/>
      <c r="D1664" s="249"/>
      <c r="E1664" s="249"/>
      <c r="F1664" s="249"/>
      <c r="G1664" s="250"/>
      <c r="H1664" s="251"/>
      <c r="I1664" s="252"/>
      <c r="J1664" s="252"/>
      <c r="K1664" s="252"/>
      <c r="L1664" s="251"/>
      <c r="M1664" s="251"/>
      <c r="N1664" s="251"/>
      <c r="O1664" s="251"/>
      <c r="P1664" s="251"/>
      <c r="Q1664" s="251"/>
      <c r="R1664" s="251"/>
      <c r="S1664" s="251"/>
      <c r="T1664" s="251"/>
      <c r="U1664" s="251"/>
      <c r="V1664" s="251"/>
      <c r="W1664" s="251"/>
      <c r="X1664" s="251"/>
      <c r="Y1664" s="251"/>
      <c r="Z1664" s="251"/>
      <c r="AA1664" s="137"/>
      <c r="AB1664" s="137"/>
      <c r="AC1664" s="137"/>
      <c r="AD1664" s="137"/>
      <c r="AE1664" s="137"/>
      <c r="AF1664" s="137"/>
      <c r="AG1664" s="137"/>
    </row>
    <row r="1665" ht="30.0" customHeight="1">
      <c r="A1665" s="248"/>
      <c r="B1665" s="249"/>
      <c r="C1665" s="248"/>
      <c r="D1665" s="249"/>
      <c r="E1665" s="249"/>
      <c r="F1665" s="249"/>
      <c r="G1665" s="250"/>
      <c r="H1665" s="251"/>
      <c r="I1665" s="252"/>
      <c r="J1665" s="252"/>
      <c r="K1665" s="252"/>
      <c r="L1665" s="251"/>
      <c r="M1665" s="251"/>
      <c r="N1665" s="251"/>
      <c r="O1665" s="251"/>
      <c r="P1665" s="251"/>
      <c r="Q1665" s="251"/>
      <c r="R1665" s="251"/>
      <c r="S1665" s="251"/>
      <c r="T1665" s="251"/>
      <c r="U1665" s="251"/>
      <c r="V1665" s="251"/>
      <c r="W1665" s="251"/>
      <c r="X1665" s="251"/>
      <c r="Y1665" s="251"/>
      <c r="Z1665" s="251"/>
      <c r="AA1665" s="137"/>
      <c r="AB1665" s="137"/>
      <c r="AC1665" s="137"/>
      <c r="AD1665" s="137"/>
      <c r="AE1665" s="137"/>
      <c r="AF1665" s="137"/>
      <c r="AG1665" s="137"/>
    </row>
    <row r="1666" ht="30.0" customHeight="1">
      <c r="A1666" s="248"/>
      <c r="B1666" s="249"/>
      <c r="C1666" s="248"/>
      <c r="D1666" s="249"/>
      <c r="E1666" s="249"/>
      <c r="F1666" s="249"/>
      <c r="G1666" s="250"/>
      <c r="H1666" s="251"/>
      <c r="I1666" s="252"/>
      <c r="J1666" s="252"/>
      <c r="K1666" s="252"/>
      <c r="L1666" s="251"/>
      <c r="M1666" s="251"/>
      <c r="N1666" s="251"/>
      <c r="O1666" s="251"/>
      <c r="P1666" s="251"/>
      <c r="Q1666" s="251"/>
      <c r="R1666" s="251"/>
      <c r="S1666" s="251"/>
      <c r="T1666" s="251"/>
      <c r="U1666" s="251"/>
      <c r="V1666" s="251"/>
      <c r="W1666" s="251"/>
      <c r="X1666" s="251"/>
      <c r="Y1666" s="251"/>
      <c r="Z1666" s="251"/>
      <c r="AA1666" s="137"/>
      <c r="AB1666" s="137"/>
      <c r="AC1666" s="137"/>
      <c r="AD1666" s="137"/>
      <c r="AE1666" s="137"/>
      <c r="AF1666" s="137"/>
      <c r="AG1666" s="137"/>
    </row>
    <row r="1667" ht="30.0" customHeight="1">
      <c r="A1667" s="248"/>
      <c r="B1667" s="249"/>
      <c r="C1667" s="248"/>
      <c r="D1667" s="249"/>
      <c r="E1667" s="249"/>
      <c r="F1667" s="249"/>
      <c r="G1667" s="250"/>
      <c r="H1667" s="251"/>
      <c r="I1667" s="252"/>
      <c r="J1667" s="252"/>
      <c r="K1667" s="252"/>
      <c r="L1667" s="251"/>
      <c r="M1667" s="251"/>
      <c r="N1667" s="251"/>
      <c r="O1667" s="251"/>
      <c r="P1667" s="251"/>
      <c r="Q1667" s="251"/>
      <c r="R1667" s="251"/>
      <c r="S1667" s="251"/>
      <c r="T1667" s="251"/>
      <c r="U1667" s="251"/>
      <c r="V1667" s="251"/>
      <c r="W1667" s="251"/>
      <c r="X1667" s="251"/>
      <c r="Y1667" s="251"/>
      <c r="Z1667" s="251"/>
      <c r="AA1667" s="137"/>
      <c r="AB1667" s="137"/>
      <c r="AC1667" s="137"/>
      <c r="AD1667" s="137"/>
      <c r="AE1667" s="137"/>
      <c r="AF1667" s="137"/>
      <c r="AG1667" s="137"/>
    </row>
    <row r="1668" ht="30.0" customHeight="1">
      <c r="A1668" s="248"/>
      <c r="B1668" s="249"/>
      <c r="C1668" s="248"/>
      <c r="D1668" s="249"/>
      <c r="E1668" s="249"/>
      <c r="F1668" s="249"/>
      <c r="G1668" s="250"/>
      <c r="H1668" s="251"/>
      <c r="I1668" s="252"/>
      <c r="J1668" s="252"/>
      <c r="K1668" s="252"/>
      <c r="L1668" s="251"/>
      <c r="M1668" s="251"/>
      <c r="N1668" s="251"/>
      <c r="O1668" s="251"/>
      <c r="P1668" s="251"/>
      <c r="Q1668" s="251"/>
      <c r="R1668" s="251"/>
      <c r="S1668" s="251"/>
      <c r="T1668" s="251"/>
      <c r="U1668" s="251"/>
      <c r="V1668" s="251"/>
      <c r="W1668" s="251"/>
      <c r="X1668" s="251"/>
      <c r="Y1668" s="251"/>
      <c r="Z1668" s="251"/>
      <c r="AA1668" s="137"/>
      <c r="AB1668" s="137"/>
      <c r="AC1668" s="137"/>
      <c r="AD1668" s="137"/>
      <c r="AE1668" s="137"/>
      <c r="AF1668" s="137"/>
      <c r="AG1668" s="137"/>
    </row>
    <row r="1669" ht="30.0" customHeight="1">
      <c r="A1669" s="248"/>
      <c r="B1669" s="249"/>
      <c r="C1669" s="248"/>
      <c r="D1669" s="249"/>
      <c r="E1669" s="249"/>
      <c r="F1669" s="249"/>
      <c r="G1669" s="250"/>
      <c r="H1669" s="251"/>
      <c r="I1669" s="252"/>
      <c r="J1669" s="252"/>
      <c r="K1669" s="252"/>
      <c r="L1669" s="251"/>
      <c r="M1669" s="251"/>
      <c r="N1669" s="251"/>
      <c r="O1669" s="251"/>
      <c r="P1669" s="251"/>
      <c r="Q1669" s="251"/>
      <c r="R1669" s="251"/>
      <c r="S1669" s="251"/>
      <c r="T1669" s="251"/>
      <c r="U1669" s="251"/>
      <c r="V1669" s="251"/>
      <c r="W1669" s="251"/>
      <c r="X1669" s="251"/>
      <c r="Y1669" s="251"/>
      <c r="Z1669" s="251"/>
      <c r="AA1669" s="137"/>
      <c r="AB1669" s="137"/>
      <c r="AC1669" s="137"/>
      <c r="AD1669" s="137"/>
      <c r="AE1669" s="137"/>
      <c r="AF1669" s="137"/>
      <c r="AG1669" s="137"/>
    </row>
    <row r="1670" ht="30.0" customHeight="1">
      <c r="A1670" s="248"/>
      <c r="B1670" s="249"/>
      <c r="C1670" s="248"/>
      <c r="D1670" s="249"/>
      <c r="E1670" s="249"/>
      <c r="F1670" s="249"/>
      <c r="G1670" s="250"/>
      <c r="H1670" s="251"/>
      <c r="I1670" s="252"/>
      <c r="J1670" s="252"/>
      <c r="K1670" s="252"/>
      <c r="L1670" s="251"/>
      <c r="M1670" s="251"/>
      <c r="N1670" s="251"/>
      <c r="O1670" s="251"/>
      <c r="P1670" s="251"/>
      <c r="Q1670" s="251"/>
      <c r="R1670" s="251"/>
      <c r="S1670" s="251"/>
      <c r="T1670" s="251"/>
      <c r="U1670" s="251"/>
      <c r="V1670" s="251"/>
      <c r="W1670" s="251"/>
      <c r="X1670" s="251"/>
      <c r="Y1670" s="251"/>
      <c r="Z1670" s="251"/>
      <c r="AA1670" s="137"/>
      <c r="AB1670" s="137"/>
      <c r="AC1670" s="137"/>
      <c r="AD1670" s="137"/>
      <c r="AE1670" s="137"/>
      <c r="AF1670" s="137"/>
      <c r="AG1670" s="137"/>
    </row>
    <row r="1671" ht="30.0" customHeight="1">
      <c r="A1671" s="248"/>
      <c r="B1671" s="249"/>
      <c r="C1671" s="248"/>
      <c r="D1671" s="249"/>
      <c r="E1671" s="249"/>
      <c r="F1671" s="249"/>
      <c r="G1671" s="250"/>
      <c r="H1671" s="251"/>
      <c r="I1671" s="252"/>
      <c r="J1671" s="252"/>
      <c r="K1671" s="252"/>
      <c r="L1671" s="251"/>
      <c r="M1671" s="251"/>
      <c r="N1671" s="251"/>
      <c r="O1671" s="251"/>
      <c r="P1671" s="251"/>
      <c r="Q1671" s="251"/>
      <c r="R1671" s="251"/>
      <c r="S1671" s="251"/>
      <c r="T1671" s="251"/>
      <c r="U1671" s="251"/>
      <c r="V1671" s="251"/>
      <c r="W1671" s="251"/>
      <c r="X1671" s="251"/>
      <c r="Y1671" s="251"/>
      <c r="Z1671" s="251"/>
      <c r="AA1671" s="137"/>
      <c r="AB1671" s="137"/>
      <c r="AC1671" s="137"/>
      <c r="AD1671" s="137"/>
      <c r="AE1671" s="137"/>
      <c r="AF1671" s="137"/>
      <c r="AG1671" s="137"/>
    </row>
    <row r="1672" ht="30.0" customHeight="1">
      <c r="A1672" s="248"/>
      <c r="B1672" s="249"/>
      <c r="C1672" s="248"/>
      <c r="D1672" s="249"/>
      <c r="E1672" s="249"/>
      <c r="F1672" s="249"/>
      <c r="G1672" s="250"/>
      <c r="H1672" s="251"/>
      <c r="I1672" s="252"/>
      <c r="J1672" s="252"/>
      <c r="K1672" s="252"/>
      <c r="L1672" s="251"/>
      <c r="M1672" s="251"/>
      <c r="N1672" s="251"/>
      <c r="O1672" s="251"/>
      <c r="P1672" s="251"/>
      <c r="Q1672" s="251"/>
      <c r="R1672" s="251"/>
      <c r="S1672" s="251"/>
      <c r="T1672" s="251"/>
      <c r="U1672" s="251"/>
      <c r="V1672" s="251"/>
      <c r="W1672" s="251"/>
      <c r="X1672" s="251"/>
      <c r="Y1672" s="251"/>
      <c r="Z1672" s="251"/>
      <c r="AA1672" s="137"/>
      <c r="AB1672" s="137"/>
      <c r="AC1672" s="137"/>
      <c r="AD1672" s="137"/>
      <c r="AE1672" s="137"/>
      <c r="AF1672" s="137"/>
      <c r="AG1672" s="137"/>
    </row>
    <row r="1673" ht="30.0" customHeight="1">
      <c r="A1673" s="248"/>
      <c r="B1673" s="249"/>
      <c r="C1673" s="248"/>
      <c r="D1673" s="249"/>
      <c r="E1673" s="249"/>
      <c r="F1673" s="249"/>
      <c r="G1673" s="250"/>
      <c r="H1673" s="251"/>
      <c r="I1673" s="252"/>
      <c r="J1673" s="252"/>
      <c r="K1673" s="252"/>
      <c r="L1673" s="251"/>
      <c r="M1673" s="251"/>
      <c r="N1673" s="251"/>
      <c r="O1673" s="251"/>
      <c r="P1673" s="251"/>
      <c r="Q1673" s="251"/>
      <c r="R1673" s="251"/>
      <c r="S1673" s="251"/>
      <c r="T1673" s="251"/>
      <c r="U1673" s="251"/>
      <c r="V1673" s="251"/>
      <c r="W1673" s="251"/>
      <c r="X1673" s="251"/>
      <c r="Y1673" s="251"/>
      <c r="Z1673" s="251"/>
      <c r="AA1673" s="137"/>
      <c r="AB1673" s="137"/>
      <c r="AC1673" s="137"/>
      <c r="AD1673" s="137"/>
      <c r="AE1673" s="137"/>
      <c r="AF1673" s="137"/>
      <c r="AG1673" s="137"/>
    </row>
    <row r="1674" ht="30.0" customHeight="1">
      <c r="A1674" s="248"/>
      <c r="B1674" s="249"/>
      <c r="C1674" s="248"/>
      <c r="D1674" s="249"/>
      <c r="E1674" s="249"/>
      <c r="F1674" s="249"/>
      <c r="G1674" s="250"/>
      <c r="H1674" s="251"/>
      <c r="I1674" s="252"/>
      <c r="J1674" s="252"/>
      <c r="K1674" s="252"/>
      <c r="L1674" s="251"/>
      <c r="M1674" s="251"/>
      <c r="N1674" s="251"/>
      <c r="O1674" s="251"/>
      <c r="P1674" s="251"/>
      <c r="Q1674" s="251"/>
      <c r="R1674" s="251"/>
      <c r="S1674" s="251"/>
      <c r="T1674" s="251"/>
      <c r="U1674" s="251"/>
      <c r="V1674" s="251"/>
      <c r="W1674" s="251"/>
      <c r="X1674" s="251"/>
      <c r="Y1674" s="251"/>
      <c r="Z1674" s="251"/>
      <c r="AA1674" s="137"/>
      <c r="AB1674" s="137"/>
      <c r="AC1674" s="137"/>
      <c r="AD1674" s="137"/>
      <c r="AE1674" s="137"/>
      <c r="AF1674" s="137"/>
      <c r="AG1674" s="137"/>
    </row>
    <row r="1675" ht="30.0" customHeight="1">
      <c r="A1675" s="248"/>
      <c r="B1675" s="249"/>
      <c r="C1675" s="248"/>
      <c r="D1675" s="249"/>
      <c r="E1675" s="249"/>
      <c r="F1675" s="249"/>
      <c r="G1675" s="250"/>
      <c r="H1675" s="251"/>
      <c r="I1675" s="252"/>
      <c r="J1675" s="252"/>
      <c r="K1675" s="252"/>
      <c r="L1675" s="251"/>
      <c r="M1675" s="251"/>
      <c r="N1675" s="251"/>
      <c r="O1675" s="251"/>
      <c r="P1675" s="251"/>
      <c r="Q1675" s="251"/>
      <c r="R1675" s="251"/>
      <c r="S1675" s="251"/>
      <c r="T1675" s="251"/>
      <c r="U1675" s="251"/>
      <c r="V1675" s="251"/>
      <c r="W1675" s="251"/>
      <c r="X1675" s="251"/>
      <c r="Y1675" s="251"/>
      <c r="Z1675" s="251"/>
      <c r="AA1675" s="137"/>
      <c r="AB1675" s="137"/>
      <c r="AC1675" s="137"/>
      <c r="AD1675" s="137"/>
      <c r="AE1675" s="137"/>
      <c r="AF1675" s="137"/>
      <c r="AG1675" s="137"/>
    </row>
    <row r="1676" ht="30.0" customHeight="1">
      <c r="A1676" s="248"/>
      <c r="B1676" s="249"/>
      <c r="C1676" s="248"/>
      <c r="D1676" s="249"/>
      <c r="E1676" s="249"/>
      <c r="F1676" s="249"/>
      <c r="G1676" s="250"/>
      <c r="H1676" s="251"/>
      <c r="I1676" s="252"/>
      <c r="J1676" s="252"/>
      <c r="K1676" s="252"/>
      <c r="L1676" s="251"/>
      <c r="M1676" s="251"/>
      <c r="N1676" s="251"/>
      <c r="O1676" s="251"/>
      <c r="P1676" s="251"/>
      <c r="Q1676" s="251"/>
      <c r="R1676" s="251"/>
      <c r="S1676" s="251"/>
      <c r="T1676" s="251"/>
      <c r="U1676" s="251"/>
      <c r="V1676" s="251"/>
      <c r="W1676" s="251"/>
      <c r="X1676" s="251"/>
      <c r="Y1676" s="251"/>
      <c r="Z1676" s="251"/>
      <c r="AA1676" s="137"/>
      <c r="AB1676" s="137"/>
      <c r="AC1676" s="137"/>
      <c r="AD1676" s="137"/>
      <c r="AE1676" s="137"/>
      <c r="AF1676" s="137"/>
      <c r="AG1676" s="137"/>
    </row>
    <row r="1677" ht="30.0" customHeight="1">
      <c r="A1677" s="248"/>
      <c r="B1677" s="249"/>
      <c r="C1677" s="248"/>
      <c r="D1677" s="249"/>
      <c r="E1677" s="249"/>
      <c r="F1677" s="249"/>
      <c r="G1677" s="250"/>
      <c r="H1677" s="251"/>
      <c r="I1677" s="252"/>
      <c r="J1677" s="252"/>
      <c r="K1677" s="252"/>
      <c r="L1677" s="251"/>
      <c r="M1677" s="251"/>
      <c r="N1677" s="251"/>
      <c r="O1677" s="251"/>
      <c r="P1677" s="251"/>
      <c r="Q1677" s="251"/>
      <c r="R1677" s="251"/>
      <c r="S1677" s="251"/>
      <c r="T1677" s="251"/>
      <c r="U1677" s="251"/>
      <c r="V1677" s="251"/>
      <c r="W1677" s="251"/>
      <c r="X1677" s="251"/>
      <c r="Y1677" s="251"/>
      <c r="Z1677" s="251"/>
      <c r="AA1677" s="137"/>
      <c r="AB1677" s="137"/>
      <c r="AC1677" s="137"/>
      <c r="AD1677" s="137"/>
      <c r="AE1677" s="137"/>
      <c r="AF1677" s="137"/>
      <c r="AG1677" s="137"/>
    </row>
    <row r="1678" ht="30.0" customHeight="1">
      <c r="A1678" s="248"/>
      <c r="B1678" s="249"/>
      <c r="C1678" s="248"/>
      <c r="D1678" s="249"/>
      <c r="E1678" s="249"/>
      <c r="F1678" s="249"/>
      <c r="G1678" s="249"/>
      <c r="H1678" s="251"/>
      <c r="I1678" s="252"/>
      <c r="J1678" s="252"/>
      <c r="K1678" s="252"/>
      <c r="L1678" s="251"/>
      <c r="M1678" s="251"/>
      <c r="N1678" s="251"/>
      <c r="O1678" s="251"/>
      <c r="P1678" s="251"/>
      <c r="Q1678" s="251"/>
      <c r="R1678" s="251"/>
      <c r="S1678" s="251"/>
      <c r="T1678" s="251"/>
      <c r="U1678" s="251"/>
      <c r="V1678" s="251"/>
      <c r="W1678" s="251"/>
      <c r="X1678" s="251"/>
      <c r="Y1678" s="251"/>
      <c r="Z1678" s="251"/>
      <c r="AA1678" s="137"/>
      <c r="AB1678" s="137"/>
      <c r="AC1678" s="137"/>
      <c r="AD1678" s="137"/>
      <c r="AE1678" s="137"/>
      <c r="AF1678" s="137"/>
      <c r="AG1678" s="137"/>
    </row>
    <row r="1679" ht="30.0" customHeight="1">
      <c r="A1679" s="248"/>
      <c r="B1679" s="249"/>
      <c r="C1679" s="248"/>
      <c r="D1679" s="249"/>
      <c r="E1679" s="249"/>
      <c r="F1679" s="249"/>
      <c r="G1679" s="249"/>
      <c r="H1679" s="251"/>
      <c r="I1679" s="252"/>
      <c r="J1679" s="252"/>
      <c r="K1679" s="252"/>
      <c r="L1679" s="251"/>
      <c r="M1679" s="251"/>
      <c r="N1679" s="251"/>
      <c r="O1679" s="251"/>
      <c r="P1679" s="251"/>
      <c r="Q1679" s="251"/>
      <c r="R1679" s="251"/>
      <c r="S1679" s="251"/>
      <c r="T1679" s="251"/>
      <c r="U1679" s="251"/>
      <c r="V1679" s="251"/>
      <c r="W1679" s="251"/>
      <c r="X1679" s="251"/>
      <c r="Y1679" s="251"/>
      <c r="Z1679" s="251"/>
      <c r="AA1679" s="137"/>
      <c r="AB1679" s="137"/>
      <c r="AC1679" s="137"/>
      <c r="AD1679" s="137"/>
      <c r="AE1679" s="137"/>
      <c r="AF1679" s="137"/>
      <c r="AG1679" s="137"/>
    </row>
    <row r="1680" ht="30.0" customHeight="1">
      <c r="A1680" s="248"/>
      <c r="B1680" s="249"/>
      <c r="C1680" s="248"/>
      <c r="D1680" s="249"/>
      <c r="E1680" s="249"/>
      <c r="F1680" s="249"/>
      <c r="G1680" s="250"/>
      <c r="H1680" s="251"/>
      <c r="I1680" s="252"/>
      <c r="J1680" s="252"/>
      <c r="K1680" s="252"/>
      <c r="L1680" s="251"/>
      <c r="M1680" s="251"/>
      <c r="N1680" s="251"/>
      <c r="O1680" s="251"/>
      <c r="P1680" s="251"/>
      <c r="Q1680" s="251"/>
      <c r="R1680" s="251"/>
      <c r="S1680" s="251"/>
      <c r="T1680" s="251"/>
      <c r="U1680" s="251"/>
      <c r="V1680" s="251"/>
      <c r="W1680" s="251"/>
      <c r="X1680" s="251"/>
      <c r="Y1680" s="251"/>
      <c r="Z1680" s="251"/>
      <c r="AA1680" s="137"/>
      <c r="AB1680" s="137"/>
      <c r="AC1680" s="137"/>
      <c r="AD1680" s="137"/>
      <c r="AE1680" s="137"/>
      <c r="AF1680" s="137"/>
      <c r="AG1680" s="137"/>
    </row>
    <row r="1681" ht="30.0" customHeight="1">
      <c r="A1681" s="248"/>
      <c r="B1681" s="249"/>
      <c r="C1681" s="248"/>
      <c r="D1681" s="249"/>
      <c r="E1681" s="249"/>
      <c r="F1681" s="249"/>
      <c r="G1681" s="250"/>
      <c r="H1681" s="251"/>
      <c r="I1681" s="252"/>
      <c r="J1681" s="252"/>
      <c r="K1681" s="252"/>
      <c r="L1681" s="251"/>
      <c r="M1681" s="251"/>
      <c r="N1681" s="251"/>
      <c r="O1681" s="251"/>
      <c r="P1681" s="251"/>
      <c r="Q1681" s="251"/>
      <c r="R1681" s="251"/>
      <c r="S1681" s="251"/>
      <c r="T1681" s="251"/>
      <c r="U1681" s="251"/>
      <c r="V1681" s="251"/>
      <c r="W1681" s="251"/>
      <c r="X1681" s="251"/>
      <c r="Y1681" s="251"/>
      <c r="Z1681" s="251"/>
      <c r="AA1681" s="137"/>
      <c r="AB1681" s="137"/>
      <c r="AC1681" s="137"/>
      <c r="AD1681" s="137"/>
      <c r="AE1681" s="137"/>
      <c r="AF1681" s="137"/>
      <c r="AG1681" s="137"/>
    </row>
    <row r="1682" ht="30.0" customHeight="1">
      <c r="A1682" s="248"/>
      <c r="B1682" s="249"/>
      <c r="C1682" s="248"/>
      <c r="D1682" s="249"/>
      <c r="E1682" s="249"/>
      <c r="F1682" s="249"/>
      <c r="G1682" s="250"/>
      <c r="H1682" s="251"/>
      <c r="I1682" s="252"/>
      <c r="J1682" s="252"/>
      <c r="K1682" s="252"/>
      <c r="L1682" s="251"/>
      <c r="M1682" s="251"/>
      <c r="N1682" s="251"/>
      <c r="O1682" s="251"/>
      <c r="P1682" s="251"/>
      <c r="Q1682" s="251"/>
      <c r="R1682" s="251"/>
      <c r="S1682" s="251"/>
      <c r="T1682" s="251"/>
      <c r="U1682" s="251"/>
      <c r="V1682" s="251"/>
      <c r="W1682" s="251"/>
      <c r="X1682" s="251"/>
      <c r="Y1682" s="251"/>
      <c r="Z1682" s="251"/>
      <c r="AA1682" s="137"/>
      <c r="AB1682" s="137"/>
      <c r="AC1682" s="137"/>
      <c r="AD1682" s="137"/>
      <c r="AE1682" s="137"/>
      <c r="AF1682" s="137"/>
      <c r="AG1682" s="137"/>
    </row>
    <row r="1683" ht="30.0" customHeight="1">
      <c r="A1683" s="248"/>
      <c r="B1683" s="249"/>
      <c r="C1683" s="248"/>
      <c r="D1683" s="249"/>
      <c r="E1683" s="249"/>
      <c r="F1683" s="249"/>
      <c r="G1683" s="249"/>
      <c r="H1683" s="251"/>
      <c r="I1683" s="252"/>
      <c r="J1683" s="252"/>
      <c r="K1683" s="252"/>
      <c r="L1683" s="251"/>
      <c r="M1683" s="251"/>
      <c r="N1683" s="251"/>
      <c r="O1683" s="251"/>
      <c r="P1683" s="251"/>
      <c r="Q1683" s="251"/>
      <c r="R1683" s="251"/>
      <c r="S1683" s="251"/>
      <c r="T1683" s="251"/>
      <c r="U1683" s="251"/>
      <c r="V1683" s="251"/>
      <c r="W1683" s="251"/>
      <c r="X1683" s="251"/>
      <c r="Y1683" s="251"/>
      <c r="Z1683" s="251"/>
      <c r="AA1683" s="137"/>
      <c r="AB1683" s="137"/>
      <c r="AC1683" s="137"/>
      <c r="AD1683" s="137"/>
      <c r="AE1683" s="137"/>
      <c r="AF1683" s="137"/>
      <c r="AG1683" s="137"/>
    </row>
    <row r="1684" ht="30.0" customHeight="1">
      <c r="A1684" s="248"/>
      <c r="B1684" s="249"/>
      <c r="C1684" s="248"/>
      <c r="D1684" s="249"/>
      <c r="E1684" s="249"/>
      <c r="F1684" s="249"/>
      <c r="G1684" s="250"/>
      <c r="H1684" s="251"/>
      <c r="I1684" s="252"/>
      <c r="J1684" s="252"/>
      <c r="K1684" s="252"/>
      <c r="L1684" s="251"/>
      <c r="M1684" s="251"/>
      <c r="N1684" s="251"/>
      <c r="O1684" s="251"/>
      <c r="P1684" s="251"/>
      <c r="Q1684" s="251"/>
      <c r="R1684" s="251"/>
      <c r="S1684" s="251"/>
      <c r="T1684" s="251"/>
      <c r="U1684" s="251"/>
      <c r="V1684" s="251"/>
      <c r="W1684" s="251"/>
      <c r="X1684" s="251"/>
      <c r="Y1684" s="251"/>
      <c r="Z1684" s="251"/>
      <c r="AA1684" s="137"/>
      <c r="AB1684" s="137"/>
      <c r="AC1684" s="137"/>
      <c r="AD1684" s="137"/>
      <c r="AE1684" s="137"/>
      <c r="AF1684" s="137"/>
      <c r="AG1684" s="137"/>
    </row>
    <row r="1685" ht="30.0" customHeight="1">
      <c r="A1685" s="248"/>
      <c r="B1685" s="249"/>
      <c r="C1685" s="248"/>
      <c r="D1685" s="249"/>
      <c r="E1685" s="249"/>
      <c r="F1685" s="249"/>
      <c r="G1685" s="250"/>
      <c r="H1685" s="251"/>
      <c r="I1685" s="252"/>
      <c r="J1685" s="252"/>
      <c r="K1685" s="252"/>
      <c r="L1685" s="251"/>
      <c r="M1685" s="251"/>
      <c r="N1685" s="251"/>
      <c r="O1685" s="251"/>
      <c r="P1685" s="251"/>
      <c r="Q1685" s="251"/>
      <c r="R1685" s="251"/>
      <c r="S1685" s="251"/>
      <c r="T1685" s="251"/>
      <c r="U1685" s="251"/>
      <c r="V1685" s="251"/>
      <c r="W1685" s="251"/>
      <c r="X1685" s="251"/>
      <c r="Y1685" s="251"/>
      <c r="Z1685" s="251"/>
      <c r="AA1685" s="137"/>
      <c r="AB1685" s="137"/>
      <c r="AC1685" s="137"/>
      <c r="AD1685" s="137"/>
      <c r="AE1685" s="137"/>
      <c r="AF1685" s="137"/>
      <c r="AG1685" s="137"/>
    </row>
    <row r="1686" ht="30.0" customHeight="1">
      <c r="A1686" s="248"/>
      <c r="B1686" s="249"/>
      <c r="C1686" s="248"/>
      <c r="D1686" s="249"/>
      <c r="E1686" s="249"/>
      <c r="F1686" s="249"/>
      <c r="G1686" s="250"/>
      <c r="H1686" s="251"/>
      <c r="I1686" s="252"/>
      <c r="J1686" s="252"/>
      <c r="K1686" s="252"/>
      <c r="L1686" s="251"/>
      <c r="M1686" s="251"/>
      <c r="N1686" s="251"/>
      <c r="O1686" s="251"/>
      <c r="P1686" s="251"/>
      <c r="Q1686" s="251"/>
      <c r="R1686" s="251"/>
      <c r="S1686" s="251"/>
      <c r="T1686" s="251"/>
      <c r="U1686" s="251"/>
      <c r="V1686" s="251"/>
      <c r="W1686" s="251"/>
      <c r="X1686" s="251"/>
      <c r="Y1686" s="251"/>
      <c r="Z1686" s="251"/>
      <c r="AA1686" s="137"/>
      <c r="AB1686" s="137"/>
      <c r="AC1686" s="137"/>
      <c r="AD1686" s="137"/>
      <c r="AE1686" s="137"/>
      <c r="AF1686" s="137"/>
      <c r="AG1686" s="137"/>
    </row>
    <row r="1687" ht="30.0" customHeight="1">
      <c r="A1687" s="248"/>
      <c r="B1687" s="249"/>
      <c r="C1687" s="248"/>
      <c r="D1687" s="249"/>
      <c r="E1687" s="249"/>
      <c r="F1687" s="249"/>
      <c r="G1687" s="250"/>
      <c r="H1687" s="251"/>
      <c r="I1687" s="252"/>
      <c r="J1687" s="252"/>
      <c r="K1687" s="252"/>
      <c r="L1687" s="251"/>
      <c r="M1687" s="251"/>
      <c r="N1687" s="251"/>
      <c r="O1687" s="251"/>
      <c r="P1687" s="251"/>
      <c r="Q1687" s="251"/>
      <c r="R1687" s="251"/>
      <c r="S1687" s="251"/>
      <c r="T1687" s="251"/>
      <c r="U1687" s="251"/>
      <c r="V1687" s="251"/>
      <c r="W1687" s="251"/>
      <c r="X1687" s="251"/>
      <c r="Y1687" s="251"/>
      <c r="Z1687" s="251"/>
      <c r="AA1687" s="137"/>
      <c r="AB1687" s="137"/>
      <c r="AC1687" s="137"/>
      <c r="AD1687" s="137"/>
      <c r="AE1687" s="137"/>
      <c r="AF1687" s="137"/>
      <c r="AG1687" s="137"/>
    </row>
    <row r="1688" ht="30.0" customHeight="1">
      <c r="A1688" s="248"/>
      <c r="B1688" s="249"/>
      <c r="C1688" s="248"/>
      <c r="D1688" s="249"/>
      <c r="E1688" s="249"/>
      <c r="F1688" s="249"/>
      <c r="G1688" s="250"/>
      <c r="H1688" s="251"/>
      <c r="I1688" s="252"/>
      <c r="J1688" s="252"/>
      <c r="K1688" s="252"/>
      <c r="L1688" s="251"/>
      <c r="M1688" s="251"/>
      <c r="N1688" s="251"/>
      <c r="O1688" s="251"/>
      <c r="P1688" s="251"/>
      <c r="Q1688" s="251"/>
      <c r="R1688" s="251"/>
      <c r="S1688" s="251"/>
      <c r="T1688" s="251"/>
      <c r="U1688" s="251"/>
      <c r="V1688" s="251"/>
      <c r="W1688" s="251"/>
      <c r="X1688" s="251"/>
      <c r="Y1688" s="251"/>
      <c r="Z1688" s="251"/>
      <c r="AA1688" s="137"/>
      <c r="AB1688" s="137"/>
      <c r="AC1688" s="137"/>
      <c r="AD1688" s="137"/>
      <c r="AE1688" s="137"/>
      <c r="AF1688" s="137"/>
      <c r="AG1688" s="137"/>
    </row>
    <row r="1689" ht="30.0" customHeight="1">
      <c r="A1689" s="248"/>
      <c r="B1689" s="249"/>
      <c r="C1689" s="248"/>
      <c r="D1689" s="249"/>
      <c r="E1689" s="249"/>
      <c r="F1689" s="249"/>
      <c r="G1689" s="250"/>
      <c r="H1689" s="251"/>
      <c r="I1689" s="252"/>
      <c r="J1689" s="252"/>
      <c r="K1689" s="252"/>
      <c r="L1689" s="251"/>
      <c r="M1689" s="251"/>
      <c r="N1689" s="251"/>
      <c r="O1689" s="251"/>
      <c r="P1689" s="251"/>
      <c r="Q1689" s="251"/>
      <c r="R1689" s="251"/>
      <c r="S1689" s="251"/>
      <c r="T1689" s="251"/>
      <c r="U1689" s="251"/>
      <c r="V1689" s="251"/>
      <c r="W1689" s="251"/>
      <c r="X1689" s="251"/>
      <c r="Y1689" s="251"/>
      <c r="Z1689" s="251"/>
      <c r="AA1689" s="137"/>
      <c r="AB1689" s="137"/>
      <c r="AC1689" s="137"/>
      <c r="AD1689" s="137"/>
      <c r="AE1689" s="137"/>
      <c r="AF1689" s="137"/>
      <c r="AG1689" s="137"/>
    </row>
    <row r="1690" ht="30.0" customHeight="1">
      <c r="A1690" s="248"/>
      <c r="B1690" s="249"/>
      <c r="C1690" s="248"/>
      <c r="D1690" s="249"/>
      <c r="E1690" s="249"/>
      <c r="F1690" s="249"/>
      <c r="G1690" s="250"/>
      <c r="H1690" s="251"/>
      <c r="I1690" s="252"/>
      <c r="J1690" s="252"/>
      <c r="K1690" s="252"/>
      <c r="L1690" s="251"/>
      <c r="M1690" s="251"/>
      <c r="N1690" s="251"/>
      <c r="O1690" s="251"/>
      <c r="P1690" s="251"/>
      <c r="Q1690" s="251"/>
      <c r="R1690" s="251"/>
      <c r="S1690" s="251"/>
      <c r="T1690" s="251"/>
      <c r="U1690" s="251"/>
      <c r="V1690" s="251"/>
      <c r="W1690" s="251"/>
      <c r="X1690" s="251"/>
      <c r="Y1690" s="251"/>
      <c r="Z1690" s="251"/>
      <c r="AA1690" s="137"/>
      <c r="AB1690" s="137"/>
      <c r="AC1690" s="137"/>
      <c r="AD1690" s="137"/>
      <c r="AE1690" s="137"/>
      <c r="AF1690" s="137"/>
      <c r="AG1690" s="137"/>
    </row>
    <row r="1691" ht="30.0" customHeight="1">
      <c r="A1691" s="248"/>
      <c r="B1691" s="249"/>
      <c r="C1691" s="248"/>
      <c r="D1691" s="249"/>
      <c r="E1691" s="249"/>
      <c r="F1691" s="249"/>
      <c r="G1691" s="249"/>
      <c r="H1691" s="251"/>
      <c r="I1691" s="252"/>
      <c r="J1691" s="252"/>
      <c r="K1691" s="252"/>
      <c r="L1691" s="251"/>
      <c r="M1691" s="251"/>
      <c r="N1691" s="251"/>
      <c r="O1691" s="251"/>
      <c r="P1691" s="251"/>
      <c r="Q1691" s="251"/>
      <c r="R1691" s="251"/>
      <c r="S1691" s="251"/>
      <c r="T1691" s="251"/>
      <c r="U1691" s="251"/>
      <c r="V1691" s="251"/>
      <c r="W1691" s="251"/>
      <c r="X1691" s="251"/>
      <c r="Y1691" s="251"/>
      <c r="Z1691" s="251"/>
      <c r="AA1691" s="137"/>
      <c r="AB1691" s="137"/>
      <c r="AC1691" s="137"/>
      <c r="AD1691" s="137"/>
      <c r="AE1691" s="137"/>
      <c r="AF1691" s="137"/>
      <c r="AG1691" s="137"/>
    </row>
    <row r="1692" ht="30.0" customHeight="1">
      <c r="A1692" s="248"/>
      <c r="B1692" s="249"/>
      <c r="C1692" s="248"/>
      <c r="D1692" s="249"/>
      <c r="E1692" s="249"/>
      <c r="F1692" s="249"/>
      <c r="G1692" s="249"/>
      <c r="H1692" s="251"/>
      <c r="I1692" s="252"/>
      <c r="J1692" s="252"/>
      <c r="K1692" s="252"/>
      <c r="L1692" s="251"/>
      <c r="M1692" s="251"/>
      <c r="N1692" s="251"/>
      <c r="O1692" s="251"/>
      <c r="P1692" s="251"/>
      <c r="Q1692" s="251"/>
      <c r="R1692" s="251"/>
      <c r="S1692" s="251"/>
      <c r="T1692" s="251"/>
      <c r="U1692" s="251"/>
      <c r="V1692" s="251"/>
      <c r="W1692" s="251"/>
      <c r="X1692" s="251"/>
      <c r="Y1692" s="251"/>
      <c r="Z1692" s="251"/>
      <c r="AA1692" s="137"/>
      <c r="AB1692" s="137"/>
      <c r="AC1692" s="137"/>
      <c r="AD1692" s="137"/>
      <c r="AE1692" s="137"/>
      <c r="AF1692" s="137"/>
      <c r="AG1692" s="137"/>
    </row>
    <row r="1693" ht="30.0" customHeight="1">
      <c r="A1693" s="248"/>
      <c r="B1693" s="249"/>
      <c r="C1693" s="248"/>
      <c r="D1693" s="249"/>
      <c r="E1693" s="249"/>
      <c r="F1693" s="249"/>
      <c r="G1693" s="250"/>
      <c r="H1693" s="251"/>
      <c r="I1693" s="252"/>
      <c r="J1693" s="252"/>
      <c r="K1693" s="252"/>
      <c r="L1693" s="251"/>
      <c r="M1693" s="251"/>
      <c r="N1693" s="251"/>
      <c r="O1693" s="251"/>
      <c r="P1693" s="251"/>
      <c r="Q1693" s="251"/>
      <c r="R1693" s="251"/>
      <c r="S1693" s="251"/>
      <c r="T1693" s="251"/>
      <c r="U1693" s="251"/>
      <c r="V1693" s="251"/>
      <c r="W1693" s="251"/>
      <c r="X1693" s="251"/>
      <c r="Y1693" s="251"/>
      <c r="Z1693" s="251"/>
      <c r="AA1693" s="137"/>
      <c r="AB1693" s="137"/>
      <c r="AC1693" s="137"/>
      <c r="AD1693" s="137"/>
      <c r="AE1693" s="137"/>
      <c r="AF1693" s="137"/>
      <c r="AG1693" s="137"/>
    </row>
    <row r="1694" ht="30.0" customHeight="1">
      <c r="A1694" s="248"/>
      <c r="B1694" s="249"/>
      <c r="C1694" s="248"/>
      <c r="D1694" s="249"/>
      <c r="E1694" s="249"/>
      <c r="F1694" s="249"/>
      <c r="G1694" s="250"/>
      <c r="H1694" s="251"/>
      <c r="I1694" s="252"/>
      <c r="J1694" s="252"/>
      <c r="K1694" s="252"/>
      <c r="L1694" s="251"/>
      <c r="M1694" s="251"/>
      <c r="N1694" s="251"/>
      <c r="O1694" s="251"/>
      <c r="P1694" s="251"/>
      <c r="Q1694" s="251"/>
      <c r="R1694" s="251"/>
      <c r="S1694" s="251"/>
      <c r="T1694" s="251"/>
      <c r="U1694" s="251"/>
      <c r="V1694" s="251"/>
      <c r="W1694" s="251"/>
      <c r="X1694" s="251"/>
      <c r="Y1694" s="251"/>
      <c r="Z1694" s="251"/>
      <c r="AA1694" s="137"/>
      <c r="AB1694" s="137"/>
      <c r="AC1694" s="137"/>
      <c r="AD1694" s="137"/>
      <c r="AE1694" s="137"/>
      <c r="AF1694" s="137"/>
      <c r="AG1694" s="137"/>
    </row>
    <row r="1695" ht="30.0" customHeight="1">
      <c r="A1695" s="248"/>
      <c r="B1695" s="249"/>
      <c r="C1695" s="248"/>
      <c r="D1695" s="249"/>
      <c r="E1695" s="249"/>
      <c r="F1695" s="249"/>
      <c r="G1695" s="249"/>
      <c r="H1695" s="251"/>
      <c r="I1695" s="252"/>
      <c r="J1695" s="252"/>
      <c r="K1695" s="252"/>
      <c r="L1695" s="251"/>
      <c r="M1695" s="251"/>
      <c r="N1695" s="251"/>
      <c r="O1695" s="251"/>
      <c r="P1695" s="251"/>
      <c r="Q1695" s="251"/>
      <c r="R1695" s="251"/>
      <c r="S1695" s="251"/>
      <c r="T1695" s="251"/>
      <c r="U1695" s="251"/>
      <c r="V1695" s="251"/>
      <c r="W1695" s="251"/>
      <c r="X1695" s="251"/>
      <c r="Y1695" s="251"/>
      <c r="Z1695" s="251"/>
      <c r="AA1695" s="137"/>
      <c r="AB1695" s="137"/>
      <c r="AC1695" s="137"/>
      <c r="AD1695" s="137"/>
      <c r="AE1695" s="137"/>
      <c r="AF1695" s="137"/>
      <c r="AG1695" s="137"/>
    </row>
    <row r="1696" ht="30.0" customHeight="1">
      <c r="A1696" s="248"/>
      <c r="B1696" s="249"/>
      <c r="C1696" s="248"/>
      <c r="D1696" s="249"/>
      <c r="E1696" s="249"/>
      <c r="F1696" s="249"/>
      <c r="G1696" s="250"/>
      <c r="H1696" s="251"/>
      <c r="I1696" s="252"/>
      <c r="J1696" s="252"/>
      <c r="K1696" s="252"/>
      <c r="L1696" s="251"/>
      <c r="M1696" s="251"/>
      <c r="N1696" s="251"/>
      <c r="O1696" s="251"/>
      <c r="P1696" s="251"/>
      <c r="Q1696" s="251"/>
      <c r="R1696" s="251"/>
      <c r="S1696" s="251"/>
      <c r="T1696" s="251"/>
      <c r="U1696" s="251"/>
      <c r="V1696" s="251"/>
      <c r="W1696" s="251"/>
      <c r="X1696" s="251"/>
      <c r="Y1696" s="251"/>
      <c r="Z1696" s="251"/>
      <c r="AA1696" s="137"/>
      <c r="AB1696" s="137"/>
      <c r="AC1696" s="137"/>
      <c r="AD1696" s="137"/>
      <c r="AE1696" s="137"/>
      <c r="AF1696" s="137"/>
      <c r="AG1696" s="137"/>
    </row>
    <row r="1697" ht="30.0" customHeight="1">
      <c r="A1697" s="248"/>
      <c r="B1697" s="249"/>
      <c r="C1697" s="248"/>
      <c r="D1697" s="249"/>
      <c r="E1697" s="249"/>
      <c r="F1697" s="249"/>
      <c r="G1697" s="250"/>
      <c r="H1697" s="251"/>
      <c r="I1697" s="252"/>
      <c r="J1697" s="252"/>
      <c r="K1697" s="252"/>
      <c r="L1697" s="251"/>
      <c r="M1697" s="251"/>
      <c r="N1697" s="251"/>
      <c r="O1697" s="251"/>
      <c r="P1697" s="251"/>
      <c r="Q1697" s="251"/>
      <c r="R1697" s="251"/>
      <c r="S1697" s="251"/>
      <c r="T1697" s="251"/>
      <c r="U1697" s="251"/>
      <c r="V1697" s="251"/>
      <c r="W1697" s="251"/>
      <c r="X1697" s="251"/>
      <c r="Y1697" s="251"/>
      <c r="Z1697" s="251"/>
      <c r="AA1697" s="137"/>
      <c r="AB1697" s="137"/>
      <c r="AC1697" s="137"/>
      <c r="AD1697" s="137"/>
      <c r="AE1697" s="137"/>
      <c r="AF1697" s="137"/>
      <c r="AG1697" s="137"/>
    </row>
    <row r="1698" ht="30.0" customHeight="1">
      <c r="A1698" s="248"/>
      <c r="B1698" s="249"/>
      <c r="C1698" s="248"/>
      <c r="D1698" s="249"/>
      <c r="E1698" s="249"/>
      <c r="F1698" s="249"/>
      <c r="G1698" s="250"/>
      <c r="H1698" s="251"/>
      <c r="I1698" s="252"/>
      <c r="J1698" s="252"/>
      <c r="K1698" s="252"/>
      <c r="L1698" s="251"/>
      <c r="M1698" s="251"/>
      <c r="N1698" s="251"/>
      <c r="O1698" s="251"/>
      <c r="P1698" s="251"/>
      <c r="Q1698" s="251"/>
      <c r="R1698" s="251"/>
      <c r="S1698" s="251"/>
      <c r="T1698" s="251"/>
      <c r="U1698" s="251"/>
      <c r="V1698" s="251"/>
      <c r="W1698" s="251"/>
      <c r="X1698" s="251"/>
      <c r="Y1698" s="251"/>
      <c r="Z1698" s="251"/>
      <c r="AA1698" s="137"/>
      <c r="AB1698" s="137"/>
      <c r="AC1698" s="137"/>
      <c r="AD1698" s="137"/>
      <c r="AE1698" s="137"/>
      <c r="AF1698" s="137"/>
      <c r="AG1698" s="137"/>
    </row>
    <row r="1699" ht="30.0" customHeight="1">
      <c r="A1699" s="248"/>
      <c r="B1699" s="249"/>
      <c r="C1699" s="248"/>
      <c r="D1699" s="249"/>
      <c r="E1699" s="249"/>
      <c r="F1699" s="249"/>
      <c r="G1699" s="250"/>
      <c r="H1699" s="251"/>
      <c r="I1699" s="252"/>
      <c r="J1699" s="252"/>
      <c r="K1699" s="252"/>
      <c r="L1699" s="251"/>
      <c r="M1699" s="251"/>
      <c r="N1699" s="251"/>
      <c r="O1699" s="251"/>
      <c r="P1699" s="251"/>
      <c r="Q1699" s="251"/>
      <c r="R1699" s="251"/>
      <c r="S1699" s="251"/>
      <c r="T1699" s="251"/>
      <c r="U1699" s="251"/>
      <c r="V1699" s="251"/>
      <c r="W1699" s="251"/>
      <c r="X1699" s="251"/>
      <c r="Y1699" s="251"/>
      <c r="Z1699" s="251"/>
      <c r="AA1699" s="137"/>
      <c r="AB1699" s="137"/>
      <c r="AC1699" s="137"/>
      <c r="AD1699" s="137"/>
      <c r="AE1699" s="137"/>
      <c r="AF1699" s="137"/>
      <c r="AG1699" s="137"/>
    </row>
    <row r="1700" ht="30.0" customHeight="1">
      <c r="A1700" s="248"/>
      <c r="B1700" s="249"/>
      <c r="C1700" s="248"/>
      <c r="D1700" s="249"/>
      <c r="E1700" s="249"/>
      <c r="F1700" s="249"/>
      <c r="G1700" s="250"/>
      <c r="H1700" s="251"/>
      <c r="I1700" s="252"/>
      <c r="J1700" s="252"/>
      <c r="K1700" s="252"/>
      <c r="L1700" s="251"/>
      <c r="M1700" s="251"/>
      <c r="N1700" s="251"/>
      <c r="O1700" s="251"/>
      <c r="P1700" s="251"/>
      <c r="Q1700" s="251"/>
      <c r="R1700" s="251"/>
      <c r="S1700" s="251"/>
      <c r="T1700" s="251"/>
      <c r="U1700" s="251"/>
      <c r="V1700" s="251"/>
      <c r="W1700" s="251"/>
      <c r="X1700" s="251"/>
      <c r="Y1700" s="251"/>
      <c r="Z1700" s="251"/>
      <c r="AA1700" s="137"/>
      <c r="AB1700" s="137"/>
      <c r="AC1700" s="137"/>
      <c r="AD1700" s="137"/>
      <c r="AE1700" s="137"/>
      <c r="AF1700" s="137"/>
      <c r="AG1700" s="137"/>
    </row>
    <row r="1701" ht="30.0" customHeight="1">
      <c r="A1701" s="248"/>
      <c r="B1701" s="249"/>
      <c r="C1701" s="248"/>
      <c r="D1701" s="249"/>
      <c r="E1701" s="249"/>
      <c r="F1701" s="249"/>
      <c r="G1701" s="250"/>
      <c r="H1701" s="251"/>
      <c r="I1701" s="252"/>
      <c r="J1701" s="252"/>
      <c r="K1701" s="252"/>
      <c r="L1701" s="251"/>
      <c r="M1701" s="251"/>
      <c r="N1701" s="251"/>
      <c r="O1701" s="251"/>
      <c r="P1701" s="251"/>
      <c r="Q1701" s="251"/>
      <c r="R1701" s="251"/>
      <c r="S1701" s="251"/>
      <c r="T1701" s="251"/>
      <c r="U1701" s="251"/>
      <c r="V1701" s="251"/>
      <c r="W1701" s="251"/>
      <c r="X1701" s="251"/>
      <c r="Y1701" s="251"/>
      <c r="Z1701" s="251"/>
      <c r="AA1701" s="137"/>
      <c r="AB1701" s="137"/>
      <c r="AC1701" s="137"/>
      <c r="AD1701" s="137"/>
      <c r="AE1701" s="137"/>
      <c r="AF1701" s="137"/>
      <c r="AG1701" s="137"/>
    </row>
    <row r="1702" ht="30.0" customHeight="1">
      <c r="A1702" s="248"/>
      <c r="B1702" s="249"/>
      <c r="C1702" s="248"/>
      <c r="D1702" s="249"/>
      <c r="E1702" s="249"/>
      <c r="F1702" s="249"/>
      <c r="G1702" s="250"/>
      <c r="H1702" s="251"/>
      <c r="I1702" s="252"/>
      <c r="J1702" s="252"/>
      <c r="K1702" s="252"/>
      <c r="L1702" s="251"/>
      <c r="M1702" s="251"/>
      <c r="N1702" s="251"/>
      <c r="O1702" s="251"/>
      <c r="P1702" s="251"/>
      <c r="Q1702" s="251"/>
      <c r="R1702" s="251"/>
      <c r="S1702" s="251"/>
      <c r="T1702" s="251"/>
      <c r="U1702" s="251"/>
      <c r="V1702" s="251"/>
      <c r="W1702" s="251"/>
      <c r="X1702" s="251"/>
      <c r="Y1702" s="251"/>
      <c r="Z1702" s="251"/>
      <c r="AA1702" s="137"/>
      <c r="AB1702" s="137"/>
      <c r="AC1702" s="137"/>
      <c r="AD1702" s="137"/>
      <c r="AE1702" s="137"/>
      <c r="AF1702" s="137"/>
      <c r="AG1702" s="137"/>
    </row>
    <row r="1703" ht="30.0" customHeight="1">
      <c r="A1703" s="248"/>
      <c r="B1703" s="249"/>
      <c r="C1703" s="248"/>
      <c r="D1703" s="249"/>
      <c r="E1703" s="249"/>
      <c r="F1703" s="249"/>
      <c r="G1703" s="250"/>
      <c r="H1703" s="251"/>
      <c r="I1703" s="252"/>
      <c r="J1703" s="252"/>
      <c r="K1703" s="252"/>
      <c r="L1703" s="251"/>
      <c r="M1703" s="251"/>
      <c r="N1703" s="251"/>
      <c r="O1703" s="251"/>
      <c r="P1703" s="251"/>
      <c r="Q1703" s="251"/>
      <c r="R1703" s="251"/>
      <c r="S1703" s="251"/>
      <c r="T1703" s="251"/>
      <c r="U1703" s="251"/>
      <c r="V1703" s="251"/>
      <c r="W1703" s="251"/>
      <c r="X1703" s="251"/>
      <c r="Y1703" s="251"/>
      <c r="Z1703" s="251"/>
      <c r="AA1703" s="137"/>
      <c r="AB1703" s="137"/>
      <c r="AC1703" s="137"/>
      <c r="AD1703" s="137"/>
      <c r="AE1703" s="137"/>
      <c r="AF1703" s="137"/>
      <c r="AG1703" s="137"/>
    </row>
    <row r="1704" ht="30.0" customHeight="1">
      <c r="A1704" s="248"/>
      <c r="B1704" s="249"/>
      <c r="C1704" s="248"/>
      <c r="D1704" s="249"/>
      <c r="E1704" s="249"/>
      <c r="F1704" s="249"/>
      <c r="G1704" s="250"/>
      <c r="H1704" s="251"/>
      <c r="I1704" s="252"/>
      <c r="J1704" s="252"/>
      <c r="K1704" s="252"/>
      <c r="L1704" s="251"/>
      <c r="M1704" s="251"/>
      <c r="N1704" s="251"/>
      <c r="O1704" s="251"/>
      <c r="P1704" s="251"/>
      <c r="Q1704" s="251"/>
      <c r="R1704" s="251"/>
      <c r="S1704" s="251"/>
      <c r="T1704" s="251"/>
      <c r="U1704" s="251"/>
      <c r="V1704" s="251"/>
      <c r="W1704" s="251"/>
      <c r="X1704" s="251"/>
      <c r="Y1704" s="251"/>
      <c r="Z1704" s="251"/>
      <c r="AA1704" s="137"/>
      <c r="AB1704" s="137"/>
      <c r="AC1704" s="137"/>
      <c r="AD1704" s="137"/>
      <c r="AE1704" s="137"/>
      <c r="AF1704" s="137"/>
      <c r="AG1704" s="137"/>
    </row>
    <row r="1705" ht="30.0" customHeight="1">
      <c r="A1705" s="248"/>
      <c r="B1705" s="249"/>
      <c r="C1705" s="248"/>
      <c r="D1705" s="249"/>
      <c r="E1705" s="249"/>
      <c r="F1705" s="249"/>
      <c r="G1705" s="250"/>
      <c r="H1705" s="251"/>
      <c r="I1705" s="252"/>
      <c r="J1705" s="252"/>
      <c r="K1705" s="252"/>
      <c r="L1705" s="251"/>
      <c r="M1705" s="251"/>
      <c r="N1705" s="251"/>
      <c r="O1705" s="251"/>
      <c r="P1705" s="251"/>
      <c r="Q1705" s="251"/>
      <c r="R1705" s="251"/>
      <c r="S1705" s="251"/>
      <c r="T1705" s="251"/>
      <c r="U1705" s="251"/>
      <c r="V1705" s="251"/>
      <c r="W1705" s="251"/>
      <c r="X1705" s="251"/>
      <c r="Y1705" s="251"/>
      <c r="Z1705" s="251"/>
      <c r="AA1705" s="137"/>
      <c r="AB1705" s="137"/>
      <c r="AC1705" s="137"/>
      <c r="AD1705" s="137"/>
      <c r="AE1705" s="137"/>
      <c r="AF1705" s="137"/>
      <c r="AG1705" s="137"/>
    </row>
    <row r="1706" ht="30.0" customHeight="1">
      <c r="A1706" s="248"/>
      <c r="B1706" s="249"/>
      <c r="C1706" s="248"/>
      <c r="D1706" s="249"/>
      <c r="E1706" s="249"/>
      <c r="F1706" s="249"/>
      <c r="G1706" s="250"/>
      <c r="H1706" s="251"/>
      <c r="I1706" s="252"/>
      <c r="J1706" s="252"/>
      <c r="K1706" s="252"/>
      <c r="L1706" s="251"/>
      <c r="M1706" s="251"/>
      <c r="N1706" s="251"/>
      <c r="O1706" s="251"/>
      <c r="P1706" s="251"/>
      <c r="Q1706" s="251"/>
      <c r="R1706" s="251"/>
      <c r="S1706" s="251"/>
      <c r="T1706" s="251"/>
      <c r="U1706" s="251"/>
      <c r="V1706" s="251"/>
      <c r="W1706" s="251"/>
      <c r="X1706" s="251"/>
      <c r="Y1706" s="251"/>
      <c r="Z1706" s="251"/>
      <c r="AA1706" s="137"/>
      <c r="AB1706" s="137"/>
      <c r="AC1706" s="137"/>
      <c r="AD1706" s="137"/>
      <c r="AE1706" s="137"/>
      <c r="AF1706" s="137"/>
      <c r="AG1706" s="137"/>
    </row>
    <row r="1707" ht="30.0" customHeight="1">
      <c r="A1707" s="248"/>
      <c r="B1707" s="249"/>
      <c r="C1707" s="248"/>
      <c r="D1707" s="249"/>
      <c r="E1707" s="249"/>
      <c r="F1707" s="249"/>
      <c r="G1707" s="250"/>
      <c r="H1707" s="251"/>
      <c r="I1707" s="252"/>
      <c r="J1707" s="252"/>
      <c r="K1707" s="252"/>
      <c r="L1707" s="251"/>
      <c r="M1707" s="251"/>
      <c r="N1707" s="251"/>
      <c r="O1707" s="251"/>
      <c r="P1707" s="251"/>
      <c r="Q1707" s="251"/>
      <c r="R1707" s="251"/>
      <c r="S1707" s="251"/>
      <c r="T1707" s="251"/>
      <c r="U1707" s="251"/>
      <c r="V1707" s="251"/>
      <c r="W1707" s="251"/>
      <c r="X1707" s="251"/>
      <c r="Y1707" s="251"/>
      <c r="Z1707" s="251"/>
      <c r="AA1707" s="137"/>
      <c r="AB1707" s="137"/>
      <c r="AC1707" s="137"/>
      <c r="AD1707" s="137"/>
      <c r="AE1707" s="137"/>
      <c r="AF1707" s="137"/>
      <c r="AG1707" s="137"/>
    </row>
    <row r="1708" ht="30.0" customHeight="1">
      <c r="A1708" s="248"/>
      <c r="B1708" s="249"/>
      <c r="C1708" s="248"/>
      <c r="D1708" s="249"/>
      <c r="E1708" s="249"/>
      <c r="F1708" s="249"/>
      <c r="G1708" s="250"/>
      <c r="H1708" s="251"/>
      <c r="I1708" s="252"/>
      <c r="J1708" s="252"/>
      <c r="K1708" s="252"/>
      <c r="L1708" s="251"/>
      <c r="M1708" s="251"/>
      <c r="N1708" s="251"/>
      <c r="O1708" s="251"/>
      <c r="P1708" s="251"/>
      <c r="Q1708" s="251"/>
      <c r="R1708" s="251"/>
      <c r="S1708" s="251"/>
      <c r="T1708" s="251"/>
      <c r="U1708" s="251"/>
      <c r="V1708" s="251"/>
      <c r="W1708" s="251"/>
      <c r="X1708" s="251"/>
      <c r="Y1708" s="251"/>
      <c r="Z1708" s="251"/>
      <c r="AA1708" s="137"/>
      <c r="AB1708" s="137"/>
      <c r="AC1708" s="137"/>
      <c r="AD1708" s="137"/>
      <c r="AE1708" s="137"/>
      <c r="AF1708" s="137"/>
      <c r="AG1708" s="137"/>
    </row>
    <row r="1709" ht="30.0" customHeight="1">
      <c r="A1709" s="248"/>
      <c r="B1709" s="249"/>
      <c r="C1709" s="248"/>
      <c r="D1709" s="249"/>
      <c r="E1709" s="249"/>
      <c r="F1709" s="249"/>
      <c r="G1709" s="250"/>
      <c r="H1709" s="251"/>
      <c r="I1709" s="252"/>
      <c r="J1709" s="252"/>
      <c r="K1709" s="252"/>
      <c r="L1709" s="251"/>
      <c r="M1709" s="251"/>
      <c r="N1709" s="251"/>
      <c r="O1709" s="251"/>
      <c r="P1709" s="251"/>
      <c r="Q1709" s="251"/>
      <c r="R1709" s="251"/>
      <c r="S1709" s="251"/>
      <c r="T1709" s="251"/>
      <c r="U1709" s="251"/>
      <c r="V1709" s="251"/>
      <c r="W1709" s="251"/>
      <c r="X1709" s="251"/>
      <c r="Y1709" s="251"/>
      <c r="Z1709" s="251"/>
      <c r="AA1709" s="137"/>
      <c r="AB1709" s="137"/>
      <c r="AC1709" s="137"/>
      <c r="AD1709" s="137"/>
      <c r="AE1709" s="137"/>
      <c r="AF1709" s="137"/>
      <c r="AG1709" s="137"/>
    </row>
    <row r="1710" ht="30.0" customHeight="1">
      <c r="A1710" s="248"/>
      <c r="B1710" s="249"/>
      <c r="C1710" s="248"/>
      <c r="D1710" s="249"/>
      <c r="E1710" s="249"/>
      <c r="F1710" s="249"/>
      <c r="G1710" s="250"/>
      <c r="H1710" s="251"/>
      <c r="I1710" s="252"/>
      <c r="J1710" s="252"/>
      <c r="K1710" s="252"/>
      <c r="L1710" s="251"/>
      <c r="M1710" s="251"/>
      <c r="N1710" s="251"/>
      <c r="O1710" s="251"/>
      <c r="P1710" s="251"/>
      <c r="Q1710" s="251"/>
      <c r="R1710" s="251"/>
      <c r="S1710" s="251"/>
      <c r="T1710" s="251"/>
      <c r="U1710" s="251"/>
      <c r="V1710" s="251"/>
      <c r="W1710" s="251"/>
      <c r="X1710" s="251"/>
      <c r="Y1710" s="251"/>
      <c r="Z1710" s="251"/>
      <c r="AA1710" s="137"/>
      <c r="AB1710" s="137"/>
      <c r="AC1710" s="137"/>
      <c r="AD1710" s="137"/>
      <c r="AE1710" s="137"/>
      <c r="AF1710" s="137"/>
      <c r="AG1710" s="137"/>
    </row>
    <row r="1711" ht="30.0" customHeight="1">
      <c r="A1711" s="248"/>
      <c r="B1711" s="249"/>
      <c r="C1711" s="248"/>
      <c r="D1711" s="249"/>
      <c r="E1711" s="249"/>
      <c r="F1711" s="249"/>
      <c r="G1711" s="250"/>
      <c r="H1711" s="251"/>
      <c r="I1711" s="252"/>
      <c r="J1711" s="252"/>
      <c r="K1711" s="252"/>
      <c r="L1711" s="251"/>
      <c r="M1711" s="251"/>
      <c r="N1711" s="251"/>
      <c r="O1711" s="251"/>
      <c r="P1711" s="251"/>
      <c r="Q1711" s="251"/>
      <c r="R1711" s="251"/>
      <c r="S1711" s="251"/>
      <c r="T1711" s="251"/>
      <c r="U1711" s="251"/>
      <c r="V1711" s="251"/>
      <c r="W1711" s="251"/>
      <c r="X1711" s="251"/>
      <c r="Y1711" s="251"/>
      <c r="Z1711" s="251"/>
      <c r="AA1711" s="137"/>
      <c r="AB1711" s="137"/>
      <c r="AC1711" s="137"/>
      <c r="AD1711" s="137"/>
      <c r="AE1711" s="137"/>
      <c r="AF1711" s="137"/>
      <c r="AG1711" s="137"/>
    </row>
    <row r="1712" ht="30.0" customHeight="1">
      <c r="A1712" s="248"/>
      <c r="B1712" s="249"/>
      <c r="C1712" s="248"/>
      <c r="D1712" s="249"/>
      <c r="E1712" s="249"/>
      <c r="F1712" s="249"/>
      <c r="G1712" s="250"/>
      <c r="H1712" s="251"/>
      <c r="I1712" s="252"/>
      <c r="J1712" s="252"/>
      <c r="K1712" s="252"/>
      <c r="L1712" s="251"/>
      <c r="M1712" s="251"/>
      <c r="N1712" s="251"/>
      <c r="O1712" s="251"/>
      <c r="P1712" s="251"/>
      <c r="Q1712" s="251"/>
      <c r="R1712" s="251"/>
      <c r="S1712" s="251"/>
      <c r="T1712" s="251"/>
      <c r="U1712" s="251"/>
      <c r="V1712" s="251"/>
      <c r="W1712" s="251"/>
      <c r="X1712" s="251"/>
      <c r="Y1712" s="251"/>
      <c r="Z1712" s="251"/>
      <c r="AA1712" s="137"/>
      <c r="AB1712" s="137"/>
      <c r="AC1712" s="137"/>
      <c r="AD1712" s="137"/>
      <c r="AE1712" s="137"/>
      <c r="AF1712" s="137"/>
      <c r="AG1712" s="137"/>
    </row>
    <row r="1713" ht="30.0" customHeight="1">
      <c r="A1713" s="248"/>
      <c r="B1713" s="249"/>
      <c r="C1713" s="248"/>
      <c r="D1713" s="249"/>
      <c r="E1713" s="249"/>
      <c r="F1713" s="249"/>
      <c r="G1713" s="250"/>
      <c r="H1713" s="251"/>
      <c r="I1713" s="252"/>
      <c r="J1713" s="252"/>
      <c r="K1713" s="252"/>
      <c r="L1713" s="251"/>
      <c r="M1713" s="251"/>
      <c r="N1713" s="251"/>
      <c r="O1713" s="251"/>
      <c r="P1713" s="251"/>
      <c r="Q1713" s="251"/>
      <c r="R1713" s="251"/>
      <c r="S1713" s="251"/>
      <c r="T1713" s="251"/>
      <c r="U1713" s="251"/>
      <c r="V1713" s="251"/>
      <c r="W1713" s="251"/>
      <c r="X1713" s="251"/>
      <c r="Y1713" s="251"/>
      <c r="Z1713" s="251"/>
      <c r="AA1713" s="137"/>
      <c r="AB1713" s="137"/>
      <c r="AC1713" s="137"/>
      <c r="AD1713" s="137"/>
      <c r="AE1713" s="137"/>
      <c r="AF1713" s="137"/>
      <c r="AG1713" s="137"/>
    </row>
    <row r="1714" ht="30.0" customHeight="1">
      <c r="A1714" s="248"/>
      <c r="B1714" s="249"/>
      <c r="C1714" s="248"/>
      <c r="D1714" s="249"/>
      <c r="E1714" s="249"/>
      <c r="F1714" s="249"/>
      <c r="G1714" s="249"/>
      <c r="H1714" s="251"/>
      <c r="I1714" s="252"/>
      <c r="J1714" s="252"/>
      <c r="K1714" s="252"/>
      <c r="L1714" s="251"/>
      <c r="M1714" s="251"/>
      <c r="N1714" s="251"/>
      <c r="O1714" s="251"/>
      <c r="P1714" s="251"/>
      <c r="Q1714" s="251"/>
      <c r="R1714" s="251"/>
      <c r="S1714" s="251"/>
      <c r="T1714" s="251"/>
      <c r="U1714" s="251"/>
      <c r="V1714" s="251"/>
      <c r="W1714" s="251"/>
      <c r="X1714" s="251"/>
      <c r="Y1714" s="251"/>
      <c r="Z1714" s="251"/>
      <c r="AA1714" s="137"/>
      <c r="AB1714" s="137"/>
      <c r="AC1714" s="137"/>
      <c r="AD1714" s="137"/>
      <c r="AE1714" s="137"/>
      <c r="AF1714" s="137"/>
      <c r="AG1714" s="137"/>
    </row>
    <row r="1715" ht="30.0" customHeight="1">
      <c r="A1715" s="248"/>
      <c r="B1715" s="249"/>
      <c r="C1715" s="248"/>
      <c r="D1715" s="249"/>
      <c r="E1715" s="249"/>
      <c r="F1715" s="249"/>
      <c r="G1715" s="250"/>
      <c r="H1715" s="251"/>
      <c r="I1715" s="252"/>
      <c r="J1715" s="252"/>
      <c r="K1715" s="252"/>
      <c r="L1715" s="251"/>
      <c r="M1715" s="251"/>
      <c r="N1715" s="251"/>
      <c r="O1715" s="251"/>
      <c r="P1715" s="251"/>
      <c r="Q1715" s="251"/>
      <c r="R1715" s="251"/>
      <c r="S1715" s="251"/>
      <c r="T1715" s="251"/>
      <c r="U1715" s="251"/>
      <c r="V1715" s="251"/>
      <c r="W1715" s="251"/>
      <c r="X1715" s="251"/>
      <c r="Y1715" s="251"/>
      <c r="Z1715" s="251"/>
      <c r="AA1715" s="137"/>
      <c r="AB1715" s="137"/>
      <c r="AC1715" s="137"/>
      <c r="AD1715" s="137"/>
      <c r="AE1715" s="137"/>
      <c r="AF1715" s="137"/>
      <c r="AG1715" s="137"/>
    </row>
    <row r="1716" ht="30.0" customHeight="1">
      <c r="A1716" s="248"/>
      <c r="B1716" s="249"/>
      <c r="C1716" s="248"/>
      <c r="D1716" s="249"/>
      <c r="E1716" s="249"/>
      <c r="F1716" s="249"/>
      <c r="G1716" s="250"/>
      <c r="H1716" s="251"/>
      <c r="I1716" s="252"/>
      <c r="J1716" s="252"/>
      <c r="K1716" s="252"/>
      <c r="L1716" s="251"/>
      <c r="M1716" s="251"/>
      <c r="N1716" s="251"/>
      <c r="O1716" s="251"/>
      <c r="P1716" s="251"/>
      <c r="Q1716" s="251"/>
      <c r="R1716" s="251"/>
      <c r="S1716" s="251"/>
      <c r="T1716" s="251"/>
      <c r="U1716" s="251"/>
      <c r="V1716" s="251"/>
      <c r="W1716" s="251"/>
      <c r="X1716" s="251"/>
      <c r="Y1716" s="251"/>
      <c r="Z1716" s="251"/>
      <c r="AA1716" s="137"/>
      <c r="AB1716" s="137"/>
      <c r="AC1716" s="137"/>
      <c r="AD1716" s="137"/>
      <c r="AE1716" s="137"/>
      <c r="AF1716" s="137"/>
      <c r="AG1716" s="137"/>
    </row>
    <row r="1717" ht="30.0" customHeight="1">
      <c r="A1717" s="248"/>
      <c r="B1717" s="249"/>
      <c r="C1717" s="248"/>
      <c r="D1717" s="249"/>
      <c r="E1717" s="249"/>
      <c r="F1717" s="249"/>
      <c r="G1717" s="250"/>
      <c r="H1717" s="251"/>
      <c r="I1717" s="252"/>
      <c r="J1717" s="252"/>
      <c r="K1717" s="252"/>
      <c r="L1717" s="251"/>
      <c r="M1717" s="251"/>
      <c r="N1717" s="251"/>
      <c r="O1717" s="251"/>
      <c r="P1717" s="251"/>
      <c r="Q1717" s="251"/>
      <c r="R1717" s="251"/>
      <c r="S1717" s="251"/>
      <c r="T1717" s="251"/>
      <c r="U1717" s="251"/>
      <c r="V1717" s="251"/>
      <c r="W1717" s="251"/>
      <c r="X1717" s="251"/>
      <c r="Y1717" s="251"/>
      <c r="Z1717" s="251"/>
      <c r="AA1717" s="137"/>
      <c r="AB1717" s="137"/>
      <c r="AC1717" s="137"/>
      <c r="AD1717" s="137"/>
      <c r="AE1717" s="137"/>
      <c r="AF1717" s="137"/>
      <c r="AG1717" s="137"/>
    </row>
    <row r="1718" ht="30.0" customHeight="1">
      <c r="A1718" s="248"/>
      <c r="B1718" s="249"/>
      <c r="C1718" s="248"/>
      <c r="D1718" s="249"/>
      <c r="E1718" s="249"/>
      <c r="F1718" s="249"/>
      <c r="G1718" s="250"/>
      <c r="H1718" s="251"/>
      <c r="I1718" s="252"/>
      <c r="J1718" s="252"/>
      <c r="K1718" s="252"/>
      <c r="L1718" s="251"/>
      <c r="M1718" s="251"/>
      <c r="N1718" s="251"/>
      <c r="O1718" s="251"/>
      <c r="P1718" s="251"/>
      <c r="Q1718" s="251"/>
      <c r="R1718" s="251"/>
      <c r="S1718" s="251"/>
      <c r="T1718" s="251"/>
      <c r="U1718" s="251"/>
      <c r="V1718" s="251"/>
      <c r="W1718" s="251"/>
      <c r="X1718" s="251"/>
      <c r="Y1718" s="251"/>
      <c r="Z1718" s="251"/>
      <c r="AA1718" s="137"/>
      <c r="AB1718" s="137"/>
      <c r="AC1718" s="137"/>
      <c r="AD1718" s="137"/>
      <c r="AE1718" s="137"/>
      <c r="AF1718" s="137"/>
      <c r="AG1718" s="137"/>
    </row>
    <row r="1719" ht="30.0" customHeight="1">
      <c r="A1719" s="248"/>
      <c r="B1719" s="249"/>
      <c r="C1719" s="248"/>
      <c r="D1719" s="249"/>
      <c r="E1719" s="249"/>
      <c r="F1719" s="249"/>
      <c r="G1719" s="250"/>
      <c r="H1719" s="251"/>
      <c r="I1719" s="252"/>
      <c r="J1719" s="252"/>
      <c r="K1719" s="252"/>
      <c r="L1719" s="251"/>
      <c r="M1719" s="251"/>
      <c r="N1719" s="251"/>
      <c r="O1719" s="251"/>
      <c r="P1719" s="251"/>
      <c r="Q1719" s="251"/>
      <c r="R1719" s="251"/>
      <c r="S1719" s="251"/>
      <c r="T1719" s="251"/>
      <c r="U1719" s="251"/>
      <c r="V1719" s="251"/>
      <c r="W1719" s="251"/>
      <c r="X1719" s="251"/>
      <c r="Y1719" s="251"/>
      <c r="Z1719" s="251"/>
      <c r="AA1719" s="137"/>
      <c r="AB1719" s="137"/>
      <c r="AC1719" s="137"/>
      <c r="AD1719" s="137"/>
      <c r="AE1719" s="137"/>
      <c r="AF1719" s="137"/>
      <c r="AG1719" s="137"/>
    </row>
    <row r="1720" ht="30.0" customHeight="1">
      <c r="A1720" s="248"/>
      <c r="B1720" s="249"/>
      <c r="C1720" s="248"/>
      <c r="D1720" s="249"/>
      <c r="E1720" s="249"/>
      <c r="F1720" s="249"/>
      <c r="G1720" s="250"/>
      <c r="H1720" s="251"/>
      <c r="I1720" s="252"/>
      <c r="J1720" s="252"/>
      <c r="K1720" s="252"/>
      <c r="L1720" s="251"/>
      <c r="M1720" s="251"/>
      <c r="N1720" s="251"/>
      <c r="O1720" s="251"/>
      <c r="P1720" s="251"/>
      <c r="Q1720" s="251"/>
      <c r="R1720" s="251"/>
      <c r="S1720" s="251"/>
      <c r="T1720" s="251"/>
      <c r="U1720" s="251"/>
      <c r="V1720" s="251"/>
      <c r="W1720" s="251"/>
      <c r="X1720" s="251"/>
      <c r="Y1720" s="251"/>
      <c r="Z1720" s="251"/>
      <c r="AA1720" s="137"/>
      <c r="AB1720" s="137"/>
      <c r="AC1720" s="137"/>
      <c r="AD1720" s="137"/>
      <c r="AE1720" s="137"/>
      <c r="AF1720" s="137"/>
      <c r="AG1720" s="137"/>
    </row>
    <row r="1721" ht="30.0" customHeight="1">
      <c r="A1721" s="248"/>
      <c r="B1721" s="249"/>
      <c r="C1721" s="248"/>
      <c r="D1721" s="249"/>
      <c r="E1721" s="249"/>
      <c r="F1721" s="249"/>
      <c r="G1721" s="250"/>
      <c r="H1721" s="251"/>
      <c r="I1721" s="252"/>
      <c r="J1721" s="252"/>
      <c r="K1721" s="252"/>
      <c r="L1721" s="251"/>
      <c r="M1721" s="251"/>
      <c r="N1721" s="251"/>
      <c r="O1721" s="251"/>
      <c r="P1721" s="251"/>
      <c r="Q1721" s="251"/>
      <c r="R1721" s="251"/>
      <c r="S1721" s="251"/>
      <c r="T1721" s="251"/>
      <c r="U1721" s="251"/>
      <c r="V1721" s="251"/>
      <c r="W1721" s="251"/>
      <c r="X1721" s="251"/>
      <c r="Y1721" s="251"/>
      <c r="Z1721" s="251"/>
      <c r="AA1721" s="137"/>
      <c r="AB1721" s="137"/>
      <c r="AC1721" s="137"/>
      <c r="AD1721" s="137"/>
      <c r="AE1721" s="137"/>
      <c r="AF1721" s="137"/>
      <c r="AG1721" s="137"/>
    </row>
    <row r="1722" ht="30.0" customHeight="1">
      <c r="A1722" s="248"/>
      <c r="B1722" s="249"/>
      <c r="C1722" s="248"/>
      <c r="D1722" s="249"/>
      <c r="E1722" s="249"/>
      <c r="F1722" s="249"/>
      <c r="G1722" s="250"/>
      <c r="H1722" s="251"/>
      <c r="I1722" s="252"/>
      <c r="J1722" s="252"/>
      <c r="K1722" s="252"/>
      <c r="L1722" s="251"/>
      <c r="M1722" s="251"/>
      <c r="N1722" s="251"/>
      <c r="O1722" s="251"/>
      <c r="P1722" s="251"/>
      <c r="Q1722" s="251"/>
      <c r="R1722" s="251"/>
      <c r="S1722" s="251"/>
      <c r="T1722" s="251"/>
      <c r="U1722" s="251"/>
      <c r="V1722" s="251"/>
      <c r="W1722" s="251"/>
      <c r="X1722" s="251"/>
      <c r="Y1722" s="251"/>
      <c r="Z1722" s="251"/>
      <c r="AA1722" s="137"/>
      <c r="AB1722" s="137"/>
      <c r="AC1722" s="137"/>
      <c r="AD1722" s="137"/>
      <c r="AE1722" s="137"/>
      <c r="AF1722" s="137"/>
      <c r="AG1722" s="137"/>
    </row>
    <row r="1723" ht="30.0" customHeight="1">
      <c r="A1723" s="248"/>
      <c r="B1723" s="249"/>
      <c r="C1723" s="248"/>
      <c r="D1723" s="249"/>
      <c r="E1723" s="249"/>
      <c r="F1723" s="249"/>
      <c r="G1723" s="249"/>
      <c r="H1723" s="251"/>
      <c r="I1723" s="252"/>
      <c r="J1723" s="252"/>
      <c r="K1723" s="252"/>
      <c r="L1723" s="251"/>
      <c r="M1723" s="251"/>
      <c r="N1723" s="251"/>
      <c r="O1723" s="251"/>
      <c r="P1723" s="251"/>
      <c r="Q1723" s="251"/>
      <c r="R1723" s="251"/>
      <c r="S1723" s="251"/>
      <c r="T1723" s="251"/>
      <c r="U1723" s="251"/>
      <c r="V1723" s="251"/>
      <c r="W1723" s="251"/>
      <c r="X1723" s="251"/>
      <c r="Y1723" s="251"/>
      <c r="Z1723" s="251"/>
      <c r="AA1723" s="137"/>
      <c r="AB1723" s="137"/>
      <c r="AC1723" s="137"/>
      <c r="AD1723" s="137"/>
      <c r="AE1723" s="137"/>
      <c r="AF1723" s="137"/>
      <c r="AG1723" s="137"/>
    </row>
    <row r="1724" ht="30.0" customHeight="1">
      <c r="A1724" s="248"/>
      <c r="B1724" s="249"/>
      <c r="C1724" s="249"/>
      <c r="D1724" s="249"/>
      <c r="E1724" s="249"/>
      <c r="F1724" s="249"/>
      <c r="G1724" s="250"/>
      <c r="H1724" s="251"/>
      <c r="I1724" s="252"/>
      <c r="J1724" s="252"/>
      <c r="K1724" s="252"/>
      <c r="L1724" s="251"/>
      <c r="M1724" s="251"/>
      <c r="N1724" s="251"/>
      <c r="O1724" s="251"/>
      <c r="P1724" s="251"/>
      <c r="Q1724" s="251"/>
      <c r="R1724" s="251"/>
      <c r="S1724" s="251"/>
      <c r="T1724" s="251"/>
      <c r="U1724" s="251"/>
      <c r="V1724" s="251"/>
      <c r="W1724" s="251"/>
      <c r="X1724" s="251"/>
      <c r="Y1724" s="251"/>
      <c r="Z1724" s="251"/>
      <c r="AA1724" s="137"/>
      <c r="AB1724" s="137"/>
      <c r="AC1724" s="137"/>
      <c r="AD1724" s="137"/>
      <c r="AE1724" s="137"/>
      <c r="AF1724" s="137"/>
      <c r="AG1724" s="137"/>
    </row>
    <row r="1725" ht="30.0" customHeight="1">
      <c r="A1725" s="248"/>
      <c r="B1725" s="249"/>
      <c r="C1725" s="248"/>
      <c r="D1725" s="249"/>
      <c r="E1725" s="249"/>
      <c r="F1725" s="249"/>
      <c r="G1725" s="249"/>
      <c r="H1725" s="251"/>
      <c r="I1725" s="252"/>
      <c r="J1725" s="252"/>
      <c r="K1725" s="252"/>
      <c r="L1725" s="251"/>
      <c r="M1725" s="251"/>
      <c r="N1725" s="251"/>
      <c r="O1725" s="251"/>
      <c r="P1725" s="251"/>
      <c r="Q1725" s="251"/>
      <c r="R1725" s="251"/>
      <c r="S1725" s="251"/>
      <c r="T1725" s="251"/>
      <c r="U1725" s="251"/>
      <c r="V1725" s="251"/>
      <c r="W1725" s="251"/>
      <c r="X1725" s="251"/>
      <c r="Y1725" s="251"/>
      <c r="Z1725" s="251"/>
      <c r="AA1725" s="137"/>
      <c r="AB1725" s="137"/>
      <c r="AC1725" s="137"/>
      <c r="AD1725" s="137"/>
      <c r="AE1725" s="137"/>
      <c r="AF1725" s="137"/>
      <c r="AG1725" s="137"/>
    </row>
    <row r="1726" ht="30.0" customHeight="1">
      <c r="A1726" s="248"/>
      <c r="B1726" s="249"/>
      <c r="C1726" s="248"/>
      <c r="D1726" s="249"/>
      <c r="E1726" s="249"/>
      <c r="F1726" s="249"/>
      <c r="G1726" s="250"/>
      <c r="H1726" s="251"/>
      <c r="I1726" s="252"/>
      <c r="J1726" s="252"/>
      <c r="K1726" s="252"/>
      <c r="L1726" s="251"/>
      <c r="M1726" s="251"/>
      <c r="N1726" s="251"/>
      <c r="O1726" s="251"/>
      <c r="P1726" s="251"/>
      <c r="Q1726" s="251"/>
      <c r="R1726" s="251"/>
      <c r="S1726" s="251"/>
      <c r="T1726" s="251"/>
      <c r="U1726" s="251"/>
      <c r="V1726" s="251"/>
      <c r="W1726" s="251"/>
      <c r="X1726" s="251"/>
      <c r="Y1726" s="251"/>
      <c r="Z1726" s="251"/>
      <c r="AA1726" s="137"/>
      <c r="AB1726" s="137"/>
      <c r="AC1726" s="137"/>
      <c r="AD1726" s="137"/>
      <c r="AE1726" s="137"/>
      <c r="AF1726" s="137"/>
      <c r="AG1726" s="137"/>
    </row>
    <row r="1727" ht="30.0" customHeight="1">
      <c r="A1727" s="248"/>
      <c r="B1727" s="249"/>
      <c r="C1727" s="248"/>
      <c r="D1727" s="249"/>
      <c r="E1727" s="249"/>
      <c r="F1727" s="249"/>
      <c r="G1727" s="250"/>
      <c r="H1727" s="251"/>
      <c r="I1727" s="252"/>
      <c r="J1727" s="252"/>
      <c r="K1727" s="252"/>
      <c r="L1727" s="251"/>
      <c r="M1727" s="251"/>
      <c r="N1727" s="251"/>
      <c r="O1727" s="251"/>
      <c r="P1727" s="251"/>
      <c r="Q1727" s="251"/>
      <c r="R1727" s="251"/>
      <c r="S1727" s="251"/>
      <c r="T1727" s="251"/>
      <c r="U1727" s="251"/>
      <c r="V1727" s="251"/>
      <c r="W1727" s="251"/>
      <c r="X1727" s="251"/>
      <c r="Y1727" s="251"/>
      <c r="Z1727" s="251"/>
      <c r="AA1727" s="137"/>
      <c r="AB1727" s="137"/>
      <c r="AC1727" s="137"/>
      <c r="AD1727" s="137"/>
      <c r="AE1727" s="137"/>
      <c r="AF1727" s="137"/>
      <c r="AG1727" s="137"/>
    </row>
    <row r="1728" ht="30.0" customHeight="1">
      <c r="A1728" s="248"/>
      <c r="B1728" s="249"/>
      <c r="C1728" s="248"/>
      <c r="D1728" s="249"/>
      <c r="E1728" s="249"/>
      <c r="F1728" s="249"/>
      <c r="G1728" s="250"/>
      <c r="H1728" s="251"/>
      <c r="I1728" s="252"/>
      <c r="J1728" s="252"/>
      <c r="K1728" s="252"/>
      <c r="L1728" s="251"/>
      <c r="M1728" s="251"/>
      <c r="N1728" s="251"/>
      <c r="O1728" s="251"/>
      <c r="P1728" s="251"/>
      <c r="Q1728" s="251"/>
      <c r="R1728" s="251"/>
      <c r="S1728" s="251"/>
      <c r="T1728" s="251"/>
      <c r="U1728" s="251"/>
      <c r="V1728" s="251"/>
      <c r="W1728" s="251"/>
      <c r="X1728" s="251"/>
      <c r="Y1728" s="251"/>
      <c r="Z1728" s="251"/>
      <c r="AA1728" s="137"/>
      <c r="AB1728" s="137"/>
      <c r="AC1728" s="137"/>
      <c r="AD1728" s="137"/>
      <c r="AE1728" s="137"/>
      <c r="AF1728" s="137"/>
      <c r="AG1728" s="137"/>
    </row>
    <row r="1729" ht="30.0" customHeight="1">
      <c r="A1729" s="248"/>
      <c r="B1729" s="249"/>
      <c r="C1729" s="248"/>
      <c r="D1729" s="249"/>
      <c r="E1729" s="249"/>
      <c r="F1729" s="249"/>
      <c r="G1729" s="249"/>
      <c r="H1729" s="251"/>
      <c r="I1729" s="252"/>
      <c r="J1729" s="252"/>
      <c r="K1729" s="252"/>
      <c r="L1729" s="251"/>
      <c r="M1729" s="251"/>
      <c r="N1729" s="251"/>
      <c r="O1729" s="251"/>
      <c r="P1729" s="251"/>
      <c r="Q1729" s="251"/>
      <c r="R1729" s="251"/>
      <c r="S1729" s="251"/>
      <c r="T1729" s="251"/>
      <c r="U1729" s="251"/>
      <c r="V1729" s="251"/>
      <c r="W1729" s="251"/>
      <c r="X1729" s="251"/>
      <c r="Y1729" s="251"/>
      <c r="Z1729" s="251"/>
      <c r="AA1729" s="137"/>
      <c r="AB1729" s="137"/>
      <c r="AC1729" s="137"/>
      <c r="AD1729" s="137"/>
      <c r="AE1729" s="137"/>
      <c r="AF1729" s="137"/>
      <c r="AG1729" s="137"/>
    </row>
    <row r="1730" ht="30.0" customHeight="1">
      <c r="A1730" s="248"/>
      <c r="B1730" s="249"/>
      <c r="C1730" s="248"/>
      <c r="D1730" s="249"/>
      <c r="E1730" s="249"/>
      <c r="F1730" s="249"/>
      <c r="G1730" s="250"/>
      <c r="H1730" s="251"/>
      <c r="I1730" s="252"/>
      <c r="J1730" s="252"/>
      <c r="K1730" s="252"/>
      <c r="L1730" s="251"/>
      <c r="M1730" s="251"/>
      <c r="N1730" s="251"/>
      <c r="O1730" s="251"/>
      <c r="P1730" s="251"/>
      <c r="Q1730" s="251"/>
      <c r="R1730" s="251"/>
      <c r="S1730" s="251"/>
      <c r="T1730" s="251"/>
      <c r="U1730" s="251"/>
      <c r="V1730" s="251"/>
      <c r="W1730" s="251"/>
      <c r="X1730" s="251"/>
      <c r="Y1730" s="251"/>
      <c r="Z1730" s="251"/>
      <c r="AA1730" s="137"/>
      <c r="AB1730" s="137"/>
      <c r="AC1730" s="137"/>
      <c r="AD1730" s="137"/>
      <c r="AE1730" s="137"/>
      <c r="AF1730" s="137"/>
      <c r="AG1730" s="137"/>
    </row>
    <row r="1731" ht="30.0" customHeight="1">
      <c r="A1731" s="248"/>
      <c r="B1731" s="249"/>
      <c r="C1731" s="248"/>
      <c r="D1731" s="249"/>
      <c r="E1731" s="249"/>
      <c r="F1731" s="249"/>
      <c r="G1731" s="250"/>
      <c r="H1731" s="251"/>
      <c r="I1731" s="252"/>
      <c r="J1731" s="252"/>
      <c r="K1731" s="252"/>
      <c r="L1731" s="251"/>
      <c r="M1731" s="251"/>
      <c r="N1731" s="251"/>
      <c r="O1731" s="251"/>
      <c r="P1731" s="251"/>
      <c r="Q1731" s="251"/>
      <c r="R1731" s="251"/>
      <c r="S1731" s="251"/>
      <c r="T1731" s="251"/>
      <c r="U1731" s="251"/>
      <c r="V1731" s="251"/>
      <c r="W1731" s="251"/>
      <c r="X1731" s="251"/>
      <c r="Y1731" s="251"/>
      <c r="Z1731" s="251"/>
      <c r="AA1731" s="137"/>
      <c r="AB1731" s="137"/>
      <c r="AC1731" s="137"/>
      <c r="AD1731" s="137"/>
      <c r="AE1731" s="137"/>
      <c r="AF1731" s="137"/>
      <c r="AG1731" s="137"/>
    </row>
    <row r="1732" ht="30.0" customHeight="1">
      <c r="A1732" s="248"/>
      <c r="B1732" s="249"/>
      <c r="C1732" s="248"/>
      <c r="D1732" s="249"/>
      <c r="E1732" s="249"/>
      <c r="F1732" s="249"/>
      <c r="G1732" s="250"/>
      <c r="H1732" s="251"/>
      <c r="I1732" s="252"/>
      <c r="J1732" s="252"/>
      <c r="K1732" s="252"/>
      <c r="L1732" s="251"/>
      <c r="M1732" s="251"/>
      <c r="N1732" s="251"/>
      <c r="O1732" s="251"/>
      <c r="P1732" s="251"/>
      <c r="Q1732" s="251"/>
      <c r="R1732" s="251"/>
      <c r="S1732" s="251"/>
      <c r="T1732" s="251"/>
      <c r="U1732" s="251"/>
      <c r="V1732" s="251"/>
      <c r="W1732" s="251"/>
      <c r="X1732" s="251"/>
      <c r="Y1732" s="251"/>
      <c r="Z1732" s="251"/>
      <c r="AA1732" s="137"/>
      <c r="AB1732" s="137"/>
      <c r="AC1732" s="137"/>
      <c r="AD1732" s="137"/>
      <c r="AE1732" s="137"/>
      <c r="AF1732" s="137"/>
      <c r="AG1732" s="137"/>
    </row>
    <row r="1733" ht="30.0" customHeight="1">
      <c r="A1733" s="248"/>
      <c r="B1733" s="249"/>
      <c r="C1733" s="248"/>
      <c r="D1733" s="249"/>
      <c r="E1733" s="249"/>
      <c r="F1733" s="249"/>
      <c r="G1733" s="250"/>
      <c r="H1733" s="251"/>
      <c r="I1733" s="252"/>
      <c r="J1733" s="252"/>
      <c r="K1733" s="252"/>
      <c r="L1733" s="251"/>
      <c r="M1733" s="251"/>
      <c r="N1733" s="251"/>
      <c r="O1733" s="251"/>
      <c r="P1733" s="251"/>
      <c r="Q1733" s="251"/>
      <c r="R1733" s="251"/>
      <c r="S1733" s="251"/>
      <c r="T1733" s="251"/>
      <c r="U1733" s="251"/>
      <c r="V1733" s="251"/>
      <c r="W1733" s="251"/>
      <c r="X1733" s="251"/>
      <c r="Y1733" s="251"/>
      <c r="Z1733" s="251"/>
      <c r="AA1733" s="137"/>
      <c r="AB1733" s="137"/>
      <c r="AC1733" s="137"/>
      <c r="AD1733" s="137"/>
      <c r="AE1733" s="137"/>
      <c r="AF1733" s="137"/>
      <c r="AG1733" s="137"/>
    </row>
    <row r="1734" ht="30.0" customHeight="1">
      <c r="A1734" s="248"/>
      <c r="B1734" s="249"/>
      <c r="C1734" s="248"/>
      <c r="D1734" s="249"/>
      <c r="E1734" s="249"/>
      <c r="F1734" s="249"/>
      <c r="G1734" s="250"/>
      <c r="H1734" s="251"/>
      <c r="I1734" s="252"/>
      <c r="J1734" s="252"/>
      <c r="K1734" s="252"/>
      <c r="L1734" s="251"/>
      <c r="M1734" s="251"/>
      <c r="N1734" s="251"/>
      <c r="O1734" s="251"/>
      <c r="P1734" s="251"/>
      <c r="Q1734" s="251"/>
      <c r="R1734" s="251"/>
      <c r="S1734" s="251"/>
      <c r="T1734" s="251"/>
      <c r="U1734" s="251"/>
      <c r="V1734" s="251"/>
      <c r="W1734" s="251"/>
      <c r="X1734" s="251"/>
      <c r="Y1734" s="251"/>
      <c r="Z1734" s="251"/>
      <c r="AA1734" s="137"/>
      <c r="AB1734" s="137"/>
      <c r="AC1734" s="137"/>
      <c r="AD1734" s="137"/>
      <c r="AE1734" s="137"/>
      <c r="AF1734" s="137"/>
      <c r="AG1734" s="137"/>
    </row>
    <row r="1735" ht="30.0" customHeight="1">
      <c r="A1735" s="248"/>
      <c r="B1735" s="249"/>
      <c r="C1735" s="248"/>
      <c r="D1735" s="249"/>
      <c r="E1735" s="249"/>
      <c r="F1735" s="249"/>
      <c r="G1735" s="250"/>
      <c r="H1735" s="251"/>
      <c r="I1735" s="252"/>
      <c r="J1735" s="252"/>
      <c r="K1735" s="252"/>
      <c r="L1735" s="251"/>
      <c r="M1735" s="251"/>
      <c r="N1735" s="251"/>
      <c r="O1735" s="251"/>
      <c r="P1735" s="251"/>
      <c r="Q1735" s="251"/>
      <c r="R1735" s="251"/>
      <c r="S1735" s="251"/>
      <c r="T1735" s="251"/>
      <c r="U1735" s="251"/>
      <c r="V1735" s="251"/>
      <c r="W1735" s="251"/>
      <c r="X1735" s="251"/>
      <c r="Y1735" s="251"/>
      <c r="Z1735" s="251"/>
      <c r="AA1735" s="137"/>
      <c r="AB1735" s="137"/>
      <c r="AC1735" s="137"/>
      <c r="AD1735" s="137"/>
      <c r="AE1735" s="137"/>
      <c r="AF1735" s="137"/>
      <c r="AG1735" s="137"/>
    </row>
    <row r="1736" ht="30.0" customHeight="1">
      <c r="A1736" s="248"/>
      <c r="B1736" s="249"/>
      <c r="C1736" s="248"/>
      <c r="D1736" s="249"/>
      <c r="E1736" s="249"/>
      <c r="F1736" s="249"/>
      <c r="G1736" s="250"/>
      <c r="H1736" s="251"/>
      <c r="I1736" s="252"/>
      <c r="J1736" s="252"/>
      <c r="K1736" s="252"/>
      <c r="L1736" s="251"/>
      <c r="M1736" s="251"/>
      <c r="N1736" s="251"/>
      <c r="O1736" s="251"/>
      <c r="P1736" s="251"/>
      <c r="Q1736" s="251"/>
      <c r="R1736" s="251"/>
      <c r="S1736" s="251"/>
      <c r="T1736" s="251"/>
      <c r="U1736" s="251"/>
      <c r="V1736" s="251"/>
      <c r="W1736" s="251"/>
      <c r="X1736" s="251"/>
      <c r="Y1736" s="251"/>
      <c r="Z1736" s="251"/>
      <c r="AA1736" s="137"/>
      <c r="AB1736" s="137"/>
      <c r="AC1736" s="137"/>
      <c r="AD1736" s="137"/>
      <c r="AE1736" s="137"/>
      <c r="AF1736" s="137"/>
      <c r="AG1736" s="137"/>
    </row>
    <row r="1737" ht="30.0" customHeight="1">
      <c r="A1737" s="248"/>
      <c r="B1737" s="249"/>
      <c r="C1737" s="248"/>
      <c r="D1737" s="249"/>
      <c r="E1737" s="249"/>
      <c r="F1737" s="249"/>
      <c r="G1737" s="250"/>
      <c r="H1737" s="251"/>
      <c r="I1737" s="252"/>
      <c r="J1737" s="252"/>
      <c r="K1737" s="252"/>
      <c r="L1737" s="251"/>
      <c r="M1737" s="251"/>
      <c r="N1737" s="251"/>
      <c r="O1737" s="251"/>
      <c r="P1737" s="251"/>
      <c r="Q1737" s="251"/>
      <c r="R1737" s="251"/>
      <c r="S1737" s="251"/>
      <c r="T1737" s="251"/>
      <c r="U1737" s="251"/>
      <c r="V1737" s="251"/>
      <c r="W1737" s="251"/>
      <c r="X1737" s="251"/>
      <c r="Y1737" s="251"/>
      <c r="Z1737" s="251"/>
      <c r="AA1737" s="137"/>
      <c r="AB1737" s="137"/>
      <c r="AC1737" s="137"/>
      <c r="AD1737" s="137"/>
      <c r="AE1737" s="137"/>
      <c r="AF1737" s="137"/>
      <c r="AG1737" s="137"/>
    </row>
    <row r="1738" ht="30.0" customHeight="1">
      <c r="A1738" s="248"/>
      <c r="B1738" s="249"/>
      <c r="C1738" s="248"/>
      <c r="D1738" s="249"/>
      <c r="E1738" s="249"/>
      <c r="F1738" s="249"/>
      <c r="G1738" s="250"/>
      <c r="H1738" s="251"/>
      <c r="I1738" s="252"/>
      <c r="J1738" s="252"/>
      <c r="K1738" s="252"/>
      <c r="L1738" s="251"/>
      <c r="M1738" s="251"/>
      <c r="N1738" s="251"/>
      <c r="O1738" s="251"/>
      <c r="P1738" s="251"/>
      <c r="Q1738" s="251"/>
      <c r="R1738" s="251"/>
      <c r="S1738" s="251"/>
      <c r="T1738" s="251"/>
      <c r="U1738" s="251"/>
      <c r="V1738" s="251"/>
      <c r="W1738" s="251"/>
      <c r="X1738" s="251"/>
      <c r="Y1738" s="251"/>
      <c r="Z1738" s="251"/>
      <c r="AA1738" s="137"/>
      <c r="AB1738" s="137"/>
      <c r="AC1738" s="137"/>
      <c r="AD1738" s="137"/>
      <c r="AE1738" s="137"/>
      <c r="AF1738" s="137"/>
      <c r="AG1738" s="137"/>
    </row>
    <row r="1739" ht="30.0" customHeight="1">
      <c r="A1739" s="248"/>
      <c r="B1739" s="249"/>
      <c r="C1739" s="248"/>
      <c r="D1739" s="249"/>
      <c r="E1739" s="249"/>
      <c r="F1739" s="249"/>
      <c r="G1739" s="250"/>
      <c r="H1739" s="251"/>
      <c r="I1739" s="252"/>
      <c r="J1739" s="252"/>
      <c r="K1739" s="252"/>
      <c r="L1739" s="251"/>
      <c r="M1739" s="251"/>
      <c r="N1739" s="251"/>
      <c r="O1739" s="251"/>
      <c r="P1739" s="251"/>
      <c r="Q1739" s="251"/>
      <c r="R1739" s="251"/>
      <c r="S1739" s="251"/>
      <c r="T1739" s="251"/>
      <c r="U1739" s="251"/>
      <c r="V1739" s="251"/>
      <c r="W1739" s="251"/>
      <c r="X1739" s="251"/>
      <c r="Y1739" s="251"/>
      <c r="Z1739" s="251"/>
      <c r="AA1739" s="137"/>
      <c r="AB1739" s="137"/>
      <c r="AC1739" s="137"/>
      <c r="AD1739" s="137"/>
      <c r="AE1739" s="137"/>
      <c r="AF1739" s="137"/>
      <c r="AG1739" s="137"/>
    </row>
    <row r="1740" ht="30.0" customHeight="1">
      <c r="A1740" s="248"/>
      <c r="B1740" s="249"/>
      <c r="C1740" s="248"/>
      <c r="D1740" s="249"/>
      <c r="E1740" s="249"/>
      <c r="F1740" s="249"/>
      <c r="G1740" s="250"/>
      <c r="H1740" s="251"/>
      <c r="I1740" s="252"/>
      <c r="J1740" s="252"/>
      <c r="K1740" s="252"/>
      <c r="L1740" s="251"/>
      <c r="M1740" s="251"/>
      <c r="N1740" s="251"/>
      <c r="O1740" s="251"/>
      <c r="P1740" s="251"/>
      <c r="Q1740" s="251"/>
      <c r="R1740" s="251"/>
      <c r="S1740" s="251"/>
      <c r="T1740" s="251"/>
      <c r="U1740" s="251"/>
      <c r="V1740" s="251"/>
      <c r="W1740" s="251"/>
      <c r="X1740" s="251"/>
      <c r="Y1740" s="251"/>
      <c r="Z1740" s="251"/>
      <c r="AA1740" s="137"/>
      <c r="AB1740" s="137"/>
      <c r="AC1740" s="137"/>
      <c r="AD1740" s="137"/>
      <c r="AE1740" s="137"/>
      <c r="AF1740" s="137"/>
      <c r="AG1740" s="137"/>
    </row>
    <row r="1741" ht="30.0" customHeight="1">
      <c r="A1741" s="248"/>
      <c r="B1741" s="249"/>
      <c r="C1741" s="248"/>
      <c r="D1741" s="249"/>
      <c r="E1741" s="249"/>
      <c r="F1741" s="249"/>
      <c r="G1741" s="249"/>
      <c r="H1741" s="251"/>
      <c r="I1741" s="252"/>
      <c r="J1741" s="252"/>
      <c r="K1741" s="252"/>
      <c r="L1741" s="251"/>
      <c r="M1741" s="251"/>
      <c r="N1741" s="251"/>
      <c r="O1741" s="251"/>
      <c r="P1741" s="251"/>
      <c r="Q1741" s="251"/>
      <c r="R1741" s="251"/>
      <c r="S1741" s="251"/>
      <c r="T1741" s="251"/>
      <c r="U1741" s="251"/>
      <c r="V1741" s="251"/>
      <c r="W1741" s="251"/>
      <c r="X1741" s="251"/>
      <c r="Y1741" s="251"/>
      <c r="Z1741" s="251"/>
      <c r="AA1741" s="137"/>
      <c r="AB1741" s="137"/>
      <c r="AC1741" s="137"/>
      <c r="AD1741" s="137"/>
      <c r="AE1741" s="137"/>
      <c r="AF1741" s="137"/>
      <c r="AG1741" s="137"/>
    </row>
    <row r="1742" ht="30.0" customHeight="1">
      <c r="A1742" s="248"/>
      <c r="B1742" s="249"/>
      <c r="C1742" s="248"/>
      <c r="D1742" s="249"/>
      <c r="E1742" s="249"/>
      <c r="F1742" s="249"/>
      <c r="G1742" s="250"/>
      <c r="H1742" s="251"/>
      <c r="I1742" s="252"/>
      <c r="J1742" s="252"/>
      <c r="K1742" s="252"/>
      <c r="L1742" s="251"/>
      <c r="M1742" s="251"/>
      <c r="N1742" s="251"/>
      <c r="O1742" s="251"/>
      <c r="P1742" s="251"/>
      <c r="Q1742" s="251"/>
      <c r="R1742" s="251"/>
      <c r="S1742" s="251"/>
      <c r="T1742" s="251"/>
      <c r="U1742" s="251"/>
      <c r="V1742" s="251"/>
      <c r="W1742" s="251"/>
      <c r="X1742" s="251"/>
      <c r="Y1742" s="251"/>
      <c r="Z1742" s="251"/>
      <c r="AA1742" s="137"/>
      <c r="AB1742" s="137"/>
      <c r="AC1742" s="137"/>
      <c r="AD1742" s="137"/>
      <c r="AE1742" s="137"/>
      <c r="AF1742" s="137"/>
      <c r="AG1742" s="137"/>
    </row>
    <row r="1743" ht="30.0" customHeight="1">
      <c r="A1743" s="248"/>
      <c r="B1743" s="249"/>
      <c r="C1743" s="248"/>
      <c r="D1743" s="249"/>
      <c r="E1743" s="249"/>
      <c r="F1743" s="249"/>
      <c r="G1743" s="250"/>
      <c r="H1743" s="251"/>
      <c r="I1743" s="252"/>
      <c r="J1743" s="252"/>
      <c r="K1743" s="252"/>
      <c r="L1743" s="251"/>
      <c r="M1743" s="251"/>
      <c r="N1743" s="251"/>
      <c r="O1743" s="251"/>
      <c r="P1743" s="251"/>
      <c r="Q1743" s="251"/>
      <c r="R1743" s="251"/>
      <c r="S1743" s="251"/>
      <c r="T1743" s="251"/>
      <c r="U1743" s="251"/>
      <c r="V1743" s="251"/>
      <c r="W1743" s="251"/>
      <c r="X1743" s="251"/>
      <c r="Y1743" s="251"/>
      <c r="Z1743" s="251"/>
      <c r="AA1743" s="137"/>
      <c r="AB1743" s="137"/>
      <c r="AC1743" s="137"/>
      <c r="AD1743" s="137"/>
      <c r="AE1743" s="137"/>
      <c r="AF1743" s="137"/>
      <c r="AG1743" s="137"/>
    </row>
    <row r="1744" ht="30.0" customHeight="1">
      <c r="A1744" s="248"/>
      <c r="B1744" s="249"/>
      <c r="C1744" s="248"/>
      <c r="D1744" s="249"/>
      <c r="E1744" s="249"/>
      <c r="F1744" s="249"/>
      <c r="G1744" s="250"/>
      <c r="H1744" s="251"/>
      <c r="I1744" s="252"/>
      <c r="J1744" s="252"/>
      <c r="K1744" s="252"/>
      <c r="L1744" s="251"/>
      <c r="M1744" s="251"/>
      <c r="N1744" s="251"/>
      <c r="O1744" s="251"/>
      <c r="P1744" s="251"/>
      <c r="Q1744" s="251"/>
      <c r="R1744" s="251"/>
      <c r="S1744" s="251"/>
      <c r="T1744" s="251"/>
      <c r="U1744" s="251"/>
      <c r="V1744" s="251"/>
      <c r="W1744" s="251"/>
      <c r="X1744" s="251"/>
      <c r="Y1744" s="251"/>
      <c r="Z1744" s="251"/>
      <c r="AA1744" s="137"/>
      <c r="AB1744" s="137"/>
      <c r="AC1744" s="137"/>
      <c r="AD1744" s="137"/>
      <c r="AE1744" s="137"/>
      <c r="AF1744" s="137"/>
      <c r="AG1744" s="137"/>
    </row>
    <row r="1745" ht="30.0" customHeight="1">
      <c r="A1745" s="248"/>
      <c r="B1745" s="249"/>
      <c r="C1745" s="248"/>
      <c r="D1745" s="249"/>
      <c r="E1745" s="249"/>
      <c r="F1745" s="249"/>
      <c r="G1745" s="250"/>
      <c r="H1745" s="251"/>
      <c r="I1745" s="252"/>
      <c r="J1745" s="252"/>
      <c r="K1745" s="252"/>
      <c r="L1745" s="251"/>
      <c r="M1745" s="251"/>
      <c r="N1745" s="251"/>
      <c r="O1745" s="251"/>
      <c r="P1745" s="251"/>
      <c r="Q1745" s="251"/>
      <c r="R1745" s="251"/>
      <c r="S1745" s="251"/>
      <c r="T1745" s="251"/>
      <c r="U1745" s="251"/>
      <c r="V1745" s="251"/>
      <c r="W1745" s="251"/>
      <c r="X1745" s="251"/>
      <c r="Y1745" s="251"/>
      <c r="Z1745" s="251"/>
      <c r="AA1745" s="137"/>
      <c r="AB1745" s="137"/>
      <c r="AC1745" s="137"/>
      <c r="AD1745" s="137"/>
      <c r="AE1745" s="137"/>
      <c r="AF1745" s="137"/>
      <c r="AG1745" s="137"/>
    </row>
    <row r="1746" ht="30.0" customHeight="1">
      <c r="A1746" s="248"/>
      <c r="B1746" s="249"/>
      <c r="C1746" s="248"/>
      <c r="D1746" s="249"/>
      <c r="E1746" s="249"/>
      <c r="F1746" s="249"/>
      <c r="G1746" s="250"/>
      <c r="H1746" s="251"/>
      <c r="I1746" s="252"/>
      <c r="J1746" s="252"/>
      <c r="K1746" s="252"/>
      <c r="L1746" s="251"/>
      <c r="M1746" s="251"/>
      <c r="N1746" s="251"/>
      <c r="O1746" s="251"/>
      <c r="P1746" s="251"/>
      <c r="Q1746" s="251"/>
      <c r="R1746" s="251"/>
      <c r="S1746" s="251"/>
      <c r="T1746" s="251"/>
      <c r="U1746" s="251"/>
      <c r="V1746" s="251"/>
      <c r="W1746" s="251"/>
      <c r="X1746" s="251"/>
      <c r="Y1746" s="251"/>
      <c r="Z1746" s="251"/>
      <c r="AA1746" s="137"/>
      <c r="AB1746" s="137"/>
      <c r="AC1746" s="137"/>
      <c r="AD1746" s="137"/>
      <c r="AE1746" s="137"/>
      <c r="AF1746" s="137"/>
      <c r="AG1746" s="137"/>
    </row>
    <row r="1747" ht="30.0" customHeight="1">
      <c r="A1747" s="248"/>
      <c r="B1747" s="249"/>
      <c r="C1747" s="248"/>
      <c r="D1747" s="249"/>
      <c r="E1747" s="249"/>
      <c r="F1747" s="249"/>
      <c r="G1747" s="250"/>
      <c r="H1747" s="251"/>
      <c r="I1747" s="252"/>
      <c r="J1747" s="252"/>
      <c r="K1747" s="252"/>
      <c r="L1747" s="251"/>
      <c r="M1747" s="251"/>
      <c r="N1747" s="251"/>
      <c r="O1747" s="251"/>
      <c r="P1747" s="251"/>
      <c r="Q1747" s="251"/>
      <c r="R1747" s="251"/>
      <c r="S1747" s="251"/>
      <c r="T1747" s="251"/>
      <c r="U1747" s="251"/>
      <c r="V1747" s="251"/>
      <c r="W1747" s="251"/>
      <c r="X1747" s="251"/>
      <c r="Y1747" s="251"/>
      <c r="Z1747" s="251"/>
      <c r="AA1747" s="137"/>
      <c r="AB1747" s="137"/>
      <c r="AC1747" s="137"/>
      <c r="AD1747" s="137"/>
      <c r="AE1747" s="137"/>
      <c r="AF1747" s="137"/>
      <c r="AG1747" s="137"/>
    </row>
    <row r="1748" ht="30.0" customHeight="1">
      <c r="A1748" s="248"/>
      <c r="B1748" s="249"/>
      <c r="C1748" s="248"/>
      <c r="D1748" s="249"/>
      <c r="E1748" s="249"/>
      <c r="F1748" s="249"/>
      <c r="G1748" s="250"/>
      <c r="H1748" s="251"/>
      <c r="I1748" s="252"/>
      <c r="J1748" s="252"/>
      <c r="K1748" s="252"/>
      <c r="L1748" s="251"/>
      <c r="M1748" s="251"/>
      <c r="N1748" s="251"/>
      <c r="O1748" s="251"/>
      <c r="P1748" s="251"/>
      <c r="Q1748" s="251"/>
      <c r="R1748" s="251"/>
      <c r="S1748" s="251"/>
      <c r="T1748" s="251"/>
      <c r="U1748" s="251"/>
      <c r="V1748" s="251"/>
      <c r="W1748" s="251"/>
      <c r="X1748" s="251"/>
      <c r="Y1748" s="251"/>
      <c r="Z1748" s="251"/>
      <c r="AA1748" s="137"/>
      <c r="AB1748" s="137"/>
      <c r="AC1748" s="137"/>
      <c r="AD1748" s="137"/>
      <c r="AE1748" s="137"/>
      <c r="AF1748" s="137"/>
      <c r="AG1748" s="137"/>
    </row>
    <row r="1749" ht="30.0" customHeight="1">
      <c r="A1749" s="248"/>
      <c r="B1749" s="249"/>
      <c r="C1749" s="248"/>
      <c r="D1749" s="249"/>
      <c r="E1749" s="249"/>
      <c r="F1749" s="249"/>
      <c r="G1749" s="250"/>
      <c r="H1749" s="251"/>
      <c r="I1749" s="252"/>
      <c r="J1749" s="252"/>
      <c r="K1749" s="252"/>
      <c r="L1749" s="251"/>
      <c r="M1749" s="251"/>
      <c r="N1749" s="251"/>
      <c r="O1749" s="251"/>
      <c r="P1749" s="251"/>
      <c r="Q1749" s="251"/>
      <c r="R1749" s="251"/>
      <c r="S1749" s="251"/>
      <c r="T1749" s="251"/>
      <c r="U1749" s="251"/>
      <c r="V1749" s="251"/>
      <c r="W1749" s="251"/>
      <c r="X1749" s="251"/>
      <c r="Y1749" s="251"/>
      <c r="Z1749" s="251"/>
      <c r="AA1749" s="137"/>
      <c r="AB1749" s="137"/>
      <c r="AC1749" s="137"/>
      <c r="AD1749" s="137"/>
      <c r="AE1749" s="137"/>
      <c r="AF1749" s="137"/>
      <c r="AG1749" s="137"/>
    </row>
    <row r="1750" ht="30.0" customHeight="1">
      <c r="A1750" s="248"/>
      <c r="B1750" s="249"/>
      <c r="C1750" s="248"/>
      <c r="D1750" s="249"/>
      <c r="E1750" s="249"/>
      <c r="F1750" s="249"/>
      <c r="G1750" s="250"/>
      <c r="H1750" s="251"/>
      <c r="I1750" s="252"/>
      <c r="J1750" s="252"/>
      <c r="K1750" s="252"/>
      <c r="L1750" s="251"/>
      <c r="M1750" s="251"/>
      <c r="N1750" s="251"/>
      <c r="O1750" s="251"/>
      <c r="P1750" s="251"/>
      <c r="Q1750" s="251"/>
      <c r="R1750" s="251"/>
      <c r="S1750" s="251"/>
      <c r="T1750" s="251"/>
      <c r="U1750" s="251"/>
      <c r="V1750" s="251"/>
      <c r="W1750" s="251"/>
      <c r="X1750" s="251"/>
      <c r="Y1750" s="251"/>
      <c r="Z1750" s="251"/>
      <c r="AA1750" s="137"/>
      <c r="AB1750" s="137"/>
      <c r="AC1750" s="137"/>
      <c r="AD1750" s="137"/>
      <c r="AE1750" s="137"/>
      <c r="AF1750" s="137"/>
      <c r="AG1750" s="137"/>
    </row>
    <row r="1751" ht="30.0" customHeight="1">
      <c r="A1751" s="248"/>
      <c r="B1751" s="249"/>
      <c r="C1751" s="248"/>
      <c r="D1751" s="249"/>
      <c r="E1751" s="249"/>
      <c r="F1751" s="249"/>
      <c r="G1751" s="250"/>
      <c r="H1751" s="251"/>
      <c r="I1751" s="252"/>
      <c r="J1751" s="252"/>
      <c r="K1751" s="252"/>
      <c r="L1751" s="251"/>
      <c r="M1751" s="251"/>
      <c r="N1751" s="251"/>
      <c r="O1751" s="251"/>
      <c r="P1751" s="251"/>
      <c r="Q1751" s="251"/>
      <c r="R1751" s="251"/>
      <c r="S1751" s="251"/>
      <c r="T1751" s="251"/>
      <c r="U1751" s="251"/>
      <c r="V1751" s="251"/>
      <c r="W1751" s="251"/>
      <c r="X1751" s="251"/>
      <c r="Y1751" s="251"/>
      <c r="Z1751" s="251"/>
      <c r="AA1751" s="137"/>
      <c r="AB1751" s="137"/>
      <c r="AC1751" s="137"/>
      <c r="AD1751" s="137"/>
      <c r="AE1751" s="137"/>
      <c r="AF1751" s="137"/>
      <c r="AG1751" s="137"/>
    </row>
    <row r="1752" ht="30.0" customHeight="1">
      <c r="A1752" s="248"/>
      <c r="B1752" s="249"/>
      <c r="C1752" s="248"/>
      <c r="D1752" s="249"/>
      <c r="E1752" s="249"/>
      <c r="F1752" s="249"/>
      <c r="G1752" s="250"/>
      <c r="H1752" s="251"/>
      <c r="I1752" s="252"/>
      <c r="J1752" s="252"/>
      <c r="K1752" s="252"/>
      <c r="L1752" s="251"/>
      <c r="M1752" s="251"/>
      <c r="N1752" s="251"/>
      <c r="O1752" s="251"/>
      <c r="P1752" s="251"/>
      <c r="Q1752" s="251"/>
      <c r="R1752" s="251"/>
      <c r="S1752" s="251"/>
      <c r="T1752" s="251"/>
      <c r="U1752" s="251"/>
      <c r="V1752" s="251"/>
      <c r="W1752" s="251"/>
      <c r="X1752" s="251"/>
      <c r="Y1752" s="251"/>
      <c r="Z1752" s="251"/>
      <c r="AA1752" s="137"/>
      <c r="AB1752" s="137"/>
      <c r="AC1752" s="137"/>
      <c r="AD1752" s="137"/>
      <c r="AE1752" s="137"/>
      <c r="AF1752" s="137"/>
      <c r="AG1752" s="137"/>
    </row>
    <row r="1753" ht="30.0" customHeight="1">
      <c r="A1753" s="248"/>
      <c r="B1753" s="249"/>
      <c r="C1753" s="248"/>
      <c r="D1753" s="249"/>
      <c r="E1753" s="249"/>
      <c r="F1753" s="249"/>
      <c r="G1753" s="250"/>
      <c r="H1753" s="251"/>
      <c r="I1753" s="252"/>
      <c r="J1753" s="252"/>
      <c r="K1753" s="252"/>
      <c r="L1753" s="251"/>
      <c r="M1753" s="251"/>
      <c r="N1753" s="251"/>
      <c r="O1753" s="251"/>
      <c r="P1753" s="251"/>
      <c r="Q1753" s="251"/>
      <c r="R1753" s="251"/>
      <c r="S1753" s="251"/>
      <c r="T1753" s="251"/>
      <c r="U1753" s="251"/>
      <c r="V1753" s="251"/>
      <c r="W1753" s="251"/>
      <c r="X1753" s="251"/>
      <c r="Y1753" s="251"/>
      <c r="Z1753" s="251"/>
      <c r="AA1753" s="137"/>
      <c r="AB1753" s="137"/>
      <c r="AC1753" s="137"/>
      <c r="AD1753" s="137"/>
      <c r="AE1753" s="137"/>
      <c r="AF1753" s="137"/>
      <c r="AG1753" s="137"/>
    </row>
    <row r="1754" ht="30.0" customHeight="1">
      <c r="A1754" s="248"/>
      <c r="B1754" s="249"/>
      <c r="C1754" s="248"/>
      <c r="D1754" s="249"/>
      <c r="E1754" s="249"/>
      <c r="F1754" s="249"/>
      <c r="G1754" s="250"/>
      <c r="H1754" s="251"/>
      <c r="I1754" s="252"/>
      <c r="J1754" s="252"/>
      <c r="K1754" s="252"/>
      <c r="L1754" s="251"/>
      <c r="M1754" s="251"/>
      <c r="N1754" s="251"/>
      <c r="O1754" s="251"/>
      <c r="P1754" s="251"/>
      <c r="Q1754" s="251"/>
      <c r="R1754" s="251"/>
      <c r="S1754" s="251"/>
      <c r="T1754" s="251"/>
      <c r="U1754" s="251"/>
      <c r="V1754" s="251"/>
      <c r="W1754" s="251"/>
      <c r="X1754" s="251"/>
      <c r="Y1754" s="251"/>
      <c r="Z1754" s="251"/>
      <c r="AA1754" s="137"/>
      <c r="AB1754" s="137"/>
      <c r="AC1754" s="137"/>
      <c r="AD1754" s="137"/>
      <c r="AE1754" s="137"/>
      <c r="AF1754" s="137"/>
      <c r="AG1754" s="137"/>
    </row>
    <row r="1755" ht="30.0" customHeight="1">
      <c r="A1755" s="248"/>
      <c r="B1755" s="249"/>
      <c r="C1755" s="248"/>
      <c r="D1755" s="249"/>
      <c r="E1755" s="249"/>
      <c r="F1755" s="249"/>
      <c r="G1755" s="250"/>
      <c r="H1755" s="251"/>
      <c r="I1755" s="252"/>
      <c r="J1755" s="252"/>
      <c r="K1755" s="252"/>
      <c r="L1755" s="251"/>
      <c r="M1755" s="251"/>
      <c r="N1755" s="251"/>
      <c r="O1755" s="251"/>
      <c r="P1755" s="251"/>
      <c r="Q1755" s="251"/>
      <c r="R1755" s="251"/>
      <c r="S1755" s="251"/>
      <c r="T1755" s="251"/>
      <c r="U1755" s="251"/>
      <c r="V1755" s="251"/>
      <c r="W1755" s="251"/>
      <c r="X1755" s="251"/>
      <c r="Y1755" s="251"/>
      <c r="Z1755" s="251"/>
      <c r="AA1755" s="137"/>
      <c r="AB1755" s="137"/>
      <c r="AC1755" s="137"/>
      <c r="AD1755" s="137"/>
      <c r="AE1755" s="137"/>
      <c r="AF1755" s="137"/>
      <c r="AG1755" s="137"/>
    </row>
    <row r="1756" ht="30.0" customHeight="1">
      <c r="A1756" s="248"/>
      <c r="B1756" s="249"/>
      <c r="C1756" s="248"/>
      <c r="D1756" s="249"/>
      <c r="E1756" s="249"/>
      <c r="F1756" s="249"/>
      <c r="G1756" s="250"/>
      <c r="H1756" s="251"/>
      <c r="I1756" s="252"/>
      <c r="J1756" s="252"/>
      <c r="K1756" s="252"/>
      <c r="L1756" s="251"/>
      <c r="M1756" s="251"/>
      <c r="N1756" s="251"/>
      <c r="O1756" s="251"/>
      <c r="P1756" s="251"/>
      <c r="Q1756" s="251"/>
      <c r="R1756" s="251"/>
      <c r="S1756" s="251"/>
      <c r="T1756" s="251"/>
      <c r="U1756" s="251"/>
      <c r="V1756" s="251"/>
      <c r="W1756" s="251"/>
      <c r="X1756" s="251"/>
      <c r="Y1756" s="251"/>
      <c r="Z1756" s="251"/>
      <c r="AA1756" s="137"/>
      <c r="AB1756" s="137"/>
      <c r="AC1756" s="137"/>
      <c r="AD1756" s="137"/>
      <c r="AE1756" s="137"/>
      <c r="AF1756" s="137"/>
      <c r="AG1756" s="137"/>
    </row>
    <row r="1757" ht="30.0" customHeight="1">
      <c r="A1757" s="248"/>
      <c r="B1757" s="249"/>
      <c r="C1757" s="248"/>
      <c r="D1757" s="249"/>
      <c r="E1757" s="249"/>
      <c r="F1757" s="249"/>
      <c r="G1757" s="250"/>
      <c r="H1757" s="251"/>
      <c r="I1757" s="252"/>
      <c r="J1757" s="252"/>
      <c r="K1757" s="252"/>
      <c r="L1757" s="251"/>
      <c r="M1757" s="251"/>
      <c r="N1757" s="251"/>
      <c r="O1757" s="251"/>
      <c r="P1757" s="251"/>
      <c r="Q1757" s="251"/>
      <c r="R1757" s="251"/>
      <c r="S1757" s="251"/>
      <c r="T1757" s="251"/>
      <c r="U1757" s="251"/>
      <c r="V1757" s="251"/>
      <c r="W1757" s="251"/>
      <c r="X1757" s="251"/>
      <c r="Y1757" s="251"/>
      <c r="Z1757" s="251"/>
      <c r="AA1757" s="137"/>
      <c r="AB1757" s="137"/>
      <c r="AC1757" s="137"/>
      <c r="AD1757" s="137"/>
      <c r="AE1757" s="137"/>
      <c r="AF1757" s="137"/>
      <c r="AG1757" s="137"/>
    </row>
    <row r="1758" ht="30.0" customHeight="1">
      <c r="A1758" s="248"/>
      <c r="B1758" s="249"/>
      <c r="C1758" s="248"/>
      <c r="D1758" s="249"/>
      <c r="E1758" s="249"/>
      <c r="F1758" s="249"/>
      <c r="G1758" s="250"/>
      <c r="H1758" s="251"/>
      <c r="I1758" s="252"/>
      <c r="J1758" s="252"/>
      <c r="K1758" s="252"/>
      <c r="L1758" s="251"/>
      <c r="M1758" s="251"/>
      <c r="N1758" s="251"/>
      <c r="O1758" s="251"/>
      <c r="P1758" s="251"/>
      <c r="Q1758" s="251"/>
      <c r="R1758" s="251"/>
      <c r="S1758" s="251"/>
      <c r="T1758" s="251"/>
      <c r="U1758" s="251"/>
      <c r="V1758" s="251"/>
      <c r="W1758" s="251"/>
      <c r="X1758" s="251"/>
      <c r="Y1758" s="251"/>
      <c r="Z1758" s="251"/>
      <c r="AA1758" s="137"/>
      <c r="AB1758" s="137"/>
      <c r="AC1758" s="137"/>
      <c r="AD1758" s="137"/>
      <c r="AE1758" s="137"/>
      <c r="AF1758" s="137"/>
      <c r="AG1758" s="137"/>
    </row>
    <row r="1759" ht="30.0" customHeight="1">
      <c r="A1759" s="248"/>
      <c r="B1759" s="249"/>
      <c r="C1759" s="248"/>
      <c r="D1759" s="249"/>
      <c r="E1759" s="249"/>
      <c r="F1759" s="249"/>
      <c r="G1759" s="250"/>
      <c r="H1759" s="251"/>
      <c r="I1759" s="252"/>
      <c r="J1759" s="252"/>
      <c r="K1759" s="252"/>
      <c r="L1759" s="251"/>
      <c r="M1759" s="251"/>
      <c r="N1759" s="251"/>
      <c r="O1759" s="251"/>
      <c r="P1759" s="251"/>
      <c r="Q1759" s="251"/>
      <c r="R1759" s="251"/>
      <c r="S1759" s="251"/>
      <c r="T1759" s="251"/>
      <c r="U1759" s="251"/>
      <c r="V1759" s="251"/>
      <c r="W1759" s="251"/>
      <c r="X1759" s="251"/>
      <c r="Y1759" s="251"/>
      <c r="Z1759" s="251"/>
      <c r="AA1759" s="137"/>
      <c r="AB1759" s="137"/>
      <c r="AC1759" s="137"/>
      <c r="AD1759" s="137"/>
      <c r="AE1759" s="137"/>
      <c r="AF1759" s="137"/>
      <c r="AG1759" s="137"/>
    </row>
    <row r="1760" ht="30.0" customHeight="1">
      <c r="A1760" s="248"/>
      <c r="B1760" s="249"/>
      <c r="C1760" s="248"/>
      <c r="D1760" s="249"/>
      <c r="E1760" s="249"/>
      <c r="F1760" s="249"/>
      <c r="G1760" s="250"/>
      <c r="H1760" s="251"/>
      <c r="I1760" s="252"/>
      <c r="J1760" s="252"/>
      <c r="K1760" s="252"/>
      <c r="L1760" s="251"/>
      <c r="M1760" s="251"/>
      <c r="N1760" s="251"/>
      <c r="O1760" s="251"/>
      <c r="P1760" s="251"/>
      <c r="Q1760" s="251"/>
      <c r="R1760" s="251"/>
      <c r="S1760" s="251"/>
      <c r="T1760" s="251"/>
      <c r="U1760" s="251"/>
      <c r="V1760" s="251"/>
      <c r="W1760" s="251"/>
      <c r="X1760" s="251"/>
      <c r="Y1760" s="251"/>
      <c r="Z1760" s="251"/>
      <c r="AA1760" s="137"/>
      <c r="AB1760" s="137"/>
      <c r="AC1760" s="137"/>
      <c r="AD1760" s="137"/>
      <c r="AE1760" s="137"/>
      <c r="AF1760" s="137"/>
      <c r="AG1760" s="137"/>
    </row>
    <row r="1761" ht="30.0" customHeight="1">
      <c r="A1761" s="248"/>
      <c r="B1761" s="249"/>
      <c r="C1761" s="248"/>
      <c r="D1761" s="249"/>
      <c r="E1761" s="249"/>
      <c r="F1761" s="249"/>
      <c r="G1761" s="250"/>
      <c r="H1761" s="251"/>
      <c r="I1761" s="252"/>
      <c r="J1761" s="252"/>
      <c r="K1761" s="252"/>
      <c r="L1761" s="251"/>
      <c r="M1761" s="251"/>
      <c r="N1761" s="251"/>
      <c r="O1761" s="251"/>
      <c r="P1761" s="251"/>
      <c r="Q1761" s="251"/>
      <c r="R1761" s="251"/>
      <c r="S1761" s="251"/>
      <c r="T1761" s="251"/>
      <c r="U1761" s="251"/>
      <c r="V1761" s="251"/>
      <c r="W1761" s="251"/>
      <c r="X1761" s="251"/>
      <c r="Y1761" s="251"/>
      <c r="Z1761" s="251"/>
      <c r="AA1761" s="137"/>
      <c r="AB1761" s="137"/>
      <c r="AC1761" s="137"/>
      <c r="AD1761" s="137"/>
      <c r="AE1761" s="137"/>
      <c r="AF1761" s="137"/>
      <c r="AG1761" s="137"/>
    </row>
    <row r="1762" ht="30.0" customHeight="1">
      <c r="A1762" s="248"/>
      <c r="B1762" s="249"/>
      <c r="C1762" s="248"/>
      <c r="D1762" s="249"/>
      <c r="E1762" s="249"/>
      <c r="F1762" s="249"/>
      <c r="G1762" s="250"/>
      <c r="H1762" s="251"/>
      <c r="I1762" s="252"/>
      <c r="J1762" s="252"/>
      <c r="K1762" s="252"/>
      <c r="L1762" s="251"/>
      <c r="M1762" s="251"/>
      <c r="N1762" s="251"/>
      <c r="O1762" s="251"/>
      <c r="P1762" s="251"/>
      <c r="Q1762" s="251"/>
      <c r="R1762" s="251"/>
      <c r="S1762" s="251"/>
      <c r="T1762" s="251"/>
      <c r="U1762" s="251"/>
      <c r="V1762" s="251"/>
      <c r="W1762" s="251"/>
      <c r="X1762" s="251"/>
      <c r="Y1762" s="251"/>
      <c r="Z1762" s="251"/>
      <c r="AA1762" s="137"/>
      <c r="AB1762" s="137"/>
      <c r="AC1762" s="137"/>
      <c r="AD1762" s="137"/>
      <c r="AE1762" s="137"/>
      <c r="AF1762" s="137"/>
      <c r="AG1762" s="137"/>
    </row>
    <row r="1763" ht="30.0" customHeight="1">
      <c r="A1763" s="248"/>
      <c r="B1763" s="249"/>
      <c r="C1763" s="248"/>
      <c r="D1763" s="249"/>
      <c r="E1763" s="249"/>
      <c r="F1763" s="249"/>
      <c r="G1763" s="250"/>
      <c r="H1763" s="251"/>
      <c r="I1763" s="252"/>
      <c r="J1763" s="252"/>
      <c r="K1763" s="252"/>
      <c r="L1763" s="251"/>
      <c r="M1763" s="251"/>
      <c r="N1763" s="251"/>
      <c r="O1763" s="251"/>
      <c r="P1763" s="251"/>
      <c r="Q1763" s="251"/>
      <c r="R1763" s="251"/>
      <c r="S1763" s="251"/>
      <c r="T1763" s="251"/>
      <c r="U1763" s="251"/>
      <c r="V1763" s="251"/>
      <c r="W1763" s="251"/>
      <c r="X1763" s="251"/>
      <c r="Y1763" s="251"/>
      <c r="Z1763" s="251"/>
      <c r="AA1763" s="137"/>
      <c r="AB1763" s="137"/>
      <c r="AC1763" s="137"/>
      <c r="AD1763" s="137"/>
      <c r="AE1763" s="137"/>
      <c r="AF1763" s="137"/>
      <c r="AG1763" s="137"/>
    </row>
    <row r="1764" ht="30.0" customHeight="1">
      <c r="A1764" s="248"/>
      <c r="B1764" s="249"/>
      <c r="C1764" s="248"/>
      <c r="D1764" s="249"/>
      <c r="E1764" s="249"/>
      <c r="F1764" s="249"/>
      <c r="G1764" s="250"/>
      <c r="H1764" s="251"/>
      <c r="I1764" s="252"/>
      <c r="J1764" s="252"/>
      <c r="K1764" s="252"/>
      <c r="L1764" s="251"/>
      <c r="M1764" s="251"/>
      <c r="N1764" s="251"/>
      <c r="O1764" s="251"/>
      <c r="P1764" s="251"/>
      <c r="Q1764" s="251"/>
      <c r="R1764" s="251"/>
      <c r="S1764" s="251"/>
      <c r="T1764" s="251"/>
      <c r="U1764" s="251"/>
      <c r="V1764" s="251"/>
      <c r="W1764" s="251"/>
      <c r="X1764" s="251"/>
      <c r="Y1764" s="251"/>
      <c r="Z1764" s="251"/>
      <c r="AA1764" s="137"/>
      <c r="AB1764" s="137"/>
      <c r="AC1764" s="137"/>
      <c r="AD1764" s="137"/>
      <c r="AE1764" s="137"/>
      <c r="AF1764" s="137"/>
      <c r="AG1764" s="137"/>
    </row>
    <row r="1765" ht="30.0" customHeight="1">
      <c r="A1765" s="248"/>
      <c r="B1765" s="249"/>
      <c r="C1765" s="248"/>
      <c r="D1765" s="249"/>
      <c r="E1765" s="249"/>
      <c r="F1765" s="249"/>
      <c r="G1765" s="250"/>
      <c r="H1765" s="251"/>
      <c r="I1765" s="252"/>
      <c r="J1765" s="252"/>
      <c r="K1765" s="252"/>
      <c r="L1765" s="251"/>
      <c r="M1765" s="251"/>
      <c r="N1765" s="251"/>
      <c r="O1765" s="251"/>
      <c r="P1765" s="251"/>
      <c r="Q1765" s="251"/>
      <c r="R1765" s="251"/>
      <c r="S1765" s="251"/>
      <c r="T1765" s="251"/>
      <c r="U1765" s="251"/>
      <c r="V1765" s="251"/>
      <c r="W1765" s="251"/>
      <c r="X1765" s="251"/>
      <c r="Y1765" s="251"/>
      <c r="Z1765" s="251"/>
      <c r="AA1765" s="137"/>
      <c r="AB1765" s="137"/>
      <c r="AC1765" s="137"/>
      <c r="AD1765" s="137"/>
      <c r="AE1765" s="137"/>
      <c r="AF1765" s="137"/>
      <c r="AG1765" s="137"/>
    </row>
    <row r="1766" ht="30.0" customHeight="1">
      <c r="A1766" s="248"/>
      <c r="B1766" s="249"/>
      <c r="C1766" s="248"/>
      <c r="D1766" s="249"/>
      <c r="E1766" s="249"/>
      <c r="F1766" s="249"/>
      <c r="G1766" s="250"/>
      <c r="H1766" s="251"/>
      <c r="I1766" s="252"/>
      <c r="J1766" s="252"/>
      <c r="K1766" s="252"/>
      <c r="L1766" s="251"/>
      <c r="M1766" s="251"/>
      <c r="N1766" s="251"/>
      <c r="O1766" s="251"/>
      <c r="P1766" s="251"/>
      <c r="Q1766" s="251"/>
      <c r="R1766" s="251"/>
      <c r="S1766" s="251"/>
      <c r="T1766" s="251"/>
      <c r="U1766" s="251"/>
      <c r="V1766" s="251"/>
      <c r="W1766" s="251"/>
      <c r="X1766" s="251"/>
      <c r="Y1766" s="251"/>
      <c r="Z1766" s="251"/>
      <c r="AA1766" s="137"/>
      <c r="AB1766" s="137"/>
      <c r="AC1766" s="137"/>
      <c r="AD1766" s="137"/>
      <c r="AE1766" s="137"/>
      <c r="AF1766" s="137"/>
      <c r="AG1766" s="137"/>
    </row>
    <row r="1767" ht="30.0" customHeight="1">
      <c r="A1767" s="248"/>
      <c r="B1767" s="249"/>
      <c r="C1767" s="248"/>
      <c r="D1767" s="249"/>
      <c r="E1767" s="249"/>
      <c r="F1767" s="249"/>
      <c r="G1767" s="250"/>
      <c r="H1767" s="251"/>
      <c r="I1767" s="252"/>
      <c r="J1767" s="252"/>
      <c r="K1767" s="252"/>
      <c r="L1767" s="251"/>
      <c r="M1767" s="251"/>
      <c r="N1767" s="251"/>
      <c r="O1767" s="251"/>
      <c r="P1767" s="251"/>
      <c r="Q1767" s="251"/>
      <c r="R1767" s="251"/>
      <c r="S1767" s="251"/>
      <c r="T1767" s="251"/>
      <c r="U1767" s="251"/>
      <c r="V1767" s="251"/>
      <c r="W1767" s="251"/>
      <c r="X1767" s="251"/>
      <c r="Y1767" s="251"/>
      <c r="Z1767" s="251"/>
      <c r="AA1767" s="137"/>
      <c r="AB1767" s="137"/>
      <c r="AC1767" s="137"/>
      <c r="AD1767" s="137"/>
      <c r="AE1767" s="137"/>
      <c r="AF1767" s="137"/>
      <c r="AG1767" s="137"/>
    </row>
    <row r="1768" ht="30.0" customHeight="1">
      <c r="A1768" s="248"/>
      <c r="B1768" s="249"/>
      <c r="C1768" s="248"/>
      <c r="D1768" s="249"/>
      <c r="E1768" s="249"/>
      <c r="F1768" s="249"/>
      <c r="G1768" s="250"/>
      <c r="H1768" s="251"/>
      <c r="I1768" s="252"/>
      <c r="J1768" s="252"/>
      <c r="K1768" s="252"/>
      <c r="L1768" s="251"/>
      <c r="M1768" s="251"/>
      <c r="N1768" s="251"/>
      <c r="O1768" s="251"/>
      <c r="P1768" s="251"/>
      <c r="Q1768" s="251"/>
      <c r="R1768" s="251"/>
      <c r="S1768" s="251"/>
      <c r="T1768" s="251"/>
      <c r="U1768" s="251"/>
      <c r="V1768" s="251"/>
      <c r="W1768" s="251"/>
      <c r="X1768" s="251"/>
      <c r="Y1768" s="251"/>
      <c r="Z1768" s="251"/>
      <c r="AA1768" s="137"/>
      <c r="AB1768" s="137"/>
      <c r="AC1768" s="137"/>
      <c r="AD1768" s="137"/>
      <c r="AE1768" s="137"/>
      <c r="AF1768" s="137"/>
      <c r="AG1768" s="137"/>
    </row>
    <row r="1769" ht="30.0" customHeight="1">
      <c r="A1769" s="248"/>
      <c r="B1769" s="249"/>
      <c r="C1769" s="248"/>
      <c r="D1769" s="249"/>
      <c r="E1769" s="249"/>
      <c r="F1769" s="249"/>
      <c r="G1769" s="249"/>
      <c r="H1769" s="251"/>
      <c r="I1769" s="252"/>
      <c r="J1769" s="252"/>
      <c r="K1769" s="252"/>
      <c r="L1769" s="251"/>
      <c r="M1769" s="251"/>
      <c r="N1769" s="251"/>
      <c r="O1769" s="251"/>
      <c r="P1769" s="251"/>
      <c r="Q1769" s="251"/>
      <c r="R1769" s="251"/>
      <c r="S1769" s="251"/>
      <c r="T1769" s="251"/>
      <c r="U1769" s="251"/>
      <c r="V1769" s="251"/>
      <c r="W1769" s="251"/>
      <c r="X1769" s="251"/>
      <c r="Y1769" s="251"/>
      <c r="Z1769" s="251"/>
      <c r="AA1769" s="137"/>
      <c r="AB1769" s="137"/>
      <c r="AC1769" s="137"/>
      <c r="AD1769" s="137"/>
      <c r="AE1769" s="137"/>
      <c r="AF1769" s="137"/>
      <c r="AG1769" s="137"/>
    </row>
    <row r="1770" ht="30.0" customHeight="1">
      <c r="A1770" s="248"/>
      <c r="B1770" s="249"/>
      <c r="C1770" s="248"/>
      <c r="D1770" s="249"/>
      <c r="E1770" s="249"/>
      <c r="F1770" s="249"/>
      <c r="G1770" s="250"/>
      <c r="H1770" s="251"/>
      <c r="I1770" s="252"/>
      <c r="J1770" s="252"/>
      <c r="K1770" s="252"/>
      <c r="L1770" s="251"/>
      <c r="M1770" s="251"/>
      <c r="N1770" s="251"/>
      <c r="O1770" s="251"/>
      <c r="P1770" s="251"/>
      <c r="Q1770" s="251"/>
      <c r="R1770" s="251"/>
      <c r="S1770" s="251"/>
      <c r="T1770" s="251"/>
      <c r="U1770" s="251"/>
      <c r="V1770" s="251"/>
      <c r="W1770" s="251"/>
      <c r="X1770" s="251"/>
      <c r="Y1770" s="251"/>
      <c r="Z1770" s="251"/>
      <c r="AA1770" s="137"/>
      <c r="AB1770" s="137"/>
      <c r="AC1770" s="137"/>
      <c r="AD1770" s="137"/>
      <c r="AE1770" s="137"/>
      <c r="AF1770" s="137"/>
      <c r="AG1770" s="137"/>
    </row>
    <row r="1771" ht="30.0" customHeight="1">
      <c r="A1771" s="248"/>
      <c r="B1771" s="249"/>
      <c r="C1771" s="248"/>
      <c r="D1771" s="249"/>
      <c r="E1771" s="249"/>
      <c r="F1771" s="249"/>
      <c r="G1771" s="250"/>
      <c r="H1771" s="251"/>
      <c r="I1771" s="252"/>
      <c r="J1771" s="252"/>
      <c r="K1771" s="252"/>
      <c r="L1771" s="251"/>
      <c r="M1771" s="251"/>
      <c r="N1771" s="251"/>
      <c r="O1771" s="251"/>
      <c r="P1771" s="251"/>
      <c r="Q1771" s="251"/>
      <c r="R1771" s="251"/>
      <c r="S1771" s="251"/>
      <c r="T1771" s="251"/>
      <c r="U1771" s="251"/>
      <c r="V1771" s="251"/>
      <c r="W1771" s="251"/>
      <c r="X1771" s="251"/>
      <c r="Y1771" s="251"/>
      <c r="Z1771" s="251"/>
      <c r="AA1771" s="137"/>
      <c r="AB1771" s="137"/>
      <c r="AC1771" s="137"/>
      <c r="AD1771" s="137"/>
      <c r="AE1771" s="137"/>
      <c r="AF1771" s="137"/>
      <c r="AG1771" s="137"/>
    </row>
    <row r="1772" ht="30.0" customHeight="1">
      <c r="A1772" s="248"/>
      <c r="B1772" s="249"/>
      <c r="C1772" s="248"/>
      <c r="D1772" s="249"/>
      <c r="E1772" s="249"/>
      <c r="F1772" s="249"/>
      <c r="G1772" s="249"/>
      <c r="H1772" s="251"/>
      <c r="I1772" s="252"/>
      <c r="J1772" s="252"/>
      <c r="K1772" s="252"/>
      <c r="L1772" s="251"/>
      <c r="M1772" s="251"/>
      <c r="N1772" s="251"/>
      <c r="O1772" s="251"/>
      <c r="P1772" s="251"/>
      <c r="Q1772" s="251"/>
      <c r="R1772" s="251"/>
      <c r="S1772" s="251"/>
      <c r="T1772" s="251"/>
      <c r="U1772" s="251"/>
      <c r="V1772" s="251"/>
      <c r="W1772" s="251"/>
      <c r="X1772" s="251"/>
      <c r="Y1772" s="251"/>
      <c r="Z1772" s="251"/>
      <c r="AA1772" s="137"/>
      <c r="AB1772" s="137"/>
      <c r="AC1772" s="137"/>
      <c r="AD1772" s="137"/>
      <c r="AE1772" s="137"/>
      <c r="AF1772" s="137"/>
      <c r="AG1772" s="137"/>
    </row>
    <row r="1773" ht="30.0" customHeight="1">
      <c r="A1773" s="248"/>
      <c r="B1773" s="249"/>
      <c r="C1773" s="248"/>
      <c r="D1773" s="249"/>
      <c r="E1773" s="249"/>
      <c r="F1773" s="249"/>
      <c r="G1773" s="249"/>
      <c r="H1773" s="251"/>
      <c r="I1773" s="252"/>
      <c r="J1773" s="252"/>
      <c r="K1773" s="252"/>
      <c r="L1773" s="251"/>
      <c r="M1773" s="251"/>
      <c r="N1773" s="251"/>
      <c r="O1773" s="251"/>
      <c r="P1773" s="251"/>
      <c r="Q1773" s="251"/>
      <c r="R1773" s="251"/>
      <c r="S1773" s="251"/>
      <c r="T1773" s="251"/>
      <c r="U1773" s="251"/>
      <c r="V1773" s="251"/>
      <c r="W1773" s="251"/>
      <c r="X1773" s="251"/>
      <c r="Y1773" s="251"/>
      <c r="Z1773" s="251"/>
      <c r="AA1773" s="137"/>
      <c r="AB1773" s="137"/>
      <c r="AC1773" s="137"/>
      <c r="AD1773" s="137"/>
      <c r="AE1773" s="137"/>
      <c r="AF1773" s="137"/>
      <c r="AG1773" s="137"/>
    </row>
    <row r="1774" ht="30.0" customHeight="1">
      <c r="A1774" s="248"/>
      <c r="B1774" s="249"/>
      <c r="C1774" s="248"/>
      <c r="D1774" s="249"/>
      <c r="E1774" s="249"/>
      <c r="F1774" s="249"/>
      <c r="G1774" s="250"/>
      <c r="H1774" s="251"/>
      <c r="I1774" s="252"/>
      <c r="J1774" s="252"/>
      <c r="K1774" s="252"/>
      <c r="L1774" s="251"/>
      <c r="M1774" s="251"/>
      <c r="N1774" s="251"/>
      <c r="O1774" s="251"/>
      <c r="P1774" s="251"/>
      <c r="Q1774" s="251"/>
      <c r="R1774" s="251"/>
      <c r="S1774" s="251"/>
      <c r="T1774" s="251"/>
      <c r="U1774" s="251"/>
      <c r="V1774" s="251"/>
      <c r="W1774" s="251"/>
      <c r="X1774" s="251"/>
      <c r="Y1774" s="251"/>
      <c r="Z1774" s="251"/>
      <c r="AA1774" s="137"/>
      <c r="AB1774" s="137"/>
      <c r="AC1774" s="137"/>
      <c r="AD1774" s="137"/>
      <c r="AE1774" s="137"/>
      <c r="AF1774" s="137"/>
      <c r="AG1774" s="137"/>
    </row>
    <row r="1775" ht="30.0" customHeight="1">
      <c r="A1775" s="248"/>
      <c r="B1775" s="249"/>
      <c r="C1775" s="249"/>
      <c r="D1775" s="249"/>
      <c r="E1775" s="249"/>
      <c r="F1775" s="249"/>
      <c r="G1775" s="249"/>
      <c r="H1775" s="251"/>
      <c r="I1775" s="252"/>
      <c r="J1775" s="252"/>
      <c r="K1775" s="252"/>
      <c r="L1775" s="251"/>
      <c r="M1775" s="251"/>
      <c r="N1775" s="251"/>
      <c r="O1775" s="251"/>
      <c r="P1775" s="251"/>
      <c r="Q1775" s="251"/>
      <c r="R1775" s="251"/>
      <c r="S1775" s="251"/>
      <c r="T1775" s="251"/>
      <c r="U1775" s="251"/>
      <c r="V1775" s="251"/>
      <c r="W1775" s="251"/>
      <c r="X1775" s="251"/>
      <c r="Y1775" s="251"/>
      <c r="Z1775" s="251"/>
      <c r="AA1775" s="137"/>
      <c r="AB1775" s="137"/>
      <c r="AC1775" s="137"/>
      <c r="AD1775" s="137"/>
      <c r="AE1775" s="137"/>
      <c r="AF1775" s="137"/>
      <c r="AG1775" s="137"/>
    </row>
    <row r="1776" ht="30.0" customHeight="1">
      <c r="A1776" s="248"/>
      <c r="B1776" s="249"/>
      <c r="C1776" s="248"/>
      <c r="D1776" s="249"/>
      <c r="E1776" s="249"/>
      <c r="F1776" s="249"/>
      <c r="G1776" s="249"/>
      <c r="H1776" s="251"/>
      <c r="I1776" s="252"/>
      <c r="J1776" s="252"/>
      <c r="K1776" s="252"/>
      <c r="L1776" s="251"/>
      <c r="M1776" s="251"/>
      <c r="N1776" s="251"/>
      <c r="O1776" s="251"/>
      <c r="P1776" s="251"/>
      <c r="Q1776" s="251"/>
      <c r="R1776" s="251"/>
      <c r="S1776" s="251"/>
      <c r="T1776" s="251"/>
      <c r="U1776" s="251"/>
      <c r="V1776" s="251"/>
      <c r="W1776" s="251"/>
      <c r="X1776" s="251"/>
      <c r="Y1776" s="251"/>
      <c r="Z1776" s="251"/>
      <c r="AA1776" s="137"/>
      <c r="AB1776" s="137"/>
      <c r="AC1776" s="137"/>
      <c r="AD1776" s="137"/>
      <c r="AE1776" s="137"/>
      <c r="AF1776" s="137"/>
      <c r="AG1776" s="137"/>
    </row>
    <row r="1777" ht="30.0" customHeight="1">
      <c r="A1777" s="248"/>
      <c r="B1777" s="249"/>
      <c r="C1777" s="248"/>
      <c r="D1777" s="249"/>
      <c r="E1777" s="249"/>
      <c r="F1777" s="249"/>
      <c r="G1777" s="249"/>
      <c r="H1777" s="251"/>
      <c r="I1777" s="252"/>
      <c r="J1777" s="252"/>
      <c r="K1777" s="252"/>
      <c r="L1777" s="251"/>
      <c r="M1777" s="251"/>
      <c r="N1777" s="251"/>
      <c r="O1777" s="251"/>
      <c r="P1777" s="251"/>
      <c r="Q1777" s="251"/>
      <c r="R1777" s="251"/>
      <c r="S1777" s="251"/>
      <c r="T1777" s="251"/>
      <c r="U1777" s="251"/>
      <c r="V1777" s="251"/>
      <c r="W1777" s="251"/>
      <c r="X1777" s="251"/>
      <c r="Y1777" s="251"/>
      <c r="Z1777" s="251"/>
      <c r="AA1777" s="137"/>
      <c r="AB1777" s="137"/>
      <c r="AC1777" s="137"/>
      <c r="AD1777" s="137"/>
      <c r="AE1777" s="137"/>
      <c r="AF1777" s="137"/>
      <c r="AG1777" s="137"/>
    </row>
    <row r="1778" ht="30.0" customHeight="1">
      <c r="A1778" s="248"/>
      <c r="B1778" s="249"/>
      <c r="C1778" s="248"/>
      <c r="D1778" s="249"/>
      <c r="E1778" s="249"/>
      <c r="F1778" s="249"/>
      <c r="G1778" s="250"/>
      <c r="H1778" s="251"/>
      <c r="I1778" s="252"/>
      <c r="J1778" s="252"/>
      <c r="K1778" s="252"/>
      <c r="L1778" s="251"/>
      <c r="M1778" s="251"/>
      <c r="N1778" s="251"/>
      <c r="O1778" s="251"/>
      <c r="P1778" s="251"/>
      <c r="Q1778" s="251"/>
      <c r="R1778" s="251"/>
      <c r="S1778" s="251"/>
      <c r="T1778" s="251"/>
      <c r="U1778" s="251"/>
      <c r="V1778" s="251"/>
      <c r="W1778" s="251"/>
      <c r="X1778" s="251"/>
      <c r="Y1778" s="251"/>
      <c r="Z1778" s="251"/>
      <c r="AA1778" s="137"/>
      <c r="AB1778" s="137"/>
      <c r="AC1778" s="137"/>
      <c r="AD1778" s="137"/>
      <c r="AE1778" s="137"/>
      <c r="AF1778" s="137"/>
      <c r="AG1778" s="137"/>
    </row>
    <row r="1779" ht="30.0" customHeight="1">
      <c r="A1779" s="248"/>
      <c r="B1779" s="249"/>
      <c r="C1779" s="249"/>
      <c r="D1779" s="249"/>
      <c r="E1779" s="249"/>
      <c r="F1779" s="249"/>
      <c r="G1779" s="250"/>
      <c r="H1779" s="251"/>
      <c r="I1779" s="252"/>
      <c r="J1779" s="252"/>
      <c r="K1779" s="252"/>
      <c r="L1779" s="251"/>
      <c r="M1779" s="251"/>
      <c r="N1779" s="251"/>
      <c r="O1779" s="251"/>
      <c r="P1779" s="251"/>
      <c r="Q1779" s="251"/>
      <c r="R1779" s="251"/>
      <c r="S1779" s="251"/>
      <c r="T1779" s="251"/>
      <c r="U1779" s="251"/>
      <c r="V1779" s="251"/>
      <c r="W1779" s="251"/>
      <c r="X1779" s="251"/>
      <c r="Y1779" s="251"/>
      <c r="Z1779" s="251"/>
      <c r="AA1779" s="137"/>
      <c r="AB1779" s="137"/>
      <c r="AC1779" s="137"/>
      <c r="AD1779" s="137"/>
      <c r="AE1779" s="137"/>
      <c r="AF1779" s="137"/>
      <c r="AG1779" s="137"/>
    </row>
    <row r="1780" ht="30.0" customHeight="1">
      <c r="A1780" s="248"/>
      <c r="B1780" s="249"/>
      <c r="C1780" s="248"/>
      <c r="D1780" s="249"/>
      <c r="E1780" s="249"/>
      <c r="F1780" s="249"/>
      <c r="G1780" s="250"/>
      <c r="H1780" s="251"/>
      <c r="I1780" s="252"/>
      <c r="J1780" s="252"/>
      <c r="K1780" s="252"/>
      <c r="L1780" s="251"/>
      <c r="M1780" s="251"/>
      <c r="N1780" s="251"/>
      <c r="O1780" s="251"/>
      <c r="P1780" s="251"/>
      <c r="Q1780" s="251"/>
      <c r="R1780" s="251"/>
      <c r="S1780" s="251"/>
      <c r="T1780" s="251"/>
      <c r="U1780" s="251"/>
      <c r="V1780" s="251"/>
      <c r="W1780" s="251"/>
      <c r="X1780" s="251"/>
      <c r="Y1780" s="251"/>
      <c r="Z1780" s="251"/>
      <c r="AA1780" s="137"/>
      <c r="AB1780" s="137"/>
      <c r="AC1780" s="137"/>
      <c r="AD1780" s="137"/>
      <c r="AE1780" s="137"/>
      <c r="AF1780" s="137"/>
      <c r="AG1780" s="137"/>
    </row>
    <row r="1781" ht="30.0" customHeight="1">
      <c r="A1781" s="248"/>
      <c r="B1781" s="249"/>
      <c r="C1781" s="248"/>
      <c r="D1781" s="249"/>
      <c r="E1781" s="249"/>
      <c r="F1781" s="249"/>
      <c r="G1781" s="249"/>
      <c r="H1781" s="251"/>
      <c r="I1781" s="252"/>
      <c r="J1781" s="252"/>
      <c r="K1781" s="252"/>
      <c r="L1781" s="251"/>
      <c r="M1781" s="251"/>
      <c r="N1781" s="251"/>
      <c r="O1781" s="251"/>
      <c r="P1781" s="251"/>
      <c r="Q1781" s="251"/>
      <c r="R1781" s="251"/>
      <c r="S1781" s="251"/>
      <c r="T1781" s="251"/>
      <c r="U1781" s="251"/>
      <c r="V1781" s="251"/>
      <c r="W1781" s="251"/>
      <c r="X1781" s="251"/>
      <c r="Y1781" s="251"/>
      <c r="Z1781" s="251"/>
      <c r="AA1781" s="137"/>
      <c r="AB1781" s="137"/>
      <c r="AC1781" s="137"/>
      <c r="AD1781" s="137"/>
      <c r="AE1781" s="137"/>
      <c r="AF1781" s="137"/>
      <c r="AG1781" s="137"/>
    </row>
    <row r="1782" ht="30.0" customHeight="1">
      <c r="A1782" s="248"/>
      <c r="B1782" s="249"/>
      <c r="C1782" s="248"/>
      <c r="D1782" s="249"/>
      <c r="E1782" s="249"/>
      <c r="F1782" s="249"/>
      <c r="G1782" s="249"/>
      <c r="H1782" s="251"/>
      <c r="I1782" s="252"/>
      <c r="J1782" s="252"/>
      <c r="K1782" s="252"/>
      <c r="L1782" s="251"/>
      <c r="M1782" s="251"/>
      <c r="N1782" s="251"/>
      <c r="O1782" s="251"/>
      <c r="P1782" s="251"/>
      <c r="Q1782" s="251"/>
      <c r="R1782" s="251"/>
      <c r="S1782" s="251"/>
      <c r="T1782" s="251"/>
      <c r="U1782" s="251"/>
      <c r="V1782" s="251"/>
      <c r="W1782" s="251"/>
      <c r="X1782" s="251"/>
      <c r="Y1782" s="251"/>
      <c r="Z1782" s="251"/>
      <c r="AA1782" s="137"/>
      <c r="AB1782" s="137"/>
      <c r="AC1782" s="137"/>
      <c r="AD1782" s="137"/>
      <c r="AE1782" s="137"/>
      <c r="AF1782" s="137"/>
      <c r="AG1782" s="137"/>
    </row>
    <row r="1783" ht="30.0" customHeight="1">
      <c r="A1783" s="248"/>
      <c r="B1783" s="249"/>
      <c r="C1783" s="248"/>
      <c r="D1783" s="249"/>
      <c r="E1783" s="249"/>
      <c r="F1783" s="249"/>
      <c r="G1783" s="249"/>
      <c r="H1783" s="251"/>
      <c r="I1783" s="252"/>
      <c r="J1783" s="252"/>
      <c r="K1783" s="252"/>
      <c r="L1783" s="251"/>
      <c r="M1783" s="251"/>
      <c r="N1783" s="251"/>
      <c r="O1783" s="251"/>
      <c r="P1783" s="251"/>
      <c r="Q1783" s="251"/>
      <c r="R1783" s="251"/>
      <c r="S1783" s="251"/>
      <c r="T1783" s="251"/>
      <c r="U1783" s="251"/>
      <c r="V1783" s="251"/>
      <c r="W1783" s="251"/>
      <c r="X1783" s="251"/>
      <c r="Y1783" s="251"/>
      <c r="Z1783" s="251"/>
      <c r="AA1783" s="137"/>
      <c r="AB1783" s="137"/>
      <c r="AC1783" s="137"/>
      <c r="AD1783" s="137"/>
      <c r="AE1783" s="137"/>
      <c r="AF1783" s="137"/>
      <c r="AG1783" s="137"/>
    </row>
    <row r="1784" ht="30.0" customHeight="1">
      <c r="A1784" s="248"/>
      <c r="B1784" s="249"/>
      <c r="C1784" s="248"/>
      <c r="D1784" s="249"/>
      <c r="E1784" s="249"/>
      <c r="F1784" s="249"/>
      <c r="G1784" s="249"/>
      <c r="H1784" s="251"/>
      <c r="I1784" s="252"/>
      <c r="J1784" s="252"/>
      <c r="K1784" s="252"/>
      <c r="L1784" s="251"/>
      <c r="M1784" s="251"/>
      <c r="N1784" s="251"/>
      <c r="O1784" s="251"/>
      <c r="P1784" s="251"/>
      <c r="Q1784" s="251"/>
      <c r="R1784" s="251"/>
      <c r="S1784" s="251"/>
      <c r="T1784" s="251"/>
      <c r="U1784" s="251"/>
      <c r="V1784" s="251"/>
      <c r="W1784" s="251"/>
      <c r="X1784" s="251"/>
      <c r="Y1784" s="251"/>
      <c r="Z1784" s="251"/>
      <c r="AA1784" s="137"/>
      <c r="AB1784" s="137"/>
      <c r="AC1784" s="137"/>
      <c r="AD1784" s="137"/>
      <c r="AE1784" s="137"/>
      <c r="AF1784" s="137"/>
      <c r="AG1784" s="137"/>
    </row>
    <row r="1785" ht="30.0" customHeight="1">
      <c r="A1785" s="248"/>
      <c r="B1785" s="249"/>
      <c r="C1785" s="248"/>
      <c r="D1785" s="249"/>
      <c r="E1785" s="249"/>
      <c r="F1785" s="249"/>
      <c r="G1785" s="249"/>
      <c r="H1785" s="251"/>
      <c r="I1785" s="252"/>
      <c r="J1785" s="252"/>
      <c r="K1785" s="252"/>
      <c r="L1785" s="251"/>
      <c r="M1785" s="251"/>
      <c r="N1785" s="251"/>
      <c r="O1785" s="251"/>
      <c r="P1785" s="251"/>
      <c r="Q1785" s="251"/>
      <c r="R1785" s="251"/>
      <c r="S1785" s="251"/>
      <c r="T1785" s="251"/>
      <c r="U1785" s="251"/>
      <c r="V1785" s="251"/>
      <c r="W1785" s="251"/>
      <c r="X1785" s="251"/>
      <c r="Y1785" s="251"/>
      <c r="Z1785" s="251"/>
      <c r="AA1785" s="137"/>
      <c r="AB1785" s="137"/>
      <c r="AC1785" s="137"/>
      <c r="AD1785" s="137"/>
      <c r="AE1785" s="137"/>
      <c r="AF1785" s="137"/>
      <c r="AG1785" s="137"/>
    </row>
    <row r="1786" ht="30.0" customHeight="1">
      <c r="A1786" s="248"/>
      <c r="B1786" s="249"/>
      <c r="C1786" s="248"/>
      <c r="D1786" s="249"/>
      <c r="E1786" s="249"/>
      <c r="F1786" s="249"/>
      <c r="G1786" s="249"/>
      <c r="H1786" s="251"/>
      <c r="I1786" s="252"/>
      <c r="J1786" s="252"/>
      <c r="K1786" s="252"/>
      <c r="L1786" s="251"/>
      <c r="M1786" s="251"/>
      <c r="N1786" s="251"/>
      <c r="O1786" s="251"/>
      <c r="P1786" s="251"/>
      <c r="Q1786" s="251"/>
      <c r="R1786" s="251"/>
      <c r="S1786" s="251"/>
      <c r="T1786" s="251"/>
      <c r="U1786" s="251"/>
      <c r="V1786" s="251"/>
      <c r="W1786" s="251"/>
      <c r="X1786" s="251"/>
      <c r="Y1786" s="251"/>
      <c r="Z1786" s="251"/>
      <c r="AA1786" s="137"/>
      <c r="AB1786" s="137"/>
      <c r="AC1786" s="137"/>
      <c r="AD1786" s="137"/>
      <c r="AE1786" s="137"/>
      <c r="AF1786" s="137"/>
      <c r="AG1786" s="137"/>
    </row>
    <row r="1787" ht="30.0" customHeight="1">
      <c r="A1787" s="248"/>
      <c r="B1787" s="249"/>
      <c r="C1787" s="248"/>
      <c r="D1787" s="249"/>
      <c r="E1787" s="249"/>
      <c r="F1787" s="249"/>
      <c r="G1787" s="249"/>
      <c r="H1787" s="251"/>
      <c r="I1787" s="252"/>
      <c r="J1787" s="252"/>
      <c r="K1787" s="252"/>
      <c r="L1787" s="251"/>
      <c r="M1787" s="251"/>
      <c r="N1787" s="251"/>
      <c r="O1787" s="251"/>
      <c r="P1787" s="251"/>
      <c r="Q1787" s="251"/>
      <c r="R1787" s="251"/>
      <c r="S1787" s="251"/>
      <c r="T1787" s="251"/>
      <c r="U1787" s="251"/>
      <c r="V1787" s="251"/>
      <c r="W1787" s="251"/>
      <c r="X1787" s="251"/>
      <c r="Y1787" s="251"/>
      <c r="Z1787" s="251"/>
      <c r="AA1787" s="137"/>
      <c r="AB1787" s="137"/>
      <c r="AC1787" s="137"/>
      <c r="AD1787" s="137"/>
      <c r="AE1787" s="137"/>
      <c r="AF1787" s="137"/>
      <c r="AG1787" s="137"/>
    </row>
    <row r="1788" ht="30.0" customHeight="1">
      <c r="A1788" s="248"/>
      <c r="B1788" s="249"/>
      <c r="C1788" s="248"/>
      <c r="D1788" s="249"/>
      <c r="E1788" s="249"/>
      <c r="F1788" s="249"/>
      <c r="G1788" s="249"/>
      <c r="H1788" s="251"/>
      <c r="I1788" s="252"/>
      <c r="J1788" s="252"/>
      <c r="K1788" s="252"/>
      <c r="L1788" s="251"/>
      <c r="M1788" s="251"/>
      <c r="N1788" s="251"/>
      <c r="O1788" s="251"/>
      <c r="P1788" s="251"/>
      <c r="Q1788" s="251"/>
      <c r="R1788" s="251"/>
      <c r="S1788" s="251"/>
      <c r="T1788" s="251"/>
      <c r="U1788" s="251"/>
      <c r="V1788" s="251"/>
      <c r="W1788" s="251"/>
      <c r="X1788" s="251"/>
      <c r="Y1788" s="251"/>
      <c r="Z1788" s="251"/>
      <c r="AA1788" s="137"/>
      <c r="AB1788" s="137"/>
      <c r="AC1788" s="137"/>
      <c r="AD1788" s="137"/>
      <c r="AE1788" s="137"/>
      <c r="AF1788" s="137"/>
      <c r="AG1788" s="137"/>
    </row>
    <row r="1789" ht="30.0" customHeight="1">
      <c r="A1789" s="248"/>
      <c r="B1789" s="249"/>
      <c r="C1789" s="248"/>
      <c r="D1789" s="249"/>
      <c r="E1789" s="249"/>
      <c r="F1789" s="249"/>
      <c r="G1789" s="249"/>
      <c r="H1789" s="251"/>
      <c r="I1789" s="252"/>
      <c r="J1789" s="252"/>
      <c r="K1789" s="252"/>
      <c r="L1789" s="251"/>
      <c r="M1789" s="251"/>
      <c r="N1789" s="251"/>
      <c r="O1789" s="251"/>
      <c r="P1789" s="251"/>
      <c r="Q1789" s="251"/>
      <c r="R1789" s="251"/>
      <c r="S1789" s="251"/>
      <c r="T1789" s="251"/>
      <c r="U1789" s="251"/>
      <c r="V1789" s="251"/>
      <c r="W1789" s="251"/>
      <c r="X1789" s="251"/>
      <c r="Y1789" s="251"/>
      <c r="Z1789" s="251"/>
      <c r="AA1789" s="137"/>
      <c r="AB1789" s="137"/>
      <c r="AC1789" s="137"/>
      <c r="AD1789" s="137"/>
      <c r="AE1789" s="137"/>
      <c r="AF1789" s="137"/>
      <c r="AG1789" s="137"/>
    </row>
    <row r="1790" ht="30.0" customHeight="1">
      <c r="A1790" s="248"/>
      <c r="B1790" s="249"/>
      <c r="C1790" s="248"/>
      <c r="D1790" s="249"/>
      <c r="E1790" s="249"/>
      <c r="F1790" s="249"/>
      <c r="G1790" s="250"/>
      <c r="H1790" s="251"/>
      <c r="I1790" s="252"/>
      <c r="J1790" s="252"/>
      <c r="K1790" s="252"/>
      <c r="L1790" s="251"/>
      <c r="M1790" s="251"/>
      <c r="N1790" s="251"/>
      <c r="O1790" s="251"/>
      <c r="P1790" s="251"/>
      <c r="Q1790" s="251"/>
      <c r="R1790" s="251"/>
      <c r="S1790" s="251"/>
      <c r="T1790" s="251"/>
      <c r="U1790" s="251"/>
      <c r="V1790" s="251"/>
      <c r="W1790" s="251"/>
      <c r="X1790" s="251"/>
      <c r="Y1790" s="251"/>
      <c r="Z1790" s="251"/>
      <c r="AA1790" s="137"/>
      <c r="AB1790" s="137"/>
      <c r="AC1790" s="137"/>
      <c r="AD1790" s="137"/>
      <c r="AE1790" s="137"/>
      <c r="AF1790" s="137"/>
      <c r="AG1790" s="137"/>
    </row>
    <row r="1791" ht="30.0" customHeight="1">
      <c r="A1791" s="248"/>
      <c r="B1791" s="249"/>
      <c r="C1791" s="248"/>
      <c r="D1791" s="249"/>
      <c r="E1791" s="249"/>
      <c r="F1791" s="249"/>
      <c r="G1791" s="249"/>
      <c r="H1791" s="251"/>
      <c r="I1791" s="252"/>
      <c r="J1791" s="252"/>
      <c r="K1791" s="252"/>
      <c r="L1791" s="251"/>
      <c r="M1791" s="251"/>
      <c r="N1791" s="251"/>
      <c r="O1791" s="251"/>
      <c r="P1791" s="251"/>
      <c r="Q1791" s="251"/>
      <c r="R1791" s="251"/>
      <c r="S1791" s="251"/>
      <c r="T1791" s="251"/>
      <c r="U1791" s="251"/>
      <c r="V1791" s="251"/>
      <c r="W1791" s="251"/>
      <c r="X1791" s="251"/>
      <c r="Y1791" s="251"/>
      <c r="Z1791" s="251"/>
      <c r="AA1791" s="137"/>
      <c r="AB1791" s="137"/>
      <c r="AC1791" s="137"/>
      <c r="AD1791" s="137"/>
      <c r="AE1791" s="137"/>
      <c r="AF1791" s="137"/>
      <c r="AG1791" s="137"/>
    </row>
    <row r="1792" ht="30.0" customHeight="1">
      <c r="A1792" s="248"/>
      <c r="B1792" s="249"/>
      <c r="C1792" s="248"/>
      <c r="D1792" s="249"/>
      <c r="E1792" s="249"/>
      <c r="F1792" s="249"/>
      <c r="G1792" s="250"/>
      <c r="H1792" s="251"/>
      <c r="I1792" s="252"/>
      <c r="J1792" s="252"/>
      <c r="K1792" s="252"/>
      <c r="L1792" s="251"/>
      <c r="M1792" s="251"/>
      <c r="N1792" s="251"/>
      <c r="O1792" s="251"/>
      <c r="P1792" s="251"/>
      <c r="Q1792" s="251"/>
      <c r="R1792" s="251"/>
      <c r="S1792" s="251"/>
      <c r="T1792" s="251"/>
      <c r="U1792" s="251"/>
      <c r="V1792" s="251"/>
      <c r="W1792" s="251"/>
      <c r="X1792" s="251"/>
      <c r="Y1792" s="251"/>
      <c r="Z1792" s="251"/>
      <c r="AA1792" s="137"/>
      <c r="AB1792" s="137"/>
      <c r="AC1792" s="137"/>
      <c r="AD1792" s="137"/>
      <c r="AE1792" s="137"/>
      <c r="AF1792" s="137"/>
      <c r="AG1792" s="137"/>
    </row>
    <row r="1793" ht="30.0" customHeight="1">
      <c r="A1793" s="248"/>
      <c r="B1793" s="249"/>
      <c r="C1793" s="248"/>
      <c r="D1793" s="249"/>
      <c r="E1793" s="249"/>
      <c r="F1793" s="249"/>
      <c r="G1793" s="250"/>
      <c r="H1793" s="251"/>
      <c r="I1793" s="252"/>
      <c r="J1793" s="252"/>
      <c r="K1793" s="252"/>
      <c r="L1793" s="251"/>
      <c r="M1793" s="251"/>
      <c r="N1793" s="251"/>
      <c r="O1793" s="251"/>
      <c r="P1793" s="251"/>
      <c r="Q1793" s="251"/>
      <c r="R1793" s="251"/>
      <c r="S1793" s="251"/>
      <c r="T1793" s="251"/>
      <c r="U1793" s="251"/>
      <c r="V1793" s="251"/>
      <c r="W1793" s="251"/>
      <c r="X1793" s="251"/>
      <c r="Y1793" s="251"/>
      <c r="Z1793" s="251"/>
      <c r="AA1793" s="137"/>
      <c r="AB1793" s="137"/>
      <c r="AC1793" s="137"/>
      <c r="AD1793" s="137"/>
      <c r="AE1793" s="137"/>
      <c r="AF1793" s="137"/>
      <c r="AG1793" s="137"/>
    </row>
    <row r="1794" ht="30.0" customHeight="1">
      <c r="A1794" s="248"/>
      <c r="B1794" s="249"/>
      <c r="C1794" s="248"/>
      <c r="D1794" s="249"/>
      <c r="E1794" s="249"/>
      <c r="F1794" s="249"/>
      <c r="G1794" s="250"/>
      <c r="H1794" s="251"/>
      <c r="I1794" s="252"/>
      <c r="J1794" s="252"/>
      <c r="K1794" s="252"/>
      <c r="L1794" s="251"/>
      <c r="M1794" s="251"/>
      <c r="N1794" s="251"/>
      <c r="O1794" s="251"/>
      <c r="P1794" s="251"/>
      <c r="Q1794" s="251"/>
      <c r="R1794" s="251"/>
      <c r="S1794" s="251"/>
      <c r="T1794" s="251"/>
      <c r="U1794" s="251"/>
      <c r="V1794" s="251"/>
      <c r="W1794" s="251"/>
      <c r="X1794" s="251"/>
      <c r="Y1794" s="251"/>
      <c r="Z1794" s="251"/>
      <c r="AA1794" s="137"/>
      <c r="AB1794" s="137"/>
      <c r="AC1794" s="137"/>
      <c r="AD1794" s="137"/>
      <c r="AE1794" s="137"/>
      <c r="AF1794" s="137"/>
      <c r="AG1794" s="137"/>
    </row>
    <row r="1795" ht="30.0" customHeight="1">
      <c r="A1795" s="248"/>
      <c r="B1795" s="249"/>
      <c r="C1795" s="248"/>
      <c r="D1795" s="249"/>
      <c r="E1795" s="249"/>
      <c r="F1795" s="249"/>
      <c r="G1795" s="250"/>
      <c r="H1795" s="251"/>
      <c r="I1795" s="252"/>
      <c r="J1795" s="252"/>
      <c r="K1795" s="252"/>
      <c r="L1795" s="251"/>
      <c r="M1795" s="251"/>
      <c r="N1795" s="251"/>
      <c r="O1795" s="251"/>
      <c r="P1795" s="251"/>
      <c r="Q1795" s="251"/>
      <c r="R1795" s="251"/>
      <c r="S1795" s="251"/>
      <c r="T1795" s="251"/>
      <c r="U1795" s="251"/>
      <c r="V1795" s="251"/>
      <c r="W1795" s="251"/>
      <c r="X1795" s="251"/>
      <c r="Y1795" s="251"/>
      <c r="Z1795" s="251"/>
      <c r="AA1795" s="137"/>
      <c r="AB1795" s="137"/>
      <c r="AC1795" s="137"/>
      <c r="AD1795" s="137"/>
      <c r="AE1795" s="137"/>
      <c r="AF1795" s="137"/>
      <c r="AG1795" s="137"/>
    </row>
    <row r="1796" ht="30.0" customHeight="1">
      <c r="A1796" s="248"/>
      <c r="B1796" s="249"/>
      <c r="C1796" s="248"/>
      <c r="D1796" s="249"/>
      <c r="E1796" s="249"/>
      <c r="F1796" s="249"/>
      <c r="G1796" s="250"/>
      <c r="H1796" s="251"/>
      <c r="I1796" s="252"/>
      <c r="J1796" s="252"/>
      <c r="K1796" s="252"/>
      <c r="L1796" s="251"/>
      <c r="M1796" s="251"/>
      <c r="N1796" s="251"/>
      <c r="O1796" s="251"/>
      <c r="P1796" s="251"/>
      <c r="Q1796" s="251"/>
      <c r="R1796" s="251"/>
      <c r="S1796" s="251"/>
      <c r="T1796" s="251"/>
      <c r="U1796" s="251"/>
      <c r="V1796" s="251"/>
      <c r="W1796" s="251"/>
      <c r="X1796" s="251"/>
      <c r="Y1796" s="251"/>
      <c r="Z1796" s="251"/>
      <c r="AA1796" s="137"/>
      <c r="AB1796" s="137"/>
      <c r="AC1796" s="137"/>
      <c r="AD1796" s="137"/>
      <c r="AE1796" s="137"/>
      <c r="AF1796" s="137"/>
      <c r="AG1796" s="137"/>
    </row>
    <row r="1797" ht="30.0" customHeight="1">
      <c r="A1797" s="248"/>
      <c r="B1797" s="249"/>
      <c r="C1797" s="248"/>
      <c r="D1797" s="249"/>
      <c r="E1797" s="249"/>
      <c r="F1797" s="249"/>
      <c r="G1797" s="250"/>
      <c r="H1797" s="251"/>
      <c r="I1797" s="252"/>
      <c r="J1797" s="252"/>
      <c r="K1797" s="252"/>
      <c r="L1797" s="251"/>
      <c r="M1797" s="251"/>
      <c r="N1797" s="251"/>
      <c r="O1797" s="251"/>
      <c r="P1797" s="251"/>
      <c r="Q1797" s="251"/>
      <c r="R1797" s="251"/>
      <c r="S1797" s="251"/>
      <c r="T1797" s="251"/>
      <c r="U1797" s="251"/>
      <c r="V1797" s="251"/>
      <c r="W1797" s="251"/>
      <c r="X1797" s="251"/>
      <c r="Y1797" s="251"/>
      <c r="Z1797" s="251"/>
      <c r="AA1797" s="137"/>
      <c r="AB1797" s="137"/>
      <c r="AC1797" s="137"/>
      <c r="AD1797" s="137"/>
      <c r="AE1797" s="137"/>
      <c r="AF1797" s="137"/>
      <c r="AG1797" s="137"/>
    </row>
    <row r="1798" ht="30.0" customHeight="1">
      <c r="A1798" s="248"/>
      <c r="B1798" s="249"/>
      <c r="C1798" s="248"/>
      <c r="D1798" s="249"/>
      <c r="E1798" s="249"/>
      <c r="F1798" s="249"/>
      <c r="G1798" s="250"/>
      <c r="H1798" s="251"/>
      <c r="I1798" s="252"/>
      <c r="J1798" s="252"/>
      <c r="K1798" s="252"/>
      <c r="L1798" s="251"/>
      <c r="M1798" s="251"/>
      <c r="N1798" s="251"/>
      <c r="O1798" s="251"/>
      <c r="P1798" s="251"/>
      <c r="Q1798" s="251"/>
      <c r="R1798" s="251"/>
      <c r="S1798" s="251"/>
      <c r="T1798" s="251"/>
      <c r="U1798" s="251"/>
      <c r="V1798" s="251"/>
      <c r="W1798" s="251"/>
      <c r="X1798" s="251"/>
      <c r="Y1798" s="251"/>
      <c r="Z1798" s="251"/>
      <c r="AA1798" s="137"/>
      <c r="AB1798" s="137"/>
      <c r="AC1798" s="137"/>
      <c r="AD1798" s="137"/>
      <c r="AE1798" s="137"/>
      <c r="AF1798" s="137"/>
      <c r="AG1798" s="137"/>
    </row>
    <row r="1799" ht="30.0" customHeight="1">
      <c r="A1799" s="248"/>
      <c r="B1799" s="249"/>
      <c r="C1799" s="248"/>
      <c r="D1799" s="249"/>
      <c r="E1799" s="249"/>
      <c r="F1799" s="249"/>
      <c r="G1799" s="250"/>
      <c r="H1799" s="251"/>
      <c r="I1799" s="252"/>
      <c r="J1799" s="252"/>
      <c r="K1799" s="252"/>
      <c r="L1799" s="251"/>
      <c r="M1799" s="251"/>
      <c r="N1799" s="251"/>
      <c r="O1799" s="251"/>
      <c r="P1799" s="251"/>
      <c r="Q1799" s="251"/>
      <c r="R1799" s="251"/>
      <c r="S1799" s="251"/>
      <c r="T1799" s="251"/>
      <c r="U1799" s="251"/>
      <c r="V1799" s="251"/>
      <c r="W1799" s="251"/>
      <c r="X1799" s="251"/>
      <c r="Y1799" s="251"/>
      <c r="Z1799" s="251"/>
      <c r="AA1799" s="137"/>
      <c r="AB1799" s="137"/>
      <c r="AC1799" s="137"/>
      <c r="AD1799" s="137"/>
      <c r="AE1799" s="137"/>
      <c r="AF1799" s="137"/>
      <c r="AG1799" s="137"/>
    </row>
    <row r="1800" ht="30.0" customHeight="1">
      <c r="A1800" s="248"/>
      <c r="B1800" s="249"/>
      <c r="C1800" s="248"/>
      <c r="D1800" s="249"/>
      <c r="E1800" s="249"/>
      <c r="F1800" s="249"/>
      <c r="G1800" s="250"/>
      <c r="H1800" s="251"/>
      <c r="I1800" s="252"/>
      <c r="J1800" s="252"/>
      <c r="K1800" s="252"/>
      <c r="L1800" s="251"/>
      <c r="M1800" s="251"/>
      <c r="N1800" s="251"/>
      <c r="O1800" s="251"/>
      <c r="P1800" s="251"/>
      <c r="Q1800" s="251"/>
      <c r="R1800" s="251"/>
      <c r="S1800" s="251"/>
      <c r="T1800" s="251"/>
      <c r="U1800" s="251"/>
      <c r="V1800" s="251"/>
      <c r="W1800" s="251"/>
      <c r="X1800" s="251"/>
      <c r="Y1800" s="251"/>
      <c r="Z1800" s="251"/>
      <c r="AA1800" s="137"/>
      <c r="AB1800" s="137"/>
      <c r="AC1800" s="137"/>
      <c r="AD1800" s="137"/>
      <c r="AE1800" s="137"/>
      <c r="AF1800" s="137"/>
      <c r="AG1800" s="137"/>
    </row>
    <row r="1801" ht="30.0" customHeight="1">
      <c r="A1801" s="248"/>
      <c r="B1801" s="249"/>
      <c r="C1801" s="248"/>
      <c r="D1801" s="249"/>
      <c r="E1801" s="249"/>
      <c r="F1801" s="249"/>
      <c r="G1801" s="250"/>
      <c r="H1801" s="251"/>
      <c r="I1801" s="252"/>
      <c r="J1801" s="252"/>
      <c r="K1801" s="252"/>
      <c r="L1801" s="251"/>
      <c r="M1801" s="251"/>
      <c r="N1801" s="251"/>
      <c r="O1801" s="251"/>
      <c r="P1801" s="251"/>
      <c r="Q1801" s="251"/>
      <c r="R1801" s="251"/>
      <c r="S1801" s="251"/>
      <c r="T1801" s="251"/>
      <c r="U1801" s="251"/>
      <c r="V1801" s="251"/>
      <c r="W1801" s="251"/>
      <c r="X1801" s="251"/>
      <c r="Y1801" s="251"/>
      <c r="Z1801" s="251"/>
      <c r="AA1801" s="137"/>
      <c r="AB1801" s="137"/>
      <c r="AC1801" s="137"/>
      <c r="AD1801" s="137"/>
      <c r="AE1801" s="137"/>
      <c r="AF1801" s="137"/>
      <c r="AG1801" s="137"/>
    </row>
    <row r="1802" ht="30.0" customHeight="1">
      <c r="A1802" s="248"/>
      <c r="B1802" s="249"/>
      <c r="C1802" s="248"/>
      <c r="D1802" s="249"/>
      <c r="E1802" s="249"/>
      <c r="F1802" s="249"/>
      <c r="G1802" s="250"/>
      <c r="H1802" s="251"/>
      <c r="I1802" s="252"/>
      <c r="J1802" s="252"/>
      <c r="K1802" s="252"/>
      <c r="L1802" s="251"/>
      <c r="M1802" s="251"/>
      <c r="N1802" s="251"/>
      <c r="O1802" s="251"/>
      <c r="P1802" s="251"/>
      <c r="Q1802" s="251"/>
      <c r="R1802" s="251"/>
      <c r="S1802" s="251"/>
      <c r="T1802" s="251"/>
      <c r="U1802" s="251"/>
      <c r="V1802" s="251"/>
      <c r="W1802" s="251"/>
      <c r="X1802" s="251"/>
      <c r="Y1802" s="251"/>
      <c r="Z1802" s="251"/>
      <c r="AA1802" s="137"/>
      <c r="AB1802" s="137"/>
      <c r="AC1802" s="137"/>
      <c r="AD1802" s="137"/>
      <c r="AE1802" s="137"/>
      <c r="AF1802" s="137"/>
      <c r="AG1802" s="137"/>
    </row>
    <row r="1803" ht="30.0" customHeight="1">
      <c r="A1803" s="248"/>
      <c r="B1803" s="249"/>
      <c r="C1803" s="248"/>
      <c r="D1803" s="249"/>
      <c r="E1803" s="249"/>
      <c r="F1803" s="249"/>
      <c r="G1803" s="250"/>
      <c r="H1803" s="251"/>
      <c r="I1803" s="252"/>
      <c r="J1803" s="252"/>
      <c r="K1803" s="252"/>
      <c r="L1803" s="251"/>
      <c r="M1803" s="251"/>
      <c r="N1803" s="251"/>
      <c r="O1803" s="251"/>
      <c r="P1803" s="251"/>
      <c r="Q1803" s="251"/>
      <c r="R1803" s="251"/>
      <c r="S1803" s="251"/>
      <c r="T1803" s="251"/>
      <c r="U1803" s="251"/>
      <c r="V1803" s="251"/>
      <c r="W1803" s="251"/>
      <c r="X1803" s="251"/>
      <c r="Y1803" s="251"/>
      <c r="Z1803" s="251"/>
      <c r="AA1803" s="137"/>
      <c r="AB1803" s="137"/>
      <c r="AC1803" s="137"/>
      <c r="AD1803" s="137"/>
      <c r="AE1803" s="137"/>
      <c r="AF1803" s="137"/>
      <c r="AG1803" s="137"/>
    </row>
    <row r="1804" ht="30.0" customHeight="1">
      <c r="A1804" s="248"/>
      <c r="B1804" s="249"/>
      <c r="C1804" s="248"/>
      <c r="D1804" s="249"/>
      <c r="E1804" s="249"/>
      <c r="F1804" s="249"/>
      <c r="G1804" s="250"/>
      <c r="H1804" s="251"/>
      <c r="I1804" s="252"/>
      <c r="J1804" s="252"/>
      <c r="K1804" s="252"/>
      <c r="L1804" s="251"/>
      <c r="M1804" s="251"/>
      <c r="N1804" s="251"/>
      <c r="O1804" s="251"/>
      <c r="P1804" s="251"/>
      <c r="Q1804" s="251"/>
      <c r="R1804" s="251"/>
      <c r="S1804" s="251"/>
      <c r="T1804" s="251"/>
      <c r="U1804" s="251"/>
      <c r="V1804" s="251"/>
      <c r="W1804" s="251"/>
      <c r="X1804" s="251"/>
      <c r="Y1804" s="251"/>
      <c r="Z1804" s="251"/>
      <c r="AA1804" s="137"/>
      <c r="AB1804" s="137"/>
      <c r="AC1804" s="137"/>
      <c r="AD1804" s="137"/>
      <c r="AE1804" s="137"/>
      <c r="AF1804" s="137"/>
      <c r="AG1804" s="137"/>
    </row>
    <row r="1805" ht="30.0" customHeight="1">
      <c r="A1805" s="248"/>
      <c r="B1805" s="249"/>
      <c r="C1805" s="248"/>
      <c r="D1805" s="249"/>
      <c r="E1805" s="249"/>
      <c r="F1805" s="249"/>
      <c r="G1805" s="250"/>
      <c r="H1805" s="251"/>
      <c r="I1805" s="252"/>
      <c r="J1805" s="252"/>
      <c r="K1805" s="252"/>
      <c r="L1805" s="251"/>
      <c r="M1805" s="251"/>
      <c r="N1805" s="251"/>
      <c r="O1805" s="251"/>
      <c r="P1805" s="251"/>
      <c r="Q1805" s="251"/>
      <c r="R1805" s="251"/>
      <c r="S1805" s="251"/>
      <c r="T1805" s="251"/>
      <c r="U1805" s="251"/>
      <c r="V1805" s="251"/>
      <c r="W1805" s="251"/>
      <c r="X1805" s="251"/>
      <c r="Y1805" s="251"/>
      <c r="Z1805" s="251"/>
      <c r="AA1805" s="137"/>
      <c r="AB1805" s="137"/>
      <c r="AC1805" s="137"/>
      <c r="AD1805" s="137"/>
      <c r="AE1805" s="137"/>
      <c r="AF1805" s="137"/>
      <c r="AG1805" s="137"/>
    </row>
    <row r="1806" ht="30.0" customHeight="1">
      <c r="A1806" s="248"/>
      <c r="B1806" s="249"/>
      <c r="C1806" s="248"/>
      <c r="D1806" s="249"/>
      <c r="E1806" s="249"/>
      <c r="F1806" s="249"/>
      <c r="G1806" s="250"/>
      <c r="H1806" s="251"/>
      <c r="I1806" s="252"/>
      <c r="J1806" s="252"/>
      <c r="K1806" s="252"/>
      <c r="L1806" s="251"/>
      <c r="M1806" s="251"/>
      <c r="N1806" s="251"/>
      <c r="O1806" s="251"/>
      <c r="P1806" s="251"/>
      <c r="Q1806" s="251"/>
      <c r="R1806" s="251"/>
      <c r="S1806" s="251"/>
      <c r="T1806" s="251"/>
      <c r="U1806" s="251"/>
      <c r="V1806" s="251"/>
      <c r="W1806" s="251"/>
      <c r="X1806" s="251"/>
      <c r="Y1806" s="251"/>
      <c r="Z1806" s="251"/>
      <c r="AA1806" s="137"/>
      <c r="AB1806" s="137"/>
      <c r="AC1806" s="137"/>
      <c r="AD1806" s="137"/>
      <c r="AE1806" s="137"/>
      <c r="AF1806" s="137"/>
      <c r="AG1806" s="137"/>
    </row>
    <row r="1807" ht="30.0" customHeight="1">
      <c r="A1807" s="248"/>
      <c r="B1807" s="249"/>
      <c r="C1807" s="248"/>
      <c r="D1807" s="249"/>
      <c r="E1807" s="249"/>
      <c r="F1807" s="249"/>
      <c r="G1807" s="250"/>
      <c r="H1807" s="251"/>
      <c r="I1807" s="252"/>
      <c r="J1807" s="252"/>
      <c r="K1807" s="252"/>
      <c r="L1807" s="251"/>
      <c r="M1807" s="251"/>
      <c r="N1807" s="251"/>
      <c r="O1807" s="251"/>
      <c r="P1807" s="251"/>
      <c r="Q1807" s="251"/>
      <c r="R1807" s="251"/>
      <c r="S1807" s="251"/>
      <c r="T1807" s="251"/>
      <c r="U1807" s="251"/>
      <c r="V1807" s="251"/>
      <c r="W1807" s="251"/>
      <c r="X1807" s="251"/>
      <c r="Y1807" s="251"/>
      <c r="Z1807" s="251"/>
      <c r="AA1807" s="137"/>
      <c r="AB1807" s="137"/>
      <c r="AC1807" s="137"/>
      <c r="AD1807" s="137"/>
      <c r="AE1807" s="137"/>
      <c r="AF1807" s="137"/>
      <c r="AG1807" s="137"/>
    </row>
    <row r="1808" ht="30.0" customHeight="1">
      <c r="A1808" s="248"/>
      <c r="B1808" s="249"/>
      <c r="C1808" s="248"/>
      <c r="D1808" s="249"/>
      <c r="E1808" s="249"/>
      <c r="F1808" s="249"/>
      <c r="G1808" s="250"/>
      <c r="H1808" s="251"/>
      <c r="I1808" s="252"/>
      <c r="J1808" s="252"/>
      <c r="K1808" s="252"/>
      <c r="L1808" s="251"/>
      <c r="M1808" s="251"/>
      <c r="N1808" s="251"/>
      <c r="O1808" s="251"/>
      <c r="P1808" s="251"/>
      <c r="Q1808" s="251"/>
      <c r="R1808" s="251"/>
      <c r="S1808" s="251"/>
      <c r="T1808" s="251"/>
      <c r="U1808" s="251"/>
      <c r="V1808" s="251"/>
      <c r="W1808" s="251"/>
      <c r="X1808" s="251"/>
      <c r="Y1808" s="251"/>
      <c r="Z1808" s="251"/>
      <c r="AA1808" s="137"/>
      <c r="AB1808" s="137"/>
      <c r="AC1808" s="137"/>
      <c r="AD1808" s="137"/>
      <c r="AE1808" s="137"/>
      <c r="AF1808" s="137"/>
      <c r="AG1808" s="137"/>
    </row>
    <row r="1809" ht="30.0" customHeight="1">
      <c r="A1809" s="248"/>
      <c r="B1809" s="249"/>
      <c r="C1809" s="248"/>
      <c r="D1809" s="249"/>
      <c r="E1809" s="249"/>
      <c r="F1809" s="249"/>
      <c r="G1809" s="250"/>
      <c r="H1809" s="251"/>
      <c r="I1809" s="252"/>
      <c r="J1809" s="252"/>
      <c r="K1809" s="252"/>
      <c r="L1809" s="251"/>
      <c r="M1809" s="251"/>
      <c r="N1809" s="251"/>
      <c r="O1809" s="251"/>
      <c r="P1809" s="251"/>
      <c r="Q1809" s="251"/>
      <c r="R1809" s="251"/>
      <c r="S1809" s="251"/>
      <c r="T1809" s="251"/>
      <c r="U1809" s="251"/>
      <c r="V1809" s="251"/>
      <c r="W1809" s="251"/>
      <c r="X1809" s="251"/>
      <c r="Y1809" s="251"/>
      <c r="Z1809" s="251"/>
      <c r="AA1809" s="137"/>
      <c r="AB1809" s="137"/>
      <c r="AC1809" s="137"/>
      <c r="AD1809" s="137"/>
      <c r="AE1809" s="137"/>
      <c r="AF1809" s="137"/>
      <c r="AG1809" s="137"/>
    </row>
    <row r="1810" ht="30.0" customHeight="1">
      <c r="A1810" s="248"/>
      <c r="B1810" s="249"/>
      <c r="C1810" s="248"/>
      <c r="D1810" s="249"/>
      <c r="E1810" s="249"/>
      <c r="F1810" s="249"/>
      <c r="G1810" s="250"/>
      <c r="H1810" s="251"/>
      <c r="I1810" s="252"/>
      <c r="J1810" s="252"/>
      <c r="K1810" s="252"/>
      <c r="L1810" s="251"/>
      <c r="M1810" s="251"/>
      <c r="N1810" s="251"/>
      <c r="O1810" s="251"/>
      <c r="P1810" s="251"/>
      <c r="Q1810" s="251"/>
      <c r="R1810" s="251"/>
      <c r="S1810" s="251"/>
      <c r="T1810" s="251"/>
      <c r="U1810" s="251"/>
      <c r="V1810" s="251"/>
      <c r="W1810" s="251"/>
      <c r="X1810" s="251"/>
      <c r="Y1810" s="251"/>
      <c r="Z1810" s="251"/>
      <c r="AA1810" s="137"/>
      <c r="AB1810" s="137"/>
      <c r="AC1810" s="137"/>
      <c r="AD1810" s="137"/>
      <c r="AE1810" s="137"/>
      <c r="AF1810" s="137"/>
      <c r="AG1810" s="137"/>
    </row>
    <row r="1811" ht="30.0" customHeight="1">
      <c r="A1811" s="248"/>
      <c r="B1811" s="249"/>
      <c r="C1811" s="248"/>
      <c r="D1811" s="249"/>
      <c r="E1811" s="249"/>
      <c r="F1811" s="249"/>
      <c r="G1811" s="250"/>
      <c r="H1811" s="251"/>
      <c r="I1811" s="252"/>
      <c r="J1811" s="252"/>
      <c r="K1811" s="252"/>
      <c r="L1811" s="251"/>
      <c r="M1811" s="251"/>
      <c r="N1811" s="251"/>
      <c r="O1811" s="251"/>
      <c r="P1811" s="251"/>
      <c r="Q1811" s="251"/>
      <c r="R1811" s="251"/>
      <c r="S1811" s="251"/>
      <c r="T1811" s="251"/>
      <c r="U1811" s="251"/>
      <c r="V1811" s="251"/>
      <c r="W1811" s="251"/>
      <c r="X1811" s="251"/>
      <c r="Y1811" s="251"/>
      <c r="Z1811" s="251"/>
      <c r="AA1811" s="137"/>
      <c r="AB1811" s="137"/>
      <c r="AC1811" s="137"/>
      <c r="AD1811" s="137"/>
      <c r="AE1811" s="137"/>
      <c r="AF1811" s="137"/>
      <c r="AG1811" s="137"/>
    </row>
    <row r="1812" ht="30.0" customHeight="1">
      <c r="A1812" s="248"/>
      <c r="B1812" s="249"/>
      <c r="C1812" s="248"/>
      <c r="D1812" s="249"/>
      <c r="E1812" s="249"/>
      <c r="F1812" s="249"/>
      <c r="G1812" s="249"/>
      <c r="H1812" s="251"/>
      <c r="I1812" s="252"/>
      <c r="J1812" s="252"/>
      <c r="K1812" s="252"/>
      <c r="L1812" s="251"/>
      <c r="M1812" s="251"/>
      <c r="N1812" s="251"/>
      <c r="O1812" s="251"/>
      <c r="P1812" s="251"/>
      <c r="Q1812" s="251"/>
      <c r="R1812" s="251"/>
      <c r="S1812" s="251"/>
      <c r="T1812" s="251"/>
      <c r="U1812" s="251"/>
      <c r="V1812" s="251"/>
      <c r="W1812" s="251"/>
      <c r="X1812" s="251"/>
      <c r="Y1812" s="251"/>
      <c r="Z1812" s="251"/>
      <c r="AA1812" s="137"/>
      <c r="AB1812" s="137"/>
      <c r="AC1812" s="137"/>
      <c r="AD1812" s="137"/>
      <c r="AE1812" s="137"/>
      <c r="AF1812" s="137"/>
      <c r="AG1812" s="137"/>
    </row>
    <row r="1813" ht="30.0" customHeight="1">
      <c r="A1813" s="248"/>
      <c r="B1813" s="249"/>
      <c r="C1813" s="248"/>
      <c r="D1813" s="249"/>
      <c r="E1813" s="249"/>
      <c r="F1813" s="249"/>
      <c r="G1813" s="250"/>
      <c r="H1813" s="251"/>
      <c r="I1813" s="252"/>
      <c r="J1813" s="252"/>
      <c r="K1813" s="252"/>
      <c r="L1813" s="251"/>
      <c r="M1813" s="251"/>
      <c r="N1813" s="251"/>
      <c r="O1813" s="251"/>
      <c r="P1813" s="251"/>
      <c r="Q1813" s="251"/>
      <c r="R1813" s="251"/>
      <c r="S1813" s="251"/>
      <c r="T1813" s="251"/>
      <c r="U1813" s="251"/>
      <c r="V1813" s="251"/>
      <c r="W1813" s="251"/>
      <c r="X1813" s="251"/>
      <c r="Y1813" s="251"/>
      <c r="Z1813" s="251"/>
      <c r="AA1813" s="137"/>
      <c r="AB1813" s="137"/>
      <c r="AC1813" s="137"/>
      <c r="AD1813" s="137"/>
      <c r="AE1813" s="137"/>
      <c r="AF1813" s="137"/>
      <c r="AG1813" s="137"/>
    </row>
    <row r="1814" ht="30.0" customHeight="1">
      <c r="A1814" s="248"/>
      <c r="B1814" s="249"/>
      <c r="C1814" s="248"/>
      <c r="D1814" s="249"/>
      <c r="E1814" s="249"/>
      <c r="F1814" s="249"/>
      <c r="G1814" s="250"/>
      <c r="H1814" s="251"/>
      <c r="I1814" s="252"/>
      <c r="J1814" s="252"/>
      <c r="K1814" s="252"/>
      <c r="L1814" s="251"/>
      <c r="M1814" s="251"/>
      <c r="N1814" s="251"/>
      <c r="O1814" s="251"/>
      <c r="P1814" s="251"/>
      <c r="Q1814" s="251"/>
      <c r="R1814" s="251"/>
      <c r="S1814" s="251"/>
      <c r="T1814" s="251"/>
      <c r="U1814" s="251"/>
      <c r="V1814" s="251"/>
      <c r="W1814" s="251"/>
      <c r="X1814" s="251"/>
      <c r="Y1814" s="251"/>
      <c r="Z1814" s="251"/>
      <c r="AA1814" s="137"/>
      <c r="AB1814" s="137"/>
      <c r="AC1814" s="137"/>
      <c r="AD1814" s="137"/>
      <c r="AE1814" s="137"/>
      <c r="AF1814" s="137"/>
      <c r="AG1814" s="137"/>
    </row>
    <row r="1815" ht="30.0" customHeight="1">
      <c r="A1815" s="248"/>
      <c r="B1815" s="249"/>
      <c r="C1815" s="248"/>
      <c r="D1815" s="249"/>
      <c r="E1815" s="249"/>
      <c r="F1815" s="249"/>
      <c r="G1815" s="250"/>
      <c r="H1815" s="251"/>
      <c r="I1815" s="252"/>
      <c r="J1815" s="252"/>
      <c r="K1815" s="252"/>
      <c r="L1815" s="251"/>
      <c r="M1815" s="251"/>
      <c r="N1815" s="251"/>
      <c r="O1815" s="251"/>
      <c r="P1815" s="251"/>
      <c r="Q1815" s="251"/>
      <c r="R1815" s="251"/>
      <c r="S1815" s="251"/>
      <c r="T1815" s="251"/>
      <c r="U1815" s="251"/>
      <c r="V1815" s="251"/>
      <c r="W1815" s="251"/>
      <c r="X1815" s="251"/>
      <c r="Y1815" s="251"/>
      <c r="Z1815" s="251"/>
      <c r="AA1815" s="137"/>
      <c r="AB1815" s="137"/>
      <c r="AC1815" s="137"/>
      <c r="AD1815" s="137"/>
      <c r="AE1815" s="137"/>
      <c r="AF1815" s="137"/>
      <c r="AG1815" s="137"/>
    </row>
    <row r="1816" ht="30.0" customHeight="1">
      <c r="A1816" s="248"/>
      <c r="B1816" s="249"/>
      <c r="C1816" s="248"/>
      <c r="D1816" s="249"/>
      <c r="E1816" s="249"/>
      <c r="F1816" s="249"/>
      <c r="G1816" s="250"/>
      <c r="H1816" s="251"/>
      <c r="I1816" s="252"/>
      <c r="J1816" s="252"/>
      <c r="K1816" s="252"/>
      <c r="L1816" s="251"/>
      <c r="M1816" s="251"/>
      <c r="N1816" s="251"/>
      <c r="O1816" s="251"/>
      <c r="P1816" s="251"/>
      <c r="Q1816" s="251"/>
      <c r="R1816" s="251"/>
      <c r="S1816" s="251"/>
      <c r="T1816" s="251"/>
      <c r="U1816" s="251"/>
      <c r="V1816" s="251"/>
      <c r="W1816" s="251"/>
      <c r="X1816" s="251"/>
      <c r="Y1816" s="251"/>
      <c r="Z1816" s="251"/>
      <c r="AA1816" s="137"/>
      <c r="AB1816" s="137"/>
      <c r="AC1816" s="137"/>
      <c r="AD1816" s="137"/>
      <c r="AE1816" s="137"/>
      <c r="AF1816" s="137"/>
      <c r="AG1816" s="137"/>
    </row>
    <row r="1817" ht="30.0" customHeight="1">
      <c r="A1817" s="248"/>
      <c r="B1817" s="249"/>
      <c r="C1817" s="248"/>
      <c r="D1817" s="249"/>
      <c r="E1817" s="249"/>
      <c r="F1817" s="249"/>
      <c r="G1817" s="250"/>
      <c r="H1817" s="251"/>
      <c r="I1817" s="252"/>
      <c r="J1817" s="252"/>
      <c r="K1817" s="252"/>
      <c r="L1817" s="251"/>
      <c r="M1817" s="251"/>
      <c r="N1817" s="251"/>
      <c r="O1817" s="251"/>
      <c r="P1817" s="251"/>
      <c r="Q1817" s="251"/>
      <c r="R1817" s="251"/>
      <c r="S1817" s="251"/>
      <c r="T1817" s="251"/>
      <c r="U1817" s="251"/>
      <c r="V1817" s="251"/>
      <c r="W1817" s="251"/>
      <c r="X1817" s="251"/>
      <c r="Y1817" s="251"/>
      <c r="Z1817" s="251"/>
      <c r="AA1817" s="137"/>
      <c r="AB1817" s="137"/>
      <c r="AC1817" s="137"/>
      <c r="AD1817" s="137"/>
      <c r="AE1817" s="137"/>
      <c r="AF1817" s="137"/>
      <c r="AG1817" s="137"/>
    </row>
    <row r="1818" ht="30.0" customHeight="1">
      <c r="A1818" s="248"/>
      <c r="B1818" s="249"/>
      <c r="C1818" s="248"/>
      <c r="D1818" s="249"/>
      <c r="E1818" s="249"/>
      <c r="F1818" s="249"/>
      <c r="G1818" s="250"/>
      <c r="H1818" s="251"/>
      <c r="I1818" s="252"/>
      <c r="J1818" s="252"/>
      <c r="K1818" s="252"/>
      <c r="L1818" s="251"/>
      <c r="M1818" s="251"/>
      <c r="N1818" s="251"/>
      <c r="O1818" s="251"/>
      <c r="P1818" s="251"/>
      <c r="Q1818" s="251"/>
      <c r="R1818" s="251"/>
      <c r="S1818" s="251"/>
      <c r="T1818" s="251"/>
      <c r="U1818" s="251"/>
      <c r="V1818" s="251"/>
      <c r="W1818" s="251"/>
      <c r="X1818" s="251"/>
      <c r="Y1818" s="251"/>
      <c r="Z1818" s="251"/>
      <c r="AA1818" s="137"/>
      <c r="AB1818" s="137"/>
      <c r="AC1818" s="137"/>
      <c r="AD1818" s="137"/>
      <c r="AE1818" s="137"/>
      <c r="AF1818" s="137"/>
      <c r="AG1818" s="137"/>
    </row>
    <row r="1819" ht="30.0" customHeight="1">
      <c r="A1819" s="248"/>
      <c r="B1819" s="249"/>
      <c r="C1819" s="248"/>
      <c r="D1819" s="249"/>
      <c r="E1819" s="249"/>
      <c r="F1819" s="249"/>
      <c r="G1819" s="250"/>
      <c r="H1819" s="251"/>
      <c r="I1819" s="252"/>
      <c r="J1819" s="252"/>
      <c r="K1819" s="252"/>
      <c r="L1819" s="251"/>
      <c r="M1819" s="251"/>
      <c r="N1819" s="251"/>
      <c r="O1819" s="251"/>
      <c r="P1819" s="251"/>
      <c r="Q1819" s="251"/>
      <c r="R1819" s="251"/>
      <c r="S1819" s="251"/>
      <c r="T1819" s="251"/>
      <c r="U1819" s="251"/>
      <c r="V1819" s="251"/>
      <c r="W1819" s="251"/>
      <c r="X1819" s="251"/>
      <c r="Y1819" s="251"/>
      <c r="Z1819" s="251"/>
      <c r="AA1819" s="137"/>
      <c r="AB1819" s="137"/>
      <c r="AC1819" s="137"/>
      <c r="AD1819" s="137"/>
      <c r="AE1819" s="137"/>
      <c r="AF1819" s="137"/>
      <c r="AG1819" s="137"/>
    </row>
    <row r="1820" ht="30.0" customHeight="1">
      <c r="A1820" s="248"/>
      <c r="B1820" s="249"/>
      <c r="C1820" s="248"/>
      <c r="D1820" s="249"/>
      <c r="E1820" s="249"/>
      <c r="F1820" s="249"/>
      <c r="G1820" s="250"/>
      <c r="H1820" s="251"/>
      <c r="I1820" s="252"/>
      <c r="J1820" s="252"/>
      <c r="K1820" s="252"/>
      <c r="L1820" s="251"/>
      <c r="M1820" s="251"/>
      <c r="N1820" s="251"/>
      <c r="O1820" s="251"/>
      <c r="P1820" s="251"/>
      <c r="Q1820" s="251"/>
      <c r="R1820" s="251"/>
      <c r="S1820" s="251"/>
      <c r="T1820" s="251"/>
      <c r="U1820" s="251"/>
      <c r="V1820" s="251"/>
      <c r="W1820" s="251"/>
      <c r="X1820" s="251"/>
      <c r="Y1820" s="251"/>
      <c r="Z1820" s="251"/>
      <c r="AA1820" s="137"/>
      <c r="AB1820" s="137"/>
      <c r="AC1820" s="137"/>
      <c r="AD1820" s="137"/>
      <c r="AE1820" s="137"/>
      <c r="AF1820" s="137"/>
      <c r="AG1820" s="137"/>
    </row>
    <row r="1821" ht="30.0" customHeight="1">
      <c r="A1821" s="248"/>
      <c r="B1821" s="249"/>
      <c r="C1821" s="248"/>
      <c r="D1821" s="249"/>
      <c r="E1821" s="249"/>
      <c r="F1821" s="249"/>
      <c r="G1821" s="250"/>
      <c r="H1821" s="251"/>
      <c r="I1821" s="252"/>
      <c r="J1821" s="252"/>
      <c r="K1821" s="252"/>
      <c r="L1821" s="251"/>
      <c r="M1821" s="251"/>
      <c r="N1821" s="251"/>
      <c r="O1821" s="251"/>
      <c r="P1821" s="251"/>
      <c r="Q1821" s="251"/>
      <c r="R1821" s="251"/>
      <c r="S1821" s="251"/>
      <c r="T1821" s="251"/>
      <c r="U1821" s="251"/>
      <c r="V1821" s="251"/>
      <c r="W1821" s="251"/>
      <c r="X1821" s="251"/>
      <c r="Y1821" s="251"/>
      <c r="Z1821" s="251"/>
      <c r="AA1821" s="137"/>
      <c r="AB1821" s="137"/>
      <c r="AC1821" s="137"/>
      <c r="AD1821" s="137"/>
      <c r="AE1821" s="137"/>
      <c r="AF1821" s="137"/>
      <c r="AG1821" s="137"/>
    </row>
    <row r="1822" ht="30.0" customHeight="1">
      <c r="A1822" s="248"/>
      <c r="B1822" s="249"/>
      <c r="C1822" s="248"/>
      <c r="D1822" s="249"/>
      <c r="E1822" s="249"/>
      <c r="F1822" s="249"/>
      <c r="G1822" s="249"/>
      <c r="H1822" s="251"/>
      <c r="I1822" s="252"/>
      <c r="J1822" s="252"/>
      <c r="K1822" s="252"/>
      <c r="L1822" s="251"/>
      <c r="M1822" s="251"/>
      <c r="N1822" s="251"/>
      <c r="O1822" s="251"/>
      <c r="P1822" s="251"/>
      <c r="Q1822" s="251"/>
      <c r="R1822" s="251"/>
      <c r="S1822" s="251"/>
      <c r="T1822" s="251"/>
      <c r="U1822" s="251"/>
      <c r="V1822" s="251"/>
      <c r="W1822" s="251"/>
      <c r="X1822" s="251"/>
      <c r="Y1822" s="251"/>
      <c r="Z1822" s="251"/>
      <c r="AA1822" s="137"/>
      <c r="AB1822" s="137"/>
      <c r="AC1822" s="137"/>
      <c r="AD1822" s="137"/>
      <c r="AE1822" s="137"/>
      <c r="AF1822" s="137"/>
      <c r="AG1822" s="137"/>
    </row>
    <row r="1823" ht="30.0" customHeight="1">
      <c r="A1823" s="248"/>
      <c r="B1823" s="249"/>
      <c r="C1823" s="248"/>
      <c r="D1823" s="249"/>
      <c r="E1823" s="249"/>
      <c r="F1823" s="249"/>
      <c r="G1823" s="250"/>
      <c r="H1823" s="251"/>
      <c r="I1823" s="252"/>
      <c r="J1823" s="252"/>
      <c r="K1823" s="252"/>
      <c r="L1823" s="251"/>
      <c r="M1823" s="251"/>
      <c r="N1823" s="251"/>
      <c r="O1823" s="251"/>
      <c r="P1823" s="251"/>
      <c r="Q1823" s="251"/>
      <c r="R1823" s="251"/>
      <c r="S1823" s="251"/>
      <c r="T1823" s="251"/>
      <c r="U1823" s="251"/>
      <c r="V1823" s="251"/>
      <c r="W1823" s="251"/>
      <c r="X1823" s="251"/>
      <c r="Y1823" s="251"/>
      <c r="Z1823" s="251"/>
      <c r="AA1823" s="137"/>
      <c r="AB1823" s="137"/>
      <c r="AC1823" s="137"/>
      <c r="AD1823" s="137"/>
      <c r="AE1823" s="137"/>
      <c r="AF1823" s="137"/>
      <c r="AG1823" s="137"/>
    </row>
    <row r="1824" ht="30.0" customHeight="1">
      <c r="A1824" s="248"/>
      <c r="B1824" s="249"/>
      <c r="C1824" s="248"/>
      <c r="D1824" s="249"/>
      <c r="E1824" s="249"/>
      <c r="F1824" s="249"/>
      <c r="G1824" s="249"/>
      <c r="H1824" s="251"/>
      <c r="I1824" s="252"/>
      <c r="J1824" s="252"/>
      <c r="K1824" s="252"/>
      <c r="L1824" s="251"/>
      <c r="M1824" s="251"/>
      <c r="N1824" s="251"/>
      <c r="O1824" s="251"/>
      <c r="P1824" s="251"/>
      <c r="Q1824" s="251"/>
      <c r="R1824" s="251"/>
      <c r="S1824" s="251"/>
      <c r="T1824" s="251"/>
      <c r="U1824" s="251"/>
      <c r="V1824" s="251"/>
      <c r="W1824" s="251"/>
      <c r="X1824" s="251"/>
      <c r="Y1824" s="251"/>
      <c r="Z1824" s="251"/>
      <c r="AA1824" s="137"/>
      <c r="AB1824" s="137"/>
      <c r="AC1824" s="137"/>
      <c r="AD1824" s="137"/>
      <c r="AE1824" s="137"/>
      <c r="AF1824" s="137"/>
      <c r="AG1824" s="137"/>
    </row>
    <row r="1825" ht="30.0" customHeight="1">
      <c r="A1825" s="248"/>
      <c r="B1825" s="249"/>
      <c r="C1825" s="248"/>
      <c r="D1825" s="249"/>
      <c r="E1825" s="249"/>
      <c r="F1825" s="249"/>
      <c r="G1825" s="249"/>
      <c r="H1825" s="251"/>
      <c r="I1825" s="252"/>
      <c r="J1825" s="252"/>
      <c r="K1825" s="252"/>
      <c r="L1825" s="251"/>
      <c r="M1825" s="251"/>
      <c r="N1825" s="251"/>
      <c r="O1825" s="251"/>
      <c r="P1825" s="251"/>
      <c r="Q1825" s="251"/>
      <c r="R1825" s="251"/>
      <c r="S1825" s="251"/>
      <c r="T1825" s="251"/>
      <c r="U1825" s="251"/>
      <c r="V1825" s="251"/>
      <c r="W1825" s="251"/>
      <c r="X1825" s="251"/>
      <c r="Y1825" s="251"/>
      <c r="Z1825" s="251"/>
      <c r="AA1825" s="137"/>
      <c r="AB1825" s="137"/>
      <c r="AC1825" s="137"/>
      <c r="AD1825" s="137"/>
      <c r="AE1825" s="137"/>
      <c r="AF1825" s="137"/>
      <c r="AG1825" s="137"/>
    </row>
    <row r="1826" ht="30.0" customHeight="1">
      <c r="A1826" s="248"/>
      <c r="B1826" s="249"/>
      <c r="C1826" s="248"/>
      <c r="D1826" s="249"/>
      <c r="E1826" s="249"/>
      <c r="F1826" s="249"/>
      <c r="G1826" s="250"/>
      <c r="H1826" s="251"/>
      <c r="I1826" s="252"/>
      <c r="J1826" s="252"/>
      <c r="K1826" s="252"/>
      <c r="L1826" s="251"/>
      <c r="M1826" s="251"/>
      <c r="N1826" s="251"/>
      <c r="O1826" s="251"/>
      <c r="P1826" s="251"/>
      <c r="Q1826" s="251"/>
      <c r="R1826" s="251"/>
      <c r="S1826" s="251"/>
      <c r="T1826" s="251"/>
      <c r="U1826" s="251"/>
      <c r="V1826" s="251"/>
      <c r="W1826" s="251"/>
      <c r="X1826" s="251"/>
      <c r="Y1826" s="251"/>
      <c r="Z1826" s="251"/>
      <c r="AA1826" s="137"/>
      <c r="AB1826" s="137"/>
      <c r="AC1826" s="137"/>
      <c r="AD1826" s="137"/>
      <c r="AE1826" s="137"/>
      <c r="AF1826" s="137"/>
      <c r="AG1826" s="137"/>
    </row>
    <row r="1827" ht="30.0" customHeight="1">
      <c r="A1827" s="248"/>
      <c r="B1827" s="249"/>
      <c r="C1827" s="248"/>
      <c r="D1827" s="249"/>
      <c r="E1827" s="249"/>
      <c r="F1827" s="249"/>
      <c r="G1827" s="250"/>
      <c r="H1827" s="251"/>
      <c r="I1827" s="252"/>
      <c r="J1827" s="252"/>
      <c r="K1827" s="252"/>
      <c r="L1827" s="251"/>
      <c r="M1827" s="251"/>
      <c r="N1827" s="251"/>
      <c r="O1827" s="251"/>
      <c r="P1827" s="251"/>
      <c r="Q1827" s="251"/>
      <c r="R1827" s="251"/>
      <c r="S1827" s="251"/>
      <c r="T1827" s="251"/>
      <c r="U1827" s="251"/>
      <c r="V1827" s="251"/>
      <c r="W1827" s="251"/>
      <c r="X1827" s="251"/>
      <c r="Y1827" s="251"/>
      <c r="Z1827" s="251"/>
      <c r="AA1827" s="137"/>
      <c r="AB1827" s="137"/>
      <c r="AC1827" s="137"/>
      <c r="AD1827" s="137"/>
      <c r="AE1827" s="137"/>
      <c r="AF1827" s="137"/>
      <c r="AG1827" s="137"/>
    </row>
    <row r="1828" ht="30.0" customHeight="1">
      <c r="A1828" s="248"/>
      <c r="B1828" s="249"/>
      <c r="C1828" s="248"/>
      <c r="D1828" s="249"/>
      <c r="E1828" s="249"/>
      <c r="F1828" s="249"/>
      <c r="G1828" s="250"/>
      <c r="H1828" s="251"/>
      <c r="I1828" s="252"/>
      <c r="J1828" s="252"/>
      <c r="K1828" s="252"/>
      <c r="L1828" s="251"/>
      <c r="M1828" s="251"/>
      <c r="N1828" s="251"/>
      <c r="O1828" s="251"/>
      <c r="P1828" s="251"/>
      <c r="Q1828" s="251"/>
      <c r="R1828" s="251"/>
      <c r="S1828" s="251"/>
      <c r="T1828" s="251"/>
      <c r="U1828" s="251"/>
      <c r="V1828" s="251"/>
      <c r="W1828" s="251"/>
      <c r="X1828" s="251"/>
      <c r="Y1828" s="251"/>
      <c r="Z1828" s="251"/>
      <c r="AA1828" s="137"/>
      <c r="AB1828" s="137"/>
      <c r="AC1828" s="137"/>
      <c r="AD1828" s="137"/>
      <c r="AE1828" s="137"/>
      <c r="AF1828" s="137"/>
      <c r="AG1828" s="137"/>
    </row>
    <row r="1829" ht="30.0" customHeight="1">
      <c r="A1829" s="248"/>
      <c r="B1829" s="249"/>
      <c r="C1829" s="248"/>
      <c r="D1829" s="249"/>
      <c r="E1829" s="249"/>
      <c r="F1829" s="249"/>
      <c r="G1829" s="250"/>
      <c r="H1829" s="251"/>
      <c r="I1829" s="252"/>
      <c r="J1829" s="252"/>
      <c r="K1829" s="252"/>
      <c r="L1829" s="251"/>
      <c r="M1829" s="251"/>
      <c r="N1829" s="251"/>
      <c r="O1829" s="251"/>
      <c r="P1829" s="251"/>
      <c r="Q1829" s="251"/>
      <c r="R1829" s="251"/>
      <c r="S1829" s="251"/>
      <c r="T1829" s="251"/>
      <c r="U1829" s="251"/>
      <c r="V1829" s="251"/>
      <c r="W1829" s="251"/>
      <c r="X1829" s="251"/>
      <c r="Y1829" s="251"/>
      <c r="Z1829" s="251"/>
      <c r="AA1829" s="137"/>
      <c r="AB1829" s="137"/>
      <c r="AC1829" s="137"/>
      <c r="AD1829" s="137"/>
      <c r="AE1829" s="137"/>
      <c r="AF1829" s="137"/>
      <c r="AG1829" s="137"/>
    </row>
    <row r="1830" ht="30.0" customHeight="1">
      <c r="A1830" s="248"/>
      <c r="B1830" s="249"/>
      <c r="C1830" s="248"/>
      <c r="D1830" s="249"/>
      <c r="E1830" s="249"/>
      <c r="F1830" s="249"/>
      <c r="G1830" s="250"/>
      <c r="H1830" s="251"/>
      <c r="I1830" s="252"/>
      <c r="J1830" s="252"/>
      <c r="K1830" s="252"/>
      <c r="L1830" s="251"/>
      <c r="M1830" s="251"/>
      <c r="N1830" s="251"/>
      <c r="O1830" s="251"/>
      <c r="P1830" s="251"/>
      <c r="Q1830" s="251"/>
      <c r="R1830" s="251"/>
      <c r="S1830" s="251"/>
      <c r="T1830" s="251"/>
      <c r="U1830" s="251"/>
      <c r="V1830" s="251"/>
      <c r="W1830" s="251"/>
      <c r="X1830" s="251"/>
      <c r="Y1830" s="251"/>
      <c r="Z1830" s="251"/>
      <c r="AA1830" s="137"/>
      <c r="AB1830" s="137"/>
      <c r="AC1830" s="137"/>
      <c r="AD1830" s="137"/>
      <c r="AE1830" s="137"/>
      <c r="AF1830" s="137"/>
      <c r="AG1830" s="137"/>
    </row>
    <row r="1831" ht="30.0" customHeight="1">
      <c r="A1831" s="248"/>
      <c r="B1831" s="249"/>
      <c r="C1831" s="248"/>
      <c r="D1831" s="249"/>
      <c r="E1831" s="249"/>
      <c r="F1831" s="249"/>
      <c r="G1831" s="250"/>
      <c r="H1831" s="251"/>
      <c r="I1831" s="252"/>
      <c r="J1831" s="252"/>
      <c r="K1831" s="252"/>
      <c r="L1831" s="251"/>
      <c r="M1831" s="251"/>
      <c r="N1831" s="251"/>
      <c r="O1831" s="251"/>
      <c r="P1831" s="251"/>
      <c r="Q1831" s="251"/>
      <c r="R1831" s="251"/>
      <c r="S1831" s="251"/>
      <c r="T1831" s="251"/>
      <c r="U1831" s="251"/>
      <c r="V1831" s="251"/>
      <c r="W1831" s="251"/>
      <c r="X1831" s="251"/>
      <c r="Y1831" s="251"/>
      <c r="Z1831" s="251"/>
      <c r="AA1831" s="137"/>
      <c r="AB1831" s="137"/>
      <c r="AC1831" s="137"/>
      <c r="AD1831" s="137"/>
      <c r="AE1831" s="137"/>
      <c r="AF1831" s="137"/>
      <c r="AG1831" s="137"/>
    </row>
    <row r="1832" ht="30.0" customHeight="1">
      <c r="A1832" s="248"/>
      <c r="B1832" s="249"/>
      <c r="C1832" s="248"/>
      <c r="D1832" s="249"/>
      <c r="E1832" s="249"/>
      <c r="F1832" s="249"/>
      <c r="G1832" s="250"/>
      <c r="H1832" s="251"/>
      <c r="I1832" s="252"/>
      <c r="J1832" s="252"/>
      <c r="K1832" s="252"/>
      <c r="L1832" s="251"/>
      <c r="M1832" s="251"/>
      <c r="N1832" s="251"/>
      <c r="O1832" s="251"/>
      <c r="P1832" s="251"/>
      <c r="Q1832" s="251"/>
      <c r="R1832" s="251"/>
      <c r="S1832" s="251"/>
      <c r="T1832" s="251"/>
      <c r="U1832" s="251"/>
      <c r="V1832" s="251"/>
      <c r="W1832" s="251"/>
      <c r="X1832" s="251"/>
      <c r="Y1832" s="251"/>
      <c r="Z1832" s="251"/>
      <c r="AA1832" s="137"/>
      <c r="AB1832" s="137"/>
      <c r="AC1832" s="137"/>
      <c r="AD1832" s="137"/>
      <c r="AE1832" s="137"/>
      <c r="AF1832" s="137"/>
      <c r="AG1832" s="137"/>
    </row>
    <row r="1833" ht="30.0" customHeight="1">
      <c r="A1833" s="248"/>
      <c r="B1833" s="249"/>
      <c r="C1833" s="248"/>
      <c r="D1833" s="249"/>
      <c r="E1833" s="249"/>
      <c r="F1833" s="249"/>
      <c r="G1833" s="250"/>
      <c r="H1833" s="251"/>
      <c r="I1833" s="252"/>
      <c r="J1833" s="252"/>
      <c r="K1833" s="252"/>
      <c r="L1833" s="251"/>
      <c r="M1833" s="251"/>
      <c r="N1833" s="251"/>
      <c r="O1833" s="251"/>
      <c r="P1833" s="251"/>
      <c r="Q1833" s="251"/>
      <c r="R1833" s="251"/>
      <c r="S1833" s="251"/>
      <c r="T1833" s="251"/>
      <c r="U1833" s="251"/>
      <c r="V1833" s="251"/>
      <c r="W1833" s="251"/>
      <c r="X1833" s="251"/>
      <c r="Y1833" s="251"/>
      <c r="Z1833" s="251"/>
      <c r="AA1833" s="137"/>
      <c r="AB1833" s="137"/>
      <c r="AC1833" s="137"/>
      <c r="AD1833" s="137"/>
      <c r="AE1833" s="137"/>
      <c r="AF1833" s="137"/>
      <c r="AG1833" s="137"/>
    </row>
    <row r="1834" ht="30.0" customHeight="1">
      <c r="A1834" s="248"/>
      <c r="B1834" s="249"/>
      <c r="C1834" s="248"/>
      <c r="D1834" s="249"/>
      <c r="E1834" s="249"/>
      <c r="F1834" s="249"/>
      <c r="G1834" s="250"/>
      <c r="H1834" s="251"/>
      <c r="I1834" s="252"/>
      <c r="J1834" s="252"/>
      <c r="K1834" s="252"/>
      <c r="L1834" s="251"/>
      <c r="M1834" s="251"/>
      <c r="N1834" s="251"/>
      <c r="O1834" s="251"/>
      <c r="P1834" s="251"/>
      <c r="Q1834" s="251"/>
      <c r="R1834" s="251"/>
      <c r="S1834" s="251"/>
      <c r="T1834" s="251"/>
      <c r="U1834" s="251"/>
      <c r="V1834" s="251"/>
      <c r="W1834" s="251"/>
      <c r="X1834" s="251"/>
      <c r="Y1834" s="251"/>
      <c r="Z1834" s="251"/>
      <c r="AA1834" s="137"/>
      <c r="AB1834" s="137"/>
      <c r="AC1834" s="137"/>
      <c r="AD1834" s="137"/>
      <c r="AE1834" s="137"/>
      <c r="AF1834" s="137"/>
      <c r="AG1834" s="137"/>
    </row>
    <row r="1835" ht="30.0" customHeight="1">
      <c r="A1835" s="248"/>
      <c r="B1835" s="249"/>
      <c r="C1835" s="248"/>
      <c r="D1835" s="249"/>
      <c r="E1835" s="249"/>
      <c r="F1835" s="249"/>
      <c r="G1835" s="250"/>
      <c r="H1835" s="251"/>
      <c r="I1835" s="252"/>
      <c r="J1835" s="252"/>
      <c r="K1835" s="252"/>
      <c r="L1835" s="251"/>
      <c r="M1835" s="251"/>
      <c r="N1835" s="251"/>
      <c r="O1835" s="251"/>
      <c r="P1835" s="251"/>
      <c r="Q1835" s="251"/>
      <c r="R1835" s="251"/>
      <c r="S1835" s="251"/>
      <c r="T1835" s="251"/>
      <c r="U1835" s="251"/>
      <c r="V1835" s="251"/>
      <c r="W1835" s="251"/>
      <c r="X1835" s="251"/>
      <c r="Y1835" s="251"/>
      <c r="Z1835" s="251"/>
      <c r="AA1835" s="137"/>
      <c r="AB1835" s="137"/>
      <c r="AC1835" s="137"/>
      <c r="AD1835" s="137"/>
      <c r="AE1835" s="137"/>
      <c r="AF1835" s="137"/>
      <c r="AG1835" s="137"/>
    </row>
    <row r="1836" ht="30.0" customHeight="1">
      <c r="A1836" s="248"/>
      <c r="B1836" s="249"/>
      <c r="C1836" s="248"/>
      <c r="D1836" s="249"/>
      <c r="E1836" s="249"/>
      <c r="F1836" s="249"/>
      <c r="G1836" s="250"/>
      <c r="H1836" s="251"/>
      <c r="I1836" s="252"/>
      <c r="J1836" s="252"/>
      <c r="K1836" s="252"/>
      <c r="L1836" s="251"/>
      <c r="M1836" s="251"/>
      <c r="N1836" s="251"/>
      <c r="O1836" s="251"/>
      <c r="P1836" s="251"/>
      <c r="Q1836" s="251"/>
      <c r="R1836" s="251"/>
      <c r="S1836" s="251"/>
      <c r="T1836" s="251"/>
      <c r="U1836" s="251"/>
      <c r="V1836" s="251"/>
      <c r="W1836" s="251"/>
      <c r="X1836" s="251"/>
      <c r="Y1836" s="251"/>
      <c r="Z1836" s="251"/>
      <c r="AA1836" s="137"/>
      <c r="AB1836" s="137"/>
      <c r="AC1836" s="137"/>
      <c r="AD1836" s="137"/>
      <c r="AE1836" s="137"/>
      <c r="AF1836" s="137"/>
      <c r="AG1836" s="137"/>
    </row>
    <row r="1837" ht="30.0" customHeight="1">
      <c r="A1837" s="248"/>
      <c r="B1837" s="249"/>
      <c r="C1837" s="248"/>
      <c r="D1837" s="249"/>
      <c r="E1837" s="249"/>
      <c r="F1837" s="249"/>
      <c r="G1837" s="250"/>
      <c r="H1837" s="251"/>
      <c r="I1837" s="252"/>
      <c r="J1837" s="252"/>
      <c r="K1837" s="252"/>
      <c r="L1837" s="251"/>
      <c r="M1837" s="251"/>
      <c r="N1837" s="251"/>
      <c r="O1837" s="251"/>
      <c r="P1837" s="251"/>
      <c r="Q1837" s="251"/>
      <c r="R1837" s="251"/>
      <c r="S1837" s="251"/>
      <c r="T1837" s="251"/>
      <c r="U1837" s="251"/>
      <c r="V1837" s="251"/>
      <c r="W1837" s="251"/>
      <c r="X1837" s="251"/>
      <c r="Y1837" s="251"/>
      <c r="Z1837" s="251"/>
      <c r="AA1837" s="137"/>
      <c r="AB1837" s="137"/>
      <c r="AC1837" s="137"/>
      <c r="AD1837" s="137"/>
      <c r="AE1837" s="137"/>
      <c r="AF1837" s="137"/>
      <c r="AG1837" s="137"/>
    </row>
    <row r="1838" ht="30.0" customHeight="1">
      <c r="A1838" s="248"/>
      <c r="B1838" s="249"/>
      <c r="C1838" s="248"/>
      <c r="D1838" s="249"/>
      <c r="E1838" s="249"/>
      <c r="F1838" s="249"/>
      <c r="G1838" s="249"/>
      <c r="H1838" s="251"/>
      <c r="I1838" s="252"/>
      <c r="J1838" s="252"/>
      <c r="K1838" s="252"/>
      <c r="L1838" s="251"/>
      <c r="M1838" s="251"/>
      <c r="N1838" s="251"/>
      <c r="O1838" s="251"/>
      <c r="P1838" s="251"/>
      <c r="Q1838" s="251"/>
      <c r="R1838" s="251"/>
      <c r="S1838" s="251"/>
      <c r="T1838" s="251"/>
      <c r="U1838" s="251"/>
      <c r="V1838" s="251"/>
      <c r="W1838" s="251"/>
      <c r="X1838" s="251"/>
      <c r="Y1838" s="251"/>
      <c r="Z1838" s="251"/>
      <c r="AA1838" s="137"/>
      <c r="AB1838" s="137"/>
      <c r="AC1838" s="137"/>
      <c r="AD1838" s="137"/>
      <c r="AE1838" s="137"/>
      <c r="AF1838" s="137"/>
      <c r="AG1838" s="137"/>
    </row>
    <row r="1839" ht="30.0" customHeight="1">
      <c r="A1839" s="248"/>
      <c r="B1839" s="249"/>
      <c r="C1839" s="248"/>
      <c r="D1839" s="249"/>
      <c r="E1839" s="249"/>
      <c r="F1839" s="249"/>
      <c r="G1839" s="250"/>
      <c r="H1839" s="251"/>
      <c r="I1839" s="252"/>
      <c r="J1839" s="252"/>
      <c r="K1839" s="252"/>
      <c r="L1839" s="251"/>
      <c r="M1839" s="251"/>
      <c r="N1839" s="251"/>
      <c r="O1839" s="251"/>
      <c r="P1839" s="251"/>
      <c r="Q1839" s="251"/>
      <c r="R1839" s="251"/>
      <c r="S1839" s="251"/>
      <c r="T1839" s="251"/>
      <c r="U1839" s="251"/>
      <c r="V1839" s="251"/>
      <c r="W1839" s="251"/>
      <c r="X1839" s="251"/>
      <c r="Y1839" s="251"/>
      <c r="Z1839" s="251"/>
      <c r="AA1839" s="137"/>
      <c r="AB1839" s="137"/>
      <c r="AC1839" s="137"/>
      <c r="AD1839" s="137"/>
      <c r="AE1839" s="137"/>
      <c r="AF1839" s="137"/>
      <c r="AG1839" s="137"/>
    </row>
    <row r="1840" ht="30.0" customHeight="1">
      <c r="A1840" s="248"/>
      <c r="B1840" s="249"/>
      <c r="C1840" s="248"/>
      <c r="D1840" s="249"/>
      <c r="E1840" s="249"/>
      <c r="F1840" s="249"/>
      <c r="G1840" s="250"/>
      <c r="H1840" s="251"/>
      <c r="I1840" s="252"/>
      <c r="J1840" s="252"/>
      <c r="K1840" s="252"/>
      <c r="L1840" s="251"/>
      <c r="M1840" s="251"/>
      <c r="N1840" s="251"/>
      <c r="O1840" s="251"/>
      <c r="P1840" s="251"/>
      <c r="Q1840" s="251"/>
      <c r="R1840" s="251"/>
      <c r="S1840" s="251"/>
      <c r="T1840" s="251"/>
      <c r="U1840" s="251"/>
      <c r="V1840" s="251"/>
      <c r="W1840" s="251"/>
      <c r="X1840" s="251"/>
      <c r="Y1840" s="251"/>
      <c r="Z1840" s="251"/>
      <c r="AA1840" s="137"/>
      <c r="AB1840" s="137"/>
      <c r="AC1840" s="137"/>
      <c r="AD1840" s="137"/>
      <c r="AE1840" s="137"/>
      <c r="AF1840" s="137"/>
      <c r="AG1840" s="137"/>
    </row>
    <row r="1841" ht="30.0" customHeight="1">
      <c r="A1841" s="248"/>
      <c r="B1841" s="249"/>
      <c r="C1841" s="248"/>
      <c r="D1841" s="249"/>
      <c r="E1841" s="249"/>
      <c r="F1841" s="249"/>
      <c r="G1841" s="250"/>
      <c r="H1841" s="251"/>
      <c r="I1841" s="252"/>
      <c r="J1841" s="252"/>
      <c r="K1841" s="252"/>
      <c r="L1841" s="251"/>
      <c r="M1841" s="251"/>
      <c r="N1841" s="251"/>
      <c r="O1841" s="251"/>
      <c r="P1841" s="251"/>
      <c r="Q1841" s="251"/>
      <c r="R1841" s="251"/>
      <c r="S1841" s="251"/>
      <c r="T1841" s="251"/>
      <c r="U1841" s="251"/>
      <c r="V1841" s="251"/>
      <c r="W1841" s="251"/>
      <c r="X1841" s="251"/>
      <c r="Y1841" s="251"/>
      <c r="Z1841" s="251"/>
      <c r="AA1841" s="137"/>
      <c r="AB1841" s="137"/>
      <c r="AC1841" s="137"/>
      <c r="AD1841" s="137"/>
      <c r="AE1841" s="137"/>
      <c r="AF1841" s="137"/>
      <c r="AG1841" s="137"/>
    </row>
    <row r="1842" ht="30.0" customHeight="1">
      <c r="A1842" s="248"/>
      <c r="B1842" s="249"/>
      <c r="C1842" s="248"/>
      <c r="D1842" s="249"/>
      <c r="E1842" s="249"/>
      <c r="F1842" s="249"/>
      <c r="G1842" s="250"/>
      <c r="H1842" s="251"/>
      <c r="I1842" s="252"/>
      <c r="J1842" s="252"/>
      <c r="K1842" s="252"/>
      <c r="L1842" s="251"/>
      <c r="M1842" s="251"/>
      <c r="N1842" s="251"/>
      <c r="O1842" s="251"/>
      <c r="P1842" s="251"/>
      <c r="Q1842" s="251"/>
      <c r="R1842" s="251"/>
      <c r="S1842" s="251"/>
      <c r="T1842" s="251"/>
      <c r="U1842" s="251"/>
      <c r="V1842" s="251"/>
      <c r="W1842" s="251"/>
      <c r="X1842" s="251"/>
      <c r="Y1842" s="251"/>
      <c r="Z1842" s="251"/>
      <c r="AA1842" s="137"/>
      <c r="AB1842" s="137"/>
      <c r="AC1842" s="137"/>
      <c r="AD1842" s="137"/>
      <c r="AE1842" s="137"/>
      <c r="AF1842" s="137"/>
      <c r="AG1842" s="137"/>
    </row>
    <row r="1843" ht="30.0" customHeight="1">
      <c r="A1843" s="248"/>
      <c r="B1843" s="249"/>
      <c r="C1843" s="248"/>
      <c r="D1843" s="249"/>
      <c r="E1843" s="249"/>
      <c r="F1843" s="249"/>
      <c r="G1843" s="250"/>
      <c r="H1843" s="251"/>
      <c r="I1843" s="252"/>
      <c r="J1843" s="252"/>
      <c r="K1843" s="252"/>
      <c r="L1843" s="251"/>
      <c r="M1843" s="251"/>
      <c r="N1843" s="251"/>
      <c r="O1843" s="251"/>
      <c r="P1843" s="251"/>
      <c r="Q1843" s="251"/>
      <c r="R1843" s="251"/>
      <c r="S1843" s="251"/>
      <c r="T1843" s="251"/>
      <c r="U1843" s="251"/>
      <c r="V1843" s="251"/>
      <c r="W1843" s="251"/>
      <c r="X1843" s="251"/>
      <c r="Y1843" s="251"/>
      <c r="Z1843" s="251"/>
      <c r="AA1843" s="137"/>
      <c r="AB1843" s="137"/>
      <c r="AC1843" s="137"/>
      <c r="AD1843" s="137"/>
      <c r="AE1843" s="137"/>
      <c r="AF1843" s="137"/>
      <c r="AG1843" s="137"/>
    </row>
    <row r="1844" ht="30.0" customHeight="1">
      <c r="A1844" s="248"/>
      <c r="B1844" s="249"/>
      <c r="C1844" s="248"/>
      <c r="D1844" s="249"/>
      <c r="E1844" s="249"/>
      <c r="F1844" s="249"/>
      <c r="G1844" s="250"/>
      <c r="H1844" s="251"/>
      <c r="I1844" s="252"/>
      <c r="J1844" s="252"/>
      <c r="K1844" s="252"/>
      <c r="L1844" s="251"/>
      <c r="M1844" s="251"/>
      <c r="N1844" s="251"/>
      <c r="O1844" s="251"/>
      <c r="P1844" s="251"/>
      <c r="Q1844" s="251"/>
      <c r="R1844" s="251"/>
      <c r="S1844" s="251"/>
      <c r="T1844" s="251"/>
      <c r="U1844" s="251"/>
      <c r="V1844" s="251"/>
      <c r="W1844" s="251"/>
      <c r="X1844" s="251"/>
      <c r="Y1844" s="251"/>
      <c r="Z1844" s="251"/>
      <c r="AA1844" s="137"/>
      <c r="AB1844" s="137"/>
      <c r="AC1844" s="137"/>
      <c r="AD1844" s="137"/>
      <c r="AE1844" s="137"/>
      <c r="AF1844" s="137"/>
      <c r="AG1844" s="137"/>
    </row>
    <row r="1845" ht="30.0" customHeight="1">
      <c r="A1845" s="248"/>
      <c r="B1845" s="249"/>
      <c r="C1845" s="248"/>
      <c r="D1845" s="249"/>
      <c r="E1845" s="249"/>
      <c r="F1845" s="249"/>
      <c r="G1845" s="250"/>
      <c r="H1845" s="251"/>
      <c r="I1845" s="252"/>
      <c r="J1845" s="252"/>
      <c r="K1845" s="252"/>
      <c r="L1845" s="251"/>
      <c r="M1845" s="251"/>
      <c r="N1845" s="251"/>
      <c r="O1845" s="251"/>
      <c r="P1845" s="251"/>
      <c r="Q1845" s="251"/>
      <c r="R1845" s="251"/>
      <c r="S1845" s="251"/>
      <c r="T1845" s="251"/>
      <c r="U1845" s="251"/>
      <c r="V1845" s="251"/>
      <c r="W1845" s="251"/>
      <c r="X1845" s="251"/>
      <c r="Y1845" s="251"/>
      <c r="Z1845" s="251"/>
      <c r="AA1845" s="137"/>
      <c r="AB1845" s="137"/>
      <c r="AC1845" s="137"/>
      <c r="AD1845" s="137"/>
      <c r="AE1845" s="137"/>
      <c r="AF1845" s="137"/>
      <c r="AG1845" s="137"/>
    </row>
    <row r="1846" ht="30.0" customHeight="1">
      <c r="A1846" s="248"/>
      <c r="B1846" s="249"/>
      <c r="C1846" s="248"/>
      <c r="D1846" s="249"/>
      <c r="E1846" s="249"/>
      <c r="F1846" s="249"/>
      <c r="G1846" s="250"/>
      <c r="H1846" s="251"/>
      <c r="I1846" s="252"/>
      <c r="J1846" s="252"/>
      <c r="K1846" s="252"/>
      <c r="L1846" s="251"/>
      <c r="M1846" s="251"/>
      <c r="N1846" s="251"/>
      <c r="O1846" s="251"/>
      <c r="P1846" s="251"/>
      <c r="Q1846" s="251"/>
      <c r="R1846" s="251"/>
      <c r="S1846" s="251"/>
      <c r="T1846" s="251"/>
      <c r="U1846" s="251"/>
      <c r="V1846" s="251"/>
      <c r="W1846" s="251"/>
      <c r="X1846" s="251"/>
      <c r="Y1846" s="251"/>
      <c r="Z1846" s="251"/>
      <c r="AA1846" s="137"/>
      <c r="AB1846" s="137"/>
      <c r="AC1846" s="137"/>
      <c r="AD1846" s="137"/>
      <c r="AE1846" s="137"/>
      <c r="AF1846" s="137"/>
      <c r="AG1846" s="137"/>
    </row>
    <row r="1847" ht="30.0" customHeight="1">
      <c r="A1847" s="248"/>
      <c r="B1847" s="249"/>
      <c r="C1847" s="248"/>
      <c r="D1847" s="249"/>
      <c r="E1847" s="249"/>
      <c r="F1847" s="249"/>
      <c r="G1847" s="250"/>
      <c r="H1847" s="251"/>
      <c r="I1847" s="252"/>
      <c r="J1847" s="252"/>
      <c r="K1847" s="252"/>
      <c r="L1847" s="251"/>
      <c r="M1847" s="251"/>
      <c r="N1847" s="251"/>
      <c r="O1847" s="251"/>
      <c r="P1847" s="251"/>
      <c r="Q1847" s="251"/>
      <c r="R1847" s="251"/>
      <c r="S1847" s="251"/>
      <c r="T1847" s="251"/>
      <c r="U1847" s="251"/>
      <c r="V1847" s="251"/>
      <c r="W1847" s="251"/>
      <c r="X1847" s="251"/>
      <c r="Y1847" s="251"/>
      <c r="Z1847" s="251"/>
      <c r="AA1847" s="137"/>
      <c r="AB1847" s="137"/>
      <c r="AC1847" s="137"/>
      <c r="AD1847" s="137"/>
      <c r="AE1847" s="137"/>
      <c r="AF1847" s="137"/>
      <c r="AG1847" s="137"/>
    </row>
    <row r="1848" ht="30.0" customHeight="1">
      <c r="A1848" s="248"/>
      <c r="B1848" s="249"/>
      <c r="C1848" s="248"/>
      <c r="D1848" s="249"/>
      <c r="E1848" s="249"/>
      <c r="F1848" s="249"/>
      <c r="G1848" s="250"/>
      <c r="H1848" s="251"/>
      <c r="I1848" s="252"/>
      <c r="J1848" s="252"/>
      <c r="K1848" s="252"/>
      <c r="L1848" s="251"/>
      <c r="M1848" s="251"/>
      <c r="N1848" s="251"/>
      <c r="O1848" s="251"/>
      <c r="P1848" s="251"/>
      <c r="Q1848" s="251"/>
      <c r="R1848" s="251"/>
      <c r="S1848" s="251"/>
      <c r="T1848" s="251"/>
      <c r="U1848" s="251"/>
      <c r="V1848" s="251"/>
      <c r="W1848" s="251"/>
      <c r="X1848" s="251"/>
      <c r="Y1848" s="251"/>
      <c r="Z1848" s="251"/>
      <c r="AA1848" s="137"/>
      <c r="AB1848" s="137"/>
      <c r="AC1848" s="137"/>
      <c r="AD1848" s="137"/>
      <c r="AE1848" s="137"/>
      <c r="AF1848" s="137"/>
      <c r="AG1848" s="137"/>
    </row>
    <row r="1849" ht="30.0" customHeight="1">
      <c r="A1849" s="248"/>
      <c r="B1849" s="249"/>
      <c r="C1849" s="248"/>
      <c r="D1849" s="249"/>
      <c r="E1849" s="249"/>
      <c r="F1849" s="249"/>
      <c r="G1849" s="250"/>
      <c r="H1849" s="251"/>
      <c r="I1849" s="252"/>
      <c r="J1849" s="252"/>
      <c r="K1849" s="252"/>
      <c r="L1849" s="251"/>
      <c r="M1849" s="251"/>
      <c r="N1849" s="251"/>
      <c r="O1849" s="251"/>
      <c r="P1849" s="251"/>
      <c r="Q1849" s="251"/>
      <c r="R1849" s="251"/>
      <c r="S1849" s="251"/>
      <c r="T1849" s="251"/>
      <c r="U1849" s="251"/>
      <c r="V1849" s="251"/>
      <c r="W1849" s="251"/>
      <c r="X1849" s="251"/>
      <c r="Y1849" s="251"/>
      <c r="Z1849" s="251"/>
      <c r="AA1849" s="137"/>
      <c r="AB1849" s="137"/>
      <c r="AC1849" s="137"/>
      <c r="AD1849" s="137"/>
      <c r="AE1849" s="137"/>
      <c r="AF1849" s="137"/>
      <c r="AG1849" s="137"/>
    </row>
    <row r="1850" ht="30.0" customHeight="1">
      <c r="A1850" s="248"/>
      <c r="B1850" s="249"/>
      <c r="C1850" s="248"/>
      <c r="D1850" s="249"/>
      <c r="E1850" s="249"/>
      <c r="F1850" s="249"/>
      <c r="G1850" s="249"/>
      <c r="H1850" s="251"/>
      <c r="I1850" s="252"/>
      <c r="J1850" s="252"/>
      <c r="K1850" s="252"/>
      <c r="L1850" s="251"/>
      <c r="M1850" s="251"/>
      <c r="N1850" s="251"/>
      <c r="O1850" s="251"/>
      <c r="P1850" s="251"/>
      <c r="Q1850" s="251"/>
      <c r="R1850" s="251"/>
      <c r="S1850" s="251"/>
      <c r="T1850" s="251"/>
      <c r="U1850" s="251"/>
      <c r="V1850" s="251"/>
      <c r="W1850" s="251"/>
      <c r="X1850" s="251"/>
      <c r="Y1850" s="251"/>
      <c r="Z1850" s="251"/>
      <c r="AA1850" s="137"/>
      <c r="AB1850" s="137"/>
      <c r="AC1850" s="137"/>
      <c r="AD1850" s="137"/>
      <c r="AE1850" s="137"/>
      <c r="AF1850" s="137"/>
      <c r="AG1850" s="137"/>
    </row>
    <row r="1851" ht="30.0" customHeight="1">
      <c r="A1851" s="248"/>
      <c r="B1851" s="249"/>
      <c r="C1851" s="248"/>
      <c r="D1851" s="249"/>
      <c r="E1851" s="249"/>
      <c r="F1851" s="249"/>
      <c r="G1851" s="250"/>
      <c r="H1851" s="251"/>
      <c r="I1851" s="252"/>
      <c r="J1851" s="252"/>
      <c r="K1851" s="252"/>
      <c r="L1851" s="251"/>
      <c r="M1851" s="251"/>
      <c r="N1851" s="251"/>
      <c r="O1851" s="251"/>
      <c r="P1851" s="251"/>
      <c r="Q1851" s="251"/>
      <c r="R1851" s="251"/>
      <c r="S1851" s="251"/>
      <c r="T1851" s="251"/>
      <c r="U1851" s="251"/>
      <c r="V1851" s="251"/>
      <c r="W1851" s="251"/>
      <c r="X1851" s="251"/>
      <c r="Y1851" s="251"/>
      <c r="Z1851" s="251"/>
      <c r="AA1851" s="137"/>
      <c r="AB1851" s="137"/>
      <c r="AC1851" s="137"/>
      <c r="AD1851" s="137"/>
      <c r="AE1851" s="137"/>
      <c r="AF1851" s="137"/>
      <c r="AG1851" s="137"/>
    </row>
    <row r="1852" ht="30.0" customHeight="1">
      <c r="A1852" s="248"/>
      <c r="B1852" s="249"/>
      <c r="C1852" s="248"/>
      <c r="D1852" s="249"/>
      <c r="E1852" s="249"/>
      <c r="F1852" s="249"/>
      <c r="G1852" s="250"/>
      <c r="H1852" s="251"/>
      <c r="I1852" s="252"/>
      <c r="J1852" s="252"/>
      <c r="K1852" s="252"/>
      <c r="L1852" s="251"/>
      <c r="M1852" s="251"/>
      <c r="N1852" s="251"/>
      <c r="O1852" s="251"/>
      <c r="P1852" s="251"/>
      <c r="Q1852" s="251"/>
      <c r="R1852" s="251"/>
      <c r="S1852" s="251"/>
      <c r="T1852" s="251"/>
      <c r="U1852" s="251"/>
      <c r="V1852" s="251"/>
      <c r="W1852" s="251"/>
      <c r="X1852" s="251"/>
      <c r="Y1852" s="251"/>
      <c r="Z1852" s="251"/>
      <c r="AA1852" s="137"/>
      <c r="AB1852" s="137"/>
      <c r="AC1852" s="137"/>
      <c r="AD1852" s="137"/>
      <c r="AE1852" s="137"/>
      <c r="AF1852" s="137"/>
      <c r="AG1852" s="137"/>
    </row>
    <row r="1853" ht="30.0" customHeight="1">
      <c r="A1853" s="248"/>
      <c r="B1853" s="249"/>
      <c r="C1853" s="248"/>
      <c r="D1853" s="249"/>
      <c r="E1853" s="249"/>
      <c r="F1853" s="249"/>
      <c r="G1853" s="249"/>
      <c r="H1853" s="251"/>
      <c r="I1853" s="252"/>
      <c r="J1853" s="252"/>
      <c r="K1853" s="252"/>
      <c r="L1853" s="251"/>
      <c r="M1853" s="251"/>
      <c r="N1853" s="251"/>
      <c r="O1853" s="251"/>
      <c r="P1853" s="251"/>
      <c r="Q1853" s="251"/>
      <c r="R1853" s="251"/>
      <c r="S1853" s="251"/>
      <c r="T1853" s="251"/>
      <c r="U1853" s="251"/>
      <c r="V1853" s="251"/>
      <c r="W1853" s="251"/>
      <c r="X1853" s="251"/>
      <c r="Y1853" s="251"/>
      <c r="Z1853" s="251"/>
      <c r="AA1853" s="137"/>
      <c r="AB1853" s="137"/>
      <c r="AC1853" s="137"/>
      <c r="AD1853" s="137"/>
      <c r="AE1853" s="137"/>
      <c r="AF1853" s="137"/>
      <c r="AG1853" s="137"/>
    </row>
    <row r="1854" ht="30.0" customHeight="1">
      <c r="A1854" s="248"/>
      <c r="B1854" s="249"/>
      <c r="C1854" s="248"/>
      <c r="D1854" s="249"/>
      <c r="E1854" s="249"/>
      <c r="F1854" s="249"/>
      <c r="G1854" s="249"/>
      <c r="H1854" s="251"/>
      <c r="I1854" s="252"/>
      <c r="J1854" s="252"/>
      <c r="K1854" s="252"/>
      <c r="L1854" s="251"/>
      <c r="M1854" s="251"/>
      <c r="N1854" s="251"/>
      <c r="O1854" s="251"/>
      <c r="P1854" s="251"/>
      <c r="Q1854" s="251"/>
      <c r="R1854" s="251"/>
      <c r="S1854" s="251"/>
      <c r="T1854" s="251"/>
      <c r="U1854" s="251"/>
      <c r="V1854" s="251"/>
      <c r="W1854" s="251"/>
      <c r="X1854" s="251"/>
      <c r="Y1854" s="251"/>
      <c r="Z1854" s="251"/>
      <c r="AA1854" s="137"/>
      <c r="AB1854" s="137"/>
      <c r="AC1854" s="137"/>
      <c r="AD1854" s="137"/>
      <c r="AE1854" s="137"/>
      <c r="AF1854" s="137"/>
      <c r="AG1854" s="137"/>
    </row>
    <row r="1855" ht="30.0" customHeight="1">
      <c r="A1855" s="248"/>
      <c r="B1855" s="249"/>
      <c r="C1855" s="248"/>
      <c r="D1855" s="249"/>
      <c r="E1855" s="249"/>
      <c r="F1855" s="249"/>
      <c r="G1855" s="250"/>
      <c r="H1855" s="251"/>
      <c r="I1855" s="252"/>
      <c r="J1855" s="252"/>
      <c r="K1855" s="252"/>
      <c r="L1855" s="251"/>
      <c r="M1855" s="251"/>
      <c r="N1855" s="251"/>
      <c r="O1855" s="251"/>
      <c r="P1855" s="251"/>
      <c r="Q1855" s="251"/>
      <c r="R1855" s="251"/>
      <c r="S1855" s="251"/>
      <c r="T1855" s="251"/>
      <c r="U1855" s="251"/>
      <c r="V1855" s="251"/>
      <c r="W1855" s="251"/>
      <c r="X1855" s="251"/>
      <c r="Y1855" s="251"/>
      <c r="Z1855" s="251"/>
      <c r="AA1855" s="137"/>
      <c r="AB1855" s="137"/>
      <c r="AC1855" s="137"/>
      <c r="AD1855" s="137"/>
      <c r="AE1855" s="137"/>
      <c r="AF1855" s="137"/>
      <c r="AG1855" s="137"/>
    </row>
    <row r="1856" ht="30.0" customHeight="1">
      <c r="A1856" s="248"/>
      <c r="B1856" s="249"/>
      <c r="C1856" s="248"/>
      <c r="D1856" s="249"/>
      <c r="E1856" s="249"/>
      <c r="F1856" s="249"/>
      <c r="G1856" s="250"/>
      <c r="H1856" s="251"/>
      <c r="I1856" s="252"/>
      <c r="J1856" s="252"/>
      <c r="K1856" s="252"/>
      <c r="L1856" s="251"/>
      <c r="M1856" s="251"/>
      <c r="N1856" s="251"/>
      <c r="O1856" s="251"/>
      <c r="P1856" s="251"/>
      <c r="Q1856" s="251"/>
      <c r="R1856" s="251"/>
      <c r="S1856" s="251"/>
      <c r="T1856" s="251"/>
      <c r="U1856" s="251"/>
      <c r="V1856" s="251"/>
      <c r="W1856" s="251"/>
      <c r="X1856" s="251"/>
      <c r="Y1856" s="251"/>
      <c r="Z1856" s="251"/>
      <c r="AA1856" s="137"/>
      <c r="AB1856" s="137"/>
      <c r="AC1856" s="137"/>
      <c r="AD1856" s="137"/>
      <c r="AE1856" s="137"/>
      <c r="AF1856" s="137"/>
      <c r="AG1856" s="137"/>
    </row>
    <row r="1857" ht="30.0" customHeight="1">
      <c r="A1857" s="248"/>
      <c r="B1857" s="249"/>
      <c r="C1857" s="248"/>
      <c r="D1857" s="249"/>
      <c r="E1857" s="249"/>
      <c r="F1857" s="249"/>
      <c r="G1857" s="250"/>
      <c r="H1857" s="251"/>
      <c r="I1857" s="252"/>
      <c r="J1857" s="252"/>
      <c r="K1857" s="252"/>
      <c r="L1857" s="251"/>
      <c r="M1857" s="251"/>
      <c r="N1857" s="251"/>
      <c r="O1857" s="251"/>
      <c r="P1857" s="251"/>
      <c r="Q1857" s="251"/>
      <c r="R1857" s="251"/>
      <c r="S1857" s="251"/>
      <c r="T1857" s="251"/>
      <c r="U1857" s="251"/>
      <c r="V1857" s="251"/>
      <c r="W1857" s="251"/>
      <c r="X1857" s="251"/>
      <c r="Y1857" s="251"/>
      <c r="Z1857" s="251"/>
      <c r="AA1857" s="137"/>
      <c r="AB1857" s="137"/>
      <c r="AC1857" s="137"/>
      <c r="AD1857" s="137"/>
      <c r="AE1857" s="137"/>
      <c r="AF1857" s="137"/>
      <c r="AG1857" s="137"/>
    </row>
    <row r="1858" ht="30.0" customHeight="1">
      <c r="A1858" s="248"/>
      <c r="B1858" s="249"/>
      <c r="C1858" s="248"/>
      <c r="D1858" s="249"/>
      <c r="E1858" s="249"/>
      <c r="F1858" s="249"/>
      <c r="G1858" s="250"/>
      <c r="H1858" s="251"/>
      <c r="I1858" s="252"/>
      <c r="J1858" s="252"/>
      <c r="K1858" s="252"/>
      <c r="L1858" s="251"/>
      <c r="M1858" s="251"/>
      <c r="N1858" s="251"/>
      <c r="O1858" s="251"/>
      <c r="P1858" s="251"/>
      <c r="Q1858" s="251"/>
      <c r="R1858" s="251"/>
      <c r="S1858" s="251"/>
      <c r="T1858" s="251"/>
      <c r="U1858" s="251"/>
      <c r="V1858" s="251"/>
      <c r="W1858" s="251"/>
      <c r="X1858" s="251"/>
      <c r="Y1858" s="251"/>
      <c r="Z1858" s="251"/>
      <c r="AA1858" s="137"/>
      <c r="AB1858" s="137"/>
      <c r="AC1858" s="137"/>
      <c r="AD1858" s="137"/>
      <c r="AE1858" s="137"/>
      <c r="AF1858" s="137"/>
      <c r="AG1858" s="137"/>
    </row>
    <row r="1859" ht="30.0" customHeight="1">
      <c r="A1859" s="248"/>
      <c r="B1859" s="249"/>
      <c r="C1859" s="248"/>
      <c r="D1859" s="249"/>
      <c r="E1859" s="249"/>
      <c r="F1859" s="249"/>
      <c r="G1859" s="250"/>
      <c r="H1859" s="251"/>
      <c r="I1859" s="252"/>
      <c r="J1859" s="252"/>
      <c r="K1859" s="252"/>
      <c r="L1859" s="251"/>
      <c r="M1859" s="251"/>
      <c r="N1859" s="251"/>
      <c r="O1859" s="251"/>
      <c r="P1859" s="251"/>
      <c r="Q1859" s="251"/>
      <c r="R1859" s="251"/>
      <c r="S1859" s="251"/>
      <c r="T1859" s="251"/>
      <c r="U1859" s="251"/>
      <c r="V1859" s="251"/>
      <c r="W1859" s="251"/>
      <c r="X1859" s="251"/>
      <c r="Y1859" s="251"/>
      <c r="Z1859" s="251"/>
      <c r="AA1859" s="137"/>
      <c r="AB1859" s="137"/>
      <c r="AC1859" s="137"/>
      <c r="AD1859" s="137"/>
      <c r="AE1859" s="137"/>
      <c r="AF1859" s="137"/>
      <c r="AG1859" s="137"/>
    </row>
    <row r="1860" ht="30.0" customHeight="1">
      <c r="A1860" s="248"/>
      <c r="B1860" s="249"/>
      <c r="C1860" s="248"/>
      <c r="D1860" s="249"/>
      <c r="E1860" s="249"/>
      <c r="F1860" s="249"/>
      <c r="G1860" s="250"/>
      <c r="H1860" s="251"/>
      <c r="I1860" s="252"/>
      <c r="J1860" s="252"/>
      <c r="K1860" s="252"/>
      <c r="L1860" s="251"/>
      <c r="M1860" s="251"/>
      <c r="N1860" s="251"/>
      <c r="O1860" s="251"/>
      <c r="P1860" s="251"/>
      <c r="Q1860" s="251"/>
      <c r="R1860" s="251"/>
      <c r="S1860" s="251"/>
      <c r="T1860" s="251"/>
      <c r="U1860" s="251"/>
      <c r="V1860" s="251"/>
      <c r="W1860" s="251"/>
      <c r="X1860" s="251"/>
      <c r="Y1860" s="251"/>
      <c r="Z1860" s="251"/>
      <c r="AA1860" s="137"/>
      <c r="AB1860" s="137"/>
      <c r="AC1860" s="137"/>
      <c r="AD1860" s="137"/>
      <c r="AE1860" s="137"/>
      <c r="AF1860" s="137"/>
      <c r="AG1860" s="137"/>
    </row>
    <row r="1861" ht="30.0" customHeight="1">
      <c r="A1861" s="248"/>
      <c r="B1861" s="249"/>
      <c r="C1861" s="248"/>
      <c r="D1861" s="249"/>
      <c r="E1861" s="249"/>
      <c r="F1861" s="249"/>
      <c r="G1861" s="250"/>
      <c r="H1861" s="251"/>
      <c r="I1861" s="252"/>
      <c r="J1861" s="252"/>
      <c r="K1861" s="252"/>
      <c r="L1861" s="251"/>
      <c r="M1861" s="251"/>
      <c r="N1861" s="251"/>
      <c r="O1861" s="251"/>
      <c r="P1861" s="251"/>
      <c r="Q1861" s="251"/>
      <c r="R1861" s="251"/>
      <c r="S1861" s="251"/>
      <c r="T1861" s="251"/>
      <c r="U1861" s="251"/>
      <c r="V1861" s="251"/>
      <c r="W1861" s="251"/>
      <c r="X1861" s="251"/>
      <c r="Y1861" s="251"/>
      <c r="Z1861" s="251"/>
      <c r="AA1861" s="137"/>
      <c r="AB1861" s="137"/>
      <c r="AC1861" s="137"/>
      <c r="AD1861" s="137"/>
      <c r="AE1861" s="137"/>
      <c r="AF1861" s="137"/>
      <c r="AG1861" s="137"/>
    </row>
    <row r="1862" ht="30.0" customHeight="1">
      <c r="A1862" s="248"/>
      <c r="B1862" s="249"/>
      <c r="C1862" s="248"/>
      <c r="D1862" s="249"/>
      <c r="E1862" s="249"/>
      <c r="F1862" s="249"/>
      <c r="G1862" s="250"/>
      <c r="H1862" s="251"/>
      <c r="I1862" s="252"/>
      <c r="J1862" s="252"/>
      <c r="K1862" s="252"/>
      <c r="L1862" s="251"/>
      <c r="M1862" s="251"/>
      <c r="N1862" s="251"/>
      <c r="O1862" s="251"/>
      <c r="P1862" s="251"/>
      <c r="Q1862" s="251"/>
      <c r="R1862" s="251"/>
      <c r="S1862" s="251"/>
      <c r="T1862" s="251"/>
      <c r="U1862" s="251"/>
      <c r="V1862" s="251"/>
      <c r="W1862" s="251"/>
      <c r="X1862" s="251"/>
      <c r="Y1862" s="251"/>
      <c r="Z1862" s="251"/>
      <c r="AA1862" s="137"/>
      <c r="AB1862" s="137"/>
      <c r="AC1862" s="137"/>
      <c r="AD1862" s="137"/>
      <c r="AE1862" s="137"/>
      <c r="AF1862" s="137"/>
      <c r="AG1862" s="137"/>
    </row>
    <row r="1863" ht="30.0" customHeight="1">
      <c r="A1863" s="248"/>
      <c r="B1863" s="249"/>
      <c r="C1863" s="248"/>
      <c r="D1863" s="249"/>
      <c r="E1863" s="249"/>
      <c r="F1863" s="249"/>
      <c r="G1863" s="249"/>
      <c r="H1863" s="251"/>
      <c r="I1863" s="252"/>
      <c r="J1863" s="252"/>
      <c r="K1863" s="252"/>
      <c r="L1863" s="251"/>
      <c r="M1863" s="251"/>
      <c r="N1863" s="251"/>
      <c r="O1863" s="251"/>
      <c r="P1863" s="251"/>
      <c r="Q1863" s="251"/>
      <c r="R1863" s="251"/>
      <c r="S1863" s="251"/>
      <c r="T1863" s="251"/>
      <c r="U1863" s="251"/>
      <c r="V1863" s="251"/>
      <c r="W1863" s="251"/>
      <c r="X1863" s="251"/>
      <c r="Y1863" s="251"/>
      <c r="Z1863" s="251"/>
      <c r="AA1863" s="137"/>
      <c r="AB1863" s="137"/>
      <c r="AC1863" s="137"/>
      <c r="AD1863" s="137"/>
      <c r="AE1863" s="137"/>
      <c r="AF1863" s="137"/>
      <c r="AG1863" s="137"/>
    </row>
    <row r="1864" ht="30.0" customHeight="1">
      <c r="A1864" s="248"/>
      <c r="B1864" s="249"/>
      <c r="C1864" s="248"/>
      <c r="D1864" s="249"/>
      <c r="E1864" s="249"/>
      <c r="F1864" s="249"/>
      <c r="G1864" s="250"/>
      <c r="H1864" s="251"/>
      <c r="I1864" s="252"/>
      <c r="J1864" s="252"/>
      <c r="K1864" s="252"/>
      <c r="L1864" s="251"/>
      <c r="M1864" s="251"/>
      <c r="N1864" s="251"/>
      <c r="O1864" s="251"/>
      <c r="P1864" s="251"/>
      <c r="Q1864" s="251"/>
      <c r="R1864" s="251"/>
      <c r="S1864" s="251"/>
      <c r="T1864" s="251"/>
      <c r="U1864" s="251"/>
      <c r="V1864" s="251"/>
      <c r="W1864" s="251"/>
      <c r="X1864" s="251"/>
      <c r="Y1864" s="251"/>
      <c r="Z1864" s="251"/>
      <c r="AA1864" s="137"/>
      <c r="AB1864" s="137"/>
      <c r="AC1864" s="137"/>
      <c r="AD1864" s="137"/>
      <c r="AE1864" s="137"/>
      <c r="AF1864" s="137"/>
      <c r="AG1864" s="137"/>
    </row>
    <row r="1865" ht="30.0" customHeight="1">
      <c r="A1865" s="248"/>
      <c r="B1865" s="249"/>
      <c r="C1865" s="248"/>
      <c r="D1865" s="249"/>
      <c r="E1865" s="249"/>
      <c r="F1865" s="249"/>
      <c r="G1865" s="250"/>
      <c r="H1865" s="251"/>
      <c r="I1865" s="252"/>
      <c r="J1865" s="252"/>
      <c r="K1865" s="252"/>
      <c r="L1865" s="251"/>
      <c r="M1865" s="251"/>
      <c r="N1865" s="251"/>
      <c r="O1865" s="251"/>
      <c r="P1865" s="251"/>
      <c r="Q1865" s="251"/>
      <c r="R1865" s="251"/>
      <c r="S1865" s="251"/>
      <c r="T1865" s="251"/>
      <c r="U1865" s="251"/>
      <c r="V1865" s="251"/>
      <c r="W1865" s="251"/>
      <c r="X1865" s="251"/>
      <c r="Y1865" s="251"/>
      <c r="Z1865" s="251"/>
      <c r="AA1865" s="137"/>
      <c r="AB1865" s="137"/>
      <c r="AC1865" s="137"/>
      <c r="AD1865" s="137"/>
      <c r="AE1865" s="137"/>
      <c r="AF1865" s="137"/>
      <c r="AG1865" s="137"/>
    </row>
    <row r="1866" ht="30.0" customHeight="1">
      <c r="A1866" s="248"/>
      <c r="B1866" s="249"/>
      <c r="C1866" s="248"/>
      <c r="D1866" s="249"/>
      <c r="E1866" s="249"/>
      <c r="F1866" s="249"/>
      <c r="G1866" s="250"/>
      <c r="H1866" s="251"/>
      <c r="I1866" s="252"/>
      <c r="J1866" s="252"/>
      <c r="K1866" s="252"/>
      <c r="L1866" s="251"/>
      <c r="M1866" s="251"/>
      <c r="N1866" s="251"/>
      <c r="O1866" s="251"/>
      <c r="P1866" s="251"/>
      <c r="Q1866" s="251"/>
      <c r="R1866" s="251"/>
      <c r="S1866" s="251"/>
      <c r="T1866" s="251"/>
      <c r="U1866" s="251"/>
      <c r="V1866" s="251"/>
      <c r="W1866" s="251"/>
      <c r="X1866" s="251"/>
      <c r="Y1866" s="251"/>
      <c r="Z1866" s="251"/>
      <c r="AA1866" s="137"/>
      <c r="AB1866" s="137"/>
      <c r="AC1866" s="137"/>
      <c r="AD1866" s="137"/>
      <c r="AE1866" s="137"/>
      <c r="AF1866" s="137"/>
      <c r="AG1866" s="137"/>
    </row>
    <row r="1867" ht="30.0" customHeight="1">
      <c r="A1867" s="248"/>
      <c r="B1867" s="249"/>
      <c r="C1867" s="248"/>
      <c r="D1867" s="249"/>
      <c r="E1867" s="249"/>
      <c r="F1867" s="249"/>
      <c r="G1867" s="250"/>
      <c r="H1867" s="251"/>
      <c r="I1867" s="252"/>
      <c r="J1867" s="252"/>
      <c r="K1867" s="252"/>
      <c r="L1867" s="251"/>
      <c r="M1867" s="251"/>
      <c r="N1867" s="251"/>
      <c r="O1867" s="251"/>
      <c r="P1867" s="251"/>
      <c r="Q1867" s="251"/>
      <c r="R1867" s="251"/>
      <c r="S1867" s="251"/>
      <c r="T1867" s="251"/>
      <c r="U1867" s="251"/>
      <c r="V1867" s="251"/>
      <c r="W1867" s="251"/>
      <c r="X1867" s="251"/>
      <c r="Y1867" s="251"/>
      <c r="Z1867" s="251"/>
      <c r="AA1867" s="137"/>
      <c r="AB1867" s="137"/>
      <c r="AC1867" s="137"/>
      <c r="AD1867" s="137"/>
      <c r="AE1867" s="137"/>
      <c r="AF1867" s="137"/>
      <c r="AG1867" s="137"/>
    </row>
    <row r="1868" ht="30.0" customHeight="1">
      <c r="A1868" s="248"/>
      <c r="B1868" s="249"/>
      <c r="C1868" s="248"/>
      <c r="D1868" s="249"/>
      <c r="E1868" s="249"/>
      <c r="F1868" s="249"/>
      <c r="G1868" s="250"/>
      <c r="H1868" s="251"/>
      <c r="I1868" s="252"/>
      <c r="J1868" s="252"/>
      <c r="K1868" s="252"/>
      <c r="L1868" s="251"/>
      <c r="M1868" s="251"/>
      <c r="N1868" s="251"/>
      <c r="O1868" s="251"/>
      <c r="P1868" s="251"/>
      <c r="Q1868" s="251"/>
      <c r="R1868" s="251"/>
      <c r="S1868" s="251"/>
      <c r="T1868" s="251"/>
      <c r="U1868" s="251"/>
      <c r="V1868" s="251"/>
      <c r="W1868" s="251"/>
      <c r="X1868" s="251"/>
      <c r="Y1868" s="251"/>
      <c r="Z1868" s="251"/>
      <c r="AA1868" s="137"/>
      <c r="AB1868" s="137"/>
      <c r="AC1868" s="137"/>
      <c r="AD1868" s="137"/>
      <c r="AE1868" s="137"/>
      <c r="AF1868" s="137"/>
      <c r="AG1868" s="137"/>
    </row>
    <row r="1869" ht="30.0" customHeight="1">
      <c r="A1869" s="248"/>
      <c r="B1869" s="249"/>
      <c r="C1869" s="248"/>
      <c r="D1869" s="249"/>
      <c r="E1869" s="249"/>
      <c r="F1869" s="249"/>
      <c r="G1869" s="250"/>
      <c r="H1869" s="251"/>
      <c r="I1869" s="252"/>
      <c r="J1869" s="252"/>
      <c r="K1869" s="252"/>
      <c r="L1869" s="251"/>
      <c r="M1869" s="251"/>
      <c r="N1869" s="251"/>
      <c r="O1869" s="251"/>
      <c r="P1869" s="251"/>
      <c r="Q1869" s="251"/>
      <c r="R1869" s="251"/>
      <c r="S1869" s="251"/>
      <c r="T1869" s="251"/>
      <c r="U1869" s="251"/>
      <c r="V1869" s="251"/>
      <c r="W1869" s="251"/>
      <c r="X1869" s="251"/>
      <c r="Y1869" s="251"/>
      <c r="Z1869" s="251"/>
      <c r="AA1869" s="137"/>
      <c r="AB1869" s="137"/>
      <c r="AC1869" s="137"/>
      <c r="AD1869" s="137"/>
      <c r="AE1869" s="137"/>
      <c r="AF1869" s="137"/>
      <c r="AG1869" s="137"/>
    </row>
    <row r="1870" ht="30.0" customHeight="1">
      <c r="A1870" s="248"/>
      <c r="B1870" s="249"/>
      <c r="C1870" s="248"/>
      <c r="D1870" s="249"/>
      <c r="E1870" s="249"/>
      <c r="F1870" s="249"/>
      <c r="G1870" s="250"/>
      <c r="H1870" s="251"/>
      <c r="I1870" s="252"/>
      <c r="J1870" s="252"/>
      <c r="K1870" s="252"/>
      <c r="L1870" s="251"/>
      <c r="M1870" s="251"/>
      <c r="N1870" s="251"/>
      <c r="O1870" s="251"/>
      <c r="P1870" s="251"/>
      <c r="Q1870" s="251"/>
      <c r="R1870" s="251"/>
      <c r="S1870" s="251"/>
      <c r="T1870" s="251"/>
      <c r="U1870" s="251"/>
      <c r="V1870" s="251"/>
      <c r="W1870" s="251"/>
      <c r="X1870" s="251"/>
      <c r="Y1870" s="251"/>
      <c r="Z1870" s="251"/>
      <c r="AA1870" s="137"/>
      <c r="AB1870" s="137"/>
      <c r="AC1870" s="137"/>
      <c r="AD1870" s="137"/>
      <c r="AE1870" s="137"/>
      <c r="AF1870" s="137"/>
      <c r="AG1870" s="137"/>
    </row>
    <row r="1871" ht="30.0" customHeight="1">
      <c r="A1871" s="248"/>
      <c r="B1871" s="249"/>
      <c r="C1871" s="248"/>
      <c r="D1871" s="249"/>
      <c r="E1871" s="249"/>
      <c r="F1871" s="249"/>
      <c r="G1871" s="250"/>
      <c r="H1871" s="251"/>
      <c r="I1871" s="252"/>
      <c r="J1871" s="252"/>
      <c r="K1871" s="252"/>
      <c r="L1871" s="251"/>
      <c r="M1871" s="251"/>
      <c r="N1871" s="251"/>
      <c r="O1871" s="251"/>
      <c r="P1871" s="251"/>
      <c r="Q1871" s="251"/>
      <c r="R1871" s="251"/>
      <c r="S1871" s="251"/>
      <c r="T1871" s="251"/>
      <c r="U1871" s="251"/>
      <c r="V1871" s="251"/>
      <c r="W1871" s="251"/>
      <c r="X1871" s="251"/>
      <c r="Y1871" s="251"/>
      <c r="Z1871" s="251"/>
      <c r="AA1871" s="137"/>
      <c r="AB1871" s="137"/>
      <c r="AC1871" s="137"/>
      <c r="AD1871" s="137"/>
      <c r="AE1871" s="137"/>
      <c r="AF1871" s="137"/>
      <c r="AG1871" s="137"/>
    </row>
    <row r="1872" ht="30.0" customHeight="1">
      <c r="A1872" s="248"/>
      <c r="B1872" s="249"/>
      <c r="C1872" s="248"/>
      <c r="D1872" s="249"/>
      <c r="E1872" s="249"/>
      <c r="F1872" s="249"/>
      <c r="G1872" s="249"/>
      <c r="H1872" s="251"/>
      <c r="I1872" s="252"/>
      <c r="J1872" s="252"/>
      <c r="K1872" s="252"/>
      <c r="L1872" s="251"/>
      <c r="M1872" s="251"/>
      <c r="N1872" s="251"/>
      <c r="O1872" s="251"/>
      <c r="P1872" s="251"/>
      <c r="Q1872" s="251"/>
      <c r="R1872" s="251"/>
      <c r="S1872" s="251"/>
      <c r="T1872" s="251"/>
      <c r="U1872" s="251"/>
      <c r="V1872" s="251"/>
      <c r="W1872" s="251"/>
      <c r="X1872" s="251"/>
      <c r="Y1872" s="251"/>
      <c r="Z1872" s="251"/>
      <c r="AA1872" s="137"/>
      <c r="AB1872" s="137"/>
      <c r="AC1872" s="137"/>
      <c r="AD1872" s="137"/>
      <c r="AE1872" s="137"/>
      <c r="AF1872" s="137"/>
      <c r="AG1872" s="137"/>
    </row>
    <row r="1873" ht="30.0" customHeight="1">
      <c r="A1873" s="248"/>
      <c r="B1873" s="249"/>
      <c r="C1873" s="248"/>
      <c r="D1873" s="249"/>
      <c r="E1873" s="249"/>
      <c r="F1873" s="249"/>
      <c r="G1873" s="250"/>
      <c r="H1873" s="251"/>
      <c r="I1873" s="252"/>
      <c r="J1873" s="252"/>
      <c r="K1873" s="252"/>
      <c r="L1873" s="251"/>
      <c r="M1873" s="251"/>
      <c r="N1873" s="251"/>
      <c r="O1873" s="251"/>
      <c r="P1873" s="251"/>
      <c r="Q1873" s="251"/>
      <c r="R1873" s="251"/>
      <c r="S1873" s="251"/>
      <c r="T1873" s="251"/>
      <c r="U1873" s="251"/>
      <c r="V1873" s="251"/>
      <c r="W1873" s="251"/>
      <c r="X1873" s="251"/>
      <c r="Y1873" s="251"/>
      <c r="Z1873" s="251"/>
      <c r="AA1873" s="137"/>
      <c r="AB1873" s="137"/>
      <c r="AC1873" s="137"/>
      <c r="AD1873" s="137"/>
      <c r="AE1873" s="137"/>
      <c r="AF1873" s="137"/>
      <c r="AG1873" s="137"/>
    </row>
    <row r="1874" ht="30.0" customHeight="1">
      <c r="A1874" s="248"/>
      <c r="B1874" s="249"/>
      <c r="C1874" s="248"/>
      <c r="D1874" s="249"/>
      <c r="E1874" s="249"/>
      <c r="F1874" s="249"/>
      <c r="G1874" s="250"/>
      <c r="H1874" s="251"/>
      <c r="I1874" s="252"/>
      <c r="J1874" s="252"/>
      <c r="K1874" s="252"/>
      <c r="L1874" s="251"/>
      <c r="M1874" s="251"/>
      <c r="N1874" s="251"/>
      <c r="O1874" s="251"/>
      <c r="P1874" s="251"/>
      <c r="Q1874" s="251"/>
      <c r="R1874" s="251"/>
      <c r="S1874" s="251"/>
      <c r="T1874" s="251"/>
      <c r="U1874" s="251"/>
      <c r="V1874" s="251"/>
      <c r="W1874" s="251"/>
      <c r="X1874" s="251"/>
      <c r="Y1874" s="251"/>
      <c r="Z1874" s="251"/>
      <c r="AA1874" s="137"/>
      <c r="AB1874" s="137"/>
      <c r="AC1874" s="137"/>
      <c r="AD1874" s="137"/>
      <c r="AE1874" s="137"/>
      <c r="AF1874" s="137"/>
      <c r="AG1874" s="137"/>
    </row>
    <row r="1875" ht="30.0" customHeight="1">
      <c r="A1875" s="248"/>
      <c r="B1875" s="249"/>
      <c r="C1875" s="248"/>
      <c r="D1875" s="249"/>
      <c r="E1875" s="249"/>
      <c r="F1875" s="249"/>
      <c r="G1875" s="250"/>
      <c r="H1875" s="251"/>
      <c r="I1875" s="252"/>
      <c r="J1875" s="252"/>
      <c r="K1875" s="252"/>
      <c r="L1875" s="251"/>
      <c r="M1875" s="251"/>
      <c r="N1875" s="251"/>
      <c r="O1875" s="251"/>
      <c r="P1875" s="251"/>
      <c r="Q1875" s="251"/>
      <c r="R1875" s="251"/>
      <c r="S1875" s="251"/>
      <c r="T1875" s="251"/>
      <c r="U1875" s="251"/>
      <c r="V1875" s="251"/>
      <c r="W1875" s="251"/>
      <c r="X1875" s="251"/>
      <c r="Y1875" s="251"/>
      <c r="Z1875" s="251"/>
      <c r="AA1875" s="137"/>
      <c r="AB1875" s="137"/>
      <c r="AC1875" s="137"/>
      <c r="AD1875" s="137"/>
      <c r="AE1875" s="137"/>
      <c r="AF1875" s="137"/>
      <c r="AG1875" s="137"/>
    </row>
    <row r="1876" ht="30.0" customHeight="1">
      <c r="A1876" s="248"/>
      <c r="B1876" s="249"/>
      <c r="C1876" s="248"/>
      <c r="D1876" s="249"/>
      <c r="E1876" s="249"/>
      <c r="F1876" s="249"/>
      <c r="G1876" s="250"/>
      <c r="H1876" s="251"/>
      <c r="I1876" s="252"/>
      <c r="J1876" s="252"/>
      <c r="K1876" s="252"/>
      <c r="L1876" s="251"/>
      <c r="M1876" s="251"/>
      <c r="N1876" s="251"/>
      <c r="O1876" s="251"/>
      <c r="P1876" s="251"/>
      <c r="Q1876" s="251"/>
      <c r="R1876" s="251"/>
      <c r="S1876" s="251"/>
      <c r="T1876" s="251"/>
      <c r="U1876" s="251"/>
      <c r="V1876" s="251"/>
      <c r="W1876" s="251"/>
      <c r="X1876" s="251"/>
      <c r="Y1876" s="251"/>
      <c r="Z1876" s="251"/>
      <c r="AA1876" s="137"/>
      <c r="AB1876" s="137"/>
      <c r="AC1876" s="137"/>
      <c r="AD1876" s="137"/>
      <c r="AE1876" s="137"/>
      <c r="AF1876" s="137"/>
      <c r="AG1876" s="137"/>
    </row>
    <row r="1877" ht="30.0" customHeight="1">
      <c r="A1877" s="248"/>
      <c r="B1877" s="249"/>
      <c r="C1877" s="248"/>
      <c r="D1877" s="249"/>
      <c r="E1877" s="249"/>
      <c r="F1877" s="249"/>
      <c r="G1877" s="250"/>
      <c r="H1877" s="251"/>
      <c r="I1877" s="252"/>
      <c r="J1877" s="252"/>
      <c r="K1877" s="252"/>
      <c r="L1877" s="251"/>
      <c r="M1877" s="251"/>
      <c r="N1877" s="251"/>
      <c r="O1877" s="251"/>
      <c r="P1877" s="251"/>
      <c r="Q1877" s="251"/>
      <c r="R1877" s="251"/>
      <c r="S1877" s="251"/>
      <c r="T1877" s="251"/>
      <c r="U1877" s="251"/>
      <c r="V1877" s="251"/>
      <c r="W1877" s="251"/>
      <c r="X1877" s="251"/>
      <c r="Y1877" s="251"/>
      <c r="Z1877" s="251"/>
      <c r="AA1877" s="137"/>
      <c r="AB1877" s="137"/>
      <c r="AC1877" s="137"/>
      <c r="AD1877" s="137"/>
      <c r="AE1877" s="137"/>
      <c r="AF1877" s="137"/>
      <c r="AG1877" s="137"/>
    </row>
    <row r="1878" ht="30.0" customHeight="1">
      <c r="A1878" s="248"/>
      <c r="B1878" s="249"/>
      <c r="C1878" s="248"/>
      <c r="D1878" s="249"/>
      <c r="E1878" s="249"/>
      <c r="F1878" s="249"/>
      <c r="G1878" s="250"/>
      <c r="H1878" s="251"/>
      <c r="I1878" s="252"/>
      <c r="J1878" s="252"/>
      <c r="K1878" s="252"/>
      <c r="L1878" s="251"/>
      <c r="M1878" s="251"/>
      <c r="N1878" s="251"/>
      <c r="O1878" s="251"/>
      <c r="P1878" s="251"/>
      <c r="Q1878" s="251"/>
      <c r="R1878" s="251"/>
      <c r="S1878" s="251"/>
      <c r="T1878" s="251"/>
      <c r="U1878" s="251"/>
      <c r="V1878" s="251"/>
      <c r="W1878" s="251"/>
      <c r="X1878" s="251"/>
      <c r="Y1878" s="251"/>
      <c r="Z1878" s="251"/>
      <c r="AA1878" s="137"/>
      <c r="AB1878" s="137"/>
      <c r="AC1878" s="137"/>
      <c r="AD1878" s="137"/>
      <c r="AE1878" s="137"/>
      <c r="AF1878" s="137"/>
      <c r="AG1878" s="137"/>
    </row>
    <row r="1879" ht="30.0" customHeight="1">
      <c r="A1879" s="248"/>
      <c r="B1879" s="249"/>
      <c r="C1879" s="248"/>
      <c r="D1879" s="249"/>
      <c r="E1879" s="249"/>
      <c r="F1879" s="249"/>
      <c r="G1879" s="250"/>
      <c r="H1879" s="251"/>
      <c r="I1879" s="252"/>
      <c r="J1879" s="252"/>
      <c r="K1879" s="252"/>
      <c r="L1879" s="251"/>
      <c r="M1879" s="251"/>
      <c r="N1879" s="251"/>
      <c r="O1879" s="251"/>
      <c r="P1879" s="251"/>
      <c r="Q1879" s="251"/>
      <c r="R1879" s="251"/>
      <c r="S1879" s="251"/>
      <c r="T1879" s="251"/>
      <c r="U1879" s="251"/>
      <c r="V1879" s="251"/>
      <c r="W1879" s="251"/>
      <c r="X1879" s="251"/>
      <c r="Y1879" s="251"/>
      <c r="Z1879" s="251"/>
      <c r="AA1879" s="137"/>
      <c r="AB1879" s="137"/>
      <c r="AC1879" s="137"/>
      <c r="AD1879" s="137"/>
      <c r="AE1879" s="137"/>
      <c r="AF1879" s="137"/>
      <c r="AG1879" s="137"/>
    </row>
    <row r="1880" ht="30.0" customHeight="1">
      <c r="A1880" s="248"/>
      <c r="B1880" s="249"/>
      <c r="C1880" s="248"/>
      <c r="D1880" s="249"/>
      <c r="E1880" s="249"/>
      <c r="F1880" s="249"/>
      <c r="G1880" s="250"/>
      <c r="H1880" s="251"/>
      <c r="I1880" s="252"/>
      <c r="J1880" s="252"/>
      <c r="K1880" s="252"/>
      <c r="L1880" s="251"/>
      <c r="M1880" s="251"/>
      <c r="N1880" s="251"/>
      <c r="O1880" s="251"/>
      <c r="P1880" s="251"/>
      <c r="Q1880" s="251"/>
      <c r="R1880" s="251"/>
      <c r="S1880" s="251"/>
      <c r="T1880" s="251"/>
      <c r="U1880" s="251"/>
      <c r="V1880" s="251"/>
      <c r="W1880" s="251"/>
      <c r="X1880" s="251"/>
      <c r="Y1880" s="251"/>
      <c r="Z1880" s="251"/>
      <c r="AA1880" s="137"/>
      <c r="AB1880" s="137"/>
      <c r="AC1880" s="137"/>
      <c r="AD1880" s="137"/>
      <c r="AE1880" s="137"/>
      <c r="AF1880" s="137"/>
      <c r="AG1880" s="137"/>
    </row>
    <row r="1881" ht="30.0" customHeight="1">
      <c r="A1881" s="248"/>
      <c r="B1881" s="249"/>
      <c r="C1881" s="248"/>
      <c r="D1881" s="249"/>
      <c r="E1881" s="249"/>
      <c r="F1881" s="249"/>
      <c r="G1881" s="249"/>
      <c r="H1881" s="251"/>
      <c r="I1881" s="252"/>
      <c r="J1881" s="252"/>
      <c r="K1881" s="252"/>
      <c r="L1881" s="251"/>
      <c r="M1881" s="251"/>
      <c r="N1881" s="251"/>
      <c r="O1881" s="251"/>
      <c r="P1881" s="251"/>
      <c r="Q1881" s="251"/>
      <c r="R1881" s="251"/>
      <c r="S1881" s="251"/>
      <c r="T1881" s="251"/>
      <c r="U1881" s="251"/>
      <c r="V1881" s="251"/>
      <c r="W1881" s="251"/>
      <c r="X1881" s="251"/>
      <c r="Y1881" s="251"/>
      <c r="Z1881" s="251"/>
      <c r="AA1881" s="137"/>
      <c r="AB1881" s="137"/>
      <c r="AC1881" s="137"/>
      <c r="AD1881" s="137"/>
      <c r="AE1881" s="137"/>
      <c r="AF1881" s="137"/>
      <c r="AG1881" s="137"/>
    </row>
    <row r="1882" ht="30.0" customHeight="1">
      <c r="A1882" s="248"/>
      <c r="B1882" s="249"/>
      <c r="C1882" s="248"/>
      <c r="D1882" s="249"/>
      <c r="E1882" s="249"/>
      <c r="F1882" s="249"/>
      <c r="G1882" s="250"/>
      <c r="H1882" s="251"/>
      <c r="I1882" s="252"/>
      <c r="J1882" s="252"/>
      <c r="K1882" s="252"/>
      <c r="L1882" s="251"/>
      <c r="M1882" s="251"/>
      <c r="N1882" s="251"/>
      <c r="O1882" s="251"/>
      <c r="P1882" s="251"/>
      <c r="Q1882" s="251"/>
      <c r="R1882" s="251"/>
      <c r="S1882" s="251"/>
      <c r="T1882" s="251"/>
      <c r="U1882" s="251"/>
      <c r="V1882" s="251"/>
      <c r="W1882" s="251"/>
      <c r="X1882" s="251"/>
      <c r="Y1882" s="251"/>
      <c r="Z1882" s="251"/>
      <c r="AA1882" s="137"/>
      <c r="AB1882" s="137"/>
      <c r="AC1882" s="137"/>
      <c r="AD1882" s="137"/>
      <c r="AE1882" s="137"/>
      <c r="AF1882" s="137"/>
      <c r="AG1882" s="137"/>
    </row>
    <row r="1883" ht="30.0" customHeight="1">
      <c r="A1883" s="248"/>
      <c r="B1883" s="249"/>
      <c r="C1883" s="248"/>
      <c r="D1883" s="249"/>
      <c r="E1883" s="249"/>
      <c r="F1883" s="249"/>
      <c r="G1883" s="250"/>
      <c r="H1883" s="251"/>
      <c r="I1883" s="252"/>
      <c r="J1883" s="252"/>
      <c r="K1883" s="252"/>
      <c r="L1883" s="251"/>
      <c r="M1883" s="251"/>
      <c r="N1883" s="251"/>
      <c r="O1883" s="251"/>
      <c r="P1883" s="251"/>
      <c r="Q1883" s="251"/>
      <c r="R1883" s="251"/>
      <c r="S1883" s="251"/>
      <c r="T1883" s="251"/>
      <c r="U1883" s="251"/>
      <c r="V1883" s="251"/>
      <c r="W1883" s="251"/>
      <c r="X1883" s="251"/>
      <c r="Y1883" s="251"/>
      <c r="Z1883" s="251"/>
      <c r="AA1883" s="137"/>
      <c r="AB1883" s="137"/>
      <c r="AC1883" s="137"/>
      <c r="AD1883" s="137"/>
      <c r="AE1883" s="137"/>
      <c r="AF1883" s="137"/>
      <c r="AG1883" s="137"/>
    </row>
    <row r="1884" ht="30.0" customHeight="1">
      <c r="A1884" s="248"/>
      <c r="B1884" s="249"/>
      <c r="C1884" s="248"/>
      <c r="D1884" s="249"/>
      <c r="E1884" s="249"/>
      <c r="F1884" s="249"/>
      <c r="G1884" s="250"/>
      <c r="H1884" s="251"/>
      <c r="I1884" s="252"/>
      <c r="J1884" s="252"/>
      <c r="K1884" s="252"/>
      <c r="L1884" s="251"/>
      <c r="M1884" s="251"/>
      <c r="N1884" s="251"/>
      <c r="O1884" s="251"/>
      <c r="P1884" s="251"/>
      <c r="Q1884" s="251"/>
      <c r="R1884" s="251"/>
      <c r="S1884" s="251"/>
      <c r="T1884" s="251"/>
      <c r="U1884" s="251"/>
      <c r="V1884" s="251"/>
      <c r="W1884" s="251"/>
      <c r="X1884" s="251"/>
      <c r="Y1884" s="251"/>
      <c r="Z1884" s="251"/>
      <c r="AA1884" s="137"/>
      <c r="AB1884" s="137"/>
      <c r="AC1884" s="137"/>
      <c r="AD1884" s="137"/>
      <c r="AE1884" s="137"/>
      <c r="AF1884" s="137"/>
      <c r="AG1884" s="137"/>
    </row>
    <row r="1885" ht="30.0" customHeight="1">
      <c r="A1885" s="248"/>
      <c r="B1885" s="249"/>
      <c r="C1885" s="248"/>
      <c r="D1885" s="249"/>
      <c r="E1885" s="249"/>
      <c r="F1885" s="249"/>
      <c r="G1885" s="249"/>
      <c r="H1885" s="251"/>
      <c r="I1885" s="252"/>
      <c r="J1885" s="252"/>
      <c r="K1885" s="252"/>
      <c r="L1885" s="251"/>
      <c r="M1885" s="251"/>
      <c r="N1885" s="251"/>
      <c r="O1885" s="251"/>
      <c r="P1885" s="251"/>
      <c r="Q1885" s="251"/>
      <c r="R1885" s="251"/>
      <c r="S1885" s="251"/>
      <c r="T1885" s="251"/>
      <c r="U1885" s="251"/>
      <c r="V1885" s="251"/>
      <c r="W1885" s="251"/>
      <c r="X1885" s="251"/>
      <c r="Y1885" s="251"/>
      <c r="Z1885" s="251"/>
      <c r="AA1885" s="137"/>
      <c r="AB1885" s="137"/>
      <c r="AC1885" s="137"/>
      <c r="AD1885" s="137"/>
      <c r="AE1885" s="137"/>
      <c r="AF1885" s="137"/>
      <c r="AG1885" s="137"/>
    </row>
    <row r="1886" ht="30.0" customHeight="1">
      <c r="A1886" s="248"/>
      <c r="B1886" s="249"/>
      <c r="C1886" s="248"/>
      <c r="D1886" s="249"/>
      <c r="E1886" s="249"/>
      <c r="F1886" s="249"/>
      <c r="G1886" s="250"/>
      <c r="H1886" s="251"/>
      <c r="I1886" s="252"/>
      <c r="J1886" s="252"/>
      <c r="K1886" s="252"/>
      <c r="L1886" s="251"/>
      <c r="M1886" s="251"/>
      <c r="N1886" s="251"/>
      <c r="O1886" s="251"/>
      <c r="P1886" s="251"/>
      <c r="Q1886" s="251"/>
      <c r="R1886" s="251"/>
      <c r="S1886" s="251"/>
      <c r="T1886" s="251"/>
      <c r="U1886" s="251"/>
      <c r="V1886" s="251"/>
      <c r="W1886" s="251"/>
      <c r="X1886" s="251"/>
      <c r="Y1886" s="251"/>
      <c r="Z1886" s="251"/>
      <c r="AA1886" s="137"/>
      <c r="AB1886" s="137"/>
      <c r="AC1886" s="137"/>
      <c r="AD1886" s="137"/>
      <c r="AE1886" s="137"/>
      <c r="AF1886" s="137"/>
      <c r="AG1886" s="137"/>
    </row>
    <row r="1887" ht="30.0" customHeight="1">
      <c r="A1887" s="248"/>
      <c r="B1887" s="249"/>
      <c r="C1887" s="248"/>
      <c r="D1887" s="249"/>
      <c r="E1887" s="249"/>
      <c r="F1887" s="249"/>
      <c r="G1887" s="250"/>
      <c r="H1887" s="251"/>
      <c r="I1887" s="252"/>
      <c r="J1887" s="252"/>
      <c r="K1887" s="252"/>
      <c r="L1887" s="251"/>
      <c r="M1887" s="251"/>
      <c r="N1887" s="251"/>
      <c r="O1887" s="251"/>
      <c r="P1887" s="251"/>
      <c r="Q1887" s="251"/>
      <c r="R1887" s="251"/>
      <c r="S1887" s="251"/>
      <c r="T1887" s="251"/>
      <c r="U1887" s="251"/>
      <c r="V1887" s="251"/>
      <c r="W1887" s="251"/>
      <c r="X1887" s="251"/>
      <c r="Y1887" s="251"/>
      <c r="Z1887" s="251"/>
      <c r="AA1887" s="137"/>
      <c r="AB1887" s="137"/>
      <c r="AC1887" s="137"/>
      <c r="AD1887" s="137"/>
      <c r="AE1887" s="137"/>
      <c r="AF1887" s="137"/>
      <c r="AG1887" s="137"/>
    </row>
    <row r="1888" ht="30.0" customHeight="1">
      <c r="A1888" s="248"/>
      <c r="B1888" s="249"/>
      <c r="C1888" s="248"/>
      <c r="D1888" s="249"/>
      <c r="E1888" s="249"/>
      <c r="F1888" s="249"/>
      <c r="G1888" s="249"/>
      <c r="H1888" s="251"/>
      <c r="I1888" s="252"/>
      <c r="J1888" s="252"/>
      <c r="K1888" s="252"/>
      <c r="L1888" s="251"/>
      <c r="M1888" s="251"/>
      <c r="N1888" s="251"/>
      <c r="O1888" s="251"/>
      <c r="P1888" s="251"/>
      <c r="Q1888" s="251"/>
      <c r="R1888" s="251"/>
      <c r="S1888" s="251"/>
      <c r="T1888" s="251"/>
      <c r="U1888" s="251"/>
      <c r="V1888" s="251"/>
      <c r="W1888" s="251"/>
      <c r="X1888" s="251"/>
      <c r="Y1888" s="251"/>
      <c r="Z1888" s="251"/>
      <c r="AA1888" s="137"/>
      <c r="AB1888" s="137"/>
      <c r="AC1888" s="137"/>
      <c r="AD1888" s="137"/>
      <c r="AE1888" s="137"/>
      <c r="AF1888" s="137"/>
      <c r="AG1888" s="137"/>
    </row>
    <row r="1889" ht="30.0" customHeight="1">
      <c r="A1889" s="248"/>
      <c r="B1889" s="249"/>
      <c r="C1889" s="248"/>
      <c r="D1889" s="249"/>
      <c r="E1889" s="249"/>
      <c r="F1889" s="249"/>
      <c r="G1889" s="250"/>
      <c r="H1889" s="251"/>
      <c r="I1889" s="252"/>
      <c r="J1889" s="252"/>
      <c r="K1889" s="252"/>
      <c r="L1889" s="251"/>
      <c r="M1889" s="251"/>
      <c r="N1889" s="251"/>
      <c r="O1889" s="251"/>
      <c r="P1889" s="251"/>
      <c r="Q1889" s="251"/>
      <c r="R1889" s="251"/>
      <c r="S1889" s="251"/>
      <c r="T1889" s="251"/>
      <c r="U1889" s="251"/>
      <c r="V1889" s="251"/>
      <c r="W1889" s="251"/>
      <c r="X1889" s="251"/>
      <c r="Y1889" s="251"/>
      <c r="Z1889" s="251"/>
      <c r="AA1889" s="137"/>
      <c r="AB1889" s="137"/>
      <c r="AC1889" s="137"/>
      <c r="AD1889" s="137"/>
      <c r="AE1889" s="137"/>
      <c r="AF1889" s="137"/>
      <c r="AG1889" s="137"/>
    </row>
    <row r="1890" ht="30.0" customHeight="1">
      <c r="A1890" s="248"/>
      <c r="B1890" s="249"/>
      <c r="C1890" s="248"/>
      <c r="D1890" s="249"/>
      <c r="E1890" s="249"/>
      <c r="F1890" s="249"/>
      <c r="G1890" s="250"/>
      <c r="H1890" s="251"/>
      <c r="I1890" s="252"/>
      <c r="J1890" s="252"/>
      <c r="K1890" s="252"/>
      <c r="L1890" s="251"/>
      <c r="M1890" s="251"/>
      <c r="N1890" s="251"/>
      <c r="O1890" s="251"/>
      <c r="P1890" s="251"/>
      <c r="Q1890" s="251"/>
      <c r="R1890" s="251"/>
      <c r="S1890" s="251"/>
      <c r="T1890" s="251"/>
      <c r="U1890" s="251"/>
      <c r="V1890" s="251"/>
      <c r="W1890" s="251"/>
      <c r="X1890" s="251"/>
      <c r="Y1890" s="251"/>
      <c r="Z1890" s="251"/>
      <c r="AA1890" s="137"/>
      <c r="AB1890" s="137"/>
      <c r="AC1890" s="137"/>
      <c r="AD1890" s="137"/>
      <c r="AE1890" s="137"/>
      <c r="AF1890" s="137"/>
      <c r="AG1890" s="137"/>
    </row>
    <row r="1891" ht="30.0" customHeight="1">
      <c r="A1891" s="248"/>
      <c r="B1891" s="249"/>
      <c r="C1891" s="248"/>
      <c r="D1891" s="249"/>
      <c r="E1891" s="249"/>
      <c r="F1891" s="249"/>
      <c r="G1891" s="250"/>
      <c r="H1891" s="251"/>
      <c r="I1891" s="252"/>
      <c r="J1891" s="252"/>
      <c r="K1891" s="252"/>
      <c r="L1891" s="251"/>
      <c r="M1891" s="251"/>
      <c r="N1891" s="251"/>
      <c r="O1891" s="251"/>
      <c r="P1891" s="251"/>
      <c r="Q1891" s="251"/>
      <c r="R1891" s="251"/>
      <c r="S1891" s="251"/>
      <c r="T1891" s="251"/>
      <c r="U1891" s="251"/>
      <c r="V1891" s="251"/>
      <c r="W1891" s="251"/>
      <c r="X1891" s="251"/>
      <c r="Y1891" s="251"/>
      <c r="Z1891" s="251"/>
      <c r="AA1891" s="137"/>
      <c r="AB1891" s="137"/>
      <c r="AC1891" s="137"/>
      <c r="AD1891" s="137"/>
      <c r="AE1891" s="137"/>
      <c r="AF1891" s="137"/>
      <c r="AG1891" s="137"/>
    </row>
    <row r="1892" ht="30.0" customHeight="1">
      <c r="A1892" s="248"/>
      <c r="B1892" s="249"/>
      <c r="C1892" s="249"/>
      <c r="D1892" s="249"/>
      <c r="E1892" s="249"/>
      <c r="F1892" s="249"/>
      <c r="G1892" s="249"/>
      <c r="H1892" s="251"/>
      <c r="I1892" s="252"/>
      <c r="J1892" s="252"/>
      <c r="K1892" s="252"/>
      <c r="L1892" s="251"/>
      <c r="M1892" s="251"/>
      <c r="N1892" s="251"/>
      <c r="O1892" s="251"/>
      <c r="P1892" s="251"/>
      <c r="Q1892" s="251"/>
      <c r="R1892" s="251"/>
      <c r="S1892" s="251"/>
      <c r="T1892" s="251"/>
      <c r="U1892" s="251"/>
      <c r="V1892" s="251"/>
      <c r="W1892" s="251"/>
      <c r="X1892" s="251"/>
      <c r="Y1892" s="251"/>
      <c r="Z1892" s="251"/>
      <c r="AA1892" s="137"/>
      <c r="AB1892" s="137"/>
      <c r="AC1892" s="137"/>
      <c r="AD1892" s="137"/>
      <c r="AE1892" s="137"/>
      <c r="AF1892" s="137"/>
      <c r="AG1892" s="137"/>
    </row>
    <row r="1893" ht="30.0" customHeight="1">
      <c r="A1893" s="248"/>
      <c r="B1893" s="249"/>
      <c r="C1893" s="248"/>
      <c r="D1893" s="249"/>
      <c r="E1893" s="249"/>
      <c r="F1893" s="249"/>
      <c r="G1893" s="250"/>
      <c r="H1893" s="251"/>
      <c r="I1893" s="252"/>
      <c r="J1893" s="252"/>
      <c r="K1893" s="252"/>
      <c r="L1893" s="251"/>
      <c r="M1893" s="251"/>
      <c r="N1893" s="251"/>
      <c r="O1893" s="251"/>
      <c r="P1893" s="251"/>
      <c r="Q1893" s="251"/>
      <c r="R1893" s="251"/>
      <c r="S1893" s="251"/>
      <c r="T1893" s="251"/>
      <c r="U1893" s="251"/>
      <c r="V1893" s="251"/>
      <c r="W1893" s="251"/>
      <c r="X1893" s="251"/>
      <c r="Y1893" s="251"/>
      <c r="Z1893" s="251"/>
      <c r="AA1893" s="137"/>
      <c r="AB1893" s="137"/>
      <c r="AC1893" s="137"/>
      <c r="AD1893" s="137"/>
      <c r="AE1893" s="137"/>
      <c r="AF1893" s="137"/>
      <c r="AG1893" s="137"/>
    </row>
    <row r="1894" ht="30.0" customHeight="1">
      <c r="A1894" s="248"/>
      <c r="B1894" s="249"/>
      <c r="C1894" s="248"/>
      <c r="D1894" s="249"/>
      <c r="E1894" s="249"/>
      <c r="F1894" s="249"/>
      <c r="G1894" s="250"/>
      <c r="H1894" s="251"/>
      <c r="I1894" s="252"/>
      <c r="J1894" s="252"/>
      <c r="K1894" s="252"/>
      <c r="L1894" s="251"/>
      <c r="M1894" s="251"/>
      <c r="N1894" s="251"/>
      <c r="O1894" s="251"/>
      <c r="P1894" s="251"/>
      <c r="Q1894" s="251"/>
      <c r="R1894" s="251"/>
      <c r="S1894" s="251"/>
      <c r="T1894" s="251"/>
      <c r="U1894" s="251"/>
      <c r="V1894" s="251"/>
      <c r="W1894" s="251"/>
      <c r="X1894" s="251"/>
      <c r="Y1894" s="251"/>
      <c r="Z1894" s="251"/>
      <c r="AA1894" s="137"/>
      <c r="AB1894" s="137"/>
      <c r="AC1894" s="137"/>
      <c r="AD1894" s="137"/>
      <c r="AE1894" s="137"/>
      <c r="AF1894" s="137"/>
      <c r="AG1894" s="137"/>
    </row>
    <row r="1895" ht="30.0" customHeight="1">
      <c r="A1895" s="248"/>
      <c r="B1895" s="249"/>
      <c r="C1895" s="248"/>
      <c r="D1895" s="249"/>
      <c r="E1895" s="249"/>
      <c r="F1895" s="249"/>
      <c r="G1895" s="250"/>
      <c r="H1895" s="251"/>
      <c r="I1895" s="252"/>
      <c r="J1895" s="252"/>
      <c r="K1895" s="252"/>
      <c r="L1895" s="251"/>
      <c r="M1895" s="251"/>
      <c r="N1895" s="251"/>
      <c r="O1895" s="251"/>
      <c r="P1895" s="251"/>
      <c r="Q1895" s="251"/>
      <c r="R1895" s="251"/>
      <c r="S1895" s="251"/>
      <c r="T1895" s="251"/>
      <c r="U1895" s="251"/>
      <c r="V1895" s="251"/>
      <c r="W1895" s="251"/>
      <c r="X1895" s="251"/>
      <c r="Y1895" s="251"/>
      <c r="Z1895" s="251"/>
      <c r="AA1895" s="137"/>
      <c r="AB1895" s="137"/>
      <c r="AC1895" s="137"/>
      <c r="AD1895" s="137"/>
      <c r="AE1895" s="137"/>
      <c r="AF1895" s="137"/>
      <c r="AG1895" s="137"/>
    </row>
    <row r="1896" ht="30.0" customHeight="1">
      <c r="A1896" s="248"/>
      <c r="B1896" s="249"/>
      <c r="C1896" s="248"/>
      <c r="D1896" s="249"/>
      <c r="E1896" s="249"/>
      <c r="F1896" s="249"/>
      <c r="G1896" s="250"/>
      <c r="H1896" s="251"/>
      <c r="I1896" s="252"/>
      <c r="J1896" s="252"/>
      <c r="K1896" s="252"/>
      <c r="L1896" s="251"/>
      <c r="M1896" s="251"/>
      <c r="N1896" s="251"/>
      <c r="O1896" s="251"/>
      <c r="P1896" s="251"/>
      <c r="Q1896" s="251"/>
      <c r="R1896" s="251"/>
      <c r="S1896" s="251"/>
      <c r="T1896" s="251"/>
      <c r="U1896" s="251"/>
      <c r="V1896" s="251"/>
      <c r="W1896" s="251"/>
      <c r="X1896" s="251"/>
      <c r="Y1896" s="251"/>
      <c r="Z1896" s="251"/>
      <c r="AA1896" s="137"/>
      <c r="AB1896" s="137"/>
      <c r="AC1896" s="137"/>
      <c r="AD1896" s="137"/>
      <c r="AE1896" s="137"/>
      <c r="AF1896" s="137"/>
      <c r="AG1896" s="137"/>
    </row>
    <row r="1897" ht="30.0" customHeight="1">
      <c r="A1897" s="248"/>
      <c r="B1897" s="249"/>
      <c r="C1897" s="248"/>
      <c r="D1897" s="249"/>
      <c r="E1897" s="249"/>
      <c r="F1897" s="249"/>
      <c r="G1897" s="250"/>
      <c r="H1897" s="251"/>
      <c r="I1897" s="252"/>
      <c r="J1897" s="252"/>
      <c r="K1897" s="252"/>
      <c r="L1897" s="251"/>
      <c r="M1897" s="251"/>
      <c r="N1897" s="251"/>
      <c r="O1897" s="251"/>
      <c r="P1897" s="251"/>
      <c r="Q1897" s="251"/>
      <c r="R1897" s="251"/>
      <c r="S1897" s="251"/>
      <c r="T1897" s="251"/>
      <c r="U1897" s="251"/>
      <c r="V1897" s="251"/>
      <c r="W1897" s="251"/>
      <c r="X1897" s="251"/>
      <c r="Y1897" s="251"/>
      <c r="Z1897" s="251"/>
      <c r="AA1897" s="137"/>
      <c r="AB1897" s="137"/>
      <c r="AC1897" s="137"/>
      <c r="AD1897" s="137"/>
      <c r="AE1897" s="137"/>
      <c r="AF1897" s="137"/>
      <c r="AG1897" s="137"/>
    </row>
    <row r="1898" ht="30.0" customHeight="1">
      <c r="A1898" s="248"/>
      <c r="B1898" s="249"/>
      <c r="C1898" s="248"/>
      <c r="D1898" s="249"/>
      <c r="E1898" s="249"/>
      <c r="F1898" s="249"/>
      <c r="G1898" s="250"/>
      <c r="H1898" s="251"/>
      <c r="I1898" s="252"/>
      <c r="J1898" s="252"/>
      <c r="K1898" s="252"/>
      <c r="L1898" s="251"/>
      <c r="M1898" s="251"/>
      <c r="N1898" s="251"/>
      <c r="O1898" s="251"/>
      <c r="P1898" s="251"/>
      <c r="Q1898" s="251"/>
      <c r="R1898" s="251"/>
      <c r="S1898" s="251"/>
      <c r="T1898" s="251"/>
      <c r="U1898" s="251"/>
      <c r="V1898" s="251"/>
      <c r="W1898" s="251"/>
      <c r="X1898" s="251"/>
      <c r="Y1898" s="251"/>
      <c r="Z1898" s="251"/>
      <c r="AA1898" s="137"/>
      <c r="AB1898" s="137"/>
      <c r="AC1898" s="137"/>
      <c r="AD1898" s="137"/>
      <c r="AE1898" s="137"/>
      <c r="AF1898" s="137"/>
      <c r="AG1898" s="137"/>
    </row>
    <row r="1899" ht="30.0" customHeight="1">
      <c r="A1899" s="248"/>
      <c r="B1899" s="249"/>
      <c r="C1899" s="248"/>
      <c r="D1899" s="249"/>
      <c r="E1899" s="249"/>
      <c r="F1899" s="249"/>
      <c r="G1899" s="250"/>
      <c r="H1899" s="251"/>
      <c r="I1899" s="252"/>
      <c r="J1899" s="252"/>
      <c r="K1899" s="252"/>
      <c r="L1899" s="251"/>
      <c r="M1899" s="251"/>
      <c r="N1899" s="251"/>
      <c r="O1899" s="251"/>
      <c r="P1899" s="251"/>
      <c r="Q1899" s="251"/>
      <c r="R1899" s="251"/>
      <c r="S1899" s="251"/>
      <c r="T1899" s="251"/>
      <c r="U1899" s="251"/>
      <c r="V1899" s="251"/>
      <c r="W1899" s="251"/>
      <c r="X1899" s="251"/>
      <c r="Y1899" s="251"/>
      <c r="Z1899" s="251"/>
      <c r="AA1899" s="137"/>
      <c r="AB1899" s="137"/>
      <c r="AC1899" s="137"/>
      <c r="AD1899" s="137"/>
      <c r="AE1899" s="137"/>
      <c r="AF1899" s="137"/>
      <c r="AG1899" s="137"/>
    </row>
    <row r="1900" ht="30.0" customHeight="1">
      <c r="A1900" s="248"/>
      <c r="B1900" s="249"/>
      <c r="C1900" s="248"/>
      <c r="D1900" s="249"/>
      <c r="E1900" s="249"/>
      <c r="F1900" s="249"/>
      <c r="G1900" s="250"/>
      <c r="H1900" s="251"/>
      <c r="I1900" s="252"/>
      <c r="J1900" s="252"/>
      <c r="K1900" s="252"/>
      <c r="L1900" s="251"/>
      <c r="M1900" s="251"/>
      <c r="N1900" s="251"/>
      <c r="O1900" s="251"/>
      <c r="P1900" s="251"/>
      <c r="Q1900" s="251"/>
      <c r="R1900" s="251"/>
      <c r="S1900" s="251"/>
      <c r="T1900" s="251"/>
      <c r="U1900" s="251"/>
      <c r="V1900" s="251"/>
      <c r="W1900" s="251"/>
      <c r="X1900" s="251"/>
      <c r="Y1900" s="251"/>
      <c r="Z1900" s="251"/>
      <c r="AA1900" s="137"/>
      <c r="AB1900" s="137"/>
      <c r="AC1900" s="137"/>
      <c r="AD1900" s="137"/>
      <c r="AE1900" s="137"/>
      <c r="AF1900" s="137"/>
      <c r="AG1900" s="137"/>
    </row>
    <row r="1901" ht="30.0" customHeight="1">
      <c r="A1901" s="248"/>
      <c r="B1901" s="249"/>
      <c r="C1901" s="248"/>
      <c r="D1901" s="249"/>
      <c r="E1901" s="249"/>
      <c r="F1901" s="249"/>
      <c r="G1901" s="250"/>
      <c r="H1901" s="251"/>
      <c r="I1901" s="252"/>
      <c r="J1901" s="252"/>
      <c r="K1901" s="252"/>
      <c r="L1901" s="251"/>
      <c r="M1901" s="251"/>
      <c r="N1901" s="251"/>
      <c r="O1901" s="251"/>
      <c r="P1901" s="251"/>
      <c r="Q1901" s="251"/>
      <c r="R1901" s="251"/>
      <c r="S1901" s="251"/>
      <c r="T1901" s="251"/>
      <c r="U1901" s="251"/>
      <c r="V1901" s="251"/>
      <c r="W1901" s="251"/>
      <c r="X1901" s="251"/>
      <c r="Y1901" s="251"/>
      <c r="Z1901" s="251"/>
      <c r="AA1901" s="137"/>
      <c r="AB1901" s="137"/>
      <c r="AC1901" s="137"/>
      <c r="AD1901" s="137"/>
      <c r="AE1901" s="137"/>
      <c r="AF1901" s="137"/>
      <c r="AG1901" s="137"/>
    </row>
    <row r="1902" ht="30.0" customHeight="1">
      <c r="A1902" s="248"/>
      <c r="B1902" s="249"/>
      <c r="C1902" s="248"/>
      <c r="D1902" s="249"/>
      <c r="E1902" s="249"/>
      <c r="F1902" s="249"/>
      <c r="G1902" s="250"/>
      <c r="H1902" s="251"/>
      <c r="I1902" s="252"/>
      <c r="J1902" s="252"/>
      <c r="K1902" s="252"/>
      <c r="L1902" s="251"/>
      <c r="M1902" s="251"/>
      <c r="N1902" s="251"/>
      <c r="O1902" s="251"/>
      <c r="P1902" s="251"/>
      <c r="Q1902" s="251"/>
      <c r="R1902" s="251"/>
      <c r="S1902" s="251"/>
      <c r="T1902" s="251"/>
      <c r="U1902" s="251"/>
      <c r="V1902" s="251"/>
      <c r="W1902" s="251"/>
      <c r="X1902" s="251"/>
      <c r="Y1902" s="251"/>
      <c r="Z1902" s="251"/>
      <c r="AA1902" s="137"/>
      <c r="AB1902" s="137"/>
      <c r="AC1902" s="137"/>
      <c r="AD1902" s="137"/>
      <c r="AE1902" s="137"/>
      <c r="AF1902" s="137"/>
      <c r="AG1902" s="137"/>
    </row>
    <row r="1903" ht="30.0" customHeight="1">
      <c r="A1903" s="248"/>
      <c r="B1903" s="249"/>
      <c r="C1903" s="248"/>
      <c r="D1903" s="249"/>
      <c r="E1903" s="249"/>
      <c r="F1903" s="249"/>
      <c r="G1903" s="250"/>
      <c r="H1903" s="251"/>
      <c r="I1903" s="252"/>
      <c r="J1903" s="252"/>
      <c r="K1903" s="252"/>
      <c r="L1903" s="251"/>
      <c r="M1903" s="251"/>
      <c r="N1903" s="251"/>
      <c r="O1903" s="251"/>
      <c r="P1903" s="251"/>
      <c r="Q1903" s="251"/>
      <c r="R1903" s="251"/>
      <c r="S1903" s="251"/>
      <c r="T1903" s="251"/>
      <c r="U1903" s="251"/>
      <c r="V1903" s="251"/>
      <c r="W1903" s="251"/>
      <c r="X1903" s="251"/>
      <c r="Y1903" s="251"/>
      <c r="Z1903" s="251"/>
      <c r="AA1903" s="137"/>
      <c r="AB1903" s="137"/>
      <c r="AC1903" s="137"/>
      <c r="AD1903" s="137"/>
      <c r="AE1903" s="137"/>
      <c r="AF1903" s="137"/>
      <c r="AG1903" s="137"/>
    </row>
    <row r="1904" ht="30.0" customHeight="1">
      <c r="A1904" s="248"/>
      <c r="B1904" s="249"/>
      <c r="C1904" s="248"/>
      <c r="D1904" s="249"/>
      <c r="E1904" s="249"/>
      <c r="F1904" s="249"/>
      <c r="G1904" s="250"/>
      <c r="H1904" s="251"/>
      <c r="I1904" s="252"/>
      <c r="J1904" s="252"/>
      <c r="K1904" s="252"/>
      <c r="L1904" s="251"/>
      <c r="M1904" s="251"/>
      <c r="N1904" s="251"/>
      <c r="O1904" s="251"/>
      <c r="P1904" s="251"/>
      <c r="Q1904" s="251"/>
      <c r="R1904" s="251"/>
      <c r="S1904" s="251"/>
      <c r="T1904" s="251"/>
      <c r="U1904" s="251"/>
      <c r="V1904" s="251"/>
      <c r="W1904" s="251"/>
      <c r="X1904" s="251"/>
      <c r="Y1904" s="251"/>
      <c r="Z1904" s="251"/>
      <c r="AA1904" s="137"/>
      <c r="AB1904" s="137"/>
      <c r="AC1904" s="137"/>
      <c r="AD1904" s="137"/>
      <c r="AE1904" s="137"/>
      <c r="AF1904" s="137"/>
      <c r="AG1904" s="137"/>
    </row>
    <row r="1905" ht="30.0" customHeight="1">
      <c r="A1905" s="248"/>
      <c r="B1905" s="249"/>
      <c r="C1905" s="248"/>
      <c r="D1905" s="249"/>
      <c r="E1905" s="249"/>
      <c r="F1905" s="249"/>
      <c r="G1905" s="250"/>
      <c r="H1905" s="251"/>
      <c r="I1905" s="252"/>
      <c r="J1905" s="252"/>
      <c r="K1905" s="252"/>
      <c r="L1905" s="251"/>
      <c r="M1905" s="251"/>
      <c r="N1905" s="251"/>
      <c r="O1905" s="251"/>
      <c r="P1905" s="251"/>
      <c r="Q1905" s="251"/>
      <c r="R1905" s="251"/>
      <c r="S1905" s="251"/>
      <c r="T1905" s="251"/>
      <c r="U1905" s="251"/>
      <c r="V1905" s="251"/>
      <c r="W1905" s="251"/>
      <c r="X1905" s="251"/>
      <c r="Y1905" s="251"/>
      <c r="Z1905" s="251"/>
      <c r="AA1905" s="137"/>
      <c r="AB1905" s="137"/>
      <c r="AC1905" s="137"/>
      <c r="AD1905" s="137"/>
      <c r="AE1905" s="137"/>
      <c r="AF1905" s="137"/>
      <c r="AG1905" s="137"/>
    </row>
    <row r="1906" ht="30.0" customHeight="1">
      <c r="A1906" s="248"/>
      <c r="B1906" s="249"/>
      <c r="C1906" s="249"/>
      <c r="D1906" s="249"/>
      <c r="E1906" s="249"/>
      <c r="F1906" s="249"/>
      <c r="G1906" s="250"/>
      <c r="H1906" s="251"/>
      <c r="I1906" s="252"/>
      <c r="J1906" s="252"/>
      <c r="K1906" s="252"/>
      <c r="L1906" s="251"/>
      <c r="M1906" s="251"/>
      <c r="N1906" s="251"/>
      <c r="O1906" s="251"/>
      <c r="P1906" s="251"/>
      <c r="Q1906" s="251"/>
      <c r="R1906" s="251"/>
      <c r="S1906" s="251"/>
      <c r="T1906" s="251"/>
      <c r="U1906" s="251"/>
      <c r="V1906" s="251"/>
      <c r="W1906" s="251"/>
      <c r="X1906" s="251"/>
      <c r="Y1906" s="251"/>
      <c r="Z1906" s="251"/>
      <c r="AA1906" s="137"/>
      <c r="AB1906" s="137"/>
      <c r="AC1906" s="137"/>
      <c r="AD1906" s="137"/>
      <c r="AE1906" s="137"/>
      <c r="AF1906" s="137"/>
      <c r="AG1906" s="137"/>
    </row>
    <row r="1907" ht="30.0" customHeight="1">
      <c r="A1907" s="248"/>
      <c r="B1907" s="249"/>
      <c r="C1907" s="249"/>
      <c r="D1907" s="249"/>
      <c r="E1907" s="249"/>
      <c r="F1907" s="249"/>
      <c r="G1907" s="250"/>
      <c r="H1907" s="251"/>
      <c r="I1907" s="252"/>
      <c r="J1907" s="252"/>
      <c r="K1907" s="252"/>
      <c r="L1907" s="251"/>
      <c r="M1907" s="251"/>
      <c r="N1907" s="251"/>
      <c r="O1907" s="251"/>
      <c r="P1907" s="251"/>
      <c r="Q1907" s="251"/>
      <c r="R1907" s="251"/>
      <c r="S1907" s="251"/>
      <c r="T1907" s="251"/>
      <c r="U1907" s="251"/>
      <c r="V1907" s="251"/>
      <c r="W1907" s="251"/>
      <c r="X1907" s="251"/>
      <c r="Y1907" s="251"/>
      <c r="Z1907" s="251"/>
      <c r="AA1907" s="137"/>
      <c r="AB1907" s="137"/>
      <c r="AC1907" s="137"/>
      <c r="AD1907" s="137"/>
      <c r="AE1907" s="137"/>
      <c r="AF1907" s="137"/>
      <c r="AG1907" s="137"/>
    </row>
    <row r="1908" ht="30.0" customHeight="1">
      <c r="A1908" s="248"/>
      <c r="B1908" s="249"/>
      <c r="C1908" s="248"/>
      <c r="D1908" s="249"/>
      <c r="E1908" s="249"/>
      <c r="F1908" s="249"/>
      <c r="G1908" s="250"/>
      <c r="H1908" s="251"/>
      <c r="I1908" s="252"/>
      <c r="J1908" s="252"/>
      <c r="K1908" s="252"/>
      <c r="L1908" s="251"/>
      <c r="M1908" s="251"/>
      <c r="N1908" s="251"/>
      <c r="O1908" s="251"/>
      <c r="P1908" s="251"/>
      <c r="Q1908" s="251"/>
      <c r="R1908" s="251"/>
      <c r="S1908" s="251"/>
      <c r="T1908" s="251"/>
      <c r="U1908" s="251"/>
      <c r="V1908" s="251"/>
      <c r="W1908" s="251"/>
      <c r="X1908" s="251"/>
      <c r="Y1908" s="251"/>
      <c r="Z1908" s="251"/>
      <c r="AA1908" s="137"/>
      <c r="AB1908" s="137"/>
      <c r="AC1908" s="137"/>
      <c r="AD1908" s="137"/>
      <c r="AE1908" s="137"/>
      <c r="AF1908" s="137"/>
      <c r="AG1908" s="137"/>
    </row>
    <row r="1909" ht="30.0" customHeight="1">
      <c r="A1909" s="248"/>
      <c r="B1909" s="249"/>
      <c r="C1909" s="248"/>
      <c r="D1909" s="249"/>
      <c r="E1909" s="249"/>
      <c r="F1909" s="249"/>
      <c r="G1909" s="250"/>
      <c r="H1909" s="251"/>
      <c r="I1909" s="252"/>
      <c r="J1909" s="252"/>
      <c r="K1909" s="252"/>
      <c r="L1909" s="251"/>
      <c r="M1909" s="251"/>
      <c r="N1909" s="251"/>
      <c r="O1909" s="251"/>
      <c r="P1909" s="251"/>
      <c r="Q1909" s="251"/>
      <c r="R1909" s="251"/>
      <c r="S1909" s="251"/>
      <c r="T1909" s="251"/>
      <c r="U1909" s="251"/>
      <c r="V1909" s="251"/>
      <c r="W1909" s="251"/>
      <c r="X1909" s="251"/>
      <c r="Y1909" s="251"/>
      <c r="Z1909" s="251"/>
      <c r="AA1909" s="137"/>
      <c r="AB1909" s="137"/>
      <c r="AC1909" s="137"/>
      <c r="AD1909" s="137"/>
      <c r="AE1909" s="137"/>
      <c r="AF1909" s="137"/>
      <c r="AG1909" s="137"/>
    </row>
    <row r="1910" ht="30.0" customHeight="1">
      <c r="A1910" s="248"/>
      <c r="B1910" s="249"/>
      <c r="C1910" s="248"/>
      <c r="D1910" s="249"/>
      <c r="E1910" s="249"/>
      <c r="F1910" s="249"/>
      <c r="G1910" s="250"/>
      <c r="H1910" s="251"/>
      <c r="I1910" s="252"/>
      <c r="J1910" s="252"/>
      <c r="K1910" s="252"/>
      <c r="L1910" s="251"/>
      <c r="M1910" s="251"/>
      <c r="N1910" s="251"/>
      <c r="O1910" s="251"/>
      <c r="P1910" s="251"/>
      <c r="Q1910" s="251"/>
      <c r="R1910" s="251"/>
      <c r="S1910" s="251"/>
      <c r="T1910" s="251"/>
      <c r="U1910" s="251"/>
      <c r="V1910" s="251"/>
      <c r="W1910" s="251"/>
      <c r="X1910" s="251"/>
      <c r="Y1910" s="251"/>
      <c r="Z1910" s="251"/>
      <c r="AA1910" s="137"/>
      <c r="AB1910" s="137"/>
      <c r="AC1910" s="137"/>
      <c r="AD1910" s="137"/>
      <c r="AE1910" s="137"/>
      <c r="AF1910" s="137"/>
      <c r="AG1910" s="137"/>
    </row>
    <row r="1911" ht="30.0" customHeight="1">
      <c r="A1911" s="248"/>
      <c r="B1911" s="249"/>
      <c r="C1911" s="248"/>
      <c r="D1911" s="249"/>
      <c r="E1911" s="249"/>
      <c r="F1911" s="249"/>
      <c r="G1911" s="250"/>
      <c r="H1911" s="251"/>
      <c r="I1911" s="252"/>
      <c r="J1911" s="252"/>
      <c r="K1911" s="252"/>
      <c r="L1911" s="251"/>
      <c r="M1911" s="251"/>
      <c r="N1911" s="251"/>
      <c r="O1911" s="251"/>
      <c r="P1911" s="251"/>
      <c r="Q1911" s="251"/>
      <c r="R1911" s="251"/>
      <c r="S1911" s="251"/>
      <c r="T1911" s="251"/>
      <c r="U1911" s="251"/>
      <c r="V1911" s="251"/>
      <c r="W1911" s="251"/>
      <c r="X1911" s="251"/>
      <c r="Y1911" s="251"/>
      <c r="Z1911" s="251"/>
      <c r="AA1911" s="137"/>
      <c r="AB1911" s="137"/>
      <c r="AC1911" s="137"/>
      <c r="AD1911" s="137"/>
      <c r="AE1911" s="137"/>
      <c r="AF1911" s="137"/>
      <c r="AG1911" s="137"/>
    </row>
    <row r="1912" ht="30.0" customHeight="1">
      <c r="A1912" s="248"/>
      <c r="B1912" s="249"/>
      <c r="C1912" s="248"/>
      <c r="D1912" s="249"/>
      <c r="E1912" s="249"/>
      <c r="F1912" s="249"/>
      <c r="G1912" s="250"/>
      <c r="H1912" s="251"/>
      <c r="I1912" s="252"/>
      <c r="J1912" s="252"/>
      <c r="K1912" s="252"/>
      <c r="L1912" s="251"/>
      <c r="M1912" s="251"/>
      <c r="N1912" s="251"/>
      <c r="O1912" s="251"/>
      <c r="P1912" s="251"/>
      <c r="Q1912" s="251"/>
      <c r="R1912" s="251"/>
      <c r="S1912" s="251"/>
      <c r="T1912" s="251"/>
      <c r="U1912" s="251"/>
      <c r="V1912" s="251"/>
      <c r="W1912" s="251"/>
      <c r="X1912" s="251"/>
      <c r="Y1912" s="251"/>
      <c r="Z1912" s="251"/>
      <c r="AA1912" s="137"/>
      <c r="AB1912" s="137"/>
      <c r="AC1912" s="137"/>
      <c r="AD1912" s="137"/>
      <c r="AE1912" s="137"/>
      <c r="AF1912" s="137"/>
      <c r="AG1912" s="137"/>
    </row>
    <row r="1913" ht="30.0" customHeight="1">
      <c r="A1913" s="248"/>
      <c r="B1913" s="249"/>
      <c r="C1913" s="248"/>
      <c r="D1913" s="249"/>
      <c r="E1913" s="249"/>
      <c r="F1913" s="249"/>
      <c r="G1913" s="250"/>
      <c r="H1913" s="251"/>
      <c r="I1913" s="252"/>
      <c r="J1913" s="252"/>
      <c r="K1913" s="252"/>
      <c r="L1913" s="251"/>
      <c r="M1913" s="251"/>
      <c r="N1913" s="251"/>
      <c r="O1913" s="251"/>
      <c r="P1913" s="251"/>
      <c r="Q1913" s="251"/>
      <c r="R1913" s="251"/>
      <c r="S1913" s="251"/>
      <c r="T1913" s="251"/>
      <c r="U1913" s="251"/>
      <c r="V1913" s="251"/>
      <c r="W1913" s="251"/>
      <c r="X1913" s="251"/>
      <c r="Y1913" s="251"/>
      <c r="Z1913" s="251"/>
      <c r="AA1913" s="137"/>
      <c r="AB1913" s="137"/>
      <c r="AC1913" s="137"/>
      <c r="AD1913" s="137"/>
      <c r="AE1913" s="137"/>
      <c r="AF1913" s="137"/>
      <c r="AG1913" s="137"/>
    </row>
    <row r="1914" ht="30.0" customHeight="1">
      <c r="A1914" s="248"/>
      <c r="B1914" s="249"/>
      <c r="C1914" s="249"/>
      <c r="D1914" s="249"/>
      <c r="E1914" s="249"/>
      <c r="F1914" s="249"/>
      <c r="G1914" s="250"/>
      <c r="H1914" s="251"/>
      <c r="I1914" s="252"/>
      <c r="J1914" s="252"/>
      <c r="K1914" s="252"/>
      <c r="L1914" s="251"/>
      <c r="M1914" s="251"/>
      <c r="N1914" s="251"/>
      <c r="O1914" s="251"/>
      <c r="P1914" s="251"/>
      <c r="Q1914" s="251"/>
      <c r="R1914" s="251"/>
      <c r="S1914" s="251"/>
      <c r="T1914" s="251"/>
      <c r="U1914" s="251"/>
      <c r="V1914" s="251"/>
      <c r="W1914" s="251"/>
      <c r="X1914" s="251"/>
      <c r="Y1914" s="251"/>
      <c r="Z1914" s="251"/>
      <c r="AA1914" s="137"/>
      <c r="AB1914" s="137"/>
      <c r="AC1914" s="137"/>
      <c r="AD1914" s="137"/>
      <c r="AE1914" s="137"/>
      <c r="AF1914" s="137"/>
      <c r="AG1914" s="137"/>
    </row>
    <row r="1915" ht="30.0" customHeight="1">
      <c r="A1915" s="248"/>
      <c r="B1915" s="249"/>
      <c r="C1915" s="248"/>
      <c r="D1915" s="249"/>
      <c r="E1915" s="249"/>
      <c r="F1915" s="249"/>
      <c r="G1915" s="250"/>
      <c r="H1915" s="251"/>
      <c r="I1915" s="252"/>
      <c r="J1915" s="252"/>
      <c r="K1915" s="252"/>
      <c r="L1915" s="251"/>
      <c r="M1915" s="251"/>
      <c r="N1915" s="251"/>
      <c r="O1915" s="251"/>
      <c r="P1915" s="251"/>
      <c r="Q1915" s="251"/>
      <c r="R1915" s="251"/>
      <c r="S1915" s="251"/>
      <c r="T1915" s="251"/>
      <c r="U1915" s="251"/>
      <c r="V1915" s="251"/>
      <c r="W1915" s="251"/>
      <c r="X1915" s="251"/>
      <c r="Y1915" s="251"/>
      <c r="Z1915" s="251"/>
      <c r="AA1915" s="137"/>
      <c r="AB1915" s="137"/>
      <c r="AC1915" s="137"/>
      <c r="AD1915" s="137"/>
      <c r="AE1915" s="137"/>
      <c r="AF1915" s="137"/>
      <c r="AG1915" s="137"/>
    </row>
    <row r="1916" ht="30.0" customHeight="1">
      <c r="A1916" s="248"/>
      <c r="B1916" s="249"/>
      <c r="C1916" s="248"/>
      <c r="D1916" s="249"/>
      <c r="E1916" s="249"/>
      <c r="F1916" s="249"/>
      <c r="G1916" s="250"/>
      <c r="H1916" s="251"/>
      <c r="I1916" s="252"/>
      <c r="J1916" s="252"/>
      <c r="K1916" s="252"/>
      <c r="L1916" s="251"/>
      <c r="M1916" s="251"/>
      <c r="N1916" s="251"/>
      <c r="O1916" s="251"/>
      <c r="P1916" s="251"/>
      <c r="Q1916" s="251"/>
      <c r="R1916" s="251"/>
      <c r="S1916" s="251"/>
      <c r="T1916" s="251"/>
      <c r="U1916" s="251"/>
      <c r="V1916" s="251"/>
      <c r="W1916" s="251"/>
      <c r="X1916" s="251"/>
      <c r="Y1916" s="251"/>
      <c r="Z1916" s="251"/>
      <c r="AA1916" s="137"/>
      <c r="AB1916" s="137"/>
      <c r="AC1916" s="137"/>
      <c r="AD1916" s="137"/>
      <c r="AE1916" s="137"/>
      <c r="AF1916" s="137"/>
      <c r="AG1916" s="137"/>
    </row>
    <row r="1917" ht="30.0" customHeight="1">
      <c r="A1917" s="248"/>
      <c r="B1917" s="249"/>
      <c r="C1917" s="248"/>
      <c r="D1917" s="249"/>
      <c r="E1917" s="249"/>
      <c r="F1917" s="249"/>
      <c r="G1917" s="250"/>
      <c r="H1917" s="251"/>
      <c r="I1917" s="252"/>
      <c r="J1917" s="252"/>
      <c r="K1917" s="252"/>
      <c r="L1917" s="251"/>
      <c r="M1917" s="251"/>
      <c r="N1917" s="251"/>
      <c r="O1917" s="251"/>
      <c r="P1917" s="251"/>
      <c r="Q1917" s="251"/>
      <c r="R1917" s="251"/>
      <c r="S1917" s="251"/>
      <c r="T1917" s="251"/>
      <c r="U1917" s="251"/>
      <c r="V1917" s="251"/>
      <c r="W1917" s="251"/>
      <c r="X1917" s="251"/>
      <c r="Y1917" s="251"/>
      <c r="Z1917" s="251"/>
      <c r="AA1917" s="137"/>
      <c r="AB1917" s="137"/>
      <c r="AC1917" s="137"/>
      <c r="AD1917" s="137"/>
      <c r="AE1917" s="137"/>
      <c r="AF1917" s="137"/>
      <c r="AG1917" s="137"/>
    </row>
    <row r="1918" ht="30.0" customHeight="1">
      <c r="A1918" s="248"/>
      <c r="B1918" s="249"/>
      <c r="C1918" s="248"/>
      <c r="D1918" s="249"/>
      <c r="E1918" s="249"/>
      <c r="F1918" s="249"/>
      <c r="G1918" s="250"/>
      <c r="H1918" s="251"/>
      <c r="I1918" s="252"/>
      <c r="J1918" s="252"/>
      <c r="K1918" s="252"/>
      <c r="L1918" s="251"/>
      <c r="M1918" s="251"/>
      <c r="N1918" s="251"/>
      <c r="O1918" s="251"/>
      <c r="P1918" s="251"/>
      <c r="Q1918" s="251"/>
      <c r="R1918" s="251"/>
      <c r="S1918" s="251"/>
      <c r="T1918" s="251"/>
      <c r="U1918" s="251"/>
      <c r="V1918" s="251"/>
      <c r="W1918" s="251"/>
      <c r="X1918" s="251"/>
      <c r="Y1918" s="251"/>
      <c r="Z1918" s="251"/>
      <c r="AA1918" s="137"/>
      <c r="AB1918" s="137"/>
      <c r="AC1918" s="137"/>
      <c r="AD1918" s="137"/>
      <c r="AE1918" s="137"/>
      <c r="AF1918" s="137"/>
      <c r="AG1918" s="137"/>
    </row>
    <row r="1919" ht="30.0" customHeight="1">
      <c r="A1919" s="248"/>
      <c r="B1919" s="249"/>
      <c r="C1919" s="248"/>
      <c r="D1919" s="249"/>
      <c r="E1919" s="249"/>
      <c r="F1919" s="249"/>
      <c r="G1919" s="250"/>
      <c r="H1919" s="251"/>
      <c r="I1919" s="252"/>
      <c r="J1919" s="252"/>
      <c r="K1919" s="252"/>
      <c r="L1919" s="251"/>
      <c r="M1919" s="251"/>
      <c r="N1919" s="251"/>
      <c r="O1919" s="251"/>
      <c r="P1919" s="251"/>
      <c r="Q1919" s="251"/>
      <c r="R1919" s="251"/>
      <c r="S1919" s="251"/>
      <c r="T1919" s="251"/>
      <c r="U1919" s="251"/>
      <c r="V1919" s="251"/>
      <c r="W1919" s="251"/>
      <c r="X1919" s="251"/>
      <c r="Y1919" s="251"/>
      <c r="Z1919" s="251"/>
      <c r="AA1919" s="137"/>
      <c r="AB1919" s="137"/>
      <c r="AC1919" s="137"/>
      <c r="AD1919" s="137"/>
      <c r="AE1919" s="137"/>
      <c r="AF1919" s="137"/>
      <c r="AG1919" s="137"/>
    </row>
    <row r="1920" ht="30.0" customHeight="1">
      <c r="A1920" s="248"/>
      <c r="B1920" s="249"/>
      <c r="C1920" s="248"/>
      <c r="D1920" s="249"/>
      <c r="E1920" s="249"/>
      <c r="F1920" s="249"/>
      <c r="G1920" s="250"/>
      <c r="H1920" s="251"/>
      <c r="I1920" s="252"/>
      <c r="J1920" s="252"/>
      <c r="K1920" s="252"/>
      <c r="L1920" s="251"/>
      <c r="M1920" s="251"/>
      <c r="N1920" s="251"/>
      <c r="O1920" s="251"/>
      <c r="P1920" s="251"/>
      <c r="Q1920" s="251"/>
      <c r="R1920" s="251"/>
      <c r="S1920" s="251"/>
      <c r="T1920" s="251"/>
      <c r="U1920" s="251"/>
      <c r="V1920" s="251"/>
      <c r="W1920" s="251"/>
      <c r="X1920" s="251"/>
      <c r="Y1920" s="251"/>
      <c r="Z1920" s="251"/>
      <c r="AA1920" s="137"/>
      <c r="AB1920" s="137"/>
      <c r="AC1920" s="137"/>
      <c r="AD1920" s="137"/>
      <c r="AE1920" s="137"/>
      <c r="AF1920" s="137"/>
      <c r="AG1920" s="137"/>
    </row>
    <row r="1921" ht="30.0" customHeight="1">
      <c r="A1921" s="248"/>
      <c r="B1921" s="249"/>
      <c r="C1921" s="248"/>
      <c r="D1921" s="249"/>
      <c r="E1921" s="249"/>
      <c r="F1921" s="249"/>
      <c r="G1921" s="250"/>
      <c r="H1921" s="251"/>
      <c r="I1921" s="252"/>
      <c r="J1921" s="252"/>
      <c r="K1921" s="252"/>
      <c r="L1921" s="251"/>
      <c r="M1921" s="251"/>
      <c r="N1921" s="251"/>
      <c r="O1921" s="251"/>
      <c r="P1921" s="251"/>
      <c r="Q1921" s="251"/>
      <c r="R1921" s="251"/>
      <c r="S1921" s="251"/>
      <c r="T1921" s="251"/>
      <c r="U1921" s="251"/>
      <c r="V1921" s="251"/>
      <c r="W1921" s="251"/>
      <c r="X1921" s="251"/>
      <c r="Y1921" s="251"/>
      <c r="Z1921" s="251"/>
      <c r="AA1921" s="137"/>
      <c r="AB1921" s="137"/>
      <c r="AC1921" s="137"/>
      <c r="AD1921" s="137"/>
      <c r="AE1921" s="137"/>
      <c r="AF1921" s="137"/>
      <c r="AG1921" s="137"/>
    </row>
    <row r="1922" ht="30.0" customHeight="1">
      <c r="A1922" s="248"/>
      <c r="B1922" s="249"/>
      <c r="C1922" s="249"/>
      <c r="D1922" s="249"/>
      <c r="E1922" s="249"/>
      <c r="F1922" s="249"/>
      <c r="G1922" s="249"/>
      <c r="H1922" s="251"/>
      <c r="I1922" s="252"/>
      <c r="J1922" s="252"/>
      <c r="K1922" s="252"/>
      <c r="L1922" s="251"/>
      <c r="M1922" s="251"/>
      <c r="N1922" s="251"/>
      <c r="O1922" s="251"/>
      <c r="P1922" s="251"/>
      <c r="Q1922" s="251"/>
      <c r="R1922" s="251"/>
      <c r="S1922" s="251"/>
      <c r="T1922" s="251"/>
      <c r="U1922" s="251"/>
      <c r="V1922" s="251"/>
      <c r="W1922" s="251"/>
      <c r="X1922" s="251"/>
      <c r="Y1922" s="251"/>
      <c r="Z1922" s="251"/>
      <c r="AA1922" s="137"/>
      <c r="AB1922" s="137"/>
      <c r="AC1922" s="137"/>
      <c r="AD1922" s="137"/>
      <c r="AE1922" s="137"/>
      <c r="AF1922" s="137"/>
      <c r="AG1922" s="137"/>
    </row>
    <row r="1923" ht="30.0" customHeight="1">
      <c r="A1923" s="248"/>
      <c r="B1923" s="249"/>
      <c r="C1923" s="248"/>
      <c r="D1923" s="249"/>
      <c r="E1923" s="249"/>
      <c r="F1923" s="249"/>
      <c r="G1923" s="250"/>
      <c r="H1923" s="251"/>
      <c r="I1923" s="252"/>
      <c r="J1923" s="252"/>
      <c r="K1923" s="252"/>
      <c r="L1923" s="251"/>
      <c r="M1923" s="251"/>
      <c r="N1923" s="251"/>
      <c r="O1923" s="251"/>
      <c r="P1923" s="251"/>
      <c r="Q1923" s="251"/>
      <c r="R1923" s="251"/>
      <c r="S1923" s="251"/>
      <c r="T1923" s="251"/>
      <c r="U1923" s="251"/>
      <c r="V1923" s="251"/>
      <c r="W1923" s="251"/>
      <c r="X1923" s="251"/>
      <c r="Y1923" s="251"/>
      <c r="Z1923" s="251"/>
      <c r="AA1923" s="137"/>
      <c r="AB1923" s="137"/>
      <c r="AC1923" s="137"/>
      <c r="AD1923" s="137"/>
      <c r="AE1923" s="137"/>
      <c r="AF1923" s="137"/>
      <c r="AG1923" s="137"/>
    </row>
    <row r="1924" ht="30.0" customHeight="1">
      <c r="A1924" s="248"/>
      <c r="B1924" s="249"/>
      <c r="C1924" s="249"/>
      <c r="D1924" s="249"/>
      <c r="E1924" s="249"/>
      <c r="F1924" s="249"/>
      <c r="G1924" s="250"/>
      <c r="H1924" s="251"/>
      <c r="I1924" s="252"/>
      <c r="J1924" s="252"/>
      <c r="K1924" s="252"/>
      <c r="L1924" s="251"/>
      <c r="M1924" s="251"/>
      <c r="N1924" s="251"/>
      <c r="O1924" s="251"/>
      <c r="P1924" s="251"/>
      <c r="Q1924" s="251"/>
      <c r="R1924" s="251"/>
      <c r="S1924" s="251"/>
      <c r="T1924" s="251"/>
      <c r="U1924" s="251"/>
      <c r="V1924" s="251"/>
      <c r="W1924" s="251"/>
      <c r="X1924" s="251"/>
      <c r="Y1924" s="251"/>
      <c r="Z1924" s="251"/>
      <c r="AA1924" s="137"/>
      <c r="AB1924" s="137"/>
      <c r="AC1924" s="137"/>
      <c r="AD1924" s="137"/>
      <c r="AE1924" s="137"/>
      <c r="AF1924" s="137"/>
      <c r="AG1924" s="137"/>
    </row>
    <row r="1925" ht="30.0" customHeight="1">
      <c r="A1925" s="248"/>
      <c r="B1925" s="249"/>
      <c r="C1925" s="249"/>
      <c r="D1925" s="249"/>
      <c r="E1925" s="249"/>
      <c r="F1925" s="249"/>
      <c r="G1925" s="250"/>
      <c r="H1925" s="251"/>
      <c r="I1925" s="252"/>
      <c r="J1925" s="252"/>
      <c r="K1925" s="252"/>
      <c r="L1925" s="251"/>
      <c r="M1925" s="251"/>
      <c r="N1925" s="251"/>
      <c r="O1925" s="251"/>
      <c r="P1925" s="251"/>
      <c r="Q1925" s="251"/>
      <c r="R1925" s="251"/>
      <c r="S1925" s="251"/>
      <c r="T1925" s="251"/>
      <c r="U1925" s="251"/>
      <c r="V1925" s="251"/>
      <c r="W1925" s="251"/>
      <c r="X1925" s="251"/>
      <c r="Y1925" s="251"/>
      <c r="Z1925" s="251"/>
      <c r="AA1925" s="137"/>
      <c r="AB1925" s="137"/>
      <c r="AC1925" s="137"/>
      <c r="AD1925" s="137"/>
      <c r="AE1925" s="137"/>
      <c r="AF1925" s="137"/>
      <c r="AG1925" s="137"/>
    </row>
    <row r="1926" ht="30.0" customHeight="1">
      <c r="A1926" s="248"/>
      <c r="B1926" s="249"/>
      <c r="C1926" s="248"/>
      <c r="D1926" s="249"/>
      <c r="E1926" s="249"/>
      <c r="F1926" s="249"/>
      <c r="G1926" s="250"/>
      <c r="H1926" s="251"/>
      <c r="I1926" s="252"/>
      <c r="J1926" s="252"/>
      <c r="K1926" s="252"/>
      <c r="L1926" s="251"/>
      <c r="M1926" s="251"/>
      <c r="N1926" s="251"/>
      <c r="O1926" s="251"/>
      <c r="P1926" s="251"/>
      <c r="Q1926" s="251"/>
      <c r="R1926" s="251"/>
      <c r="S1926" s="251"/>
      <c r="T1926" s="251"/>
      <c r="U1926" s="251"/>
      <c r="V1926" s="251"/>
      <c r="W1926" s="251"/>
      <c r="X1926" s="251"/>
      <c r="Y1926" s="251"/>
      <c r="Z1926" s="251"/>
      <c r="AA1926" s="137"/>
      <c r="AB1926" s="137"/>
      <c r="AC1926" s="137"/>
      <c r="AD1926" s="137"/>
      <c r="AE1926" s="137"/>
      <c r="AF1926" s="137"/>
      <c r="AG1926" s="137"/>
    </row>
    <row r="1927" ht="30.0" customHeight="1">
      <c r="A1927" s="248"/>
      <c r="B1927" s="249"/>
      <c r="C1927" s="248"/>
      <c r="D1927" s="249"/>
      <c r="E1927" s="249"/>
      <c r="F1927" s="249"/>
      <c r="G1927" s="250"/>
      <c r="H1927" s="251"/>
      <c r="I1927" s="252"/>
      <c r="J1927" s="252"/>
      <c r="K1927" s="252"/>
      <c r="L1927" s="251"/>
      <c r="M1927" s="251"/>
      <c r="N1927" s="251"/>
      <c r="O1927" s="251"/>
      <c r="P1927" s="251"/>
      <c r="Q1927" s="251"/>
      <c r="R1927" s="251"/>
      <c r="S1927" s="251"/>
      <c r="T1927" s="251"/>
      <c r="U1927" s="251"/>
      <c r="V1927" s="251"/>
      <c r="W1927" s="251"/>
      <c r="X1927" s="251"/>
      <c r="Y1927" s="251"/>
      <c r="Z1927" s="251"/>
      <c r="AA1927" s="137"/>
      <c r="AB1927" s="137"/>
      <c r="AC1927" s="137"/>
      <c r="AD1927" s="137"/>
      <c r="AE1927" s="137"/>
      <c r="AF1927" s="137"/>
      <c r="AG1927" s="137"/>
    </row>
    <row r="1928" ht="30.0" customHeight="1">
      <c r="A1928" s="248"/>
      <c r="B1928" s="249"/>
      <c r="C1928" s="248"/>
      <c r="D1928" s="249"/>
      <c r="E1928" s="249"/>
      <c r="F1928" s="249"/>
      <c r="G1928" s="250"/>
      <c r="H1928" s="251"/>
      <c r="I1928" s="252"/>
      <c r="J1928" s="252"/>
      <c r="K1928" s="252"/>
      <c r="L1928" s="251"/>
      <c r="M1928" s="251"/>
      <c r="N1928" s="251"/>
      <c r="O1928" s="251"/>
      <c r="P1928" s="251"/>
      <c r="Q1928" s="251"/>
      <c r="R1928" s="251"/>
      <c r="S1928" s="251"/>
      <c r="T1928" s="251"/>
      <c r="U1928" s="251"/>
      <c r="V1928" s="251"/>
      <c r="W1928" s="251"/>
      <c r="X1928" s="251"/>
      <c r="Y1928" s="251"/>
      <c r="Z1928" s="251"/>
      <c r="AA1928" s="137"/>
      <c r="AB1928" s="137"/>
      <c r="AC1928" s="137"/>
      <c r="AD1928" s="137"/>
      <c r="AE1928" s="137"/>
      <c r="AF1928" s="137"/>
      <c r="AG1928" s="137"/>
    </row>
    <row r="1929" ht="30.0" customHeight="1">
      <c r="A1929" s="248"/>
      <c r="B1929" s="249"/>
      <c r="C1929" s="248"/>
      <c r="D1929" s="249"/>
      <c r="E1929" s="249"/>
      <c r="F1929" s="249"/>
      <c r="G1929" s="250"/>
      <c r="H1929" s="251"/>
      <c r="I1929" s="252"/>
      <c r="J1929" s="252"/>
      <c r="K1929" s="252"/>
      <c r="L1929" s="251"/>
      <c r="M1929" s="251"/>
      <c r="N1929" s="251"/>
      <c r="O1929" s="251"/>
      <c r="P1929" s="251"/>
      <c r="Q1929" s="251"/>
      <c r="R1929" s="251"/>
      <c r="S1929" s="251"/>
      <c r="T1929" s="251"/>
      <c r="U1929" s="251"/>
      <c r="V1929" s="251"/>
      <c r="W1929" s="251"/>
      <c r="X1929" s="251"/>
      <c r="Y1929" s="251"/>
      <c r="Z1929" s="251"/>
      <c r="AA1929" s="137"/>
      <c r="AB1929" s="137"/>
      <c r="AC1929" s="137"/>
      <c r="AD1929" s="137"/>
      <c r="AE1929" s="137"/>
      <c r="AF1929" s="137"/>
      <c r="AG1929" s="137"/>
    </row>
    <row r="1930" ht="30.0" customHeight="1">
      <c r="A1930" s="248"/>
      <c r="B1930" s="249"/>
      <c r="C1930" s="248"/>
      <c r="D1930" s="249"/>
      <c r="E1930" s="249"/>
      <c r="F1930" s="249"/>
      <c r="G1930" s="250"/>
      <c r="H1930" s="251"/>
      <c r="I1930" s="252"/>
      <c r="J1930" s="252"/>
      <c r="K1930" s="252"/>
      <c r="L1930" s="251"/>
      <c r="M1930" s="251"/>
      <c r="N1930" s="251"/>
      <c r="O1930" s="251"/>
      <c r="P1930" s="251"/>
      <c r="Q1930" s="251"/>
      <c r="R1930" s="251"/>
      <c r="S1930" s="251"/>
      <c r="T1930" s="251"/>
      <c r="U1930" s="251"/>
      <c r="V1930" s="251"/>
      <c r="W1930" s="251"/>
      <c r="X1930" s="251"/>
      <c r="Y1930" s="251"/>
      <c r="Z1930" s="251"/>
      <c r="AA1930" s="137"/>
      <c r="AB1930" s="137"/>
      <c r="AC1930" s="137"/>
      <c r="AD1930" s="137"/>
      <c r="AE1930" s="137"/>
      <c r="AF1930" s="137"/>
      <c r="AG1930" s="137"/>
    </row>
    <row r="1931" ht="30.0" customHeight="1">
      <c r="A1931" s="248"/>
      <c r="B1931" s="249"/>
      <c r="C1931" s="248"/>
      <c r="D1931" s="249"/>
      <c r="E1931" s="249"/>
      <c r="F1931" s="249"/>
      <c r="G1931" s="249"/>
      <c r="H1931" s="251"/>
      <c r="I1931" s="252"/>
      <c r="J1931" s="252"/>
      <c r="K1931" s="252"/>
      <c r="L1931" s="251"/>
      <c r="M1931" s="251"/>
      <c r="N1931" s="251"/>
      <c r="O1931" s="251"/>
      <c r="P1931" s="251"/>
      <c r="Q1931" s="251"/>
      <c r="R1931" s="251"/>
      <c r="S1931" s="251"/>
      <c r="T1931" s="251"/>
      <c r="U1931" s="251"/>
      <c r="V1931" s="251"/>
      <c r="W1931" s="251"/>
      <c r="X1931" s="251"/>
      <c r="Y1931" s="251"/>
      <c r="Z1931" s="251"/>
      <c r="AA1931" s="137"/>
      <c r="AB1931" s="137"/>
      <c r="AC1931" s="137"/>
      <c r="AD1931" s="137"/>
      <c r="AE1931" s="137"/>
      <c r="AF1931" s="137"/>
      <c r="AG1931" s="137"/>
    </row>
    <row r="1932" ht="30.0" customHeight="1">
      <c r="A1932" s="248"/>
      <c r="B1932" s="249"/>
      <c r="C1932" s="249"/>
      <c r="D1932" s="249"/>
      <c r="E1932" s="249"/>
      <c r="F1932" s="249"/>
      <c r="G1932" s="250"/>
      <c r="H1932" s="251"/>
      <c r="I1932" s="252"/>
      <c r="J1932" s="252"/>
      <c r="K1932" s="252"/>
      <c r="L1932" s="251"/>
      <c r="M1932" s="251"/>
      <c r="N1932" s="251"/>
      <c r="O1932" s="251"/>
      <c r="P1932" s="251"/>
      <c r="Q1932" s="251"/>
      <c r="R1932" s="251"/>
      <c r="S1932" s="251"/>
      <c r="T1932" s="251"/>
      <c r="U1932" s="251"/>
      <c r="V1932" s="251"/>
      <c r="W1932" s="251"/>
      <c r="X1932" s="251"/>
      <c r="Y1932" s="251"/>
      <c r="Z1932" s="251"/>
      <c r="AA1932" s="137"/>
      <c r="AB1932" s="137"/>
      <c r="AC1932" s="137"/>
      <c r="AD1932" s="137"/>
      <c r="AE1932" s="137"/>
      <c r="AF1932" s="137"/>
      <c r="AG1932" s="137"/>
    </row>
    <row r="1933" ht="30.0" customHeight="1">
      <c r="A1933" s="248"/>
      <c r="B1933" s="249"/>
      <c r="C1933" s="248"/>
      <c r="D1933" s="249"/>
      <c r="E1933" s="249"/>
      <c r="F1933" s="249"/>
      <c r="G1933" s="250"/>
      <c r="H1933" s="251"/>
      <c r="I1933" s="252"/>
      <c r="J1933" s="252"/>
      <c r="K1933" s="252"/>
      <c r="L1933" s="251"/>
      <c r="M1933" s="251"/>
      <c r="N1933" s="251"/>
      <c r="O1933" s="251"/>
      <c r="P1933" s="251"/>
      <c r="Q1933" s="251"/>
      <c r="R1933" s="251"/>
      <c r="S1933" s="251"/>
      <c r="T1933" s="251"/>
      <c r="U1933" s="251"/>
      <c r="V1933" s="251"/>
      <c r="W1933" s="251"/>
      <c r="X1933" s="251"/>
      <c r="Y1933" s="251"/>
      <c r="Z1933" s="251"/>
      <c r="AA1933" s="137"/>
      <c r="AB1933" s="137"/>
      <c r="AC1933" s="137"/>
      <c r="AD1933" s="137"/>
      <c r="AE1933" s="137"/>
      <c r="AF1933" s="137"/>
      <c r="AG1933" s="137"/>
    </row>
    <row r="1934" ht="30.0" customHeight="1">
      <c r="A1934" s="248"/>
      <c r="B1934" s="249"/>
      <c r="C1934" s="248"/>
      <c r="D1934" s="249"/>
      <c r="E1934" s="249"/>
      <c r="F1934" s="249"/>
      <c r="G1934" s="250"/>
      <c r="H1934" s="251"/>
      <c r="I1934" s="252"/>
      <c r="J1934" s="252"/>
      <c r="K1934" s="252"/>
      <c r="L1934" s="251"/>
      <c r="M1934" s="251"/>
      <c r="N1934" s="251"/>
      <c r="O1934" s="251"/>
      <c r="P1934" s="251"/>
      <c r="Q1934" s="251"/>
      <c r="R1934" s="251"/>
      <c r="S1934" s="251"/>
      <c r="T1934" s="251"/>
      <c r="U1934" s="251"/>
      <c r="V1934" s="251"/>
      <c r="W1934" s="251"/>
      <c r="X1934" s="251"/>
      <c r="Y1934" s="251"/>
      <c r="Z1934" s="251"/>
      <c r="AA1934" s="137"/>
      <c r="AB1934" s="137"/>
      <c r="AC1934" s="137"/>
      <c r="AD1934" s="137"/>
      <c r="AE1934" s="137"/>
      <c r="AF1934" s="137"/>
      <c r="AG1934" s="137"/>
    </row>
    <row r="1935" ht="30.0" customHeight="1">
      <c r="A1935" s="248"/>
      <c r="B1935" s="249"/>
      <c r="C1935" s="248"/>
      <c r="D1935" s="249"/>
      <c r="E1935" s="249"/>
      <c r="F1935" s="249"/>
      <c r="G1935" s="250"/>
      <c r="H1935" s="251"/>
      <c r="I1935" s="252"/>
      <c r="J1935" s="252"/>
      <c r="K1935" s="252"/>
      <c r="L1935" s="251"/>
      <c r="M1935" s="251"/>
      <c r="N1935" s="251"/>
      <c r="O1935" s="251"/>
      <c r="P1935" s="251"/>
      <c r="Q1935" s="251"/>
      <c r="R1935" s="251"/>
      <c r="S1935" s="251"/>
      <c r="T1935" s="251"/>
      <c r="U1935" s="251"/>
      <c r="V1935" s="251"/>
      <c r="W1935" s="251"/>
      <c r="X1935" s="251"/>
      <c r="Y1935" s="251"/>
      <c r="Z1935" s="251"/>
      <c r="AA1935" s="137"/>
      <c r="AB1935" s="137"/>
      <c r="AC1935" s="137"/>
      <c r="AD1935" s="137"/>
      <c r="AE1935" s="137"/>
      <c r="AF1935" s="137"/>
      <c r="AG1935" s="137"/>
    </row>
    <row r="1936" ht="30.0" customHeight="1">
      <c r="A1936" s="248"/>
      <c r="B1936" s="249"/>
      <c r="C1936" s="248"/>
      <c r="D1936" s="249"/>
      <c r="E1936" s="249"/>
      <c r="F1936" s="249"/>
      <c r="G1936" s="250"/>
      <c r="H1936" s="251"/>
      <c r="I1936" s="252"/>
      <c r="J1936" s="252"/>
      <c r="K1936" s="252"/>
      <c r="L1936" s="251"/>
      <c r="M1936" s="251"/>
      <c r="N1936" s="251"/>
      <c r="O1936" s="251"/>
      <c r="P1936" s="251"/>
      <c r="Q1936" s="251"/>
      <c r="R1936" s="251"/>
      <c r="S1936" s="251"/>
      <c r="T1936" s="251"/>
      <c r="U1936" s="251"/>
      <c r="V1936" s="251"/>
      <c r="W1936" s="251"/>
      <c r="X1936" s="251"/>
      <c r="Y1936" s="251"/>
      <c r="Z1936" s="251"/>
      <c r="AA1936" s="137"/>
      <c r="AB1936" s="137"/>
      <c r="AC1936" s="137"/>
      <c r="AD1936" s="137"/>
      <c r="AE1936" s="137"/>
      <c r="AF1936" s="137"/>
      <c r="AG1936" s="137"/>
    </row>
    <row r="1937" ht="30.0" customHeight="1">
      <c r="A1937" s="248"/>
      <c r="B1937" s="249"/>
      <c r="C1937" s="248"/>
      <c r="D1937" s="249"/>
      <c r="E1937" s="249"/>
      <c r="F1937" s="249"/>
      <c r="G1937" s="250"/>
      <c r="H1937" s="251"/>
      <c r="I1937" s="252"/>
      <c r="J1937" s="252"/>
      <c r="K1937" s="252"/>
      <c r="L1937" s="251"/>
      <c r="M1937" s="251"/>
      <c r="N1937" s="251"/>
      <c r="O1937" s="251"/>
      <c r="P1937" s="251"/>
      <c r="Q1937" s="251"/>
      <c r="R1937" s="251"/>
      <c r="S1937" s="251"/>
      <c r="T1937" s="251"/>
      <c r="U1937" s="251"/>
      <c r="V1937" s="251"/>
      <c r="W1937" s="251"/>
      <c r="X1937" s="251"/>
      <c r="Y1937" s="251"/>
      <c r="Z1937" s="251"/>
      <c r="AA1937" s="137"/>
      <c r="AB1937" s="137"/>
      <c r="AC1937" s="137"/>
      <c r="AD1937" s="137"/>
      <c r="AE1937" s="137"/>
      <c r="AF1937" s="137"/>
      <c r="AG1937" s="137"/>
    </row>
    <row r="1938" ht="30.0" customHeight="1">
      <c r="A1938" s="248"/>
      <c r="B1938" s="249"/>
      <c r="C1938" s="248"/>
      <c r="D1938" s="249"/>
      <c r="E1938" s="249"/>
      <c r="F1938" s="249"/>
      <c r="G1938" s="250"/>
      <c r="H1938" s="251"/>
      <c r="I1938" s="252"/>
      <c r="J1938" s="252"/>
      <c r="K1938" s="252"/>
      <c r="L1938" s="251"/>
      <c r="M1938" s="251"/>
      <c r="N1938" s="251"/>
      <c r="O1938" s="251"/>
      <c r="P1938" s="251"/>
      <c r="Q1938" s="251"/>
      <c r="R1938" s="251"/>
      <c r="S1938" s="251"/>
      <c r="T1938" s="251"/>
      <c r="U1938" s="251"/>
      <c r="V1938" s="251"/>
      <c r="W1938" s="251"/>
      <c r="X1938" s="251"/>
      <c r="Y1938" s="251"/>
      <c r="Z1938" s="251"/>
      <c r="AA1938" s="137"/>
      <c r="AB1938" s="137"/>
      <c r="AC1938" s="137"/>
      <c r="AD1938" s="137"/>
      <c r="AE1938" s="137"/>
      <c r="AF1938" s="137"/>
      <c r="AG1938" s="137"/>
    </row>
    <row r="1939" ht="30.0" customHeight="1">
      <c r="A1939" s="248"/>
      <c r="B1939" s="249"/>
      <c r="C1939" s="249"/>
      <c r="D1939" s="249"/>
      <c r="E1939" s="249"/>
      <c r="F1939" s="249"/>
      <c r="G1939" s="250"/>
      <c r="H1939" s="251"/>
      <c r="I1939" s="252"/>
      <c r="J1939" s="252"/>
      <c r="K1939" s="252"/>
      <c r="L1939" s="251"/>
      <c r="M1939" s="251"/>
      <c r="N1939" s="251"/>
      <c r="O1939" s="251"/>
      <c r="P1939" s="251"/>
      <c r="Q1939" s="251"/>
      <c r="R1939" s="251"/>
      <c r="S1939" s="251"/>
      <c r="T1939" s="251"/>
      <c r="U1939" s="251"/>
      <c r="V1939" s="251"/>
      <c r="W1939" s="251"/>
      <c r="X1939" s="251"/>
      <c r="Y1939" s="251"/>
      <c r="Z1939" s="251"/>
      <c r="AA1939" s="137"/>
      <c r="AB1939" s="137"/>
      <c r="AC1939" s="137"/>
      <c r="AD1939" s="137"/>
      <c r="AE1939" s="137"/>
      <c r="AF1939" s="137"/>
      <c r="AG1939" s="137"/>
    </row>
    <row r="1940" ht="30.0" customHeight="1">
      <c r="A1940" s="248"/>
      <c r="B1940" s="249"/>
      <c r="C1940" s="248"/>
      <c r="D1940" s="249"/>
      <c r="E1940" s="249"/>
      <c r="F1940" s="249"/>
      <c r="G1940" s="250"/>
      <c r="H1940" s="251"/>
      <c r="I1940" s="252"/>
      <c r="J1940" s="252"/>
      <c r="K1940" s="252"/>
      <c r="L1940" s="251"/>
      <c r="M1940" s="251"/>
      <c r="N1940" s="251"/>
      <c r="O1940" s="251"/>
      <c r="P1940" s="251"/>
      <c r="Q1940" s="251"/>
      <c r="R1940" s="251"/>
      <c r="S1940" s="251"/>
      <c r="T1940" s="251"/>
      <c r="U1940" s="251"/>
      <c r="V1940" s="251"/>
      <c r="W1940" s="251"/>
      <c r="X1940" s="251"/>
      <c r="Y1940" s="251"/>
      <c r="Z1940" s="251"/>
      <c r="AA1940" s="137"/>
      <c r="AB1940" s="137"/>
      <c r="AC1940" s="137"/>
      <c r="AD1940" s="137"/>
      <c r="AE1940" s="137"/>
      <c r="AF1940" s="137"/>
      <c r="AG1940" s="137"/>
    </row>
    <row r="1941" ht="30.0" customHeight="1">
      <c r="A1941" s="248"/>
      <c r="B1941" s="249"/>
      <c r="C1941" s="248"/>
      <c r="D1941" s="249"/>
      <c r="E1941" s="249"/>
      <c r="F1941" s="249"/>
      <c r="G1941" s="250"/>
      <c r="H1941" s="251"/>
      <c r="I1941" s="252"/>
      <c r="J1941" s="252"/>
      <c r="K1941" s="252"/>
      <c r="L1941" s="251"/>
      <c r="M1941" s="251"/>
      <c r="N1941" s="251"/>
      <c r="O1941" s="251"/>
      <c r="P1941" s="251"/>
      <c r="Q1941" s="251"/>
      <c r="R1941" s="251"/>
      <c r="S1941" s="251"/>
      <c r="T1941" s="251"/>
      <c r="U1941" s="251"/>
      <c r="V1941" s="251"/>
      <c r="W1941" s="251"/>
      <c r="X1941" s="251"/>
      <c r="Y1941" s="251"/>
      <c r="Z1941" s="251"/>
      <c r="AA1941" s="137"/>
      <c r="AB1941" s="137"/>
      <c r="AC1941" s="137"/>
      <c r="AD1941" s="137"/>
      <c r="AE1941" s="137"/>
      <c r="AF1941" s="137"/>
      <c r="AG1941" s="137"/>
    </row>
    <row r="1942" ht="30.0" customHeight="1">
      <c r="A1942" s="248"/>
      <c r="B1942" s="249"/>
      <c r="C1942" s="248"/>
      <c r="D1942" s="249"/>
      <c r="E1942" s="249"/>
      <c r="F1942" s="249"/>
      <c r="G1942" s="250"/>
      <c r="H1942" s="251"/>
      <c r="I1942" s="252"/>
      <c r="J1942" s="252"/>
      <c r="K1942" s="252"/>
      <c r="L1942" s="251"/>
      <c r="M1942" s="251"/>
      <c r="N1942" s="251"/>
      <c r="O1942" s="251"/>
      <c r="P1942" s="251"/>
      <c r="Q1942" s="251"/>
      <c r="R1942" s="251"/>
      <c r="S1942" s="251"/>
      <c r="T1942" s="251"/>
      <c r="U1942" s="251"/>
      <c r="V1942" s="251"/>
      <c r="W1942" s="251"/>
      <c r="X1942" s="251"/>
      <c r="Y1942" s="251"/>
      <c r="Z1942" s="251"/>
      <c r="AA1942" s="137"/>
      <c r="AB1942" s="137"/>
      <c r="AC1942" s="137"/>
      <c r="AD1942" s="137"/>
      <c r="AE1942" s="137"/>
      <c r="AF1942" s="137"/>
      <c r="AG1942" s="137"/>
    </row>
    <row r="1943" ht="30.0" customHeight="1">
      <c r="A1943" s="248"/>
      <c r="B1943" s="249"/>
      <c r="C1943" s="248"/>
      <c r="D1943" s="249"/>
      <c r="E1943" s="249"/>
      <c r="F1943" s="249"/>
      <c r="G1943" s="250"/>
      <c r="H1943" s="251"/>
      <c r="I1943" s="252"/>
      <c r="J1943" s="252"/>
      <c r="K1943" s="252"/>
      <c r="L1943" s="251"/>
      <c r="M1943" s="251"/>
      <c r="N1943" s="251"/>
      <c r="O1943" s="251"/>
      <c r="P1943" s="251"/>
      <c r="Q1943" s="251"/>
      <c r="R1943" s="251"/>
      <c r="S1943" s="251"/>
      <c r="T1943" s="251"/>
      <c r="U1943" s="251"/>
      <c r="V1943" s="251"/>
      <c r="W1943" s="251"/>
      <c r="X1943" s="251"/>
      <c r="Y1943" s="251"/>
      <c r="Z1943" s="251"/>
      <c r="AA1943" s="137"/>
      <c r="AB1943" s="137"/>
      <c r="AC1943" s="137"/>
      <c r="AD1943" s="137"/>
      <c r="AE1943" s="137"/>
      <c r="AF1943" s="137"/>
      <c r="AG1943" s="137"/>
    </row>
    <row r="1944" ht="30.0" customHeight="1">
      <c r="A1944" s="248"/>
      <c r="B1944" s="249"/>
      <c r="C1944" s="248"/>
      <c r="D1944" s="249"/>
      <c r="E1944" s="249"/>
      <c r="F1944" s="249"/>
      <c r="G1944" s="250"/>
      <c r="H1944" s="251"/>
      <c r="I1944" s="252"/>
      <c r="J1944" s="252"/>
      <c r="K1944" s="252"/>
      <c r="L1944" s="251"/>
      <c r="M1944" s="251"/>
      <c r="N1944" s="251"/>
      <c r="O1944" s="251"/>
      <c r="P1944" s="251"/>
      <c r="Q1944" s="251"/>
      <c r="R1944" s="251"/>
      <c r="S1944" s="251"/>
      <c r="T1944" s="251"/>
      <c r="U1944" s="251"/>
      <c r="V1944" s="251"/>
      <c r="W1944" s="251"/>
      <c r="X1944" s="251"/>
      <c r="Y1944" s="251"/>
      <c r="Z1944" s="251"/>
      <c r="AA1944" s="137"/>
      <c r="AB1944" s="137"/>
      <c r="AC1944" s="137"/>
      <c r="AD1944" s="137"/>
      <c r="AE1944" s="137"/>
      <c r="AF1944" s="137"/>
      <c r="AG1944" s="137"/>
    </row>
    <row r="1945" ht="30.0" customHeight="1">
      <c r="A1945" s="248"/>
      <c r="B1945" s="249"/>
      <c r="C1945" s="248"/>
      <c r="D1945" s="249"/>
      <c r="E1945" s="249"/>
      <c r="F1945" s="249"/>
      <c r="G1945" s="250"/>
      <c r="H1945" s="251"/>
      <c r="I1945" s="252"/>
      <c r="J1945" s="252"/>
      <c r="K1945" s="252"/>
      <c r="L1945" s="251"/>
      <c r="M1945" s="251"/>
      <c r="N1945" s="251"/>
      <c r="O1945" s="251"/>
      <c r="P1945" s="251"/>
      <c r="Q1945" s="251"/>
      <c r="R1945" s="251"/>
      <c r="S1945" s="251"/>
      <c r="T1945" s="251"/>
      <c r="U1945" s="251"/>
      <c r="V1945" s="251"/>
      <c r="W1945" s="251"/>
      <c r="X1945" s="251"/>
      <c r="Y1945" s="251"/>
      <c r="Z1945" s="251"/>
      <c r="AA1945" s="137"/>
      <c r="AB1945" s="137"/>
      <c r="AC1945" s="137"/>
      <c r="AD1945" s="137"/>
      <c r="AE1945" s="137"/>
      <c r="AF1945" s="137"/>
      <c r="AG1945" s="137"/>
    </row>
    <row r="1946" ht="30.0" customHeight="1">
      <c r="A1946" s="248"/>
      <c r="B1946" s="249"/>
      <c r="C1946" s="248"/>
      <c r="D1946" s="249"/>
      <c r="E1946" s="249"/>
      <c r="F1946" s="249"/>
      <c r="G1946" s="249"/>
      <c r="H1946" s="251"/>
      <c r="I1946" s="252"/>
      <c r="J1946" s="252"/>
      <c r="K1946" s="252"/>
      <c r="L1946" s="251"/>
      <c r="M1946" s="251"/>
      <c r="N1946" s="251"/>
      <c r="O1946" s="251"/>
      <c r="P1946" s="251"/>
      <c r="Q1946" s="251"/>
      <c r="R1946" s="251"/>
      <c r="S1946" s="251"/>
      <c r="T1946" s="251"/>
      <c r="U1946" s="251"/>
      <c r="V1946" s="251"/>
      <c r="W1946" s="251"/>
      <c r="X1946" s="251"/>
      <c r="Y1946" s="251"/>
      <c r="Z1946" s="251"/>
      <c r="AA1946" s="137"/>
      <c r="AB1946" s="137"/>
      <c r="AC1946" s="137"/>
      <c r="AD1946" s="137"/>
      <c r="AE1946" s="137"/>
      <c r="AF1946" s="137"/>
      <c r="AG1946" s="137"/>
    </row>
    <row r="1947" ht="30.0" customHeight="1">
      <c r="A1947" s="248"/>
      <c r="B1947" s="249"/>
      <c r="C1947" s="248"/>
      <c r="D1947" s="249"/>
      <c r="E1947" s="249"/>
      <c r="F1947" s="249"/>
      <c r="G1947" s="249"/>
      <c r="H1947" s="251"/>
      <c r="I1947" s="252"/>
      <c r="J1947" s="252"/>
      <c r="K1947" s="252"/>
      <c r="L1947" s="251"/>
      <c r="M1947" s="251"/>
      <c r="N1947" s="251"/>
      <c r="O1947" s="251"/>
      <c r="P1947" s="251"/>
      <c r="Q1947" s="251"/>
      <c r="R1947" s="251"/>
      <c r="S1947" s="251"/>
      <c r="T1947" s="251"/>
      <c r="U1947" s="251"/>
      <c r="V1947" s="251"/>
      <c r="W1947" s="251"/>
      <c r="X1947" s="251"/>
      <c r="Y1947" s="251"/>
      <c r="Z1947" s="251"/>
      <c r="AA1947" s="137"/>
      <c r="AB1947" s="137"/>
      <c r="AC1947" s="137"/>
      <c r="AD1947" s="137"/>
      <c r="AE1947" s="137"/>
      <c r="AF1947" s="137"/>
      <c r="AG1947" s="137"/>
    </row>
    <row r="1948" ht="30.0" customHeight="1">
      <c r="A1948" s="248"/>
      <c r="B1948" s="249"/>
      <c r="C1948" s="248"/>
      <c r="D1948" s="249"/>
      <c r="E1948" s="249"/>
      <c r="F1948" s="249"/>
      <c r="G1948" s="250"/>
      <c r="H1948" s="251"/>
      <c r="I1948" s="252"/>
      <c r="J1948" s="252"/>
      <c r="K1948" s="252"/>
      <c r="L1948" s="251"/>
      <c r="M1948" s="251"/>
      <c r="N1948" s="251"/>
      <c r="O1948" s="251"/>
      <c r="P1948" s="251"/>
      <c r="Q1948" s="251"/>
      <c r="R1948" s="251"/>
      <c r="S1948" s="251"/>
      <c r="T1948" s="251"/>
      <c r="U1948" s="251"/>
      <c r="V1948" s="251"/>
      <c r="W1948" s="251"/>
      <c r="X1948" s="251"/>
      <c r="Y1948" s="251"/>
      <c r="Z1948" s="251"/>
      <c r="AA1948" s="137"/>
      <c r="AB1948" s="137"/>
      <c r="AC1948" s="137"/>
      <c r="AD1948" s="137"/>
      <c r="AE1948" s="137"/>
      <c r="AF1948" s="137"/>
      <c r="AG1948" s="137"/>
    </row>
    <row r="1949" ht="30.0" customHeight="1">
      <c r="A1949" s="248"/>
      <c r="B1949" s="249"/>
      <c r="C1949" s="248"/>
      <c r="D1949" s="249"/>
      <c r="E1949" s="249"/>
      <c r="F1949" s="249"/>
      <c r="G1949" s="250"/>
      <c r="H1949" s="251"/>
      <c r="I1949" s="252"/>
      <c r="J1949" s="252"/>
      <c r="K1949" s="252"/>
      <c r="L1949" s="251"/>
      <c r="M1949" s="251"/>
      <c r="N1949" s="251"/>
      <c r="O1949" s="251"/>
      <c r="P1949" s="251"/>
      <c r="Q1949" s="251"/>
      <c r="R1949" s="251"/>
      <c r="S1949" s="251"/>
      <c r="T1949" s="251"/>
      <c r="U1949" s="251"/>
      <c r="V1949" s="251"/>
      <c r="W1949" s="251"/>
      <c r="X1949" s="251"/>
      <c r="Y1949" s="251"/>
      <c r="Z1949" s="251"/>
      <c r="AA1949" s="137"/>
      <c r="AB1949" s="137"/>
      <c r="AC1949" s="137"/>
      <c r="AD1949" s="137"/>
      <c r="AE1949" s="137"/>
      <c r="AF1949" s="137"/>
      <c r="AG1949" s="137"/>
    </row>
    <row r="1950" ht="30.0" customHeight="1">
      <c r="A1950" s="248"/>
      <c r="B1950" s="249"/>
      <c r="C1950" s="248"/>
      <c r="D1950" s="249"/>
      <c r="E1950" s="249"/>
      <c r="F1950" s="249"/>
      <c r="G1950" s="250"/>
      <c r="H1950" s="251"/>
      <c r="I1950" s="252"/>
      <c r="J1950" s="252"/>
      <c r="K1950" s="252"/>
      <c r="L1950" s="251"/>
      <c r="M1950" s="251"/>
      <c r="N1950" s="251"/>
      <c r="O1950" s="251"/>
      <c r="P1950" s="251"/>
      <c r="Q1950" s="251"/>
      <c r="R1950" s="251"/>
      <c r="S1950" s="251"/>
      <c r="T1950" s="251"/>
      <c r="U1950" s="251"/>
      <c r="V1950" s="251"/>
      <c r="W1950" s="251"/>
      <c r="X1950" s="251"/>
      <c r="Y1950" s="251"/>
      <c r="Z1950" s="251"/>
      <c r="AA1950" s="137"/>
      <c r="AB1950" s="137"/>
      <c r="AC1950" s="137"/>
      <c r="AD1950" s="137"/>
      <c r="AE1950" s="137"/>
      <c r="AF1950" s="137"/>
      <c r="AG1950" s="137"/>
    </row>
    <row r="1951" ht="30.0" customHeight="1">
      <c r="A1951" s="248"/>
      <c r="B1951" s="249"/>
      <c r="C1951" s="248"/>
      <c r="D1951" s="249"/>
      <c r="E1951" s="249"/>
      <c r="F1951" s="249"/>
      <c r="G1951" s="250"/>
      <c r="H1951" s="251"/>
      <c r="I1951" s="252"/>
      <c r="J1951" s="252"/>
      <c r="K1951" s="252"/>
      <c r="L1951" s="251"/>
      <c r="M1951" s="251"/>
      <c r="N1951" s="251"/>
      <c r="O1951" s="251"/>
      <c r="P1951" s="251"/>
      <c r="Q1951" s="251"/>
      <c r="R1951" s="251"/>
      <c r="S1951" s="251"/>
      <c r="T1951" s="251"/>
      <c r="U1951" s="251"/>
      <c r="V1951" s="251"/>
      <c r="W1951" s="251"/>
      <c r="X1951" s="251"/>
      <c r="Y1951" s="251"/>
      <c r="Z1951" s="251"/>
      <c r="AA1951" s="137"/>
      <c r="AB1951" s="137"/>
      <c r="AC1951" s="137"/>
      <c r="AD1951" s="137"/>
      <c r="AE1951" s="137"/>
      <c r="AF1951" s="137"/>
      <c r="AG1951" s="137"/>
    </row>
    <row r="1952" ht="30.0" customHeight="1">
      <c r="A1952" s="248"/>
      <c r="B1952" s="249"/>
      <c r="C1952" s="248"/>
      <c r="D1952" s="249"/>
      <c r="E1952" s="249"/>
      <c r="F1952" s="249"/>
      <c r="G1952" s="250"/>
      <c r="H1952" s="251"/>
      <c r="I1952" s="252"/>
      <c r="J1952" s="252"/>
      <c r="K1952" s="252"/>
      <c r="L1952" s="251"/>
      <c r="M1952" s="251"/>
      <c r="N1952" s="251"/>
      <c r="O1952" s="251"/>
      <c r="P1952" s="251"/>
      <c r="Q1952" s="251"/>
      <c r="R1952" s="251"/>
      <c r="S1952" s="251"/>
      <c r="T1952" s="251"/>
      <c r="U1952" s="251"/>
      <c r="V1952" s="251"/>
      <c r="W1952" s="251"/>
      <c r="X1952" s="251"/>
      <c r="Y1952" s="251"/>
      <c r="Z1952" s="251"/>
      <c r="AA1952" s="137"/>
      <c r="AB1952" s="137"/>
      <c r="AC1952" s="137"/>
      <c r="AD1952" s="137"/>
      <c r="AE1952" s="137"/>
      <c r="AF1952" s="137"/>
      <c r="AG1952" s="137"/>
    </row>
    <row r="1953" ht="30.0" customHeight="1">
      <c r="A1953" s="248"/>
      <c r="B1953" s="249"/>
      <c r="C1953" s="248"/>
      <c r="D1953" s="249"/>
      <c r="E1953" s="249"/>
      <c r="F1953" s="249"/>
      <c r="G1953" s="250"/>
      <c r="H1953" s="251"/>
      <c r="I1953" s="252"/>
      <c r="J1953" s="252"/>
      <c r="K1953" s="252"/>
      <c r="L1953" s="251"/>
      <c r="M1953" s="251"/>
      <c r="N1953" s="251"/>
      <c r="O1953" s="251"/>
      <c r="P1953" s="251"/>
      <c r="Q1953" s="251"/>
      <c r="R1953" s="251"/>
      <c r="S1953" s="251"/>
      <c r="T1953" s="251"/>
      <c r="U1953" s="251"/>
      <c r="V1953" s="251"/>
      <c r="W1953" s="251"/>
      <c r="X1953" s="251"/>
      <c r="Y1953" s="251"/>
      <c r="Z1953" s="251"/>
      <c r="AA1953" s="137"/>
      <c r="AB1953" s="137"/>
      <c r="AC1953" s="137"/>
      <c r="AD1953" s="137"/>
      <c r="AE1953" s="137"/>
      <c r="AF1953" s="137"/>
      <c r="AG1953" s="137"/>
    </row>
    <row r="1954" ht="30.0" customHeight="1">
      <c r="A1954" s="248"/>
      <c r="B1954" s="249"/>
      <c r="C1954" s="248"/>
      <c r="D1954" s="249"/>
      <c r="E1954" s="249"/>
      <c r="F1954" s="249"/>
      <c r="G1954" s="250"/>
      <c r="H1954" s="251"/>
      <c r="I1954" s="252"/>
      <c r="J1954" s="252"/>
      <c r="K1954" s="252"/>
      <c r="L1954" s="251"/>
      <c r="M1954" s="251"/>
      <c r="N1954" s="251"/>
      <c r="O1954" s="251"/>
      <c r="P1954" s="251"/>
      <c r="Q1954" s="251"/>
      <c r="R1954" s="251"/>
      <c r="S1954" s="251"/>
      <c r="T1954" s="251"/>
      <c r="U1954" s="251"/>
      <c r="V1954" s="251"/>
      <c r="W1954" s="251"/>
      <c r="X1954" s="251"/>
      <c r="Y1954" s="251"/>
      <c r="Z1954" s="251"/>
      <c r="AA1954" s="137"/>
      <c r="AB1954" s="137"/>
      <c r="AC1954" s="137"/>
      <c r="AD1954" s="137"/>
      <c r="AE1954" s="137"/>
      <c r="AF1954" s="137"/>
      <c r="AG1954" s="137"/>
    </row>
    <row r="1955" ht="30.0" customHeight="1">
      <c r="A1955" s="248"/>
      <c r="B1955" s="249"/>
      <c r="C1955" s="248"/>
      <c r="D1955" s="249"/>
      <c r="E1955" s="249"/>
      <c r="F1955" s="249"/>
      <c r="G1955" s="250"/>
      <c r="H1955" s="251"/>
      <c r="I1955" s="252"/>
      <c r="J1955" s="252"/>
      <c r="K1955" s="252"/>
      <c r="L1955" s="251"/>
      <c r="M1955" s="251"/>
      <c r="N1955" s="251"/>
      <c r="O1955" s="251"/>
      <c r="P1955" s="251"/>
      <c r="Q1955" s="251"/>
      <c r="R1955" s="251"/>
      <c r="S1955" s="251"/>
      <c r="T1955" s="251"/>
      <c r="U1955" s="251"/>
      <c r="V1955" s="251"/>
      <c r="W1955" s="251"/>
      <c r="X1955" s="251"/>
      <c r="Y1955" s="251"/>
      <c r="Z1955" s="251"/>
      <c r="AA1955" s="137"/>
      <c r="AB1955" s="137"/>
      <c r="AC1955" s="137"/>
      <c r="AD1955" s="137"/>
      <c r="AE1955" s="137"/>
      <c r="AF1955" s="137"/>
      <c r="AG1955" s="137"/>
    </row>
    <row r="1956" ht="30.0" customHeight="1">
      <c r="A1956" s="248"/>
      <c r="B1956" s="249"/>
      <c r="C1956" s="248"/>
      <c r="D1956" s="249"/>
      <c r="E1956" s="249"/>
      <c r="F1956" s="249"/>
      <c r="G1956" s="250"/>
      <c r="H1956" s="251"/>
      <c r="I1956" s="252"/>
      <c r="J1956" s="252"/>
      <c r="K1956" s="252"/>
      <c r="L1956" s="251"/>
      <c r="M1956" s="251"/>
      <c r="N1956" s="251"/>
      <c r="O1956" s="251"/>
      <c r="P1956" s="251"/>
      <c r="Q1956" s="251"/>
      <c r="R1956" s="251"/>
      <c r="S1956" s="251"/>
      <c r="T1956" s="251"/>
      <c r="U1956" s="251"/>
      <c r="V1956" s="251"/>
      <c r="W1956" s="251"/>
      <c r="X1956" s="251"/>
      <c r="Y1956" s="251"/>
      <c r="Z1956" s="251"/>
      <c r="AA1956" s="137"/>
      <c r="AB1956" s="137"/>
      <c r="AC1956" s="137"/>
      <c r="AD1956" s="137"/>
      <c r="AE1956" s="137"/>
      <c r="AF1956" s="137"/>
      <c r="AG1956" s="137"/>
    </row>
    <row r="1957" ht="30.0" customHeight="1">
      <c r="A1957" s="248"/>
      <c r="B1957" s="249"/>
      <c r="C1957" s="248"/>
      <c r="D1957" s="249"/>
      <c r="E1957" s="249"/>
      <c r="F1957" s="249"/>
      <c r="G1957" s="250"/>
      <c r="H1957" s="251"/>
      <c r="I1957" s="252"/>
      <c r="J1957" s="252"/>
      <c r="K1957" s="252"/>
      <c r="L1957" s="251"/>
      <c r="M1957" s="251"/>
      <c r="N1957" s="251"/>
      <c r="O1957" s="251"/>
      <c r="P1957" s="251"/>
      <c r="Q1957" s="251"/>
      <c r="R1957" s="251"/>
      <c r="S1957" s="251"/>
      <c r="T1957" s="251"/>
      <c r="U1957" s="251"/>
      <c r="V1957" s="251"/>
      <c r="W1957" s="251"/>
      <c r="X1957" s="251"/>
      <c r="Y1957" s="251"/>
      <c r="Z1957" s="251"/>
      <c r="AA1957" s="137"/>
      <c r="AB1957" s="137"/>
      <c r="AC1957" s="137"/>
      <c r="AD1957" s="137"/>
      <c r="AE1957" s="137"/>
      <c r="AF1957" s="137"/>
      <c r="AG1957" s="137"/>
    </row>
    <row r="1958" ht="30.0" customHeight="1">
      <c r="A1958" s="248"/>
      <c r="B1958" s="249"/>
      <c r="C1958" s="248"/>
      <c r="D1958" s="249"/>
      <c r="E1958" s="249"/>
      <c r="F1958" s="249"/>
      <c r="G1958" s="250"/>
      <c r="H1958" s="251"/>
      <c r="I1958" s="252"/>
      <c r="J1958" s="252"/>
      <c r="K1958" s="252"/>
      <c r="L1958" s="251"/>
      <c r="M1958" s="251"/>
      <c r="N1958" s="251"/>
      <c r="O1958" s="251"/>
      <c r="P1958" s="251"/>
      <c r="Q1958" s="251"/>
      <c r="R1958" s="251"/>
      <c r="S1958" s="251"/>
      <c r="T1958" s="251"/>
      <c r="U1958" s="251"/>
      <c r="V1958" s="251"/>
      <c r="W1958" s="251"/>
      <c r="X1958" s="251"/>
      <c r="Y1958" s="251"/>
      <c r="Z1958" s="251"/>
      <c r="AA1958" s="137"/>
      <c r="AB1958" s="137"/>
      <c r="AC1958" s="137"/>
      <c r="AD1958" s="137"/>
      <c r="AE1958" s="137"/>
      <c r="AF1958" s="137"/>
      <c r="AG1958" s="137"/>
    </row>
    <row r="1959" ht="30.0" customHeight="1">
      <c r="A1959" s="248"/>
      <c r="B1959" s="249"/>
      <c r="C1959" s="248"/>
      <c r="D1959" s="249"/>
      <c r="E1959" s="249"/>
      <c r="F1959" s="249"/>
      <c r="G1959" s="250"/>
      <c r="H1959" s="251"/>
      <c r="I1959" s="252"/>
      <c r="J1959" s="252"/>
      <c r="K1959" s="252"/>
      <c r="L1959" s="251"/>
      <c r="M1959" s="251"/>
      <c r="N1959" s="251"/>
      <c r="O1959" s="251"/>
      <c r="P1959" s="251"/>
      <c r="Q1959" s="251"/>
      <c r="R1959" s="251"/>
      <c r="S1959" s="251"/>
      <c r="T1959" s="251"/>
      <c r="U1959" s="251"/>
      <c r="V1959" s="251"/>
      <c r="W1959" s="251"/>
      <c r="X1959" s="251"/>
      <c r="Y1959" s="251"/>
      <c r="Z1959" s="251"/>
      <c r="AA1959" s="137"/>
      <c r="AB1959" s="137"/>
      <c r="AC1959" s="137"/>
      <c r="AD1959" s="137"/>
      <c r="AE1959" s="137"/>
      <c r="AF1959" s="137"/>
      <c r="AG1959" s="137"/>
    </row>
    <row r="1960" ht="30.0" customHeight="1">
      <c r="A1960" s="248"/>
      <c r="B1960" s="249"/>
      <c r="C1960" s="248"/>
      <c r="D1960" s="249"/>
      <c r="E1960" s="249"/>
      <c r="F1960" s="249"/>
      <c r="G1960" s="250"/>
      <c r="H1960" s="251"/>
      <c r="I1960" s="252"/>
      <c r="J1960" s="252"/>
      <c r="K1960" s="252"/>
      <c r="L1960" s="251"/>
      <c r="M1960" s="251"/>
      <c r="N1960" s="251"/>
      <c r="O1960" s="251"/>
      <c r="P1960" s="251"/>
      <c r="Q1960" s="251"/>
      <c r="R1960" s="251"/>
      <c r="S1960" s="251"/>
      <c r="T1960" s="251"/>
      <c r="U1960" s="251"/>
      <c r="V1960" s="251"/>
      <c r="W1960" s="251"/>
      <c r="X1960" s="251"/>
      <c r="Y1960" s="251"/>
      <c r="Z1960" s="251"/>
      <c r="AA1960" s="137"/>
      <c r="AB1960" s="137"/>
      <c r="AC1960" s="137"/>
      <c r="AD1960" s="137"/>
      <c r="AE1960" s="137"/>
      <c r="AF1960" s="137"/>
      <c r="AG1960" s="137"/>
    </row>
    <row r="1961" ht="30.0" customHeight="1">
      <c r="A1961" s="248"/>
      <c r="B1961" s="249"/>
      <c r="C1961" s="248"/>
      <c r="D1961" s="249"/>
      <c r="E1961" s="249"/>
      <c r="F1961" s="249"/>
      <c r="G1961" s="250"/>
      <c r="H1961" s="251"/>
      <c r="I1961" s="252"/>
      <c r="J1961" s="252"/>
      <c r="K1961" s="252"/>
      <c r="L1961" s="251"/>
      <c r="M1961" s="251"/>
      <c r="N1961" s="251"/>
      <c r="O1961" s="251"/>
      <c r="P1961" s="251"/>
      <c r="Q1961" s="251"/>
      <c r="R1961" s="251"/>
      <c r="S1961" s="251"/>
      <c r="T1961" s="251"/>
      <c r="U1961" s="251"/>
      <c r="V1961" s="251"/>
      <c r="W1961" s="251"/>
      <c r="X1961" s="251"/>
      <c r="Y1961" s="251"/>
      <c r="Z1961" s="251"/>
      <c r="AA1961" s="137"/>
      <c r="AB1961" s="137"/>
      <c r="AC1961" s="137"/>
      <c r="AD1961" s="137"/>
      <c r="AE1961" s="137"/>
      <c r="AF1961" s="137"/>
      <c r="AG1961" s="137"/>
    </row>
    <row r="1962" ht="30.0" customHeight="1">
      <c r="A1962" s="248"/>
      <c r="B1962" s="249"/>
      <c r="C1962" s="248"/>
      <c r="D1962" s="249"/>
      <c r="E1962" s="249"/>
      <c r="F1962" s="249"/>
      <c r="G1962" s="250"/>
      <c r="H1962" s="251"/>
      <c r="I1962" s="252"/>
      <c r="J1962" s="252"/>
      <c r="K1962" s="252"/>
      <c r="L1962" s="251"/>
      <c r="M1962" s="251"/>
      <c r="N1962" s="251"/>
      <c r="O1962" s="251"/>
      <c r="P1962" s="251"/>
      <c r="Q1962" s="251"/>
      <c r="R1962" s="251"/>
      <c r="S1962" s="251"/>
      <c r="T1962" s="251"/>
      <c r="U1962" s="251"/>
      <c r="V1962" s="251"/>
      <c r="W1962" s="251"/>
      <c r="X1962" s="251"/>
      <c r="Y1962" s="251"/>
      <c r="Z1962" s="251"/>
      <c r="AA1962" s="137"/>
      <c r="AB1962" s="137"/>
      <c r="AC1962" s="137"/>
      <c r="AD1962" s="137"/>
      <c r="AE1962" s="137"/>
      <c r="AF1962" s="137"/>
      <c r="AG1962" s="137"/>
    </row>
    <row r="1963" ht="30.0" customHeight="1">
      <c r="A1963" s="248"/>
      <c r="B1963" s="249"/>
      <c r="C1963" s="248"/>
      <c r="D1963" s="249"/>
      <c r="E1963" s="249"/>
      <c r="F1963" s="249"/>
      <c r="G1963" s="250"/>
      <c r="H1963" s="251"/>
      <c r="I1963" s="252"/>
      <c r="J1963" s="252"/>
      <c r="K1963" s="252"/>
      <c r="L1963" s="251"/>
      <c r="M1963" s="251"/>
      <c r="N1963" s="251"/>
      <c r="O1963" s="251"/>
      <c r="P1963" s="251"/>
      <c r="Q1963" s="251"/>
      <c r="R1963" s="251"/>
      <c r="S1963" s="251"/>
      <c r="T1963" s="251"/>
      <c r="U1963" s="251"/>
      <c r="V1963" s="251"/>
      <c r="W1963" s="251"/>
      <c r="X1963" s="251"/>
      <c r="Y1963" s="251"/>
      <c r="Z1963" s="251"/>
      <c r="AA1963" s="137"/>
      <c r="AB1963" s="137"/>
      <c r="AC1963" s="137"/>
      <c r="AD1963" s="137"/>
      <c r="AE1963" s="137"/>
      <c r="AF1963" s="137"/>
      <c r="AG1963" s="137"/>
    </row>
    <row r="1964" ht="30.0" customHeight="1">
      <c r="A1964" s="248"/>
      <c r="B1964" s="249"/>
      <c r="C1964" s="248"/>
      <c r="D1964" s="249"/>
      <c r="E1964" s="249"/>
      <c r="F1964" s="249"/>
      <c r="G1964" s="250"/>
      <c r="H1964" s="251"/>
      <c r="I1964" s="252"/>
      <c r="J1964" s="252"/>
      <c r="K1964" s="252"/>
      <c r="L1964" s="251"/>
      <c r="M1964" s="251"/>
      <c r="N1964" s="251"/>
      <c r="O1964" s="251"/>
      <c r="P1964" s="251"/>
      <c r="Q1964" s="251"/>
      <c r="R1964" s="251"/>
      <c r="S1964" s="251"/>
      <c r="T1964" s="251"/>
      <c r="U1964" s="251"/>
      <c r="V1964" s="251"/>
      <c r="W1964" s="251"/>
      <c r="X1964" s="251"/>
      <c r="Y1964" s="251"/>
      <c r="Z1964" s="251"/>
      <c r="AA1964" s="137"/>
      <c r="AB1964" s="137"/>
      <c r="AC1964" s="137"/>
      <c r="AD1964" s="137"/>
      <c r="AE1964" s="137"/>
      <c r="AF1964" s="137"/>
      <c r="AG1964" s="137"/>
    </row>
    <row r="1965" ht="30.0" customHeight="1">
      <c r="A1965" s="248"/>
      <c r="B1965" s="249"/>
      <c r="C1965" s="248"/>
      <c r="D1965" s="249"/>
      <c r="E1965" s="249"/>
      <c r="F1965" s="249"/>
      <c r="G1965" s="250"/>
      <c r="H1965" s="251"/>
      <c r="I1965" s="252"/>
      <c r="J1965" s="252"/>
      <c r="K1965" s="252"/>
      <c r="L1965" s="251"/>
      <c r="M1965" s="251"/>
      <c r="N1965" s="251"/>
      <c r="O1965" s="251"/>
      <c r="P1965" s="251"/>
      <c r="Q1965" s="251"/>
      <c r="R1965" s="251"/>
      <c r="S1965" s="251"/>
      <c r="T1965" s="251"/>
      <c r="U1965" s="251"/>
      <c r="V1965" s="251"/>
      <c r="W1965" s="251"/>
      <c r="X1965" s="251"/>
      <c r="Y1965" s="251"/>
      <c r="Z1965" s="251"/>
      <c r="AA1965" s="137"/>
      <c r="AB1965" s="137"/>
      <c r="AC1965" s="137"/>
      <c r="AD1965" s="137"/>
      <c r="AE1965" s="137"/>
      <c r="AF1965" s="137"/>
      <c r="AG1965" s="137"/>
    </row>
    <row r="1966" ht="30.0" customHeight="1">
      <c r="A1966" s="248"/>
      <c r="B1966" s="249"/>
      <c r="C1966" s="248"/>
      <c r="D1966" s="249"/>
      <c r="E1966" s="249"/>
      <c r="F1966" s="249"/>
      <c r="G1966" s="249"/>
      <c r="H1966" s="251"/>
      <c r="I1966" s="252"/>
      <c r="J1966" s="252"/>
      <c r="K1966" s="252"/>
      <c r="L1966" s="251"/>
      <c r="M1966" s="251"/>
      <c r="N1966" s="251"/>
      <c r="O1966" s="251"/>
      <c r="P1966" s="251"/>
      <c r="Q1966" s="251"/>
      <c r="R1966" s="251"/>
      <c r="S1966" s="251"/>
      <c r="T1966" s="251"/>
      <c r="U1966" s="251"/>
      <c r="V1966" s="251"/>
      <c r="W1966" s="251"/>
      <c r="X1966" s="251"/>
      <c r="Y1966" s="251"/>
      <c r="Z1966" s="251"/>
      <c r="AA1966" s="137"/>
      <c r="AB1966" s="137"/>
      <c r="AC1966" s="137"/>
      <c r="AD1966" s="137"/>
      <c r="AE1966" s="137"/>
      <c r="AF1966" s="137"/>
      <c r="AG1966" s="137"/>
    </row>
    <row r="1967" ht="30.0" customHeight="1">
      <c r="A1967" s="248"/>
      <c r="B1967" s="249"/>
      <c r="C1967" s="248"/>
      <c r="D1967" s="249"/>
      <c r="E1967" s="249"/>
      <c r="F1967" s="249"/>
      <c r="G1967" s="250"/>
      <c r="H1967" s="251"/>
      <c r="I1967" s="252"/>
      <c r="J1967" s="252"/>
      <c r="K1967" s="252"/>
      <c r="L1967" s="251"/>
      <c r="M1967" s="251"/>
      <c r="N1967" s="251"/>
      <c r="O1967" s="251"/>
      <c r="P1967" s="251"/>
      <c r="Q1967" s="251"/>
      <c r="R1967" s="251"/>
      <c r="S1967" s="251"/>
      <c r="T1967" s="251"/>
      <c r="U1967" s="251"/>
      <c r="V1967" s="251"/>
      <c r="W1967" s="251"/>
      <c r="X1967" s="251"/>
      <c r="Y1967" s="251"/>
      <c r="Z1967" s="251"/>
      <c r="AA1967" s="137"/>
      <c r="AB1967" s="137"/>
      <c r="AC1967" s="137"/>
      <c r="AD1967" s="137"/>
      <c r="AE1967" s="137"/>
      <c r="AF1967" s="137"/>
      <c r="AG1967" s="137"/>
    </row>
    <row r="1968" ht="30.0" customHeight="1">
      <c r="A1968" s="248"/>
      <c r="B1968" s="249"/>
      <c r="C1968" s="248"/>
      <c r="D1968" s="249"/>
      <c r="E1968" s="249"/>
      <c r="F1968" s="249"/>
      <c r="G1968" s="249"/>
      <c r="H1968" s="251"/>
      <c r="I1968" s="252"/>
      <c r="J1968" s="252"/>
      <c r="K1968" s="252"/>
      <c r="L1968" s="251"/>
      <c r="M1968" s="251"/>
      <c r="N1968" s="251"/>
      <c r="O1968" s="251"/>
      <c r="P1968" s="251"/>
      <c r="Q1968" s="251"/>
      <c r="R1968" s="251"/>
      <c r="S1968" s="251"/>
      <c r="T1968" s="251"/>
      <c r="U1968" s="251"/>
      <c r="V1968" s="251"/>
      <c r="W1968" s="251"/>
      <c r="X1968" s="251"/>
      <c r="Y1968" s="251"/>
      <c r="Z1968" s="251"/>
      <c r="AA1968" s="137"/>
      <c r="AB1968" s="137"/>
      <c r="AC1968" s="137"/>
      <c r="AD1968" s="137"/>
      <c r="AE1968" s="137"/>
      <c r="AF1968" s="137"/>
      <c r="AG1968" s="137"/>
    </row>
    <row r="1969" ht="30.0" customHeight="1">
      <c r="A1969" s="248"/>
      <c r="B1969" s="249"/>
      <c r="C1969" s="248"/>
      <c r="D1969" s="249"/>
      <c r="E1969" s="249"/>
      <c r="F1969" s="249"/>
      <c r="G1969" s="250"/>
      <c r="H1969" s="251"/>
      <c r="I1969" s="252"/>
      <c r="J1969" s="252"/>
      <c r="K1969" s="252"/>
      <c r="L1969" s="251"/>
      <c r="M1969" s="251"/>
      <c r="N1969" s="251"/>
      <c r="O1969" s="251"/>
      <c r="P1969" s="251"/>
      <c r="Q1969" s="251"/>
      <c r="R1969" s="251"/>
      <c r="S1969" s="251"/>
      <c r="T1969" s="251"/>
      <c r="U1969" s="251"/>
      <c r="V1969" s="251"/>
      <c r="W1969" s="251"/>
      <c r="X1969" s="251"/>
      <c r="Y1969" s="251"/>
      <c r="Z1969" s="251"/>
      <c r="AA1969" s="137"/>
      <c r="AB1969" s="137"/>
      <c r="AC1969" s="137"/>
      <c r="AD1969" s="137"/>
      <c r="AE1969" s="137"/>
      <c r="AF1969" s="137"/>
      <c r="AG1969" s="137"/>
    </row>
    <row r="1970" ht="30.0" customHeight="1">
      <c r="A1970" s="248"/>
      <c r="B1970" s="249"/>
      <c r="C1970" s="248"/>
      <c r="D1970" s="249"/>
      <c r="E1970" s="249"/>
      <c r="F1970" s="249"/>
      <c r="G1970" s="250"/>
      <c r="H1970" s="251"/>
      <c r="I1970" s="252"/>
      <c r="J1970" s="252"/>
      <c r="K1970" s="252"/>
      <c r="L1970" s="251"/>
      <c r="M1970" s="251"/>
      <c r="N1970" s="251"/>
      <c r="O1970" s="251"/>
      <c r="P1970" s="251"/>
      <c r="Q1970" s="251"/>
      <c r="R1970" s="251"/>
      <c r="S1970" s="251"/>
      <c r="T1970" s="251"/>
      <c r="U1970" s="251"/>
      <c r="V1970" s="251"/>
      <c r="W1970" s="251"/>
      <c r="X1970" s="251"/>
      <c r="Y1970" s="251"/>
      <c r="Z1970" s="251"/>
      <c r="AA1970" s="137"/>
      <c r="AB1970" s="137"/>
      <c r="AC1970" s="137"/>
      <c r="AD1970" s="137"/>
      <c r="AE1970" s="137"/>
      <c r="AF1970" s="137"/>
      <c r="AG1970" s="137"/>
    </row>
    <row r="1971" ht="30.0" customHeight="1">
      <c r="A1971" s="248"/>
      <c r="B1971" s="249"/>
      <c r="C1971" s="248"/>
      <c r="D1971" s="249"/>
      <c r="E1971" s="249"/>
      <c r="F1971" s="249"/>
      <c r="G1971" s="250"/>
      <c r="H1971" s="251"/>
      <c r="I1971" s="252"/>
      <c r="J1971" s="252"/>
      <c r="K1971" s="252"/>
      <c r="L1971" s="251"/>
      <c r="M1971" s="251"/>
      <c r="N1971" s="251"/>
      <c r="O1971" s="251"/>
      <c r="P1971" s="251"/>
      <c r="Q1971" s="251"/>
      <c r="R1971" s="251"/>
      <c r="S1971" s="251"/>
      <c r="T1971" s="251"/>
      <c r="U1971" s="251"/>
      <c r="V1971" s="251"/>
      <c r="W1971" s="251"/>
      <c r="X1971" s="251"/>
      <c r="Y1971" s="251"/>
      <c r="Z1971" s="251"/>
      <c r="AA1971" s="137"/>
      <c r="AB1971" s="137"/>
      <c r="AC1971" s="137"/>
      <c r="AD1971" s="137"/>
      <c r="AE1971" s="137"/>
      <c r="AF1971" s="137"/>
      <c r="AG1971" s="137"/>
    </row>
    <row r="1972" ht="30.0" customHeight="1">
      <c r="A1972" s="248"/>
      <c r="B1972" s="249"/>
      <c r="C1972" s="248"/>
      <c r="D1972" s="249"/>
      <c r="E1972" s="249"/>
      <c r="F1972" s="249"/>
      <c r="G1972" s="250"/>
      <c r="H1972" s="251"/>
      <c r="I1972" s="252"/>
      <c r="J1972" s="252"/>
      <c r="K1972" s="252"/>
      <c r="L1972" s="251"/>
      <c r="M1972" s="251"/>
      <c r="N1972" s="251"/>
      <c r="O1972" s="251"/>
      <c r="P1972" s="251"/>
      <c r="Q1972" s="251"/>
      <c r="R1972" s="251"/>
      <c r="S1972" s="251"/>
      <c r="T1972" s="251"/>
      <c r="U1972" s="251"/>
      <c r="V1972" s="251"/>
      <c r="W1972" s="251"/>
      <c r="X1972" s="251"/>
      <c r="Y1972" s="251"/>
      <c r="Z1972" s="251"/>
      <c r="AA1972" s="137"/>
      <c r="AB1972" s="137"/>
      <c r="AC1972" s="137"/>
      <c r="AD1972" s="137"/>
      <c r="AE1972" s="137"/>
      <c r="AF1972" s="137"/>
      <c r="AG1972" s="137"/>
    </row>
    <row r="1973" ht="30.0" customHeight="1">
      <c r="A1973" s="248"/>
      <c r="B1973" s="249"/>
      <c r="C1973" s="248"/>
      <c r="D1973" s="249"/>
      <c r="E1973" s="249"/>
      <c r="F1973" s="249"/>
      <c r="G1973" s="250"/>
      <c r="H1973" s="251"/>
      <c r="I1973" s="252"/>
      <c r="J1973" s="252"/>
      <c r="K1973" s="252"/>
      <c r="L1973" s="251"/>
      <c r="M1973" s="251"/>
      <c r="N1973" s="251"/>
      <c r="O1973" s="251"/>
      <c r="P1973" s="251"/>
      <c r="Q1973" s="251"/>
      <c r="R1973" s="251"/>
      <c r="S1973" s="251"/>
      <c r="T1973" s="251"/>
      <c r="U1973" s="251"/>
      <c r="V1973" s="251"/>
      <c r="W1973" s="251"/>
      <c r="X1973" s="251"/>
      <c r="Y1973" s="251"/>
      <c r="Z1973" s="251"/>
      <c r="AA1973" s="137"/>
      <c r="AB1973" s="137"/>
      <c r="AC1973" s="137"/>
      <c r="AD1973" s="137"/>
      <c r="AE1973" s="137"/>
      <c r="AF1973" s="137"/>
      <c r="AG1973" s="137"/>
    </row>
    <row r="1974" ht="30.0" customHeight="1">
      <c r="A1974" s="248"/>
      <c r="B1974" s="249"/>
      <c r="C1974" s="248"/>
      <c r="D1974" s="249"/>
      <c r="E1974" s="249"/>
      <c r="F1974" s="249"/>
      <c r="G1974" s="250"/>
      <c r="H1974" s="251"/>
      <c r="I1974" s="252"/>
      <c r="J1974" s="252"/>
      <c r="K1974" s="252"/>
      <c r="L1974" s="251"/>
      <c r="M1974" s="251"/>
      <c r="N1974" s="251"/>
      <c r="O1974" s="251"/>
      <c r="P1974" s="251"/>
      <c r="Q1974" s="251"/>
      <c r="R1974" s="251"/>
      <c r="S1974" s="251"/>
      <c r="T1974" s="251"/>
      <c r="U1974" s="251"/>
      <c r="V1974" s="251"/>
      <c r="W1974" s="251"/>
      <c r="X1974" s="251"/>
      <c r="Y1974" s="251"/>
      <c r="Z1974" s="251"/>
      <c r="AA1974" s="137"/>
      <c r="AB1974" s="137"/>
      <c r="AC1974" s="137"/>
      <c r="AD1974" s="137"/>
      <c r="AE1974" s="137"/>
      <c r="AF1974" s="137"/>
      <c r="AG1974" s="137"/>
    </row>
    <row r="1975" ht="30.0" customHeight="1">
      <c r="A1975" s="248"/>
      <c r="B1975" s="249"/>
      <c r="C1975" s="248"/>
      <c r="D1975" s="249"/>
      <c r="E1975" s="249"/>
      <c r="F1975" s="249"/>
      <c r="G1975" s="250"/>
      <c r="H1975" s="251"/>
      <c r="I1975" s="252"/>
      <c r="J1975" s="252"/>
      <c r="K1975" s="252"/>
      <c r="L1975" s="251"/>
      <c r="M1975" s="251"/>
      <c r="N1975" s="251"/>
      <c r="O1975" s="251"/>
      <c r="P1975" s="251"/>
      <c r="Q1975" s="251"/>
      <c r="R1975" s="251"/>
      <c r="S1975" s="251"/>
      <c r="T1975" s="251"/>
      <c r="U1975" s="251"/>
      <c r="V1975" s="251"/>
      <c r="W1975" s="251"/>
      <c r="X1975" s="251"/>
      <c r="Y1975" s="251"/>
      <c r="Z1975" s="251"/>
      <c r="AA1975" s="137"/>
      <c r="AB1975" s="137"/>
      <c r="AC1975" s="137"/>
      <c r="AD1975" s="137"/>
      <c r="AE1975" s="137"/>
      <c r="AF1975" s="137"/>
      <c r="AG1975" s="137"/>
    </row>
    <row r="1976" ht="30.0" customHeight="1">
      <c r="A1976" s="248"/>
      <c r="B1976" s="249"/>
      <c r="C1976" s="248"/>
      <c r="D1976" s="249"/>
      <c r="E1976" s="249"/>
      <c r="F1976" s="249"/>
      <c r="G1976" s="250"/>
      <c r="H1976" s="251"/>
      <c r="I1976" s="252"/>
      <c r="J1976" s="252"/>
      <c r="K1976" s="252"/>
      <c r="L1976" s="251"/>
      <c r="M1976" s="251"/>
      <c r="N1976" s="251"/>
      <c r="O1976" s="251"/>
      <c r="P1976" s="251"/>
      <c r="Q1976" s="251"/>
      <c r="R1976" s="251"/>
      <c r="S1976" s="251"/>
      <c r="T1976" s="251"/>
      <c r="U1976" s="251"/>
      <c r="V1976" s="251"/>
      <c r="W1976" s="251"/>
      <c r="X1976" s="251"/>
      <c r="Y1976" s="251"/>
      <c r="Z1976" s="251"/>
      <c r="AA1976" s="137"/>
      <c r="AB1976" s="137"/>
      <c r="AC1976" s="137"/>
      <c r="AD1976" s="137"/>
      <c r="AE1976" s="137"/>
      <c r="AF1976" s="137"/>
      <c r="AG1976" s="137"/>
    </row>
    <row r="1977" ht="30.0" customHeight="1">
      <c r="A1977" s="248"/>
      <c r="B1977" s="249"/>
      <c r="C1977" s="248"/>
      <c r="D1977" s="249"/>
      <c r="E1977" s="249"/>
      <c r="F1977" s="249"/>
      <c r="G1977" s="250"/>
      <c r="H1977" s="251"/>
      <c r="I1977" s="252"/>
      <c r="J1977" s="252"/>
      <c r="K1977" s="252"/>
      <c r="L1977" s="251"/>
      <c r="M1977" s="251"/>
      <c r="N1977" s="251"/>
      <c r="O1977" s="251"/>
      <c r="P1977" s="251"/>
      <c r="Q1977" s="251"/>
      <c r="R1977" s="251"/>
      <c r="S1977" s="251"/>
      <c r="T1977" s="251"/>
      <c r="U1977" s="251"/>
      <c r="V1977" s="251"/>
      <c r="W1977" s="251"/>
      <c r="X1977" s="251"/>
      <c r="Y1977" s="251"/>
      <c r="Z1977" s="251"/>
      <c r="AA1977" s="137"/>
      <c r="AB1977" s="137"/>
      <c r="AC1977" s="137"/>
      <c r="AD1977" s="137"/>
      <c r="AE1977" s="137"/>
      <c r="AF1977" s="137"/>
      <c r="AG1977" s="137"/>
    </row>
    <row r="1978" ht="30.0" customHeight="1">
      <c r="A1978" s="248"/>
      <c r="B1978" s="249"/>
      <c r="C1978" s="248"/>
      <c r="D1978" s="249"/>
      <c r="E1978" s="249"/>
      <c r="F1978" s="249"/>
      <c r="G1978" s="250"/>
      <c r="H1978" s="251"/>
      <c r="I1978" s="252"/>
      <c r="J1978" s="252"/>
      <c r="K1978" s="252"/>
      <c r="L1978" s="251"/>
      <c r="M1978" s="251"/>
      <c r="N1978" s="251"/>
      <c r="O1978" s="251"/>
      <c r="P1978" s="251"/>
      <c r="Q1978" s="251"/>
      <c r="R1978" s="251"/>
      <c r="S1978" s="251"/>
      <c r="T1978" s="251"/>
      <c r="U1978" s="251"/>
      <c r="V1978" s="251"/>
      <c r="W1978" s="251"/>
      <c r="X1978" s="251"/>
      <c r="Y1978" s="251"/>
      <c r="Z1978" s="251"/>
      <c r="AA1978" s="137"/>
      <c r="AB1978" s="137"/>
      <c r="AC1978" s="137"/>
      <c r="AD1978" s="137"/>
      <c r="AE1978" s="137"/>
      <c r="AF1978" s="137"/>
      <c r="AG1978" s="137"/>
    </row>
    <row r="1979" ht="30.0" customHeight="1">
      <c r="A1979" s="248"/>
      <c r="B1979" s="249"/>
      <c r="C1979" s="248"/>
      <c r="D1979" s="249"/>
      <c r="E1979" s="249"/>
      <c r="F1979" s="249"/>
      <c r="G1979" s="250"/>
      <c r="H1979" s="251"/>
      <c r="I1979" s="252"/>
      <c r="J1979" s="252"/>
      <c r="K1979" s="252"/>
      <c r="L1979" s="251"/>
      <c r="M1979" s="251"/>
      <c r="N1979" s="251"/>
      <c r="O1979" s="251"/>
      <c r="P1979" s="251"/>
      <c r="Q1979" s="251"/>
      <c r="R1979" s="251"/>
      <c r="S1979" s="251"/>
      <c r="T1979" s="251"/>
      <c r="U1979" s="251"/>
      <c r="V1979" s="251"/>
      <c r="W1979" s="251"/>
      <c r="X1979" s="251"/>
      <c r="Y1979" s="251"/>
      <c r="Z1979" s="251"/>
      <c r="AA1979" s="137"/>
      <c r="AB1979" s="137"/>
      <c r="AC1979" s="137"/>
      <c r="AD1979" s="137"/>
      <c r="AE1979" s="137"/>
      <c r="AF1979" s="137"/>
      <c r="AG1979" s="137"/>
    </row>
    <row r="1980" ht="30.0" customHeight="1">
      <c r="A1980" s="248"/>
      <c r="B1980" s="249"/>
      <c r="C1980" s="248"/>
      <c r="D1980" s="249"/>
      <c r="E1980" s="249"/>
      <c r="F1980" s="249"/>
      <c r="G1980" s="250"/>
      <c r="H1980" s="251"/>
      <c r="I1980" s="252"/>
      <c r="J1980" s="252"/>
      <c r="K1980" s="252"/>
      <c r="L1980" s="251"/>
      <c r="M1980" s="251"/>
      <c r="N1980" s="251"/>
      <c r="O1980" s="251"/>
      <c r="P1980" s="251"/>
      <c r="Q1980" s="251"/>
      <c r="R1980" s="251"/>
      <c r="S1980" s="251"/>
      <c r="T1980" s="251"/>
      <c r="U1980" s="251"/>
      <c r="V1980" s="251"/>
      <c r="W1980" s="251"/>
      <c r="X1980" s="251"/>
      <c r="Y1980" s="251"/>
      <c r="Z1980" s="251"/>
      <c r="AA1980" s="137"/>
      <c r="AB1980" s="137"/>
      <c r="AC1980" s="137"/>
      <c r="AD1980" s="137"/>
      <c r="AE1980" s="137"/>
      <c r="AF1980" s="137"/>
      <c r="AG1980" s="137"/>
    </row>
    <row r="1981" ht="30.0" customHeight="1">
      <c r="A1981" s="248"/>
      <c r="B1981" s="249"/>
      <c r="C1981" s="248"/>
      <c r="D1981" s="249"/>
      <c r="E1981" s="249"/>
      <c r="F1981" s="249"/>
      <c r="G1981" s="250"/>
      <c r="H1981" s="251"/>
      <c r="I1981" s="252"/>
      <c r="J1981" s="252"/>
      <c r="K1981" s="252"/>
      <c r="L1981" s="251"/>
      <c r="M1981" s="251"/>
      <c r="N1981" s="251"/>
      <c r="O1981" s="251"/>
      <c r="P1981" s="251"/>
      <c r="Q1981" s="251"/>
      <c r="R1981" s="251"/>
      <c r="S1981" s="251"/>
      <c r="T1981" s="251"/>
      <c r="U1981" s="251"/>
      <c r="V1981" s="251"/>
      <c r="W1981" s="251"/>
      <c r="X1981" s="251"/>
      <c r="Y1981" s="251"/>
      <c r="Z1981" s="251"/>
      <c r="AA1981" s="137"/>
      <c r="AB1981" s="137"/>
      <c r="AC1981" s="137"/>
      <c r="AD1981" s="137"/>
      <c r="AE1981" s="137"/>
      <c r="AF1981" s="137"/>
      <c r="AG1981" s="137"/>
    </row>
    <row r="1982" ht="30.0" customHeight="1">
      <c r="A1982" s="248"/>
      <c r="B1982" s="249"/>
      <c r="C1982" s="248"/>
      <c r="D1982" s="249"/>
      <c r="E1982" s="249"/>
      <c r="F1982" s="249"/>
      <c r="G1982" s="250"/>
      <c r="H1982" s="251"/>
      <c r="I1982" s="252"/>
      <c r="J1982" s="252"/>
      <c r="K1982" s="252"/>
      <c r="L1982" s="251"/>
      <c r="M1982" s="251"/>
      <c r="N1982" s="251"/>
      <c r="O1982" s="251"/>
      <c r="P1982" s="251"/>
      <c r="Q1982" s="251"/>
      <c r="R1982" s="251"/>
      <c r="S1982" s="251"/>
      <c r="T1982" s="251"/>
      <c r="U1982" s="251"/>
      <c r="V1982" s="251"/>
      <c r="W1982" s="251"/>
      <c r="X1982" s="251"/>
      <c r="Y1982" s="251"/>
      <c r="Z1982" s="251"/>
      <c r="AA1982" s="137"/>
      <c r="AB1982" s="137"/>
      <c r="AC1982" s="137"/>
      <c r="AD1982" s="137"/>
      <c r="AE1982" s="137"/>
      <c r="AF1982" s="137"/>
      <c r="AG1982" s="137"/>
    </row>
    <row r="1983" ht="30.0" customHeight="1">
      <c r="A1983" s="248"/>
      <c r="B1983" s="249"/>
      <c r="C1983" s="248"/>
      <c r="D1983" s="249"/>
      <c r="E1983" s="249"/>
      <c r="F1983" s="249"/>
      <c r="G1983" s="250"/>
      <c r="H1983" s="251"/>
      <c r="I1983" s="252"/>
      <c r="J1983" s="252"/>
      <c r="K1983" s="252"/>
      <c r="L1983" s="251"/>
      <c r="M1983" s="251"/>
      <c r="N1983" s="251"/>
      <c r="O1983" s="251"/>
      <c r="P1983" s="251"/>
      <c r="Q1983" s="251"/>
      <c r="R1983" s="251"/>
      <c r="S1983" s="251"/>
      <c r="T1983" s="251"/>
      <c r="U1983" s="251"/>
      <c r="V1983" s="251"/>
      <c r="W1983" s="251"/>
      <c r="X1983" s="251"/>
      <c r="Y1983" s="251"/>
      <c r="Z1983" s="251"/>
      <c r="AA1983" s="137"/>
      <c r="AB1983" s="137"/>
      <c r="AC1983" s="137"/>
      <c r="AD1983" s="137"/>
      <c r="AE1983" s="137"/>
      <c r="AF1983" s="137"/>
      <c r="AG1983" s="137"/>
    </row>
    <row r="1984" ht="30.0" customHeight="1">
      <c r="A1984" s="248"/>
      <c r="B1984" s="249"/>
      <c r="C1984" s="248"/>
      <c r="D1984" s="249"/>
      <c r="E1984" s="249"/>
      <c r="F1984" s="249"/>
      <c r="G1984" s="250"/>
      <c r="H1984" s="251"/>
      <c r="I1984" s="252"/>
      <c r="J1984" s="252"/>
      <c r="K1984" s="252"/>
      <c r="L1984" s="251"/>
      <c r="M1984" s="251"/>
      <c r="N1984" s="251"/>
      <c r="O1984" s="251"/>
      <c r="P1984" s="251"/>
      <c r="Q1984" s="251"/>
      <c r="R1984" s="251"/>
      <c r="S1984" s="251"/>
      <c r="T1984" s="251"/>
      <c r="U1984" s="251"/>
      <c r="V1984" s="251"/>
      <c r="W1984" s="251"/>
      <c r="X1984" s="251"/>
      <c r="Y1984" s="251"/>
      <c r="Z1984" s="251"/>
      <c r="AA1984" s="137"/>
      <c r="AB1984" s="137"/>
      <c r="AC1984" s="137"/>
      <c r="AD1984" s="137"/>
      <c r="AE1984" s="137"/>
      <c r="AF1984" s="137"/>
      <c r="AG1984" s="137"/>
    </row>
    <row r="1985" ht="30.0" customHeight="1">
      <c r="A1985" s="248"/>
      <c r="B1985" s="249"/>
      <c r="C1985" s="248"/>
      <c r="D1985" s="249"/>
      <c r="E1985" s="249"/>
      <c r="F1985" s="249"/>
      <c r="G1985" s="250"/>
      <c r="H1985" s="251"/>
      <c r="I1985" s="252"/>
      <c r="J1985" s="252"/>
      <c r="K1985" s="252"/>
      <c r="L1985" s="251"/>
      <c r="M1985" s="251"/>
      <c r="N1985" s="251"/>
      <c r="O1985" s="251"/>
      <c r="P1985" s="251"/>
      <c r="Q1985" s="251"/>
      <c r="R1985" s="251"/>
      <c r="S1985" s="251"/>
      <c r="T1985" s="251"/>
      <c r="U1985" s="251"/>
      <c r="V1985" s="251"/>
      <c r="W1985" s="251"/>
      <c r="X1985" s="251"/>
      <c r="Y1985" s="251"/>
      <c r="Z1985" s="251"/>
      <c r="AA1985" s="137"/>
      <c r="AB1985" s="137"/>
      <c r="AC1985" s="137"/>
      <c r="AD1985" s="137"/>
      <c r="AE1985" s="137"/>
      <c r="AF1985" s="137"/>
      <c r="AG1985" s="137"/>
    </row>
    <row r="1986" ht="30.0" customHeight="1">
      <c r="A1986" s="248"/>
      <c r="B1986" s="249"/>
      <c r="C1986" s="248"/>
      <c r="D1986" s="249"/>
      <c r="E1986" s="249"/>
      <c r="F1986" s="249"/>
      <c r="G1986" s="250"/>
      <c r="H1986" s="251"/>
      <c r="I1986" s="252"/>
      <c r="J1986" s="252"/>
      <c r="K1986" s="252"/>
      <c r="L1986" s="251"/>
      <c r="M1986" s="251"/>
      <c r="N1986" s="251"/>
      <c r="O1986" s="251"/>
      <c r="P1986" s="251"/>
      <c r="Q1986" s="251"/>
      <c r="R1986" s="251"/>
      <c r="S1986" s="251"/>
      <c r="T1986" s="251"/>
      <c r="U1986" s="251"/>
      <c r="V1986" s="251"/>
      <c r="W1986" s="251"/>
      <c r="X1986" s="251"/>
      <c r="Y1986" s="251"/>
      <c r="Z1986" s="251"/>
      <c r="AA1986" s="137"/>
      <c r="AB1986" s="137"/>
      <c r="AC1986" s="137"/>
      <c r="AD1986" s="137"/>
      <c r="AE1986" s="137"/>
      <c r="AF1986" s="137"/>
      <c r="AG1986" s="137"/>
    </row>
    <row r="1987" ht="30.0" customHeight="1">
      <c r="A1987" s="248"/>
      <c r="B1987" s="249"/>
      <c r="C1987" s="248"/>
      <c r="D1987" s="249"/>
      <c r="E1987" s="249"/>
      <c r="F1987" s="249"/>
      <c r="G1987" s="250"/>
      <c r="H1987" s="251"/>
      <c r="I1987" s="252"/>
      <c r="J1987" s="252"/>
      <c r="K1987" s="252"/>
      <c r="L1987" s="251"/>
      <c r="M1987" s="251"/>
      <c r="N1987" s="251"/>
      <c r="O1987" s="251"/>
      <c r="P1987" s="251"/>
      <c r="Q1987" s="251"/>
      <c r="R1987" s="251"/>
      <c r="S1987" s="251"/>
      <c r="T1987" s="251"/>
      <c r="U1987" s="251"/>
      <c r="V1987" s="251"/>
      <c r="W1987" s="251"/>
      <c r="X1987" s="251"/>
      <c r="Y1987" s="251"/>
      <c r="Z1987" s="251"/>
      <c r="AA1987" s="137"/>
      <c r="AB1987" s="137"/>
      <c r="AC1987" s="137"/>
      <c r="AD1987" s="137"/>
      <c r="AE1987" s="137"/>
      <c r="AF1987" s="137"/>
      <c r="AG1987" s="137"/>
    </row>
    <row r="1988" ht="30.0" customHeight="1">
      <c r="A1988" s="248"/>
      <c r="B1988" s="249"/>
      <c r="C1988" s="248"/>
      <c r="D1988" s="249"/>
      <c r="E1988" s="249"/>
      <c r="F1988" s="249"/>
      <c r="G1988" s="250"/>
      <c r="H1988" s="251"/>
      <c r="I1988" s="252"/>
      <c r="J1988" s="252"/>
      <c r="K1988" s="252"/>
      <c r="L1988" s="251"/>
      <c r="M1988" s="251"/>
      <c r="N1988" s="251"/>
      <c r="O1988" s="251"/>
      <c r="P1988" s="251"/>
      <c r="Q1988" s="251"/>
      <c r="R1988" s="251"/>
      <c r="S1988" s="251"/>
      <c r="T1988" s="251"/>
      <c r="U1988" s="251"/>
      <c r="V1988" s="251"/>
      <c r="W1988" s="251"/>
      <c r="X1988" s="251"/>
      <c r="Y1988" s="251"/>
      <c r="Z1988" s="251"/>
      <c r="AA1988" s="137"/>
      <c r="AB1988" s="137"/>
      <c r="AC1988" s="137"/>
      <c r="AD1988" s="137"/>
      <c r="AE1988" s="137"/>
      <c r="AF1988" s="137"/>
      <c r="AG1988" s="137"/>
    </row>
    <row r="1989" ht="30.0" customHeight="1">
      <c r="A1989" s="248"/>
      <c r="B1989" s="249"/>
      <c r="C1989" s="248"/>
      <c r="D1989" s="249"/>
      <c r="E1989" s="249"/>
      <c r="F1989" s="249"/>
      <c r="G1989" s="250"/>
      <c r="H1989" s="251"/>
      <c r="I1989" s="252"/>
      <c r="J1989" s="252"/>
      <c r="K1989" s="252"/>
      <c r="L1989" s="251"/>
      <c r="M1989" s="251"/>
      <c r="N1989" s="251"/>
      <c r="O1989" s="251"/>
      <c r="P1989" s="251"/>
      <c r="Q1989" s="251"/>
      <c r="R1989" s="251"/>
      <c r="S1989" s="251"/>
      <c r="T1989" s="251"/>
      <c r="U1989" s="251"/>
      <c r="V1989" s="251"/>
      <c r="W1989" s="251"/>
      <c r="X1989" s="251"/>
      <c r="Y1989" s="251"/>
      <c r="Z1989" s="251"/>
      <c r="AA1989" s="137"/>
      <c r="AB1989" s="137"/>
      <c r="AC1989" s="137"/>
      <c r="AD1989" s="137"/>
      <c r="AE1989" s="137"/>
      <c r="AF1989" s="137"/>
      <c r="AG1989" s="137"/>
    </row>
    <row r="1990" ht="30.0" customHeight="1">
      <c r="A1990" s="248"/>
      <c r="B1990" s="249"/>
      <c r="C1990" s="248"/>
      <c r="D1990" s="249"/>
      <c r="E1990" s="249"/>
      <c r="F1990" s="249"/>
      <c r="G1990" s="250"/>
      <c r="H1990" s="251"/>
      <c r="I1990" s="252"/>
      <c r="J1990" s="252"/>
      <c r="K1990" s="252"/>
      <c r="L1990" s="251"/>
      <c r="M1990" s="251"/>
      <c r="N1990" s="251"/>
      <c r="O1990" s="251"/>
      <c r="P1990" s="251"/>
      <c r="Q1990" s="251"/>
      <c r="R1990" s="251"/>
      <c r="S1990" s="251"/>
      <c r="T1990" s="251"/>
      <c r="U1990" s="251"/>
      <c r="V1990" s="251"/>
      <c r="W1990" s="251"/>
      <c r="X1990" s="251"/>
      <c r="Y1990" s="251"/>
      <c r="Z1990" s="251"/>
      <c r="AA1990" s="137"/>
      <c r="AB1990" s="137"/>
      <c r="AC1990" s="137"/>
      <c r="AD1990" s="137"/>
      <c r="AE1990" s="137"/>
      <c r="AF1990" s="137"/>
      <c r="AG1990" s="137"/>
    </row>
    <row r="1991" ht="30.0" customHeight="1">
      <c r="A1991" s="248"/>
      <c r="B1991" s="249"/>
      <c r="C1991" s="248"/>
      <c r="D1991" s="249"/>
      <c r="E1991" s="249"/>
      <c r="F1991" s="249"/>
      <c r="G1991" s="250"/>
      <c r="H1991" s="251"/>
      <c r="I1991" s="252"/>
      <c r="J1991" s="252"/>
      <c r="K1991" s="252"/>
      <c r="L1991" s="251"/>
      <c r="M1991" s="251"/>
      <c r="N1991" s="251"/>
      <c r="O1991" s="251"/>
      <c r="P1991" s="251"/>
      <c r="Q1991" s="251"/>
      <c r="R1991" s="251"/>
      <c r="S1991" s="251"/>
      <c r="T1991" s="251"/>
      <c r="U1991" s="251"/>
      <c r="V1991" s="251"/>
      <c r="W1991" s="251"/>
      <c r="X1991" s="251"/>
      <c r="Y1991" s="251"/>
      <c r="Z1991" s="251"/>
      <c r="AA1991" s="137"/>
      <c r="AB1991" s="137"/>
      <c r="AC1991" s="137"/>
      <c r="AD1991" s="137"/>
      <c r="AE1991" s="137"/>
      <c r="AF1991" s="137"/>
      <c r="AG1991" s="137"/>
    </row>
    <row r="1992" ht="30.0" customHeight="1">
      <c r="A1992" s="248"/>
      <c r="B1992" s="249"/>
      <c r="C1992" s="248"/>
      <c r="D1992" s="249"/>
      <c r="E1992" s="249"/>
      <c r="F1992" s="249"/>
      <c r="G1992" s="250"/>
      <c r="H1992" s="251"/>
      <c r="I1992" s="252"/>
      <c r="J1992" s="252"/>
      <c r="K1992" s="252"/>
      <c r="L1992" s="251"/>
      <c r="M1992" s="251"/>
      <c r="N1992" s="251"/>
      <c r="O1992" s="251"/>
      <c r="P1992" s="251"/>
      <c r="Q1992" s="251"/>
      <c r="R1992" s="251"/>
      <c r="S1992" s="251"/>
      <c r="T1992" s="251"/>
      <c r="U1992" s="251"/>
      <c r="V1992" s="251"/>
      <c r="W1992" s="251"/>
      <c r="X1992" s="251"/>
      <c r="Y1992" s="251"/>
      <c r="Z1992" s="251"/>
      <c r="AA1992" s="137"/>
      <c r="AB1992" s="137"/>
      <c r="AC1992" s="137"/>
      <c r="AD1992" s="137"/>
      <c r="AE1992" s="137"/>
      <c r="AF1992" s="137"/>
      <c r="AG1992" s="137"/>
    </row>
    <row r="1993" ht="30.0" customHeight="1">
      <c r="A1993" s="248"/>
      <c r="B1993" s="249"/>
      <c r="C1993" s="248"/>
      <c r="D1993" s="249"/>
      <c r="E1993" s="249"/>
      <c r="F1993" s="249"/>
      <c r="G1993" s="250"/>
      <c r="H1993" s="251"/>
      <c r="I1993" s="252"/>
      <c r="J1993" s="252"/>
      <c r="K1993" s="252"/>
      <c r="L1993" s="251"/>
      <c r="M1993" s="251"/>
      <c r="N1993" s="251"/>
      <c r="O1993" s="251"/>
      <c r="P1993" s="251"/>
      <c r="Q1993" s="251"/>
      <c r="R1993" s="251"/>
      <c r="S1993" s="251"/>
      <c r="T1993" s="251"/>
      <c r="U1993" s="251"/>
      <c r="V1993" s="251"/>
      <c r="W1993" s="251"/>
      <c r="X1993" s="251"/>
      <c r="Y1993" s="251"/>
      <c r="Z1993" s="251"/>
      <c r="AA1993" s="137"/>
      <c r="AB1993" s="137"/>
      <c r="AC1993" s="137"/>
      <c r="AD1993" s="137"/>
      <c r="AE1993" s="137"/>
      <c r="AF1993" s="137"/>
      <c r="AG1993" s="137"/>
    </row>
    <row r="1994" ht="30.0" customHeight="1">
      <c r="A1994" s="248"/>
      <c r="B1994" s="249"/>
      <c r="C1994" s="248"/>
      <c r="D1994" s="249"/>
      <c r="E1994" s="249"/>
      <c r="F1994" s="249"/>
      <c r="G1994" s="250"/>
      <c r="H1994" s="251"/>
      <c r="I1994" s="252"/>
      <c r="J1994" s="252"/>
      <c r="K1994" s="252"/>
      <c r="L1994" s="251"/>
      <c r="M1994" s="251"/>
      <c r="N1994" s="251"/>
      <c r="O1994" s="251"/>
      <c r="P1994" s="251"/>
      <c r="Q1994" s="251"/>
      <c r="R1994" s="251"/>
      <c r="S1994" s="251"/>
      <c r="T1994" s="251"/>
      <c r="U1994" s="251"/>
      <c r="V1994" s="251"/>
      <c r="W1994" s="251"/>
      <c r="X1994" s="251"/>
      <c r="Y1994" s="251"/>
      <c r="Z1994" s="251"/>
      <c r="AA1994" s="137"/>
      <c r="AB1994" s="137"/>
      <c r="AC1994" s="137"/>
      <c r="AD1994" s="137"/>
      <c r="AE1994" s="137"/>
      <c r="AF1994" s="137"/>
      <c r="AG1994" s="137"/>
    </row>
    <row r="1995" ht="30.0" customHeight="1">
      <c r="A1995" s="248"/>
      <c r="B1995" s="249"/>
      <c r="C1995" s="248"/>
      <c r="D1995" s="249"/>
      <c r="E1995" s="249"/>
      <c r="F1995" s="249"/>
      <c r="G1995" s="250"/>
      <c r="H1995" s="251"/>
      <c r="I1995" s="252"/>
      <c r="J1995" s="252"/>
      <c r="K1995" s="252"/>
      <c r="L1995" s="251"/>
      <c r="M1995" s="251"/>
      <c r="N1995" s="251"/>
      <c r="O1995" s="251"/>
      <c r="P1995" s="251"/>
      <c r="Q1995" s="251"/>
      <c r="R1995" s="251"/>
      <c r="S1995" s="251"/>
      <c r="T1995" s="251"/>
      <c r="U1995" s="251"/>
      <c r="V1995" s="251"/>
      <c r="W1995" s="251"/>
      <c r="X1995" s="251"/>
      <c r="Y1995" s="251"/>
      <c r="Z1995" s="251"/>
      <c r="AA1995" s="137"/>
      <c r="AB1995" s="137"/>
      <c r="AC1995" s="137"/>
      <c r="AD1995" s="137"/>
      <c r="AE1995" s="137"/>
      <c r="AF1995" s="137"/>
      <c r="AG1995" s="137"/>
    </row>
    <row r="1996" ht="30.0" customHeight="1">
      <c r="A1996" s="248"/>
      <c r="B1996" s="249"/>
      <c r="C1996" s="248"/>
      <c r="D1996" s="249"/>
      <c r="E1996" s="249"/>
      <c r="F1996" s="249"/>
      <c r="G1996" s="250"/>
      <c r="H1996" s="251"/>
      <c r="I1996" s="252"/>
      <c r="J1996" s="252"/>
      <c r="K1996" s="252"/>
      <c r="L1996" s="251"/>
      <c r="M1996" s="251"/>
      <c r="N1996" s="251"/>
      <c r="O1996" s="251"/>
      <c r="P1996" s="251"/>
      <c r="Q1996" s="251"/>
      <c r="R1996" s="251"/>
      <c r="S1996" s="251"/>
      <c r="T1996" s="251"/>
      <c r="U1996" s="251"/>
      <c r="V1996" s="251"/>
      <c r="W1996" s="251"/>
      <c r="X1996" s="251"/>
      <c r="Y1996" s="251"/>
      <c r="Z1996" s="251"/>
      <c r="AA1996" s="137"/>
      <c r="AB1996" s="137"/>
      <c r="AC1996" s="137"/>
      <c r="AD1996" s="137"/>
      <c r="AE1996" s="137"/>
      <c r="AF1996" s="137"/>
      <c r="AG1996" s="137"/>
    </row>
    <row r="1997" ht="30.0" customHeight="1">
      <c r="A1997" s="248"/>
      <c r="B1997" s="249"/>
      <c r="C1997" s="248"/>
      <c r="D1997" s="249"/>
      <c r="E1997" s="249"/>
      <c r="F1997" s="249"/>
      <c r="G1997" s="250"/>
      <c r="H1997" s="251"/>
      <c r="I1997" s="252"/>
      <c r="J1997" s="252"/>
      <c r="K1997" s="252"/>
      <c r="L1997" s="251"/>
      <c r="M1997" s="251"/>
      <c r="N1997" s="251"/>
      <c r="O1997" s="251"/>
      <c r="P1997" s="251"/>
      <c r="Q1997" s="251"/>
      <c r="R1997" s="251"/>
      <c r="S1997" s="251"/>
      <c r="T1997" s="251"/>
      <c r="U1997" s="251"/>
      <c r="V1997" s="251"/>
      <c r="W1997" s="251"/>
      <c r="X1997" s="251"/>
      <c r="Y1997" s="251"/>
      <c r="Z1997" s="251"/>
      <c r="AA1997" s="137"/>
      <c r="AB1997" s="137"/>
      <c r="AC1997" s="137"/>
      <c r="AD1997" s="137"/>
      <c r="AE1997" s="137"/>
      <c r="AF1997" s="137"/>
      <c r="AG1997" s="137"/>
    </row>
    <row r="1998" ht="30.0" customHeight="1">
      <c r="A1998" s="248"/>
      <c r="B1998" s="249"/>
      <c r="C1998" s="248"/>
      <c r="D1998" s="249"/>
      <c r="E1998" s="249"/>
      <c r="F1998" s="249"/>
      <c r="G1998" s="250"/>
      <c r="H1998" s="251"/>
      <c r="I1998" s="252"/>
      <c r="J1998" s="252"/>
      <c r="K1998" s="252"/>
      <c r="L1998" s="251"/>
      <c r="M1998" s="251"/>
      <c r="N1998" s="251"/>
      <c r="O1998" s="251"/>
      <c r="P1998" s="251"/>
      <c r="Q1998" s="251"/>
      <c r="R1998" s="251"/>
      <c r="S1998" s="251"/>
      <c r="T1998" s="251"/>
      <c r="U1998" s="251"/>
      <c r="V1998" s="251"/>
      <c r="W1998" s="251"/>
      <c r="X1998" s="251"/>
      <c r="Y1998" s="251"/>
      <c r="Z1998" s="251"/>
      <c r="AA1998" s="137"/>
      <c r="AB1998" s="137"/>
      <c r="AC1998" s="137"/>
      <c r="AD1998" s="137"/>
      <c r="AE1998" s="137"/>
      <c r="AF1998" s="137"/>
      <c r="AG1998" s="137"/>
    </row>
    <row r="1999" ht="30.0" customHeight="1">
      <c r="A1999" s="248"/>
      <c r="B1999" s="249"/>
      <c r="C1999" s="248"/>
      <c r="D1999" s="249"/>
      <c r="E1999" s="249"/>
      <c r="F1999" s="249"/>
      <c r="G1999" s="250"/>
      <c r="H1999" s="251"/>
      <c r="I1999" s="252"/>
      <c r="J1999" s="252"/>
      <c r="K1999" s="252"/>
      <c r="L1999" s="251"/>
      <c r="M1999" s="251"/>
      <c r="N1999" s="251"/>
      <c r="O1999" s="251"/>
      <c r="P1999" s="251"/>
      <c r="Q1999" s="251"/>
      <c r="R1999" s="251"/>
      <c r="S1999" s="251"/>
      <c r="T1999" s="251"/>
      <c r="U1999" s="251"/>
      <c r="V1999" s="251"/>
      <c r="W1999" s="251"/>
      <c r="X1999" s="251"/>
      <c r="Y1999" s="251"/>
      <c r="Z1999" s="251"/>
      <c r="AA1999" s="137"/>
      <c r="AB1999" s="137"/>
      <c r="AC1999" s="137"/>
      <c r="AD1999" s="137"/>
      <c r="AE1999" s="137"/>
      <c r="AF1999" s="137"/>
      <c r="AG1999" s="137"/>
    </row>
    <row r="2000" ht="30.0" customHeight="1">
      <c r="A2000" s="248"/>
      <c r="B2000" s="249"/>
      <c r="C2000" s="248"/>
      <c r="D2000" s="249"/>
      <c r="E2000" s="249"/>
      <c r="F2000" s="249"/>
      <c r="G2000" s="250"/>
      <c r="H2000" s="251"/>
      <c r="I2000" s="252"/>
      <c r="J2000" s="252"/>
      <c r="K2000" s="252"/>
      <c r="L2000" s="251"/>
      <c r="M2000" s="251"/>
      <c r="N2000" s="251"/>
      <c r="O2000" s="251"/>
      <c r="P2000" s="251"/>
      <c r="Q2000" s="251"/>
      <c r="R2000" s="251"/>
      <c r="S2000" s="251"/>
      <c r="T2000" s="251"/>
      <c r="U2000" s="251"/>
      <c r="V2000" s="251"/>
      <c r="W2000" s="251"/>
      <c r="X2000" s="251"/>
      <c r="Y2000" s="251"/>
      <c r="Z2000" s="251"/>
      <c r="AA2000" s="137"/>
      <c r="AB2000" s="137"/>
      <c r="AC2000" s="137"/>
      <c r="AD2000" s="137"/>
      <c r="AE2000" s="137"/>
      <c r="AF2000" s="137"/>
      <c r="AG2000" s="137"/>
    </row>
    <row r="2001" ht="30.0" customHeight="1">
      <c r="A2001" s="248"/>
      <c r="B2001" s="249"/>
      <c r="C2001" s="249"/>
      <c r="D2001" s="249"/>
      <c r="E2001" s="249"/>
      <c r="F2001" s="249"/>
      <c r="G2001" s="250"/>
      <c r="H2001" s="251"/>
      <c r="I2001" s="252"/>
      <c r="J2001" s="252"/>
      <c r="K2001" s="252"/>
      <c r="L2001" s="251"/>
      <c r="M2001" s="251"/>
      <c r="N2001" s="251"/>
      <c r="O2001" s="251"/>
      <c r="P2001" s="251"/>
      <c r="Q2001" s="251"/>
      <c r="R2001" s="251"/>
      <c r="S2001" s="251"/>
      <c r="T2001" s="251"/>
      <c r="U2001" s="251"/>
      <c r="V2001" s="251"/>
      <c r="W2001" s="251"/>
      <c r="X2001" s="251"/>
      <c r="Y2001" s="251"/>
      <c r="Z2001" s="251"/>
      <c r="AA2001" s="137"/>
      <c r="AB2001" s="137"/>
      <c r="AC2001" s="137"/>
      <c r="AD2001" s="137"/>
      <c r="AE2001" s="137"/>
      <c r="AF2001" s="137"/>
      <c r="AG2001" s="137"/>
    </row>
    <row r="2002" ht="30.0" customHeight="1">
      <c r="A2002" s="248"/>
      <c r="B2002" s="249"/>
      <c r="C2002" s="248"/>
      <c r="D2002" s="249"/>
      <c r="E2002" s="249"/>
      <c r="F2002" s="249"/>
      <c r="G2002" s="249"/>
      <c r="H2002" s="251"/>
      <c r="I2002" s="252"/>
      <c r="J2002" s="252"/>
      <c r="K2002" s="252"/>
      <c r="L2002" s="251"/>
      <c r="M2002" s="251"/>
      <c r="N2002" s="251"/>
      <c r="O2002" s="251"/>
      <c r="P2002" s="251"/>
      <c r="Q2002" s="251"/>
      <c r="R2002" s="251"/>
      <c r="S2002" s="251"/>
      <c r="T2002" s="251"/>
      <c r="U2002" s="251"/>
      <c r="V2002" s="251"/>
      <c r="W2002" s="251"/>
      <c r="X2002" s="251"/>
      <c r="Y2002" s="251"/>
      <c r="Z2002" s="251"/>
      <c r="AA2002" s="137"/>
      <c r="AB2002" s="137"/>
      <c r="AC2002" s="137"/>
      <c r="AD2002" s="137"/>
      <c r="AE2002" s="137"/>
      <c r="AF2002" s="137"/>
      <c r="AG2002" s="137"/>
    </row>
    <row r="2003" ht="30.0" customHeight="1">
      <c r="A2003" s="248"/>
      <c r="B2003" s="249"/>
      <c r="C2003" s="248"/>
      <c r="D2003" s="249"/>
      <c r="E2003" s="249"/>
      <c r="F2003" s="249"/>
      <c r="G2003" s="250"/>
      <c r="H2003" s="251"/>
      <c r="I2003" s="252"/>
      <c r="J2003" s="252"/>
      <c r="K2003" s="252"/>
      <c r="L2003" s="251"/>
      <c r="M2003" s="251"/>
      <c r="N2003" s="251"/>
      <c r="O2003" s="251"/>
      <c r="P2003" s="251"/>
      <c r="Q2003" s="251"/>
      <c r="R2003" s="251"/>
      <c r="S2003" s="251"/>
      <c r="T2003" s="251"/>
      <c r="U2003" s="251"/>
      <c r="V2003" s="251"/>
      <c r="W2003" s="251"/>
      <c r="X2003" s="251"/>
      <c r="Y2003" s="251"/>
      <c r="Z2003" s="251"/>
      <c r="AA2003" s="137"/>
      <c r="AB2003" s="137"/>
      <c r="AC2003" s="137"/>
      <c r="AD2003" s="137"/>
      <c r="AE2003" s="137"/>
      <c r="AF2003" s="137"/>
      <c r="AG2003" s="137"/>
    </row>
    <row r="2004" ht="30.0" customHeight="1">
      <c r="A2004" s="248"/>
      <c r="B2004" s="249"/>
      <c r="C2004" s="248"/>
      <c r="D2004" s="249"/>
      <c r="E2004" s="249"/>
      <c r="F2004" s="249"/>
      <c r="G2004" s="250"/>
      <c r="H2004" s="251"/>
      <c r="I2004" s="252"/>
      <c r="J2004" s="252"/>
      <c r="K2004" s="252"/>
      <c r="L2004" s="251"/>
      <c r="M2004" s="251"/>
      <c r="N2004" s="251"/>
      <c r="O2004" s="251"/>
      <c r="P2004" s="251"/>
      <c r="Q2004" s="251"/>
      <c r="R2004" s="251"/>
      <c r="S2004" s="251"/>
      <c r="T2004" s="251"/>
      <c r="U2004" s="251"/>
      <c r="V2004" s="251"/>
      <c r="W2004" s="251"/>
      <c r="X2004" s="251"/>
      <c r="Y2004" s="251"/>
      <c r="Z2004" s="251"/>
      <c r="AA2004" s="137"/>
      <c r="AB2004" s="137"/>
      <c r="AC2004" s="137"/>
      <c r="AD2004" s="137"/>
      <c r="AE2004" s="137"/>
      <c r="AF2004" s="137"/>
      <c r="AG2004" s="137"/>
    </row>
    <row r="2005" ht="30.0" customHeight="1">
      <c r="A2005" s="248"/>
      <c r="B2005" s="249"/>
      <c r="C2005" s="248"/>
      <c r="D2005" s="249"/>
      <c r="E2005" s="249"/>
      <c r="F2005" s="249"/>
      <c r="G2005" s="250"/>
      <c r="H2005" s="251"/>
      <c r="I2005" s="252"/>
      <c r="J2005" s="252"/>
      <c r="K2005" s="252"/>
      <c r="L2005" s="251"/>
      <c r="M2005" s="251"/>
      <c r="N2005" s="251"/>
      <c r="O2005" s="251"/>
      <c r="P2005" s="251"/>
      <c r="Q2005" s="251"/>
      <c r="R2005" s="251"/>
      <c r="S2005" s="251"/>
      <c r="T2005" s="251"/>
      <c r="U2005" s="251"/>
      <c r="V2005" s="251"/>
      <c r="W2005" s="251"/>
      <c r="X2005" s="251"/>
      <c r="Y2005" s="251"/>
      <c r="Z2005" s="251"/>
      <c r="AA2005" s="137"/>
      <c r="AB2005" s="137"/>
      <c r="AC2005" s="137"/>
      <c r="AD2005" s="137"/>
      <c r="AE2005" s="137"/>
      <c r="AF2005" s="137"/>
      <c r="AG2005" s="137"/>
    </row>
    <row r="2006" ht="30.0" customHeight="1">
      <c r="A2006" s="248"/>
      <c r="B2006" s="249"/>
      <c r="C2006" s="248"/>
      <c r="D2006" s="249"/>
      <c r="E2006" s="249"/>
      <c r="F2006" s="249"/>
      <c r="G2006" s="250"/>
      <c r="H2006" s="251"/>
      <c r="I2006" s="252"/>
      <c r="J2006" s="252"/>
      <c r="K2006" s="252"/>
      <c r="L2006" s="251"/>
      <c r="M2006" s="251"/>
      <c r="N2006" s="251"/>
      <c r="O2006" s="251"/>
      <c r="P2006" s="251"/>
      <c r="Q2006" s="251"/>
      <c r="R2006" s="251"/>
      <c r="S2006" s="251"/>
      <c r="T2006" s="251"/>
      <c r="U2006" s="251"/>
      <c r="V2006" s="251"/>
      <c r="W2006" s="251"/>
      <c r="X2006" s="251"/>
      <c r="Y2006" s="251"/>
      <c r="Z2006" s="251"/>
      <c r="AA2006" s="137"/>
      <c r="AB2006" s="137"/>
      <c r="AC2006" s="137"/>
      <c r="AD2006" s="137"/>
      <c r="AE2006" s="137"/>
      <c r="AF2006" s="137"/>
      <c r="AG2006" s="137"/>
    </row>
    <row r="2007" ht="30.0" customHeight="1">
      <c r="A2007" s="248"/>
      <c r="B2007" s="249"/>
      <c r="C2007" s="248"/>
      <c r="D2007" s="249"/>
      <c r="E2007" s="249"/>
      <c r="F2007" s="249"/>
      <c r="G2007" s="250"/>
      <c r="H2007" s="251"/>
      <c r="I2007" s="252"/>
      <c r="J2007" s="252"/>
      <c r="K2007" s="252"/>
      <c r="L2007" s="251"/>
      <c r="M2007" s="251"/>
      <c r="N2007" s="251"/>
      <c r="O2007" s="251"/>
      <c r="P2007" s="251"/>
      <c r="Q2007" s="251"/>
      <c r="R2007" s="251"/>
      <c r="S2007" s="251"/>
      <c r="T2007" s="251"/>
      <c r="U2007" s="251"/>
      <c r="V2007" s="251"/>
      <c r="W2007" s="251"/>
      <c r="X2007" s="251"/>
      <c r="Y2007" s="251"/>
      <c r="Z2007" s="251"/>
      <c r="AA2007" s="137"/>
      <c r="AB2007" s="137"/>
      <c r="AC2007" s="137"/>
      <c r="AD2007" s="137"/>
      <c r="AE2007" s="137"/>
      <c r="AF2007" s="137"/>
      <c r="AG2007" s="137"/>
    </row>
    <row r="2008" ht="30.0" customHeight="1">
      <c r="A2008" s="248"/>
      <c r="B2008" s="249"/>
      <c r="C2008" s="248"/>
      <c r="D2008" s="249"/>
      <c r="E2008" s="249"/>
      <c r="F2008" s="249"/>
      <c r="G2008" s="250"/>
      <c r="H2008" s="251"/>
      <c r="I2008" s="252"/>
      <c r="J2008" s="252"/>
      <c r="K2008" s="252"/>
      <c r="L2008" s="251"/>
      <c r="M2008" s="251"/>
      <c r="N2008" s="251"/>
      <c r="O2008" s="251"/>
      <c r="P2008" s="251"/>
      <c r="Q2008" s="251"/>
      <c r="R2008" s="251"/>
      <c r="S2008" s="251"/>
      <c r="T2008" s="251"/>
      <c r="U2008" s="251"/>
      <c r="V2008" s="251"/>
      <c r="W2008" s="251"/>
      <c r="X2008" s="251"/>
      <c r="Y2008" s="251"/>
      <c r="Z2008" s="251"/>
      <c r="AA2008" s="137"/>
      <c r="AB2008" s="137"/>
      <c r="AC2008" s="137"/>
      <c r="AD2008" s="137"/>
      <c r="AE2008" s="137"/>
      <c r="AF2008" s="137"/>
      <c r="AG2008" s="137"/>
    </row>
    <row r="2009" ht="30.0" customHeight="1">
      <c r="A2009" s="248"/>
      <c r="B2009" s="249"/>
      <c r="C2009" s="248"/>
      <c r="D2009" s="249"/>
      <c r="E2009" s="249"/>
      <c r="F2009" s="249"/>
      <c r="G2009" s="250"/>
      <c r="H2009" s="251"/>
      <c r="I2009" s="252"/>
      <c r="J2009" s="252"/>
      <c r="K2009" s="252"/>
      <c r="L2009" s="251"/>
      <c r="M2009" s="251"/>
      <c r="N2009" s="251"/>
      <c r="O2009" s="251"/>
      <c r="P2009" s="251"/>
      <c r="Q2009" s="251"/>
      <c r="R2009" s="251"/>
      <c r="S2009" s="251"/>
      <c r="T2009" s="251"/>
      <c r="U2009" s="251"/>
      <c r="V2009" s="251"/>
      <c r="W2009" s="251"/>
      <c r="X2009" s="251"/>
      <c r="Y2009" s="251"/>
      <c r="Z2009" s="251"/>
      <c r="AA2009" s="137"/>
      <c r="AB2009" s="137"/>
      <c r="AC2009" s="137"/>
      <c r="AD2009" s="137"/>
      <c r="AE2009" s="137"/>
      <c r="AF2009" s="137"/>
      <c r="AG2009" s="137"/>
    </row>
    <row r="2010" ht="30.0" customHeight="1">
      <c r="A2010" s="248"/>
      <c r="B2010" s="249"/>
      <c r="C2010" s="248"/>
      <c r="D2010" s="249"/>
      <c r="E2010" s="249"/>
      <c r="F2010" s="249"/>
      <c r="G2010" s="250"/>
      <c r="H2010" s="251"/>
      <c r="I2010" s="252"/>
      <c r="J2010" s="252"/>
      <c r="K2010" s="252"/>
      <c r="L2010" s="251"/>
      <c r="M2010" s="251"/>
      <c r="N2010" s="251"/>
      <c r="O2010" s="251"/>
      <c r="P2010" s="251"/>
      <c r="Q2010" s="251"/>
      <c r="R2010" s="251"/>
      <c r="S2010" s="251"/>
      <c r="T2010" s="251"/>
      <c r="U2010" s="251"/>
      <c r="V2010" s="251"/>
      <c r="W2010" s="251"/>
      <c r="X2010" s="251"/>
      <c r="Y2010" s="251"/>
      <c r="Z2010" s="251"/>
      <c r="AA2010" s="137"/>
      <c r="AB2010" s="137"/>
      <c r="AC2010" s="137"/>
      <c r="AD2010" s="137"/>
      <c r="AE2010" s="137"/>
      <c r="AF2010" s="137"/>
      <c r="AG2010" s="137"/>
    </row>
    <row r="2011" ht="30.0" customHeight="1">
      <c r="A2011" s="248"/>
      <c r="B2011" s="249"/>
      <c r="C2011" s="248"/>
      <c r="D2011" s="249"/>
      <c r="E2011" s="249"/>
      <c r="F2011" s="249"/>
      <c r="G2011" s="250"/>
      <c r="H2011" s="251"/>
      <c r="I2011" s="252"/>
      <c r="J2011" s="252"/>
      <c r="K2011" s="252"/>
      <c r="L2011" s="251"/>
      <c r="M2011" s="251"/>
      <c r="N2011" s="251"/>
      <c r="O2011" s="251"/>
      <c r="P2011" s="251"/>
      <c r="Q2011" s="251"/>
      <c r="R2011" s="251"/>
      <c r="S2011" s="251"/>
      <c r="T2011" s="251"/>
      <c r="U2011" s="251"/>
      <c r="V2011" s="251"/>
      <c r="W2011" s="251"/>
      <c r="X2011" s="251"/>
      <c r="Y2011" s="251"/>
      <c r="Z2011" s="251"/>
      <c r="AA2011" s="137"/>
      <c r="AB2011" s="137"/>
      <c r="AC2011" s="137"/>
      <c r="AD2011" s="137"/>
      <c r="AE2011" s="137"/>
      <c r="AF2011" s="137"/>
      <c r="AG2011" s="137"/>
    </row>
    <row r="2012" ht="30.0" customHeight="1">
      <c r="A2012" s="248"/>
      <c r="B2012" s="249"/>
      <c r="C2012" s="248"/>
      <c r="D2012" s="249"/>
      <c r="E2012" s="249"/>
      <c r="F2012" s="249"/>
      <c r="G2012" s="250"/>
      <c r="H2012" s="251"/>
      <c r="I2012" s="252"/>
      <c r="J2012" s="252"/>
      <c r="K2012" s="252"/>
      <c r="L2012" s="251"/>
      <c r="M2012" s="251"/>
      <c r="N2012" s="251"/>
      <c r="O2012" s="251"/>
      <c r="P2012" s="251"/>
      <c r="Q2012" s="251"/>
      <c r="R2012" s="251"/>
      <c r="S2012" s="251"/>
      <c r="T2012" s="251"/>
      <c r="U2012" s="251"/>
      <c r="V2012" s="251"/>
      <c r="W2012" s="251"/>
      <c r="X2012" s="251"/>
      <c r="Y2012" s="251"/>
      <c r="Z2012" s="251"/>
      <c r="AA2012" s="137"/>
      <c r="AB2012" s="137"/>
      <c r="AC2012" s="137"/>
      <c r="AD2012" s="137"/>
      <c r="AE2012" s="137"/>
      <c r="AF2012" s="137"/>
      <c r="AG2012" s="137"/>
    </row>
    <row r="2013" ht="30.0" customHeight="1">
      <c r="A2013" s="248"/>
      <c r="B2013" s="249"/>
      <c r="C2013" s="248"/>
      <c r="D2013" s="249"/>
      <c r="E2013" s="249"/>
      <c r="F2013" s="249"/>
      <c r="G2013" s="250"/>
      <c r="H2013" s="251"/>
      <c r="I2013" s="252"/>
      <c r="J2013" s="252"/>
      <c r="K2013" s="252"/>
      <c r="L2013" s="251"/>
      <c r="M2013" s="251"/>
      <c r="N2013" s="251"/>
      <c r="O2013" s="251"/>
      <c r="P2013" s="251"/>
      <c r="Q2013" s="251"/>
      <c r="R2013" s="251"/>
      <c r="S2013" s="251"/>
      <c r="T2013" s="251"/>
      <c r="U2013" s="251"/>
      <c r="V2013" s="251"/>
      <c r="W2013" s="251"/>
      <c r="X2013" s="251"/>
      <c r="Y2013" s="251"/>
      <c r="Z2013" s="251"/>
      <c r="AA2013" s="137"/>
      <c r="AB2013" s="137"/>
      <c r="AC2013" s="137"/>
      <c r="AD2013" s="137"/>
      <c r="AE2013" s="137"/>
      <c r="AF2013" s="137"/>
      <c r="AG2013" s="137"/>
    </row>
    <row r="2014" ht="30.0" customHeight="1">
      <c r="A2014" s="248"/>
      <c r="B2014" s="249"/>
      <c r="C2014" s="248"/>
      <c r="D2014" s="249"/>
      <c r="E2014" s="249"/>
      <c r="F2014" s="249"/>
      <c r="G2014" s="250"/>
      <c r="H2014" s="251"/>
      <c r="I2014" s="252"/>
      <c r="J2014" s="252"/>
      <c r="K2014" s="252"/>
      <c r="L2014" s="251"/>
      <c r="M2014" s="251"/>
      <c r="N2014" s="251"/>
      <c r="O2014" s="251"/>
      <c r="P2014" s="251"/>
      <c r="Q2014" s="251"/>
      <c r="R2014" s="251"/>
      <c r="S2014" s="251"/>
      <c r="T2014" s="251"/>
      <c r="U2014" s="251"/>
      <c r="V2014" s="251"/>
      <c r="W2014" s="251"/>
      <c r="X2014" s="251"/>
      <c r="Y2014" s="251"/>
      <c r="Z2014" s="251"/>
      <c r="AA2014" s="137"/>
      <c r="AB2014" s="137"/>
      <c r="AC2014" s="137"/>
      <c r="AD2014" s="137"/>
      <c r="AE2014" s="137"/>
      <c r="AF2014" s="137"/>
      <c r="AG2014" s="137"/>
    </row>
    <row r="2015" ht="30.0" customHeight="1">
      <c r="A2015" s="248"/>
      <c r="B2015" s="249"/>
      <c r="C2015" s="248"/>
      <c r="D2015" s="249"/>
      <c r="E2015" s="249"/>
      <c r="F2015" s="249"/>
      <c r="G2015" s="250"/>
      <c r="H2015" s="251"/>
      <c r="I2015" s="252"/>
      <c r="J2015" s="252"/>
      <c r="K2015" s="252"/>
      <c r="L2015" s="251"/>
      <c r="M2015" s="251"/>
      <c r="N2015" s="251"/>
      <c r="O2015" s="251"/>
      <c r="P2015" s="251"/>
      <c r="Q2015" s="251"/>
      <c r="R2015" s="251"/>
      <c r="S2015" s="251"/>
      <c r="T2015" s="251"/>
      <c r="U2015" s="251"/>
      <c r="V2015" s="251"/>
      <c r="W2015" s="251"/>
      <c r="X2015" s="251"/>
      <c r="Y2015" s="251"/>
      <c r="Z2015" s="251"/>
      <c r="AA2015" s="137"/>
      <c r="AB2015" s="137"/>
      <c r="AC2015" s="137"/>
      <c r="AD2015" s="137"/>
      <c r="AE2015" s="137"/>
      <c r="AF2015" s="137"/>
      <c r="AG2015" s="137"/>
    </row>
    <row r="2016" ht="30.0" customHeight="1">
      <c r="A2016" s="248"/>
      <c r="B2016" s="249"/>
      <c r="C2016" s="248"/>
      <c r="D2016" s="249"/>
      <c r="E2016" s="249"/>
      <c r="F2016" s="249"/>
      <c r="G2016" s="250"/>
      <c r="H2016" s="251"/>
      <c r="I2016" s="252"/>
      <c r="J2016" s="252"/>
      <c r="K2016" s="252"/>
      <c r="L2016" s="251"/>
      <c r="M2016" s="251"/>
      <c r="N2016" s="251"/>
      <c r="O2016" s="251"/>
      <c r="P2016" s="251"/>
      <c r="Q2016" s="251"/>
      <c r="R2016" s="251"/>
      <c r="S2016" s="251"/>
      <c r="T2016" s="251"/>
      <c r="U2016" s="251"/>
      <c r="V2016" s="251"/>
      <c r="W2016" s="251"/>
      <c r="X2016" s="251"/>
      <c r="Y2016" s="251"/>
      <c r="Z2016" s="251"/>
      <c r="AA2016" s="137"/>
      <c r="AB2016" s="137"/>
      <c r="AC2016" s="137"/>
      <c r="AD2016" s="137"/>
      <c r="AE2016" s="137"/>
      <c r="AF2016" s="137"/>
      <c r="AG2016" s="137"/>
    </row>
    <row r="2017" ht="30.0" customHeight="1">
      <c r="A2017" s="248"/>
      <c r="B2017" s="249"/>
      <c r="C2017" s="248"/>
      <c r="D2017" s="249"/>
      <c r="E2017" s="249"/>
      <c r="F2017" s="249"/>
      <c r="G2017" s="250"/>
      <c r="H2017" s="251"/>
      <c r="I2017" s="252"/>
      <c r="J2017" s="252"/>
      <c r="K2017" s="252"/>
      <c r="L2017" s="251"/>
      <c r="M2017" s="251"/>
      <c r="N2017" s="251"/>
      <c r="O2017" s="251"/>
      <c r="P2017" s="251"/>
      <c r="Q2017" s="251"/>
      <c r="R2017" s="251"/>
      <c r="S2017" s="251"/>
      <c r="T2017" s="251"/>
      <c r="U2017" s="251"/>
      <c r="V2017" s="251"/>
      <c r="W2017" s="251"/>
      <c r="X2017" s="251"/>
      <c r="Y2017" s="251"/>
      <c r="Z2017" s="251"/>
      <c r="AA2017" s="137"/>
      <c r="AB2017" s="137"/>
      <c r="AC2017" s="137"/>
      <c r="AD2017" s="137"/>
      <c r="AE2017" s="137"/>
      <c r="AF2017" s="137"/>
      <c r="AG2017" s="137"/>
    </row>
    <row r="2018" ht="30.0" customHeight="1">
      <c r="A2018" s="248"/>
      <c r="B2018" s="249"/>
      <c r="C2018" s="248"/>
      <c r="D2018" s="249"/>
      <c r="E2018" s="249"/>
      <c r="F2018" s="249"/>
      <c r="G2018" s="250"/>
      <c r="H2018" s="251"/>
      <c r="I2018" s="252"/>
      <c r="J2018" s="252"/>
      <c r="K2018" s="252"/>
      <c r="L2018" s="251"/>
      <c r="M2018" s="251"/>
      <c r="N2018" s="251"/>
      <c r="O2018" s="251"/>
      <c r="P2018" s="251"/>
      <c r="Q2018" s="251"/>
      <c r="R2018" s="251"/>
      <c r="S2018" s="251"/>
      <c r="T2018" s="251"/>
      <c r="U2018" s="251"/>
      <c r="V2018" s="251"/>
      <c r="W2018" s="251"/>
      <c r="X2018" s="251"/>
      <c r="Y2018" s="251"/>
      <c r="Z2018" s="251"/>
      <c r="AA2018" s="137"/>
      <c r="AB2018" s="137"/>
      <c r="AC2018" s="137"/>
      <c r="AD2018" s="137"/>
      <c r="AE2018" s="137"/>
      <c r="AF2018" s="137"/>
      <c r="AG2018" s="137"/>
    </row>
    <row r="2019" ht="30.0" customHeight="1">
      <c r="A2019" s="248"/>
      <c r="B2019" s="249"/>
      <c r="C2019" s="248"/>
      <c r="D2019" s="249"/>
      <c r="E2019" s="249"/>
      <c r="F2019" s="249"/>
      <c r="G2019" s="250"/>
      <c r="H2019" s="251"/>
      <c r="I2019" s="252"/>
      <c r="J2019" s="252"/>
      <c r="K2019" s="252"/>
      <c r="L2019" s="251"/>
      <c r="M2019" s="251"/>
      <c r="N2019" s="251"/>
      <c r="O2019" s="251"/>
      <c r="P2019" s="251"/>
      <c r="Q2019" s="251"/>
      <c r="R2019" s="251"/>
      <c r="S2019" s="251"/>
      <c r="T2019" s="251"/>
      <c r="U2019" s="251"/>
      <c r="V2019" s="251"/>
      <c r="W2019" s="251"/>
      <c r="X2019" s="251"/>
      <c r="Y2019" s="251"/>
      <c r="Z2019" s="251"/>
      <c r="AA2019" s="137"/>
      <c r="AB2019" s="137"/>
      <c r="AC2019" s="137"/>
      <c r="AD2019" s="137"/>
      <c r="AE2019" s="137"/>
      <c r="AF2019" s="137"/>
      <c r="AG2019" s="137"/>
    </row>
    <row r="2020" ht="30.0" customHeight="1">
      <c r="A2020" s="248"/>
      <c r="B2020" s="249"/>
      <c r="C2020" s="248"/>
      <c r="D2020" s="249"/>
      <c r="E2020" s="249"/>
      <c r="F2020" s="249"/>
      <c r="G2020" s="250"/>
      <c r="H2020" s="251"/>
      <c r="I2020" s="252"/>
      <c r="J2020" s="252"/>
      <c r="K2020" s="252"/>
      <c r="L2020" s="251"/>
      <c r="M2020" s="251"/>
      <c r="N2020" s="251"/>
      <c r="O2020" s="251"/>
      <c r="P2020" s="251"/>
      <c r="Q2020" s="251"/>
      <c r="R2020" s="251"/>
      <c r="S2020" s="251"/>
      <c r="T2020" s="251"/>
      <c r="U2020" s="251"/>
      <c r="V2020" s="251"/>
      <c r="W2020" s="251"/>
      <c r="X2020" s="251"/>
      <c r="Y2020" s="251"/>
      <c r="Z2020" s="251"/>
      <c r="AA2020" s="137"/>
      <c r="AB2020" s="137"/>
      <c r="AC2020" s="137"/>
      <c r="AD2020" s="137"/>
      <c r="AE2020" s="137"/>
      <c r="AF2020" s="137"/>
      <c r="AG2020" s="137"/>
    </row>
    <row r="2021" ht="30.0" customHeight="1">
      <c r="A2021" s="248"/>
      <c r="B2021" s="249"/>
      <c r="C2021" s="248"/>
      <c r="D2021" s="249"/>
      <c r="E2021" s="249"/>
      <c r="F2021" s="249"/>
      <c r="G2021" s="250"/>
      <c r="H2021" s="251"/>
      <c r="I2021" s="252"/>
      <c r="J2021" s="252"/>
      <c r="K2021" s="252"/>
      <c r="L2021" s="251"/>
      <c r="M2021" s="251"/>
      <c r="N2021" s="251"/>
      <c r="O2021" s="251"/>
      <c r="P2021" s="251"/>
      <c r="Q2021" s="251"/>
      <c r="R2021" s="251"/>
      <c r="S2021" s="251"/>
      <c r="T2021" s="251"/>
      <c r="U2021" s="251"/>
      <c r="V2021" s="251"/>
      <c r="W2021" s="251"/>
      <c r="X2021" s="251"/>
      <c r="Y2021" s="251"/>
      <c r="Z2021" s="251"/>
      <c r="AA2021" s="137"/>
      <c r="AB2021" s="137"/>
      <c r="AC2021" s="137"/>
      <c r="AD2021" s="137"/>
      <c r="AE2021" s="137"/>
      <c r="AF2021" s="137"/>
      <c r="AG2021" s="137"/>
    </row>
    <row r="2022" ht="30.0" customHeight="1">
      <c r="A2022" s="248"/>
      <c r="B2022" s="249"/>
      <c r="C2022" s="248"/>
      <c r="D2022" s="249"/>
      <c r="E2022" s="249"/>
      <c r="F2022" s="249"/>
      <c r="G2022" s="250"/>
      <c r="H2022" s="251"/>
      <c r="I2022" s="252"/>
      <c r="J2022" s="252"/>
      <c r="K2022" s="252"/>
      <c r="L2022" s="251"/>
      <c r="M2022" s="251"/>
      <c r="N2022" s="251"/>
      <c r="O2022" s="251"/>
      <c r="P2022" s="251"/>
      <c r="Q2022" s="251"/>
      <c r="R2022" s="251"/>
      <c r="S2022" s="251"/>
      <c r="T2022" s="251"/>
      <c r="U2022" s="251"/>
      <c r="V2022" s="251"/>
      <c r="W2022" s="251"/>
      <c r="X2022" s="251"/>
      <c r="Y2022" s="251"/>
      <c r="Z2022" s="251"/>
      <c r="AA2022" s="137"/>
      <c r="AB2022" s="137"/>
      <c r="AC2022" s="137"/>
      <c r="AD2022" s="137"/>
      <c r="AE2022" s="137"/>
      <c r="AF2022" s="137"/>
      <c r="AG2022" s="137"/>
    </row>
    <row r="2023" ht="30.0" customHeight="1">
      <c r="A2023" s="248"/>
      <c r="B2023" s="249"/>
      <c r="C2023" s="248"/>
      <c r="D2023" s="249"/>
      <c r="E2023" s="249"/>
      <c r="F2023" s="249"/>
      <c r="G2023" s="250"/>
      <c r="H2023" s="251"/>
      <c r="I2023" s="252"/>
      <c r="J2023" s="252"/>
      <c r="K2023" s="252"/>
      <c r="L2023" s="251"/>
      <c r="M2023" s="251"/>
      <c r="N2023" s="251"/>
      <c r="O2023" s="251"/>
      <c r="P2023" s="251"/>
      <c r="Q2023" s="251"/>
      <c r="R2023" s="251"/>
      <c r="S2023" s="251"/>
      <c r="T2023" s="251"/>
      <c r="U2023" s="251"/>
      <c r="V2023" s="251"/>
      <c r="W2023" s="251"/>
      <c r="X2023" s="251"/>
      <c r="Y2023" s="251"/>
      <c r="Z2023" s="251"/>
      <c r="AA2023" s="137"/>
      <c r="AB2023" s="137"/>
      <c r="AC2023" s="137"/>
      <c r="AD2023" s="137"/>
      <c r="AE2023" s="137"/>
      <c r="AF2023" s="137"/>
      <c r="AG2023" s="137"/>
    </row>
    <row r="2024" ht="30.0" customHeight="1">
      <c r="A2024" s="248"/>
      <c r="B2024" s="249"/>
      <c r="C2024" s="248"/>
      <c r="D2024" s="249"/>
      <c r="E2024" s="249"/>
      <c r="F2024" s="249"/>
      <c r="G2024" s="249"/>
      <c r="H2024" s="251"/>
      <c r="I2024" s="252"/>
      <c r="J2024" s="252"/>
      <c r="K2024" s="252"/>
      <c r="L2024" s="251"/>
      <c r="M2024" s="251"/>
      <c r="N2024" s="251"/>
      <c r="O2024" s="251"/>
      <c r="P2024" s="251"/>
      <c r="Q2024" s="251"/>
      <c r="R2024" s="251"/>
      <c r="S2024" s="251"/>
      <c r="T2024" s="251"/>
      <c r="U2024" s="251"/>
      <c r="V2024" s="251"/>
      <c r="W2024" s="251"/>
      <c r="X2024" s="251"/>
      <c r="Y2024" s="251"/>
      <c r="Z2024" s="251"/>
      <c r="AA2024" s="137"/>
      <c r="AB2024" s="137"/>
      <c r="AC2024" s="137"/>
      <c r="AD2024" s="137"/>
      <c r="AE2024" s="137"/>
      <c r="AF2024" s="137"/>
      <c r="AG2024" s="137"/>
    </row>
    <row r="2025" ht="30.0" customHeight="1">
      <c r="A2025" s="248"/>
      <c r="B2025" s="249"/>
      <c r="C2025" s="248"/>
      <c r="D2025" s="249"/>
      <c r="E2025" s="249"/>
      <c r="F2025" s="249"/>
      <c r="G2025" s="250"/>
      <c r="H2025" s="251"/>
      <c r="I2025" s="252"/>
      <c r="J2025" s="252"/>
      <c r="K2025" s="252"/>
      <c r="L2025" s="251"/>
      <c r="M2025" s="251"/>
      <c r="N2025" s="251"/>
      <c r="O2025" s="251"/>
      <c r="P2025" s="251"/>
      <c r="Q2025" s="251"/>
      <c r="R2025" s="251"/>
      <c r="S2025" s="251"/>
      <c r="T2025" s="251"/>
      <c r="U2025" s="251"/>
      <c r="V2025" s="251"/>
      <c r="W2025" s="251"/>
      <c r="X2025" s="251"/>
      <c r="Y2025" s="251"/>
      <c r="Z2025" s="251"/>
      <c r="AA2025" s="137"/>
      <c r="AB2025" s="137"/>
      <c r="AC2025" s="137"/>
      <c r="AD2025" s="137"/>
      <c r="AE2025" s="137"/>
      <c r="AF2025" s="137"/>
      <c r="AG2025" s="137"/>
    </row>
    <row r="2026" ht="30.0" customHeight="1">
      <c r="A2026" s="248"/>
      <c r="B2026" s="249"/>
      <c r="C2026" s="248"/>
      <c r="D2026" s="249"/>
      <c r="E2026" s="249"/>
      <c r="F2026" s="249"/>
      <c r="G2026" s="250"/>
      <c r="H2026" s="251"/>
      <c r="I2026" s="252"/>
      <c r="J2026" s="252"/>
      <c r="K2026" s="252"/>
      <c r="L2026" s="251"/>
      <c r="M2026" s="251"/>
      <c r="N2026" s="251"/>
      <c r="O2026" s="251"/>
      <c r="P2026" s="251"/>
      <c r="Q2026" s="251"/>
      <c r="R2026" s="251"/>
      <c r="S2026" s="251"/>
      <c r="T2026" s="251"/>
      <c r="U2026" s="251"/>
      <c r="V2026" s="251"/>
      <c r="W2026" s="251"/>
      <c r="X2026" s="251"/>
      <c r="Y2026" s="251"/>
      <c r="Z2026" s="251"/>
      <c r="AA2026" s="137"/>
      <c r="AB2026" s="137"/>
      <c r="AC2026" s="137"/>
      <c r="AD2026" s="137"/>
      <c r="AE2026" s="137"/>
      <c r="AF2026" s="137"/>
      <c r="AG2026" s="137"/>
    </row>
    <row r="2027" ht="30.0" customHeight="1">
      <c r="A2027" s="248"/>
      <c r="B2027" s="249"/>
      <c r="C2027" s="248"/>
      <c r="D2027" s="249"/>
      <c r="E2027" s="249"/>
      <c r="F2027" s="249"/>
      <c r="G2027" s="250"/>
      <c r="H2027" s="251"/>
      <c r="I2027" s="252"/>
      <c r="J2027" s="252"/>
      <c r="K2027" s="252"/>
      <c r="L2027" s="251"/>
      <c r="M2027" s="251"/>
      <c r="N2027" s="251"/>
      <c r="O2027" s="251"/>
      <c r="P2027" s="251"/>
      <c r="Q2027" s="251"/>
      <c r="R2027" s="251"/>
      <c r="S2027" s="251"/>
      <c r="T2027" s="251"/>
      <c r="U2027" s="251"/>
      <c r="V2027" s="251"/>
      <c r="W2027" s="251"/>
      <c r="X2027" s="251"/>
      <c r="Y2027" s="251"/>
      <c r="Z2027" s="251"/>
      <c r="AA2027" s="137"/>
      <c r="AB2027" s="137"/>
      <c r="AC2027" s="137"/>
      <c r="AD2027" s="137"/>
      <c r="AE2027" s="137"/>
      <c r="AF2027" s="137"/>
      <c r="AG2027" s="137"/>
    </row>
    <row r="2028" ht="30.0" customHeight="1">
      <c r="A2028" s="248"/>
      <c r="B2028" s="249"/>
      <c r="C2028" s="248"/>
      <c r="D2028" s="249"/>
      <c r="E2028" s="249"/>
      <c r="F2028" s="249"/>
      <c r="G2028" s="250"/>
      <c r="H2028" s="251"/>
      <c r="I2028" s="252"/>
      <c r="J2028" s="252"/>
      <c r="K2028" s="252"/>
      <c r="L2028" s="251"/>
      <c r="M2028" s="251"/>
      <c r="N2028" s="251"/>
      <c r="O2028" s="251"/>
      <c r="P2028" s="251"/>
      <c r="Q2028" s="251"/>
      <c r="R2028" s="251"/>
      <c r="S2028" s="251"/>
      <c r="T2028" s="251"/>
      <c r="U2028" s="251"/>
      <c r="V2028" s="251"/>
      <c r="W2028" s="251"/>
      <c r="X2028" s="251"/>
      <c r="Y2028" s="251"/>
      <c r="Z2028" s="251"/>
      <c r="AA2028" s="137"/>
      <c r="AB2028" s="137"/>
      <c r="AC2028" s="137"/>
      <c r="AD2028" s="137"/>
      <c r="AE2028" s="137"/>
      <c r="AF2028" s="137"/>
      <c r="AG2028" s="137"/>
    </row>
    <row r="2029" ht="30.0" customHeight="1">
      <c r="A2029" s="248"/>
      <c r="B2029" s="249"/>
      <c r="C2029" s="248"/>
      <c r="D2029" s="249"/>
      <c r="E2029" s="249"/>
      <c r="F2029" s="249"/>
      <c r="G2029" s="250"/>
      <c r="H2029" s="251"/>
      <c r="I2029" s="252"/>
      <c r="J2029" s="252"/>
      <c r="K2029" s="252"/>
      <c r="L2029" s="251"/>
      <c r="M2029" s="251"/>
      <c r="N2029" s="251"/>
      <c r="O2029" s="251"/>
      <c r="P2029" s="251"/>
      <c r="Q2029" s="251"/>
      <c r="R2029" s="251"/>
      <c r="S2029" s="251"/>
      <c r="T2029" s="251"/>
      <c r="U2029" s="251"/>
      <c r="V2029" s="251"/>
      <c r="W2029" s="251"/>
      <c r="X2029" s="251"/>
      <c r="Y2029" s="251"/>
      <c r="Z2029" s="251"/>
      <c r="AA2029" s="137"/>
      <c r="AB2029" s="137"/>
      <c r="AC2029" s="137"/>
      <c r="AD2029" s="137"/>
      <c r="AE2029" s="137"/>
      <c r="AF2029" s="137"/>
      <c r="AG2029" s="137"/>
    </row>
    <row r="2030" ht="30.0" customHeight="1">
      <c r="A2030" s="248"/>
      <c r="B2030" s="249"/>
      <c r="C2030" s="248"/>
      <c r="D2030" s="249"/>
      <c r="E2030" s="249"/>
      <c r="F2030" s="249"/>
      <c r="G2030" s="250"/>
      <c r="H2030" s="251"/>
      <c r="I2030" s="252"/>
      <c r="J2030" s="252"/>
      <c r="K2030" s="252"/>
      <c r="L2030" s="251"/>
      <c r="M2030" s="251"/>
      <c r="N2030" s="251"/>
      <c r="O2030" s="251"/>
      <c r="P2030" s="251"/>
      <c r="Q2030" s="251"/>
      <c r="R2030" s="251"/>
      <c r="S2030" s="251"/>
      <c r="T2030" s="251"/>
      <c r="U2030" s="251"/>
      <c r="V2030" s="251"/>
      <c r="W2030" s="251"/>
      <c r="X2030" s="251"/>
      <c r="Y2030" s="251"/>
      <c r="Z2030" s="251"/>
      <c r="AA2030" s="137"/>
      <c r="AB2030" s="137"/>
      <c r="AC2030" s="137"/>
      <c r="AD2030" s="137"/>
      <c r="AE2030" s="137"/>
      <c r="AF2030" s="137"/>
      <c r="AG2030" s="137"/>
    </row>
    <row r="2031" ht="30.0" customHeight="1">
      <c r="A2031" s="248"/>
      <c r="B2031" s="249"/>
      <c r="C2031" s="248"/>
      <c r="D2031" s="249"/>
      <c r="E2031" s="249"/>
      <c r="F2031" s="249"/>
      <c r="G2031" s="250"/>
      <c r="H2031" s="251"/>
      <c r="I2031" s="252"/>
      <c r="J2031" s="252"/>
      <c r="K2031" s="252"/>
      <c r="L2031" s="251"/>
      <c r="M2031" s="251"/>
      <c r="N2031" s="251"/>
      <c r="O2031" s="251"/>
      <c r="P2031" s="251"/>
      <c r="Q2031" s="251"/>
      <c r="R2031" s="251"/>
      <c r="S2031" s="251"/>
      <c r="T2031" s="251"/>
      <c r="U2031" s="251"/>
      <c r="V2031" s="251"/>
      <c r="W2031" s="251"/>
      <c r="X2031" s="251"/>
      <c r="Y2031" s="251"/>
      <c r="Z2031" s="251"/>
      <c r="AA2031" s="137"/>
      <c r="AB2031" s="137"/>
      <c r="AC2031" s="137"/>
      <c r="AD2031" s="137"/>
      <c r="AE2031" s="137"/>
      <c r="AF2031" s="137"/>
      <c r="AG2031" s="137"/>
    </row>
    <row r="2032" ht="30.0" customHeight="1">
      <c r="A2032" s="248"/>
      <c r="B2032" s="249"/>
      <c r="C2032" s="248"/>
      <c r="D2032" s="249"/>
      <c r="E2032" s="249"/>
      <c r="F2032" s="249"/>
      <c r="G2032" s="250"/>
      <c r="H2032" s="251"/>
      <c r="I2032" s="252"/>
      <c r="J2032" s="252"/>
      <c r="K2032" s="252"/>
      <c r="L2032" s="251"/>
      <c r="M2032" s="251"/>
      <c r="N2032" s="251"/>
      <c r="O2032" s="251"/>
      <c r="P2032" s="251"/>
      <c r="Q2032" s="251"/>
      <c r="R2032" s="251"/>
      <c r="S2032" s="251"/>
      <c r="T2032" s="251"/>
      <c r="U2032" s="251"/>
      <c r="V2032" s="251"/>
      <c r="W2032" s="251"/>
      <c r="X2032" s="251"/>
      <c r="Y2032" s="251"/>
      <c r="Z2032" s="251"/>
      <c r="AA2032" s="137"/>
      <c r="AB2032" s="137"/>
      <c r="AC2032" s="137"/>
      <c r="AD2032" s="137"/>
      <c r="AE2032" s="137"/>
      <c r="AF2032" s="137"/>
      <c r="AG2032" s="137"/>
    </row>
    <row r="2033" ht="30.0" customHeight="1">
      <c r="A2033" s="248"/>
      <c r="B2033" s="249"/>
      <c r="C2033" s="248"/>
      <c r="D2033" s="249"/>
      <c r="E2033" s="249"/>
      <c r="F2033" s="249"/>
      <c r="G2033" s="250"/>
      <c r="H2033" s="251"/>
      <c r="I2033" s="252"/>
      <c r="J2033" s="252"/>
      <c r="K2033" s="252"/>
      <c r="L2033" s="251"/>
      <c r="M2033" s="251"/>
      <c r="N2033" s="251"/>
      <c r="O2033" s="251"/>
      <c r="P2033" s="251"/>
      <c r="Q2033" s="251"/>
      <c r="R2033" s="251"/>
      <c r="S2033" s="251"/>
      <c r="T2033" s="251"/>
      <c r="U2033" s="251"/>
      <c r="V2033" s="251"/>
      <c r="W2033" s="251"/>
      <c r="X2033" s="251"/>
      <c r="Y2033" s="251"/>
      <c r="Z2033" s="251"/>
      <c r="AA2033" s="137"/>
      <c r="AB2033" s="137"/>
      <c r="AC2033" s="137"/>
      <c r="AD2033" s="137"/>
      <c r="AE2033" s="137"/>
      <c r="AF2033" s="137"/>
      <c r="AG2033" s="137"/>
    </row>
    <row r="2034" ht="30.0" customHeight="1">
      <c r="A2034" s="248"/>
      <c r="B2034" s="249"/>
      <c r="C2034" s="248"/>
      <c r="D2034" s="249"/>
      <c r="E2034" s="249"/>
      <c r="F2034" s="249"/>
      <c r="G2034" s="250"/>
      <c r="H2034" s="251"/>
      <c r="I2034" s="252"/>
      <c r="J2034" s="252"/>
      <c r="K2034" s="252"/>
      <c r="L2034" s="251"/>
      <c r="M2034" s="251"/>
      <c r="N2034" s="251"/>
      <c r="O2034" s="251"/>
      <c r="P2034" s="251"/>
      <c r="Q2034" s="251"/>
      <c r="R2034" s="251"/>
      <c r="S2034" s="251"/>
      <c r="T2034" s="251"/>
      <c r="U2034" s="251"/>
      <c r="V2034" s="251"/>
      <c r="W2034" s="251"/>
      <c r="X2034" s="251"/>
      <c r="Y2034" s="251"/>
      <c r="Z2034" s="251"/>
      <c r="AA2034" s="137"/>
      <c r="AB2034" s="137"/>
      <c r="AC2034" s="137"/>
      <c r="AD2034" s="137"/>
      <c r="AE2034" s="137"/>
      <c r="AF2034" s="137"/>
      <c r="AG2034" s="137"/>
    </row>
    <row r="2035" ht="30.0" customHeight="1">
      <c r="A2035" s="248"/>
      <c r="B2035" s="249"/>
      <c r="C2035" s="248"/>
      <c r="D2035" s="249"/>
      <c r="E2035" s="249"/>
      <c r="F2035" s="249"/>
      <c r="G2035" s="250"/>
      <c r="H2035" s="251"/>
      <c r="I2035" s="252"/>
      <c r="J2035" s="252"/>
      <c r="K2035" s="252"/>
      <c r="L2035" s="251"/>
      <c r="M2035" s="251"/>
      <c r="N2035" s="251"/>
      <c r="O2035" s="251"/>
      <c r="P2035" s="251"/>
      <c r="Q2035" s="251"/>
      <c r="R2035" s="251"/>
      <c r="S2035" s="251"/>
      <c r="T2035" s="251"/>
      <c r="U2035" s="251"/>
      <c r="V2035" s="251"/>
      <c r="W2035" s="251"/>
      <c r="X2035" s="251"/>
      <c r="Y2035" s="251"/>
      <c r="Z2035" s="251"/>
      <c r="AA2035" s="137"/>
      <c r="AB2035" s="137"/>
      <c r="AC2035" s="137"/>
      <c r="AD2035" s="137"/>
      <c r="AE2035" s="137"/>
      <c r="AF2035" s="137"/>
      <c r="AG2035" s="137"/>
    </row>
    <row r="2036" ht="30.0" customHeight="1">
      <c r="A2036" s="248"/>
      <c r="B2036" s="249"/>
      <c r="C2036" s="248"/>
      <c r="D2036" s="249"/>
      <c r="E2036" s="249"/>
      <c r="F2036" s="249"/>
      <c r="G2036" s="250"/>
      <c r="H2036" s="251"/>
      <c r="I2036" s="252"/>
      <c r="J2036" s="252"/>
      <c r="K2036" s="252"/>
      <c r="L2036" s="251"/>
      <c r="M2036" s="251"/>
      <c r="N2036" s="251"/>
      <c r="O2036" s="251"/>
      <c r="P2036" s="251"/>
      <c r="Q2036" s="251"/>
      <c r="R2036" s="251"/>
      <c r="S2036" s="251"/>
      <c r="T2036" s="251"/>
      <c r="U2036" s="251"/>
      <c r="V2036" s="251"/>
      <c r="W2036" s="251"/>
      <c r="X2036" s="251"/>
      <c r="Y2036" s="251"/>
      <c r="Z2036" s="251"/>
      <c r="AA2036" s="137"/>
      <c r="AB2036" s="137"/>
      <c r="AC2036" s="137"/>
      <c r="AD2036" s="137"/>
      <c r="AE2036" s="137"/>
      <c r="AF2036" s="137"/>
      <c r="AG2036" s="137"/>
    </row>
    <row r="2037" ht="30.0" customHeight="1">
      <c r="A2037" s="248"/>
      <c r="B2037" s="249"/>
      <c r="C2037" s="248"/>
      <c r="D2037" s="249"/>
      <c r="E2037" s="249"/>
      <c r="F2037" s="249"/>
      <c r="G2037" s="250"/>
      <c r="H2037" s="251"/>
      <c r="I2037" s="252"/>
      <c r="J2037" s="252"/>
      <c r="K2037" s="252"/>
      <c r="L2037" s="251"/>
      <c r="M2037" s="251"/>
      <c r="N2037" s="251"/>
      <c r="O2037" s="251"/>
      <c r="P2037" s="251"/>
      <c r="Q2037" s="251"/>
      <c r="R2037" s="251"/>
      <c r="S2037" s="251"/>
      <c r="T2037" s="251"/>
      <c r="U2037" s="251"/>
      <c r="V2037" s="251"/>
      <c r="W2037" s="251"/>
      <c r="X2037" s="251"/>
      <c r="Y2037" s="251"/>
      <c r="Z2037" s="251"/>
      <c r="AA2037" s="137"/>
      <c r="AB2037" s="137"/>
      <c r="AC2037" s="137"/>
      <c r="AD2037" s="137"/>
      <c r="AE2037" s="137"/>
      <c r="AF2037" s="137"/>
      <c r="AG2037" s="137"/>
    </row>
    <row r="2038" ht="30.0" customHeight="1">
      <c r="A2038" s="248"/>
      <c r="B2038" s="249"/>
      <c r="C2038" s="248"/>
      <c r="D2038" s="249"/>
      <c r="E2038" s="249"/>
      <c r="F2038" s="249"/>
      <c r="G2038" s="250"/>
      <c r="H2038" s="251"/>
      <c r="I2038" s="252"/>
      <c r="J2038" s="252"/>
      <c r="K2038" s="252"/>
      <c r="L2038" s="251"/>
      <c r="M2038" s="251"/>
      <c r="N2038" s="251"/>
      <c r="O2038" s="251"/>
      <c r="P2038" s="251"/>
      <c r="Q2038" s="251"/>
      <c r="R2038" s="251"/>
      <c r="S2038" s="251"/>
      <c r="T2038" s="251"/>
      <c r="U2038" s="251"/>
      <c r="V2038" s="251"/>
      <c r="W2038" s="251"/>
      <c r="X2038" s="251"/>
      <c r="Y2038" s="251"/>
      <c r="Z2038" s="251"/>
      <c r="AA2038" s="137"/>
      <c r="AB2038" s="137"/>
      <c r="AC2038" s="137"/>
      <c r="AD2038" s="137"/>
      <c r="AE2038" s="137"/>
      <c r="AF2038" s="137"/>
      <c r="AG2038" s="137"/>
    </row>
    <row r="2039" ht="30.0" customHeight="1">
      <c r="A2039" s="248"/>
      <c r="B2039" s="249"/>
      <c r="C2039" s="248"/>
      <c r="D2039" s="249"/>
      <c r="E2039" s="249"/>
      <c r="F2039" s="249"/>
      <c r="G2039" s="250"/>
      <c r="H2039" s="251"/>
      <c r="I2039" s="252"/>
      <c r="J2039" s="252"/>
      <c r="K2039" s="252"/>
      <c r="L2039" s="251"/>
      <c r="M2039" s="251"/>
      <c r="N2039" s="251"/>
      <c r="O2039" s="251"/>
      <c r="P2039" s="251"/>
      <c r="Q2039" s="251"/>
      <c r="R2039" s="251"/>
      <c r="S2039" s="251"/>
      <c r="T2039" s="251"/>
      <c r="U2039" s="251"/>
      <c r="V2039" s="251"/>
      <c r="W2039" s="251"/>
      <c r="X2039" s="251"/>
      <c r="Y2039" s="251"/>
      <c r="Z2039" s="251"/>
      <c r="AA2039" s="137"/>
      <c r="AB2039" s="137"/>
      <c r="AC2039" s="137"/>
      <c r="AD2039" s="137"/>
      <c r="AE2039" s="137"/>
      <c r="AF2039" s="137"/>
      <c r="AG2039" s="137"/>
    </row>
    <row r="2040" ht="30.0" customHeight="1">
      <c r="A2040" s="248"/>
      <c r="B2040" s="249"/>
      <c r="C2040" s="248"/>
      <c r="D2040" s="249"/>
      <c r="E2040" s="249"/>
      <c r="F2040" s="249"/>
      <c r="G2040" s="250"/>
      <c r="H2040" s="251"/>
      <c r="I2040" s="252"/>
      <c r="J2040" s="252"/>
      <c r="K2040" s="252"/>
      <c r="L2040" s="251"/>
      <c r="M2040" s="251"/>
      <c r="N2040" s="251"/>
      <c r="O2040" s="251"/>
      <c r="P2040" s="251"/>
      <c r="Q2040" s="251"/>
      <c r="R2040" s="251"/>
      <c r="S2040" s="251"/>
      <c r="T2040" s="251"/>
      <c r="U2040" s="251"/>
      <c r="V2040" s="251"/>
      <c r="W2040" s="251"/>
      <c r="X2040" s="251"/>
      <c r="Y2040" s="251"/>
      <c r="Z2040" s="251"/>
      <c r="AA2040" s="137"/>
      <c r="AB2040" s="137"/>
      <c r="AC2040" s="137"/>
      <c r="AD2040" s="137"/>
      <c r="AE2040" s="137"/>
      <c r="AF2040" s="137"/>
      <c r="AG2040" s="137"/>
    </row>
    <row r="2041" ht="30.0" customHeight="1">
      <c r="A2041" s="248"/>
      <c r="B2041" s="249"/>
      <c r="C2041" s="248"/>
      <c r="D2041" s="249"/>
      <c r="E2041" s="249"/>
      <c r="F2041" s="249"/>
      <c r="G2041" s="250"/>
      <c r="H2041" s="251"/>
      <c r="I2041" s="252"/>
      <c r="J2041" s="252"/>
      <c r="K2041" s="252"/>
      <c r="L2041" s="251"/>
      <c r="M2041" s="251"/>
      <c r="N2041" s="251"/>
      <c r="O2041" s="251"/>
      <c r="P2041" s="251"/>
      <c r="Q2041" s="251"/>
      <c r="R2041" s="251"/>
      <c r="S2041" s="251"/>
      <c r="T2041" s="251"/>
      <c r="U2041" s="251"/>
      <c r="V2041" s="251"/>
      <c r="W2041" s="251"/>
      <c r="X2041" s="251"/>
      <c r="Y2041" s="251"/>
      <c r="Z2041" s="251"/>
      <c r="AA2041" s="137"/>
      <c r="AB2041" s="137"/>
      <c r="AC2041" s="137"/>
      <c r="AD2041" s="137"/>
      <c r="AE2041" s="137"/>
      <c r="AF2041" s="137"/>
      <c r="AG2041" s="137"/>
    </row>
    <row r="2042" ht="30.0" customHeight="1">
      <c r="A2042" s="248"/>
      <c r="B2042" s="249"/>
      <c r="C2042" s="248"/>
      <c r="D2042" s="249"/>
      <c r="E2042" s="249"/>
      <c r="F2042" s="249"/>
      <c r="G2042" s="250"/>
      <c r="H2042" s="251"/>
      <c r="I2042" s="252"/>
      <c r="J2042" s="252"/>
      <c r="K2042" s="252"/>
      <c r="L2042" s="251"/>
      <c r="M2042" s="251"/>
      <c r="N2042" s="251"/>
      <c r="O2042" s="251"/>
      <c r="P2042" s="251"/>
      <c r="Q2042" s="251"/>
      <c r="R2042" s="251"/>
      <c r="S2042" s="251"/>
      <c r="T2042" s="251"/>
      <c r="U2042" s="251"/>
      <c r="V2042" s="251"/>
      <c r="W2042" s="251"/>
      <c r="X2042" s="251"/>
      <c r="Y2042" s="251"/>
      <c r="Z2042" s="251"/>
      <c r="AA2042" s="137"/>
      <c r="AB2042" s="137"/>
      <c r="AC2042" s="137"/>
      <c r="AD2042" s="137"/>
      <c r="AE2042" s="137"/>
      <c r="AF2042" s="137"/>
      <c r="AG2042" s="137"/>
    </row>
    <row r="2043" ht="30.0" customHeight="1">
      <c r="A2043" s="248"/>
      <c r="B2043" s="249"/>
      <c r="C2043" s="248"/>
      <c r="D2043" s="249"/>
      <c r="E2043" s="249"/>
      <c r="F2043" s="249"/>
      <c r="G2043" s="250"/>
      <c r="H2043" s="251"/>
      <c r="I2043" s="252"/>
      <c r="J2043" s="252"/>
      <c r="K2043" s="252"/>
      <c r="L2043" s="251"/>
      <c r="M2043" s="251"/>
      <c r="N2043" s="251"/>
      <c r="O2043" s="251"/>
      <c r="P2043" s="251"/>
      <c r="Q2043" s="251"/>
      <c r="R2043" s="251"/>
      <c r="S2043" s="251"/>
      <c r="T2043" s="251"/>
      <c r="U2043" s="251"/>
      <c r="V2043" s="251"/>
      <c r="W2043" s="251"/>
      <c r="X2043" s="251"/>
      <c r="Y2043" s="251"/>
      <c r="Z2043" s="251"/>
      <c r="AA2043" s="137"/>
      <c r="AB2043" s="137"/>
      <c r="AC2043" s="137"/>
      <c r="AD2043" s="137"/>
      <c r="AE2043" s="137"/>
      <c r="AF2043" s="137"/>
      <c r="AG2043" s="137"/>
    </row>
    <row r="2044" ht="30.0" customHeight="1">
      <c r="A2044" s="248"/>
      <c r="B2044" s="249"/>
      <c r="C2044" s="248"/>
      <c r="D2044" s="249"/>
      <c r="E2044" s="249"/>
      <c r="F2044" s="249"/>
      <c r="G2044" s="250"/>
      <c r="H2044" s="251"/>
      <c r="I2044" s="252"/>
      <c r="J2044" s="252"/>
      <c r="K2044" s="252"/>
      <c r="L2044" s="251"/>
      <c r="M2044" s="251"/>
      <c r="N2044" s="251"/>
      <c r="O2044" s="251"/>
      <c r="P2044" s="251"/>
      <c r="Q2044" s="251"/>
      <c r="R2044" s="251"/>
      <c r="S2044" s="251"/>
      <c r="T2044" s="251"/>
      <c r="U2044" s="251"/>
      <c r="V2044" s="251"/>
      <c r="W2044" s="251"/>
      <c r="X2044" s="251"/>
      <c r="Y2044" s="251"/>
      <c r="Z2044" s="251"/>
      <c r="AA2044" s="137"/>
      <c r="AB2044" s="137"/>
      <c r="AC2044" s="137"/>
      <c r="AD2044" s="137"/>
      <c r="AE2044" s="137"/>
      <c r="AF2044" s="137"/>
      <c r="AG2044" s="137"/>
    </row>
    <row r="2045" ht="30.0" customHeight="1">
      <c r="A2045" s="248"/>
      <c r="B2045" s="249"/>
      <c r="C2045" s="248"/>
      <c r="D2045" s="249"/>
      <c r="E2045" s="249"/>
      <c r="F2045" s="249"/>
      <c r="G2045" s="250"/>
      <c r="H2045" s="251"/>
      <c r="I2045" s="252"/>
      <c r="J2045" s="252"/>
      <c r="K2045" s="252"/>
      <c r="L2045" s="251"/>
      <c r="M2045" s="251"/>
      <c r="N2045" s="251"/>
      <c r="O2045" s="251"/>
      <c r="P2045" s="251"/>
      <c r="Q2045" s="251"/>
      <c r="R2045" s="251"/>
      <c r="S2045" s="251"/>
      <c r="T2045" s="251"/>
      <c r="U2045" s="251"/>
      <c r="V2045" s="251"/>
      <c r="W2045" s="251"/>
      <c r="X2045" s="251"/>
      <c r="Y2045" s="251"/>
      <c r="Z2045" s="251"/>
      <c r="AA2045" s="137"/>
      <c r="AB2045" s="137"/>
      <c r="AC2045" s="137"/>
      <c r="AD2045" s="137"/>
      <c r="AE2045" s="137"/>
      <c r="AF2045" s="137"/>
      <c r="AG2045" s="137"/>
    </row>
    <row r="2046" ht="30.0" customHeight="1">
      <c r="A2046" s="248"/>
      <c r="B2046" s="249"/>
      <c r="C2046" s="248"/>
      <c r="D2046" s="249"/>
      <c r="E2046" s="249"/>
      <c r="F2046" s="249"/>
      <c r="G2046" s="250"/>
      <c r="H2046" s="251"/>
      <c r="I2046" s="252"/>
      <c r="J2046" s="252"/>
      <c r="K2046" s="252"/>
      <c r="L2046" s="251"/>
      <c r="M2046" s="251"/>
      <c r="N2046" s="251"/>
      <c r="O2046" s="251"/>
      <c r="P2046" s="251"/>
      <c r="Q2046" s="251"/>
      <c r="R2046" s="251"/>
      <c r="S2046" s="251"/>
      <c r="T2046" s="251"/>
      <c r="U2046" s="251"/>
      <c r="V2046" s="251"/>
      <c r="W2046" s="251"/>
      <c r="X2046" s="251"/>
      <c r="Y2046" s="251"/>
      <c r="Z2046" s="251"/>
      <c r="AA2046" s="137"/>
      <c r="AB2046" s="137"/>
      <c r="AC2046" s="137"/>
      <c r="AD2046" s="137"/>
      <c r="AE2046" s="137"/>
      <c r="AF2046" s="137"/>
      <c r="AG2046" s="137"/>
    </row>
    <row r="2047" ht="30.0" customHeight="1">
      <c r="A2047" s="248"/>
      <c r="B2047" s="249"/>
      <c r="C2047" s="248"/>
      <c r="D2047" s="249"/>
      <c r="E2047" s="249"/>
      <c r="F2047" s="249"/>
      <c r="G2047" s="249"/>
      <c r="H2047" s="251"/>
      <c r="I2047" s="252"/>
      <c r="J2047" s="252"/>
      <c r="K2047" s="252"/>
      <c r="L2047" s="251"/>
      <c r="M2047" s="251"/>
      <c r="N2047" s="251"/>
      <c r="O2047" s="251"/>
      <c r="P2047" s="251"/>
      <c r="Q2047" s="251"/>
      <c r="R2047" s="251"/>
      <c r="S2047" s="251"/>
      <c r="T2047" s="251"/>
      <c r="U2047" s="251"/>
      <c r="V2047" s="251"/>
      <c r="W2047" s="251"/>
      <c r="X2047" s="251"/>
      <c r="Y2047" s="251"/>
      <c r="Z2047" s="251"/>
      <c r="AA2047" s="137"/>
      <c r="AB2047" s="137"/>
      <c r="AC2047" s="137"/>
      <c r="AD2047" s="137"/>
      <c r="AE2047" s="137"/>
      <c r="AF2047" s="137"/>
      <c r="AG2047" s="137"/>
    </row>
    <row r="2048" ht="30.0" customHeight="1">
      <c r="A2048" s="248"/>
      <c r="B2048" s="249"/>
      <c r="C2048" s="248"/>
      <c r="D2048" s="249"/>
      <c r="E2048" s="249"/>
      <c r="F2048" s="249"/>
      <c r="G2048" s="250"/>
      <c r="H2048" s="251"/>
      <c r="I2048" s="252"/>
      <c r="J2048" s="252"/>
      <c r="K2048" s="252"/>
      <c r="L2048" s="251"/>
      <c r="M2048" s="251"/>
      <c r="N2048" s="251"/>
      <c r="O2048" s="251"/>
      <c r="P2048" s="251"/>
      <c r="Q2048" s="251"/>
      <c r="R2048" s="251"/>
      <c r="S2048" s="251"/>
      <c r="T2048" s="251"/>
      <c r="U2048" s="251"/>
      <c r="V2048" s="251"/>
      <c r="W2048" s="251"/>
      <c r="X2048" s="251"/>
      <c r="Y2048" s="251"/>
      <c r="Z2048" s="251"/>
      <c r="AA2048" s="137"/>
      <c r="AB2048" s="137"/>
      <c r="AC2048" s="137"/>
      <c r="AD2048" s="137"/>
      <c r="AE2048" s="137"/>
      <c r="AF2048" s="137"/>
      <c r="AG2048" s="137"/>
    </row>
    <row r="2049" ht="30.0" customHeight="1">
      <c r="A2049" s="248"/>
      <c r="B2049" s="249"/>
      <c r="C2049" s="248"/>
      <c r="D2049" s="249"/>
      <c r="E2049" s="249"/>
      <c r="F2049" s="249"/>
      <c r="G2049" s="250"/>
      <c r="H2049" s="251"/>
      <c r="I2049" s="252"/>
      <c r="J2049" s="252"/>
      <c r="K2049" s="252"/>
      <c r="L2049" s="251"/>
      <c r="M2049" s="251"/>
      <c r="N2049" s="251"/>
      <c r="O2049" s="251"/>
      <c r="P2049" s="251"/>
      <c r="Q2049" s="251"/>
      <c r="R2049" s="251"/>
      <c r="S2049" s="251"/>
      <c r="T2049" s="251"/>
      <c r="U2049" s="251"/>
      <c r="V2049" s="251"/>
      <c r="W2049" s="251"/>
      <c r="X2049" s="251"/>
      <c r="Y2049" s="251"/>
      <c r="Z2049" s="251"/>
      <c r="AA2049" s="137"/>
      <c r="AB2049" s="137"/>
      <c r="AC2049" s="137"/>
      <c r="AD2049" s="137"/>
      <c r="AE2049" s="137"/>
      <c r="AF2049" s="137"/>
      <c r="AG2049" s="137"/>
    </row>
    <row r="2050" ht="30.0" customHeight="1">
      <c r="A2050" s="248"/>
      <c r="B2050" s="249"/>
      <c r="C2050" s="248"/>
      <c r="D2050" s="249"/>
      <c r="E2050" s="249"/>
      <c r="F2050" s="249"/>
      <c r="G2050" s="250"/>
      <c r="H2050" s="251"/>
      <c r="I2050" s="252"/>
      <c r="J2050" s="252"/>
      <c r="K2050" s="252"/>
      <c r="L2050" s="251"/>
      <c r="M2050" s="251"/>
      <c r="N2050" s="251"/>
      <c r="O2050" s="251"/>
      <c r="P2050" s="251"/>
      <c r="Q2050" s="251"/>
      <c r="R2050" s="251"/>
      <c r="S2050" s="251"/>
      <c r="T2050" s="251"/>
      <c r="U2050" s="251"/>
      <c r="V2050" s="251"/>
      <c r="W2050" s="251"/>
      <c r="X2050" s="251"/>
      <c r="Y2050" s="251"/>
      <c r="Z2050" s="251"/>
      <c r="AA2050" s="137"/>
      <c r="AB2050" s="137"/>
      <c r="AC2050" s="137"/>
      <c r="AD2050" s="137"/>
      <c r="AE2050" s="137"/>
      <c r="AF2050" s="137"/>
      <c r="AG2050" s="137"/>
    </row>
    <row r="2051" ht="30.0" customHeight="1">
      <c r="A2051" s="248"/>
      <c r="B2051" s="249"/>
      <c r="C2051" s="248"/>
      <c r="D2051" s="249"/>
      <c r="E2051" s="249"/>
      <c r="F2051" s="249"/>
      <c r="G2051" s="250"/>
      <c r="H2051" s="251"/>
      <c r="I2051" s="252"/>
      <c r="J2051" s="252"/>
      <c r="K2051" s="252"/>
      <c r="L2051" s="251"/>
      <c r="M2051" s="251"/>
      <c r="N2051" s="251"/>
      <c r="O2051" s="251"/>
      <c r="P2051" s="251"/>
      <c r="Q2051" s="251"/>
      <c r="R2051" s="251"/>
      <c r="S2051" s="251"/>
      <c r="T2051" s="251"/>
      <c r="U2051" s="251"/>
      <c r="V2051" s="251"/>
      <c r="W2051" s="251"/>
      <c r="X2051" s="251"/>
      <c r="Y2051" s="251"/>
      <c r="Z2051" s="251"/>
      <c r="AA2051" s="137"/>
      <c r="AB2051" s="137"/>
      <c r="AC2051" s="137"/>
      <c r="AD2051" s="137"/>
      <c r="AE2051" s="137"/>
      <c r="AF2051" s="137"/>
      <c r="AG2051" s="137"/>
    </row>
    <row r="2052" ht="30.0" customHeight="1">
      <c r="A2052" s="248"/>
      <c r="B2052" s="249"/>
      <c r="C2052" s="248"/>
      <c r="D2052" s="249"/>
      <c r="E2052" s="249"/>
      <c r="F2052" s="249"/>
      <c r="G2052" s="250"/>
      <c r="H2052" s="251"/>
      <c r="I2052" s="252"/>
      <c r="J2052" s="252"/>
      <c r="K2052" s="252"/>
      <c r="L2052" s="251"/>
      <c r="M2052" s="251"/>
      <c r="N2052" s="251"/>
      <c r="O2052" s="251"/>
      <c r="P2052" s="251"/>
      <c r="Q2052" s="251"/>
      <c r="R2052" s="251"/>
      <c r="S2052" s="251"/>
      <c r="T2052" s="251"/>
      <c r="U2052" s="251"/>
      <c r="V2052" s="251"/>
      <c r="W2052" s="251"/>
      <c r="X2052" s="251"/>
      <c r="Y2052" s="251"/>
      <c r="Z2052" s="251"/>
      <c r="AA2052" s="137"/>
      <c r="AB2052" s="137"/>
      <c r="AC2052" s="137"/>
      <c r="AD2052" s="137"/>
      <c r="AE2052" s="137"/>
      <c r="AF2052" s="137"/>
      <c r="AG2052" s="137"/>
    </row>
    <row r="2053" ht="30.0" customHeight="1">
      <c r="A2053" s="248"/>
      <c r="B2053" s="249"/>
      <c r="C2053" s="248"/>
      <c r="D2053" s="249"/>
      <c r="E2053" s="249"/>
      <c r="F2053" s="249"/>
      <c r="G2053" s="250"/>
      <c r="H2053" s="251"/>
      <c r="I2053" s="252"/>
      <c r="J2053" s="252"/>
      <c r="K2053" s="252"/>
      <c r="L2053" s="251"/>
      <c r="M2053" s="251"/>
      <c r="N2053" s="251"/>
      <c r="O2053" s="251"/>
      <c r="P2053" s="251"/>
      <c r="Q2053" s="251"/>
      <c r="R2053" s="251"/>
      <c r="S2053" s="251"/>
      <c r="T2053" s="251"/>
      <c r="U2053" s="251"/>
      <c r="V2053" s="251"/>
      <c r="W2053" s="251"/>
      <c r="X2053" s="251"/>
      <c r="Y2053" s="251"/>
      <c r="Z2053" s="251"/>
      <c r="AA2053" s="137"/>
      <c r="AB2053" s="137"/>
      <c r="AC2053" s="137"/>
      <c r="AD2053" s="137"/>
      <c r="AE2053" s="137"/>
      <c r="AF2053" s="137"/>
      <c r="AG2053" s="137"/>
    </row>
    <row r="2054" ht="30.0" customHeight="1">
      <c r="A2054" s="248"/>
      <c r="B2054" s="249"/>
      <c r="C2054" s="248"/>
      <c r="D2054" s="249"/>
      <c r="E2054" s="249"/>
      <c r="F2054" s="249"/>
      <c r="G2054" s="250"/>
      <c r="H2054" s="251"/>
      <c r="I2054" s="252"/>
      <c r="J2054" s="252"/>
      <c r="K2054" s="252"/>
      <c r="L2054" s="251"/>
      <c r="M2054" s="251"/>
      <c r="N2054" s="251"/>
      <c r="O2054" s="251"/>
      <c r="P2054" s="251"/>
      <c r="Q2054" s="251"/>
      <c r="R2054" s="251"/>
      <c r="S2054" s="251"/>
      <c r="T2054" s="251"/>
      <c r="U2054" s="251"/>
      <c r="V2054" s="251"/>
      <c r="W2054" s="251"/>
      <c r="X2054" s="251"/>
      <c r="Y2054" s="251"/>
      <c r="Z2054" s="251"/>
      <c r="AA2054" s="137"/>
      <c r="AB2054" s="137"/>
      <c r="AC2054" s="137"/>
      <c r="AD2054" s="137"/>
      <c r="AE2054" s="137"/>
      <c r="AF2054" s="137"/>
      <c r="AG2054" s="137"/>
    </row>
    <row r="2055" ht="30.0" customHeight="1">
      <c r="A2055" s="248"/>
      <c r="B2055" s="249"/>
      <c r="C2055" s="248"/>
      <c r="D2055" s="249"/>
      <c r="E2055" s="249"/>
      <c r="F2055" s="249"/>
      <c r="G2055" s="250"/>
      <c r="H2055" s="251"/>
      <c r="I2055" s="252"/>
      <c r="J2055" s="252"/>
      <c r="K2055" s="252"/>
      <c r="L2055" s="251"/>
      <c r="M2055" s="251"/>
      <c r="N2055" s="251"/>
      <c r="O2055" s="251"/>
      <c r="P2055" s="251"/>
      <c r="Q2055" s="251"/>
      <c r="R2055" s="251"/>
      <c r="S2055" s="251"/>
      <c r="T2055" s="251"/>
      <c r="U2055" s="251"/>
      <c r="V2055" s="251"/>
      <c r="W2055" s="251"/>
      <c r="X2055" s="251"/>
      <c r="Y2055" s="251"/>
      <c r="Z2055" s="251"/>
      <c r="AA2055" s="137"/>
      <c r="AB2055" s="137"/>
      <c r="AC2055" s="137"/>
      <c r="AD2055" s="137"/>
      <c r="AE2055" s="137"/>
      <c r="AF2055" s="137"/>
      <c r="AG2055" s="137"/>
    </row>
    <row r="2056" ht="30.0" customHeight="1">
      <c r="A2056" s="248"/>
      <c r="B2056" s="249"/>
      <c r="C2056" s="248"/>
      <c r="D2056" s="249"/>
      <c r="E2056" s="249"/>
      <c r="F2056" s="249"/>
      <c r="G2056" s="250"/>
      <c r="H2056" s="251"/>
      <c r="I2056" s="252"/>
      <c r="J2056" s="252"/>
      <c r="K2056" s="252"/>
      <c r="L2056" s="251"/>
      <c r="M2056" s="251"/>
      <c r="N2056" s="251"/>
      <c r="O2056" s="251"/>
      <c r="P2056" s="251"/>
      <c r="Q2056" s="251"/>
      <c r="R2056" s="251"/>
      <c r="S2056" s="251"/>
      <c r="T2056" s="251"/>
      <c r="U2056" s="251"/>
      <c r="V2056" s="251"/>
      <c r="W2056" s="251"/>
      <c r="X2056" s="251"/>
      <c r="Y2056" s="251"/>
      <c r="Z2056" s="251"/>
      <c r="AA2056" s="137"/>
      <c r="AB2056" s="137"/>
      <c r="AC2056" s="137"/>
      <c r="AD2056" s="137"/>
      <c r="AE2056" s="137"/>
      <c r="AF2056" s="137"/>
      <c r="AG2056" s="137"/>
    </row>
    <row r="2057" ht="30.0" customHeight="1">
      <c r="A2057" s="248"/>
      <c r="B2057" s="249"/>
      <c r="C2057" s="248"/>
      <c r="D2057" s="249"/>
      <c r="E2057" s="249"/>
      <c r="F2057" s="249"/>
      <c r="G2057" s="250"/>
      <c r="H2057" s="251"/>
      <c r="I2057" s="252"/>
      <c r="J2057" s="252"/>
      <c r="K2057" s="252"/>
      <c r="L2057" s="251"/>
      <c r="M2057" s="251"/>
      <c r="N2057" s="251"/>
      <c r="O2057" s="251"/>
      <c r="P2057" s="251"/>
      <c r="Q2057" s="251"/>
      <c r="R2057" s="251"/>
      <c r="S2057" s="251"/>
      <c r="T2057" s="251"/>
      <c r="U2057" s="251"/>
      <c r="V2057" s="251"/>
      <c r="W2057" s="251"/>
      <c r="X2057" s="251"/>
      <c r="Y2057" s="251"/>
      <c r="Z2057" s="251"/>
      <c r="AA2057" s="137"/>
      <c r="AB2057" s="137"/>
      <c r="AC2057" s="137"/>
      <c r="AD2057" s="137"/>
      <c r="AE2057" s="137"/>
      <c r="AF2057" s="137"/>
      <c r="AG2057" s="137"/>
    </row>
    <row r="2058" ht="30.0" customHeight="1">
      <c r="A2058" s="248"/>
      <c r="B2058" s="249"/>
      <c r="C2058" s="248"/>
      <c r="D2058" s="249"/>
      <c r="E2058" s="249"/>
      <c r="F2058" s="249"/>
      <c r="G2058" s="250"/>
      <c r="H2058" s="251"/>
      <c r="I2058" s="252"/>
      <c r="J2058" s="252"/>
      <c r="K2058" s="252"/>
      <c r="L2058" s="251"/>
      <c r="M2058" s="251"/>
      <c r="N2058" s="251"/>
      <c r="O2058" s="251"/>
      <c r="P2058" s="251"/>
      <c r="Q2058" s="251"/>
      <c r="R2058" s="251"/>
      <c r="S2058" s="251"/>
      <c r="T2058" s="251"/>
      <c r="U2058" s="251"/>
      <c r="V2058" s="251"/>
      <c r="W2058" s="251"/>
      <c r="X2058" s="251"/>
      <c r="Y2058" s="251"/>
      <c r="Z2058" s="251"/>
      <c r="AA2058" s="137"/>
      <c r="AB2058" s="137"/>
      <c r="AC2058" s="137"/>
      <c r="AD2058" s="137"/>
      <c r="AE2058" s="137"/>
      <c r="AF2058" s="137"/>
      <c r="AG2058" s="137"/>
    </row>
    <row r="2059" ht="30.0" customHeight="1">
      <c r="A2059" s="248"/>
      <c r="B2059" s="249"/>
      <c r="C2059" s="248"/>
      <c r="D2059" s="249"/>
      <c r="E2059" s="249"/>
      <c r="F2059" s="249"/>
      <c r="G2059" s="250"/>
      <c r="H2059" s="251"/>
      <c r="I2059" s="252"/>
      <c r="J2059" s="252"/>
      <c r="K2059" s="252"/>
      <c r="L2059" s="251"/>
      <c r="M2059" s="251"/>
      <c r="N2059" s="251"/>
      <c r="O2059" s="251"/>
      <c r="P2059" s="251"/>
      <c r="Q2059" s="251"/>
      <c r="R2059" s="251"/>
      <c r="S2059" s="251"/>
      <c r="T2059" s="251"/>
      <c r="U2059" s="251"/>
      <c r="V2059" s="251"/>
      <c r="W2059" s="251"/>
      <c r="X2059" s="251"/>
      <c r="Y2059" s="251"/>
      <c r="Z2059" s="251"/>
      <c r="AA2059" s="137"/>
      <c r="AB2059" s="137"/>
      <c r="AC2059" s="137"/>
      <c r="AD2059" s="137"/>
      <c r="AE2059" s="137"/>
      <c r="AF2059" s="137"/>
      <c r="AG2059" s="137"/>
    </row>
    <row r="2060" ht="30.0" customHeight="1">
      <c r="A2060" s="248"/>
      <c r="B2060" s="249"/>
      <c r="C2060" s="248"/>
      <c r="D2060" s="249"/>
      <c r="E2060" s="249"/>
      <c r="F2060" s="249"/>
      <c r="G2060" s="250"/>
      <c r="H2060" s="251"/>
      <c r="I2060" s="252"/>
      <c r="J2060" s="252"/>
      <c r="K2060" s="252"/>
      <c r="L2060" s="251"/>
      <c r="M2060" s="251"/>
      <c r="N2060" s="251"/>
      <c r="O2060" s="251"/>
      <c r="P2060" s="251"/>
      <c r="Q2060" s="251"/>
      <c r="R2060" s="251"/>
      <c r="S2060" s="251"/>
      <c r="T2060" s="251"/>
      <c r="U2060" s="251"/>
      <c r="V2060" s="251"/>
      <c r="W2060" s="251"/>
      <c r="X2060" s="251"/>
      <c r="Y2060" s="251"/>
      <c r="Z2060" s="251"/>
      <c r="AA2060" s="137"/>
      <c r="AB2060" s="137"/>
      <c r="AC2060" s="137"/>
      <c r="AD2060" s="137"/>
      <c r="AE2060" s="137"/>
      <c r="AF2060" s="137"/>
      <c r="AG2060" s="137"/>
    </row>
    <row r="2061" ht="30.0" customHeight="1">
      <c r="A2061" s="248"/>
      <c r="B2061" s="249"/>
      <c r="C2061" s="248"/>
      <c r="D2061" s="249"/>
      <c r="E2061" s="249"/>
      <c r="F2061" s="249"/>
      <c r="G2061" s="250"/>
      <c r="H2061" s="251"/>
      <c r="I2061" s="252"/>
      <c r="J2061" s="252"/>
      <c r="K2061" s="252"/>
      <c r="L2061" s="251"/>
      <c r="M2061" s="251"/>
      <c r="N2061" s="251"/>
      <c r="O2061" s="251"/>
      <c r="P2061" s="251"/>
      <c r="Q2061" s="251"/>
      <c r="R2061" s="251"/>
      <c r="S2061" s="251"/>
      <c r="T2061" s="251"/>
      <c r="U2061" s="251"/>
      <c r="V2061" s="251"/>
      <c r="W2061" s="251"/>
      <c r="X2061" s="251"/>
      <c r="Y2061" s="251"/>
      <c r="Z2061" s="251"/>
      <c r="AA2061" s="137"/>
      <c r="AB2061" s="137"/>
      <c r="AC2061" s="137"/>
      <c r="AD2061" s="137"/>
      <c r="AE2061" s="137"/>
      <c r="AF2061" s="137"/>
      <c r="AG2061" s="137"/>
    </row>
    <row r="2062" ht="30.0" customHeight="1">
      <c r="A2062" s="248"/>
      <c r="B2062" s="249"/>
      <c r="C2062" s="248"/>
      <c r="D2062" s="249"/>
      <c r="E2062" s="249"/>
      <c r="F2062" s="249"/>
      <c r="G2062" s="250"/>
      <c r="H2062" s="251"/>
      <c r="I2062" s="252"/>
      <c r="J2062" s="252"/>
      <c r="K2062" s="252"/>
      <c r="L2062" s="251"/>
      <c r="M2062" s="251"/>
      <c r="N2062" s="251"/>
      <c r="O2062" s="251"/>
      <c r="P2062" s="251"/>
      <c r="Q2062" s="251"/>
      <c r="R2062" s="251"/>
      <c r="S2062" s="251"/>
      <c r="T2062" s="251"/>
      <c r="U2062" s="251"/>
      <c r="V2062" s="251"/>
      <c r="W2062" s="251"/>
      <c r="X2062" s="251"/>
      <c r="Y2062" s="251"/>
      <c r="Z2062" s="251"/>
      <c r="AA2062" s="137"/>
      <c r="AB2062" s="137"/>
      <c r="AC2062" s="137"/>
      <c r="AD2062" s="137"/>
      <c r="AE2062" s="137"/>
      <c r="AF2062" s="137"/>
      <c r="AG2062" s="137"/>
    </row>
    <row r="2063" ht="30.0" customHeight="1">
      <c r="A2063" s="248"/>
      <c r="B2063" s="249"/>
      <c r="C2063" s="248"/>
      <c r="D2063" s="249"/>
      <c r="E2063" s="249"/>
      <c r="F2063" s="249"/>
      <c r="G2063" s="250"/>
      <c r="H2063" s="251"/>
      <c r="I2063" s="252"/>
      <c r="J2063" s="252"/>
      <c r="K2063" s="252"/>
      <c r="L2063" s="251"/>
      <c r="M2063" s="251"/>
      <c r="N2063" s="251"/>
      <c r="O2063" s="251"/>
      <c r="P2063" s="251"/>
      <c r="Q2063" s="251"/>
      <c r="R2063" s="251"/>
      <c r="S2063" s="251"/>
      <c r="T2063" s="251"/>
      <c r="U2063" s="251"/>
      <c r="V2063" s="251"/>
      <c r="W2063" s="251"/>
      <c r="X2063" s="251"/>
      <c r="Y2063" s="251"/>
      <c r="Z2063" s="251"/>
      <c r="AA2063" s="137"/>
      <c r="AB2063" s="137"/>
      <c r="AC2063" s="137"/>
      <c r="AD2063" s="137"/>
      <c r="AE2063" s="137"/>
      <c r="AF2063" s="137"/>
      <c r="AG2063" s="137"/>
    </row>
    <row r="2064" ht="30.0" customHeight="1">
      <c r="A2064" s="248"/>
      <c r="B2064" s="249"/>
      <c r="C2064" s="248"/>
      <c r="D2064" s="249"/>
      <c r="E2064" s="249"/>
      <c r="F2064" s="249"/>
      <c r="G2064" s="250"/>
      <c r="H2064" s="251"/>
      <c r="I2064" s="252"/>
      <c r="J2064" s="252"/>
      <c r="K2064" s="252"/>
      <c r="L2064" s="251"/>
      <c r="M2064" s="251"/>
      <c r="N2064" s="251"/>
      <c r="O2064" s="251"/>
      <c r="P2064" s="251"/>
      <c r="Q2064" s="251"/>
      <c r="R2064" s="251"/>
      <c r="S2064" s="251"/>
      <c r="T2064" s="251"/>
      <c r="U2064" s="251"/>
      <c r="V2064" s="251"/>
      <c r="W2064" s="251"/>
      <c r="X2064" s="251"/>
      <c r="Y2064" s="251"/>
      <c r="Z2064" s="251"/>
      <c r="AA2064" s="137"/>
      <c r="AB2064" s="137"/>
      <c r="AC2064" s="137"/>
      <c r="AD2064" s="137"/>
      <c r="AE2064" s="137"/>
      <c r="AF2064" s="137"/>
      <c r="AG2064" s="137"/>
    </row>
    <row r="2065" ht="30.0" customHeight="1">
      <c r="A2065" s="248"/>
      <c r="B2065" s="249"/>
      <c r="C2065" s="248"/>
      <c r="D2065" s="249"/>
      <c r="E2065" s="249"/>
      <c r="F2065" s="249"/>
      <c r="G2065" s="250"/>
      <c r="H2065" s="251"/>
      <c r="I2065" s="252"/>
      <c r="J2065" s="252"/>
      <c r="K2065" s="252"/>
      <c r="L2065" s="251"/>
      <c r="M2065" s="251"/>
      <c r="N2065" s="251"/>
      <c r="O2065" s="251"/>
      <c r="P2065" s="251"/>
      <c r="Q2065" s="251"/>
      <c r="R2065" s="251"/>
      <c r="S2065" s="251"/>
      <c r="T2065" s="251"/>
      <c r="U2065" s="251"/>
      <c r="V2065" s="251"/>
      <c r="W2065" s="251"/>
      <c r="X2065" s="251"/>
      <c r="Y2065" s="251"/>
      <c r="Z2065" s="251"/>
      <c r="AA2065" s="137"/>
      <c r="AB2065" s="137"/>
      <c r="AC2065" s="137"/>
      <c r="AD2065" s="137"/>
      <c r="AE2065" s="137"/>
      <c r="AF2065" s="137"/>
      <c r="AG2065" s="137"/>
    </row>
    <row r="2066" ht="30.0" customHeight="1">
      <c r="A2066" s="248"/>
      <c r="B2066" s="249"/>
      <c r="C2066" s="248"/>
      <c r="D2066" s="249"/>
      <c r="E2066" s="249"/>
      <c r="F2066" s="249"/>
      <c r="G2066" s="250"/>
      <c r="H2066" s="251"/>
      <c r="I2066" s="252"/>
      <c r="J2066" s="252"/>
      <c r="K2066" s="252"/>
      <c r="L2066" s="251"/>
      <c r="M2066" s="251"/>
      <c r="N2066" s="251"/>
      <c r="O2066" s="251"/>
      <c r="P2066" s="251"/>
      <c r="Q2066" s="251"/>
      <c r="R2066" s="251"/>
      <c r="S2066" s="251"/>
      <c r="T2066" s="251"/>
      <c r="U2066" s="251"/>
      <c r="V2066" s="251"/>
      <c r="W2066" s="251"/>
      <c r="X2066" s="251"/>
      <c r="Y2066" s="251"/>
      <c r="Z2066" s="251"/>
      <c r="AA2066" s="137"/>
      <c r="AB2066" s="137"/>
      <c r="AC2066" s="137"/>
      <c r="AD2066" s="137"/>
      <c r="AE2066" s="137"/>
      <c r="AF2066" s="137"/>
      <c r="AG2066" s="137"/>
    </row>
    <row r="2067" ht="30.0" customHeight="1">
      <c r="A2067" s="248"/>
      <c r="B2067" s="249"/>
      <c r="C2067" s="248"/>
      <c r="D2067" s="249"/>
      <c r="E2067" s="249"/>
      <c r="F2067" s="249"/>
      <c r="G2067" s="250"/>
      <c r="H2067" s="251"/>
      <c r="I2067" s="252"/>
      <c r="J2067" s="252"/>
      <c r="K2067" s="252"/>
      <c r="L2067" s="251"/>
      <c r="M2067" s="251"/>
      <c r="N2067" s="251"/>
      <c r="O2067" s="251"/>
      <c r="P2067" s="251"/>
      <c r="Q2067" s="251"/>
      <c r="R2067" s="251"/>
      <c r="S2067" s="251"/>
      <c r="T2067" s="251"/>
      <c r="U2067" s="251"/>
      <c r="V2067" s="251"/>
      <c r="W2067" s="251"/>
      <c r="X2067" s="251"/>
      <c r="Y2067" s="251"/>
      <c r="Z2067" s="251"/>
      <c r="AA2067" s="137"/>
      <c r="AB2067" s="137"/>
      <c r="AC2067" s="137"/>
      <c r="AD2067" s="137"/>
      <c r="AE2067" s="137"/>
      <c r="AF2067" s="137"/>
      <c r="AG2067" s="137"/>
    </row>
    <row r="2068" ht="30.0" customHeight="1">
      <c r="A2068" s="248"/>
      <c r="B2068" s="249"/>
      <c r="C2068" s="248"/>
      <c r="D2068" s="249"/>
      <c r="E2068" s="249"/>
      <c r="F2068" s="249"/>
      <c r="G2068" s="250"/>
      <c r="H2068" s="251"/>
      <c r="I2068" s="252"/>
      <c r="J2068" s="252"/>
      <c r="K2068" s="252"/>
      <c r="L2068" s="251"/>
      <c r="M2068" s="251"/>
      <c r="N2068" s="251"/>
      <c r="O2068" s="251"/>
      <c r="P2068" s="251"/>
      <c r="Q2068" s="251"/>
      <c r="R2068" s="251"/>
      <c r="S2068" s="251"/>
      <c r="T2068" s="251"/>
      <c r="U2068" s="251"/>
      <c r="V2068" s="251"/>
      <c r="W2068" s="251"/>
      <c r="X2068" s="251"/>
      <c r="Y2068" s="251"/>
      <c r="Z2068" s="251"/>
      <c r="AA2068" s="137"/>
      <c r="AB2068" s="137"/>
      <c r="AC2068" s="137"/>
      <c r="AD2068" s="137"/>
      <c r="AE2068" s="137"/>
      <c r="AF2068" s="137"/>
      <c r="AG2068" s="137"/>
    </row>
    <row r="2069" ht="30.0" customHeight="1">
      <c r="A2069" s="248"/>
      <c r="B2069" s="249"/>
      <c r="C2069" s="248"/>
      <c r="D2069" s="249"/>
      <c r="E2069" s="249"/>
      <c r="F2069" s="249"/>
      <c r="G2069" s="250"/>
      <c r="H2069" s="251"/>
      <c r="I2069" s="252"/>
      <c r="J2069" s="252"/>
      <c r="K2069" s="252"/>
      <c r="L2069" s="251"/>
      <c r="M2069" s="251"/>
      <c r="N2069" s="251"/>
      <c r="O2069" s="251"/>
      <c r="P2069" s="251"/>
      <c r="Q2069" s="251"/>
      <c r="R2069" s="251"/>
      <c r="S2069" s="251"/>
      <c r="T2069" s="251"/>
      <c r="U2069" s="251"/>
      <c r="V2069" s="251"/>
      <c r="W2069" s="251"/>
      <c r="X2069" s="251"/>
      <c r="Y2069" s="251"/>
      <c r="Z2069" s="251"/>
      <c r="AA2069" s="137"/>
      <c r="AB2069" s="137"/>
      <c r="AC2069" s="137"/>
      <c r="AD2069" s="137"/>
      <c r="AE2069" s="137"/>
      <c r="AF2069" s="137"/>
      <c r="AG2069" s="137"/>
    </row>
    <row r="2070" ht="30.0" customHeight="1">
      <c r="A2070" s="248"/>
      <c r="B2070" s="249"/>
      <c r="C2070" s="248"/>
      <c r="D2070" s="249"/>
      <c r="E2070" s="249"/>
      <c r="F2070" s="249"/>
      <c r="G2070" s="250"/>
      <c r="H2070" s="251"/>
      <c r="I2070" s="252"/>
      <c r="J2070" s="252"/>
      <c r="K2070" s="252"/>
      <c r="L2070" s="251"/>
      <c r="M2070" s="251"/>
      <c r="N2070" s="251"/>
      <c r="O2070" s="251"/>
      <c r="P2070" s="251"/>
      <c r="Q2070" s="251"/>
      <c r="R2070" s="251"/>
      <c r="S2070" s="251"/>
      <c r="T2070" s="251"/>
      <c r="U2070" s="251"/>
      <c r="V2070" s="251"/>
      <c r="W2070" s="251"/>
      <c r="X2070" s="251"/>
      <c r="Y2070" s="251"/>
      <c r="Z2070" s="251"/>
      <c r="AA2070" s="137"/>
      <c r="AB2070" s="137"/>
      <c r="AC2070" s="137"/>
      <c r="AD2070" s="137"/>
      <c r="AE2070" s="137"/>
      <c r="AF2070" s="137"/>
      <c r="AG2070" s="137"/>
    </row>
    <row r="2071" ht="30.0" customHeight="1">
      <c r="A2071" s="248"/>
      <c r="B2071" s="249"/>
      <c r="C2071" s="248"/>
      <c r="D2071" s="249"/>
      <c r="E2071" s="249"/>
      <c r="F2071" s="249"/>
      <c r="G2071" s="250"/>
      <c r="H2071" s="251"/>
      <c r="I2071" s="252"/>
      <c r="J2071" s="252"/>
      <c r="K2071" s="252"/>
      <c r="L2071" s="251"/>
      <c r="M2071" s="251"/>
      <c r="N2071" s="251"/>
      <c r="O2071" s="251"/>
      <c r="P2071" s="251"/>
      <c r="Q2071" s="251"/>
      <c r="R2071" s="251"/>
      <c r="S2071" s="251"/>
      <c r="T2071" s="251"/>
      <c r="U2071" s="251"/>
      <c r="V2071" s="251"/>
      <c r="W2071" s="251"/>
      <c r="X2071" s="251"/>
      <c r="Y2071" s="251"/>
      <c r="Z2071" s="251"/>
      <c r="AA2071" s="137"/>
      <c r="AB2071" s="137"/>
      <c r="AC2071" s="137"/>
      <c r="AD2071" s="137"/>
      <c r="AE2071" s="137"/>
      <c r="AF2071" s="137"/>
      <c r="AG2071" s="137"/>
    </row>
    <row r="2072" ht="30.0" customHeight="1">
      <c r="A2072" s="248"/>
      <c r="B2072" s="249"/>
      <c r="C2072" s="248"/>
      <c r="D2072" s="249"/>
      <c r="E2072" s="249"/>
      <c r="F2072" s="249"/>
      <c r="G2072" s="250"/>
      <c r="H2072" s="251"/>
      <c r="I2072" s="252"/>
      <c r="J2072" s="252"/>
      <c r="K2072" s="252"/>
      <c r="L2072" s="251"/>
      <c r="M2072" s="251"/>
      <c r="N2072" s="251"/>
      <c r="O2072" s="251"/>
      <c r="P2072" s="251"/>
      <c r="Q2072" s="251"/>
      <c r="R2072" s="251"/>
      <c r="S2072" s="251"/>
      <c r="T2072" s="251"/>
      <c r="U2072" s="251"/>
      <c r="V2072" s="251"/>
      <c r="W2072" s="251"/>
      <c r="X2072" s="251"/>
      <c r="Y2072" s="251"/>
      <c r="Z2072" s="251"/>
      <c r="AA2072" s="137"/>
      <c r="AB2072" s="137"/>
      <c r="AC2072" s="137"/>
      <c r="AD2072" s="137"/>
      <c r="AE2072" s="137"/>
      <c r="AF2072" s="137"/>
      <c r="AG2072" s="137"/>
    </row>
    <row r="2073" ht="30.0" customHeight="1">
      <c r="A2073" s="248"/>
      <c r="B2073" s="249"/>
      <c r="C2073" s="248"/>
      <c r="D2073" s="249"/>
      <c r="E2073" s="249"/>
      <c r="F2073" s="249"/>
      <c r="G2073" s="250"/>
      <c r="H2073" s="251"/>
      <c r="I2073" s="252"/>
      <c r="J2073" s="252"/>
      <c r="K2073" s="252"/>
      <c r="L2073" s="251"/>
      <c r="M2073" s="251"/>
      <c r="N2073" s="251"/>
      <c r="O2073" s="251"/>
      <c r="P2073" s="251"/>
      <c r="Q2073" s="251"/>
      <c r="R2073" s="251"/>
      <c r="S2073" s="251"/>
      <c r="T2073" s="251"/>
      <c r="U2073" s="251"/>
      <c r="V2073" s="251"/>
      <c r="W2073" s="251"/>
      <c r="X2073" s="251"/>
      <c r="Y2073" s="251"/>
      <c r="Z2073" s="251"/>
      <c r="AA2073" s="137"/>
      <c r="AB2073" s="137"/>
      <c r="AC2073" s="137"/>
      <c r="AD2073" s="137"/>
      <c r="AE2073" s="137"/>
      <c r="AF2073" s="137"/>
      <c r="AG2073" s="137"/>
    </row>
    <row r="2074" ht="30.0" customHeight="1">
      <c r="A2074" s="248"/>
      <c r="B2074" s="249"/>
      <c r="C2074" s="248"/>
      <c r="D2074" s="249"/>
      <c r="E2074" s="249"/>
      <c r="F2074" s="249"/>
      <c r="G2074" s="250"/>
      <c r="H2074" s="251"/>
      <c r="I2074" s="252"/>
      <c r="J2074" s="252"/>
      <c r="K2074" s="252"/>
      <c r="L2074" s="251"/>
      <c r="M2074" s="251"/>
      <c r="N2074" s="251"/>
      <c r="O2074" s="251"/>
      <c r="P2074" s="251"/>
      <c r="Q2074" s="251"/>
      <c r="R2074" s="251"/>
      <c r="S2074" s="251"/>
      <c r="T2074" s="251"/>
      <c r="U2074" s="251"/>
      <c r="V2074" s="251"/>
      <c r="W2074" s="251"/>
      <c r="X2074" s="251"/>
      <c r="Y2074" s="251"/>
      <c r="Z2074" s="251"/>
      <c r="AA2074" s="137"/>
      <c r="AB2074" s="137"/>
      <c r="AC2074" s="137"/>
      <c r="AD2074" s="137"/>
      <c r="AE2074" s="137"/>
      <c r="AF2074" s="137"/>
      <c r="AG2074" s="137"/>
    </row>
    <row r="2075" ht="30.0" customHeight="1">
      <c r="A2075" s="248"/>
      <c r="B2075" s="249"/>
      <c r="C2075" s="248"/>
      <c r="D2075" s="249"/>
      <c r="E2075" s="249"/>
      <c r="F2075" s="249"/>
      <c r="G2075" s="250"/>
      <c r="H2075" s="251"/>
      <c r="I2075" s="252"/>
      <c r="J2075" s="252"/>
      <c r="K2075" s="252"/>
      <c r="L2075" s="251"/>
      <c r="M2075" s="251"/>
      <c r="N2075" s="251"/>
      <c r="O2075" s="251"/>
      <c r="P2075" s="251"/>
      <c r="Q2075" s="251"/>
      <c r="R2075" s="251"/>
      <c r="S2075" s="251"/>
      <c r="T2075" s="251"/>
      <c r="U2075" s="251"/>
      <c r="V2075" s="251"/>
      <c r="W2075" s="251"/>
      <c r="X2075" s="251"/>
      <c r="Y2075" s="251"/>
      <c r="Z2075" s="251"/>
      <c r="AA2075" s="137"/>
      <c r="AB2075" s="137"/>
      <c r="AC2075" s="137"/>
      <c r="AD2075" s="137"/>
      <c r="AE2075" s="137"/>
      <c r="AF2075" s="137"/>
      <c r="AG2075" s="137"/>
    </row>
    <row r="2076" ht="30.0" customHeight="1">
      <c r="A2076" s="248"/>
      <c r="B2076" s="249"/>
      <c r="C2076" s="248"/>
      <c r="D2076" s="249"/>
      <c r="E2076" s="249"/>
      <c r="F2076" s="249"/>
      <c r="G2076" s="250"/>
      <c r="H2076" s="251"/>
      <c r="I2076" s="252"/>
      <c r="J2076" s="252"/>
      <c r="K2076" s="252"/>
      <c r="L2076" s="251"/>
      <c r="M2076" s="251"/>
      <c r="N2076" s="251"/>
      <c r="O2076" s="251"/>
      <c r="P2076" s="251"/>
      <c r="Q2076" s="251"/>
      <c r="R2076" s="251"/>
      <c r="S2076" s="251"/>
      <c r="T2076" s="251"/>
      <c r="U2076" s="251"/>
      <c r="V2076" s="251"/>
      <c r="W2076" s="251"/>
      <c r="X2076" s="251"/>
      <c r="Y2076" s="251"/>
      <c r="Z2076" s="251"/>
      <c r="AA2076" s="137"/>
      <c r="AB2076" s="137"/>
      <c r="AC2076" s="137"/>
      <c r="AD2076" s="137"/>
      <c r="AE2076" s="137"/>
      <c r="AF2076" s="137"/>
      <c r="AG2076" s="137"/>
    </row>
    <row r="2077" ht="30.0" customHeight="1">
      <c r="A2077" s="248"/>
      <c r="B2077" s="249"/>
      <c r="C2077" s="248"/>
      <c r="D2077" s="249"/>
      <c r="E2077" s="249"/>
      <c r="F2077" s="249"/>
      <c r="G2077" s="249"/>
      <c r="H2077" s="251"/>
      <c r="I2077" s="252"/>
      <c r="J2077" s="252"/>
      <c r="K2077" s="252"/>
      <c r="L2077" s="251"/>
      <c r="M2077" s="251"/>
      <c r="N2077" s="251"/>
      <c r="O2077" s="251"/>
      <c r="P2077" s="251"/>
      <c r="Q2077" s="251"/>
      <c r="R2077" s="251"/>
      <c r="S2077" s="251"/>
      <c r="T2077" s="251"/>
      <c r="U2077" s="251"/>
      <c r="V2077" s="251"/>
      <c r="W2077" s="251"/>
      <c r="X2077" s="251"/>
      <c r="Y2077" s="251"/>
      <c r="Z2077" s="251"/>
      <c r="AA2077" s="137"/>
      <c r="AB2077" s="137"/>
      <c r="AC2077" s="137"/>
      <c r="AD2077" s="137"/>
      <c r="AE2077" s="137"/>
      <c r="AF2077" s="137"/>
      <c r="AG2077" s="137"/>
    </row>
  </sheetData>
  <autoFilter ref="$A$1:$AG$2077"/>
  <hyperlinks>
    <hyperlink r:id="rId1" ref="A2"/>
    <hyperlink r:id="rId2" ref="B2"/>
    <hyperlink r:id="rId3" ref="B3"/>
    <hyperlink r:id="rId4" ref="B4"/>
    <hyperlink r:id="rId5" ref="B5"/>
    <hyperlink r:id="rId6" ref="B6"/>
  </hyperlinks>
  <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5.11"/>
    <col customWidth="1" min="2" max="2" width="10.67"/>
    <col customWidth="1" min="3" max="4" width="13.44"/>
    <col customWidth="1" min="5" max="5" width="11.67"/>
    <col customWidth="1" min="6" max="6" width="18.0"/>
    <col customWidth="1" min="7" max="7" width="53.0"/>
    <col customWidth="1" min="8" max="13" width="13.44"/>
  </cols>
  <sheetData>
    <row r="1">
      <c r="A1" s="256" t="s">
        <v>10415</v>
      </c>
      <c r="B1" s="256" t="s">
        <v>10416</v>
      </c>
      <c r="C1" s="256" t="s">
        <v>10417</v>
      </c>
      <c r="D1" s="256" t="s">
        <v>10418</v>
      </c>
      <c r="E1" s="256" t="s">
        <v>10419</v>
      </c>
      <c r="F1" s="256" t="s">
        <v>10420</v>
      </c>
      <c r="G1" s="256" t="s">
        <v>293</v>
      </c>
      <c r="H1" s="256" t="s">
        <v>10421</v>
      </c>
      <c r="I1" s="256" t="s">
        <v>10422</v>
      </c>
      <c r="J1" s="256" t="s">
        <v>10423</v>
      </c>
      <c r="K1" s="13"/>
      <c r="L1" s="13"/>
      <c r="M1" s="13"/>
    </row>
    <row r="2" ht="19.5" customHeight="1">
      <c r="A2" s="257" t="s">
        <v>10424</v>
      </c>
      <c r="B2" s="258" t="s">
        <v>303</v>
      </c>
      <c r="C2" s="257">
        <v>13.0</v>
      </c>
      <c r="D2" s="257">
        <v>78.0</v>
      </c>
      <c r="E2" s="257">
        <v>4.25</v>
      </c>
      <c r="F2" s="257">
        <v>2.0</v>
      </c>
      <c r="G2" s="258" t="s">
        <v>10425</v>
      </c>
      <c r="H2" s="258">
        <v>2.0</v>
      </c>
      <c r="I2" s="258" t="s">
        <v>10426</v>
      </c>
      <c r="J2" s="258">
        <v>0.94</v>
      </c>
    </row>
    <row r="3" ht="19.5" customHeight="1">
      <c r="A3" s="257" t="s">
        <v>10427</v>
      </c>
      <c r="B3" s="258" t="s">
        <v>303</v>
      </c>
      <c r="C3" s="257">
        <v>0.0</v>
      </c>
      <c r="D3" s="257"/>
      <c r="E3" s="257"/>
      <c r="F3" s="257">
        <v>0.0</v>
      </c>
      <c r="G3" s="258" t="s">
        <v>10428</v>
      </c>
      <c r="H3" s="258">
        <v>2.0</v>
      </c>
      <c r="I3" s="258" t="s">
        <v>10426</v>
      </c>
      <c r="J3" s="258">
        <v>0.95</v>
      </c>
    </row>
    <row r="4" ht="19.5" customHeight="1">
      <c r="A4" s="257" t="s">
        <v>10429</v>
      </c>
      <c r="B4" s="258" t="s">
        <v>303</v>
      </c>
      <c r="C4" s="257">
        <v>0.0</v>
      </c>
      <c r="D4" s="257"/>
      <c r="E4" s="257"/>
      <c r="F4" s="257">
        <v>0.0</v>
      </c>
      <c r="G4" s="258" t="s">
        <v>10430</v>
      </c>
      <c r="H4" s="258">
        <v>2.0</v>
      </c>
      <c r="I4" s="258" t="s">
        <v>10426</v>
      </c>
      <c r="J4" s="258">
        <v>0.95</v>
      </c>
    </row>
    <row r="5" ht="19.5" customHeight="1">
      <c r="A5" s="257" t="s">
        <v>10431</v>
      </c>
      <c r="B5" s="258" t="s">
        <v>303</v>
      </c>
      <c r="C5" s="257">
        <v>0.0</v>
      </c>
      <c r="D5" s="257"/>
      <c r="E5" s="257"/>
      <c r="F5" s="257">
        <v>0.0</v>
      </c>
      <c r="G5" s="258" t="s">
        <v>10432</v>
      </c>
      <c r="H5" s="258">
        <v>2.0</v>
      </c>
      <c r="I5" s="258" t="s">
        <v>10426</v>
      </c>
      <c r="J5" s="258">
        <v>0.98</v>
      </c>
    </row>
    <row r="6" ht="19.5" customHeight="1">
      <c r="A6" s="257" t="s">
        <v>10433</v>
      </c>
      <c r="B6" s="258" t="s">
        <v>303</v>
      </c>
      <c r="C6" s="257">
        <v>0.0</v>
      </c>
      <c r="D6" s="257"/>
      <c r="E6" s="257"/>
      <c r="F6" s="257">
        <v>0.0</v>
      </c>
      <c r="G6" s="258" t="s">
        <v>10434</v>
      </c>
      <c r="H6" s="258">
        <v>3.0</v>
      </c>
      <c r="I6" s="258" t="s">
        <v>10426</v>
      </c>
      <c r="J6" s="258">
        <v>0.98</v>
      </c>
    </row>
    <row r="7" ht="19.5" customHeight="1">
      <c r="A7" s="257" t="s">
        <v>10435</v>
      </c>
      <c r="B7" s="258" t="s">
        <v>303</v>
      </c>
      <c r="C7" s="257">
        <v>0.0</v>
      </c>
      <c r="D7" s="257"/>
      <c r="E7" s="257"/>
      <c r="F7" s="257">
        <v>0.0</v>
      </c>
      <c r="G7" s="258" t="s">
        <v>10436</v>
      </c>
      <c r="H7" s="258">
        <v>1.0</v>
      </c>
      <c r="I7" s="258" t="s">
        <v>10426</v>
      </c>
      <c r="J7" s="258">
        <v>0.97</v>
      </c>
    </row>
    <row r="8" ht="19.5" customHeight="1">
      <c r="A8" s="257" t="s">
        <v>10437</v>
      </c>
      <c r="B8" s="258" t="s">
        <v>303</v>
      </c>
      <c r="C8" s="257">
        <v>0.0</v>
      </c>
      <c r="D8" s="257"/>
      <c r="E8" s="257"/>
      <c r="F8" s="257">
        <v>0.0</v>
      </c>
      <c r="G8" s="258" t="s">
        <v>10438</v>
      </c>
      <c r="H8" s="258">
        <v>2.0</v>
      </c>
      <c r="I8" s="258" t="s">
        <v>10426</v>
      </c>
      <c r="J8" s="258">
        <v>0.94</v>
      </c>
    </row>
    <row r="9" ht="19.5" customHeight="1">
      <c r="A9" s="257" t="s">
        <v>10439</v>
      </c>
      <c r="B9" s="258" t="s">
        <v>303</v>
      </c>
      <c r="C9" s="257">
        <v>0.0</v>
      </c>
      <c r="D9" s="257"/>
      <c r="E9" s="257"/>
      <c r="F9" s="257">
        <v>0.0</v>
      </c>
      <c r="G9" s="258" t="s">
        <v>10440</v>
      </c>
      <c r="H9" s="258">
        <v>2.0</v>
      </c>
      <c r="I9" s="258" t="s">
        <v>10426</v>
      </c>
      <c r="J9" s="258">
        <v>0.94</v>
      </c>
    </row>
    <row r="10" ht="19.5" customHeight="1">
      <c r="A10" s="257" t="s">
        <v>10441</v>
      </c>
      <c r="B10" s="258" t="s">
        <v>303</v>
      </c>
      <c r="C10" s="257">
        <v>0.0</v>
      </c>
      <c r="D10" s="257"/>
      <c r="E10" s="257"/>
      <c r="F10" s="257">
        <v>0.0</v>
      </c>
      <c r="G10" s="258" t="s">
        <v>10442</v>
      </c>
      <c r="H10" s="258">
        <v>3.0</v>
      </c>
      <c r="I10" s="258" t="s">
        <v>10426</v>
      </c>
      <c r="J10" s="258">
        <v>0.98</v>
      </c>
    </row>
    <row r="11" ht="19.5" customHeight="1">
      <c r="A11" s="257" t="s">
        <v>10443</v>
      </c>
      <c r="B11" s="258" t="s">
        <v>303</v>
      </c>
      <c r="C11" s="257">
        <v>0.0</v>
      </c>
      <c r="D11" s="257"/>
      <c r="E11" s="257"/>
      <c r="F11" s="257">
        <v>0.0</v>
      </c>
      <c r="G11" s="258" t="s">
        <v>10444</v>
      </c>
      <c r="H11" s="258">
        <v>2.0</v>
      </c>
      <c r="I11" s="258" t="s">
        <v>10426</v>
      </c>
      <c r="J11" s="258">
        <v>0.98</v>
      </c>
    </row>
    <row r="12" ht="19.5" customHeight="1">
      <c r="A12" s="257" t="s">
        <v>10445</v>
      </c>
      <c r="B12" s="258" t="s">
        <v>303</v>
      </c>
      <c r="C12" s="257">
        <v>0.0</v>
      </c>
      <c r="D12" s="257"/>
      <c r="E12" s="257"/>
      <c r="F12" s="257">
        <v>0.0</v>
      </c>
      <c r="G12" s="258" t="s">
        <v>10446</v>
      </c>
      <c r="H12" s="258">
        <v>2.0</v>
      </c>
      <c r="I12" s="258" t="s">
        <v>10426</v>
      </c>
      <c r="J12" s="258">
        <v>0.98</v>
      </c>
    </row>
    <row r="13" ht="19.5" customHeight="1">
      <c r="A13" s="257" t="s">
        <v>10447</v>
      </c>
      <c r="B13" s="258" t="s">
        <v>303</v>
      </c>
      <c r="C13" s="257">
        <v>0.0</v>
      </c>
      <c r="D13" s="257"/>
      <c r="E13" s="257"/>
      <c r="F13" s="257">
        <v>0.0</v>
      </c>
      <c r="G13" s="258" t="s">
        <v>10448</v>
      </c>
      <c r="H13" s="258">
        <v>2.0</v>
      </c>
      <c r="I13" s="258" t="s">
        <v>10426</v>
      </c>
      <c r="J13" s="258">
        <v>0.94</v>
      </c>
    </row>
    <row r="14" ht="19.5" customHeight="1">
      <c r="A14" s="257" t="s">
        <v>10449</v>
      </c>
      <c r="B14" s="258" t="s">
        <v>303</v>
      </c>
      <c r="C14" s="257">
        <v>0.0</v>
      </c>
      <c r="D14" s="257"/>
      <c r="E14" s="257"/>
      <c r="F14" s="257">
        <v>0.0</v>
      </c>
      <c r="G14" s="258" t="s">
        <v>10450</v>
      </c>
      <c r="H14" s="258">
        <v>2.0</v>
      </c>
      <c r="I14" s="258" t="s">
        <v>10426</v>
      </c>
      <c r="J14" s="258">
        <v>0.97</v>
      </c>
    </row>
    <row r="15" ht="19.5" customHeight="1">
      <c r="A15" s="257" t="s">
        <v>10451</v>
      </c>
      <c r="B15" s="258" t="s">
        <v>303</v>
      </c>
      <c r="C15" s="257">
        <v>0.0</v>
      </c>
      <c r="D15" s="257"/>
      <c r="E15" s="257"/>
      <c r="F15" s="257">
        <v>0.0</v>
      </c>
      <c r="G15" s="258" t="s">
        <v>10452</v>
      </c>
      <c r="H15" s="258">
        <v>2.0</v>
      </c>
      <c r="I15" s="258" t="s">
        <v>10426</v>
      </c>
      <c r="J15" s="258">
        <v>1.0</v>
      </c>
    </row>
    <row r="16" ht="19.5" customHeight="1">
      <c r="A16" s="257" t="s">
        <v>10453</v>
      </c>
      <c r="B16" s="258" t="s">
        <v>303</v>
      </c>
      <c r="C16" s="257">
        <v>0.0</v>
      </c>
      <c r="D16" s="257"/>
      <c r="E16" s="257"/>
      <c r="F16" s="257">
        <v>0.0</v>
      </c>
      <c r="G16" s="258" t="s">
        <v>10454</v>
      </c>
      <c r="H16" s="258">
        <v>2.0</v>
      </c>
      <c r="I16" s="258" t="s">
        <v>10426</v>
      </c>
      <c r="J16" s="258">
        <v>0.98</v>
      </c>
    </row>
    <row r="17" ht="15.75" customHeight="1">
      <c r="A17" s="259" t="s">
        <v>10455</v>
      </c>
      <c r="B17" s="260"/>
      <c r="C17" s="259"/>
      <c r="D17" s="261"/>
      <c r="E17" s="261"/>
      <c r="F17" s="262"/>
      <c r="G17" s="260"/>
      <c r="H17" s="260"/>
      <c r="I17" s="260"/>
      <c r="J17" s="260"/>
      <c r="K17" s="263"/>
      <c r="L17" s="263"/>
      <c r="M17" s="263"/>
      <c r="N17" s="263"/>
    </row>
    <row r="18" ht="19.5" customHeight="1">
      <c r="A18" s="257" t="s">
        <v>10456</v>
      </c>
      <c r="B18" s="257" t="s">
        <v>10457</v>
      </c>
      <c r="C18" s="257">
        <v>36.0</v>
      </c>
      <c r="D18" s="257">
        <v>50.0</v>
      </c>
      <c r="E18" s="257">
        <v>4.3</v>
      </c>
      <c r="F18" s="257">
        <v>10.0</v>
      </c>
      <c r="G18" s="257" t="s">
        <v>10458</v>
      </c>
      <c r="H18" s="257">
        <v>2.0</v>
      </c>
      <c r="I18" s="257" t="s">
        <v>10426</v>
      </c>
      <c r="J18" s="257">
        <v>0.97</v>
      </c>
    </row>
    <row r="19" ht="19.5" customHeight="1">
      <c r="A19" s="257" t="s">
        <v>10459</v>
      </c>
      <c r="B19" s="257" t="s">
        <v>10457</v>
      </c>
      <c r="C19" s="257">
        <v>8.0</v>
      </c>
      <c r="D19" s="257">
        <v>44.0</v>
      </c>
      <c r="E19" s="257">
        <v>6.4</v>
      </c>
      <c r="F19" s="257">
        <v>2.0</v>
      </c>
      <c r="G19" s="257" t="s">
        <v>10460</v>
      </c>
      <c r="H19" s="257">
        <v>2.0</v>
      </c>
      <c r="I19" s="257" t="s">
        <v>10426</v>
      </c>
      <c r="J19" s="257">
        <v>0.95</v>
      </c>
    </row>
    <row r="20" ht="19.5" customHeight="1">
      <c r="A20" s="257" t="s">
        <v>10461</v>
      </c>
      <c r="B20" s="257" t="s">
        <v>10457</v>
      </c>
      <c r="C20" s="257">
        <v>8.0</v>
      </c>
      <c r="D20" s="257">
        <v>48.0</v>
      </c>
      <c r="E20" s="257">
        <v>10.8</v>
      </c>
      <c r="F20" s="257">
        <v>1.0</v>
      </c>
      <c r="G20" s="257" t="s">
        <v>10462</v>
      </c>
      <c r="H20" s="257">
        <v>2.0</v>
      </c>
      <c r="I20" s="257" t="s">
        <v>10426</v>
      </c>
      <c r="J20" s="257">
        <v>0.98</v>
      </c>
    </row>
    <row r="21" ht="19.5" customHeight="1">
      <c r="A21" s="257" t="s">
        <v>10463</v>
      </c>
      <c r="B21" s="257" t="s">
        <v>10457</v>
      </c>
      <c r="C21" s="257">
        <v>5.0</v>
      </c>
      <c r="D21" s="257">
        <v>41.0</v>
      </c>
      <c r="E21" s="257">
        <v>7.33</v>
      </c>
      <c r="F21" s="257">
        <v>1.0</v>
      </c>
      <c r="G21" s="257" t="s">
        <v>10464</v>
      </c>
      <c r="H21" s="257">
        <v>2.0</v>
      </c>
      <c r="I21" s="257" t="s">
        <v>10426</v>
      </c>
      <c r="J21" s="257">
        <v>0.95</v>
      </c>
    </row>
    <row r="22" ht="19.5" customHeight="1">
      <c r="A22" s="257" t="s">
        <v>10465</v>
      </c>
      <c r="B22" s="257" t="s">
        <v>10457</v>
      </c>
      <c r="C22" s="257">
        <v>3.0</v>
      </c>
      <c r="D22" s="257">
        <v>51.0</v>
      </c>
      <c r="E22" s="257">
        <v>10.0</v>
      </c>
      <c r="F22" s="257">
        <v>0.0</v>
      </c>
      <c r="G22" s="257" t="s">
        <v>10466</v>
      </c>
      <c r="H22" s="257">
        <v>2.0</v>
      </c>
      <c r="I22" s="257" t="s">
        <v>10426</v>
      </c>
      <c r="J22" s="257">
        <v>0.98</v>
      </c>
    </row>
    <row r="23" ht="19.5" customHeight="1">
      <c r="A23" s="257" t="s">
        <v>10467</v>
      </c>
      <c r="B23" s="257" t="s">
        <v>10457</v>
      </c>
      <c r="C23" s="257">
        <v>3.0</v>
      </c>
      <c r="D23" s="257">
        <v>45.0</v>
      </c>
      <c r="E23" s="257">
        <v>12.5</v>
      </c>
      <c r="F23" s="257">
        <v>1.0</v>
      </c>
      <c r="G23" s="257" t="s">
        <v>10468</v>
      </c>
      <c r="H23" s="257">
        <v>2.0</v>
      </c>
      <c r="I23" s="257" t="s">
        <v>10426</v>
      </c>
      <c r="J23" s="257">
        <v>0.98</v>
      </c>
    </row>
    <row r="24" ht="19.5" customHeight="1">
      <c r="A24" s="257" t="s">
        <v>10469</v>
      </c>
      <c r="B24" s="257" t="s">
        <v>10457</v>
      </c>
      <c r="C24" s="257">
        <v>2.0</v>
      </c>
      <c r="D24" s="257">
        <v>45.0</v>
      </c>
      <c r="E24" s="257">
        <v>4.0</v>
      </c>
      <c r="F24" s="257">
        <v>0.0</v>
      </c>
      <c r="G24" s="257" t="s">
        <v>10470</v>
      </c>
      <c r="H24" s="257">
        <v>2.0</v>
      </c>
      <c r="I24" s="257" t="s">
        <v>10426</v>
      </c>
      <c r="J24" s="257">
        <v>0.95</v>
      </c>
    </row>
    <row r="25" ht="19.5" customHeight="1">
      <c r="A25" s="257" t="s">
        <v>10471</v>
      </c>
      <c r="B25" s="257" t="s">
        <v>10457</v>
      </c>
      <c r="C25" s="257">
        <v>2.0</v>
      </c>
      <c r="D25" s="257">
        <v>44.0</v>
      </c>
      <c r="E25" s="257">
        <v>11.0</v>
      </c>
      <c r="F25" s="257">
        <v>0.0</v>
      </c>
      <c r="G25" s="257" t="s">
        <v>10472</v>
      </c>
      <c r="H25" s="257">
        <v>2.0</v>
      </c>
      <c r="I25" s="257" t="s">
        <v>10426</v>
      </c>
      <c r="J25" s="257">
        <v>0.95</v>
      </c>
    </row>
    <row r="26" ht="19.5" customHeight="1">
      <c r="A26" s="257" t="s">
        <v>10473</v>
      </c>
      <c r="B26" s="257" t="s">
        <v>10457</v>
      </c>
      <c r="C26" s="257">
        <v>0.0</v>
      </c>
      <c r="D26" s="264"/>
      <c r="E26" s="264"/>
      <c r="F26" s="257">
        <v>0.0</v>
      </c>
      <c r="G26" s="257" t="s">
        <v>10474</v>
      </c>
      <c r="H26" s="257">
        <v>2.0</v>
      </c>
      <c r="I26" s="257" t="s">
        <v>10426</v>
      </c>
      <c r="J26" s="257">
        <v>0.94</v>
      </c>
    </row>
    <row r="27" ht="19.5" customHeight="1">
      <c r="A27" s="257" t="s">
        <v>10475</v>
      </c>
      <c r="B27" s="257" t="s">
        <v>10457</v>
      </c>
      <c r="C27" s="257">
        <v>0.0</v>
      </c>
      <c r="D27" s="264"/>
      <c r="E27" s="264"/>
      <c r="F27" s="257">
        <v>0.0</v>
      </c>
      <c r="G27" s="257" t="s">
        <v>10476</v>
      </c>
      <c r="H27" s="257">
        <v>2.0</v>
      </c>
      <c r="I27" s="257" t="s">
        <v>10426</v>
      </c>
      <c r="J27" s="257">
        <v>0.92</v>
      </c>
    </row>
    <row r="28" ht="19.5" customHeight="1">
      <c r="A28" s="257" t="s">
        <v>10477</v>
      </c>
      <c r="B28" s="257" t="s">
        <v>10457</v>
      </c>
      <c r="C28" s="257">
        <v>0.0</v>
      </c>
      <c r="D28" s="264"/>
      <c r="E28" s="264"/>
      <c r="F28" s="257">
        <v>0.0</v>
      </c>
      <c r="G28" s="257" t="s">
        <v>10478</v>
      </c>
      <c r="H28" s="257">
        <v>1.0</v>
      </c>
      <c r="I28" s="257" t="s">
        <v>10426</v>
      </c>
      <c r="J28" s="257">
        <v>0.97</v>
      </c>
    </row>
    <row r="29" ht="19.5" customHeight="1">
      <c r="A29" s="257" t="s">
        <v>10479</v>
      </c>
      <c r="B29" s="257" t="s">
        <v>10457</v>
      </c>
      <c r="C29" s="257">
        <v>0.0</v>
      </c>
      <c r="D29" s="264"/>
      <c r="E29" s="264"/>
      <c r="F29" s="257">
        <v>0.0</v>
      </c>
      <c r="G29" s="257" t="s">
        <v>10480</v>
      </c>
      <c r="H29" s="257">
        <v>2.0</v>
      </c>
      <c r="I29" s="257" t="s">
        <v>10426</v>
      </c>
      <c r="J29" s="257">
        <v>0.89</v>
      </c>
    </row>
    <row r="30" ht="19.5" customHeight="1">
      <c r="A30" s="257" t="s">
        <v>10481</v>
      </c>
      <c r="B30" s="257" t="s">
        <v>10457</v>
      </c>
      <c r="C30" s="257">
        <v>0.0</v>
      </c>
      <c r="D30" s="264"/>
      <c r="E30" s="264"/>
      <c r="F30" s="257">
        <v>0.0</v>
      </c>
      <c r="G30" s="257" t="s">
        <v>10482</v>
      </c>
      <c r="H30" s="257">
        <v>2.0</v>
      </c>
      <c r="I30" s="257" t="s">
        <v>10426</v>
      </c>
      <c r="J30" s="257">
        <v>0.94</v>
      </c>
    </row>
    <row r="31" ht="19.5" customHeight="1">
      <c r="A31" s="257" t="s">
        <v>10483</v>
      </c>
      <c r="B31" s="257" t="s">
        <v>10457</v>
      </c>
      <c r="C31" s="257">
        <v>0.0</v>
      </c>
      <c r="D31" s="264"/>
      <c r="E31" s="264"/>
      <c r="F31" s="257">
        <v>0.0</v>
      </c>
      <c r="G31" s="257" t="s">
        <v>10484</v>
      </c>
      <c r="H31" s="257">
        <v>2.0</v>
      </c>
      <c r="I31" s="257" t="s">
        <v>10426</v>
      </c>
      <c r="J31" s="257">
        <v>0.94</v>
      </c>
    </row>
    <row r="32" ht="19.5" customHeight="1">
      <c r="A32" s="257" t="s">
        <v>10485</v>
      </c>
      <c r="B32" s="257" t="s">
        <v>10457</v>
      </c>
      <c r="C32" s="257">
        <v>0.0</v>
      </c>
      <c r="D32" s="264"/>
      <c r="E32" s="264"/>
      <c r="F32" s="257">
        <v>0.0</v>
      </c>
      <c r="G32" s="257" t="s">
        <v>10486</v>
      </c>
      <c r="H32" s="257">
        <v>2.0</v>
      </c>
      <c r="I32" s="257" t="s">
        <v>10426</v>
      </c>
      <c r="J32" s="257">
        <v>0.97</v>
      </c>
    </row>
    <row r="33" ht="15.75" customHeight="1">
      <c r="A33" s="259" t="s">
        <v>10455</v>
      </c>
      <c r="B33" s="260"/>
      <c r="C33" s="259"/>
      <c r="D33" s="261"/>
      <c r="E33" s="261"/>
      <c r="F33" s="262"/>
      <c r="G33" s="260"/>
      <c r="H33" s="260"/>
      <c r="I33" s="260"/>
      <c r="J33" s="260"/>
      <c r="K33" s="263"/>
      <c r="L33" s="263"/>
      <c r="M33" s="263"/>
      <c r="N33" s="263"/>
    </row>
    <row r="34" ht="19.5" customHeight="1">
      <c r="A34" s="257" t="s">
        <v>10487</v>
      </c>
      <c r="B34" s="257" t="s">
        <v>576</v>
      </c>
      <c r="C34" s="257">
        <v>25.0</v>
      </c>
      <c r="D34" s="257">
        <v>47.0</v>
      </c>
      <c r="E34" s="257">
        <v>5.0</v>
      </c>
      <c r="F34" s="257">
        <v>6.0</v>
      </c>
      <c r="G34" s="257" t="s">
        <v>10488</v>
      </c>
      <c r="H34" s="257">
        <v>3.0</v>
      </c>
      <c r="I34" s="257" t="s">
        <v>10426</v>
      </c>
      <c r="J34" s="257">
        <v>0.98</v>
      </c>
    </row>
    <row r="35" ht="19.5" customHeight="1">
      <c r="A35" s="257" t="s">
        <v>10489</v>
      </c>
      <c r="B35" s="257" t="s">
        <v>576</v>
      </c>
      <c r="C35" s="257">
        <v>2.0</v>
      </c>
      <c r="D35" s="257">
        <v>55.0</v>
      </c>
      <c r="E35" s="257">
        <v>2.0</v>
      </c>
      <c r="F35" s="257">
        <v>1.0</v>
      </c>
      <c r="G35" s="257" t="s">
        <v>10490</v>
      </c>
      <c r="H35" s="257">
        <v>3.0</v>
      </c>
      <c r="I35" s="257" t="s">
        <v>10426</v>
      </c>
      <c r="J35" s="257">
        <v>0.98</v>
      </c>
    </row>
    <row r="36" ht="19.5" customHeight="1">
      <c r="A36" s="257" t="s">
        <v>10491</v>
      </c>
      <c r="B36" s="257" t="s">
        <v>576</v>
      </c>
      <c r="C36" s="257">
        <v>0.0</v>
      </c>
      <c r="D36" s="257"/>
      <c r="E36" s="257"/>
      <c r="F36" s="257">
        <v>0.0</v>
      </c>
      <c r="G36" s="257" t="s">
        <v>10492</v>
      </c>
      <c r="H36" s="257">
        <v>2.0</v>
      </c>
      <c r="I36" s="257" t="s">
        <v>10426</v>
      </c>
      <c r="J36" s="257">
        <v>0.97</v>
      </c>
    </row>
    <row r="37" ht="19.5" customHeight="1">
      <c r="A37" s="257" t="s">
        <v>10493</v>
      </c>
      <c r="B37" s="257" t="s">
        <v>576</v>
      </c>
      <c r="C37" s="257">
        <v>0.0</v>
      </c>
      <c r="D37" s="257"/>
      <c r="E37" s="257"/>
      <c r="F37" s="257">
        <v>0.0</v>
      </c>
      <c r="G37" s="257" t="s">
        <v>10494</v>
      </c>
      <c r="H37" s="257">
        <v>2.0</v>
      </c>
      <c r="I37" s="257" t="s">
        <v>10426</v>
      </c>
      <c r="J37" s="257">
        <v>0.92</v>
      </c>
    </row>
    <row r="38" ht="19.5" customHeight="1">
      <c r="A38" s="257" t="s">
        <v>10495</v>
      </c>
      <c r="B38" s="257" t="s">
        <v>576</v>
      </c>
      <c r="C38" s="257">
        <v>0.0</v>
      </c>
      <c r="D38" s="257"/>
      <c r="E38" s="257"/>
      <c r="F38" s="257">
        <v>0.0</v>
      </c>
      <c r="G38" s="257" t="s">
        <v>10496</v>
      </c>
      <c r="H38" s="257">
        <v>2.0</v>
      </c>
      <c r="I38" s="257" t="s">
        <v>10426</v>
      </c>
      <c r="J38" s="257">
        <v>0.98</v>
      </c>
    </row>
    <row r="39" ht="19.5" customHeight="1">
      <c r="A39" s="257" t="s">
        <v>10497</v>
      </c>
      <c r="B39" s="257" t="s">
        <v>576</v>
      </c>
      <c r="C39" s="257">
        <v>0.0</v>
      </c>
      <c r="D39" s="257"/>
      <c r="E39" s="257"/>
      <c r="F39" s="257">
        <v>0.0</v>
      </c>
      <c r="G39" s="257" t="s">
        <v>10498</v>
      </c>
      <c r="H39" s="257">
        <v>2.0</v>
      </c>
      <c r="I39" s="257" t="s">
        <v>10426</v>
      </c>
      <c r="J39" s="257">
        <v>0.92</v>
      </c>
    </row>
    <row r="40" ht="19.5" customHeight="1">
      <c r="A40" s="257" t="s">
        <v>10499</v>
      </c>
      <c r="B40" s="257" t="s">
        <v>576</v>
      </c>
      <c r="C40" s="257">
        <v>0.0</v>
      </c>
      <c r="D40" s="257"/>
      <c r="E40" s="257"/>
      <c r="F40" s="257">
        <v>0.0</v>
      </c>
      <c r="G40" s="257" t="s">
        <v>10500</v>
      </c>
      <c r="H40" s="257">
        <v>2.0</v>
      </c>
      <c r="I40" s="257" t="s">
        <v>10426</v>
      </c>
      <c r="J40" s="257">
        <v>1.0</v>
      </c>
    </row>
    <row r="41" ht="19.5" customHeight="1">
      <c r="A41" s="257" t="s">
        <v>10501</v>
      </c>
      <c r="B41" s="257" t="s">
        <v>576</v>
      </c>
      <c r="C41" s="257">
        <v>0.0</v>
      </c>
      <c r="D41" s="257"/>
      <c r="E41" s="257"/>
      <c r="F41" s="257">
        <v>0.0</v>
      </c>
      <c r="G41" s="257" t="s">
        <v>10502</v>
      </c>
      <c r="H41" s="257">
        <v>2.0</v>
      </c>
      <c r="I41" s="257" t="s">
        <v>10426</v>
      </c>
      <c r="J41" s="257">
        <v>1.0</v>
      </c>
    </row>
    <row r="42" ht="19.5" customHeight="1">
      <c r="A42" s="257" t="s">
        <v>10503</v>
      </c>
      <c r="B42" s="257" t="s">
        <v>576</v>
      </c>
      <c r="C42" s="257">
        <v>0.0</v>
      </c>
      <c r="D42" s="264"/>
      <c r="E42" s="264"/>
      <c r="F42" s="257">
        <v>0.0</v>
      </c>
      <c r="G42" s="257" t="s">
        <v>10504</v>
      </c>
      <c r="H42" s="257">
        <v>2.0</v>
      </c>
      <c r="I42" s="257" t="s">
        <v>10426</v>
      </c>
      <c r="J42" s="257">
        <v>0.97</v>
      </c>
    </row>
    <row r="43" ht="19.5" customHeight="1">
      <c r="A43" s="257" t="s">
        <v>10505</v>
      </c>
      <c r="B43" s="257" t="s">
        <v>576</v>
      </c>
      <c r="C43" s="257">
        <v>0.0</v>
      </c>
      <c r="D43" s="264"/>
      <c r="E43" s="264"/>
      <c r="F43" s="257">
        <v>0.0</v>
      </c>
      <c r="G43" s="257" t="s">
        <v>10506</v>
      </c>
      <c r="H43" s="257">
        <v>3.0</v>
      </c>
      <c r="I43" s="257" t="s">
        <v>10426</v>
      </c>
      <c r="J43" s="257">
        <v>0.98</v>
      </c>
    </row>
    <row r="44" ht="19.5" customHeight="1">
      <c r="A44" s="257" t="s">
        <v>10507</v>
      </c>
      <c r="B44" s="257" t="s">
        <v>576</v>
      </c>
      <c r="C44" s="257">
        <v>0.0</v>
      </c>
      <c r="D44" s="264"/>
      <c r="E44" s="264"/>
      <c r="F44" s="257">
        <v>0.0</v>
      </c>
      <c r="G44" s="257" t="s">
        <v>10508</v>
      </c>
      <c r="H44" s="257">
        <v>3.0</v>
      </c>
      <c r="I44" s="257" t="s">
        <v>10426</v>
      </c>
      <c r="J44" s="257">
        <v>0.94</v>
      </c>
    </row>
    <row r="45" ht="19.5" customHeight="1">
      <c r="A45" s="257" t="s">
        <v>10509</v>
      </c>
      <c r="B45" s="257" t="s">
        <v>576</v>
      </c>
      <c r="C45" s="257">
        <v>0.0</v>
      </c>
      <c r="D45" s="264"/>
      <c r="E45" s="264"/>
      <c r="F45" s="257">
        <v>0.0</v>
      </c>
      <c r="G45" s="257" t="s">
        <v>10510</v>
      </c>
      <c r="H45" s="257">
        <v>2.0</v>
      </c>
      <c r="I45" s="257" t="s">
        <v>10426</v>
      </c>
      <c r="J45" s="257">
        <v>1.0</v>
      </c>
    </row>
    <row r="46" ht="19.5" customHeight="1">
      <c r="A46" s="257" t="s">
        <v>10511</v>
      </c>
      <c r="B46" s="257" t="s">
        <v>576</v>
      </c>
      <c r="C46" s="257">
        <v>0.0</v>
      </c>
      <c r="D46" s="264"/>
      <c r="E46" s="264"/>
      <c r="F46" s="257">
        <v>0.0</v>
      </c>
      <c r="G46" s="257" t="s">
        <v>10512</v>
      </c>
      <c r="H46" s="257">
        <v>2.0</v>
      </c>
      <c r="I46" s="257" t="s">
        <v>10426</v>
      </c>
      <c r="J46" s="257">
        <v>0.92</v>
      </c>
    </row>
    <row r="47" ht="19.5" customHeight="1">
      <c r="A47" s="257" t="s">
        <v>10513</v>
      </c>
      <c r="B47" s="257" t="s">
        <v>576</v>
      </c>
      <c r="C47" s="257">
        <v>0.0</v>
      </c>
      <c r="D47" s="264"/>
      <c r="E47" s="264"/>
      <c r="F47" s="257">
        <v>0.0</v>
      </c>
      <c r="G47" s="257" t="s">
        <v>10514</v>
      </c>
      <c r="H47" s="257">
        <v>3.0</v>
      </c>
      <c r="I47" s="257" t="s">
        <v>10426</v>
      </c>
      <c r="J47" s="257">
        <v>0.95</v>
      </c>
    </row>
    <row r="48" ht="19.5" customHeight="1">
      <c r="A48" s="257" t="s">
        <v>10515</v>
      </c>
      <c r="B48" s="257" t="s">
        <v>576</v>
      </c>
      <c r="C48" s="257">
        <v>0.0</v>
      </c>
      <c r="D48" s="264"/>
      <c r="E48" s="264"/>
      <c r="F48" s="257">
        <v>0.0</v>
      </c>
      <c r="G48" s="257" t="s">
        <v>10516</v>
      </c>
      <c r="H48" s="257">
        <v>2.0</v>
      </c>
      <c r="I48" s="257" t="s">
        <v>10426</v>
      </c>
      <c r="J48" s="257">
        <v>0.98</v>
      </c>
    </row>
    <row r="49" ht="15.75" customHeight="1">
      <c r="A49" s="259" t="s">
        <v>10455</v>
      </c>
      <c r="B49" s="260"/>
      <c r="C49" s="259"/>
      <c r="D49" s="261"/>
      <c r="E49" s="261"/>
      <c r="F49" s="262"/>
      <c r="G49" s="260"/>
      <c r="H49" s="260"/>
      <c r="I49" s="260"/>
      <c r="J49" s="260"/>
      <c r="K49" s="263"/>
      <c r="L49" s="263"/>
      <c r="M49" s="263"/>
      <c r="N49" s="263"/>
    </row>
    <row r="50" ht="19.5" customHeight="1">
      <c r="A50" s="257" t="s">
        <v>10517</v>
      </c>
      <c r="B50" s="257" t="s">
        <v>321</v>
      </c>
      <c r="C50" s="257">
        <v>23.0</v>
      </c>
      <c r="D50" s="257">
        <v>50.0</v>
      </c>
      <c r="E50" s="257">
        <v>2.8</v>
      </c>
      <c r="F50" s="257">
        <v>10.0</v>
      </c>
      <c r="G50" s="257" t="s">
        <v>10518</v>
      </c>
      <c r="H50" s="257">
        <v>1.0</v>
      </c>
      <c r="I50" s="257" t="s">
        <v>10426</v>
      </c>
      <c r="J50" s="257">
        <v>0.98</v>
      </c>
    </row>
    <row r="51" ht="19.5" customHeight="1">
      <c r="A51" s="257" t="s">
        <v>10519</v>
      </c>
      <c r="B51" s="257" t="s">
        <v>321</v>
      </c>
      <c r="C51" s="257">
        <v>13.0</v>
      </c>
      <c r="D51" s="257">
        <v>72.0</v>
      </c>
      <c r="E51" s="257">
        <v>4.25</v>
      </c>
      <c r="F51" s="257">
        <v>3.0</v>
      </c>
      <c r="G51" s="257" t="s">
        <v>10520</v>
      </c>
      <c r="H51" s="257">
        <v>1.0</v>
      </c>
      <c r="I51" s="257" t="s">
        <v>10426</v>
      </c>
      <c r="J51" s="257">
        <v>0.94</v>
      </c>
    </row>
    <row r="52" ht="19.5" customHeight="1">
      <c r="A52" s="257" t="s">
        <v>10521</v>
      </c>
      <c r="B52" s="257" t="s">
        <v>321</v>
      </c>
      <c r="C52" s="257">
        <v>13.0</v>
      </c>
      <c r="D52" s="257">
        <v>67.0</v>
      </c>
      <c r="E52" s="257">
        <v>4.25</v>
      </c>
      <c r="F52" s="257">
        <v>3.0</v>
      </c>
      <c r="G52" s="257" t="s">
        <v>10522</v>
      </c>
      <c r="H52" s="257">
        <v>1.0</v>
      </c>
      <c r="I52" s="257" t="s">
        <v>10426</v>
      </c>
      <c r="J52" s="257">
        <v>0.97</v>
      </c>
    </row>
    <row r="53" ht="19.5" customHeight="1">
      <c r="A53" s="257" t="s">
        <v>10523</v>
      </c>
      <c r="B53" s="257" t="s">
        <v>321</v>
      </c>
      <c r="C53" s="257">
        <v>0.0</v>
      </c>
      <c r="D53" s="257"/>
      <c r="E53" s="257"/>
      <c r="F53" s="257">
        <v>0.0</v>
      </c>
      <c r="G53" s="257" t="s">
        <v>10524</v>
      </c>
      <c r="H53" s="257">
        <v>1.0</v>
      </c>
      <c r="I53" s="257" t="s">
        <v>10426</v>
      </c>
      <c r="J53" s="257">
        <v>0.89</v>
      </c>
    </row>
    <row r="54" ht="19.5" customHeight="1">
      <c r="A54" s="257" t="s">
        <v>10525</v>
      </c>
      <c r="B54" s="257" t="s">
        <v>321</v>
      </c>
      <c r="C54" s="257">
        <v>0.0</v>
      </c>
      <c r="D54" s="257"/>
      <c r="E54" s="257"/>
      <c r="F54" s="257">
        <v>0.0</v>
      </c>
      <c r="G54" s="257" t="s">
        <v>10526</v>
      </c>
      <c r="H54" s="257">
        <v>1.0</v>
      </c>
      <c r="I54" s="257" t="s">
        <v>10426</v>
      </c>
      <c r="J54" s="257">
        <v>0.92</v>
      </c>
    </row>
    <row r="55" ht="19.5" customHeight="1">
      <c r="A55" s="257" t="s">
        <v>10527</v>
      </c>
      <c r="B55" s="257" t="s">
        <v>321</v>
      </c>
      <c r="C55" s="257">
        <v>0.0</v>
      </c>
      <c r="D55" s="257"/>
      <c r="E55" s="257"/>
      <c r="F55" s="257">
        <v>0.0</v>
      </c>
      <c r="G55" s="257" t="s">
        <v>10528</v>
      </c>
      <c r="H55" s="257">
        <v>1.0</v>
      </c>
      <c r="I55" s="257" t="s">
        <v>10426</v>
      </c>
      <c r="J55" s="257">
        <v>0.97</v>
      </c>
    </row>
    <row r="56" ht="19.5" customHeight="1">
      <c r="A56" s="257" t="s">
        <v>10529</v>
      </c>
      <c r="B56" s="257" t="s">
        <v>321</v>
      </c>
      <c r="C56" s="257">
        <v>0.0</v>
      </c>
      <c r="D56" s="257"/>
      <c r="E56" s="257"/>
      <c r="F56" s="257">
        <v>0.0</v>
      </c>
      <c r="G56" s="257" t="s">
        <v>10530</v>
      </c>
      <c r="H56" s="257">
        <v>1.0</v>
      </c>
      <c r="I56" s="257" t="s">
        <v>10426</v>
      </c>
      <c r="J56" s="257">
        <v>0.85</v>
      </c>
    </row>
    <row r="57" ht="19.5" customHeight="1">
      <c r="A57" s="257" t="s">
        <v>10531</v>
      </c>
      <c r="B57" s="257" t="s">
        <v>321</v>
      </c>
      <c r="C57" s="257">
        <v>0.0</v>
      </c>
      <c r="D57" s="257"/>
      <c r="E57" s="257"/>
      <c r="F57" s="257">
        <v>0.0</v>
      </c>
      <c r="G57" s="257" t="s">
        <v>10532</v>
      </c>
      <c r="H57" s="257">
        <v>1.0</v>
      </c>
      <c r="I57" s="257" t="s">
        <v>10426</v>
      </c>
      <c r="J57" s="257">
        <v>0.86</v>
      </c>
    </row>
    <row r="58" ht="19.5" customHeight="1">
      <c r="A58" s="257" t="s">
        <v>10533</v>
      </c>
      <c r="B58" s="257" t="s">
        <v>321</v>
      </c>
      <c r="C58" s="257">
        <v>0.0</v>
      </c>
      <c r="D58" s="264"/>
      <c r="E58" s="264"/>
      <c r="F58" s="257">
        <v>0.0</v>
      </c>
      <c r="G58" s="257" t="s">
        <v>10534</v>
      </c>
      <c r="H58" s="257">
        <v>1.0</v>
      </c>
      <c r="I58" s="257" t="s">
        <v>10426</v>
      </c>
      <c r="J58" s="257">
        <v>0.87</v>
      </c>
    </row>
    <row r="59" ht="19.5" customHeight="1">
      <c r="A59" s="257" t="s">
        <v>10535</v>
      </c>
      <c r="B59" s="257" t="s">
        <v>321</v>
      </c>
      <c r="C59" s="257">
        <v>0.0</v>
      </c>
      <c r="D59" s="264"/>
      <c r="E59" s="264"/>
      <c r="F59" s="257">
        <v>0.0</v>
      </c>
      <c r="G59" s="257" t="s">
        <v>10536</v>
      </c>
      <c r="H59" s="257">
        <v>1.0</v>
      </c>
      <c r="I59" s="257" t="s">
        <v>10426</v>
      </c>
      <c r="J59" s="257">
        <v>0.92</v>
      </c>
    </row>
    <row r="60" ht="19.5" customHeight="1">
      <c r="A60" s="257" t="s">
        <v>10537</v>
      </c>
      <c r="B60" s="257" t="s">
        <v>321</v>
      </c>
      <c r="C60" s="257">
        <v>0.0</v>
      </c>
      <c r="D60" s="264"/>
      <c r="E60" s="264"/>
      <c r="F60" s="257">
        <v>0.0</v>
      </c>
      <c r="G60" s="257" t="s">
        <v>10538</v>
      </c>
      <c r="H60" s="257">
        <v>1.0</v>
      </c>
      <c r="I60" s="257" t="s">
        <v>10426</v>
      </c>
      <c r="J60" s="257">
        <v>0.88</v>
      </c>
    </row>
    <row r="61" ht="19.5" customHeight="1">
      <c r="A61" s="257" t="s">
        <v>10539</v>
      </c>
      <c r="B61" s="257" t="s">
        <v>321</v>
      </c>
      <c r="C61" s="257">
        <v>0.0</v>
      </c>
      <c r="D61" s="264"/>
      <c r="E61" s="264"/>
      <c r="F61" s="257">
        <v>0.0</v>
      </c>
      <c r="G61" s="257" t="s">
        <v>10540</v>
      </c>
      <c r="H61" s="257">
        <v>3.0</v>
      </c>
      <c r="I61" s="257" t="s">
        <v>10426</v>
      </c>
      <c r="J61" s="257">
        <v>0.95</v>
      </c>
    </row>
    <row r="62" ht="19.5" customHeight="1">
      <c r="A62" s="257" t="s">
        <v>10541</v>
      </c>
      <c r="B62" s="257" t="s">
        <v>321</v>
      </c>
      <c r="C62" s="257">
        <v>0.0</v>
      </c>
      <c r="D62" s="264"/>
      <c r="E62" s="264"/>
      <c r="F62" s="257">
        <v>0.0</v>
      </c>
      <c r="G62" s="257" t="s">
        <v>10542</v>
      </c>
      <c r="H62" s="257">
        <v>1.0</v>
      </c>
      <c r="I62" s="257" t="s">
        <v>10426</v>
      </c>
      <c r="J62" s="257">
        <v>0.94</v>
      </c>
    </row>
    <row r="63" ht="19.5" customHeight="1">
      <c r="A63" s="257" t="s">
        <v>10543</v>
      </c>
      <c r="B63" s="257" t="s">
        <v>321</v>
      </c>
      <c r="C63" s="257">
        <v>0.0</v>
      </c>
      <c r="D63" s="264"/>
      <c r="E63" s="264"/>
      <c r="F63" s="257">
        <v>0.0</v>
      </c>
      <c r="G63" s="257" t="s">
        <v>10544</v>
      </c>
      <c r="H63" s="257">
        <v>1.0</v>
      </c>
      <c r="I63" s="257" t="s">
        <v>10426</v>
      </c>
      <c r="J63" s="257">
        <v>0.89</v>
      </c>
    </row>
    <row r="64" ht="19.5" customHeight="1">
      <c r="A64" s="257" t="s">
        <v>10545</v>
      </c>
      <c r="B64" s="257" t="s">
        <v>321</v>
      </c>
      <c r="C64" s="257">
        <v>0.0</v>
      </c>
      <c r="D64" s="264"/>
      <c r="E64" s="264"/>
      <c r="F64" s="257">
        <v>0.0</v>
      </c>
      <c r="G64" s="257" t="s">
        <v>10546</v>
      </c>
      <c r="H64" s="257">
        <v>1.0</v>
      </c>
      <c r="I64" s="257" t="s">
        <v>10426</v>
      </c>
      <c r="J64" s="257">
        <v>1.0</v>
      </c>
    </row>
    <row r="65" ht="15.75" customHeight="1">
      <c r="A65" s="259" t="s">
        <v>10455</v>
      </c>
      <c r="B65" s="260"/>
      <c r="C65" s="259"/>
      <c r="D65" s="261"/>
      <c r="E65" s="261"/>
      <c r="F65" s="262"/>
      <c r="G65" s="260"/>
      <c r="H65" s="260"/>
      <c r="I65" s="260"/>
      <c r="J65" s="260"/>
      <c r="K65" s="263"/>
      <c r="L65" s="263"/>
      <c r="M65" s="263"/>
      <c r="N65" s="263"/>
    </row>
    <row r="66" ht="19.5" customHeight="1">
      <c r="A66" s="257" t="s">
        <v>10547</v>
      </c>
      <c r="B66" s="257" t="s">
        <v>10548</v>
      </c>
      <c r="C66" s="257">
        <v>23.0</v>
      </c>
      <c r="D66" s="257">
        <v>49.0</v>
      </c>
      <c r="E66" s="257">
        <v>4.19</v>
      </c>
      <c r="F66" s="257">
        <v>6.0</v>
      </c>
      <c r="G66" s="257" t="s">
        <v>10549</v>
      </c>
      <c r="H66" s="257">
        <v>3.0</v>
      </c>
      <c r="I66" s="257" t="s">
        <v>10426</v>
      </c>
      <c r="J66" s="257">
        <v>0.97</v>
      </c>
    </row>
    <row r="67" ht="19.5" customHeight="1">
      <c r="A67" s="257" t="s">
        <v>10550</v>
      </c>
      <c r="B67" s="257" t="s">
        <v>10548</v>
      </c>
      <c r="C67" s="257">
        <v>8.0</v>
      </c>
      <c r="D67" s="257">
        <v>66.0</v>
      </c>
      <c r="E67" s="257">
        <v>2.0</v>
      </c>
      <c r="F67" s="257">
        <v>3.0</v>
      </c>
      <c r="G67" s="257" t="s">
        <v>10551</v>
      </c>
      <c r="H67" s="257">
        <v>3.0</v>
      </c>
      <c r="I67" s="257" t="s">
        <v>10426</v>
      </c>
      <c r="J67" s="257">
        <v>0.97</v>
      </c>
    </row>
    <row r="68" ht="19.5" customHeight="1">
      <c r="A68" s="257" t="s">
        <v>10552</v>
      </c>
      <c r="B68" s="257" t="s">
        <v>10548</v>
      </c>
      <c r="C68" s="257">
        <v>2.0</v>
      </c>
      <c r="D68" s="257">
        <v>73.0</v>
      </c>
      <c r="E68" s="257">
        <v>4.0</v>
      </c>
      <c r="F68" s="257">
        <v>0.0</v>
      </c>
      <c r="G68" s="257" t="s">
        <v>10553</v>
      </c>
      <c r="H68" s="257">
        <v>3.0</v>
      </c>
      <c r="I68" s="257" t="s">
        <v>10426</v>
      </c>
      <c r="J68" s="257">
        <v>1.0</v>
      </c>
    </row>
    <row r="69" ht="19.5" customHeight="1">
      <c r="A69" s="257" t="s">
        <v>10554</v>
      </c>
      <c r="B69" s="257" t="s">
        <v>10548</v>
      </c>
      <c r="C69" s="257">
        <v>2.0</v>
      </c>
      <c r="D69" s="257">
        <v>77.0</v>
      </c>
      <c r="E69" s="257">
        <v>9.0</v>
      </c>
      <c r="F69" s="257">
        <v>0.0</v>
      </c>
      <c r="G69" s="257" t="s">
        <v>10555</v>
      </c>
      <c r="H69" s="257">
        <v>3.0</v>
      </c>
      <c r="I69" s="257" t="s">
        <v>10426</v>
      </c>
      <c r="J69" s="257">
        <v>0.97</v>
      </c>
    </row>
    <row r="70" ht="19.5" customHeight="1">
      <c r="A70" s="257" t="s">
        <v>10556</v>
      </c>
      <c r="B70" s="257" t="s">
        <v>10548</v>
      </c>
      <c r="C70" s="257">
        <v>0.0</v>
      </c>
      <c r="D70" s="257"/>
      <c r="E70" s="257"/>
      <c r="F70" s="257">
        <v>0.0</v>
      </c>
      <c r="G70" s="257" t="s">
        <v>10557</v>
      </c>
      <c r="H70" s="257">
        <v>3.0</v>
      </c>
      <c r="I70" s="257" t="s">
        <v>10426</v>
      </c>
      <c r="J70" s="257">
        <v>0.97</v>
      </c>
    </row>
    <row r="71" ht="19.5" customHeight="1">
      <c r="A71" s="257" t="s">
        <v>10558</v>
      </c>
      <c r="B71" s="257" t="s">
        <v>10548</v>
      </c>
      <c r="C71" s="257">
        <v>0.0</v>
      </c>
      <c r="D71" s="257"/>
      <c r="E71" s="257"/>
      <c r="F71" s="257">
        <v>0.0</v>
      </c>
      <c r="G71" s="257" t="s">
        <v>10559</v>
      </c>
      <c r="H71" s="257">
        <v>3.0</v>
      </c>
      <c r="I71" s="257" t="s">
        <v>10426</v>
      </c>
      <c r="J71" s="257">
        <v>0.86</v>
      </c>
    </row>
    <row r="72" ht="19.5" customHeight="1">
      <c r="A72" s="257" t="s">
        <v>10560</v>
      </c>
      <c r="B72" s="257" t="s">
        <v>10548</v>
      </c>
      <c r="C72" s="257">
        <v>0.0</v>
      </c>
      <c r="D72" s="257"/>
      <c r="E72" s="257"/>
      <c r="F72" s="257">
        <v>0.0</v>
      </c>
      <c r="G72" s="257" t="s">
        <v>10561</v>
      </c>
      <c r="H72" s="257">
        <v>3.0</v>
      </c>
      <c r="I72" s="257" t="s">
        <v>10426</v>
      </c>
      <c r="J72" s="257">
        <v>0.83</v>
      </c>
    </row>
    <row r="73" ht="19.5" customHeight="1">
      <c r="A73" s="257" t="s">
        <v>10562</v>
      </c>
      <c r="B73" s="257" t="s">
        <v>10548</v>
      </c>
      <c r="C73" s="257">
        <v>0.0</v>
      </c>
      <c r="D73" s="257"/>
      <c r="E73" s="257"/>
      <c r="F73" s="257">
        <v>0.0</v>
      </c>
      <c r="G73" s="257" t="s">
        <v>10563</v>
      </c>
      <c r="H73" s="257">
        <v>3.0</v>
      </c>
      <c r="I73" s="257" t="s">
        <v>10426</v>
      </c>
      <c r="J73" s="257">
        <v>1.0</v>
      </c>
    </row>
    <row r="74" ht="19.5" customHeight="1">
      <c r="A74" s="257" t="s">
        <v>10564</v>
      </c>
      <c r="B74" s="257" t="s">
        <v>10548</v>
      </c>
      <c r="C74" s="257">
        <v>0.0</v>
      </c>
      <c r="D74" s="264"/>
      <c r="E74" s="264"/>
      <c r="F74" s="257">
        <v>0.0</v>
      </c>
      <c r="G74" s="257" t="s">
        <v>10565</v>
      </c>
      <c r="H74" s="257">
        <v>3.0</v>
      </c>
      <c r="I74" s="257" t="s">
        <v>10426</v>
      </c>
      <c r="J74" s="257">
        <v>0.92</v>
      </c>
    </row>
    <row r="75" ht="19.5" customHeight="1">
      <c r="A75" s="257" t="s">
        <v>10566</v>
      </c>
      <c r="B75" s="257" t="s">
        <v>10548</v>
      </c>
      <c r="C75" s="257">
        <v>0.0</v>
      </c>
      <c r="D75" s="264"/>
      <c r="E75" s="264"/>
      <c r="F75" s="257">
        <v>0.0</v>
      </c>
      <c r="G75" s="257" t="s">
        <v>10567</v>
      </c>
      <c r="H75" s="257">
        <v>3.0</v>
      </c>
      <c r="I75" s="257" t="s">
        <v>10426</v>
      </c>
      <c r="J75" s="257">
        <v>0.98</v>
      </c>
    </row>
    <row r="76" ht="19.5" customHeight="1">
      <c r="A76" s="257" t="s">
        <v>10568</v>
      </c>
      <c r="B76" s="257" t="s">
        <v>10548</v>
      </c>
      <c r="C76" s="257">
        <v>0.0</v>
      </c>
      <c r="D76" s="264"/>
      <c r="E76" s="264"/>
      <c r="F76" s="257">
        <v>0.0</v>
      </c>
      <c r="G76" s="257" t="s">
        <v>10569</v>
      </c>
      <c r="H76" s="257">
        <v>3.0</v>
      </c>
      <c r="I76" s="257" t="s">
        <v>10426</v>
      </c>
      <c r="J76" s="257">
        <v>0.95</v>
      </c>
    </row>
    <row r="77" ht="19.5" customHeight="1">
      <c r="A77" s="257" t="s">
        <v>10570</v>
      </c>
      <c r="B77" s="257" t="s">
        <v>10548</v>
      </c>
      <c r="C77" s="257">
        <v>0.0</v>
      </c>
      <c r="D77" s="264"/>
      <c r="E77" s="264"/>
      <c r="F77" s="257">
        <v>0.0</v>
      </c>
      <c r="G77" s="257" t="s">
        <v>10571</v>
      </c>
      <c r="H77" s="257">
        <v>3.0</v>
      </c>
      <c r="I77" s="257" t="s">
        <v>10426</v>
      </c>
      <c r="J77" s="257">
        <v>0.94</v>
      </c>
    </row>
    <row r="78" ht="19.5" customHeight="1">
      <c r="A78" s="257" t="s">
        <v>10572</v>
      </c>
      <c r="B78" s="257" t="s">
        <v>10548</v>
      </c>
      <c r="C78" s="257">
        <v>0.0</v>
      </c>
      <c r="D78" s="264"/>
      <c r="E78" s="264"/>
      <c r="F78" s="257">
        <v>0.0</v>
      </c>
      <c r="G78" s="257" t="s">
        <v>10573</v>
      </c>
      <c r="H78" s="257">
        <v>3.0</v>
      </c>
      <c r="I78" s="257" t="s">
        <v>10426</v>
      </c>
      <c r="J78" s="257">
        <v>1.0</v>
      </c>
    </row>
    <row r="79" ht="19.5" customHeight="1">
      <c r="A79" s="257" t="s">
        <v>10574</v>
      </c>
      <c r="B79" s="257" t="s">
        <v>10548</v>
      </c>
      <c r="C79" s="257">
        <v>0.0</v>
      </c>
      <c r="D79" s="264"/>
      <c r="E79" s="264"/>
      <c r="F79" s="257">
        <v>0.0</v>
      </c>
      <c r="G79" s="257" t="s">
        <v>10575</v>
      </c>
      <c r="H79" s="257">
        <v>3.0</v>
      </c>
      <c r="I79" s="257" t="s">
        <v>10426</v>
      </c>
      <c r="J79" s="257">
        <v>0.95</v>
      </c>
    </row>
    <row r="80" ht="19.5" customHeight="1">
      <c r="A80" s="257" t="s">
        <v>10576</v>
      </c>
      <c r="B80" s="257" t="s">
        <v>10548</v>
      </c>
      <c r="C80" s="257">
        <v>0.0</v>
      </c>
      <c r="D80" s="264"/>
      <c r="E80" s="264"/>
      <c r="F80" s="257">
        <v>0.0</v>
      </c>
      <c r="G80" s="257" t="s">
        <v>10577</v>
      </c>
      <c r="H80" s="257">
        <v>3.0</v>
      </c>
      <c r="I80" s="257" t="s">
        <v>10426</v>
      </c>
      <c r="J80" s="257">
        <v>0.98</v>
      </c>
    </row>
    <row r="81" ht="15.75" customHeight="1">
      <c r="A81" s="100"/>
      <c r="B81" s="100"/>
      <c r="C81" s="265"/>
      <c r="D81" s="100"/>
      <c r="E81" s="100"/>
      <c r="F81" s="100"/>
      <c r="G81" s="100"/>
      <c r="H81" s="100"/>
      <c r="I81" s="100"/>
      <c r="J81" s="100"/>
      <c r="K81" s="56"/>
      <c r="L81" s="56"/>
      <c r="M81" s="56"/>
    </row>
    <row r="82" ht="15.75" customHeight="1">
      <c r="A82" s="100"/>
      <c r="B82" s="100"/>
      <c r="C82" s="265"/>
      <c r="D82" s="100"/>
      <c r="E82" s="100"/>
      <c r="F82" s="100"/>
      <c r="G82" s="100"/>
      <c r="H82" s="100"/>
      <c r="I82" s="100"/>
      <c r="J82" s="100"/>
      <c r="K82" s="56"/>
      <c r="L82" s="56"/>
      <c r="M82" s="56"/>
    </row>
    <row r="83" ht="15.75" customHeight="1">
      <c r="A83" s="100"/>
      <c r="B83" s="100"/>
      <c r="C83" s="265"/>
      <c r="D83" s="100"/>
      <c r="E83" s="100"/>
      <c r="F83" s="100"/>
      <c r="G83" s="100"/>
      <c r="H83" s="100"/>
      <c r="I83" s="100"/>
      <c r="J83" s="100"/>
      <c r="K83" s="56"/>
      <c r="L83" s="56"/>
      <c r="M83" s="56"/>
    </row>
    <row r="84" ht="15.75" customHeight="1">
      <c r="A84" s="100"/>
      <c r="B84" s="100"/>
      <c r="C84" s="265"/>
      <c r="D84" s="100"/>
      <c r="E84" s="100"/>
      <c r="F84" s="100"/>
      <c r="G84" s="100"/>
      <c r="H84" s="100"/>
      <c r="I84" s="100"/>
      <c r="J84" s="100"/>
      <c r="K84" s="56"/>
      <c r="L84" s="56"/>
      <c r="M84" s="56"/>
    </row>
    <row r="85" ht="15.75" customHeight="1">
      <c r="A85" s="100"/>
      <c r="B85" s="100"/>
      <c r="C85" s="265"/>
      <c r="D85" s="100"/>
      <c r="E85" s="100"/>
      <c r="F85" s="100"/>
      <c r="G85" s="100"/>
      <c r="H85" s="100"/>
      <c r="I85" s="100"/>
      <c r="J85" s="100"/>
      <c r="K85" s="56"/>
      <c r="L85" s="56"/>
      <c r="M85" s="56"/>
    </row>
    <row r="86" ht="15.75" customHeight="1">
      <c r="A86" s="100"/>
      <c r="B86" s="100"/>
      <c r="C86" s="265"/>
      <c r="D86" s="100"/>
      <c r="E86" s="100"/>
      <c r="F86" s="100"/>
      <c r="G86" s="100"/>
      <c r="H86" s="100"/>
      <c r="I86" s="100"/>
      <c r="J86" s="100"/>
      <c r="K86" s="56"/>
      <c r="L86" s="56"/>
      <c r="M86" s="56"/>
    </row>
    <row r="87" ht="15.75" customHeight="1">
      <c r="A87" s="100"/>
      <c r="B87" s="100"/>
      <c r="C87" s="265"/>
      <c r="D87" s="100"/>
      <c r="E87" s="100"/>
      <c r="F87" s="100"/>
      <c r="G87" s="100"/>
      <c r="H87" s="100"/>
      <c r="I87" s="100"/>
      <c r="J87" s="100"/>
      <c r="K87" s="56"/>
      <c r="L87" s="56"/>
      <c r="M87" s="56"/>
    </row>
    <row r="88" ht="15.75" customHeight="1">
      <c r="A88" s="100"/>
      <c r="B88" s="100"/>
      <c r="C88" s="265"/>
      <c r="D88" s="100"/>
      <c r="E88" s="100"/>
      <c r="F88" s="100"/>
      <c r="G88" s="100"/>
      <c r="H88" s="100"/>
      <c r="I88" s="100"/>
      <c r="J88" s="100"/>
      <c r="K88" s="56"/>
      <c r="L88" s="56"/>
      <c r="M88" s="56"/>
    </row>
    <row r="89" ht="15.75" customHeight="1">
      <c r="A89" s="100"/>
      <c r="B89" s="100"/>
      <c r="C89" s="265"/>
      <c r="D89" s="100"/>
      <c r="E89" s="100"/>
      <c r="F89" s="100"/>
      <c r="G89" s="100"/>
      <c r="H89" s="100"/>
      <c r="I89" s="100"/>
      <c r="J89" s="100"/>
      <c r="K89" s="56"/>
      <c r="L89" s="56"/>
      <c r="M89" s="56"/>
    </row>
    <row r="90" ht="15.75" customHeight="1">
      <c r="A90" s="100"/>
      <c r="B90" s="100"/>
      <c r="C90" s="265"/>
      <c r="D90" s="100"/>
      <c r="E90" s="100"/>
      <c r="F90" s="100"/>
      <c r="G90" s="100"/>
      <c r="H90" s="100"/>
      <c r="I90" s="100"/>
      <c r="J90" s="100"/>
      <c r="K90" s="56"/>
      <c r="L90" s="56"/>
      <c r="M90" s="56"/>
    </row>
    <row r="91" ht="15.75" customHeight="1">
      <c r="A91" s="100"/>
      <c r="B91" s="100"/>
      <c r="C91" s="265"/>
      <c r="D91" s="100"/>
      <c r="E91" s="100"/>
      <c r="F91" s="100"/>
      <c r="G91" s="100"/>
      <c r="H91" s="100"/>
      <c r="I91" s="100"/>
      <c r="J91" s="100"/>
      <c r="K91" s="56"/>
      <c r="L91" s="56"/>
      <c r="M91" s="56"/>
    </row>
    <row r="92" ht="15.75" customHeight="1">
      <c r="A92" s="100"/>
      <c r="B92" s="100"/>
      <c r="C92" s="265"/>
      <c r="D92" s="100"/>
      <c r="E92" s="100"/>
      <c r="F92" s="100"/>
      <c r="G92" s="100"/>
      <c r="H92" s="100"/>
      <c r="I92" s="100"/>
      <c r="J92" s="100"/>
      <c r="K92" s="56"/>
      <c r="L92" s="56"/>
      <c r="M92" s="56"/>
    </row>
    <row r="93" ht="15.75" customHeight="1">
      <c r="A93" s="100"/>
      <c r="B93" s="100"/>
      <c r="C93" s="265"/>
      <c r="D93" s="100"/>
      <c r="E93" s="100"/>
      <c r="F93" s="100"/>
      <c r="G93" s="100"/>
      <c r="H93" s="100"/>
      <c r="I93" s="100"/>
      <c r="J93" s="100"/>
      <c r="K93" s="56"/>
      <c r="L93" s="56"/>
      <c r="M93" s="56"/>
    </row>
    <row r="94" ht="15.75" customHeight="1">
      <c r="A94" s="100"/>
      <c r="B94" s="100"/>
      <c r="C94" s="265"/>
      <c r="D94" s="100"/>
      <c r="E94" s="100"/>
      <c r="F94" s="100"/>
      <c r="G94" s="100"/>
      <c r="H94" s="100"/>
      <c r="I94" s="100"/>
      <c r="J94" s="100"/>
      <c r="K94" s="56"/>
      <c r="L94" s="56"/>
      <c r="M94" s="56"/>
    </row>
    <row r="95" ht="15.75" customHeight="1">
      <c r="A95" s="100"/>
      <c r="B95" s="100"/>
      <c r="C95" s="265"/>
      <c r="D95" s="100"/>
      <c r="E95" s="100"/>
      <c r="F95" s="100"/>
      <c r="G95" s="100"/>
      <c r="H95" s="100"/>
      <c r="I95" s="100"/>
      <c r="J95" s="100"/>
      <c r="K95" s="56"/>
      <c r="L95" s="56"/>
      <c r="M95" s="56"/>
    </row>
    <row r="96" ht="15.75" customHeight="1">
      <c r="A96" s="100"/>
      <c r="B96" s="100"/>
      <c r="C96" s="265"/>
      <c r="D96" s="100"/>
      <c r="E96" s="100"/>
      <c r="F96" s="100"/>
      <c r="G96" s="100"/>
      <c r="H96" s="100"/>
      <c r="I96" s="100"/>
      <c r="J96" s="100"/>
      <c r="K96" s="56"/>
      <c r="L96" s="56"/>
      <c r="M96" s="56"/>
    </row>
    <row r="97" ht="15.75" customHeight="1">
      <c r="A97" s="100"/>
      <c r="B97" s="100"/>
      <c r="C97" s="265"/>
      <c r="D97" s="100"/>
      <c r="E97" s="100"/>
      <c r="F97" s="100"/>
      <c r="G97" s="100"/>
      <c r="H97" s="100"/>
      <c r="I97" s="100"/>
      <c r="J97" s="100"/>
      <c r="K97" s="56"/>
      <c r="L97" s="56"/>
      <c r="M97" s="56"/>
    </row>
    <row r="98" ht="15.75" customHeight="1">
      <c r="A98" s="100"/>
      <c r="B98" s="100"/>
      <c r="C98" s="265"/>
      <c r="D98" s="100"/>
      <c r="E98" s="100"/>
      <c r="F98" s="100"/>
      <c r="G98" s="100"/>
      <c r="H98" s="100"/>
      <c r="I98" s="100"/>
      <c r="J98" s="100"/>
      <c r="K98" s="56"/>
      <c r="L98" s="56"/>
      <c r="M98" s="56"/>
    </row>
    <row r="99" ht="15.75" customHeight="1">
      <c r="A99" s="100"/>
      <c r="B99" s="100"/>
      <c r="C99" s="265"/>
      <c r="D99" s="100"/>
      <c r="E99" s="100"/>
      <c r="F99" s="100"/>
      <c r="G99" s="100"/>
      <c r="H99" s="100"/>
      <c r="I99" s="100"/>
      <c r="J99" s="100"/>
      <c r="K99" s="56"/>
      <c r="L99" s="56"/>
      <c r="M99" s="56"/>
    </row>
    <row r="100" ht="15.75" customHeight="1">
      <c r="A100" s="100"/>
      <c r="B100" s="100"/>
      <c r="C100" s="265"/>
      <c r="D100" s="100"/>
      <c r="E100" s="100"/>
      <c r="F100" s="100"/>
      <c r="G100" s="100"/>
      <c r="H100" s="100"/>
      <c r="I100" s="100"/>
      <c r="J100" s="100"/>
      <c r="K100" s="56"/>
      <c r="L100" s="56"/>
      <c r="M100" s="56"/>
    </row>
    <row r="101" ht="15.75" customHeight="1">
      <c r="A101" s="100"/>
      <c r="B101" s="100"/>
      <c r="C101" s="265"/>
      <c r="D101" s="100"/>
      <c r="E101" s="100"/>
      <c r="F101" s="100"/>
      <c r="G101" s="100"/>
      <c r="H101" s="100"/>
      <c r="I101" s="100"/>
      <c r="J101" s="100"/>
      <c r="K101" s="56"/>
      <c r="L101" s="56"/>
      <c r="M101" s="56"/>
    </row>
    <row r="102" ht="15.75" customHeight="1">
      <c r="A102" s="100"/>
      <c r="B102" s="100"/>
      <c r="C102" s="265"/>
      <c r="D102" s="100"/>
      <c r="E102" s="100"/>
      <c r="F102" s="100"/>
      <c r="G102" s="100"/>
      <c r="H102" s="100"/>
      <c r="I102" s="100"/>
      <c r="J102" s="100"/>
      <c r="K102" s="56"/>
      <c r="L102" s="56"/>
      <c r="M102" s="56"/>
    </row>
    <row r="103" ht="15.75" customHeight="1">
      <c r="A103" s="100"/>
      <c r="B103" s="100"/>
      <c r="C103" s="265"/>
      <c r="D103" s="100"/>
      <c r="E103" s="100"/>
      <c r="F103" s="100"/>
      <c r="G103" s="100"/>
      <c r="H103" s="100"/>
      <c r="I103" s="100"/>
      <c r="J103" s="100"/>
      <c r="K103" s="56"/>
      <c r="L103" s="56"/>
      <c r="M103" s="56"/>
    </row>
    <row r="104" ht="15.75" customHeight="1">
      <c r="A104" s="100"/>
      <c r="B104" s="100"/>
      <c r="C104" s="265"/>
      <c r="D104" s="100"/>
      <c r="E104" s="100"/>
      <c r="F104" s="100"/>
      <c r="G104" s="100"/>
      <c r="H104" s="100"/>
      <c r="I104" s="100"/>
      <c r="J104" s="100"/>
      <c r="K104" s="56"/>
      <c r="L104" s="56"/>
      <c r="M104" s="56"/>
    </row>
    <row r="105" ht="15.75" customHeight="1">
      <c r="A105" s="100"/>
      <c r="B105" s="100"/>
      <c r="C105" s="265"/>
      <c r="D105" s="100"/>
      <c r="E105" s="100"/>
      <c r="F105" s="100"/>
      <c r="G105" s="100"/>
      <c r="H105" s="100"/>
      <c r="I105" s="100"/>
      <c r="J105" s="100"/>
      <c r="K105" s="56"/>
      <c r="L105" s="56"/>
      <c r="M105" s="56"/>
    </row>
    <row r="106" ht="15.75" customHeight="1">
      <c r="A106" s="100"/>
      <c r="B106" s="100"/>
      <c r="C106" s="265"/>
      <c r="D106" s="100"/>
      <c r="E106" s="100"/>
      <c r="F106" s="100"/>
      <c r="G106" s="100"/>
      <c r="H106" s="100"/>
      <c r="I106" s="100"/>
      <c r="J106" s="100"/>
      <c r="K106" s="56"/>
      <c r="L106" s="56"/>
      <c r="M106" s="56"/>
    </row>
    <row r="107" ht="15.75" customHeight="1">
      <c r="A107" s="100"/>
      <c r="B107" s="100"/>
      <c r="C107" s="265"/>
      <c r="D107" s="100"/>
      <c r="E107" s="100"/>
      <c r="F107" s="100"/>
      <c r="G107" s="100"/>
      <c r="H107" s="100"/>
      <c r="I107" s="100"/>
      <c r="J107" s="100"/>
      <c r="K107" s="56"/>
      <c r="L107" s="56"/>
      <c r="M107" s="56"/>
    </row>
    <row r="108" ht="15.75" customHeight="1">
      <c r="A108" s="100"/>
      <c r="B108" s="100"/>
      <c r="C108" s="265"/>
      <c r="D108" s="100"/>
      <c r="E108" s="100"/>
      <c r="F108" s="100"/>
      <c r="G108" s="100"/>
      <c r="H108" s="100"/>
      <c r="I108" s="100"/>
      <c r="J108" s="100"/>
      <c r="K108" s="56"/>
      <c r="L108" s="56"/>
      <c r="M108" s="56"/>
    </row>
    <row r="109" ht="15.75" customHeight="1">
      <c r="A109" s="100"/>
      <c r="B109" s="100"/>
      <c r="C109" s="265"/>
      <c r="D109" s="100"/>
      <c r="E109" s="100"/>
      <c r="F109" s="100"/>
      <c r="G109" s="100"/>
      <c r="H109" s="100"/>
      <c r="I109" s="100"/>
      <c r="J109" s="100"/>
      <c r="K109" s="56"/>
      <c r="L109" s="56"/>
      <c r="M109" s="56"/>
    </row>
    <row r="110" ht="15.75" customHeight="1">
      <c r="A110" s="100"/>
      <c r="B110" s="100"/>
      <c r="C110" s="265"/>
      <c r="D110" s="100"/>
      <c r="E110" s="100"/>
      <c r="F110" s="100"/>
      <c r="G110" s="100"/>
      <c r="H110" s="100"/>
      <c r="I110" s="100"/>
      <c r="J110" s="100"/>
      <c r="K110" s="56"/>
      <c r="L110" s="56"/>
      <c r="M110" s="56"/>
    </row>
    <row r="111" ht="15.75" customHeight="1">
      <c r="A111" s="100"/>
      <c r="B111" s="100"/>
      <c r="C111" s="265"/>
      <c r="D111" s="100"/>
      <c r="E111" s="100"/>
      <c r="F111" s="100"/>
      <c r="G111" s="100"/>
      <c r="H111" s="100"/>
      <c r="I111" s="100"/>
      <c r="J111" s="100"/>
      <c r="K111" s="56"/>
      <c r="L111" s="56"/>
      <c r="M111" s="56"/>
    </row>
    <row r="112" ht="15.75" customHeight="1">
      <c r="A112" s="100"/>
      <c r="B112" s="100"/>
      <c r="C112" s="265"/>
      <c r="D112" s="100"/>
      <c r="E112" s="100"/>
      <c r="F112" s="100"/>
      <c r="G112" s="100"/>
      <c r="H112" s="100"/>
      <c r="I112" s="100"/>
      <c r="J112" s="100"/>
      <c r="K112" s="56"/>
      <c r="L112" s="56"/>
      <c r="M112" s="56"/>
    </row>
    <row r="113" ht="15.75" customHeight="1">
      <c r="A113" s="100"/>
      <c r="B113" s="100"/>
      <c r="C113" s="265"/>
      <c r="D113" s="100"/>
      <c r="E113" s="100"/>
      <c r="F113" s="100"/>
      <c r="G113" s="100"/>
      <c r="H113" s="100"/>
      <c r="I113" s="100"/>
      <c r="J113" s="100"/>
      <c r="K113" s="56"/>
      <c r="L113" s="56"/>
      <c r="M113" s="56"/>
    </row>
    <row r="114" ht="15.75" customHeight="1">
      <c r="A114" s="100"/>
      <c r="B114" s="100"/>
      <c r="C114" s="265"/>
      <c r="D114" s="100"/>
      <c r="E114" s="100"/>
      <c r="F114" s="100"/>
      <c r="G114" s="100"/>
      <c r="H114" s="100"/>
      <c r="I114" s="100"/>
      <c r="J114" s="100"/>
      <c r="K114" s="56"/>
      <c r="L114" s="56"/>
      <c r="M114" s="56"/>
    </row>
    <row r="115" ht="15.75" customHeight="1">
      <c r="A115" s="100"/>
      <c r="B115" s="100"/>
      <c r="C115" s="265"/>
      <c r="D115" s="100"/>
      <c r="E115" s="100"/>
      <c r="F115" s="100"/>
      <c r="G115" s="100"/>
      <c r="H115" s="100"/>
      <c r="I115" s="100"/>
      <c r="J115" s="100"/>
      <c r="K115" s="56"/>
      <c r="L115" s="56"/>
      <c r="M115" s="56"/>
    </row>
    <row r="116" ht="15.75" customHeight="1">
      <c r="A116" s="100"/>
      <c r="B116" s="100"/>
      <c r="C116" s="265"/>
      <c r="D116" s="100"/>
      <c r="E116" s="100"/>
      <c r="F116" s="100"/>
      <c r="G116" s="100"/>
      <c r="H116" s="100"/>
      <c r="I116" s="100"/>
      <c r="J116" s="100"/>
      <c r="K116" s="56"/>
      <c r="L116" s="56"/>
      <c r="M116" s="56"/>
    </row>
    <row r="117" ht="15.75" customHeight="1">
      <c r="A117" s="100"/>
      <c r="B117" s="100"/>
      <c r="C117" s="265"/>
      <c r="D117" s="100"/>
      <c r="E117" s="100"/>
      <c r="F117" s="100"/>
      <c r="G117" s="100"/>
      <c r="H117" s="100"/>
      <c r="I117" s="100"/>
      <c r="J117" s="100"/>
      <c r="K117" s="56"/>
      <c r="L117" s="56"/>
      <c r="M117" s="56"/>
    </row>
    <row r="118" ht="15.75" customHeight="1">
      <c r="A118" s="100"/>
      <c r="B118" s="100"/>
      <c r="C118" s="265"/>
      <c r="D118" s="100"/>
      <c r="E118" s="100"/>
      <c r="F118" s="100"/>
      <c r="G118" s="100"/>
      <c r="H118" s="100"/>
      <c r="I118" s="100"/>
      <c r="J118" s="100"/>
      <c r="K118" s="56"/>
      <c r="L118" s="56"/>
      <c r="M118" s="56"/>
    </row>
    <row r="119" ht="15.75" customHeight="1">
      <c r="A119" s="100"/>
      <c r="B119" s="100"/>
      <c r="C119" s="265"/>
      <c r="D119" s="100"/>
      <c r="E119" s="100"/>
      <c r="F119" s="100"/>
      <c r="G119" s="100"/>
      <c r="H119" s="100"/>
      <c r="I119" s="100"/>
      <c r="J119" s="100"/>
      <c r="K119" s="56"/>
      <c r="L119" s="56"/>
      <c r="M119" s="56"/>
    </row>
    <row r="120" ht="15.75" customHeight="1">
      <c r="A120" s="100"/>
      <c r="B120" s="100"/>
      <c r="C120" s="265"/>
      <c r="D120" s="100"/>
      <c r="E120" s="100"/>
      <c r="F120" s="100"/>
      <c r="G120" s="100"/>
      <c r="H120" s="100"/>
      <c r="I120" s="100"/>
      <c r="J120" s="100"/>
      <c r="K120" s="56"/>
      <c r="L120" s="56"/>
      <c r="M120" s="56"/>
    </row>
    <row r="121" ht="15.75" customHeight="1">
      <c r="A121" s="100"/>
      <c r="B121" s="100"/>
      <c r="C121" s="265"/>
      <c r="D121" s="100"/>
      <c r="E121" s="100"/>
      <c r="F121" s="100"/>
      <c r="G121" s="100"/>
      <c r="H121" s="100"/>
      <c r="I121" s="100"/>
      <c r="J121" s="100"/>
      <c r="K121" s="56"/>
      <c r="L121" s="56"/>
      <c r="M121" s="56"/>
    </row>
    <row r="122" ht="15.75" customHeight="1">
      <c r="A122" s="100"/>
      <c r="B122" s="100"/>
      <c r="C122" s="265"/>
      <c r="D122" s="100"/>
      <c r="E122" s="100"/>
      <c r="F122" s="100"/>
      <c r="G122" s="100"/>
      <c r="H122" s="100"/>
      <c r="I122" s="100"/>
      <c r="J122" s="100"/>
      <c r="K122" s="56"/>
      <c r="L122" s="56"/>
      <c r="M122" s="56"/>
    </row>
    <row r="123" ht="15.75" customHeight="1">
      <c r="A123" s="100"/>
      <c r="B123" s="100"/>
      <c r="C123" s="265"/>
      <c r="D123" s="100"/>
      <c r="E123" s="100"/>
      <c r="F123" s="100"/>
      <c r="G123" s="100"/>
      <c r="H123" s="100"/>
      <c r="I123" s="100"/>
      <c r="J123" s="100"/>
      <c r="K123" s="56"/>
      <c r="L123" s="56"/>
      <c r="M123" s="56"/>
    </row>
    <row r="124" ht="15.75" customHeight="1">
      <c r="A124" s="100"/>
      <c r="B124" s="100"/>
      <c r="C124" s="265"/>
      <c r="D124" s="100"/>
      <c r="E124" s="100"/>
      <c r="F124" s="100"/>
      <c r="G124" s="100"/>
      <c r="H124" s="100"/>
      <c r="I124" s="100"/>
      <c r="J124" s="100"/>
      <c r="K124" s="56"/>
      <c r="L124" s="56"/>
      <c r="M124" s="56"/>
    </row>
    <row r="125" ht="15.75" customHeight="1">
      <c r="A125" s="100"/>
      <c r="B125" s="100"/>
      <c r="C125" s="265"/>
      <c r="D125" s="100"/>
      <c r="E125" s="100"/>
      <c r="F125" s="100"/>
      <c r="G125" s="100"/>
      <c r="H125" s="100"/>
      <c r="I125" s="100"/>
      <c r="J125" s="100"/>
      <c r="K125" s="56"/>
      <c r="L125" s="56"/>
      <c r="M125" s="56"/>
    </row>
    <row r="126" ht="15.75" customHeight="1">
      <c r="A126" s="100"/>
      <c r="B126" s="100"/>
      <c r="C126" s="265"/>
      <c r="D126" s="100"/>
      <c r="E126" s="100"/>
      <c r="F126" s="100"/>
      <c r="G126" s="100"/>
      <c r="H126" s="100"/>
      <c r="I126" s="100"/>
      <c r="J126" s="100"/>
      <c r="K126" s="56"/>
      <c r="L126" s="56"/>
      <c r="M126" s="56"/>
    </row>
    <row r="127" ht="15.75" customHeight="1">
      <c r="A127" s="100"/>
      <c r="B127" s="100"/>
      <c r="C127" s="265"/>
      <c r="D127" s="100"/>
      <c r="E127" s="100"/>
      <c r="F127" s="100"/>
      <c r="G127" s="100"/>
      <c r="H127" s="100"/>
      <c r="I127" s="100"/>
      <c r="J127" s="100"/>
      <c r="K127" s="56"/>
      <c r="L127" s="56"/>
      <c r="M127" s="56"/>
    </row>
    <row r="128" ht="15.75" customHeight="1">
      <c r="A128" s="100"/>
      <c r="B128" s="100"/>
      <c r="C128" s="265"/>
      <c r="D128" s="100"/>
      <c r="E128" s="100"/>
      <c r="F128" s="100"/>
      <c r="G128" s="100"/>
      <c r="H128" s="100"/>
      <c r="I128" s="100"/>
      <c r="J128" s="100"/>
      <c r="K128" s="56"/>
      <c r="L128" s="56"/>
      <c r="M128" s="56"/>
    </row>
    <row r="129" ht="15.75" customHeight="1">
      <c r="A129" s="100"/>
      <c r="B129" s="100"/>
      <c r="C129" s="265"/>
      <c r="D129" s="100"/>
      <c r="E129" s="100"/>
      <c r="F129" s="100"/>
      <c r="G129" s="100"/>
      <c r="H129" s="100"/>
      <c r="I129" s="100"/>
      <c r="J129" s="100"/>
      <c r="K129" s="56"/>
      <c r="L129" s="56"/>
      <c r="M129" s="56"/>
    </row>
    <row r="130" ht="15.75" customHeight="1">
      <c r="A130" s="100"/>
      <c r="B130" s="100"/>
      <c r="C130" s="265"/>
      <c r="D130" s="100"/>
      <c r="E130" s="100"/>
      <c r="F130" s="100"/>
      <c r="G130" s="100"/>
      <c r="H130" s="100"/>
      <c r="I130" s="100"/>
      <c r="J130" s="100"/>
      <c r="K130" s="56"/>
      <c r="L130" s="56"/>
      <c r="M130" s="56"/>
    </row>
    <row r="131" ht="15.75" customHeight="1">
      <c r="A131" s="100"/>
      <c r="B131" s="100"/>
      <c r="C131" s="265"/>
      <c r="D131" s="100"/>
      <c r="E131" s="100"/>
      <c r="F131" s="100"/>
      <c r="G131" s="100"/>
      <c r="H131" s="100"/>
      <c r="I131" s="100"/>
      <c r="J131" s="100"/>
      <c r="K131" s="56"/>
      <c r="L131" s="56"/>
      <c r="M131" s="56"/>
    </row>
    <row r="132" ht="15.75" customHeight="1">
      <c r="A132" s="100"/>
      <c r="B132" s="100"/>
      <c r="C132" s="265"/>
      <c r="D132" s="100"/>
      <c r="E132" s="100"/>
      <c r="F132" s="100"/>
      <c r="G132" s="100"/>
      <c r="H132" s="100"/>
      <c r="I132" s="100"/>
      <c r="J132" s="100"/>
      <c r="K132" s="56"/>
      <c r="L132" s="56"/>
      <c r="M132" s="56"/>
    </row>
    <row r="133" ht="15.75" customHeight="1">
      <c r="A133" s="100"/>
      <c r="B133" s="100"/>
      <c r="C133" s="265"/>
      <c r="D133" s="100"/>
      <c r="E133" s="100"/>
      <c r="F133" s="100"/>
      <c r="G133" s="100"/>
      <c r="H133" s="100"/>
      <c r="I133" s="100"/>
      <c r="J133" s="100"/>
      <c r="K133" s="56"/>
      <c r="L133" s="56"/>
      <c r="M133" s="56"/>
    </row>
    <row r="134" ht="15.75" customHeight="1">
      <c r="A134" s="100"/>
      <c r="B134" s="100"/>
      <c r="C134" s="265"/>
      <c r="D134" s="100"/>
      <c r="E134" s="100"/>
      <c r="F134" s="100"/>
      <c r="G134" s="100"/>
      <c r="H134" s="100"/>
      <c r="I134" s="100"/>
      <c r="J134" s="100"/>
      <c r="K134" s="56"/>
      <c r="L134" s="56"/>
      <c r="M134" s="56"/>
    </row>
    <row r="135" ht="15.75" customHeight="1">
      <c r="A135" s="100"/>
      <c r="B135" s="100"/>
      <c r="C135" s="265"/>
      <c r="D135" s="100"/>
      <c r="E135" s="100"/>
      <c r="F135" s="100"/>
      <c r="G135" s="100"/>
      <c r="H135" s="100"/>
      <c r="I135" s="100"/>
      <c r="J135" s="100"/>
      <c r="K135" s="56"/>
      <c r="L135" s="56"/>
      <c r="M135" s="56"/>
    </row>
    <row r="136" ht="15.75" customHeight="1">
      <c r="A136" s="100"/>
      <c r="B136" s="100"/>
      <c r="C136" s="265"/>
      <c r="D136" s="100"/>
      <c r="E136" s="100"/>
      <c r="F136" s="100"/>
      <c r="G136" s="100"/>
      <c r="H136" s="100"/>
      <c r="I136" s="100"/>
      <c r="J136" s="100"/>
      <c r="K136" s="56"/>
      <c r="L136" s="56"/>
      <c r="M136" s="56"/>
    </row>
    <row r="137" ht="15.75" customHeight="1">
      <c r="A137" s="100"/>
      <c r="B137" s="100"/>
      <c r="C137" s="265"/>
      <c r="D137" s="100"/>
      <c r="E137" s="100"/>
      <c r="F137" s="100"/>
      <c r="G137" s="100"/>
      <c r="H137" s="100"/>
      <c r="I137" s="100"/>
      <c r="J137" s="100"/>
      <c r="K137" s="56"/>
      <c r="L137" s="56"/>
      <c r="M137" s="56"/>
    </row>
    <row r="138" ht="15.75" customHeight="1">
      <c r="A138" s="100"/>
      <c r="B138" s="100"/>
      <c r="C138" s="265"/>
      <c r="D138" s="100"/>
      <c r="E138" s="100"/>
      <c r="F138" s="100"/>
      <c r="G138" s="100"/>
      <c r="H138" s="100"/>
      <c r="I138" s="100"/>
      <c r="J138" s="100"/>
      <c r="K138" s="56"/>
      <c r="L138" s="56"/>
      <c r="M138" s="56"/>
    </row>
    <row r="139" ht="15.75" customHeight="1">
      <c r="A139" s="100"/>
      <c r="B139" s="100"/>
      <c r="C139" s="265"/>
      <c r="D139" s="100"/>
      <c r="E139" s="100"/>
      <c r="F139" s="100"/>
      <c r="G139" s="100"/>
      <c r="H139" s="100"/>
      <c r="I139" s="100"/>
      <c r="J139" s="100"/>
      <c r="K139" s="56"/>
      <c r="L139" s="56"/>
      <c r="M139" s="56"/>
    </row>
    <row r="140" ht="15.75" customHeight="1">
      <c r="A140" s="100"/>
      <c r="B140" s="100"/>
      <c r="C140" s="265"/>
      <c r="D140" s="100"/>
      <c r="E140" s="100"/>
      <c r="F140" s="100"/>
      <c r="G140" s="100"/>
      <c r="H140" s="100"/>
      <c r="I140" s="100"/>
      <c r="J140" s="100"/>
      <c r="K140" s="56"/>
      <c r="L140" s="56"/>
      <c r="M140" s="56"/>
    </row>
    <row r="141" ht="15.75" customHeight="1">
      <c r="A141" s="100"/>
      <c r="B141" s="100"/>
      <c r="C141" s="265"/>
      <c r="D141" s="100"/>
      <c r="E141" s="100"/>
      <c r="F141" s="100"/>
      <c r="G141" s="100"/>
      <c r="H141" s="100"/>
      <c r="I141" s="100"/>
      <c r="J141" s="100"/>
      <c r="K141" s="56"/>
      <c r="L141" s="56"/>
      <c r="M141" s="56"/>
    </row>
    <row r="142" ht="15.75" customHeight="1">
      <c r="A142" s="100"/>
      <c r="B142" s="100"/>
      <c r="C142" s="265"/>
      <c r="D142" s="100"/>
      <c r="E142" s="100"/>
      <c r="F142" s="100"/>
      <c r="G142" s="100"/>
      <c r="H142" s="100"/>
      <c r="I142" s="100"/>
      <c r="J142" s="100"/>
      <c r="K142" s="56"/>
      <c r="L142" s="56"/>
      <c r="M142" s="56"/>
    </row>
    <row r="143" ht="15.75" customHeight="1">
      <c r="A143" s="100"/>
      <c r="B143" s="100"/>
      <c r="C143" s="265"/>
      <c r="D143" s="100"/>
      <c r="E143" s="100"/>
      <c r="F143" s="100"/>
      <c r="G143" s="100"/>
      <c r="H143" s="100"/>
      <c r="I143" s="100"/>
      <c r="J143" s="100"/>
      <c r="K143" s="56"/>
      <c r="L143" s="56"/>
      <c r="M143" s="56"/>
    </row>
    <row r="144" ht="15.75" customHeight="1">
      <c r="A144" s="100"/>
      <c r="B144" s="100"/>
      <c r="C144" s="265"/>
      <c r="D144" s="100"/>
      <c r="E144" s="100"/>
      <c r="F144" s="100"/>
      <c r="G144" s="100"/>
      <c r="H144" s="100"/>
      <c r="I144" s="100"/>
      <c r="J144" s="100"/>
      <c r="K144" s="56"/>
      <c r="L144" s="56"/>
      <c r="M144" s="56"/>
    </row>
    <row r="145" ht="15.75" customHeight="1">
      <c r="A145" s="100"/>
      <c r="B145" s="100"/>
      <c r="C145" s="265"/>
      <c r="D145" s="100"/>
      <c r="E145" s="100"/>
      <c r="F145" s="100"/>
      <c r="G145" s="100"/>
      <c r="H145" s="100"/>
      <c r="I145" s="100"/>
      <c r="J145" s="100"/>
      <c r="K145" s="56"/>
      <c r="L145" s="56"/>
      <c r="M145" s="56"/>
    </row>
    <row r="146" ht="15.75" customHeight="1">
      <c r="A146" s="100"/>
      <c r="B146" s="100"/>
      <c r="C146" s="265"/>
      <c r="D146" s="100"/>
      <c r="E146" s="100"/>
      <c r="F146" s="100"/>
      <c r="G146" s="100"/>
      <c r="H146" s="100"/>
      <c r="I146" s="100"/>
      <c r="J146" s="100"/>
      <c r="K146" s="56"/>
      <c r="L146" s="56"/>
      <c r="M146" s="56"/>
    </row>
    <row r="147" ht="15.75" customHeight="1">
      <c r="A147" s="100"/>
      <c r="B147" s="100"/>
      <c r="C147" s="265"/>
      <c r="D147" s="100"/>
      <c r="E147" s="100"/>
      <c r="F147" s="100"/>
      <c r="G147" s="100"/>
      <c r="H147" s="100"/>
      <c r="I147" s="100"/>
      <c r="J147" s="100"/>
      <c r="K147" s="56"/>
      <c r="L147" s="56"/>
      <c r="M147" s="56"/>
    </row>
    <row r="148" ht="15.75" customHeight="1">
      <c r="A148" s="100"/>
      <c r="B148" s="100"/>
      <c r="C148" s="265"/>
      <c r="D148" s="100"/>
      <c r="E148" s="100"/>
      <c r="F148" s="100"/>
      <c r="G148" s="100"/>
      <c r="H148" s="100"/>
      <c r="I148" s="100"/>
      <c r="J148" s="100"/>
      <c r="K148" s="56"/>
      <c r="L148" s="56"/>
      <c r="M148" s="56"/>
    </row>
    <row r="149" ht="15.75" customHeight="1">
      <c r="A149" s="100"/>
      <c r="B149" s="100"/>
      <c r="C149" s="265"/>
      <c r="D149" s="100"/>
      <c r="E149" s="100"/>
      <c r="F149" s="100"/>
      <c r="G149" s="100"/>
      <c r="H149" s="100"/>
      <c r="I149" s="100"/>
      <c r="J149" s="100"/>
      <c r="K149" s="56"/>
      <c r="L149" s="56"/>
      <c r="M149" s="56"/>
    </row>
    <row r="150" ht="15.75" customHeight="1">
      <c r="A150" s="100"/>
      <c r="B150" s="100"/>
      <c r="C150" s="265"/>
      <c r="D150" s="100"/>
      <c r="E150" s="100"/>
      <c r="F150" s="100"/>
      <c r="G150" s="100"/>
      <c r="H150" s="100"/>
      <c r="I150" s="100"/>
      <c r="J150" s="100"/>
      <c r="K150" s="56"/>
      <c r="L150" s="56"/>
      <c r="M150" s="56"/>
    </row>
    <row r="151" ht="15.75" customHeight="1">
      <c r="A151" s="100"/>
      <c r="B151" s="100"/>
      <c r="C151" s="265"/>
      <c r="D151" s="100"/>
      <c r="E151" s="100"/>
      <c r="F151" s="100"/>
      <c r="G151" s="100"/>
      <c r="H151" s="100"/>
      <c r="I151" s="100"/>
      <c r="J151" s="100"/>
      <c r="K151" s="56"/>
      <c r="L151" s="56"/>
      <c r="M151" s="56"/>
    </row>
    <row r="152" ht="15.75" customHeight="1">
      <c r="A152" s="100"/>
      <c r="B152" s="100"/>
      <c r="C152" s="265"/>
      <c r="D152" s="100"/>
      <c r="E152" s="100"/>
      <c r="F152" s="100"/>
      <c r="G152" s="100"/>
      <c r="H152" s="100"/>
      <c r="I152" s="100"/>
      <c r="J152" s="100"/>
      <c r="K152" s="56"/>
      <c r="L152" s="56"/>
      <c r="M152" s="56"/>
    </row>
    <row r="153" ht="15.75" customHeight="1">
      <c r="A153" s="100"/>
      <c r="B153" s="100"/>
      <c r="C153" s="265"/>
      <c r="D153" s="100"/>
      <c r="E153" s="100"/>
      <c r="F153" s="100"/>
      <c r="G153" s="100"/>
      <c r="H153" s="100"/>
      <c r="I153" s="100"/>
      <c r="J153" s="100"/>
      <c r="K153" s="56"/>
      <c r="L153" s="56"/>
      <c r="M153" s="56"/>
    </row>
    <row r="154" ht="15.75" customHeight="1">
      <c r="A154" s="100"/>
      <c r="B154" s="100"/>
      <c r="C154" s="265"/>
      <c r="D154" s="100"/>
      <c r="E154" s="100"/>
      <c r="F154" s="100"/>
      <c r="G154" s="100"/>
      <c r="H154" s="100"/>
      <c r="I154" s="100"/>
      <c r="J154" s="100"/>
      <c r="K154" s="56"/>
      <c r="L154" s="56"/>
      <c r="M154" s="56"/>
    </row>
    <row r="155" ht="15.75" customHeight="1">
      <c r="A155" s="100"/>
      <c r="B155" s="100"/>
      <c r="C155" s="265"/>
      <c r="D155" s="100"/>
      <c r="E155" s="100"/>
      <c r="F155" s="100"/>
      <c r="G155" s="100"/>
      <c r="H155" s="100"/>
      <c r="I155" s="100"/>
      <c r="J155" s="100"/>
      <c r="K155" s="56"/>
      <c r="L155" s="56"/>
      <c r="M155" s="56"/>
    </row>
    <row r="156" ht="15.75" customHeight="1">
      <c r="A156" s="100"/>
      <c r="B156" s="100"/>
      <c r="C156" s="265"/>
      <c r="D156" s="100"/>
      <c r="E156" s="100"/>
      <c r="F156" s="100"/>
      <c r="G156" s="100"/>
      <c r="H156" s="100"/>
      <c r="I156" s="100"/>
      <c r="J156" s="100"/>
      <c r="K156" s="56"/>
      <c r="L156" s="56"/>
      <c r="M156" s="56"/>
    </row>
    <row r="157" ht="15.75" customHeight="1">
      <c r="A157" s="100"/>
      <c r="B157" s="100"/>
      <c r="C157" s="265"/>
      <c r="D157" s="100"/>
      <c r="E157" s="100"/>
      <c r="F157" s="100"/>
      <c r="G157" s="100"/>
      <c r="H157" s="100"/>
      <c r="I157" s="100"/>
      <c r="J157" s="100"/>
      <c r="K157" s="56"/>
      <c r="L157" s="56"/>
      <c r="M157" s="56"/>
    </row>
    <row r="158" ht="15.75" customHeight="1">
      <c r="A158" s="100"/>
      <c r="B158" s="100"/>
      <c r="C158" s="265"/>
      <c r="D158" s="100"/>
      <c r="E158" s="100"/>
      <c r="F158" s="100"/>
      <c r="G158" s="100"/>
      <c r="H158" s="100"/>
      <c r="I158" s="100"/>
      <c r="J158" s="100"/>
      <c r="K158" s="56"/>
      <c r="L158" s="56"/>
      <c r="M158" s="56"/>
    </row>
    <row r="159" ht="15.75" customHeight="1">
      <c r="A159" s="100"/>
      <c r="B159" s="100"/>
      <c r="C159" s="265"/>
      <c r="D159" s="100"/>
      <c r="E159" s="100"/>
      <c r="F159" s="100"/>
      <c r="G159" s="100"/>
      <c r="H159" s="100"/>
      <c r="I159" s="100"/>
      <c r="J159" s="100"/>
      <c r="K159" s="56"/>
      <c r="L159" s="56"/>
      <c r="M159" s="56"/>
    </row>
    <row r="160" ht="15.75" customHeight="1">
      <c r="A160" s="100"/>
      <c r="B160" s="100"/>
      <c r="C160" s="265"/>
      <c r="D160" s="100"/>
      <c r="E160" s="100"/>
      <c r="F160" s="100"/>
      <c r="G160" s="100"/>
      <c r="H160" s="100"/>
      <c r="I160" s="100"/>
      <c r="J160" s="100"/>
      <c r="K160" s="56"/>
      <c r="L160" s="56"/>
      <c r="M160" s="56"/>
    </row>
    <row r="161" ht="15.75" customHeight="1">
      <c r="A161" s="100"/>
      <c r="B161" s="100"/>
      <c r="C161" s="265"/>
      <c r="D161" s="100"/>
      <c r="E161" s="100"/>
      <c r="F161" s="100"/>
      <c r="G161" s="100"/>
      <c r="H161" s="100"/>
      <c r="I161" s="100"/>
      <c r="J161" s="100"/>
      <c r="K161" s="56"/>
      <c r="L161" s="56"/>
      <c r="M161" s="56"/>
    </row>
    <row r="162" ht="15.75" customHeight="1">
      <c r="A162" s="100"/>
      <c r="B162" s="100"/>
      <c r="C162" s="265"/>
      <c r="D162" s="100"/>
      <c r="E162" s="100"/>
      <c r="F162" s="100"/>
      <c r="G162" s="100"/>
      <c r="H162" s="100"/>
      <c r="I162" s="100"/>
      <c r="J162" s="100"/>
      <c r="K162" s="56"/>
      <c r="L162" s="56"/>
      <c r="M162" s="56"/>
    </row>
    <row r="163" ht="15.75" customHeight="1">
      <c r="A163" s="100"/>
      <c r="B163" s="100"/>
      <c r="C163" s="265"/>
      <c r="D163" s="100"/>
      <c r="E163" s="100"/>
      <c r="F163" s="100"/>
      <c r="G163" s="100"/>
      <c r="H163" s="100"/>
      <c r="I163" s="100"/>
      <c r="J163" s="100"/>
      <c r="K163" s="56"/>
      <c r="L163" s="56"/>
      <c r="M163" s="56"/>
    </row>
    <row r="164" ht="15.75" customHeight="1">
      <c r="A164" s="100"/>
      <c r="B164" s="100"/>
      <c r="C164" s="265"/>
      <c r="D164" s="100"/>
      <c r="E164" s="100"/>
      <c r="F164" s="100"/>
      <c r="G164" s="100"/>
      <c r="H164" s="100"/>
      <c r="I164" s="100"/>
      <c r="J164" s="100"/>
      <c r="K164" s="56"/>
      <c r="L164" s="56"/>
      <c r="M164" s="56"/>
    </row>
    <row r="165" ht="15.75" customHeight="1">
      <c r="A165" s="100"/>
      <c r="B165" s="100"/>
      <c r="C165" s="265"/>
      <c r="D165" s="100"/>
      <c r="E165" s="100"/>
      <c r="F165" s="100"/>
      <c r="G165" s="100"/>
      <c r="H165" s="100"/>
      <c r="I165" s="100"/>
      <c r="J165" s="100"/>
      <c r="K165" s="56"/>
      <c r="L165" s="56"/>
      <c r="M165" s="56"/>
    </row>
    <row r="166" ht="15.75" customHeight="1">
      <c r="A166" s="100"/>
      <c r="B166" s="100"/>
      <c r="C166" s="265"/>
      <c r="D166" s="100"/>
      <c r="E166" s="100"/>
      <c r="F166" s="100"/>
      <c r="G166" s="100"/>
      <c r="H166" s="100"/>
      <c r="I166" s="100"/>
      <c r="J166" s="100"/>
      <c r="K166" s="56"/>
      <c r="L166" s="56"/>
      <c r="M166" s="56"/>
    </row>
    <row r="167" ht="15.75" customHeight="1">
      <c r="A167" s="100"/>
      <c r="B167" s="100"/>
      <c r="C167" s="265"/>
      <c r="D167" s="100"/>
      <c r="E167" s="100"/>
      <c r="F167" s="100"/>
      <c r="G167" s="100"/>
      <c r="H167" s="100"/>
      <c r="I167" s="100"/>
      <c r="J167" s="100"/>
      <c r="K167" s="56"/>
      <c r="L167" s="56"/>
      <c r="M167" s="56"/>
    </row>
    <row r="168" ht="15.75" customHeight="1">
      <c r="A168" s="100"/>
      <c r="B168" s="100"/>
      <c r="C168" s="265"/>
      <c r="D168" s="100"/>
      <c r="E168" s="100"/>
      <c r="F168" s="100"/>
      <c r="G168" s="100"/>
      <c r="H168" s="100"/>
      <c r="I168" s="100"/>
      <c r="J168" s="100"/>
      <c r="K168" s="56"/>
      <c r="L168" s="56"/>
      <c r="M168" s="56"/>
    </row>
    <row r="169" ht="15.75" customHeight="1">
      <c r="A169" s="100"/>
      <c r="B169" s="100"/>
      <c r="C169" s="265"/>
      <c r="D169" s="100"/>
      <c r="E169" s="100"/>
      <c r="F169" s="100"/>
      <c r="G169" s="100"/>
      <c r="H169" s="100"/>
      <c r="I169" s="100"/>
      <c r="J169" s="100"/>
      <c r="K169" s="56"/>
      <c r="L169" s="56"/>
      <c r="M169" s="56"/>
    </row>
    <row r="170" ht="15.75" customHeight="1">
      <c r="A170" s="100"/>
      <c r="B170" s="100"/>
      <c r="C170" s="265"/>
      <c r="D170" s="100"/>
      <c r="E170" s="100"/>
      <c r="F170" s="100"/>
      <c r="G170" s="100"/>
      <c r="H170" s="100"/>
      <c r="I170" s="100"/>
      <c r="J170" s="100"/>
      <c r="K170" s="56"/>
      <c r="L170" s="56"/>
      <c r="M170" s="56"/>
    </row>
    <row r="171" ht="15.75" customHeight="1">
      <c r="A171" s="100"/>
      <c r="B171" s="100"/>
      <c r="C171" s="265"/>
      <c r="D171" s="100"/>
      <c r="E171" s="100"/>
      <c r="F171" s="100"/>
      <c r="G171" s="100"/>
      <c r="H171" s="100"/>
      <c r="I171" s="100"/>
      <c r="J171" s="100"/>
      <c r="K171" s="56"/>
      <c r="L171" s="56"/>
      <c r="M171" s="56"/>
    </row>
    <row r="172" ht="15.75" customHeight="1">
      <c r="A172" s="100"/>
      <c r="B172" s="100"/>
      <c r="C172" s="265"/>
      <c r="D172" s="100"/>
      <c r="E172" s="100"/>
      <c r="F172" s="100"/>
      <c r="G172" s="100"/>
      <c r="H172" s="100"/>
      <c r="I172" s="100"/>
      <c r="J172" s="100"/>
      <c r="K172" s="56"/>
      <c r="L172" s="56"/>
      <c r="M172" s="56"/>
    </row>
    <row r="173" ht="15.75" customHeight="1">
      <c r="A173" s="100"/>
      <c r="B173" s="100"/>
      <c r="C173" s="265"/>
      <c r="D173" s="100"/>
      <c r="E173" s="100"/>
      <c r="F173" s="100"/>
      <c r="G173" s="100"/>
      <c r="H173" s="100"/>
      <c r="I173" s="100"/>
      <c r="J173" s="100"/>
      <c r="K173" s="56"/>
      <c r="L173" s="56"/>
      <c r="M173" s="56"/>
    </row>
    <row r="174" ht="15.75" customHeight="1">
      <c r="A174" s="100"/>
      <c r="B174" s="100"/>
      <c r="C174" s="265"/>
      <c r="D174" s="100"/>
      <c r="E174" s="100"/>
      <c r="F174" s="100"/>
      <c r="G174" s="100"/>
      <c r="H174" s="100"/>
      <c r="I174" s="100"/>
      <c r="J174" s="100"/>
      <c r="K174" s="56"/>
      <c r="L174" s="56"/>
      <c r="M174" s="56"/>
    </row>
    <row r="175" ht="15.75" customHeight="1">
      <c r="A175" s="100"/>
      <c r="B175" s="100"/>
      <c r="C175" s="265"/>
      <c r="D175" s="100"/>
      <c r="E175" s="100"/>
      <c r="F175" s="100"/>
      <c r="G175" s="100"/>
      <c r="H175" s="100"/>
      <c r="I175" s="100"/>
      <c r="J175" s="100"/>
      <c r="K175" s="56"/>
      <c r="L175" s="56"/>
      <c r="M175" s="56"/>
    </row>
    <row r="176" ht="15.75" customHeight="1">
      <c r="A176" s="100"/>
      <c r="B176" s="100"/>
      <c r="C176" s="265"/>
      <c r="D176" s="100"/>
      <c r="E176" s="100"/>
      <c r="F176" s="100"/>
      <c r="G176" s="100"/>
      <c r="H176" s="100"/>
      <c r="I176" s="100"/>
      <c r="J176" s="100"/>
      <c r="K176" s="56"/>
      <c r="L176" s="56"/>
      <c r="M176" s="56"/>
    </row>
    <row r="177" ht="15.75" customHeight="1">
      <c r="A177" s="100"/>
      <c r="B177" s="100"/>
      <c r="C177" s="265"/>
      <c r="D177" s="100"/>
      <c r="E177" s="100"/>
      <c r="F177" s="100"/>
      <c r="G177" s="100"/>
      <c r="H177" s="100"/>
      <c r="I177" s="100"/>
      <c r="J177" s="100"/>
      <c r="K177" s="56"/>
      <c r="L177" s="56"/>
      <c r="M177" s="56"/>
    </row>
    <row r="178" ht="15.75" customHeight="1">
      <c r="A178" s="100"/>
      <c r="B178" s="100"/>
      <c r="C178" s="265"/>
      <c r="D178" s="100"/>
      <c r="E178" s="100"/>
      <c r="F178" s="100"/>
      <c r="G178" s="100"/>
      <c r="H178" s="100"/>
      <c r="I178" s="100"/>
      <c r="J178" s="100"/>
      <c r="K178" s="56"/>
      <c r="L178" s="56"/>
      <c r="M178" s="56"/>
    </row>
    <row r="179" ht="15.75" customHeight="1">
      <c r="A179" s="100"/>
      <c r="B179" s="100"/>
      <c r="C179" s="265"/>
      <c r="D179" s="100"/>
      <c r="E179" s="100"/>
      <c r="F179" s="100"/>
      <c r="G179" s="100"/>
      <c r="H179" s="100"/>
      <c r="I179" s="100"/>
      <c r="J179" s="100"/>
      <c r="K179" s="56"/>
      <c r="L179" s="56"/>
      <c r="M179" s="56"/>
    </row>
    <row r="180" ht="15.75" customHeight="1">
      <c r="A180" s="100"/>
      <c r="B180" s="100"/>
      <c r="C180" s="265"/>
      <c r="D180" s="100"/>
      <c r="E180" s="100"/>
      <c r="F180" s="100"/>
      <c r="G180" s="100"/>
      <c r="H180" s="100"/>
      <c r="I180" s="100"/>
      <c r="J180" s="100"/>
      <c r="K180" s="56"/>
      <c r="L180" s="56"/>
      <c r="M180" s="56"/>
    </row>
    <row r="181" ht="15.75" customHeight="1">
      <c r="A181" s="100"/>
      <c r="B181" s="100"/>
      <c r="C181" s="265"/>
      <c r="D181" s="100"/>
      <c r="E181" s="100"/>
      <c r="F181" s="100"/>
      <c r="G181" s="100"/>
      <c r="H181" s="100"/>
      <c r="I181" s="100"/>
      <c r="J181" s="100"/>
      <c r="K181" s="56"/>
      <c r="L181" s="56"/>
      <c r="M181" s="56"/>
    </row>
    <row r="182" ht="15.75" customHeight="1">
      <c r="A182" s="100"/>
      <c r="B182" s="100"/>
      <c r="C182" s="265"/>
      <c r="D182" s="100"/>
      <c r="E182" s="100"/>
      <c r="F182" s="100"/>
      <c r="G182" s="100"/>
      <c r="H182" s="100"/>
      <c r="I182" s="100"/>
      <c r="J182" s="100"/>
      <c r="K182" s="56"/>
      <c r="L182" s="56"/>
      <c r="M182" s="56"/>
    </row>
    <row r="183" ht="15.75" customHeight="1">
      <c r="A183" s="100"/>
      <c r="B183" s="100"/>
      <c r="C183" s="265"/>
      <c r="D183" s="100"/>
      <c r="E183" s="100"/>
      <c r="F183" s="100"/>
      <c r="G183" s="100"/>
      <c r="H183" s="100"/>
      <c r="I183" s="100"/>
      <c r="J183" s="100"/>
      <c r="K183" s="56"/>
      <c r="L183" s="56"/>
      <c r="M183" s="56"/>
    </row>
    <row r="184" ht="15.75" customHeight="1">
      <c r="A184" s="100"/>
      <c r="B184" s="100"/>
      <c r="C184" s="265"/>
      <c r="D184" s="100"/>
      <c r="E184" s="100"/>
      <c r="F184" s="100"/>
      <c r="G184" s="100"/>
      <c r="H184" s="100"/>
      <c r="I184" s="100"/>
      <c r="J184" s="100"/>
      <c r="K184" s="56"/>
      <c r="L184" s="56"/>
      <c r="M184" s="56"/>
    </row>
    <row r="185" ht="15.75" customHeight="1">
      <c r="A185" s="100"/>
      <c r="B185" s="100"/>
      <c r="C185" s="265"/>
      <c r="D185" s="100"/>
      <c r="E185" s="100"/>
      <c r="F185" s="100"/>
      <c r="G185" s="100"/>
      <c r="H185" s="100"/>
      <c r="I185" s="100"/>
      <c r="J185" s="100"/>
      <c r="K185" s="56"/>
      <c r="L185" s="56"/>
      <c r="M185" s="56"/>
    </row>
    <row r="186" ht="15.75" customHeight="1">
      <c r="A186" s="100"/>
      <c r="B186" s="100"/>
      <c r="C186" s="265"/>
      <c r="D186" s="100"/>
      <c r="E186" s="100"/>
      <c r="F186" s="100"/>
      <c r="G186" s="100"/>
      <c r="H186" s="100"/>
      <c r="I186" s="100"/>
      <c r="J186" s="100"/>
      <c r="K186" s="56"/>
      <c r="L186" s="56"/>
      <c r="M186" s="56"/>
    </row>
    <row r="187" ht="15.75" customHeight="1">
      <c r="A187" s="100"/>
      <c r="B187" s="100"/>
      <c r="C187" s="265"/>
      <c r="D187" s="100"/>
      <c r="E187" s="100"/>
      <c r="F187" s="100"/>
      <c r="G187" s="100"/>
      <c r="H187" s="100"/>
      <c r="I187" s="100"/>
      <c r="J187" s="100"/>
      <c r="K187" s="56"/>
      <c r="L187" s="56"/>
      <c r="M187" s="56"/>
    </row>
    <row r="188" ht="15.75" customHeight="1">
      <c r="A188" s="100"/>
      <c r="B188" s="100"/>
      <c r="C188" s="265"/>
      <c r="D188" s="100"/>
      <c r="E188" s="100"/>
      <c r="F188" s="100"/>
      <c r="G188" s="100"/>
      <c r="H188" s="100"/>
      <c r="I188" s="100"/>
      <c r="J188" s="100"/>
      <c r="K188" s="56"/>
      <c r="L188" s="56"/>
      <c r="M188" s="56"/>
    </row>
    <row r="189" ht="15.75" customHeight="1">
      <c r="A189" s="100"/>
      <c r="B189" s="100"/>
      <c r="C189" s="265"/>
      <c r="D189" s="100"/>
      <c r="E189" s="100"/>
      <c r="F189" s="100"/>
      <c r="G189" s="100"/>
      <c r="H189" s="100"/>
      <c r="I189" s="100"/>
      <c r="J189" s="100"/>
      <c r="K189" s="56"/>
      <c r="L189" s="56"/>
      <c r="M189" s="56"/>
    </row>
    <row r="190" ht="15.75" customHeight="1">
      <c r="A190" s="100"/>
      <c r="B190" s="100"/>
      <c r="C190" s="265"/>
      <c r="D190" s="100"/>
      <c r="E190" s="100"/>
      <c r="F190" s="100"/>
      <c r="G190" s="100"/>
      <c r="H190" s="100"/>
      <c r="I190" s="100"/>
      <c r="J190" s="100"/>
      <c r="K190" s="56"/>
      <c r="L190" s="56"/>
      <c r="M190" s="56"/>
    </row>
    <row r="191" ht="15.75" customHeight="1">
      <c r="A191" s="100"/>
      <c r="B191" s="100"/>
      <c r="C191" s="265"/>
      <c r="D191" s="100"/>
      <c r="E191" s="100"/>
      <c r="F191" s="100"/>
      <c r="G191" s="100"/>
      <c r="H191" s="100"/>
      <c r="I191" s="100"/>
      <c r="J191" s="100"/>
      <c r="K191" s="56"/>
      <c r="L191" s="56"/>
      <c r="M191" s="56"/>
    </row>
    <row r="192" ht="15.75" customHeight="1">
      <c r="A192" s="100"/>
      <c r="B192" s="100"/>
      <c r="C192" s="265"/>
      <c r="D192" s="100"/>
      <c r="E192" s="100"/>
      <c r="F192" s="100"/>
      <c r="G192" s="100"/>
      <c r="H192" s="100"/>
      <c r="I192" s="100"/>
      <c r="J192" s="100"/>
      <c r="K192" s="56"/>
      <c r="L192" s="56"/>
      <c r="M192" s="56"/>
    </row>
    <row r="193" ht="15.75" customHeight="1">
      <c r="A193" s="100"/>
      <c r="B193" s="100"/>
      <c r="C193" s="265"/>
      <c r="D193" s="100"/>
      <c r="E193" s="100"/>
      <c r="F193" s="100"/>
      <c r="G193" s="100"/>
      <c r="H193" s="100"/>
      <c r="I193" s="100"/>
      <c r="J193" s="100"/>
      <c r="K193" s="56"/>
      <c r="L193" s="56"/>
      <c r="M193" s="56"/>
    </row>
    <row r="194" ht="15.75" customHeight="1">
      <c r="A194" s="100"/>
      <c r="B194" s="100"/>
      <c r="C194" s="265"/>
      <c r="D194" s="100"/>
      <c r="E194" s="100"/>
      <c r="F194" s="100"/>
      <c r="G194" s="100"/>
      <c r="H194" s="100"/>
      <c r="I194" s="100"/>
      <c r="J194" s="100"/>
      <c r="K194" s="56"/>
      <c r="L194" s="56"/>
      <c r="M194" s="56"/>
    </row>
    <row r="195" ht="15.75" customHeight="1">
      <c r="A195" s="100"/>
      <c r="B195" s="100"/>
      <c r="C195" s="265"/>
      <c r="D195" s="100"/>
      <c r="E195" s="100"/>
      <c r="F195" s="100"/>
      <c r="G195" s="100"/>
      <c r="H195" s="100"/>
      <c r="I195" s="100"/>
      <c r="J195" s="100"/>
      <c r="K195" s="56"/>
      <c r="L195" s="56"/>
      <c r="M195" s="56"/>
    </row>
    <row r="196" ht="15.75" customHeight="1">
      <c r="A196" s="100"/>
      <c r="B196" s="100"/>
      <c r="C196" s="265"/>
      <c r="D196" s="100"/>
      <c r="E196" s="100"/>
      <c r="F196" s="100"/>
      <c r="G196" s="100"/>
      <c r="H196" s="100"/>
      <c r="I196" s="100"/>
      <c r="J196" s="100"/>
      <c r="K196" s="56"/>
      <c r="L196" s="56"/>
      <c r="M196" s="56"/>
    </row>
    <row r="197" ht="15.75" customHeight="1">
      <c r="A197" s="100"/>
      <c r="B197" s="100"/>
      <c r="C197" s="265"/>
      <c r="D197" s="100"/>
      <c r="E197" s="100"/>
      <c r="F197" s="100"/>
      <c r="G197" s="100"/>
      <c r="H197" s="100"/>
      <c r="I197" s="100"/>
      <c r="J197" s="100"/>
      <c r="K197" s="56"/>
      <c r="L197" s="56"/>
      <c r="M197" s="56"/>
    </row>
    <row r="198" ht="15.75" customHeight="1">
      <c r="A198" s="100"/>
      <c r="B198" s="100"/>
      <c r="C198" s="265"/>
      <c r="D198" s="100"/>
      <c r="E198" s="100"/>
      <c r="F198" s="100"/>
      <c r="G198" s="100"/>
      <c r="H198" s="100"/>
      <c r="I198" s="100"/>
      <c r="J198" s="100"/>
      <c r="K198" s="56"/>
      <c r="L198" s="56"/>
      <c r="M198" s="56"/>
    </row>
    <row r="199" ht="15.75" customHeight="1">
      <c r="A199" s="100"/>
      <c r="B199" s="100"/>
      <c r="C199" s="265"/>
      <c r="D199" s="100"/>
      <c r="E199" s="100"/>
      <c r="F199" s="100"/>
      <c r="G199" s="100"/>
      <c r="H199" s="100"/>
      <c r="I199" s="100"/>
      <c r="J199" s="100"/>
      <c r="K199" s="56"/>
      <c r="L199" s="56"/>
      <c r="M199" s="56"/>
    </row>
    <row r="200" ht="15.75" customHeight="1">
      <c r="A200" s="100"/>
      <c r="B200" s="100"/>
      <c r="C200" s="265"/>
      <c r="D200" s="100"/>
      <c r="E200" s="100"/>
      <c r="F200" s="100"/>
      <c r="G200" s="100"/>
      <c r="H200" s="100"/>
      <c r="I200" s="100"/>
      <c r="J200" s="100"/>
      <c r="K200" s="56"/>
      <c r="L200" s="56"/>
      <c r="M200" s="56"/>
    </row>
    <row r="201" ht="15.75" customHeight="1">
      <c r="A201" s="100"/>
      <c r="B201" s="100"/>
      <c r="C201" s="265"/>
      <c r="D201" s="100"/>
      <c r="E201" s="100"/>
      <c r="F201" s="100"/>
      <c r="G201" s="100"/>
      <c r="H201" s="100"/>
      <c r="I201" s="100"/>
      <c r="J201" s="100"/>
      <c r="K201" s="56"/>
      <c r="L201" s="56"/>
      <c r="M201" s="56"/>
    </row>
    <row r="202" ht="15.75" customHeight="1">
      <c r="A202" s="100"/>
      <c r="B202" s="100"/>
      <c r="C202" s="265"/>
      <c r="D202" s="100"/>
      <c r="E202" s="100"/>
      <c r="F202" s="100"/>
      <c r="G202" s="100"/>
      <c r="H202" s="100"/>
      <c r="I202" s="100"/>
      <c r="J202" s="100"/>
      <c r="K202" s="56"/>
      <c r="L202" s="56"/>
      <c r="M202" s="56"/>
    </row>
    <row r="203" ht="15.75" customHeight="1">
      <c r="A203" s="100"/>
      <c r="B203" s="100"/>
      <c r="C203" s="265"/>
      <c r="D203" s="100"/>
      <c r="E203" s="100"/>
      <c r="F203" s="100"/>
      <c r="G203" s="100"/>
      <c r="H203" s="100"/>
      <c r="I203" s="100"/>
      <c r="J203" s="100"/>
      <c r="K203" s="56"/>
      <c r="L203" s="56"/>
      <c r="M203" s="56"/>
    </row>
    <row r="204" ht="15.75" customHeight="1">
      <c r="A204" s="100"/>
      <c r="B204" s="100"/>
      <c r="C204" s="265"/>
      <c r="D204" s="100"/>
      <c r="E204" s="100"/>
      <c r="F204" s="100"/>
      <c r="G204" s="100"/>
      <c r="H204" s="100"/>
      <c r="I204" s="100"/>
      <c r="J204" s="100"/>
      <c r="K204" s="56"/>
      <c r="L204" s="56"/>
      <c r="M204" s="56"/>
    </row>
    <row r="205" ht="15.75" customHeight="1">
      <c r="A205" s="100"/>
      <c r="B205" s="100"/>
      <c r="C205" s="265"/>
      <c r="D205" s="100"/>
      <c r="E205" s="100"/>
      <c r="F205" s="100"/>
      <c r="G205" s="100"/>
      <c r="H205" s="100"/>
      <c r="I205" s="100"/>
      <c r="J205" s="100"/>
      <c r="K205" s="56"/>
      <c r="L205" s="56"/>
      <c r="M205" s="56"/>
    </row>
    <row r="206" ht="15.75" customHeight="1">
      <c r="A206" s="100"/>
      <c r="B206" s="100"/>
      <c r="C206" s="265"/>
      <c r="D206" s="100"/>
      <c r="E206" s="100"/>
      <c r="F206" s="100"/>
      <c r="G206" s="100"/>
      <c r="H206" s="100"/>
      <c r="I206" s="100"/>
      <c r="J206" s="100"/>
      <c r="K206" s="56"/>
      <c r="L206" s="56"/>
      <c r="M206" s="56"/>
    </row>
    <row r="207" ht="15.75" customHeight="1">
      <c r="A207" s="100"/>
      <c r="B207" s="100"/>
      <c r="C207" s="265"/>
      <c r="D207" s="100"/>
      <c r="E207" s="100"/>
      <c r="F207" s="100"/>
      <c r="G207" s="100"/>
      <c r="H207" s="100"/>
      <c r="I207" s="100"/>
      <c r="J207" s="100"/>
      <c r="K207" s="56"/>
      <c r="L207" s="56"/>
      <c r="M207" s="56"/>
    </row>
    <row r="208" ht="15.75" customHeight="1">
      <c r="A208" s="100"/>
      <c r="B208" s="100"/>
      <c r="C208" s="265"/>
      <c r="D208" s="100"/>
      <c r="E208" s="100"/>
      <c r="F208" s="100"/>
      <c r="G208" s="100"/>
      <c r="H208" s="100"/>
      <c r="I208" s="100"/>
      <c r="J208" s="100"/>
      <c r="K208" s="56"/>
      <c r="L208" s="56"/>
      <c r="M208" s="56"/>
    </row>
    <row r="209" ht="15.75" customHeight="1">
      <c r="A209" s="100"/>
      <c r="B209" s="100"/>
      <c r="C209" s="265"/>
      <c r="D209" s="100"/>
      <c r="E209" s="100"/>
      <c r="F209" s="100"/>
      <c r="G209" s="100"/>
      <c r="H209" s="100"/>
      <c r="I209" s="100"/>
      <c r="J209" s="100"/>
      <c r="K209" s="56"/>
      <c r="L209" s="56"/>
      <c r="M209" s="56"/>
    </row>
    <row r="210" ht="15.75" customHeight="1">
      <c r="A210" s="100"/>
      <c r="B210" s="100"/>
      <c r="C210" s="265"/>
      <c r="D210" s="100"/>
      <c r="E210" s="100"/>
      <c r="F210" s="100"/>
      <c r="G210" s="100"/>
      <c r="H210" s="100"/>
      <c r="I210" s="100"/>
      <c r="J210" s="100"/>
      <c r="K210" s="56"/>
      <c r="L210" s="56"/>
      <c r="M210" s="56"/>
    </row>
    <row r="211" ht="15.75" customHeight="1">
      <c r="A211" s="100"/>
      <c r="B211" s="100"/>
      <c r="C211" s="265"/>
      <c r="D211" s="100"/>
      <c r="E211" s="100"/>
      <c r="F211" s="100"/>
      <c r="G211" s="100"/>
      <c r="H211" s="100"/>
      <c r="I211" s="100"/>
      <c r="J211" s="100"/>
      <c r="K211" s="56"/>
      <c r="L211" s="56"/>
      <c r="M211" s="56"/>
    </row>
    <row r="212" ht="15.75" customHeight="1">
      <c r="A212" s="100"/>
      <c r="B212" s="100"/>
      <c r="C212" s="265"/>
      <c r="D212" s="100"/>
      <c r="E212" s="100"/>
      <c r="F212" s="100"/>
      <c r="G212" s="100"/>
      <c r="H212" s="100"/>
      <c r="I212" s="100"/>
      <c r="J212" s="100"/>
      <c r="K212" s="56"/>
      <c r="L212" s="56"/>
      <c r="M212" s="56"/>
    </row>
    <row r="213" ht="15.75" customHeight="1">
      <c r="A213" s="100"/>
      <c r="B213" s="100"/>
      <c r="C213" s="265"/>
      <c r="D213" s="100"/>
      <c r="E213" s="100"/>
      <c r="F213" s="100"/>
      <c r="G213" s="100"/>
      <c r="H213" s="100"/>
      <c r="I213" s="100"/>
      <c r="J213" s="100"/>
      <c r="K213" s="56"/>
      <c r="L213" s="56"/>
      <c r="M213" s="56"/>
    </row>
    <row r="214" ht="15.75" customHeight="1">
      <c r="A214" s="100"/>
      <c r="B214" s="100"/>
      <c r="C214" s="265"/>
      <c r="D214" s="100"/>
      <c r="E214" s="100"/>
      <c r="F214" s="100"/>
      <c r="G214" s="100"/>
      <c r="H214" s="100"/>
      <c r="I214" s="100"/>
      <c r="J214" s="100"/>
      <c r="K214" s="56"/>
      <c r="L214" s="56"/>
      <c r="M214" s="56"/>
    </row>
    <row r="215" ht="15.75" customHeight="1">
      <c r="A215" s="100"/>
      <c r="B215" s="100"/>
      <c r="C215" s="265"/>
      <c r="D215" s="100"/>
      <c r="E215" s="100"/>
      <c r="F215" s="100"/>
      <c r="G215" s="100"/>
      <c r="H215" s="100"/>
      <c r="I215" s="100"/>
      <c r="J215" s="100"/>
      <c r="K215" s="56"/>
      <c r="L215" s="56"/>
      <c r="M215" s="56"/>
    </row>
    <row r="216" ht="15.75" customHeight="1">
      <c r="A216" s="100"/>
      <c r="B216" s="100"/>
      <c r="C216" s="265"/>
      <c r="D216" s="100"/>
      <c r="E216" s="100"/>
      <c r="F216" s="100"/>
      <c r="G216" s="100"/>
      <c r="H216" s="100"/>
      <c r="I216" s="100"/>
      <c r="J216" s="100"/>
      <c r="K216" s="56"/>
      <c r="L216" s="56"/>
      <c r="M216" s="56"/>
    </row>
    <row r="217" ht="15.75" customHeight="1">
      <c r="A217" s="100"/>
      <c r="B217" s="100"/>
      <c r="C217" s="265"/>
      <c r="D217" s="100"/>
      <c r="E217" s="100"/>
      <c r="F217" s="100"/>
      <c r="G217" s="100"/>
      <c r="H217" s="100"/>
      <c r="I217" s="100"/>
      <c r="J217" s="100"/>
      <c r="K217" s="56"/>
      <c r="L217" s="56"/>
      <c r="M217" s="56"/>
    </row>
    <row r="218" ht="15.75" customHeight="1">
      <c r="A218" s="100"/>
      <c r="B218" s="100"/>
      <c r="C218" s="265"/>
      <c r="D218" s="100"/>
      <c r="E218" s="100"/>
      <c r="F218" s="100"/>
      <c r="G218" s="100"/>
      <c r="H218" s="100"/>
      <c r="I218" s="100"/>
      <c r="J218" s="100"/>
      <c r="K218" s="56"/>
      <c r="L218" s="56"/>
      <c r="M218" s="56"/>
    </row>
    <row r="219" ht="15.75" customHeight="1">
      <c r="A219" s="100"/>
      <c r="B219" s="100"/>
      <c r="C219" s="265"/>
      <c r="D219" s="100"/>
      <c r="E219" s="100"/>
      <c r="F219" s="100"/>
      <c r="G219" s="100"/>
      <c r="H219" s="100"/>
      <c r="I219" s="100"/>
      <c r="J219" s="100"/>
      <c r="K219" s="56"/>
      <c r="L219" s="56"/>
      <c r="M219" s="56"/>
    </row>
    <row r="220" ht="15.75" customHeight="1">
      <c r="A220" s="100"/>
      <c r="B220" s="100"/>
      <c r="C220" s="265"/>
      <c r="D220" s="100"/>
      <c r="E220" s="100"/>
      <c r="F220" s="100"/>
      <c r="G220" s="100"/>
      <c r="H220" s="100"/>
      <c r="I220" s="100"/>
      <c r="J220" s="100"/>
      <c r="K220" s="56"/>
      <c r="L220" s="56"/>
      <c r="M220" s="56"/>
    </row>
    <row r="221" ht="15.75" customHeight="1">
      <c r="A221" s="100"/>
      <c r="B221" s="100"/>
      <c r="C221" s="265"/>
      <c r="D221" s="100"/>
      <c r="E221" s="100"/>
      <c r="F221" s="100"/>
      <c r="G221" s="100"/>
      <c r="H221" s="100"/>
      <c r="I221" s="100"/>
      <c r="J221" s="100"/>
      <c r="K221" s="56"/>
      <c r="L221" s="56"/>
      <c r="M221" s="56"/>
    </row>
    <row r="222" ht="15.75" customHeight="1">
      <c r="A222" s="100"/>
      <c r="B222" s="100"/>
      <c r="C222" s="265"/>
      <c r="D222" s="100"/>
      <c r="E222" s="100"/>
      <c r="F222" s="100"/>
      <c r="G222" s="100"/>
      <c r="H222" s="100"/>
      <c r="I222" s="100"/>
      <c r="J222" s="100"/>
      <c r="K222" s="56"/>
      <c r="L222" s="56"/>
      <c r="M222" s="56"/>
    </row>
    <row r="223" ht="15.75" customHeight="1">
      <c r="A223" s="100"/>
      <c r="B223" s="100"/>
      <c r="C223" s="265"/>
      <c r="D223" s="100"/>
      <c r="E223" s="100"/>
      <c r="F223" s="100"/>
      <c r="G223" s="100"/>
      <c r="H223" s="100"/>
      <c r="I223" s="100"/>
      <c r="J223" s="100"/>
      <c r="K223" s="56"/>
      <c r="L223" s="56"/>
      <c r="M223" s="56"/>
    </row>
    <row r="224" ht="15.75" customHeight="1">
      <c r="A224" s="100"/>
      <c r="B224" s="100"/>
      <c r="C224" s="265"/>
      <c r="D224" s="100"/>
      <c r="E224" s="100"/>
      <c r="F224" s="100"/>
      <c r="G224" s="100"/>
      <c r="H224" s="100"/>
      <c r="I224" s="100"/>
      <c r="J224" s="100"/>
      <c r="K224" s="56"/>
      <c r="L224" s="56"/>
      <c r="M224" s="56"/>
    </row>
    <row r="225" ht="15.75" customHeight="1">
      <c r="A225" s="100"/>
      <c r="B225" s="100"/>
      <c r="C225" s="265"/>
      <c r="D225" s="100"/>
      <c r="E225" s="100"/>
      <c r="F225" s="100"/>
      <c r="G225" s="100"/>
      <c r="H225" s="100"/>
      <c r="I225" s="100"/>
      <c r="J225" s="100"/>
      <c r="K225" s="56"/>
      <c r="L225" s="56"/>
      <c r="M225" s="56"/>
    </row>
    <row r="226" ht="15.75" customHeight="1">
      <c r="A226" s="100"/>
      <c r="B226" s="100"/>
      <c r="C226" s="265"/>
      <c r="D226" s="100"/>
      <c r="E226" s="100"/>
      <c r="F226" s="100"/>
      <c r="G226" s="100"/>
      <c r="H226" s="100"/>
      <c r="I226" s="100"/>
      <c r="J226" s="100"/>
      <c r="K226" s="56"/>
      <c r="L226" s="56"/>
      <c r="M226" s="56"/>
    </row>
    <row r="227" ht="15.75" customHeight="1">
      <c r="A227" s="100"/>
      <c r="B227" s="100"/>
      <c r="C227" s="265"/>
      <c r="D227" s="100"/>
      <c r="E227" s="100"/>
      <c r="F227" s="100"/>
      <c r="G227" s="100"/>
      <c r="H227" s="100"/>
      <c r="I227" s="100"/>
      <c r="J227" s="100"/>
      <c r="K227" s="56"/>
      <c r="L227" s="56"/>
      <c r="M227" s="56"/>
    </row>
    <row r="228" ht="15.75" customHeight="1">
      <c r="A228" s="100"/>
      <c r="B228" s="100"/>
      <c r="C228" s="265"/>
      <c r="D228" s="100"/>
      <c r="E228" s="100"/>
      <c r="F228" s="100"/>
      <c r="G228" s="100"/>
      <c r="H228" s="100"/>
      <c r="I228" s="100"/>
      <c r="J228" s="100"/>
      <c r="K228" s="56"/>
      <c r="L228" s="56"/>
      <c r="M228" s="56"/>
    </row>
    <row r="229" ht="15.75" customHeight="1">
      <c r="A229" s="100"/>
      <c r="B229" s="100"/>
      <c r="C229" s="265"/>
      <c r="D229" s="100"/>
      <c r="E229" s="100"/>
      <c r="F229" s="100"/>
      <c r="G229" s="100"/>
      <c r="H229" s="100"/>
      <c r="I229" s="100"/>
      <c r="J229" s="100"/>
      <c r="K229" s="56"/>
      <c r="L229" s="56"/>
      <c r="M229" s="56"/>
    </row>
    <row r="230" ht="15.75" customHeight="1">
      <c r="A230" s="100"/>
      <c r="B230" s="100"/>
      <c r="C230" s="265"/>
      <c r="D230" s="100"/>
      <c r="E230" s="100"/>
      <c r="F230" s="100"/>
      <c r="G230" s="100"/>
      <c r="H230" s="100"/>
      <c r="I230" s="100"/>
      <c r="J230" s="100"/>
      <c r="K230" s="56"/>
      <c r="L230" s="56"/>
      <c r="M230" s="56"/>
    </row>
    <row r="231" ht="15.75" customHeight="1">
      <c r="A231" s="100"/>
      <c r="B231" s="100"/>
      <c r="C231" s="265"/>
      <c r="D231" s="100"/>
      <c r="E231" s="100"/>
      <c r="F231" s="100"/>
      <c r="G231" s="100"/>
      <c r="H231" s="100"/>
      <c r="I231" s="100"/>
      <c r="J231" s="100"/>
      <c r="K231" s="56"/>
      <c r="L231" s="56"/>
      <c r="M231" s="56"/>
    </row>
    <row r="232" ht="15.75" customHeight="1">
      <c r="A232" s="100"/>
      <c r="B232" s="100"/>
      <c r="C232" s="265"/>
      <c r="D232" s="100"/>
      <c r="E232" s="100"/>
      <c r="F232" s="100"/>
      <c r="G232" s="100"/>
      <c r="H232" s="100"/>
      <c r="I232" s="100"/>
      <c r="J232" s="100"/>
      <c r="K232" s="56"/>
      <c r="L232" s="56"/>
      <c r="M232" s="56"/>
    </row>
    <row r="233" ht="15.75" customHeight="1">
      <c r="A233" s="100"/>
      <c r="B233" s="100"/>
      <c r="C233" s="265"/>
      <c r="D233" s="100"/>
      <c r="E233" s="100"/>
      <c r="F233" s="100"/>
      <c r="G233" s="100"/>
      <c r="H233" s="100"/>
      <c r="I233" s="100"/>
      <c r="J233" s="100"/>
      <c r="K233" s="56"/>
      <c r="L233" s="56"/>
      <c r="M233" s="56"/>
    </row>
    <row r="234" ht="15.75" customHeight="1">
      <c r="A234" s="100"/>
      <c r="B234" s="100"/>
      <c r="C234" s="265"/>
      <c r="D234" s="100"/>
      <c r="E234" s="100"/>
      <c r="F234" s="100"/>
      <c r="G234" s="100"/>
      <c r="H234" s="100"/>
      <c r="I234" s="100"/>
      <c r="J234" s="100"/>
      <c r="K234" s="56"/>
      <c r="L234" s="56"/>
      <c r="M234" s="56"/>
    </row>
    <row r="235" ht="15.75" customHeight="1">
      <c r="A235" s="100"/>
      <c r="B235" s="100"/>
      <c r="C235" s="265"/>
      <c r="D235" s="100"/>
      <c r="E235" s="100"/>
      <c r="F235" s="100"/>
      <c r="G235" s="100"/>
      <c r="H235" s="100"/>
      <c r="I235" s="100"/>
      <c r="J235" s="100"/>
      <c r="K235" s="56"/>
      <c r="L235" s="56"/>
      <c r="M235" s="56"/>
    </row>
    <row r="236" ht="15.75" customHeight="1">
      <c r="A236" s="100"/>
      <c r="B236" s="100"/>
      <c r="C236" s="265"/>
      <c r="D236" s="100"/>
      <c r="E236" s="100"/>
      <c r="F236" s="100"/>
      <c r="G236" s="100"/>
      <c r="H236" s="100"/>
      <c r="I236" s="100"/>
      <c r="J236" s="100"/>
      <c r="K236" s="56"/>
      <c r="L236" s="56"/>
      <c r="M236" s="56"/>
    </row>
    <row r="237" ht="15.75" customHeight="1">
      <c r="A237" s="100"/>
      <c r="B237" s="100"/>
      <c r="C237" s="265"/>
      <c r="D237" s="100"/>
      <c r="E237" s="100"/>
      <c r="F237" s="100"/>
      <c r="G237" s="100"/>
      <c r="H237" s="100"/>
      <c r="I237" s="100"/>
      <c r="J237" s="100"/>
      <c r="K237" s="56"/>
      <c r="L237" s="56"/>
      <c r="M237" s="56"/>
    </row>
    <row r="238" ht="15.75" customHeight="1">
      <c r="A238" s="100"/>
      <c r="B238" s="100"/>
      <c r="C238" s="265"/>
      <c r="D238" s="100"/>
      <c r="E238" s="100"/>
      <c r="F238" s="100"/>
      <c r="G238" s="100"/>
      <c r="H238" s="100"/>
      <c r="I238" s="100"/>
      <c r="J238" s="100"/>
      <c r="K238" s="56"/>
      <c r="L238" s="56"/>
      <c r="M238" s="56"/>
    </row>
    <row r="239" ht="15.75" customHeight="1">
      <c r="A239" s="100"/>
      <c r="B239" s="100"/>
      <c r="C239" s="265"/>
      <c r="D239" s="100"/>
      <c r="E239" s="100"/>
      <c r="F239" s="100"/>
      <c r="G239" s="100"/>
      <c r="H239" s="100"/>
      <c r="I239" s="100"/>
      <c r="J239" s="100"/>
      <c r="K239" s="56"/>
      <c r="L239" s="56"/>
      <c r="M239" s="56"/>
    </row>
    <row r="240" ht="15.75" customHeight="1">
      <c r="A240" s="100"/>
      <c r="B240" s="100"/>
      <c r="C240" s="265"/>
      <c r="D240" s="100"/>
      <c r="E240" s="100"/>
      <c r="F240" s="100"/>
      <c r="G240" s="100"/>
      <c r="H240" s="100"/>
      <c r="I240" s="100"/>
      <c r="J240" s="100"/>
      <c r="K240" s="56"/>
      <c r="L240" s="56"/>
      <c r="M240" s="56"/>
    </row>
    <row r="241" ht="15.75" customHeight="1">
      <c r="A241" s="56"/>
      <c r="B241" s="56"/>
      <c r="C241" s="265"/>
      <c r="D241" s="56"/>
      <c r="E241" s="56"/>
      <c r="F241" s="56"/>
      <c r="G241" s="56"/>
      <c r="H241" s="56"/>
      <c r="I241" s="56"/>
      <c r="J241" s="56"/>
      <c r="K241" s="56"/>
      <c r="L241" s="56"/>
      <c r="M241" s="56"/>
    </row>
    <row r="242" ht="15.75" customHeight="1">
      <c r="A242" s="56"/>
      <c r="B242" s="56"/>
      <c r="C242" s="265"/>
      <c r="D242" s="56"/>
      <c r="E242" s="56"/>
      <c r="F242" s="56"/>
      <c r="G242" s="56"/>
      <c r="H242" s="56"/>
      <c r="I242" s="56"/>
      <c r="J242" s="56"/>
      <c r="K242" s="56"/>
      <c r="L242" s="56"/>
      <c r="M242" s="56"/>
    </row>
    <row r="243" ht="15.75" customHeight="1">
      <c r="A243" s="56"/>
      <c r="B243" s="56"/>
      <c r="C243" s="265"/>
      <c r="D243" s="56"/>
      <c r="E243" s="56"/>
      <c r="F243" s="56"/>
      <c r="G243" s="56"/>
      <c r="H243" s="56"/>
      <c r="I243" s="56"/>
      <c r="J243" s="56"/>
      <c r="K243" s="56"/>
      <c r="L243" s="56"/>
      <c r="M243" s="56"/>
    </row>
    <row r="244" ht="15.75" customHeight="1">
      <c r="A244" s="56"/>
      <c r="B244" s="56"/>
      <c r="C244" s="265"/>
      <c r="D244" s="56"/>
      <c r="E244" s="56"/>
      <c r="F244" s="56"/>
      <c r="G244" s="56"/>
      <c r="H244" s="56"/>
      <c r="I244" s="56"/>
      <c r="J244" s="56"/>
      <c r="K244" s="56"/>
      <c r="L244" s="56"/>
      <c r="M244" s="56"/>
    </row>
    <row r="245" ht="15.75" customHeight="1">
      <c r="A245" s="56"/>
      <c r="B245" s="56"/>
      <c r="C245" s="265"/>
      <c r="D245" s="56"/>
      <c r="E245" s="56"/>
      <c r="F245" s="56"/>
      <c r="G245" s="56"/>
      <c r="H245" s="56"/>
      <c r="I245" s="56"/>
      <c r="J245" s="56"/>
      <c r="K245" s="56"/>
      <c r="L245" s="56"/>
      <c r="M245" s="56"/>
    </row>
    <row r="246" ht="15.75" customHeight="1">
      <c r="A246" s="56"/>
      <c r="B246" s="56"/>
      <c r="C246" s="265"/>
      <c r="D246" s="56"/>
      <c r="E246" s="56"/>
      <c r="F246" s="56"/>
      <c r="G246" s="56"/>
      <c r="H246" s="56"/>
      <c r="I246" s="56"/>
      <c r="J246" s="56"/>
      <c r="K246" s="56"/>
      <c r="L246" s="56"/>
      <c r="M246" s="56"/>
    </row>
    <row r="247" ht="15.75" customHeight="1">
      <c r="A247" s="56"/>
      <c r="B247" s="56"/>
      <c r="C247" s="265"/>
      <c r="D247" s="56"/>
      <c r="E247" s="56"/>
      <c r="F247" s="56"/>
      <c r="G247" s="56"/>
      <c r="H247" s="56"/>
      <c r="I247" s="56"/>
      <c r="J247" s="56"/>
      <c r="K247" s="56"/>
      <c r="L247" s="56"/>
      <c r="M247" s="56"/>
    </row>
    <row r="248" ht="15.75" customHeight="1">
      <c r="A248" s="56"/>
      <c r="B248" s="56"/>
      <c r="C248" s="265"/>
      <c r="D248" s="56"/>
      <c r="E248" s="56"/>
      <c r="F248" s="56"/>
      <c r="G248" s="56"/>
      <c r="H248" s="56"/>
      <c r="I248" s="56"/>
      <c r="J248" s="56"/>
      <c r="K248" s="56"/>
      <c r="L248" s="56"/>
      <c r="M248" s="56"/>
    </row>
    <row r="249" ht="15.75" customHeight="1">
      <c r="A249" s="56"/>
      <c r="B249" s="56"/>
      <c r="C249" s="265"/>
      <c r="D249" s="56"/>
      <c r="E249" s="56"/>
      <c r="F249" s="56"/>
      <c r="G249" s="56"/>
      <c r="H249" s="56"/>
      <c r="I249" s="56"/>
      <c r="J249" s="56"/>
      <c r="K249" s="56"/>
      <c r="L249" s="56"/>
      <c r="M249" s="56"/>
    </row>
    <row r="250" ht="15.75" customHeight="1">
      <c r="A250" s="56"/>
      <c r="B250" s="56"/>
      <c r="C250" s="265"/>
      <c r="D250" s="56"/>
      <c r="E250" s="56"/>
      <c r="F250" s="56"/>
      <c r="G250" s="56"/>
      <c r="H250" s="56"/>
      <c r="I250" s="56"/>
      <c r="J250" s="56"/>
      <c r="K250" s="56"/>
      <c r="L250" s="56"/>
      <c r="M250" s="56"/>
    </row>
    <row r="251" ht="15.75" customHeight="1">
      <c r="A251" s="56"/>
      <c r="B251" s="56"/>
      <c r="C251" s="265"/>
      <c r="D251" s="56"/>
      <c r="E251" s="56"/>
      <c r="F251" s="56"/>
      <c r="G251" s="56"/>
      <c r="H251" s="56"/>
      <c r="I251" s="56"/>
      <c r="J251" s="56"/>
      <c r="K251" s="56"/>
      <c r="L251" s="56"/>
      <c r="M251" s="56"/>
    </row>
    <row r="252" ht="15.75" customHeight="1">
      <c r="A252" s="56"/>
      <c r="B252" s="56"/>
      <c r="C252" s="265"/>
      <c r="D252" s="56"/>
      <c r="E252" s="56"/>
      <c r="F252" s="56"/>
      <c r="G252" s="56"/>
      <c r="H252" s="56"/>
      <c r="I252" s="56"/>
      <c r="J252" s="56"/>
      <c r="K252" s="56"/>
      <c r="L252" s="56"/>
      <c r="M252" s="56"/>
    </row>
    <row r="253" ht="15.75" customHeight="1">
      <c r="A253" s="56"/>
      <c r="B253" s="56"/>
      <c r="C253" s="265"/>
      <c r="D253" s="56"/>
      <c r="E253" s="56"/>
      <c r="F253" s="56"/>
      <c r="G253" s="56"/>
      <c r="H253" s="56"/>
      <c r="I253" s="56"/>
      <c r="J253" s="56"/>
      <c r="K253" s="56"/>
      <c r="L253" s="56"/>
      <c r="M253" s="56"/>
    </row>
    <row r="254" ht="15.75" customHeight="1">
      <c r="A254" s="56"/>
      <c r="B254" s="56"/>
      <c r="C254" s="265"/>
      <c r="D254" s="56"/>
      <c r="E254" s="56"/>
      <c r="F254" s="56"/>
      <c r="G254" s="56"/>
      <c r="H254" s="56"/>
      <c r="I254" s="56"/>
      <c r="J254" s="56"/>
      <c r="K254" s="56"/>
      <c r="L254" s="56"/>
      <c r="M254" s="56"/>
    </row>
    <row r="255" ht="15.75" customHeight="1">
      <c r="A255" s="56"/>
      <c r="B255" s="56"/>
      <c r="C255" s="265"/>
      <c r="D255" s="56"/>
      <c r="E255" s="56"/>
      <c r="F255" s="56"/>
      <c r="G255" s="56"/>
      <c r="H255" s="56"/>
      <c r="I255" s="56"/>
      <c r="J255" s="56"/>
      <c r="K255" s="56"/>
      <c r="L255" s="56"/>
      <c r="M255" s="56"/>
    </row>
    <row r="256" ht="15.75" customHeight="1">
      <c r="A256" s="56"/>
      <c r="B256" s="56"/>
      <c r="C256" s="265"/>
      <c r="D256" s="56"/>
      <c r="E256" s="56"/>
      <c r="F256" s="56"/>
      <c r="G256" s="56"/>
      <c r="H256" s="56"/>
      <c r="I256" s="56"/>
      <c r="J256" s="56"/>
      <c r="K256" s="56"/>
      <c r="L256" s="56"/>
      <c r="M256" s="56"/>
    </row>
    <row r="257" ht="15.75" customHeight="1">
      <c r="A257" s="56"/>
      <c r="B257" s="56"/>
      <c r="C257" s="265"/>
      <c r="D257" s="56"/>
      <c r="E257" s="56"/>
      <c r="F257" s="56"/>
      <c r="G257" s="56"/>
      <c r="H257" s="56"/>
      <c r="I257" s="56"/>
      <c r="J257" s="56"/>
      <c r="K257" s="56"/>
      <c r="L257" s="56"/>
      <c r="M257" s="56"/>
    </row>
    <row r="258" ht="15.75" customHeight="1">
      <c r="A258" s="56"/>
      <c r="B258" s="56"/>
      <c r="C258" s="265"/>
      <c r="D258" s="56"/>
      <c r="E258" s="56"/>
      <c r="F258" s="56"/>
      <c r="G258" s="56"/>
      <c r="H258" s="56"/>
      <c r="I258" s="56"/>
      <c r="J258" s="56"/>
      <c r="K258" s="56"/>
      <c r="L258" s="56"/>
      <c r="M258" s="56"/>
    </row>
    <row r="259" ht="15.75" customHeight="1">
      <c r="A259" s="56"/>
      <c r="B259" s="56"/>
      <c r="C259" s="265"/>
      <c r="D259" s="56"/>
      <c r="E259" s="56"/>
      <c r="F259" s="56"/>
      <c r="G259" s="56"/>
      <c r="H259" s="56"/>
      <c r="I259" s="56"/>
      <c r="J259" s="56"/>
      <c r="K259" s="56"/>
      <c r="L259" s="56"/>
      <c r="M259" s="56"/>
    </row>
    <row r="260" ht="15.75" customHeight="1">
      <c r="A260" s="56"/>
      <c r="B260" s="56"/>
      <c r="C260" s="265"/>
      <c r="D260" s="56"/>
      <c r="E260" s="56"/>
      <c r="F260" s="56"/>
      <c r="G260" s="56"/>
      <c r="H260" s="56"/>
      <c r="I260" s="56"/>
      <c r="J260" s="56"/>
      <c r="K260" s="56"/>
      <c r="L260" s="56"/>
      <c r="M260" s="56"/>
    </row>
    <row r="261" ht="15.75" customHeight="1">
      <c r="A261" s="56"/>
      <c r="B261" s="56"/>
      <c r="C261" s="265"/>
      <c r="D261" s="56"/>
      <c r="E261" s="56"/>
      <c r="F261" s="56"/>
      <c r="G261" s="56"/>
      <c r="H261" s="56"/>
      <c r="I261" s="56"/>
      <c r="J261" s="56"/>
      <c r="K261" s="56"/>
      <c r="L261" s="56"/>
      <c r="M261" s="56"/>
    </row>
    <row r="262" ht="15.75" customHeight="1">
      <c r="A262" s="56"/>
      <c r="B262" s="56"/>
      <c r="C262" s="265"/>
      <c r="D262" s="56"/>
      <c r="E262" s="56"/>
      <c r="F262" s="56"/>
      <c r="G262" s="56"/>
      <c r="H262" s="56"/>
      <c r="I262" s="56"/>
      <c r="J262" s="56"/>
      <c r="K262" s="56"/>
      <c r="L262" s="56"/>
      <c r="M262" s="56"/>
    </row>
    <row r="263" ht="15.75" customHeight="1">
      <c r="A263" s="56"/>
      <c r="B263" s="56"/>
      <c r="C263" s="265"/>
      <c r="D263" s="56"/>
      <c r="E263" s="56"/>
      <c r="F263" s="56"/>
      <c r="G263" s="56"/>
      <c r="H263" s="56"/>
      <c r="I263" s="56"/>
      <c r="J263" s="56"/>
      <c r="K263" s="56"/>
      <c r="L263" s="56"/>
      <c r="M263" s="56"/>
    </row>
    <row r="264" ht="15.75" customHeight="1">
      <c r="A264" s="56"/>
      <c r="B264" s="56"/>
      <c r="C264" s="265"/>
      <c r="D264" s="56"/>
      <c r="E264" s="56"/>
      <c r="F264" s="56"/>
      <c r="G264" s="56"/>
      <c r="H264" s="56"/>
      <c r="I264" s="56"/>
      <c r="J264" s="56"/>
      <c r="K264" s="56"/>
      <c r="L264" s="56"/>
      <c r="M264" s="56"/>
    </row>
    <row r="265" ht="15.75" customHeight="1">
      <c r="A265" s="56"/>
      <c r="B265" s="56"/>
      <c r="C265" s="265"/>
      <c r="D265" s="56"/>
      <c r="E265" s="56"/>
      <c r="F265" s="56"/>
      <c r="G265" s="56"/>
      <c r="H265" s="56"/>
      <c r="I265" s="56"/>
      <c r="J265" s="56"/>
      <c r="K265" s="56"/>
      <c r="L265" s="56"/>
      <c r="M265" s="56"/>
    </row>
    <row r="266" ht="15.75" customHeight="1">
      <c r="A266" s="56"/>
      <c r="B266" s="56"/>
      <c r="C266" s="265"/>
      <c r="D266" s="56"/>
      <c r="E266" s="56"/>
      <c r="F266" s="56"/>
      <c r="G266" s="56"/>
      <c r="H266" s="56"/>
      <c r="I266" s="56"/>
      <c r="J266" s="56"/>
      <c r="K266" s="56"/>
      <c r="L266" s="56"/>
      <c r="M266" s="56"/>
    </row>
    <row r="267" ht="15.75" customHeight="1">
      <c r="A267" s="56"/>
      <c r="B267" s="56"/>
      <c r="C267" s="265"/>
      <c r="D267" s="56"/>
      <c r="E267" s="56"/>
      <c r="F267" s="56"/>
      <c r="G267" s="56"/>
      <c r="H267" s="56"/>
      <c r="I267" s="56"/>
      <c r="J267" s="56"/>
      <c r="K267" s="56"/>
      <c r="L267" s="56"/>
      <c r="M267" s="56"/>
    </row>
    <row r="268" ht="15.75" customHeight="1">
      <c r="A268" s="56"/>
      <c r="B268" s="56"/>
      <c r="C268" s="265"/>
      <c r="D268" s="56"/>
      <c r="E268" s="56"/>
      <c r="F268" s="56"/>
      <c r="G268" s="56"/>
      <c r="H268" s="56"/>
      <c r="I268" s="56"/>
      <c r="J268" s="56"/>
      <c r="K268" s="56"/>
      <c r="L268" s="56"/>
      <c r="M268" s="56"/>
    </row>
    <row r="269" ht="15.75" customHeight="1">
      <c r="A269" s="56"/>
      <c r="B269" s="56"/>
      <c r="C269" s="265"/>
      <c r="D269" s="56"/>
      <c r="E269" s="56"/>
      <c r="F269" s="56"/>
      <c r="G269" s="56"/>
      <c r="H269" s="56"/>
      <c r="I269" s="56"/>
      <c r="J269" s="56"/>
      <c r="K269" s="56"/>
      <c r="L269" s="56"/>
      <c r="M269" s="56"/>
    </row>
    <row r="270" ht="15.75" customHeight="1">
      <c r="A270" s="56"/>
      <c r="B270" s="56"/>
      <c r="C270" s="265"/>
      <c r="D270" s="56"/>
      <c r="E270" s="56"/>
      <c r="F270" s="56"/>
      <c r="G270" s="56"/>
      <c r="H270" s="56"/>
      <c r="I270" s="56"/>
      <c r="J270" s="56"/>
      <c r="K270" s="56"/>
      <c r="L270" s="56"/>
      <c r="M270" s="56"/>
    </row>
    <row r="271" ht="15.75" customHeight="1">
      <c r="A271" s="56"/>
      <c r="B271" s="56"/>
      <c r="C271" s="265"/>
      <c r="D271" s="56"/>
      <c r="E271" s="56"/>
      <c r="F271" s="56"/>
      <c r="G271" s="56"/>
      <c r="H271" s="56"/>
      <c r="I271" s="56"/>
      <c r="J271" s="56"/>
      <c r="K271" s="56"/>
      <c r="L271" s="56"/>
      <c r="M271" s="56"/>
    </row>
    <row r="272" ht="15.75" customHeight="1">
      <c r="A272" s="56"/>
      <c r="B272" s="56"/>
      <c r="C272" s="265"/>
      <c r="D272" s="56"/>
      <c r="E272" s="56"/>
      <c r="F272" s="56"/>
      <c r="G272" s="56"/>
      <c r="H272" s="56"/>
      <c r="I272" s="56"/>
      <c r="J272" s="56"/>
      <c r="K272" s="56"/>
      <c r="L272" s="56"/>
      <c r="M272" s="56"/>
    </row>
    <row r="273" ht="15.75" customHeight="1">
      <c r="A273" s="56"/>
      <c r="B273" s="56"/>
      <c r="C273" s="265"/>
      <c r="D273" s="56"/>
      <c r="E273" s="56"/>
      <c r="F273" s="56"/>
      <c r="G273" s="56"/>
      <c r="H273" s="56"/>
      <c r="I273" s="56"/>
      <c r="J273" s="56"/>
      <c r="K273" s="56"/>
      <c r="L273" s="56"/>
      <c r="M273" s="56"/>
    </row>
    <row r="274" ht="15.75" customHeight="1">
      <c r="A274" s="56"/>
      <c r="B274" s="56"/>
      <c r="C274" s="265"/>
      <c r="D274" s="56"/>
      <c r="E274" s="56"/>
      <c r="F274" s="56"/>
      <c r="G274" s="56"/>
      <c r="H274" s="56"/>
      <c r="I274" s="56"/>
      <c r="J274" s="56"/>
      <c r="K274" s="56"/>
      <c r="L274" s="56"/>
      <c r="M274" s="56"/>
    </row>
    <row r="275" ht="15.75" customHeight="1">
      <c r="A275" s="56"/>
      <c r="B275" s="56"/>
      <c r="C275" s="265"/>
      <c r="D275" s="56"/>
      <c r="E275" s="56"/>
      <c r="F275" s="56"/>
      <c r="G275" s="56"/>
      <c r="H275" s="56"/>
      <c r="I275" s="56"/>
      <c r="J275" s="56"/>
      <c r="K275" s="56"/>
      <c r="L275" s="56"/>
      <c r="M275" s="56"/>
    </row>
    <row r="276" ht="15.75" customHeight="1">
      <c r="A276" s="56"/>
      <c r="B276" s="56"/>
      <c r="C276" s="265"/>
      <c r="D276" s="56"/>
      <c r="E276" s="56"/>
      <c r="F276" s="56"/>
      <c r="G276" s="56"/>
      <c r="H276" s="56"/>
      <c r="I276" s="56"/>
      <c r="J276" s="56"/>
      <c r="K276" s="56"/>
      <c r="L276" s="56"/>
      <c r="M276" s="56"/>
    </row>
    <row r="277" ht="15.75" customHeight="1">
      <c r="A277" s="56"/>
      <c r="B277" s="56"/>
      <c r="C277" s="265"/>
      <c r="D277" s="56"/>
      <c r="E277" s="56"/>
      <c r="F277" s="56"/>
      <c r="G277" s="56"/>
      <c r="H277" s="56"/>
      <c r="I277" s="56"/>
      <c r="J277" s="56"/>
      <c r="K277" s="56"/>
      <c r="L277" s="56"/>
      <c r="M277" s="56"/>
    </row>
    <row r="278" ht="15.75" customHeight="1">
      <c r="A278" s="56"/>
      <c r="B278" s="56"/>
      <c r="C278" s="265"/>
      <c r="D278" s="56"/>
      <c r="E278" s="56"/>
      <c r="F278" s="56"/>
      <c r="G278" s="56"/>
      <c r="H278" s="56"/>
      <c r="I278" s="56"/>
      <c r="J278" s="56"/>
      <c r="K278" s="56"/>
      <c r="L278" s="56"/>
      <c r="M278" s="56"/>
    </row>
    <row r="279" ht="15.75" customHeight="1">
      <c r="A279" s="56"/>
      <c r="B279" s="56"/>
      <c r="C279" s="265"/>
      <c r="D279" s="56"/>
      <c r="E279" s="56"/>
      <c r="F279" s="56"/>
      <c r="G279" s="56"/>
      <c r="H279" s="56"/>
      <c r="I279" s="56"/>
      <c r="J279" s="56"/>
      <c r="K279" s="56"/>
      <c r="L279" s="56"/>
      <c r="M279" s="56"/>
    </row>
    <row r="280" ht="15.75" customHeight="1">
      <c r="A280" s="56"/>
      <c r="B280" s="56"/>
      <c r="C280" s="265"/>
      <c r="D280" s="56"/>
      <c r="E280" s="56"/>
      <c r="F280" s="56"/>
      <c r="G280" s="56"/>
      <c r="H280" s="56"/>
      <c r="I280" s="56"/>
      <c r="J280" s="56"/>
      <c r="K280" s="56"/>
      <c r="L280" s="56"/>
      <c r="M280" s="56"/>
    </row>
    <row r="281" ht="15.75" customHeight="1">
      <c r="A281" s="56"/>
      <c r="B281" s="56"/>
      <c r="C281" s="265"/>
      <c r="D281" s="56"/>
      <c r="E281" s="56"/>
      <c r="F281" s="56"/>
      <c r="G281" s="56"/>
      <c r="H281" s="56"/>
      <c r="I281" s="56"/>
      <c r="J281" s="56"/>
      <c r="K281" s="56"/>
      <c r="L281" s="56"/>
      <c r="M281" s="56"/>
    </row>
    <row r="282" ht="15.75" customHeight="1">
      <c r="A282" s="56"/>
      <c r="B282" s="56"/>
      <c r="C282" s="265"/>
      <c r="D282" s="56"/>
      <c r="E282" s="56"/>
      <c r="F282" s="56"/>
      <c r="G282" s="56"/>
      <c r="H282" s="56"/>
      <c r="I282" s="56"/>
      <c r="J282" s="56"/>
      <c r="K282" s="56"/>
      <c r="L282" s="56"/>
      <c r="M282" s="56"/>
    </row>
    <row r="283" ht="15.75" customHeight="1">
      <c r="A283" s="56"/>
      <c r="B283" s="56"/>
      <c r="C283" s="265"/>
      <c r="D283" s="56"/>
      <c r="E283" s="56"/>
      <c r="F283" s="56"/>
      <c r="G283" s="56"/>
      <c r="H283" s="56"/>
      <c r="I283" s="56"/>
      <c r="J283" s="56"/>
      <c r="K283" s="56"/>
      <c r="L283" s="56"/>
      <c r="M283" s="56"/>
    </row>
    <row r="284" ht="15.75" customHeight="1">
      <c r="A284" s="56"/>
      <c r="B284" s="56"/>
      <c r="C284" s="265"/>
      <c r="D284" s="56"/>
      <c r="E284" s="56"/>
      <c r="F284" s="56"/>
      <c r="G284" s="56"/>
      <c r="H284" s="56"/>
      <c r="I284" s="56"/>
      <c r="J284" s="56"/>
      <c r="K284" s="56"/>
      <c r="L284" s="56"/>
      <c r="M284" s="56"/>
    </row>
    <row r="285" ht="15.75" customHeight="1">
      <c r="A285" s="56"/>
      <c r="B285" s="56"/>
      <c r="C285" s="265"/>
      <c r="D285" s="56"/>
      <c r="E285" s="56"/>
      <c r="F285" s="56"/>
      <c r="G285" s="56"/>
      <c r="H285" s="56"/>
      <c r="I285" s="56"/>
      <c r="J285" s="56"/>
      <c r="K285" s="56"/>
      <c r="L285" s="56"/>
      <c r="M285" s="56"/>
    </row>
    <row r="286" ht="15.75" customHeight="1">
      <c r="A286" s="56"/>
      <c r="B286" s="56"/>
      <c r="C286" s="265"/>
      <c r="D286" s="56"/>
      <c r="E286" s="56"/>
      <c r="F286" s="56"/>
      <c r="G286" s="56"/>
      <c r="H286" s="56"/>
      <c r="I286" s="56"/>
      <c r="J286" s="56"/>
      <c r="K286" s="56"/>
      <c r="L286" s="56"/>
      <c r="M286" s="56"/>
    </row>
    <row r="287" ht="15.75" customHeight="1">
      <c r="A287" s="56"/>
      <c r="B287" s="56"/>
      <c r="C287" s="265"/>
      <c r="D287" s="56"/>
      <c r="E287" s="56"/>
      <c r="F287" s="56"/>
      <c r="G287" s="56"/>
      <c r="H287" s="56"/>
      <c r="I287" s="56"/>
      <c r="J287" s="56"/>
      <c r="K287" s="56"/>
      <c r="L287" s="56"/>
      <c r="M287" s="56"/>
    </row>
    <row r="288" ht="15.75" customHeight="1">
      <c r="A288" s="56"/>
      <c r="B288" s="56"/>
      <c r="C288" s="265"/>
      <c r="D288" s="56"/>
      <c r="E288" s="56"/>
      <c r="F288" s="56"/>
      <c r="G288" s="56"/>
      <c r="H288" s="56"/>
      <c r="I288" s="56"/>
      <c r="J288" s="56"/>
      <c r="K288" s="56"/>
      <c r="L288" s="56"/>
      <c r="M288" s="56"/>
    </row>
    <row r="289" ht="15.75" customHeight="1">
      <c r="A289" s="56"/>
      <c r="B289" s="56"/>
      <c r="C289" s="265"/>
      <c r="D289" s="56"/>
      <c r="E289" s="56"/>
      <c r="F289" s="56"/>
      <c r="G289" s="56"/>
      <c r="H289" s="56"/>
      <c r="I289" s="56"/>
      <c r="J289" s="56"/>
      <c r="K289" s="56"/>
      <c r="L289" s="56"/>
      <c r="M289" s="56"/>
    </row>
    <row r="290" ht="15.75" customHeight="1">
      <c r="A290" s="56"/>
      <c r="B290" s="56"/>
      <c r="C290" s="265"/>
      <c r="D290" s="56"/>
      <c r="E290" s="56"/>
      <c r="F290" s="56"/>
      <c r="G290" s="56"/>
      <c r="H290" s="56"/>
      <c r="I290" s="56"/>
      <c r="J290" s="56"/>
      <c r="K290" s="56"/>
      <c r="L290" s="56"/>
      <c r="M290" s="56"/>
    </row>
    <row r="291" ht="15.75" customHeight="1">
      <c r="A291" s="56"/>
      <c r="B291" s="56"/>
      <c r="C291" s="265"/>
      <c r="D291" s="56"/>
      <c r="E291" s="56"/>
      <c r="F291" s="56"/>
      <c r="G291" s="56"/>
      <c r="H291" s="56"/>
      <c r="I291" s="56"/>
      <c r="J291" s="56"/>
      <c r="K291" s="56"/>
      <c r="L291" s="56"/>
      <c r="M291" s="56"/>
    </row>
    <row r="292" ht="15.75" customHeight="1">
      <c r="A292" s="56"/>
      <c r="B292" s="56"/>
      <c r="C292" s="265"/>
      <c r="D292" s="56"/>
      <c r="E292" s="56"/>
      <c r="F292" s="56"/>
      <c r="G292" s="56"/>
      <c r="H292" s="56"/>
      <c r="I292" s="56"/>
      <c r="J292" s="56"/>
      <c r="K292" s="56"/>
      <c r="L292" s="56"/>
      <c r="M292" s="56"/>
    </row>
    <row r="293" ht="15.75" customHeight="1">
      <c r="A293" s="56"/>
      <c r="B293" s="56"/>
      <c r="C293" s="265"/>
      <c r="D293" s="56"/>
      <c r="E293" s="56"/>
      <c r="F293" s="56"/>
      <c r="G293" s="56"/>
      <c r="H293" s="56"/>
      <c r="I293" s="56"/>
      <c r="J293" s="56"/>
      <c r="K293" s="56"/>
      <c r="L293" s="56"/>
      <c r="M293" s="56"/>
    </row>
    <row r="294" ht="15.75" customHeight="1">
      <c r="A294" s="56"/>
      <c r="B294" s="56"/>
      <c r="C294" s="265"/>
      <c r="D294" s="56"/>
      <c r="E294" s="56"/>
      <c r="F294" s="56"/>
      <c r="G294" s="56"/>
      <c r="H294" s="56"/>
      <c r="I294" s="56"/>
      <c r="J294" s="56"/>
      <c r="K294" s="56"/>
      <c r="L294" s="56"/>
      <c r="M294" s="56"/>
    </row>
    <row r="295" ht="15.75" customHeight="1">
      <c r="A295" s="56"/>
      <c r="B295" s="56"/>
      <c r="C295" s="265"/>
      <c r="D295" s="56"/>
      <c r="E295" s="56"/>
      <c r="F295" s="56"/>
      <c r="G295" s="56"/>
      <c r="H295" s="56"/>
      <c r="I295" s="56"/>
      <c r="J295" s="56"/>
      <c r="K295" s="56"/>
      <c r="L295" s="56"/>
      <c r="M295" s="56"/>
    </row>
    <row r="296" ht="15.75" customHeight="1">
      <c r="A296" s="56"/>
      <c r="B296" s="56"/>
      <c r="C296" s="265"/>
      <c r="D296" s="56"/>
      <c r="E296" s="56"/>
      <c r="F296" s="56"/>
      <c r="G296" s="56"/>
      <c r="H296" s="56"/>
      <c r="I296" s="56"/>
      <c r="J296" s="56"/>
      <c r="K296" s="56"/>
      <c r="L296" s="56"/>
      <c r="M296" s="56"/>
    </row>
    <row r="297" ht="15.75" customHeight="1">
      <c r="A297" s="56"/>
      <c r="B297" s="56"/>
      <c r="C297" s="265"/>
      <c r="D297" s="56"/>
      <c r="E297" s="56"/>
      <c r="F297" s="56"/>
      <c r="G297" s="56"/>
      <c r="H297" s="56"/>
      <c r="I297" s="56"/>
      <c r="J297" s="56"/>
      <c r="K297" s="56"/>
      <c r="L297" s="56"/>
      <c r="M297" s="56"/>
    </row>
    <row r="298" ht="15.75" customHeight="1">
      <c r="A298" s="56"/>
      <c r="B298" s="56"/>
      <c r="C298" s="265"/>
      <c r="D298" s="56"/>
      <c r="E298" s="56"/>
      <c r="F298" s="56"/>
      <c r="G298" s="56"/>
      <c r="H298" s="56"/>
      <c r="I298" s="56"/>
      <c r="J298" s="56"/>
      <c r="K298" s="56"/>
      <c r="L298" s="56"/>
      <c r="M298" s="56"/>
    </row>
    <row r="299" ht="15.75" customHeight="1">
      <c r="A299" s="56"/>
      <c r="B299" s="56"/>
      <c r="C299" s="265"/>
      <c r="D299" s="56"/>
      <c r="E299" s="56"/>
      <c r="F299" s="56"/>
      <c r="G299" s="56"/>
      <c r="H299" s="56"/>
      <c r="I299" s="56"/>
      <c r="J299" s="56"/>
      <c r="K299" s="56"/>
      <c r="L299" s="56"/>
      <c r="M299" s="56"/>
    </row>
    <row r="300" ht="15.75" customHeight="1">
      <c r="A300" s="56"/>
      <c r="B300" s="56"/>
      <c r="C300" s="265"/>
      <c r="D300" s="56"/>
      <c r="E300" s="56"/>
      <c r="F300" s="56"/>
      <c r="G300" s="56"/>
      <c r="H300" s="56"/>
      <c r="I300" s="56"/>
      <c r="J300" s="56"/>
      <c r="K300" s="56"/>
      <c r="L300" s="56"/>
      <c r="M300" s="56"/>
    </row>
    <row r="301" ht="15.75" customHeight="1">
      <c r="A301" s="56"/>
      <c r="B301" s="56"/>
      <c r="C301" s="265"/>
      <c r="D301" s="56"/>
      <c r="E301" s="56"/>
      <c r="F301" s="56"/>
      <c r="G301" s="56"/>
      <c r="H301" s="56"/>
      <c r="I301" s="56"/>
      <c r="J301" s="56"/>
      <c r="K301" s="56"/>
      <c r="L301" s="56"/>
      <c r="M301" s="56"/>
    </row>
    <row r="302" ht="15.75" customHeight="1">
      <c r="A302" s="56"/>
      <c r="B302" s="56"/>
      <c r="C302" s="265"/>
      <c r="D302" s="56"/>
      <c r="E302" s="56"/>
      <c r="F302" s="56"/>
      <c r="G302" s="56"/>
      <c r="H302" s="56"/>
      <c r="I302" s="56"/>
      <c r="J302" s="56"/>
      <c r="K302" s="56"/>
      <c r="L302" s="56"/>
      <c r="M302" s="56"/>
    </row>
    <row r="303" ht="15.75" customHeight="1">
      <c r="A303" s="56"/>
      <c r="B303" s="56"/>
      <c r="C303" s="265"/>
      <c r="D303" s="56"/>
      <c r="E303" s="56"/>
      <c r="F303" s="56"/>
      <c r="G303" s="56"/>
      <c r="H303" s="56"/>
      <c r="I303" s="56"/>
      <c r="J303" s="56"/>
      <c r="K303" s="56"/>
      <c r="L303" s="56"/>
      <c r="M303" s="56"/>
    </row>
    <row r="304" ht="15.75" customHeight="1">
      <c r="A304" s="56"/>
      <c r="B304" s="56"/>
      <c r="C304" s="265"/>
      <c r="D304" s="56"/>
      <c r="E304" s="56"/>
      <c r="F304" s="56"/>
      <c r="G304" s="56"/>
      <c r="H304" s="56"/>
      <c r="I304" s="56"/>
      <c r="J304" s="56"/>
      <c r="K304" s="56"/>
      <c r="L304" s="56"/>
      <c r="M304" s="56"/>
    </row>
    <row r="305" ht="15.75" customHeight="1">
      <c r="A305" s="56"/>
      <c r="B305" s="56"/>
      <c r="C305" s="265"/>
      <c r="D305" s="56"/>
      <c r="E305" s="56"/>
      <c r="F305" s="56"/>
      <c r="G305" s="56"/>
      <c r="H305" s="56"/>
      <c r="I305" s="56"/>
      <c r="J305" s="56"/>
      <c r="K305" s="56"/>
      <c r="L305" s="56"/>
      <c r="M305" s="56"/>
    </row>
    <row r="306" ht="15.75" customHeight="1">
      <c r="A306" s="56"/>
      <c r="B306" s="56"/>
      <c r="C306" s="265"/>
      <c r="D306" s="56"/>
      <c r="E306" s="56"/>
      <c r="F306" s="56"/>
      <c r="G306" s="56"/>
      <c r="H306" s="56"/>
      <c r="I306" s="56"/>
      <c r="J306" s="56"/>
      <c r="K306" s="56"/>
      <c r="L306" s="56"/>
      <c r="M306" s="56"/>
    </row>
    <row r="307" ht="15.75" customHeight="1">
      <c r="A307" s="56"/>
      <c r="B307" s="56"/>
      <c r="C307" s="265"/>
      <c r="D307" s="56"/>
      <c r="E307" s="56"/>
      <c r="F307" s="56"/>
      <c r="G307" s="56"/>
      <c r="H307" s="56"/>
      <c r="I307" s="56"/>
      <c r="J307" s="56"/>
      <c r="K307" s="56"/>
      <c r="L307" s="56"/>
      <c r="M307" s="56"/>
    </row>
    <row r="308" ht="15.75" customHeight="1">
      <c r="A308" s="56"/>
      <c r="B308" s="56"/>
      <c r="C308" s="265"/>
      <c r="D308" s="56"/>
      <c r="E308" s="56"/>
      <c r="F308" s="56"/>
      <c r="G308" s="56"/>
      <c r="H308" s="56"/>
      <c r="I308" s="56"/>
      <c r="J308" s="56"/>
      <c r="K308" s="56"/>
      <c r="L308" s="56"/>
      <c r="M308" s="56"/>
    </row>
    <row r="309" ht="15.75" customHeight="1">
      <c r="A309" s="56"/>
      <c r="B309" s="56"/>
      <c r="C309" s="265"/>
      <c r="D309" s="56"/>
      <c r="E309" s="56"/>
      <c r="F309" s="56"/>
      <c r="G309" s="56"/>
      <c r="H309" s="56"/>
      <c r="I309" s="56"/>
      <c r="J309" s="56"/>
      <c r="K309" s="56"/>
      <c r="L309" s="56"/>
      <c r="M309" s="56"/>
    </row>
    <row r="310" ht="15.75" customHeight="1">
      <c r="A310" s="56"/>
      <c r="B310" s="56"/>
      <c r="C310" s="265"/>
      <c r="D310" s="56"/>
      <c r="E310" s="56"/>
      <c r="F310" s="56"/>
      <c r="G310" s="56"/>
      <c r="H310" s="56"/>
      <c r="I310" s="56"/>
      <c r="J310" s="56"/>
      <c r="K310" s="56"/>
      <c r="L310" s="56"/>
      <c r="M310" s="56"/>
    </row>
    <row r="311" ht="15.75" customHeight="1">
      <c r="A311" s="56"/>
      <c r="B311" s="56"/>
      <c r="C311" s="265"/>
      <c r="D311" s="56"/>
      <c r="E311" s="56"/>
      <c r="F311" s="56"/>
      <c r="G311" s="56"/>
      <c r="H311" s="56"/>
      <c r="I311" s="56"/>
      <c r="J311" s="56"/>
      <c r="K311" s="56"/>
      <c r="L311" s="56"/>
      <c r="M311" s="56"/>
    </row>
    <row r="312" ht="15.75" customHeight="1">
      <c r="A312" s="56"/>
      <c r="B312" s="56"/>
      <c r="C312" s="265"/>
      <c r="D312" s="56"/>
      <c r="E312" s="56"/>
      <c r="F312" s="56"/>
      <c r="G312" s="56"/>
      <c r="H312" s="56"/>
      <c r="I312" s="56"/>
      <c r="J312" s="56"/>
      <c r="K312" s="56"/>
      <c r="L312" s="56"/>
      <c r="M312" s="56"/>
    </row>
    <row r="313" ht="15.75" customHeight="1">
      <c r="A313" s="56"/>
      <c r="B313" s="56"/>
      <c r="C313" s="265"/>
      <c r="D313" s="56"/>
      <c r="E313" s="56"/>
      <c r="F313" s="56"/>
      <c r="G313" s="56"/>
      <c r="H313" s="56"/>
      <c r="I313" s="56"/>
      <c r="J313" s="56"/>
      <c r="K313" s="56"/>
      <c r="L313" s="56"/>
      <c r="M313" s="56"/>
    </row>
    <row r="314" ht="15.75" customHeight="1">
      <c r="A314" s="56"/>
      <c r="B314" s="56"/>
      <c r="C314" s="265"/>
      <c r="D314" s="56"/>
      <c r="E314" s="56"/>
      <c r="F314" s="56"/>
      <c r="G314" s="56"/>
      <c r="H314" s="56"/>
      <c r="I314" s="56"/>
      <c r="J314" s="56"/>
      <c r="K314" s="56"/>
      <c r="L314" s="56"/>
      <c r="M314" s="56"/>
    </row>
    <row r="315" ht="15.75" customHeight="1">
      <c r="A315" s="56"/>
      <c r="B315" s="56"/>
      <c r="C315" s="265"/>
      <c r="D315" s="56"/>
      <c r="E315" s="56"/>
      <c r="F315" s="56"/>
      <c r="G315" s="56"/>
      <c r="H315" s="56"/>
      <c r="I315" s="56"/>
      <c r="J315" s="56"/>
      <c r="K315" s="56"/>
      <c r="L315" s="56"/>
      <c r="M315" s="56"/>
    </row>
    <row r="316" ht="15.75" customHeight="1">
      <c r="A316" s="56"/>
      <c r="B316" s="56"/>
      <c r="C316" s="265"/>
      <c r="D316" s="56"/>
      <c r="E316" s="56"/>
      <c r="F316" s="56"/>
      <c r="G316" s="56"/>
      <c r="H316" s="56"/>
      <c r="I316" s="56"/>
      <c r="J316" s="56"/>
      <c r="K316" s="56"/>
      <c r="L316" s="56"/>
      <c r="M316" s="56"/>
    </row>
    <row r="317" ht="15.75" customHeight="1">
      <c r="A317" s="56"/>
      <c r="B317" s="56"/>
      <c r="C317" s="265"/>
      <c r="D317" s="56"/>
      <c r="E317" s="56"/>
      <c r="F317" s="56"/>
      <c r="G317" s="56"/>
      <c r="H317" s="56"/>
      <c r="I317" s="56"/>
      <c r="J317" s="56"/>
      <c r="K317" s="56"/>
      <c r="L317" s="56"/>
      <c r="M317" s="56"/>
    </row>
    <row r="318" ht="15.75" customHeight="1">
      <c r="A318" s="56"/>
      <c r="B318" s="56"/>
      <c r="C318" s="265"/>
      <c r="D318" s="56"/>
      <c r="E318" s="56"/>
      <c r="F318" s="56"/>
      <c r="G318" s="56"/>
      <c r="H318" s="56"/>
      <c r="I318" s="56"/>
      <c r="J318" s="56"/>
      <c r="K318" s="56"/>
      <c r="L318" s="56"/>
      <c r="M318" s="56"/>
    </row>
    <row r="319" ht="15.75" customHeight="1">
      <c r="A319" s="56"/>
      <c r="B319" s="56"/>
      <c r="C319" s="265"/>
      <c r="D319" s="56"/>
      <c r="E319" s="56"/>
      <c r="F319" s="56"/>
      <c r="G319" s="56"/>
      <c r="H319" s="56"/>
      <c r="I319" s="56"/>
      <c r="J319" s="56"/>
      <c r="K319" s="56"/>
      <c r="L319" s="56"/>
      <c r="M319" s="56"/>
    </row>
    <row r="320" ht="15.75" customHeight="1">
      <c r="A320" s="56"/>
      <c r="B320" s="56"/>
      <c r="C320" s="265"/>
      <c r="D320" s="56"/>
      <c r="E320" s="56"/>
      <c r="F320" s="56"/>
      <c r="G320" s="56"/>
      <c r="H320" s="56"/>
      <c r="I320" s="56"/>
      <c r="J320" s="56"/>
      <c r="K320" s="56"/>
      <c r="L320" s="56"/>
      <c r="M320" s="56"/>
    </row>
    <row r="321" ht="15.75" customHeight="1">
      <c r="A321" s="56"/>
      <c r="B321" s="56"/>
      <c r="C321" s="265"/>
      <c r="D321" s="56"/>
      <c r="E321" s="56"/>
      <c r="F321" s="56"/>
      <c r="G321" s="56"/>
      <c r="H321" s="56"/>
      <c r="I321" s="56"/>
      <c r="J321" s="56"/>
      <c r="K321" s="56"/>
      <c r="L321" s="56"/>
      <c r="M321" s="56"/>
    </row>
    <row r="322" ht="15.75" customHeight="1">
      <c r="A322" s="56"/>
      <c r="B322" s="56"/>
      <c r="C322" s="265"/>
      <c r="D322" s="56"/>
      <c r="E322" s="56"/>
      <c r="F322" s="56"/>
      <c r="G322" s="56"/>
      <c r="H322" s="56"/>
      <c r="I322" s="56"/>
      <c r="J322" s="56"/>
      <c r="K322" s="56"/>
      <c r="L322" s="56"/>
      <c r="M322" s="56"/>
    </row>
    <row r="323" ht="15.75" customHeight="1">
      <c r="A323" s="56"/>
      <c r="B323" s="56"/>
      <c r="C323" s="265"/>
      <c r="D323" s="56"/>
      <c r="E323" s="56"/>
      <c r="F323" s="56"/>
      <c r="G323" s="56"/>
      <c r="H323" s="56"/>
      <c r="I323" s="56"/>
      <c r="J323" s="56"/>
      <c r="K323" s="56"/>
      <c r="L323" s="56"/>
      <c r="M323" s="56"/>
    </row>
    <row r="324" ht="15.75" customHeight="1">
      <c r="A324" s="56"/>
      <c r="B324" s="56"/>
      <c r="C324" s="265"/>
      <c r="D324" s="56"/>
      <c r="E324" s="56"/>
      <c r="F324" s="56"/>
      <c r="G324" s="56"/>
      <c r="H324" s="56"/>
      <c r="I324" s="56"/>
      <c r="J324" s="56"/>
      <c r="K324" s="56"/>
      <c r="L324" s="56"/>
      <c r="M324" s="56"/>
    </row>
    <row r="325" ht="15.75" customHeight="1">
      <c r="A325" s="56"/>
      <c r="B325" s="56"/>
      <c r="C325" s="265"/>
      <c r="D325" s="56"/>
      <c r="E325" s="56"/>
      <c r="F325" s="56"/>
      <c r="G325" s="56"/>
      <c r="H325" s="56"/>
      <c r="I325" s="56"/>
      <c r="J325" s="56"/>
      <c r="K325" s="56"/>
      <c r="L325" s="56"/>
      <c r="M325" s="56"/>
    </row>
    <row r="326" ht="15.75" customHeight="1">
      <c r="A326" s="56"/>
      <c r="B326" s="56"/>
      <c r="C326" s="265"/>
      <c r="D326" s="56"/>
      <c r="E326" s="56"/>
      <c r="F326" s="56"/>
      <c r="G326" s="56"/>
      <c r="H326" s="56"/>
      <c r="I326" s="56"/>
      <c r="J326" s="56"/>
      <c r="K326" s="56"/>
      <c r="L326" s="56"/>
      <c r="M326" s="56"/>
    </row>
    <row r="327" ht="15.75" customHeight="1">
      <c r="A327" s="56"/>
      <c r="B327" s="56"/>
      <c r="C327" s="265"/>
      <c r="D327" s="56"/>
      <c r="E327" s="56"/>
      <c r="F327" s="56"/>
      <c r="G327" s="56"/>
      <c r="H327" s="56"/>
      <c r="I327" s="56"/>
      <c r="J327" s="56"/>
      <c r="K327" s="56"/>
      <c r="L327" s="56"/>
      <c r="M327" s="56"/>
    </row>
    <row r="328" ht="15.75" customHeight="1">
      <c r="A328" s="56"/>
      <c r="B328" s="56"/>
      <c r="C328" s="265"/>
      <c r="D328" s="56"/>
      <c r="E328" s="56"/>
      <c r="F328" s="56"/>
      <c r="G328" s="56"/>
      <c r="H328" s="56"/>
      <c r="I328" s="56"/>
      <c r="J328" s="56"/>
      <c r="K328" s="56"/>
      <c r="L328" s="56"/>
      <c r="M328" s="56"/>
    </row>
    <row r="329" ht="15.75" customHeight="1">
      <c r="A329" s="56"/>
      <c r="B329" s="56"/>
      <c r="C329" s="265"/>
      <c r="D329" s="56"/>
      <c r="E329" s="56"/>
      <c r="F329" s="56"/>
      <c r="G329" s="56"/>
      <c r="H329" s="56"/>
      <c r="I329" s="56"/>
      <c r="J329" s="56"/>
      <c r="K329" s="56"/>
      <c r="L329" s="56"/>
      <c r="M329" s="56"/>
    </row>
    <row r="330" ht="15.75" customHeight="1">
      <c r="A330" s="56"/>
      <c r="B330" s="56"/>
      <c r="C330" s="265"/>
      <c r="D330" s="56"/>
      <c r="E330" s="56"/>
      <c r="F330" s="56"/>
      <c r="G330" s="56"/>
      <c r="H330" s="56"/>
      <c r="I330" s="56"/>
      <c r="J330" s="56"/>
      <c r="K330" s="56"/>
      <c r="L330" s="56"/>
      <c r="M330" s="56"/>
    </row>
    <row r="331" ht="15.75" customHeight="1">
      <c r="A331" s="56"/>
      <c r="B331" s="56"/>
      <c r="C331" s="265"/>
      <c r="D331" s="56"/>
      <c r="E331" s="56"/>
      <c r="F331" s="56"/>
      <c r="G331" s="56"/>
      <c r="H331" s="56"/>
      <c r="I331" s="56"/>
      <c r="J331" s="56"/>
      <c r="K331" s="56"/>
      <c r="L331" s="56"/>
      <c r="M331" s="56"/>
    </row>
    <row r="332" ht="15.75" customHeight="1">
      <c r="A332" s="56"/>
      <c r="B332" s="56"/>
      <c r="C332" s="265"/>
      <c r="D332" s="56"/>
      <c r="E332" s="56"/>
      <c r="F332" s="56"/>
      <c r="G332" s="56"/>
      <c r="H332" s="56"/>
      <c r="I332" s="56"/>
      <c r="J332" s="56"/>
      <c r="K332" s="56"/>
      <c r="L332" s="56"/>
      <c r="M332" s="56"/>
    </row>
    <row r="333" ht="15.75" customHeight="1">
      <c r="A333" s="56"/>
      <c r="B333" s="56"/>
      <c r="C333" s="265"/>
      <c r="D333" s="56"/>
      <c r="E333" s="56"/>
      <c r="F333" s="56"/>
      <c r="G333" s="56"/>
      <c r="H333" s="56"/>
      <c r="I333" s="56"/>
      <c r="J333" s="56"/>
      <c r="K333" s="56"/>
      <c r="L333" s="56"/>
      <c r="M333" s="56"/>
    </row>
    <row r="334" ht="15.75" customHeight="1">
      <c r="A334" s="56"/>
      <c r="B334" s="56"/>
      <c r="C334" s="265"/>
      <c r="D334" s="56"/>
      <c r="E334" s="56"/>
      <c r="F334" s="56"/>
      <c r="G334" s="56"/>
      <c r="H334" s="56"/>
      <c r="I334" s="56"/>
      <c r="J334" s="56"/>
      <c r="K334" s="56"/>
      <c r="L334" s="56"/>
      <c r="M334" s="56"/>
    </row>
    <row r="335" ht="15.75" customHeight="1">
      <c r="A335" s="56"/>
      <c r="B335" s="56"/>
      <c r="C335" s="265"/>
      <c r="D335" s="56"/>
      <c r="E335" s="56"/>
      <c r="F335" s="56"/>
      <c r="G335" s="56"/>
      <c r="H335" s="56"/>
      <c r="I335" s="56"/>
      <c r="J335" s="56"/>
      <c r="K335" s="56"/>
      <c r="L335" s="56"/>
      <c r="M335" s="56"/>
    </row>
    <row r="336" ht="15.75" customHeight="1">
      <c r="A336" s="56"/>
      <c r="B336" s="56"/>
      <c r="C336" s="265"/>
      <c r="D336" s="56"/>
      <c r="E336" s="56"/>
      <c r="F336" s="56"/>
      <c r="G336" s="56"/>
      <c r="H336" s="56"/>
      <c r="I336" s="56"/>
      <c r="J336" s="56"/>
      <c r="K336" s="56"/>
      <c r="L336" s="56"/>
      <c r="M336" s="56"/>
    </row>
    <row r="337" ht="15.75" customHeight="1">
      <c r="A337" s="56"/>
      <c r="B337" s="56"/>
      <c r="C337" s="265"/>
      <c r="D337" s="56"/>
      <c r="E337" s="56"/>
      <c r="F337" s="56"/>
      <c r="G337" s="56"/>
      <c r="H337" s="56"/>
      <c r="I337" s="56"/>
      <c r="J337" s="56"/>
      <c r="K337" s="56"/>
      <c r="L337" s="56"/>
      <c r="M337" s="56"/>
    </row>
    <row r="338" ht="15.75" customHeight="1">
      <c r="A338" s="56"/>
      <c r="B338" s="56"/>
      <c r="C338" s="265"/>
      <c r="D338" s="56"/>
      <c r="E338" s="56"/>
      <c r="F338" s="56"/>
      <c r="G338" s="56"/>
      <c r="H338" s="56"/>
      <c r="I338" s="56"/>
      <c r="J338" s="56"/>
      <c r="K338" s="56"/>
      <c r="L338" s="56"/>
      <c r="M338" s="56"/>
    </row>
    <row r="339" ht="15.75" customHeight="1">
      <c r="A339" s="56"/>
      <c r="B339" s="56"/>
      <c r="C339" s="265"/>
      <c r="D339" s="56"/>
      <c r="E339" s="56"/>
      <c r="F339" s="56"/>
      <c r="G339" s="56"/>
      <c r="H339" s="56"/>
      <c r="I339" s="56"/>
      <c r="J339" s="56"/>
      <c r="K339" s="56"/>
      <c r="L339" s="56"/>
      <c r="M339" s="56"/>
    </row>
    <row r="340" ht="15.75" customHeight="1">
      <c r="A340" s="56"/>
      <c r="B340" s="56"/>
      <c r="C340" s="265"/>
      <c r="D340" s="56"/>
      <c r="E340" s="56"/>
      <c r="F340" s="56"/>
      <c r="G340" s="56"/>
      <c r="H340" s="56"/>
      <c r="I340" s="56"/>
      <c r="J340" s="56"/>
      <c r="K340" s="56"/>
      <c r="L340" s="56"/>
      <c r="M340" s="56"/>
    </row>
    <row r="341" ht="15.75" customHeight="1">
      <c r="A341" s="56"/>
      <c r="B341" s="56"/>
      <c r="C341" s="265"/>
      <c r="D341" s="56"/>
      <c r="E341" s="56"/>
      <c r="F341" s="56"/>
      <c r="G341" s="56"/>
      <c r="H341" s="56"/>
      <c r="I341" s="56"/>
      <c r="J341" s="56"/>
      <c r="K341" s="56"/>
      <c r="L341" s="56"/>
      <c r="M341" s="56"/>
    </row>
    <row r="342" ht="15.75" customHeight="1">
      <c r="A342" s="56"/>
      <c r="B342" s="56"/>
      <c r="C342" s="265"/>
      <c r="D342" s="56"/>
      <c r="E342" s="56"/>
      <c r="F342" s="56"/>
      <c r="G342" s="56"/>
      <c r="H342" s="56"/>
      <c r="I342" s="56"/>
      <c r="J342" s="56"/>
      <c r="K342" s="56"/>
      <c r="L342" s="56"/>
      <c r="M342" s="56"/>
    </row>
    <row r="343" ht="15.75" customHeight="1">
      <c r="A343" s="56"/>
      <c r="B343" s="56"/>
      <c r="C343" s="265"/>
      <c r="D343" s="56"/>
      <c r="E343" s="56"/>
      <c r="F343" s="56"/>
      <c r="G343" s="56"/>
      <c r="H343" s="56"/>
      <c r="I343" s="56"/>
      <c r="J343" s="56"/>
      <c r="K343" s="56"/>
      <c r="L343" s="56"/>
      <c r="M343" s="56"/>
    </row>
    <row r="344" ht="15.75" customHeight="1">
      <c r="A344" s="56"/>
      <c r="B344" s="56"/>
      <c r="C344" s="265"/>
      <c r="D344" s="56"/>
      <c r="E344" s="56"/>
      <c r="F344" s="56"/>
      <c r="G344" s="56"/>
      <c r="H344" s="56"/>
      <c r="I344" s="56"/>
      <c r="J344" s="56"/>
      <c r="K344" s="56"/>
      <c r="L344" s="56"/>
      <c r="M344" s="56"/>
    </row>
    <row r="345" ht="15.75" customHeight="1">
      <c r="A345" s="56"/>
      <c r="B345" s="56"/>
      <c r="C345" s="265"/>
      <c r="D345" s="56"/>
      <c r="E345" s="56"/>
      <c r="F345" s="56"/>
      <c r="G345" s="56"/>
      <c r="H345" s="56"/>
      <c r="I345" s="56"/>
      <c r="J345" s="56"/>
      <c r="K345" s="56"/>
      <c r="L345" s="56"/>
      <c r="M345" s="56"/>
    </row>
    <row r="346" ht="15.75" customHeight="1">
      <c r="A346" s="56"/>
      <c r="B346" s="56"/>
      <c r="C346" s="265"/>
      <c r="D346" s="56"/>
      <c r="E346" s="56"/>
      <c r="F346" s="56"/>
      <c r="G346" s="56"/>
      <c r="H346" s="56"/>
      <c r="I346" s="56"/>
      <c r="J346" s="56"/>
      <c r="K346" s="56"/>
      <c r="L346" s="56"/>
      <c r="M346" s="56"/>
    </row>
    <row r="347" ht="15.75" customHeight="1">
      <c r="A347" s="56"/>
      <c r="B347" s="56"/>
      <c r="C347" s="265"/>
      <c r="D347" s="56"/>
      <c r="E347" s="56"/>
      <c r="F347" s="56"/>
      <c r="G347" s="56"/>
      <c r="H347" s="56"/>
      <c r="I347" s="56"/>
      <c r="J347" s="56"/>
      <c r="K347" s="56"/>
      <c r="L347" s="56"/>
      <c r="M347" s="56"/>
    </row>
    <row r="348" ht="15.75" customHeight="1">
      <c r="A348" s="56"/>
      <c r="B348" s="56"/>
      <c r="C348" s="265"/>
      <c r="D348" s="56"/>
      <c r="E348" s="56"/>
      <c r="F348" s="56"/>
      <c r="G348" s="56"/>
      <c r="H348" s="56"/>
      <c r="I348" s="56"/>
      <c r="J348" s="56"/>
      <c r="K348" s="56"/>
      <c r="L348" s="56"/>
      <c r="M348" s="56"/>
    </row>
    <row r="349" ht="15.75" customHeight="1">
      <c r="A349" s="56"/>
      <c r="B349" s="56"/>
      <c r="C349" s="265"/>
      <c r="D349" s="56"/>
      <c r="E349" s="56"/>
      <c r="F349" s="56"/>
      <c r="G349" s="56"/>
      <c r="H349" s="56"/>
      <c r="I349" s="56"/>
      <c r="J349" s="56"/>
      <c r="K349" s="56"/>
      <c r="L349" s="56"/>
      <c r="M349" s="56"/>
    </row>
    <row r="350" ht="15.75" customHeight="1">
      <c r="A350" s="56"/>
      <c r="B350" s="56"/>
      <c r="C350" s="265"/>
      <c r="D350" s="56"/>
      <c r="E350" s="56"/>
      <c r="F350" s="56"/>
      <c r="G350" s="56"/>
      <c r="H350" s="56"/>
      <c r="I350" s="56"/>
      <c r="J350" s="56"/>
      <c r="K350" s="56"/>
      <c r="L350" s="56"/>
      <c r="M350" s="56"/>
    </row>
    <row r="351" ht="15.75" customHeight="1">
      <c r="A351" s="56"/>
      <c r="B351" s="56"/>
      <c r="C351" s="265"/>
      <c r="D351" s="56"/>
      <c r="E351" s="56"/>
      <c r="F351" s="56"/>
      <c r="G351" s="56"/>
      <c r="H351" s="56"/>
      <c r="I351" s="56"/>
      <c r="J351" s="56"/>
      <c r="K351" s="56"/>
      <c r="L351" s="56"/>
      <c r="M351" s="56"/>
    </row>
    <row r="352" ht="15.75" customHeight="1">
      <c r="A352" s="56"/>
      <c r="B352" s="56"/>
      <c r="C352" s="265"/>
      <c r="D352" s="56"/>
      <c r="E352" s="56"/>
      <c r="F352" s="56"/>
      <c r="G352" s="56"/>
      <c r="H352" s="56"/>
      <c r="I352" s="56"/>
      <c r="J352" s="56"/>
      <c r="K352" s="56"/>
      <c r="L352" s="56"/>
      <c r="M352" s="56"/>
    </row>
    <row r="353" ht="15.75" customHeight="1">
      <c r="A353" s="56"/>
      <c r="B353" s="56"/>
      <c r="C353" s="265"/>
      <c r="D353" s="56"/>
      <c r="E353" s="56"/>
      <c r="F353" s="56"/>
      <c r="G353" s="56"/>
      <c r="H353" s="56"/>
      <c r="I353" s="56"/>
      <c r="J353" s="56"/>
      <c r="K353" s="56"/>
      <c r="L353" s="56"/>
      <c r="M353" s="56"/>
    </row>
    <row r="354" ht="15.75" customHeight="1">
      <c r="A354" s="56"/>
      <c r="B354" s="56"/>
      <c r="C354" s="265"/>
      <c r="D354" s="56"/>
      <c r="E354" s="56"/>
      <c r="F354" s="56"/>
      <c r="G354" s="56"/>
      <c r="H354" s="56"/>
      <c r="I354" s="56"/>
      <c r="J354" s="56"/>
      <c r="K354" s="56"/>
      <c r="L354" s="56"/>
      <c r="M354" s="56"/>
    </row>
    <row r="355" ht="15.75" customHeight="1">
      <c r="A355" s="56"/>
      <c r="B355" s="56"/>
      <c r="C355" s="265"/>
      <c r="D355" s="56"/>
      <c r="E355" s="56"/>
      <c r="F355" s="56"/>
      <c r="G355" s="56"/>
      <c r="H355" s="56"/>
      <c r="I355" s="56"/>
      <c r="J355" s="56"/>
      <c r="K355" s="56"/>
      <c r="L355" s="56"/>
      <c r="M355" s="56"/>
    </row>
    <row r="356" ht="15.75" customHeight="1">
      <c r="A356" s="56"/>
      <c r="B356" s="56"/>
      <c r="C356" s="265"/>
      <c r="D356" s="56"/>
      <c r="E356" s="56"/>
      <c r="F356" s="56"/>
      <c r="G356" s="56"/>
      <c r="H356" s="56"/>
      <c r="I356" s="56"/>
      <c r="J356" s="56"/>
      <c r="K356" s="56"/>
      <c r="L356" s="56"/>
      <c r="M356" s="56"/>
    </row>
    <row r="357" ht="15.75" customHeight="1">
      <c r="A357" s="56"/>
      <c r="B357" s="56"/>
      <c r="C357" s="265"/>
      <c r="D357" s="56"/>
      <c r="E357" s="56"/>
      <c r="F357" s="56"/>
      <c r="G357" s="56"/>
      <c r="H357" s="56"/>
      <c r="I357" s="56"/>
      <c r="J357" s="56"/>
      <c r="K357" s="56"/>
      <c r="L357" s="56"/>
      <c r="M357" s="56"/>
    </row>
    <row r="358" ht="15.75" customHeight="1">
      <c r="A358" s="56"/>
      <c r="B358" s="56"/>
      <c r="C358" s="265"/>
      <c r="D358" s="56"/>
      <c r="E358" s="56"/>
      <c r="F358" s="56"/>
      <c r="G358" s="56"/>
      <c r="H358" s="56"/>
      <c r="I358" s="56"/>
      <c r="J358" s="56"/>
      <c r="K358" s="56"/>
      <c r="L358" s="56"/>
      <c r="M358" s="56"/>
    </row>
    <row r="359" ht="15.75" customHeight="1">
      <c r="A359" s="56"/>
      <c r="B359" s="56"/>
      <c r="C359" s="265"/>
      <c r="D359" s="56"/>
      <c r="E359" s="56"/>
      <c r="F359" s="56"/>
      <c r="G359" s="56"/>
      <c r="H359" s="56"/>
      <c r="I359" s="56"/>
      <c r="J359" s="56"/>
      <c r="K359" s="56"/>
      <c r="L359" s="56"/>
      <c r="M359" s="56"/>
    </row>
    <row r="360" ht="15.75" customHeight="1">
      <c r="A360" s="56"/>
      <c r="B360" s="56"/>
      <c r="C360" s="265"/>
      <c r="D360" s="56"/>
      <c r="E360" s="56"/>
      <c r="F360" s="56"/>
      <c r="G360" s="56"/>
      <c r="H360" s="56"/>
      <c r="I360" s="56"/>
      <c r="J360" s="56"/>
      <c r="K360" s="56"/>
      <c r="L360" s="56"/>
      <c r="M360" s="56"/>
    </row>
    <row r="361" ht="15.75" customHeight="1">
      <c r="A361" s="56"/>
      <c r="B361" s="56"/>
      <c r="C361" s="265"/>
      <c r="D361" s="56"/>
      <c r="E361" s="56"/>
      <c r="F361" s="56"/>
      <c r="G361" s="56"/>
      <c r="H361" s="56"/>
      <c r="I361" s="56"/>
      <c r="J361" s="56"/>
      <c r="K361" s="56"/>
      <c r="L361" s="56"/>
      <c r="M361" s="56"/>
    </row>
    <row r="362" ht="15.75" customHeight="1">
      <c r="A362" s="56"/>
      <c r="B362" s="56"/>
      <c r="C362" s="265"/>
      <c r="D362" s="56"/>
      <c r="E362" s="56"/>
      <c r="F362" s="56"/>
      <c r="G362" s="56"/>
      <c r="H362" s="56"/>
      <c r="I362" s="56"/>
      <c r="J362" s="56"/>
      <c r="K362" s="56"/>
      <c r="L362" s="56"/>
      <c r="M362" s="56"/>
    </row>
    <row r="363" ht="15.75" customHeight="1">
      <c r="A363" s="56"/>
      <c r="B363" s="56"/>
      <c r="C363" s="265"/>
      <c r="D363" s="56"/>
      <c r="E363" s="56"/>
      <c r="F363" s="56"/>
      <c r="G363" s="56"/>
      <c r="H363" s="56"/>
      <c r="I363" s="56"/>
      <c r="J363" s="56"/>
      <c r="K363" s="56"/>
      <c r="L363" s="56"/>
      <c r="M363" s="56"/>
    </row>
    <row r="364" ht="15.75" customHeight="1">
      <c r="A364" s="56"/>
      <c r="B364" s="56"/>
      <c r="C364" s="265"/>
      <c r="D364" s="56"/>
      <c r="E364" s="56"/>
      <c r="F364" s="56"/>
      <c r="G364" s="56"/>
      <c r="H364" s="56"/>
      <c r="I364" s="56"/>
      <c r="J364" s="56"/>
      <c r="K364" s="56"/>
      <c r="L364" s="56"/>
      <c r="M364" s="56"/>
    </row>
    <row r="365" ht="15.75" customHeight="1">
      <c r="A365" s="56"/>
      <c r="B365" s="56"/>
      <c r="C365" s="265"/>
      <c r="D365" s="56"/>
      <c r="E365" s="56"/>
      <c r="F365" s="56"/>
      <c r="G365" s="56"/>
      <c r="H365" s="56"/>
      <c r="I365" s="56"/>
      <c r="J365" s="56"/>
      <c r="K365" s="56"/>
      <c r="L365" s="56"/>
      <c r="M365" s="56"/>
    </row>
    <row r="366" ht="15.75" customHeight="1">
      <c r="A366" s="56"/>
      <c r="B366" s="56"/>
      <c r="C366" s="265"/>
      <c r="D366" s="56"/>
      <c r="E366" s="56"/>
      <c r="F366" s="56"/>
      <c r="G366" s="56"/>
      <c r="H366" s="56"/>
      <c r="I366" s="56"/>
      <c r="J366" s="56"/>
      <c r="K366" s="56"/>
      <c r="L366" s="56"/>
      <c r="M366" s="56"/>
    </row>
    <row r="367" ht="15.75" customHeight="1">
      <c r="A367" s="56"/>
      <c r="B367" s="56"/>
      <c r="C367" s="265"/>
      <c r="D367" s="56"/>
      <c r="E367" s="56"/>
      <c r="F367" s="56"/>
      <c r="G367" s="56"/>
      <c r="H367" s="56"/>
      <c r="I367" s="56"/>
      <c r="J367" s="56"/>
      <c r="K367" s="56"/>
      <c r="L367" s="56"/>
      <c r="M367" s="56"/>
    </row>
    <row r="368" ht="15.75" customHeight="1">
      <c r="A368" s="56"/>
      <c r="B368" s="56"/>
      <c r="C368" s="265"/>
      <c r="D368" s="56"/>
      <c r="E368" s="56"/>
      <c r="F368" s="56"/>
      <c r="G368" s="56"/>
      <c r="H368" s="56"/>
      <c r="I368" s="56"/>
      <c r="J368" s="56"/>
      <c r="K368" s="56"/>
      <c r="L368" s="56"/>
      <c r="M368" s="56"/>
    </row>
    <row r="369" ht="15.75" customHeight="1">
      <c r="A369" s="56"/>
      <c r="B369" s="56"/>
      <c r="C369" s="265"/>
      <c r="D369" s="56"/>
      <c r="E369" s="56"/>
      <c r="F369" s="56"/>
      <c r="G369" s="56"/>
      <c r="H369" s="56"/>
      <c r="I369" s="56"/>
      <c r="J369" s="56"/>
      <c r="K369" s="56"/>
      <c r="L369" s="56"/>
      <c r="M369" s="56"/>
    </row>
    <row r="370" ht="15.75" customHeight="1">
      <c r="A370" s="56"/>
      <c r="B370" s="56"/>
      <c r="C370" s="265"/>
      <c r="D370" s="56"/>
      <c r="E370" s="56"/>
      <c r="F370" s="56"/>
      <c r="G370" s="56"/>
      <c r="H370" s="56"/>
      <c r="I370" s="56"/>
      <c r="J370" s="56"/>
      <c r="K370" s="56"/>
      <c r="L370" s="56"/>
      <c r="M370" s="56"/>
    </row>
    <row r="371" ht="15.75" customHeight="1">
      <c r="A371" s="56"/>
      <c r="B371" s="56"/>
      <c r="C371" s="265"/>
      <c r="D371" s="56"/>
      <c r="E371" s="56"/>
      <c r="F371" s="56"/>
      <c r="G371" s="56"/>
      <c r="H371" s="56"/>
      <c r="I371" s="56"/>
      <c r="J371" s="56"/>
      <c r="K371" s="56"/>
      <c r="L371" s="56"/>
      <c r="M371" s="56"/>
    </row>
    <row r="372" ht="15.75" customHeight="1">
      <c r="A372" s="56"/>
      <c r="B372" s="56"/>
      <c r="C372" s="265"/>
      <c r="D372" s="56"/>
      <c r="E372" s="56"/>
      <c r="F372" s="56"/>
      <c r="G372" s="56"/>
      <c r="H372" s="56"/>
      <c r="I372" s="56"/>
      <c r="J372" s="56"/>
      <c r="K372" s="56"/>
      <c r="L372" s="56"/>
      <c r="M372" s="56"/>
    </row>
    <row r="373" ht="15.75" customHeight="1">
      <c r="A373" s="56"/>
      <c r="B373" s="56"/>
      <c r="C373" s="265"/>
      <c r="D373" s="56"/>
      <c r="E373" s="56"/>
      <c r="F373" s="56"/>
      <c r="G373" s="56"/>
      <c r="H373" s="56"/>
      <c r="I373" s="56"/>
      <c r="J373" s="56"/>
      <c r="K373" s="56"/>
      <c r="L373" s="56"/>
      <c r="M373" s="56"/>
    </row>
    <row r="374" ht="15.75" customHeight="1">
      <c r="A374" s="56"/>
      <c r="B374" s="56"/>
      <c r="C374" s="265"/>
      <c r="D374" s="56"/>
      <c r="E374" s="56"/>
      <c r="F374" s="56"/>
      <c r="G374" s="56"/>
      <c r="H374" s="56"/>
      <c r="I374" s="56"/>
      <c r="J374" s="56"/>
      <c r="K374" s="56"/>
      <c r="L374" s="56"/>
      <c r="M374" s="56"/>
    </row>
    <row r="375" ht="15.75" customHeight="1">
      <c r="A375" s="56"/>
      <c r="B375" s="56"/>
      <c r="C375" s="265"/>
      <c r="D375" s="56"/>
      <c r="E375" s="56"/>
      <c r="F375" s="56"/>
      <c r="G375" s="56"/>
      <c r="H375" s="56"/>
      <c r="I375" s="56"/>
      <c r="J375" s="56"/>
      <c r="K375" s="56"/>
      <c r="L375" s="56"/>
      <c r="M375" s="56"/>
    </row>
    <row r="376" ht="15.75" customHeight="1">
      <c r="A376" s="56"/>
      <c r="B376" s="56"/>
      <c r="C376" s="265"/>
      <c r="D376" s="56"/>
      <c r="E376" s="56"/>
      <c r="F376" s="56"/>
      <c r="G376" s="56"/>
      <c r="H376" s="56"/>
      <c r="I376" s="56"/>
      <c r="J376" s="56"/>
      <c r="K376" s="56"/>
      <c r="L376" s="56"/>
      <c r="M376" s="56"/>
    </row>
    <row r="377" ht="15.75" customHeight="1">
      <c r="A377" s="56"/>
      <c r="B377" s="56"/>
      <c r="C377" s="265"/>
      <c r="D377" s="56"/>
      <c r="E377" s="56"/>
      <c r="F377" s="56"/>
      <c r="G377" s="56"/>
      <c r="H377" s="56"/>
      <c r="I377" s="56"/>
      <c r="J377" s="56"/>
      <c r="K377" s="56"/>
      <c r="L377" s="56"/>
      <c r="M377" s="56"/>
    </row>
    <row r="378" ht="15.75" customHeight="1">
      <c r="A378" s="56"/>
      <c r="B378" s="56"/>
      <c r="C378" s="265"/>
      <c r="D378" s="56"/>
      <c r="E378" s="56"/>
      <c r="F378" s="56"/>
      <c r="G378" s="56"/>
      <c r="H378" s="56"/>
      <c r="I378" s="56"/>
      <c r="J378" s="56"/>
      <c r="K378" s="56"/>
      <c r="L378" s="56"/>
      <c r="M378" s="56"/>
    </row>
    <row r="379" ht="15.75" customHeight="1">
      <c r="A379" s="56"/>
      <c r="B379" s="56"/>
      <c r="C379" s="265"/>
      <c r="D379" s="56"/>
      <c r="E379" s="56"/>
      <c r="F379" s="56"/>
      <c r="G379" s="56"/>
      <c r="H379" s="56"/>
      <c r="I379" s="56"/>
      <c r="J379" s="56"/>
      <c r="K379" s="56"/>
      <c r="L379" s="56"/>
      <c r="M379" s="56"/>
    </row>
    <row r="380" ht="15.75" customHeight="1">
      <c r="A380" s="56"/>
      <c r="B380" s="56"/>
      <c r="C380" s="265"/>
      <c r="D380" s="56"/>
      <c r="E380" s="56"/>
      <c r="F380" s="56"/>
      <c r="G380" s="56"/>
      <c r="H380" s="56"/>
      <c r="I380" s="56"/>
      <c r="J380" s="56"/>
      <c r="K380" s="56"/>
      <c r="L380" s="56"/>
      <c r="M380" s="56"/>
    </row>
    <row r="381" ht="15.75" customHeight="1">
      <c r="A381" s="56"/>
      <c r="B381" s="56"/>
      <c r="C381" s="265"/>
      <c r="D381" s="56"/>
      <c r="E381" s="56"/>
      <c r="F381" s="56"/>
      <c r="G381" s="56"/>
      <c r="H381" s="56"/>
      <c r="I381" s="56"/>
      <c r="J381" s="56"/>
      <c r="K381" s="56"/>
      <c r="L381" s="56"/>
      <c r="M381" s="56"/>
    </row>
    <row r="382" ht="15.75" customHeight="1">
      <c r="A382" s="56"/>
      <c r="B382" s="56"/>
      <c r="C382" s="265"/>
      <c r="D382" s="56"/>
      <c r="E382" s="56"/>
      <c r="F382" s="56"/>
      <c r="G382" s="56"/>
      <c r="H382" s="56"/>
      <c r="I382" s="56"/>
      <c r="J382" s="56"/>
      <c r="K382" s="56"/>
      <c r="L382" s="56"/>
      <c r="M382" s="56"/>
    </row>
    <row r="383" ht="15.75" customHeight="1">
      <c r="A383" s="56"/>
      <c r="B383" s="56"/>
      <c r="C383" s="265"/>
      <c r="D383" s="56"/>
      <c r="E383" s="56"/>
      <c r="F383" s="56"/>
      <c r="G383" s="56"/>
      <c r="H383" s="56"/>
      <c r="I383" s="56"/>
      <c r="J383" s="56"/>
      <c r="K383" s="56"/>
      <c r="L383" s="56"/>
      <c r="M383" s="56"/>
    </row>
    <row r="384" ht="15.75" customHeight="1">
      <c r="A384" s="56"/>
      <c r="B384" s="56"/>
      <c r="C384" s="265"/>
      <c r="D384" s="56"/>
      <c r="E384" s="56"/>
      <c r="F384" s="56"/>
      <c r="G384" s="56"/>
      <c r="H384" s="56"/>
      <c r="I384" s="56"/>
      <c r="J384" s="56"/>
      <c r="K384" s="56"/>
      <c r="L384" s="56"/>
      <c r="M384" s="56"/>
    </row>
    <row r="385" ht="15.75" customHeight="1">
      <c r="A385" s="56"/>
      <c r="B385" s="56"/>
      <c r="C385" s="265"/>
      <c r="D385" s="56"/>
      <c r="E385" s="56"/>
      <c r="F385" s="56"/>
      <c r="G385" s="56"/>
      <c r="H385" s="56"/>
      <c r="I385" s="56"/>
      <c r="J385" s="56"/>
      <c r="K385" s="56"/>
      <c r="L385" s="56"/>
      <c r="M385" s="56"/>
    </row>
    <row r="386" ht="15.75" customHeight="1">
      <c r="A386" s="56"/>
      <c r="B386" s="56"/>
      <c r="C386" s="265"/>
      <c r="D386" s="56"/>
      <c r="E386" s="56"/>
      <c r="F386" s="56"/>
      <c r="G386" s="56"/>
      <c r="H386" s="56"/>
      <c r="I386" s="56"/>
      <c r="J386" s="56"/>
      <c r="K386" s="56"/>
      <c r="L386" s="56"/>
      <c r="M386" s="56"/>
    </row>
    <row r="387" ht="15.75" customHeight="1">
      <c r="A387" s="56"/>
      <c r="B387" s="56"/>
      <c r="C387" s="265"/>
      <c r="D387" s="56"/>
      <c r="E387" s="56"/>
      <c r="F387" s="56"/>
      <c r="G387" s="56"/>
      <c r="H387" s="56"/>
      <c r="I387" s="56"/>
      <c r="J387" s="56"/>
      <c r="K387" s="56"/>
      <c r="L387" s="56"/>
      <c r="M387" s="56"/>
    </row>
    <row r="388" ht="15.75" customHeight="1">
      <c r="A388" s="56"/>
      <c r="B388" s="56"/>
      <c r="C388" s="265"/>
      <c r="D388" s="56"/>
      <c r="E388" s="56"/>
      <c r="F388" s="56"/>
      <c r="G388" s="56"/>
      <c r="H388" s="56"/>
      <c r="I388" s="56"/>
      <c r="J388" s="56"/>
      <c r="K388" s="56"/>
      <c r="L388" s="56"/>
      <c r="M388" s="56"/>
    </row>
    <row r="389" ht="15.75" customHeight="1">
      <c r="A389" s="56"/>
      <c r="B389" s="56"/>
      <c r="C389" s="265"/>
      <c r="D389" s="56"/>
      <c r="E389" s="56"/>
      <c r="F389" s="56"/>
      <c r="G389" s="56"/>
      <c r="H389" s="56"/>
      <c r="I389" s="56"/>
      <c r="J389" s="56"/>
      <c r="K389" s="56"/>
      <c r="L389" s="56"/>
      <c r="M389" s="56"/>
    </row>
    <row r="390" ht="15.75" customHeight="1">
      <c r="A390" s="56"/>
      <c r="B390" s="56"/>
      <c r="C390" s="265"/>
      <c r="D390" s="56"/>
      <c r="E390" s="56"/>
      <c r="F390" s="56"/>
      <c r="G390" s="56"/>
      <c r="H390" s="56"/>
      <c r="I390" s="56"/>
      <c r="J390" s="56"/>
      <c r="K390" s="56"/>
      <c r="L390" s="56"/>
      <c r="M390" s="56"/>
    </row>
    <row r="391" ht="15.75" customHeight="1">
      <c r="A391" s="56"/>
      <c r="B391" s="56"/>
      <c r="C391" s="265"/>
      <c r="D391" s="56"/>
      <c r="E391" s="56"/>
      <c r="F391" s="56"/>
      <c r="G391" s="56"/>
      <c r="H391" s="56"/>
      <c r="I391" s="56"/>
      <c r="J391" s="56"/>
      <c r="K391" s="56"/>
      <c r="L391" s="56"/>
      <c r="M391" s="56"/>
    </row>
    <row r="392" ht="15.75" customHeight="1">
      <c r="A392" s="56"/>
      <c r="B392" s="56"/>
      <c r="C392" s="265"/>
      <c r="D392" s="56"/>
      <c r="E392" s="56"/>
      <c r="F392" s="56"/>
      <c r="G392" s="56"/>
      <c r="H392" s="56"/>
      <c r="I392" s="56"/>
      <c r="J392" s="56"/>
      <c r="K392" s="56"/>
      <c r="L392" s="56"/>
      <c r="M392" s="56"/>
    </row>
    <row r="393" ht="15.75" customHeight="1">
      <c r="A393" s="56"/>
      <c r="B393" s="56"/>
      <c r="C393" s="265"/>
      <c r="D393" s="56"/>
      <c r="E393" s="56"/>
      <c r="F393" s="56"/>
      <c r="G393" s="56"/>
      <c r="H393" s="56"/>
      <c r="I393" s="56"/>
      <c r="J393" s="56"/>
      <c r="K393" s="56"/>
      <c r="L393" s="56"/>
      <c r="M393" s="56"/>
    </row>
    <row r="394" ht="15.75" customHeight="1">
      <c r="A394" s="56"/>
      <c r="B394" s="56"/>
      <c r="C394" s="265"/>
      <c r="D394" s="56"/>
      <c r="E394" s="56"/>
      <c r="F394" s="56"/>
      <c r="G394" s="56"/>
      <c r="H394" s="56"/>
      <c r="I394" s="56"/>
      <c r="J394" s="56"/>
      <c r="K394" s="56"/>
      <c r="L394" s="56"/>
      <c r="M394" s="56"/>
    </row>
    <row r="395" ht="15.75" customHeight="1">
      <c r="A395" s="56"/>
      <c r="B395" s="56"/>
      <c r="C395" s="265"/>
      <c r="D395" s="56"/>
      <c r="E395" s="56"/>
      <c r="F395" s="56"/>
      <c r="G395" s="56"/>
      <c r="H395" s="56"/>
      <c r="I395" s="56"/>
      <c r="J395" s="56"/>
      <c r="K395" s="56"/>
      <c r="L395" s="56"/>
      <c r="M395" s="56"/>
    </row>
    <row r="396" ht="15.75" customHeight="1">
      <c r="A396" s="56"/>
      <c r="B396" s="56"/>
      <c r="C396" s="265"/>
      <c r="D396" s="56"/>
      <c r="E396" s="56"/>
      <c r="F396" s="56"/>
      <c r="G396" s="56"/>
      <c r="H396" s="56"/>
      <c r="I396" s="56"/>
      <c r="J396" s="56"/>
      <c r="K396" s="56"/>
      <c r="L396" s="56"/>
      <c r="M396" s="56"/>
    </row>
    <row r="397" ht="15.75" customHeight="1">
      <c r="A397" s="56"/>
      <c r="B397" s="56"/>
      <c r="C397" s="265"/>
      <c r="D397" s="56"/>
      <c r="E397" s="56"/>
      <c r="F397" s="56"/>
      <c r="G397" s="56"/>
      <c r="H397" s="56"/>
      <c r="I397" s="56"/>
      <c r="J397" s="56"/>
      <c r="K397" s="56"/>
      <c r="L397" s="56"/>
      <c r="M397" s="56"/>
    </row>
    <row r="398" ht="15.75" customHeight="1">
      <c r="A398" s="56"/>
      <c r="B398" s="56"/>
      <c r="C398" s="265"/>
      <c r="D398" s="56"/>
      <c r="E398" s="56"/>
      <c r="F398" s="56"/>
      <c r="G398" s="56"/>
      <c r="H398" s="56"/>
      <c r="I398" s="56"/>
      <c r="J398" s="56"/>
      <c r="K398" s="56"/>
      <c r="L398" s="56"/>
      <c r="M398" s="56"/>
    </row>
    <row r="399" ht="15.75" customHeight="1">
      <c r="A399" s="56"/>
      <c r="B399" s="56"/>
      <c r="C399" s="265"/>
      <c r="D399" s="56"/>
      <c r="E399" s="56"/>
      <c r="F399" s="56"/>
      <c r="G399" s="56"/>
      <c r="H399" s="56"/>
      <c r="I399" s="56"/>
      <c r="J399" s="56"/>
      <c r="K399" s="56"/>
      <c r="L399" s="56"/>
      <c r="M399" s="56"/>
    </row>
    <row r="400" ht="15.75" customHeight="1">
      <c r="A400" s="56"/>
      <c r="B400" s="56"/>
      <c r="C400" s="265"/>
      <c r="D400" s="56"/>
      <c r="E400" s="56"/>
      <c r="F400" s="56"/>
      <c r="G400" s="56"/>
      <c r="H400" s="56"/>
      <c r="I400" s="56"/>
      <c r="J400" s="56"/>
      <c r="K400" s="56"/>
      <c r="L400" s="56"/>
      <c r="M400" s="56"/>
    </row>
    <row r="401" ht="15.75" customHeight="1">
      <c r="A401" s="56"/>
      <c r="B401" s="56"/>
      <c r="C401" s="265"/>
      <c r="D401" s="56"/>
      <c r="E401" s="56"/>
      <c r="F401" s="56"/>
      <c r="G401" s="56"/>
      <c r="H401" s="56"/>
      <c r="I401" s="56"/>
      <c r="J401" s="56"/>
      <c r="K401" s="56"/>
      <c r="L401" s="56"/>
      <c r="M401" s="56"/>
    </row>
    <row r="402" ht="15.75" customHeight="1">
      <c r="A402" s="56"/>
      <c r="B402" s="56"/>
      <c r="C402" s="265"/>
      <c r="D402" s="56"/>
      <c r="E402" s="56"/>
      <c r="F402" s="56"/>
      <c r="G402" s="56"/>
      <c r="H402" s="56"/>
      <c r="I402" s="56"/>
      <c r="J402" s="56"/>
      <c r="K402" s="56"/>
      <c r="L402" s="56"/>
      <c r="M402" s="56"/>
    </row>
    <row r="403" ht="15.75" customHeight="1">
      <c r="A403" s="56"/>
      <c r="B403" s="56"/>
      <c r="C403" s="265"/>
      <c r="D403" s="56"/>
      <c r="E403" s="56"/>
      <c r="F403" s="56"/>
      <c r="G403" s="56"/>
      <c r="H403" s="56"/>
      <c r="I403" s="56"/>
      <c r="J403" s="56"/>
      <c r="K403" s="56"/>
      <c r="L403" s="56"/>
      <c r="M403" s="56"/>
    </row>
    <row r="404" ht="15.75" customHeight="1">
      <c r="A404" s="56"/>
      <c r="B404" s="56"/>
      <c r="C404" s="265"/>
      <c r="D404" s="56"/>
      <c r="E404" s="56"/>
      <c r="F404" s="56"/>
      <c r="G404" s="56"/>
      <c r="H404" s="56"/>
      <c r="I404" s="56"/>
      <c r="J404" s="56"/>
      <c r="K404" s="56"/>
      <c r="L404" s="56"/>
      <c r="M404" s="56"/>
    </row>
    <row r="405" ht="15.75" customHeight="1">
      <c r="A405" s="56"/>
      <c r="B405" s="56"/>
      <c r="C405" s="265"/>
      <c r="D405" s="56"/>
      <c r="E405" s="56"/>
      <c r="F405" s="56"/>
      <c r="G405" s="56"/>
      <c r="H405" s="56"/>
      <c r="I405" s="56"/>
      <c r="J405" s="56"/>
      <c r="K405" s="56"/>
      <c r="L405" s="56"/>
      <c r="M405" s="56"/>
    </row>
    <row r="406" ht="15.75" customHeight="1">
      <c r="A406" s="56"/>
      <c r="B406" s="56"/>
      <c r="C406" s="265"/>
      <c r="D406" s="56"/>
      <c r="E406" s="56"/>
      <c r="F406" s="56"/>
      <c r="G406" s="56"/>
      <c r="H406" s="56"/>
      <c r="I406" s="56"/>
      <c r="J406" s="56"/>
      <c r="K406" s="56"/>
      <c r="L406" s="56"/>
      <c r="M406" s="56"/>
    </row>
    <row r="407" ht="15.75" customHeight="1">
      <c r="A407" s="56"/>
      <c r="B407" s="56"/>
      <c r="C407" s="265"/>
      <c r="D407" s="56"/>
      <c r="E407" s="56"/>
      <c r="F407" s="56"/>
      <c r="G407" s="56"/>
      <c r="H407" s="56"/>
      <c r="I407" s="56"/>
      <c r="J407" s="56"/>
      <c r="K407" s="56"/>
      <c r="L407" s="56"/>
      <c r="M407" s="56"/>
    </row>
    <row r="408" ht="15.75" customHeight="1">
      <c r="A408" s="56"/>
      <c r="B408" s="56"/>
      <c r="C408" s="265"/>
      <c r="D408" s="56"/>
      <c r="E408" s="56"/>
      <c r="F408" s="56"/>
      <c r="G408" s="56"/>
      <c r="H408" s="56"/>
      <c r="I408" s="56"/>
      <c r="J408" s="56"/>
      <c r="K408" s="56"/>
      <c r="L408" s="56"/>
      <c r="M408" s="56"/>
    </row>
    <row r="409" ht="15.75" customHeight="1">
      <c r="A409" s="56"/>
      <c r="B409" s="56"/>
      <c r="C409" s="265"/>
      <c r="D409" s="56"/>
      <c r="E409" s="56"/>
      <c r="F409" s="56"/>
      <c r="G409" s="56"/>
      <c r="H409" s="56"/>
      <c r="I409" s="56"/>
      <c r="J409" s="56"/>
      <c r="K409" s="56"/>
      <c r="L409" s="56"/>
      <c r="M409" s="56"/>
    </row>
    <row r="410" ht="15.75" customHeight="1">
      <c r="A410" s="56"/>
      <c r="B410" s="56"/>
      <c r="C410" s="265"/>
      <c r="D410" s="56"/>
      <c r="E410" s="56"/>
      <c r="F410" s="56"/>
      <c r="G410" s="56"/>
      <c r="H410" s="56"/>
      <c r="I410" s="56"/>
      <c r="J410" s="56"/>
      <c r="K410" s="56"/>
      <c r="L410" s="56"/>
      <c r="M410" s="56"/>
    </row>
    <row r="411" ht="15.75" customHeight="1">
      <c r="A411" s="56"/>
      <c r="B411" s="56"/>
      <c r="C411" s="265"/>
      <c r="D411" s="56"/>
      <c r="E411" s="56"/>
      <c r="F411" s="56"/>
      <c r="G411" s="56"/>
      <c r="H411" s="56"/>
      <c r="I411" s="56"/>
      <c r="J411" s="56"/>
      <c r="K411" s="56"/>
      <c r="L411" s="56"/>
      <c r="M411" s="56"/>
    </row>
    <row r="412" ht="15.75" customHeight="1">
      <c r="A412" s="56"/>
      <c r="B412" s="56"/>
      <c r="C412" s="265"/>
      <c r="D412" s="56"/>
      <c r="E412" s="56"/>
      <c r="F412" s="56"/>
      <c r="G412" s="56"/>
      <c r="H412" s="56"/>
      <c r="I412" s="56"/>
      <c r="J412" s="56"/>
      <c r="K412" s="56"/>
      <c r="L412" s="56"/>
      <c r="M412" s="56"/>
    </row>
    <row r="413" ht="15.75" customHeight="1">
      <c r="A413" s="56"/>
      <c r="B413" s="56"/>
      <c r="C413" s="265"/>
      <c r="D413" s="56"/>
      <c r="E413" s="56"/>
      <c r="F413" s="56"/>
      <c r="G413" s="56"/>
      <c r="H413" s="56"/>
      <c r="I413" s="56"/>
      <c r="J413" s="56"/>
      <c r="K413" s="56"/>
      <c r="L413" s="56"/>
      <c r="M413" s="56"/>
    </row>
    <row r="414" ht="15.75" customHeight="1">
      <c r="A414" s="56"/>
      <c r="B414" s="56"/>
      <c r="C414" s="265"/>
      <c r="D414" s="56"/>
      <c r="E414" s="56"/>
      <c r="F414" s="56"/>
      <c r="G414" s="56"/>
      <c r="H414" s="56"/>
      <c r="I414" s="56"/>
      <c r="J414" s="56"/>
      <c r="K414" s="56"/>
      <c r="L414" s="56"/>
      <c r="M414" s="56"/>
    </row>
    <row r="415" ht="15.75" customHeight="1">
      <c r="A415" s="56"/>
      <c r="B415" s="56"/>
      <c r="C415" s="265"/>
      <c r="D415" s="56"/>
      <c r="E415" s="56"/>
      <c r="F415" s="56"/>
      <c r="G415" s="56"/>
      <c r="H415" s="56"/>
      <c r="I415" s="56"/>
      <c r="J415" s="56"/>
      <c r="K415" s="56"/>
      <c r="L415" s="56"/>
      <c r="M415" s="56"/>
    </row>
    <row r="416" ht="15.75" customHeight="1">
      <c r="A416" s="56"/>
      <c r="B416" s="56"/>
      <c r="C416" s="265"/>
      <c r="D416" s="56"/>
      <c r="E416" s="56"/>
      <c r="F416" s="56"/>
      <c r="G416" s="56"/>
      <c r="H416" s="56"/>
      <c r="I416" s="56"/>
      <c r="J416" s="56"/>
      <c r="K416" s="56"/>
      <c r="L416" s="56"/>
      <c r="M416" s="56"/>
    </row>
    <row r="417" ht="15.75" customHeight="1">
      <c r="A417" s="56"/>
      <c r="B417" s="56"/>
      <c r="C417" s="265"/>
      <c r="D417" s="56"/>
      <c r="E417" s="56"/>
      <c r="F417" s="56"/>
      <c r="G417" s="56"/>
      <c r="H417" s="56"/>
      <c r="I417" s="56"/>
      <c r="J417" s="56"/>
      <c r="K417" s="56"/>
      <c r="L417" s="56"/>
      <c r="M417" s="56"/>
    </row>
    <row r="418" ht="15.75" customHeight="1">
      <c r="A418" s="56"/>
      <c r="B418" s="56"/>
      <c r="C418" s="265"/>
      <c r="D418" s="56"/>
      <c r="E418" s="56"/>
      <c r="F418" s="56"/>
      <c r="G418" s="56"/>
      <c r="H418" s="56"/>
      <c r="I418" s="56"/>
      <c r="J418" s="56"/>
      <c r="K418" s="56"/>
      <c r="L418" s="56"/>
      <c r="M418" s="56"/>
    </row>
    <row r="419" ht="15.75" customHeight="1">
      <c r="A419" s="56"/>
      <c r="B419" s="56"/>
      <c r="C419" s="265"/>
      <c r="D419" s="56"/>
      <c r="E419" s="56"/>
      <c r="F419" s="56"/>
      <c r="G419" s="56"/>
      <c r="H419" s="56"/>
      <c r="I419" s="56"/>
      <c r="J419" s="56"/>
      <c r="K419" s="56"/>
      <c r="L419" s="56"/>
      <c r="M419" s="56"/>
    </row>
    <row r="420" ht="15.75" customHeight="1">
      <c r="A420" s="56"/>
      <c r="B420" s="56"/>
      <c r="C420" s="265"/>
      <c r="D420" s="56"/>
      <c r="E420" s="56"/>
      <c r="F420" s="56"/>
      <c r="G420" s="56"/>
      <c r="H420" s="56"/>
      <c r="I420" s="56"/>
      <c r="J420" s="56"/>
      <c r="K420" s="56"/>
      <c r="L420" s="56"/>
      <c r="M420" s="56"/>
    </row>
    <row r="421" ht="15.75" customHeight="1">
      <c r="A421" s="56"/>
      <c r="B421" s="56"/>
      <c r="C421" s="265"/>
      <c r="D421" s="56"/>
      <c r="E421" s="56"/>
      <c r="F421" s="56"/>
      <c r="G421" s="56"/>
      <c r="H421" s="56"/>
      <c r="I421" s="56"/>
      <c r="J421" s="56"/>
      <c r="K421" s="56"/>
      <c r="L421" s="56"/>
      <c r="M421" s="56"/>
    </row>
    <row r="422" ht="15.75" customHeight="1">
      <c r="A422" s="56"/>
      <c r="B422" s="56"/>
      <c r="C422" s="265"/>
      <c r="D422" s="56"/>
      <c r="E422" s="56"/>
      <c r="F422" s="56"/>
      <c r="G422" s="56"/>
      <c r="H422" s="56"/>
      <c r="I422" s="56"/>
      <c r="J422" s="56"/>
      <c r="K422" s="56"/>
      <c r="L422" s="56"/>
      <c r="M422" s="56"/>
    </row>
    <row r="423" ht="15.75" customHeight="1">
      <c r="A423" s="56"/>
      <c r="B423" s="56"/>
      <c r="C423" s="265"/>
      <c r="D423" s="56"/>
      <c r="E423" s="56"/>
      <c r="F423" s="56"/>
      <c r="G423" s="56"/>
      <c r="H423" s="56"/>
      <c r="I423" s="56"/>
      <c r="J423" s="56"/>
      <c r="K423" s="56"/>
      <c r="L423" s="56"/>
      <c r="M423" s="56"/>
    </row>
    <row r="424" ht="15.75" customHeight="1">
      <c r="A424" s="56"/>
      <c r="B424" s="56"/>
      <c r="C424" s="265"/>
      <c r="D424" s="56"/>
      <c r="E424" s="56"/>
      <c r="F424" s="56"/>
      <c r="G424" s="56"/>
      <c r="H424" s="56"/>
      <c r="I424" s="56"/>
      <c r="J424" s="56"/>
      <c r="K424" s="56"/>
      <c r="L424" s="56"/>
      <c r="M424" s="56"/>
    </row>
    <row r="425" ht="15.75" customHeight="1">
      <c r="A425" s="56"/>
      <c r="B425" s="56"/>
      <c r="C425" s="265"/>
      <c r="D425" s="56"/>
      <c r="E425" s="56"/>
      <c r="F425" s="56"/>
      <c r="G425" s="56"/>
      <c r="H425" s="56"/>
      <c r="I425" s="56"/>
      <c r="J425" s="56"/>
      <c r="K425" s="56"/>
      <c r="L425" s="56"/>
      <c r="M425" s="56"/>
    </row>
    <row r="426" ht="15.75" customHeight="1">
      <c r="A426" s="56"/>
      <c r="B426" s="56"/>
      <c r="C426" s="265"/>
      <c r="D426" s="56"/>
      <c r="E426" s="56"/>
      <c r="F426" s="56"/>
      <c r="G426" s="56"/>
      <c r="H426" s="56"/>
      <c r="I426" s="56"/>
      <c r="J426" s="56"/>
      <c r="K426" s="56"/>
      <c r="L426" s="56"/>
      <c r="M426" s="56"/>
    </row>
    <row r="427" ht="15.75" customHeight="1">
      <c r="A427" s="56"/>
      <c r="B427" s="56"/>
      <c r="C427" s="265"/>
      <c r="D427" s="56"/>
      <c r="E427" s="56"/>
      <c r="F427" s="56"/>
      <c r="G427" s="56"/>
      <c r="H427" s="56"/>
      <c r="I427" s="56"/>
      <c r="J427" s="56"/>
      <c r="K427" s="56"/>
      <c r="L427" s="56"/>
      <c r="M427" s="56"/>
    </row>
    <row r="428" ht="15.75" customHeight="1">
      <c r="A428" s="56"/>
      <c r="B428" s="56"/>
      <c r="C428" s="265"/>
      <c r="D428" s="56"/>
      <c r="E428" s="56"/>
      <c r="F428" s="56"/>
      <c r="G428" s="56"/>
      <c r="H428" s="56"/>
      <c r="I428" s="56"/>
      <c r="J428" s="56"/>
      <c r="K428" s="56"/>
      <c r="L428" s="56"/>
      <c r="M428" s="56"/>
    </row>
    <row r="429" ht="15.75" customHeight="1">
      <c r="A429" s="56"/>
      <c r="B429" s="56"/>
      <c r="C429" s="265"/>
      <c r="D429" s="56"/>
      <c r="E429" s="56"/>
      <c r="F429" s="56"/>
      <c r="G429" s="56"/>
      <c r="H429" s="56"/>
      <c r="I429" s="56"/>
      <c r="J429" s="56"/>
      <c r="K429" s="56"/>
      <c r="L429" s="56"/>
      <c r="M429" s="56"/>
    </row>
    <row r="430" ht="15.75" customHeight="1">
      <c r="A430" s="56"/>
      <c r="B430" s="56"/>
      <c r="C430" s="265"/>
      <c r="D430" s="56"/>
      <c r="E430" s="56"/>
      <c r="F430" s="56"/>
      <c r="G430" s="56"/>
      <c r="H430" s="56"/>
      <c r="I430" s="56"/>
      <c r="J430" s="56"/>
      <c r="K430" s="56"/>
      <c r="L430" s="56"/>
      <c r="M430" s="56"/>
    </row>
    <row r="431" ht="15.75" customHeight="1">
      <c r="A431" s="56"/>
      <c r="B431" s="56"/>
      <c r="C431" s="265"/>
      <c r="D431" s="56"/>
      <c r="E431" s="56"/>
      <c r="F431" s="56"/>
      <c r="G431" s="56"/>
      <c r="H431" s="56"/>
      <c r="I431" s="56"/>
      <c r="J431" s="56"/>
      <c r="K431" s="56"/>
      <c r="L431" s="56"/>
      <c r="M431" s="56"/>
    </row>
    <row r="432" ht="15.75" customHeight="1">
      <c r="A432" s="56"/>
      <c r="B432" s="56"/>
      <c r="C432" s="265"/>
      <c r="D432" s="56"/>
      <c r="E432" s="56"/>
      <c r="F432" s="56"/>
      <c r="G432" s="56"/>
      <c r="H432" s="56"/>
      <c r="I432" s="56"/>
      <c r="J432" s="56"/>
      <c r="K432" s="56"/>
      <c r="L432" s="56"/>
      <c r="M432" s="56"/>
    </row>
    <row r="433" ht="15.75" customHeight="1">
      <c r="A433" s="56"/>
      <c r="B433" s="56"/>
      <c r="C433" s="265"/>
      <c r="D433" s="56"/>
      <c r="E433" s="56"/>
      <c r="F433" s="56"/>
      <c r="G433" s="56"/>
      <c r="H433" s="56"/>
      <c r="I433" s="56"/>
      <c r="J433" s="56"/>
      <c r="K433" s="56"/>
      <c r="L433" s="56"/>
      <c r="M433" s="56"/>
    </row>
    <row r="434" ht="15.75" customHeight="1">
      <c r="A434" s="56"/>
      <c r="B434" s="56"/>
      <c r="C434" s="265"/>
      <c r="D434" s="56"/>
      <c r="E434" s="56"/>
      <c r="F434" s="56"/>
      <c r="G434" s="56"/>
      <c r="H434" s="56"/>
      <c r="I434" s="56"/>
      <c r="J434" s="56"/>
      <c r="K434" s="56"/>
      <c r="L434" s="56"/>
      <c r="M434" s="56"/>
    </row>
    <row r="435" ht="15.75" customHeight="1">
      <c r="A435" s="56"/>
      <c r="B435" s="56"/>
      <c r="C435" s="265"/>
      <c r="D435" s="56"/>
      <c r="E435" s="56"/>
      <c r="F435" s="56"/>
      <c r="G435" s="56"/>
      <c r="H435" s="56"/>
      <c r="I435" s="56"/>
      <c r="J435" s="56"/>
      <c r="K435" s="56"/>
      <c r="L435" s="56"/>
      <c r="M435" s="56"/>
    </row>
    <row r="436" ht="15.75" customHeight="1">
      <c r="A436" s="56"/>
      <c r="B436" s="56"/>
      <c r="C436" s="265"/>
      <c r="D436" s="56"/>
      <c r="E436" s="56"/>
      <c r="F436" s="56"/>
      <c r="G436" s="56"/>
      <c r="H436" s="56"/>
      <c r="I436" s="56"/>
      <c r="J436" s="56"/>
      <c r="K436" s="56"/>
      <c r="L436" s="56"/>
      <c r="M436" s="56"/>
    </row>
    <row r="437" ht="15.75" customHeight="1">
      <c r="A437" s="56"/>
      <c r="B437" s="56"/>
      <c r="C437" s="265"/>
      <c r="D437" s="56"/>
      <c r="E437" s="56"/>
      <c r="F437" s="56"/>
      <c r="G437" s="56"/>
      <c r="H437" s="56"/>
      <c r="I437" s="56"/>
      <c r="J437" s="56"/>
      <c r="K437" s="56"/>
      <c r="L437" s="56"/>
      <c r="M437" s="56"/>
    </row>
    <row r="438" ht="15.75" customHeight="1">
      <c r="A438" s="56"/>
      <c r="B438" s="56"/>
      <c r="C438" s="265"/>
      <c r="D438" s="56"/>
      <c r="E438" s="56"/>
      <c r="F438" s="56"/>
      <c r="G438" s="56"/>
      <c r="H438" s="56"/>
      <c r="I438" s="56"/>
      <c r="J438" s="56"/>
      <c r="K438" s="56"/>
      <c r="L438" s="56"/>
      <c r="M438" s="56"/>
    </row>
    <row r="439" ht="15.75" customHeight="1">
      <c r="A439" s="56"/>
      <c r="B439" s="56"/>
      <c r="C439" s="265"/>
      <c r="D439" s="56"/>
      <c r="E439" s="56"/>
      <c r="F439" s="56"/>
      <c r="G439" s="56"/>
      <c r="H439" s="56"/>
      <c r="I439" s="56"/>
      <c r="J439" s="56"/>
      <c r="K439" s="56"/>
      <c r="L439" s="56"/>
      <c r="M439" s="56"/>
    </row>
    <row r="440" ht="15.75" customHeight="1">
      <c r="A440" s="56"/>
      <c r="B440" s="56"/>
      <c r="C440" s="265"/>
      <c r="D440" s="56"/>
      <c r="E440" s="56"/>
      <c r="F440" s="56"/>
      <c r="G440" s="56"/>
      <c r="H440" s="56"/>
      <c r="I440" s="56"/>
      <c r="J440" s="56"/>
      <c r="K440" s="56"/>
      <c r="L440" s="56"/>
      <c r="M440" s="56"/>
    </row>
    <row r="441" ht="15.75" customHeight="1">
      <c r="A441" s="56"/>
      <c r="B441" s="56"/>
      <c r="C441" s="265"/>
      <c r="D441" s="56"/>
      <c r="E441" s="56"/>
      <c r="F441" s="56"/>
      <c r="G441" s="56"/>
      <c r="H441" s="56"/>
      <c r="I441" s="56"/>
      <c r="J441" s="56"/>
      <c r="K441" s="56"/>
      <c r="L441" s="56"/>
      <c r="M441" s="56"/>
    </row>
    <row r="442" ht="15.75" customHeight="1">
      <c r="A442" s="56"/>
      <c r="B442" s="56"/>
      <c r="C442" s="265"/>
      <c r="D442" s="56"/>
      <c r="E442" s="56"/>
      <c r="F442" s="56"/>
      <c r="G442" s="56"/>
      <c r="H442" s="56"/>
      <c r="I442" s="56"/>
      <c r="J442" s="56"/>
      <c r="K442" s="56"/>
      <c r="L442" s="56"/>
      <c r="M442" s="56"/>
    </row>
    <row r="443" ht="15.75" customHeight="1">
      <c r="A443" s="56"/>
      <c r="B443" s="56"/>
      <c r="C443" s="265"/>
      <c r="D443" s="56"/>
      <c r="E443" s="56"/>
      <c r="F443" s="56"/>
      <c r="G443" s="56"/>
      <c r="H443" s="56"/>
      <c r="I443" s="56"/>
      <c r="J443" s="56"/>
      <c r="K443" s="56"/>
      <c r="L443" s="56"/>
      <c r="M443" s="56"/>
    </row>
    <row r="444" ht="15.75" customHeight="1">
      <c r="A444" s="56"/>
      <c r="B444" s="56"/>
      <c r="C444" s="265"/>
      <c r="D444" s="56"/>
      <c r="E444" s="56"/>
      <c r="F444" s="56"/>
      <c r="G444" s="56"/>
      <c r="H444" s="56"/>
      <c r="I444" s="56"/>
      <c r="J444" s="56"/>
      <c r="K444" s="56"/>
      <c r="L444" s="56"/>
      <c r="M444" s="56"/>
    </row>
    <row r="445" ht="15.75" customHeight="1">
      <c r="A445" s="56"/>
      <c r="B445" s="56"/>
      <c r="C445" s="265"/>
      <c r="D445" s="56"/>
      <c r="E445" s="56"/>
      <c r="F445" s="56"/>
      <c r="G445" s="56"/>
      <c r="H445" s="56"/>
      <c r="I445" s="56"/>
      <c r="J445" s="56"/>
      <c r="K445" s="56"/>
      <c r="L445" s="56"/>
      <c r="M445" s="56"/>
    </row>
    <row r="446" ht="15.75" customHeight="1">
      <c r="A446" s="56"/>
      <c r="B446" s="56"/>
      <c r="C446" s="265"/>
      <c r="D446" s="56"/>
      <c r="E446" s="56"/>
      <c r="F446" s="56"/>
      <c r="G446" s="56"/>
      <c r="H446" s="56"/>
      <c r="I446" s="56"/>
      <c r="J446" s="56"/>
      <c r="K446" s="56"/>
      <c r="L446" s="56"/>
      <c r="M446" s="56"/>
    </row>
    <row r="447" ht="15.75" customHeight="1">
      <c r="A447" s="56"/>
      <c r="B447" s="56"/>
      <c r="C447" s="265"/>
      <c r="D447" s="56"/>
      <c r="E447" s="56"/>
      <c r="F447" s="56"/>
      <c r="G447" s="56"/>
      <c r="H447" s="56"/>
      <c r="I447" s="56"/>
      <c r="J447" s="56"/>
      <c r="K447" s="56"/>
      <c r="L447" s="56"/>
      <c r="M447" s="56"/>
    </row>
    <row r="448" ht="15.75" customHeight="1">
      <c r="A448" s="56"/>
      <c r="B448" s="56"/>
      <c r="C448" s="265"/>
      <c r="D448" s="56"/>
      <c r="E448" s="56"/>
      <c r="F448" s="56"/>
      <c r="G448" s="56"/>
      <c r="H448" s="56"/>
      <c r="I448" s="56"/>
      <c r="J448" s="56"/>
      <c r="K448" s="56"/>
      <c r="L448" s="56"/>
      <c r="M448" s="56"/>
    </row>
    <row r="449" ht="15.75" customHeight="1">
      <c r="A449" s="56"/>
      <c r="B449" s="56"/>
      <c r="C449" s="265"/>
      <c r="D449" s="56"/>
      <c r="E449" s="56"/>
      <c r="F449" s="56"/>
      <c r="G449" s="56"/>
      <c r="H449" s="56"/>
      <c r="I449" s="56"/>
      <c r="J449" s="56"/>
      <c r="K449" s="56"/>
      <c r="L449" s="56"/>
      <c r="M449" s="56"/>
    </row>
    <row r="450" ht="15.75" customHeight="1">
      <c r="A450" s="56"/>
      <c r="B450" s="56"/>
      <c r="C450" s="265"/>
      <c r="D450" s="56"/>
      <c r="E450" s="56"/>
      <c r="F450" s="56"/>
      <c r="G450" s="56"/>
      <c r="H450" s="56"/>
      <c r="I450" s="56"/>
      <c r="J450" s="56"/>
      <c r="K450" s="56"/>
      <c r="L450" s="56"/>
      <c r="M450" s="56"/>
    </row>
    <row r="451" ht="15.75" customHeight="1">
      <c r="A451" s="56"/>
      <c r="B451" s="56"/>
      <c r="C451" s="265"/>
      <c r="D451" s="56"/>
      <c r="E451" s="56"/>
      <c r="F451" s="56"/>
      <c r="G451" s="56"/>
      <c r="H451" s="56"/>
      <c r="I451" s="56"/>
      <c r="J451" s="56"/>
      <c r="K451" s="56"/>
      <c r="L451" s="56"/>
      <c r="M451" s="56"/>
    </row>
    <row r="452" ht="15.75" customHeight="1">
      <c r="A452" s="56"/>
      <c r="B452" s="56"/>
      <c r="C452" s="265"/>
      <c r="D452" s="56"/>
      <c r="E452" s="56"/>
      <c r="F452" s="56"/>
      <c r="G452" s="56"/>
      <c r="H452" s="56"/>
      <c r="I452" s="56"/>
      <c r="J452" s="56"/>
      <c r="K452" s="56"/>
      <c r="L452" s="56"/>
      <c r="M452" s="56"/>
    </row>
    <row r="453" ht="15.75" customHeight="1">
      <c r="A453" s="56"/>
      <c r="B453" s="56"/>
      <c r="C453" s="265"/>
      <c r="D453" s="56"/>
      <c r="E453" s="56"/>
      <c r="F453" s="56"/>
      <c r="G453" s="56"/>
      <c r="H453" s="56"/>
      <c r="I453" s="56"/>
      <c r="J453" s="56"/>
      <c r="K453" s="56"/>
      <c r="L453" s="56"/>
      <c r="M453" s="56"/>
    </row>
    <row r="454" ht="15.75" customHeight="1">
      <c r="A454" s="56"/>
      <c r="B454" s="56"/>
      <c r="C454" s="265"/>
      <c r="D454" s="56"/>
      <c r="E454" s="56"/>
      <c r="F454" s="56"/>
      <c r="G454" s="56"/>
      <c r="H454" s="56"/>
      <c r="I454" s="56"/>
      <c r="J454" s="56"/>
      <c r="K454" s="56"/>
      <c r="L454" s="56"/>
      <c r="M454" s="56"/>
    </row>
    <row r="455" ht="15.75" customHeight="1">
      <c r="A455" s="56"/>
      <c r="B455" s="56"/>
      <c r="C455" s="265"/>
      <c r="D455" s="56"/>
      <c r="E455" s="56"/>
      <c r="F455" s="56"/>
      <c r="G455" s="56"/>
      <c r="H455" s="56"/>
      <c r="I455" s="56"/>
      <c r="J455" s="56"/>
      <c r="K455" s="56"/>
      <c r="L455" s="56"/>
      <c r="M455" s="56"/>
    </row>
    <row r="456" ht="15.75" customHeight="1">
      <c r="A456" s="56"/>
      <c r="B456" s="56"/>
      <c r="C456" s="265"/>
      <c r="D456" s="56"/>
      <c r="E456" s="56"/>
      <c r="F456" s="56"/>
      <c r="G456" s="56"/>
      <c r="H456" s="56"/>
      <c r="I456" s="56"/>
      <c r="J456" s="56"/>
      <c r="K456" s="56"/>
      <c r="L456" s="56"/>
      <c r="M456" s="56"/>
    </row>
    <row r="457" ht="15.75" customHeight="1">
      <c r="A457" s="56"/>
      <c r="B457" s="56"/>
      <c r="C457" s="265"/>
      <c r="D457" s="56"/>
      <c r="E457" s="56"/>
      <c r="F457" s="56"/>
      <c r="G457" s="56"/>
      <c r="H457" s="56"/>
      <c r="I457" s="56"/>
      <c r="J457" s="56"/>
      <c r="K457" s="56"/>
      <c r="L457" s="56"/>
      <c r="M457" s="56"/>
    </row>
    <row r="458" ht="15.75" customHeight="1">
      <c r="A458" s="56"/>
      <c r="B458" s="56"/>
      <c r="C458" s="265"/>
      <c r="D458" s="56"/>
      <c r="E458" s="56"/>
      <c r="F458" s="56"/>
      <c r="G458" s="56"/>
      <c r="H458" s="56"/>
      <c r="I458" s="56"/>
      <c r="J458" s="56"/>
      <c r="K458" s="56"/>
      <c r="L458" s="56"/>
      <c r="M458" s="56"/>
    </row>
    <row r="459" ht="15.75" customHeight="1">
      <c r="A459" s="56"/>
      <c r="B459" s="56"/>
      <c r="C459" s="265"/>
      <c r="D459" s="56"/>
      <c r="E459" s="56"/>
      <c r="F459" s="56"/>
      <c r="G459" s="56"/>
      <c r="H459" s="56"/>
      <c r="I459" s="56"/>
      <c r="J459" s="56"/>
      <c r="K459" s="56"/>
      <c r="L459" s="56"/>
      <c r="M459" s="56"/>
    </row>
    <row r="460" ht="15.75" customHeight="1">
      <c r="A460" s="56"/>
      <c r="B460" s="56"/>
      <c r="C460" s="265"/>
      <c r="D460" s="56"/>
      <c r="E460" s="56"/>
      <c r="F460" s="56"/>
      <c r="G460" s="56"/>
      <c r="H460" s="56"/>
      <c r="I460" s="56"/>
      <c r="J460" s="56"/>
      <c r="K460" s="56"/>
      <c r="L460" s="56"/>
      <c r="M460" s="56"/>
    </row>
    <row r="461" ht="15.75" customHeight="1">
      <c r="A461" s="56"/>
      <c r="B461" s="56"/>
      <c r="C461" s="265"/>
      <c r="D461" s="56"/>
      <c r="E461" s="56"/>
      <c r="F461" s="56"/>
      <c r="G461" s="56"/>
      <c r="H461" s="56"/>
      <c r="I461" s="56"/>
      <c r="J461" s="56"/>
      <c r="K461" s="56"/>
      <c r="L461" s="56"/>
      <c r="M461" s="56"/>
    </row>
    <row r="462" ht="15.75" customHeight="1">
      <c r="A462" s="56"/>
      <c r="B462" s="56"/>
      <c r="C462" s="265"/>
      <c r="D462" s="56"/>
      <c r="E462" s="56"/>
      <c r="F462" s="56"/>
      <c r="G462" s="56"/>
      <c r="H462" s="56"/>
      <c r="I462" s="56"/>
      <c r="J462" s="56"/>
      <c r="K462" s="56"/>
      <c r="L462" s="56"/>
      <c r="M462" s="56"/>
    </row>
    <row r="463" ht="15.75" customHeight="1">
      <c r="A463" s="56"/>
      <c r="B463" s="56"/>
      <c r="C463" s="265"/>
      <c r="D463" s="56"/>
      <c r="E463" s="56"/>
      <c r="F463" s="56"/>
      <c r="G463" s="56"/>
      <c r="H463" s="56"/>
      <c r="I463" s="56"/>
      <c r="J463" s="56"/>
      <c r="K463" s="56"/>
      <c r="L463" s="56"/>
      <c r="M463" s="56"/>
    </row>
    <row r="464" ht="15.75" customHeight="1">
      <c r="A464" s="56"/>
      <c r="B464" s="56"/>
      <c r="C464" s="265"/>
      <c r="D464" s="56"/>
      <c r="E464" s="56"/>
      <c r="F464" s="56"/>
      <c r="G464" s="56"/>
      <c r="H464" s="56"/>
      <c r="I464" s="56"/>
      <c r="J464" s="56"/>
      <c r="K464" s="56"/>
      <c r="L464" s="56"/>
      <c r="M464" s="56"/>
    </row>
    <row r="465" ht="15.75" customHeight="1">
      <c r="A465" s="56"/>
      <c r="B465" s="56"/>
      <c r="C465" s="265"/>
      <c r="D465" s="56"/>
      <c r="E465" s="56"/>
      <c r="F465" s="56"/>
      <c r="G465" s="56"/>
      <c r="H465" s="56"/>
      <c r="I465" s="56"/>
      <c r="J465" s="56"/>
      <c r="K465" s="56"/>
      <c r="L465" s="56"/>
      <c r="M465" s="56"/>
    </row>
    <row r="466" ht="15.75" customHeight="1">
      <c r="A466" s="56"/>
      <c r="B466" s="56"/>
      <c r="C466" s="265"/>
      <c r="D466" s="56"/>
      <c r="E466" s="56"/>
      <c r="F466" s="56"/>
      <c r="G466" s="56"/>
      <c r="H466" s="56"/>
      <c r="I466" s="56"/>
      <c r="J466" s="56"/>
      <c r="K466" s="56"/>
      <c r="L466" s="56"/>
      <c r="M466" s="56"/>
    </row>
    <row r="467" ht="15.75" customHeight="1">
      <c r="A467" s="56"/>
      <c r="B467" s="56"/>
      <c r="C467" s="265"/>
      <c r="D467" s="56"/>
      <c r="E467" s="56"/>
      <c r="F467" s="56"/>
      <c r="G467" s="56"/>
      <c r="H467" s="56"/>
      <c r="I467" s="56"/>
      <c r="J467" s="56"/>
      <c r="K467" s="56"/>
      <c r="L467" s="56"/>
      <c r="M467" s="56"/>
    </row>
    <row r="468" ht="15.75" customHeight="1">
      <c r="A468" s="56"/>
      <c r="B468" s="56"/>
      <c r="C468" s="265"/>
      <c r="D468" s="56"/>
      <c r="E468" s="56"/>
      <c r="F468" s="56"/>
      <c r="G468" s="56"/>
      <c r="H468" s="56"/>
      <c r="I468" s="56"/>
      <c r="J468" s="56"/>
      <c r="K468" s="56"/>
      <c r="L468" s="56"/>
      <c r="M468" s="56"/>
    </row>
    <row r="469" ht="15.75" customHeight="1">
      <c r="A469" s="56"/>
      <c r="B469" s="56"/>
      <c r="C469" s="265"/>
      <c r="D469" s="56"/>
      <c r="E469" s="56"/>
      <c r="F469" s="56"/>
      <c r="G469" s="56"/>
      <c r="H469" s="56"/>
      <c r="I469" s="56"/>
      <c r="J469" s="56"/>
      <c r="K469" s="56"/>
      <c r="L469" s="56"/>
      <c r="M469" s="56"/>
    </row>
    <row r="470" ht="15.75" customHeight="1">
      <c r="A470" s="56"/>
      <c r="B470" s="56"/>
      <c r="C470" s="265"/>
      <c r="D470" s="56"/>
      <c r="E470" s="56"/>
      <c r="F470" s="56"/>
      <c r="G470" s="56"/>
      <c r="H470" s="56"/>
      <c r="I470" s="56"/>
      <c r="J470" s="56"/>
      <c r="K470" s="56"/>
      <c r="L470" s="56"/>
      <c r="M470" s="56"/>
    </row>
    <row r="471" ht="15.75" customHeight="1">
      <c r="A471" s="56"/>
      <c r="B471" s="56"/>
      <c r="C471" s="265"/>
      <c r="D471" s="56"/>
      <c r="E471" s="56"/>
      <c r="F471" s="56"/>
      <c r="G471" s="56"/>
      <c r="H471" s="56"/>
      <c r="I471" s="56"/>
      <c r="J471" s="56"/>
      <c r="K471" s="56"/>
      <c r="L471" s="56"/>
      <c r="M471" s="56"/>
    </row>
    <row r="472" ht="15.75" customHeight="1">
      <c r="A472" s="56"/>
      <c r="B472" s="56"/>
      <c r="C472" s="265"/>
      <c r="D472" s="56"/>
      <c r="E472" s="56"/>
      <c r="F472" s="56"/>
      <c r="G472" s="56"/>
      <c r="H472" s="56"/>
      <c r="I472" s="56"/>
      <c r="J472" s="56"/>
      <c r="K472" s="56"/>
      <c r="L472" s="56"/>
      <c r="M472" s="56"/>
    </row>
    <row r="473" ht="15.75" customHeight="1">
      <c r="A473" s="56"/>
      <c r="B473" s="56"/>
      <c r="C473" s="265"/>
      <c r="D473" s="56"/>
      <c r="E473" s="56"/>
      <c r="F473" s="56"/>
      <c r="G473" s="56"/>
      <c r="H473" s="56"/>
      <c r="I473" s="56"/>
      <c r="J473" s="56"/>
      <c r="K473" s="56"/>
      <c r="L473" s="56"/>
      <c r="M473" s="56"/>
    </row>
    <row r="474" ht="15.75" customHeight="1">
      <c r="A474" s="56"/>
      <c r="B474" s="56"/>
      <c r="C474" s="265"/>
      <c r="D474" s="56"/>
      <c r="E474" s="56"/>
      <c r="F474" s="56"/>
      <c r="G474" s="56"/>
      <c r="H474" s="56"/>
      <c r="I474" s="56"/>
      <c r="J474" s="56"/>
      <c r="K474" s="56"/>
      <c r="L474" s="56"/>
      <c r="M474" s="56"/>
    </row>
    <row r="475" ht="15.75" customHeight="1">
      <c r="A475" s="56"/>
      <c r="B475" s="56"/>
      <c r="C475" s="265"/>
      <c r="D475" s="56"/>
      <c r="E475" s="56"/>
      <c r="F475" s="56"/>
      <c r="G475" s="56"/>
      <c r="H475" s="56"/>
      <c r="I475" s="56"/>
      <c r="J475" s="56"/>
      <c r="K475" s="56"/>
      <c r="L475" s="56"/>
      <c r="M475" s="56"/>
    </row>
    <row r="476" ht="15.75" customHeight="1">
      <c r="A476" s="56"/>
      <c r="B476" s="56"/>
      <c r="C476" s="265"/>
      <c r="D476" s="56"/>
      <c r="E476" s="56"/>
      <c r="F476" s="56"/>
      <c r="G476" s="56"/>
      <c r="H476" s="56"/>
      <c r="I476" s="56"/>
      <c r="J476" s="56"/>
      <c r="K476" s="56"/>
      <c r="L476" s="56"/>
      <c r="M476" s="56"/>
    </row>
    <row r="477" ht="15.75" customHeight="1">
      <c r="A477" s="56"/>
      <c r="B477" s="56"/>
      <c r="C477" s="265"/>
      <c r="D477" s="56"/>
      <c r="E477" s="56"/>
      <c r="F477" s="56"/>
      <c r="G477" s="56"/>
      <c r="H477" s="56"/>
      <c r="I477" s="56"/>
      <c r="J477" s="56"/>
      <c r="K477" s="56"/>
      <c r="L477" s="56"/>
      <c r="M477" s="56"/>
    </row>
    <row r="478" ht="15.75" customHeight="1">
      <c r="A478" s="56"/>
      <c r="B478" s="56"/>
      <c r="C478" s="265"/>
      <c r="D478" s="56"/>
      <c r="E478" s="56"/>
      <c r="F478" s="56"/>
      <c r="G478" s="56"/>
      <c r="H478" s="56"/>
      <c r="I478" s="56"/>
      <c r="J478" s="56"/>
      <c r="K478" s="56"/>
      <c r="L478" s="56"/>
      <c r="M478" s="56"/>
    </row>
    <row r="479" ht="15.75" customHeight="1">
      <c r="A479" s="56"/>
      <c r="B479" s="56"/>
      <c r="C479" s="265"/>
      <c r="D479" s="56"/>
      <c r="E479" s="56"/>
      <c r="F479" s="56"/>
      <c r="G479" s="56"/>
      <c r="H479" s="56"/>
      <c r="I479" s="56"/>
      <c r="J479" s="56"/>
      <c r="K479" s="56"/>
      <c r="L479" s="56"/>
      <c r="M479" s="56"/>
    </row>
    <row r="480" ht="15.75" customHeight="1">
      <c r="A480" s="56"/>
      <c r="B480" s="56"/>
      <c r="C480" s="265"/>
      <c r="D480" s="56"/>
      <c r="E480" s="56"/>
      <c r="F480" s="56"/>
      <c r="G480" s="56"/>
      <c r="H480" s="56"/>
      <c r="I480" s="56"/>
      <c r="J480" s="56"/>
      <c r="K480" s="56"/>
      <c r="L480" s="56"/>
      <c r="M480" s="56"/>
    </row>
    <row r="481" ht="15.75" customHeight="1">
      <c r="A481" s="56"/>
      <c r="B481" s="56"/>
      <c r="C481" s="265"/>
      <c r="D481" s="56"/>
      <c r="E481" s="56"/>
      <c r="F481" s="56"/>
      <c r="G481" s="56"/>
      <c r="H481" s="56"/>
      <c r="I481" s="56"/>
      <c r="J481" s="56"/>
      <c r="K481" s="56"/>
      <c r="L481" s="56"/>
      <c r="M481" s="56"/>
    </row>
    <row r="482" ht="15.75" customHeight="1">
      <c r="A482" s="56"/>
      <c r="B482" s="56"/>
      <c r="C482" s="265"/>
      <c r="D482" s="56"/>
      <c r="E482" s="56"/>
      <c r="F482" s="56"/>
      <c r="G482" s="56"/>
      <c r="H482" s="56"/>
      <c r="I482" s="56"/>
      <c r="J482" s="56"/>
      <c r="K482" s="56"/>
      <c r="L482" s="56"/>
      <c r="M482" s="56"/>
    </row>
    <row r="483" ht="15.75" customHeight="1">
      <c r="A483" s="56"/>
      <c r="B483" s="56"/>
      <c r="C483" s="265"/>
      <c r="D483" s="56"/>
      <c r="E483" s="56"/>
      <c r="F483" s="56"/>
      <c r="G483" s="56"/>
      <c r="H483" s="56"/>
      <c r="I483" s="56"/>
      <c r="J483" s="56"/>
      <c r="K483" s="56"/>
      <c r="L483" s="56"/>
      <c r="M483" s="56"/>
    </row>
    <row r="484" ht="15.75" customHeight="1">
      <c r="A484" s="56"/>
      <c r="B484" s="56"/>
      <c r="C484" s="265"/>
      <c r="D484" s="56"/>
      <c r="E484" s="56"/>
      <c r="F484" s="56"/>
      <c r="G484" s="56"/>
      <c r="H484" s="56"/>
      <c r="I484" s="56"/>
      <c r="J484" s="56"/>
      <c r="K484" s="56"/>
      <c r="L484" s="56"/>
      <c r="M484" s="56"/>
    </row>
    <row r="485" ht="15.75" customHeight="1">
      <c r="A485" s="56"/>
      <c r="B485" s="56"/>
      <c r="C485" s="265"/>
      <c r="D485" s="56"/>
      <c r="E485" s="56"/>
      <c r="F485" s="56"/>
      <c r="G485" s="56"/>
      <c r="H485" s="56"/>
      <c r="I485" s="56"/>
      <c r="J485" s="56"/>
      <c r="K485" s="56"/>
      <c r="L485" s="56"/>
      <c r="M485" s="56"/>
    </row>
    <row r="486" ht="15.75" customHeight="1">
      <c r="A486" s="56"/>
      <c r="B486" s="56"/>
      <c r="C486" s="265"/>
      <c r="D486" s="56"/>
      <c r="E486" s="56"/>
      <c r="F486" s="56"/>
      <c r="G486" s="56"/>
      <c r="H486" s="56"/>
      <c r="I486" s="56"/>
      <c r="J486" s="56"/>
      <c r="K486" s="56"/>
      <c r="L486" s="56"/>
      <c r="M486" s="56"/>
    </row>
    <row r="487" ht="15.75" customHeight="1">
      <c r="A487" s="56"/>
      <c r="B487" s="56"/>
      <c r="C487" s="265"/>
      <c r="D487" s="56"/>
      <c r="E487" s="56"/>
      <c r="F487" s="56"/>
      <c r="G487" s="56"/>
      <c r="H487" s="56"/>
      <c r="I487" s="56"/>
      <c r="J487" s="56"/>
      <c r="K487" s="56"/>
      <c r="L487" s="56"/>
      <c r="M487" s="56"/>
    </row>
    <row r="488" ht="15.75" customHeight="1">
      <c r="A488" s="56"/>
      <c r="B488" s="56"/>
      <c r="C488" s="265"/>
      <c r="D488" s="56"/>
      <c r="E488" s="56"/>
      <c r="F488" s="56"/>
      <c r="G488" s="56"/>
      <c r="H488" s="56"/>
      <c r="I488" s="56"/>
      <c r="J488" s="56"/>
      <c r="K488" s="56"/>
      <c r="L488" s="56"/>
      <c r="M488" s="56"/>
    </row>
    <row r="489" ht="15.75" customHeight="1">
      <c r="A489" s="56"/>
      <c r="B489" s="56"/>
      <c r="C489" s="265"/>
      <c r="D489" s="56"/>
      <c r="E489" s="56"/>
      <c r="F489" s="56"/>
      <c r="G489" s="56"/>
      <c r="H489" s="56"/>
      <c r="I489" s="56"/>
      <c r="J489" s="56"/>
      <c r="K489" s="56"/>
      <c r="L489" s="56"/>
      <c r="M489" s="56"/>
    </row>
    <row r="490" ht="15.75" customHeight="1">
      <c r="A490" s="56"/>
      <c r="B490" s="56"/>
      <c r="C490" s="265"/>
      <c r="D490" s="56"/>
      <c r="E490" s="56"/>
      <c r="F490" s="56"/>
      <c r="G490" s="56"/>
      <c r="H490" s="56"/>
      <c r="I490" s="56"/>
      <c r="J490" s="56"/>
      <c r="K490" s="56"/>
      <c r="L490" s="56"/>
      <c r="M490" s="56"/>
    </row>
    <row r="491" ht="15.75" customHeight="1">
      <c r="A491" s="56"/>
      <c r="B491" s="56"/>
      <c r="C491" s="265"/>
      <c r="D491" s="56"/>
      <c r="E491" s="56"/>
      <c r="F491" s="56"/>
      <c r="G491" s="56"/>
      <c r="H491" s="56"/>
      <c r="I491" s="56"/>
      <c r="J491" s="56"/>
      <c r="K491" s="56"/>
      <c r="L491" s="56"/>
      <c r="M491" s="56"/>
    </row>
    <row r="492" ht="15.75" customHeight="1">
      <c r="A492" s="56"/>
      <c r="B492" s="56"/>
      <c r="C492" s="265"/>
      <c r="D492" s="56"/>
      <c r="E492" s="56"/>
      <c r="F492" s="56"/>
      <c r="G492" s="56"/>
      <c r="H492" s="56"/>
      <c r="I492" s="56"/>
      <c r="J492" s="56"/>
      <c r="K492" s="56"/>
      <c r="L492" s="56"/>
      <c r="M492" s="56"/>
    </row>
    <row r="493" ht="15.75" customHeight="1">
      <c r="A493" s="56"/>
      <c r="B493" s="56"/>
      <c r="C493" s="265"/>
      <c r="D493" s="56"/>
      <c r="E493" s="56"/>
      <c r="F493" s="56"/>
      <c r="G493" s="56"/>
      <c r="H493" s="56"/>
      <c r="I493" s="56"/>
      <c r="J493" s="56"/>
      <c r="K493" s="56"/>
      <c r="L493" s="56"/>
      <c r="M493" s="56"/>
    </row>
    <row r="494" ht="15.75" customHeight="1">
      <c r="A494" s="56"/>
      <c r="B494" s="56"/>
      <c r="C494" s="265"/>
      <c r="D494" s="56"/>
      <c r="E494" s="56"/>
      <c r="F494" s="56"/>
      <c r="G494" s="56"/>
      <c r="H494" s="56"/>
      <c r="I494" s="56"/>
      <c r="J494" s="56"/>
      <c r="K494" s="56"/>
      <c r="L494" s="56"/>
      <c r="M494" s="56"/>
    </row>
    <row r="495" ht="15.75" customHeight="1">
      <c r="A495" s="56"/>
      <c r="B495" s="56"/>
      <c r="C495" s="265"/>
      <c r="D495" s="56"/>
      <c r="E495" s="56"/>
      <c r="F495" s="56"/>
      <c r="G495" s="56"/>
      <c r="H495" s="56"/>
      <c r="I495" s="56"/>
      <c r="J495" s="56"/>
      <c r="K495" s="56"/>
      <c r="L495" s="56"/>
      <c r="M495" s="56"/>
    </row>
    <row r="496" ht="15.75" customHeight="1">
      <c r="A496" s="56"/>
      <c r="B496" s="56"/>
      <c r="C496" s="265"/>
      <c r="D496" s="56"/>
      <c r="E496" s="56"/>
      <c r="F496" s="56"/>
      <c r="G496" s="56"/>
      <c r="H496" s="56"/>
      <c r="I496" s="56"/>
      <c r="J496" s="56"/>
      <c r="K496" s="56"/>
      <c r="L496" s="56"/>
      <c r="M496" s="56"/>
    </row>
    <row r="497" ht="15.75" customHeight="1">
      <c r="A497" s="56"/>
      <c r="B497" s="56"/>
      <c r="C497" s="265"/>
      <c r="D497" s="56"/>
      <c r="E497" s="56"/>
      <c r="F497" s="56"/>
      <c r="G497" s="56"/>
      <c r="H497" s="56"/>
      <c r="I497" s="56"/>
      <c r="J497" s="56"/>
      <c r="K497" s="56"/>
      <c r="L497" s="56"/>
      <c r="M497" s="56"/>
    </row>
    <row r="498" ht="15.75" customHeight="1">
      <c r="A498" s="56"/>
      <c r="B498" s="56"/>
      <c r="C498" s="265"/>
      <c r="D498" s="56"/>
      <c r="E498" s="56"/>
      <c r="F498" s="56"/>
      <c r="G498" s="56"/>
      <c r="H498" s="56"/>
      <c r="I498" s="56"/>
      <c r="J498" s="56"/>
      <c r="K498" s="56"/>
      <c r="L498" s="56"/>
      <c r="M498" s="56"/>
    </row>
    <row r="499" ht="15.75" customHeight="1">
      <c r="A499" s="56"/>
      <c r="B499" s="56"/>
      <c r="C499" s="265"/>
      <c r="D499" s="56"/>
      <c r="E499" s="56"/>
      <c r="F499" s="56"/>
      <c r="G499" s="56"/>
      <c r="H499" s="56"/>
      <c r="I499" s="56"/>
      <c r="J499" s="56"/>
      <c r="K499" s="56"/>
      <c r="L499" s="56"/>
      <c r="M499" s="56"/>
    </row>
    <row r="500" ht="15.75" customHeight="1">
      <c r="A500" s="56"/>
      <c r="B500" s="56"/>
      <c r="C500" s="265"/>
      <c r="D500" s="56"/>
      <c r="E500" s="56"/>
      <c r="F500" s="56"/>
      <c r="G500" s="56"/>
      <c r="H500" s="56"/>
      <c r="I500" s="56"/>
      <c r="J500" s="56"/>
      <c r="K500" s="56"/>
      <c r="L500" s="56"/>
      <c r="M500" s="56"/>
    </row>
    <row r="501" ht="15.75" customHeight="1">
      <c r="A501" s="56"/>
      <c r="B501" s="56"/>
      <c r="C501" s="265"/>
      <c r="D501" s="56"/>
      <c r="E501" s="56"/>
      <c r="F501" s="56"/>
      <c r="G501" s="56"/>
      <c r="H501" s="56"/>
      <c r="I501" s="56"/>
      <c r="J501" s="56"/>
      <c r="K501" s="56"/>
      <c r="L501" s="56"/>
      <c r="M501" s="56"/>
    </row>
    <row r="502" ht="15.75" customHeight="1">
      <c r="A502" s="56"/>
      <c r="B502" s="56"/>
      <c r="C502" s="265"/>
      <c r="D502" s="56"/>
      <c r="E502" s="56"/>
      <c r="F502" s="56"/>
      <c r="G502" s="56"/>
      <c r="H502" s="56"/>
      <c r="I502" s="56"/>
      <c r="J502" s="56"/>
      <c r="K502" s="56"/>
      <c r="L502" s="56"/>
      <c r="M502" s="56"/>
    </row>
    <row r="503" ht="15.75" customHeight="1">
      <c r="A503" s="56"/>
      <c r="B503" s="56"/>
      <c r="C503" s="265"/>
      <c r="D503" s="56"/>
      <c r="E503" s="56"/>
      <c r="F503" s="56"/>
      <c r="G503" s="56"/>
      <c r="H503" s="56"/>
      <c r="I503" s="56"/>
      <c r="J503" s="56"/>
      <c r="K503" s="56"/>
      <c r="L503" s="56"/>
      <c r="M503" s="56"/>
    </row>
    <row r="504" ht="15.75" customHeight="1">
      <c r="A504" s="56"/>
      <c r="B504" s="56"/>
      <c r="C504" s="265"/>
      <c r="D504" s="56"/>
      <c r="E504" s="56"/>
      <c r="F504" s="56"/>
      <c r="G504" s="56"/>
      <c r="H504" s="56"/>
      <c r="I504" s="56"/>
      <c r="J504" s="56"/>
      <c r="K504" s="56"/>
      <c r="L504" s="56"/>
      <c r="M504" s="56"/>
    </row>
    <row r="505" ht="15.75" customHeight="1">
      <c r="A505" s="56"/>
      <c r="B505" s="56"/>
      <c r="C505" s="265"/>
      <c r="D505" s="56"/>
      <c r="E505" s="56"/>
      <c r="F505" s="56"/>
      <c r="G505" s="56"/>
      <c r="H505" s="56"/>
      <c r="I505" s="56"/>
      <c r="J505" s="56"/>
      <c r="K505" s="56"/>
      <c r="L505" s="56"/>
      <c r="M505" s="56"/>
    </row>
    <row r="506" ht="15.75" customHeight="1">
      <c r="A506" s="56"/>
      <c r="B506" s="56"/>
      <c r="C506" s="265"/>
      <c r="D506" s="56"/>
      <c r="E506" s="56"/>
      <c r="F506" s="56"/>
      <c r="G506" s="56"/>
      <c r="H506" s="56"/>
      <c r="I506" s="56"/>
      <c r="J506" s="56"/>
      <c r="K506" s="56"/>
      <c r="L506" s="56"/>
      <c r="M506" s="56"/>
    </row>
    <row r="507" ht="15.75" customHeight="1">
      <c r="A507" s="56"/>
      <c r="B507" s="56"/>
      <c r="C507" s="265"/>
      <c r="D507" s="56"/>
      <c r="E507" s="56"/>
      <c r="F507" s="56"/>
      <c r="G507" s="56"/>
      <c r="H507" s="56"/>
      <c r="I507" s="56"/>
      <c r="J507" s="56"/>
      <c r="K507" s="56"/>
      <c r="L507" s="56"/>
      <c r="M507" s="56"/>
    </row>
    <row r="508" ht="15.75" customHeight="1">
      <c r="A508" s="56"/>
      <c r="B508" s="56"/>
      <c r="C508" s="265"/>
      <c r="D508" s="56"/>
      <c r="E508" s="56"/>
      <c r="F508" s="56"/>
      <c r="G508" s="56"/>
      <c r="H508" s="56"/>
      <c r="I508" s="56"/>
      <c r="J508" s="56"/>
      <c r="K508" s="56"/>
      <c r="L508" s="56"/>
      <c r="M508" s="56"/>
    </row>
    <row r="509" ht="15.75" customHeight="1">
      <c r="A509" s="56"/>
      <c r="B509" s="56"/>
      <c r="C509" s="265"/>
      <c r="D509" s="56"/>
      <c r="E509" s="56"/>
      <c r="F509" s="56"/>
      <c r="G509" s="56"/>
      <c r="H509" s="56"/>
      <c r="I509" s="56"/>
      <c r="J509" s="56"/>
      <c r="K509" s="56"/>
      <c r="L509" s="56"/>
      <c r="M509" s="56"/>
    </row>
    <row r="510" ht="15.75" customHeight="1">
      <c r="A510" s="56"/>
      <c r="B510" s="56"/>
      <c r="C510" s="265"/>
      <c r="D510" s="56"/>
      <c r="E510" s="56"/>
      <c r="F510" s="56"/>
      <c r="G510" s="56"/>
      <c r="H510" s="56"/>
      <c r="I510" s="56"/>
      <c r="J510" s="56"/>
      <c r="K510" s="56"/>
      <c r="L510" s="56"/>
      <c r="M510" s="56"/>
    </row>
    <row r="511" ht="15.75" customHeight="1">
      <c r="A511" s="56"/>
      <c r="B511" s="56"/>
      <c r="C511" s="265"/>
      <c r="D511" s="56"/>
      <c r="E511" s="56"/>
      <c r="F511" s="56"/>
      <c r="G511" s="56"/>
      <c r="H511" s="56"/>
      <c r="I511" s="56"/>
      <c r="J511" s="56"/>
      <c r="K511" s="56"/>
      <c r="L511" s="56"/>
      <c r="M511" s="56"/>
    </row>
    <row r="512" ht="15.75" customHeight="1">
      <c r="A512" s="56"/>
      <c r="B512" s="56"/>
      <c r="C512" s="265"/>
      <c r="D512" s="56"/>
      <c r="E512" s="56"/>
      <c r="F512" s="56"/>
      <c r="G512" s="56"/>
      <c r="H512" s="56"/>
      <c r="I512" s="56"/>
      <c r="J512" s="56"/>
      <c r="K512" s="56"/>
      <c r="L512" s="56"/>
      <c r="M512" s="56"/>
    </row>
    <row r="513" ht="15.75" customHeight="1">
      <c r="A513" s="56"/>
      <c r="B513" s="56"/>
      <c r="C513" s="265"/>
      <c r="D513" s="56"/>
      <c r="E513" s="56"/>
      <c r="F513" s="56"/>
      <c r="G513" s="56"/>
      <c r="H513" s="56"/>
      <c r="I513" s="56"/>
      <c r="J513" s="56"/>
      <c r="K513" s="56"/>
      <c r="L513" s="56"/>
      <c r="M513" s="56"/>
    </row>
    <row r="514" ht="15.75" customHeight="1">
      <c r="A514" s="56"/>
      <c r="B514" s="56"/>
      <c r="C514" s="265"/>
      <c r="D514" s="56"/>
      <c r="E514" s="56"/>
      <c r="F514" s="56"/>
      <c r="G514" s="56"/>
      <c r="H514" s="56"/>
      <c r="I514" s="56"/>
      <c r="J514" s="56"/>
      <c r="K514" s="56"/>
      <c r="L514" s="56"/>
      <c r="M514" s="56"/>
    </row>
    <row r="515" ht="15.75" customHeight="1">
      <c r="A515" s="56"/>
      <c r="B515" s="56"/>
      <c r="C515" s="265"/>
      <c r="D515" s="56"/>
      <c r="E515" s="56"/>
      <c r="F515" s="56"/>
      <c r="G515" s="56"/>
      <c r="H515" s="56"/>
      <c r="I515" s="56"/>
      <c r="J515" s="56"/>
      <c r="K515" s="56"/>
      <c r="L515" s="56"/>
      <c r="M515" s="56"/>
    </row>
    <row r="516" ht="15.75" customHeight="1">
      <c r="A516" s="56"/>
      <c r="B516" s="56"/>
      <c r="C516" s="265"/>
      <c r="D516" s="56"/>
      <c r="E516" s="56"/>
      <c r="F516" s="56"/>
      <c r="G516" s="56"/>
      <c r="H516" s="56"/>
      <c r="I516" s="56"/>
      <c r="J516" s="56"/>
      <c r="K516" s="56"/>
      <c r="L516" s="56"/>
      <c r="M516" s="56"/>
    </row>
    <row r="517" ht="15.75" customHeight="1">
      <c r="A517" s="56"/>
      <c r="B517" s="56"/>
      <c r="C517" s="265"/>
      <c r="D517" s="56"/>
      <c r="E517" s="56"/>
      <c r="F517" s="56"/>
      <c r="G517" s="56"/>
      <c r="H517" s="56"/>
      <c r="I517" s="56"/>
      <c r="J517" s="56"/>
      <c r="K517" s="56"/>
      <c r="L517" s="56"/>
      <c r="M517" s="56"/>
    </row>
    <row r="518" ht="15.75" customHeight="1">
      <c r="A518" s="56"/>
      <c r="B518" s="56"/>
      <c r="C518" s="265"/>
      <c r="D518" s="56"/>
      <c r="E518" s="56"/>
      <c r="F518" s="56"/>
      <c r="G518" s="56"/>
      <c r="H518" s="56"/>
      <c r="I518" s="56"/>
      <c r="J518" s="56"/>
      <c r="K518" s="56"/>
      <c r="L518" s="56"/>
      <c r="M518" s="56"/>
    </row>
    <row r="519" ht="15.75" customHeight="1">
      <c r="A519" s="56"/>
      <c r="B519" s="56"/>
      <c r="C519" s="265"/>
      <c r="D519" s="56"/>
      <c r="E519" s="56"/>
      <c r="F519" s="56"/>
      <c r="G519" s="56"/>
      <c r="H519" s="56"/>
      <c r="I519" s="56"/>
      <c r="J519" s="56"/>
      <c r="K519" s="56"/>
      <c r="L519" s="56"/>
      <c r="M519" s="56"/>
    </row>
    <row r="520" ht="15.75" customHeight="1">
      <c r="A520" s="56"/>
      <c r="B520" s="56"/>
      <c r="C520" s="265"/>
      <c r="D520" s="56"/>
      <c r="E520" s="56"/>
      <c r="F520" s="56"/>
      <c r="G520" s="56"/>
      <c r="H520" s="56"/>
      <c r="I520" s="56"/>
      <c r="J520" s="56"/>
      <c r="K520" s="56"/>
      <c r="L520" s="56"/>
      <c r="M520" s="56"/>
    </row>
    <row r="521" ht="15.75" customHeight="1">
      <c r="A521" s="56"/>
      <c r="B521" s="56"/>
      <c r="C521" s="265"/>
      <c r="D521" s="56"/>
      <c r="E521" s="56"/>
      <c r="F521" s="56"/>
      <c r="G521" s="56"/>
      <c r="H521" s="56"/>
      <c r="I521" s="56"/>
      <c r="J521" s="56"/>
      <c r="K521" s="56"/>
      <c r="L521" s="56"/>
      <c r="M521" s="56"/>
    </row>
    <row r="522" ht="15.75" customHeight="1">
      <c r="A522" s="56"/>
      <c r="B522" s="56"/>
      <c r="C522" s="265"/>
      <c r="D522" s="56"/>
      <c r="E522" s="56"/>
      <c r="F522" s="56"/>
      <c r="G522" s="56"/>
      <c r="H522" s="56"/>
      <c r="I522" s="56"/>
      <c r="J522" s="56"/>
      <c r="K522" s="56"/>
      <c r="L522" s="56"/>
      <c r="M522" s="56"/>
    </row>
    <row r="523" ht="15.75" customHeight="1">
      <c r="A523" s="56"/>
      <c r="B523" s="56"/>
      <c r="C523" s="265"/>
      <c r="D523" s="56"/>
      <c r="E523" s="56"/>
      <c r="F523" s="56"/>
      <c r="G523" s="56"/>
      <c r="H523" s="56"/>
      <c r="I523" s="56"/>
      <c r="J523" s="56"/>
      <c r="K523" s="56"/>
      <c r="L523" s="56"/>
      <c r="M523" s="56"/>
    </row>
    <row r="524" ht="15.75" customHeight="1">
      <c r="A524" s="56"/>
      <c r="B524" s="56"/>
      <c r="C524" s="265"/>
      <c r="D524" s="56"/>
      <c r="E524" s="56"/>
      <c r="F524" s="56"/>
      <c r="G524" s="56"/>
      <c r="H524" s="56"/>
      <c r="I524" s="56"/>
      <c r="J524" s="56"/>
      <c r="K524" s="56"/>
      <c r="L524" s="56"/>
      <c r="M524" s="56"/>
    </row>
    <row r="525" ht="15.75" customHeight="1">
      <c r="A525" s="56"/>
      <c r="B525" s="56"/>
      <c r="C525" s="265"/>
      <c r="D525" s="56"/>
      <c r="E525" s="56"/>
      <c r="F525" s="56"/>
      <c r="G525" s="56"/>
      <c r="H525" s="56"/>
      <c r="I525" s="56"/>
      <c r="J525" s="56"/>
      <c r="K525" s="56"/>
      <c r="L525" s="56"/>
      <c r="M525" s="56"/>
    </row>
    <row r="526" ht="15.75" customHeight="1">
      <c r="A526" s="56"/>
      <c r="B526" s="56"/>
      <c r="C526" s="265"/>
      <c r="D526" s="56"/>
      <c r="E526" s="56"/>
      <c r="F526" s="56"/>
      <c r="G526" s="56"/>
      <c r="H526" s="56"/>
      <c r="I526" s="56"/>
      <c r="J526" s="56"/>
      <c r="K526" s="56"/>
      <c r="L526" s="56"/>
      <c r="M526" s="56"/>
    </row>
    <row r="527" ht="15.75" customHeight="1">
      <c r="A527" s="56"/>
      <c r="B527" s="56"/>
      <c r="C527" s="265"/>
      <c r="D527" s="56"/>
      <c r="E527" s="56"/>
      <c r="F527" s="56"/>
      <c r="G527" s="56"/>
      <c r="H527" s="56"/>
      <c r="I527" s="56"/>
      <c r="J527" s="56"/>
      <c r="K527" s="56"/>
      <c r="L527" s="56"/>
      <c r="M527" s="56"/>
    </row>
    <row r="528" ht="15.75" customHeight="1">
      <c r="A528" s="56"/>
      <c r="B528" s="56"/>
      <c r="C528" s="265"/>
      <c r="D528" s="56"/>
      <c r="E528" s="56"/>
      <c r="F528" s="56"/>
      <c r="G528" s="56"/>
      <c r="H528" s="56"/>
      <c r="I528" s="56"/>
      <c r="J528" s="56"/>
      <c r="K528" s="56"/>
      <c r="L528" s="56"/>
      <c r="M528" s="56"/>
    </row>
    <row r="529" ht="15.75" customHeight="1">
      <c r="A529" s="56"/>
      <c r="B529" s="56"/>
      <c r="C529" s="265"/>
      <c r="D529" s="56"/>
      <c r="E529" s="56"/>
      <c r="F529" s="56"/>
      <c r="G529" s="56"/>
      <c r="H529" s="56"/>
      <c r="I529" s="56"/>
      <c r="J529" s="56"/>
      <c r="K529" s="56"/>
      <c r="L529" s="56"/>
      <c r="M529" s="56"/>
    </row>
    <row r="530" ht="15.75" customHeight="1">
      <c r="A530" s="56"/>
      <c r="B530" s="56"/>
      <c r="C530" s="265"/>
      <c r="D530" s="56"/>
      <c r="E530" s="56"/>
      <c r="F530" s="56"/>
      <c r="G530" s="56"/>
      <c r="H530" s="56"/>
      <c r="I530" s="56"/>
      <c r="J530" s="56"/>
      <c r="K530" s="56"/>
      <c r="L530" s="56"/>
      <c r="M530" s="56"/>
    </row>
    <row r="531" ht="15.75" customHeight="1">
      <c r="A531" s="56"/>
      <c r="B531" s="56"/>
      <c r="C531" s="265"/>
      <c r="D531" s="56"/>
      <c r="E531" s="56"/>
      <c r="F531" s="56"/>
      <c r="G531" s="56"/>
      <c r="H531" s="56"/>
      <c r="I531" s="56"/>
      <c r="J531" s="56"/>
      <c r="K531" s="56"/>
      <c r="L531" s="56"/>
      <c r="M531" s="56"/>
    </row>
    <row r="532" ht="15.75" customHeight="1">
      <c r="A532" s="56"/>
      <c r="B532" s="56"/>
      <c r="C532" s="265"/>
      <c r="D532" s="56"/>
      <c r="E532" s="56"/>
      <c r="F532" s="56"/>
      <c r="G532" s="56"/>
      <c r="H532" s="56"/>
      <c r="I532" s="56"/>
      <c r="J532" s="56"/>
      <c r="K532" s="56"/>
      <c r="L532" s="56"/>
      <c r="M532" s="56"/>
    </row>
    <row r="533" ht="15.75" customHeight="1">
      <c r="A533" s="56"/>
      <c r="B533" s="56"/>
      <c r="C533" s="265"/>
      <c r="D533" s="56"/>
      <c r="E533" s="56"/>
      <c r="F533" s="56"/>
      <c r="G533" s="56"/>
      <c r="H533" s="56"/>
      <c r="I533" s="56"/>
      <c r="J533" s="56"/>
      <c r="K533" s="56"/>
      <c r="L533" s="56"/>
      <c r="M533" s="56"/>
    </row>
    <row r="534" ht="15.75" customHeight="1">
      <c r="A534" s="56"/>
      <c r="B534" s="56"/>
      <c r="C534" s="265"/>
      <c r="D534" s="56"/>
      <c r="E534" s="56"/>
      <c r="F534" s="56"/>
      <c r="G534" s="56"/>
      <c r="H534" s="56"/>
      <c r="I534" s="56"/>
      <c r="J534" s="56"/>
      <c r="K534" s="56"/>
      <c r="L534" s="56"/>
      <c r="M534" s="56"/>
    </row>
    <row r="535" ht="15.75" customHeight="1">
      <c r="A535" s="56"/>
      <c r="B535" s="56"/>
      <c r="C535" s="265"/>
      <c r="D535" s="56"/>
      <c r="E535" s="56"/>
      <c r="F535" s="56"/>
      <c r="G535" s="56"/>
      <c r="H535" s="56"/>
      <c r="I535" s="56"/>
      <c r="J535" s="56"/>
      <c r="K535" s="56"/>
      <c r="L535" s="56"/>
      <c r="M535" s="56"/>
    </row>
    <row r="536" ht="15.75" customHeight="1">
      <c r="A536" s="56"/>
      <c r="B536" s="56"/>
      <c r="C536" s="265"/>
      <c r="D536" s="56"/>
      <c r="E536" s="56"/>
      <c r="F536" s="56"/>
      <c r="G536" s="56"/>
      <c r="H536" s="56"/>
      <c r="I536" s="56"/>
      <c r="J536" s="56"/>
      <c r="K536" s="56"/>
      <c r="L536" s="56"/>
      <c r="M536" s="56"/>
    </row>
    <row r="537" ht="15.75" customHeight="1">
      <c r="A537" s="56"/>
      <c r="B537" s="56"/>
      <c r="C537" s="265"/>
      <c r="D537" s="56"/>
      <c r="E537" s="56"/>
      <c r="F537" s="56"/>
      <c r="G537" s="56"/>
      <c r="H537" s="56"/>
      <c r="I537" s="56"/>
      <c r="J537" s="56"/>
      <c r="K537" s="56"/>
      <c r="L537" s="56"/>
      <c r="M537" s="56"/>
    </row>
    <row r="538" ht="15.75" customHeight="1">
      <c r="A538" s="56"/>
      <c r="B538" s="56"/>
      <c r="C538" s="265"/>
      <c r="D538" s="56"/>
      <c r="E538" s="56"/>
      <c r="F538" s="56"/>
      <c r="G538" s="56"/>
      <c r="H538" s="56"/>
      <c r="I538" s="56"/>
      <c r="J538" s="56"/>
      <c r="K538" s="56"/>
      <c r="L538" s="56"/>
      <c r="M538" s="56"/>
    </row>
    <row r="539" ht="15.75" customHeight="1">
      <c r="A539" s="56"/>
      <c r="B539" s="56"/>
      <c r="C539" s="265"/>
      <c r="D539" s="56"/>
      <c r="E539" s="56"/>
      <c r="F539" s="56"/>
      <c r="G539" s="56"/>
      <c r="H539" s="56"/>
      <c r="I539" s="56"/>
      <c r="J539" s="56"/>
      <c r="K539" s="56"/>
      <c r="L539" s="56"/>
      <c r="M539" s="56"/>
    </row>
    <row r="540" ht="15.75" customHeight="1">
      <c r="A540" s="56"/>
      <c r="B540" s="56"/>
      <c r="C540" s="265"/>
      <c r="D540" s="56"/>
      <c r="E540" s="56"/>
      <c r="F540" s="56"/>
      <c r="G540" s="56"/>
      <c r="H540" s="56"/>
      <c r="I540" s="56"/>
      <c r="J540" s="56"/>
      <c r="K540" s="56"/>
      <c r="L540" s="56"/>
      <c r="M540" s="56"/>
    </row>
    <row r="541" ht="15.75" customHeight="1">
      <c r="A541" s="56"/>
      <c r="B541" s="56"/>
      <c r="C541" s="265"/>
      <c r="D541" s="56"/>
      <c r="E541" s="56"/>
      <c r="F541" s="56"/>
      <c r="G541" s="56"/>
      <c r="H541" s="56"/>
      <c r="I541" s="56"/>
      <c r="J541" s="56"/>
      <c r="K541" s="56"/>
      <c r="L541" s="56"/>
      <c r="M541" s="56"/>
    </row>
    <row r="542" ht="15.75" customHeight="1">
      <c r="A542" s="56"/>
      <c r="B542" s="56"/>
      <c r="C542" s="265"/>
      <c r="D542" s="56"/>
      <c r="E542" s="56"/>
      <c r="F542" s="56"/>
      <c r="G542" s="56"/>
      <c r="H542" s="56"/>
      <c r="I542" s="56"/>
      <c r="J542" s="56"/>
      <c r="K542" s="56"/>
      <c r="L542" s="56"/>
      <c r="M542" s="56"/>
    </row>
    <row r="543" ht="15.75" customHeight="1">
      <c r="A543" s="56"/>
      <c r="B543" s="56"/>
      <c r="C543" s="265"/>
      <c r="D543" s="56"/>
      <c r="E543" s="56"/>
      <c r="F543" s="56"/>
      <c r="G543" s="56"/>
      <c r="H543" s="56"/>
      <c r="I543" s="56"/>
      <c r="J543" s="56"/>
      <c r="K543" s="56"/>
      <c r="L543" s="56"/>
      <c r="M543" s="56"/>
    </row>
    <row r="544" ht="15.75" customHeight="1">
      <c r="A544" s="56"/>
      <c r="B544" s="56"/>
      <c r="C544" s="265"/>
      <c r="D544" s="56"/>
      <c r="E544" s="56"/>
      <c r="F544" s="56"/>
      <c r="G544" s="56"/>
      <c r="H544" s="56"/>
      <c r="I544" s="56"/>
      <c r="J544" s="56"/>
      <c r="K544" s="56"/>
      <c r="L544" s="56"/>
      <c r="M544" s="56"/>
    </row>
    <row r="545" ht="15.75" customHeight="1">
      <c r="A545" s="56"/>
      <c r="B545" s="56"/>
      <c r="C545" s="265"/>
      <c r="D545" s="56"/>
      <c r="E545" s="56"/>
      <c r="F545" s="56"/>
      <c r="G545" s="56"/>
      <c r="H545" s="56"/>
      <c r="I545" s="56"/>
      <c r="J545" s="56"/>
      <c r="K545" s="56"/>
      <c r="L545" s="56"/>
      <c r="M545" s="56"/>
    </row>
    <row r="546" ht="15.75" customHeight="1">
      <c r="A546" s="56"/>
      <c r="B546" s="56"/>
      <c r="C546" s="265"/>
      <c r="D546" s="56"/>
      <c r="E546" s="56"/>
      <c r="F546" s="56"/>
      <c r="G546" s="56"/>
      <c r="H546" s="56"/>
      <c r="I546" s="56"/>
      <c r="J546" s="56"/>
      <c r="K546" s="56"/>
      <c r="L546" s="56"/>
      <c r="M546" s="56"/>
    </row>
    <row r="547" ht="15.75" customHeight="1">
      <c r="A547" s="56"/>
      <c r="B547" s="56"/>
      <c r="C547" s="265"/>
      <c r="D547" s="56"/>
      <c r="E547" s="56"/>
      <c r="F547" s="56"/>
      <c r="G547" s="56"/>
      <c r="H547" s="56"/>
      <c r="I547" s="56"/>
      <c r="J547" s="56"/>
      <c r="K547" s="56"/>
      <c r="L547" s="56"/>
      <c r="M547" s="56"/>
    </row>
    <row r="548" ht="15.75" customHeight="1">
      <c r="A548" s="56"/>
      <c r="B548" s="56"/>
      <c r="C548" s="265"/>
      <c r="D548" s="56"/>
      <c r="E548" s="56"/>
      <c r="F548" s="56"/>
      <c r="G548" s="56"/>
      <c r="H548" s="56"/>
      <c r="I548" s="56"/>
      <c r="J548" s="56"/>
      <c r="K548" s="56"/>
      <c r="L548" s="56"/>
      <c r="M548" s="56"/>
    </row>
    <row r="549" ht="15.75" customHeight="1">
      <c r="A549" s="56"/>
      <c r="B549" s="56"/>
      <c r="C549" s="265"/>
      <c r="D549" s="56"/>
      <c r="E549" s="56"/>
      <c r="F549" s="56"/>
      <c r="G549" s="56"/>
      <c r="H549" s="56"/>
      <c r="I549" s="56"/>
      <c r="J549" s="56"/>
      <c r="K549" s="56"/>
      <c r="L549" s="56"/>
      <c r="M549" s="56"/>
    </row>
    <row r="550" ht="15.75" customHeight="1">
      <c r="A550" s="56"/>
      <c r="B550" s="56"/>
      <c r="C550" s="265"/>
      <c r="D550" s="56"/>
      <c r="E550" s="56"/>
      <c r="F550" s="56"/>
      <c r="G550" s="56"/>
      <c r="H550" s="56"/>
      <c r="I550" s="56"/>
      <c r="J550" s="56"/>
      <c r="K550" s="56"/>
      <c r="L550" s="56"/>
      <c r="M550" s="56"/>
    </row>
    <row r="551" ht="15.75" customHeight="1">
      <c r="A551" s="56"/>
      <c r="B551" s="56"/>
      <c r="C551" s="265"/>
      <c r="D551" s="56"/>
      <c r="E551" s="56"/>
      <c r="F551" s="56"/>
      <c r="G551" s="56"/>
      <c r="H551" s="56"/>
      <c r="I551" s="56"/>
      <c r="J551" s="56"/>
      <c r="K551" s="56"/>
      <c r="L551" s="56"/>
      <c r="M551" s="56"/>
    </row>
    <row r="552" ht="15.75" customHeight="1">
      <c r="A552" s="56"/>
      <c r="B552" s="56"/>
      <c r="C552" s="265"/>
      <c r="D552" s="56"/>
      <c r="E552" s="56"/>
      <c r="F552" s="56"/>
      <c r="G552" s="56"/>
      <c r="H552" s="56"/>
      <c r="I552" s="56"/>
      <c r="J552" s="56"/>
      <c r="K552" s="56"/>
      <c r="L552" s="56"/>
      <c r="M552" s="56"/>
    </row>
    <row r="553" ht="15.75" customHeight="1">
      <c r="A553" s="56"/>
      <c r="B553" s="56"/>
      <c r="C553" s="265"/>
      <c r="D553" s="56"/>
      <c r="E553" s="56"/>
      <c r="F553" s="56"/>
      <c r="G553" s="56"/>
      <c r="H553" s="56"/>
      <c r="I553" s="56"/>
      <c r="J553" s="56"/>
      <c r="K553" s="56"/>
      <c r="L553" s="56"/>
      <c r="M553" s="56"/>
    </row>
    <row r="554" ht="15.75" customHeight="1">
      <c r="A554" s="56"/>
      <c r="B554" s="56"/>
      <c r="C554" s="265"/>
      <c r="D554" s="56"/>
      <c r="E554" s="56"/>
      <c r="F554" s="56"/>
      <c r="G554" s="56"/>
      <c r="H554" s="56"/>
      <c r="I554" s="56"/>
      <c r="J554" s="56"/>
      <c r="K554" s="56"/>
      <c r="L554" s="56"/>
      <c r="M554" s="56"/>
    </row>
    <row r="555" ht="15.75" customHeight="1">
      <c r="A555" s="56"/>
      <c r="B555" s="56"/>
      <c r="C555" s="265"/>
      <c r="D555" s="56"/>
      <c r="E555" s="56"/>
      <c r="F555" s="56"/>
      <c r="G555" s="56"/>
      <c r="H555" s="56"/>
      <c r="I555" s="56"/>
      <c r="J555" s="56"/>
      <c r="K555" s="56"/>
      <c r="L555" s="56"/>
      <c r="M555" s="56"/>
    </row>
    <row r="556" ht="15.75" customHeight="1">
      <c r="A556" s="56"/>
      <c r="B556" s="56"/>
      <c r="C556" s="265"/>
      <c r="D556" s="56"/>
      <c r="E556" s="56"/>
      <c r="F556" s="56"/>
      <c r="G556" s="56"/>
      <c r="H556" s="56"/>
      <c r="I556" s="56"/>
      <c r="J556" s="56"/>
      <c r="K556" s="56"/>
      <c r="L556" s="56"/>
      <c r="M556" s="56"/>
    </row>
    <row r="557" ht="15.75" customHeight="1">
      <c r="A557" s="56"/>
      <c r="B557" s="56"/>
      <c r="C557" s="265"/>
      <c r="D557" s="56"/>
      <c r="E557" s="56"/>
      <c r="F557" s="56"/>
      <c r="G557" s="56"/>
      <c r="H557" s="56"/>
      <c r="I557" s="56"/>
      <c r="J557" s="56"/>
      <c r="K557" s="56"/>
      <c r="L557" s="56"/>
      <c r="M557" s="56"/>
    </row>
    <row r="558" ht="15.75" customHeight="1">
      <c r="A558" s="56"/>
      <c r="B558" s="56"/>
      <c r="C558" s="265"/>
      <c r="D558" s="56"/>
      <c r="E558" s="56"/>
      <c r="F558" s="56"/>
      <c r="G558" s="56"/>
      <c r="H558" s="56"/>
      <c r="I558" s="56"/>
      <c r="J558" s="56"/>
      <c r="K558" s="56"/>
      <c r="L558" s="56"/>
      <c r="M558" s="56"/>
    </row>
    <row r="559" ht="15.75" customHeight="1">
      <c r="A559" s="56"/>
      <c r="B559" s="56"/>
      <c r="C559" s="265"/>
      <c r="D559" s="56"/>
      <c r="E559" s="56"/>
      <c r="F559" s="56"/>
      <c r="G559" s="56"/>
      <c r="H559" s="56"/>
      <c r="I559" s="56"/>
      <c r="J559" s="56"/>
      <c r="K559" s="56"/>
      <c r="L559" s="56"/>
      <c r="M559" s="56"/>
    </row>
    <row r="560" ht="15.75" customHeight="1">
      <c r="A560" s="56"/>
      <c r="B560" s="56"/>
      <c r="C560" s="265"/>
      <c r="D560" s="56"/>
      <c r="E560" s="56"/>
      <c r="F560" s="56"/>
      <c r="G560" s="56"/>
      <c r="H560" s="56"/>
      <c r="I560" s="56"/>
      <c r="J560" s="56"/>
      <c r="K560" s="56"/>
      <c r="L560" s="56"/>
      <c r="M560" s="56"/>
    </row>
    <row r="561" ht="15.75" customHeight="1">
      <c r="A561" s="56"/>
      <c r="B561" s="56"/>
      <c r="C561" s="265"/>
      <c r="D561" s="56"/>
      <c r="E561" s="56"/>
      <c r="F561" s="56"/>
      <c r="G561" s="56"/>
      <c r="H561" s="56"/>
      <c r="I561" s="56"/>
      <c r="J561" s="56"/>
      <c r="K561" s="56"/>
      <c r="L561" s="56"/>
      <c r="M561" s="56"/>
    </row>
    <row r="562" ht="15.75" customHeight="1">
      <c r="A562" s="56"/>
      <c r="B562" s="56"/>
      <c r="C562" s="265"/>
      <c r="D562" s="56"/>
      <c r="E562" s="56"/>
      <c r="F562" s="56"/>
      <c r="G562" s="56"/>
      <c r="H562" s="56"/>
      <c r="I562" s="56"/>
      <c r="J562" s="56"/>
      <c r="K562" s="56"/>
      <c r="L562" s="56"/>
      <c r="M562" s="56"/>
    </row>
    <row r="563" ht="15.75" customHeight="1">
      <c r="A563" s="56"/>
      <c r="B563" s="56"/>
      <c r="C563" s="265"/>
      <c r="D563" s="56"/>
      <c r="E563" s="56"/>
      <c r="F563" s="56"/>
      <c r="G563" s="56"/>
      <c r="H563" s="56"/>
      <c r="I563" s="56"/>
      <c r="J563" s="56"/>
      <c r="K563" s="56"/>
      <c r="L563" s="56"/>
      <c r="M563" s="56"/>
    </row>
    <row r="564" ht="15.75" customHeight="1">
      <c r="A564" s="56"/>
      <c r="B564" s="56"/>
      <c r="C564" s="265"/>
      <c r="D564" s="56"/>
      <c r="E564" s="56"/>
      <c r="F564" s="56"/>
      <c r="G564" s="56"/>
      <c r="H564" s="56"/>
      <c r="I564" s="56"/>
      <c r="J564" s="56"/>
      <c r="K564" s="56"/>
      <c r="L564" s="56"/>
      <c r="M564" s="56"/>
    </row>
    <row r="565" ht="15.75" customHeight="1">
      <c r="A565" s="56"/>
      <c r="B565" s="56"/>
      <c r="C565" s="265"/>
      <c r="D565" s="56"/>
      <c r="E565" s="56"/>
      <c r="F565" s="56"/>
      <c r="G565" s="56"/>
      <c r="H565" s="56"/>
      <c r="I565" s="56"/>
      <c r="J565" s="56"/>
      <c r="K565" s="56"/>
      <c r="L565" s="56"/>
      <c r="M565" s="56"/>
    </row>
    <row r="566" ht="15.75" customHeight="1">
      <c r="A566" s="56"/>
      <c r="B566" s="56"/>
      <c r="C566" s="265"/>
      <c r="D566" s="56"/>
      <c r="E566" s="56"/>
      <c r="F566" s="56"/>
      <c r="G566" s="56"/>
      <c r="H566" s="56"/>
      <c r="I566" s="56"/>
      <c r="J566" s="56"/>
      <c r="K566" s="56"/>
      <c r="L566" s="56"/>
      <c r="M566" s="56"/>
    </row>
    <row r="567" ht="15.75" customHeight="1">
      <c r="A567" s="56"/>
      <c r="B567" s="56"/>
      <c r="C567" s="265"/>
      <c r="D567" s="56"/>
      <c r="E567" s="56"/>
      <c r="F567" s="56"/>
      <c r="G567" s="56"/>
      <c r="H567" s="56"/>
      <c r="I567" s="56"/>
      <c r="J567" s="56"/>
      <c r="K567" s="56"/>
      <c r="L567" s="56"/>
      <c r="M567" s="56"/>
    </row>
    <row r="568" ht="15.75" customHeight="1">
      <c r="A568" s="56"/>
      <c r="B568" s="56"/>
      <c r="C568" s="265"/>
      <c r="D568" s="56"/>
      <c r="E568" s="56"/>
      <c r="F568" s="56"/>
      <c r="G568" s="56"/>
      <c r="H568" s="56"/>
      <c r="I568" s="56"/>
      <c r="J568" s="56"/>
      <c r="K568" s="56"/>
      <c r="L568" s="56"/>
      <c r="M568" s="56"/>
    </row>
    <row r="569" ht="15.75" customHeight="1">
      <c r="A569" s="56"/>
      <c r="B569" s="56"/>
      <c r="C569" s="265"/>
      <c r="D569" s="56"/>
      <c r="E569" s="56"/>
      <c r="F569" s="56"/>
      <c r="G569" s="56"/>
      <c r="H569" s="56"/>
      <c r="I569" s="56"/>
      <c r="J569" s="56"/>
      <c r="K569" s="56"/>
      <c r="L569" s="56"/>
      <c r="M569" s="56"/>
    </row>
    <row r="570" ht="15.75" customHeight="1">
      <c r="A570" s="56"/>
      <c r="B570" s="56"/>
      <c r="C570" s="265"/>
      <c r="D570" s="56"/>
      <c r="E570" s="56"/>
      <c r="F570" s="56"/>
      <c r="G570" s="56"/>
      <c r="H570" s="56"/>
      <c r="I570" s="56"/>
      <c r="J570" s="56"/>
      <c r="K570" s="56"/>
      <c r="L570" s="56"/>
      <c r="M570" s="56"/>
    </row>
    <row r="571" ht="15.75" customHeight="1">
      <c r="A571" s="56"/>
      <c r="B571" s="56"/>
      <c r="C571" s="265"/>
      <c r="D571" s="56"/>
      <c r="E571" s="56"/>
      <c r="F571" s="56"/>
      <c r="G571" s="56"/>
      <c r="H571" s="56"/>
      <c r="I571" s="56"/>
      <c r="J571" s="56"/>
      <c r="K571" s="56"/>
      <c r="L571" s="56"/>
      <c r="M571" s="56"/>
    </row>
    <row r="572" ht="15.75" customHeight="1">
      <c r="A572" s="56"/>
      <c r="B572" s="56"/>
      <c r="C572" s="265"/>
      <c r="D572" s="56"/>
      <c r="E572" s="56"/>
      <c r="F572" s="56"/>
      <c r="G572" s="56"/>
      <c r="H572" s="56"/>
      <c r="I572" s="56"/>
      <c r="J572" s="56"/>
      <c r="K572" s="56"/>
      <c r="L572" s="56"/>
      <c r="M572" s="56"/>
    </row>
    <row r="573" ht="15.75" customHeight="1">
      <c r="A573" s="56"/>
      <c r="B573" s="56"/>
      <c r="C573" s="265"/>
      <c r="D573" s="56"/>
      <c r="E573" s="56"/>
      <c r="F573" s="56"/>
      <c r="G573" s="56"/>
      <c r="H573" s="56"/>
      <c r="I573" s="56"/>
      <c r="J573" s="56"/>
      <c r="K573" s="56"/>
      <c r="L573" s="56"/>
      <c r="M573" s="56"/>
    </row>
    <row r="574" ht="15.75" customHeight="1">
      <c r="A574" s="56"/>
      <c r="B574" s="56"/>
      <c r="C574" s="265"/>
      <c r="D574" s="56"/>
      <c r="E574" s="56"/>
      <c r="F574" s="56"/>
      <c r="G574" s="56"/>
      <c r="H574" s="56"/>
      <c r="I574" s="56"/>
      <c r="J574" s="56"/>
      <c r="K574" s="56"/>
      <c r="L574" s="56"/>
      <c r="M574" s="56"/>
    </row>
    <row r="575" ht="15.75" customHeight="1">
      <c r="A575" s="56"/>
      <c r="B575" s="56"/>
      <c r="C575" s="265"/>
      <c r="D575" s="56"/>
      <c r="E575" s="56"/>
      <c r="F575" s="56"/>
      <c r="G575" s="56"/>
      <c r="H575" s="56"/>
      <c r="I575" s="56"/>
      <c r="J575" s="56"/>
      <c r="K575" s="56"/>
      <c r="L575" s="56"/>
      <c r="M575" s="56"/>
    </row>
    <row r="576" ht="15.75" customHeight="1">
      <c r="A576" s="56"/>
      <c r="B576" s="56"/>
      <c r="C576" s="265"/>
      <c r="D576" s="56"/>
      <c r="E576" s="56"/>
      <c r="F576" s="56"/>
      <c r="G576" s="56"/>
      <c r="H576" s="56"/>
      <c r="I576" s="56"/>
      <c r="J576" s="56"/>
      <c r="K576" s="56"/>
      <c r="L576" s="56"/>
      <c r="M576" s="56"/>
    </row>
    <row r="577" ht="15.75" customHeight="1">
      <c r="A577" s="56"/>
      <c r="B577" s="56"/>
      <c r="C577" s="265"/>
      <c r="D577" s="56"/>
      <c r="E577" s="56"/>
      <c r="F577" s="56"/>
      <c r="G577" s="56"/>
      <c r="H577" s="56"/>
      <c r="I577" s="56"/>
      <c r="J577" s="56"/>
      <c r="K577" s="56"/>
      <c r="L577" s="56"/>
      <c r="M577" s="56"/>
    </row>
    <row r="578" ht="15.75" customHeight="1">
      <c r="A578" s="56"/>
      <c r="B578" s="56"/>
      <c r="C578" s="265"/>
      <c r="D578" s="56"/>
      <c r="E578" s="56"/>
      <c r="F578" s="56"/>
      <c r="G578" s="56"/>
      <c r="H578" s="56"/>
      <c r="I578" s="56"/>
      <c r="J578" s="56"/>
      <c r="K578" s="56"/>
      <c r="L578" s="56"/>
      <c r="M578" s="56"/>
    </row>
    <row r="579" ht="15.75" customHeight="1">
      <c r="A579" s="56"/>
      <c r="B579" s="56"/>
      <c r="C579" s="265"/>
      <c r="D579" s="56"/>
      <c r="E579" s="56"/>
      <c r="F579" s="56"/>
      <c r="G579" s="56"/>
      <c r="H579" s="56"/>
      <c r="I579" s="56"/>
      <c r="J579" s="56"/>
      <c r="K579" s="56"/>
      <c r="L579" s="56"/>
      <c r="M579" s="56"/>
    </row>
    <row r="580" ht="15.75" customHeight="1">
      <c r="A580" s="56"/>
      <c r="B580" s="56"/>
      <c r="C580" s="265"/>
      <c r="D580" s="56"/>
      <c r="E580" s="56"/>
      <c r="F580" s="56"/>
      <c r="G580" s="56"/>
      <c r="H580" s="56"/>
      <c r="I580" s="56"/>
      <c r="J580" s="56"/>
      <c r="K580" s="56"/>
      <c r="L580" s="56"/>
      <c r="M580" s="56"/>
    </row>
    <row r="581" ht="15.75" customHeight="1">
      <c r="A581" s="56"/>
      <c r="B581" s="56"/>
      <c r="C581" s="265"/>
      <c r="D581" s="56"/>
      <c r="E581" s="56"/>
      <c r="F581" s="56"/>
      <c r="G581" s="56"/>
      <c r="H581" s="56"/>
      <c r="I581" s="56"/>
      <c r="J581" s="56"/>
      <c r="K581" s="56"/>
      <c r="L581" s="56"/>
      <c r="M581" s="56"/>
    </row>
    <row r="582" ht="15.75" customHeight="1">
      <c r="A582" s="56"/>
      <c r="B582" s="56"/>
      <c r="C582" s="265"/>
      <c r="D582" s="56"/>
      <c r="E582" s="56"/>
      <c r="F582" s="56"/>
      <c r="G582" s="56"/>
      <c r="H582" s="56"/>
      <c r="I582" s="56"/>
      <c r="J582" s="56"/>
      <c r="K582" s="56"/>
      <c r="L582" s="56"/>
      <c r="M582" s="56"/>
    </row>
    <row r="583" ht="15.75" customHeight="1">
      <c r="A583" s="56"/>
      <c r="B583" s="56"/>
      <c r="C583" s="265"/>
      <c r="D583" s="56"/>
      <c r="E583" s="56"/>
      <c r="F583" s="56"/>
      <c r="G583" s="56"/>
      <c r="H583" s="56"/>
      <c r="I583" s="56"/>
      <c r="J583" s="56"/>
      <c r="K583" s="56"/>
      <c r="L583" s="56"/>
      <c r="M583" s="56"/>
    </row>
    <row r="584" ht="15.75" customHeight="1">
      <c r="A584" s="56"/>
      <c r="B584" s="56"/>
      <c r="C584" s="265"/>
      <c r="D584" s="56"/>
      <c r="E584" s="56"/>
      <c r="F584" s="56"/>
      <c r="G584" s="56"/>
      <c r="H584" s="56"/>
      <c r="I584" s="56"/>
      <c r="J584" s="56"/>
      <c r="K584" s="56"/>
      <c r="L584" s="56"/>
      <c r="M584" s="56"/>
    </row>
    <row r="585" ht="15.75" customHeight="1">
      <c r="A585" s="56"/>
      <c r="B585" s="56"/>
      <c r="C585" s="265"/>
      <c r="D585" s="56"/>
      <c r="E585" s="56"/>
      <c r="F585" s="56"/>
      <c r="G585" s="56"/>
      <c r="H585" s="56"/>
      <c r="I585" s="56"/>
      <c r="J585" s="56"/>
      <c r="K585" s="56"/>
      <c r="L585" s="56"/>
      <c r="M585" s="56"/>
    </row>
    <row r="586" ht="15.75" customHeight="1">
      <c r="A586" s="56"/>
      <c r="B586" s="56"/>
      <c r="C586" s="265"/>
      <c r="D586" s="56"/>
      <c r="E586" s="56"/>
      <c r="F586" s="56"/>
      <c r="G586" s="56"/>
      <c r="H586" s="56"/>
      <c r="I586" s="56"/>
      <c r="J586" s="56"/>
      <c r="K586" s="56"/>
      <c r="L586" s="56"/>
      <c r="M586" s="56"/>
    </row>
    <row r="587" ht="15.75" customHeight="1">
      <c r="A587" s="56"/>
      <c r="B587" s="56"/>
      <c r="C587" s="265"/>
      <c r="D587" s="56"/>
      <c r="E587" s="56"/>
      <c r="F587" s="56"/>
      <c r="G587" s="56"/>
      <c r="H587" s="56"/>
      <c r="I587" s="56"/>
      <c r="J587" s="56"/>
      <c r="K587" s="56"/>
      <c r="L587" s="56"/>
      <c r="M587" s="56"/>
    </row>
    <row r="588" ht="15.75" customHeight="1">
      <c r="A588" s="56"/>
      <c r="B588" s="56"/>
      <c r="C588" s="265"/>
      <c r="D588" s="56"/>
      <c r="E588" s="56"/>
      <c r="F588" s="56"/>
      <c r="G588" s="56"/>
      <c r="H588" s="56"/>
      <c r="I588" s="56"/>
      <c r="J588" s="56"/>
      <c r="K588" s="56"/>
      <c r="L588" s="56"/>
      <c r="M588" s="56"/>
    </row>
    <row r="589" ht="15.75" customHeight="1">
      <c r="A589" s="56"/>
      <c r="B589" s="56"/>
      <c r="C589" s="265"/>
      <c r="D589" s="56"/>
      <c r="E589" s="56"/>
      <c r="F589" s="56"/>
      <c r="G589" s="56"/>
      <c r="H589" s="56"/>
      <c r="I589" s="56"/>
      <c r="J589" s="56"/>
      <c r="K589" s="56"/>
      <c r="L589" s="56"/>
      <c r="M589" s="56"/>
    </row>
    <row r="590" ht="15.75" customHeight="1">
      <c r="A590" s="56"/>
      <c r="B590" s="56"/>
      <c r="C590" s="265"/>
      <c r="D590" s="56"/>
      <c r="E590" s="56"/>
      <c r="F590" s="56"/>
      <c r="G590" s="56"/>
      <c r="H590" s="56"/>
      <c r="I590" s="56"/>
      <c r="J590" s="56"/>
      <c r="K590" s="56"/>
      <c r="L590" s="56"/>
      <c r="M590" s="56"/>
    </row>
    <row r="591" ht="15.75" customHeight="1">
      <c r="A591" s="56"/>
      <c r="B591" s="56"/>
      <c r="C591" s="265"/>
      <c r="D591" s="56"/>
      <c r="E591" s="56"/>
      <c r="F591" s="56"/>
      <c r="G591" s="56"/>
      <c r="H591" s="56"/>
      <c r="I591" s="56"/>
      <c r="J591" s="56"/>
      <c r="K591" s="56"/>
      <c r="L591" s="56"/>
      <c r="M591" s="56"/>
    </row>
    <row r="592" ht="15.75" customHeight="1">
      <c r="A592" s="56"/>
      <c r="B592" s="56"/>
      <c r="C592" s="265"/>
      <c r="D592" s="56"/>
      <c r="E592" s="56"/>
      <c r="F592" s="56"/>
      <c r="G592" s="56"/>
      <c r="H592" s="56"/>
      <c r="I592" s="56"/>
      <c r="J592" s="56"/>
      <c r="K592" s="56"/>
      <c r="L592" s="56"/>
      <c r="M592" s="56"/>
    </row>
    <row r="593" ht="15.75" customHeight="1">
      <c r="A593" s="56"/>
      <c r="B593" s="56"/>
      <c r="C593" s="265"/>
      <c r="D593" s="56"/>
      <c r="E593" s="56"/>
      <c r="F593" s="56"/>
      <c r="G593" s="56"/>
      <c r="H593" s="56"/>
      <c r="I593" s="56"/>
      <c r="J593" s="56"/>
      <c r="K593" s="56"/>
      <c r="L593" s="56"/>
      <c r="M593" s="56"/>
    </row>
    <row r="594" ht="15.75" customHeight="1">
      <c r="A594" s="56"/>
      <c r="B594" s="56"/>
      <c r="C594" s="265"/>
      <c r="D594" s="56"/>
      <c r="E594" s="56"/>
      <c r="F594" s="56"/>
      <c r="G594" s="56"/>
      <c r="H594" s="56"/>
      <c r="I594" s="56"/>
      <c r="J594" s="56"/>
      <c r="K594" s="56"/>
      <c r="L594" s="56"/>
      <c r="M594" s="56"/>
    </row>
    <row r="595" ht="15.75" customHeight="1">
      <c r="A595" s="56"/>
      <c r="B595" s="56"/>
      <c r="C595" s="265"/>
      <c r="D595" s="56"/>
      <c r="E595" s="56"/>
      <c r="F595" s="56"/>
      <c r="G595" s="56"/>
      <c r="H595" s="56"/>
      <c r="I595" s="56"/>
      <c r="J595" s="56"/>
      <c r="K595" s="56"/>
      <c r="L595" s="56"/>
      <c r="M595" s="56"/>
    </row>
    <row r="596" ht="15.75" customHeight="1">
      <c r="A596" s="56"/>
      <c r="B596" s="56"/>
      <c r="C596" s="265"/>
      <c r="D596" s="56"/>
      <c r="E596" s="56"/>
      <c r="F596" s="56"/>
      <c r="G596" s="56"/>
      <c r="H596" s="56"/>
      <c r="I596" s="56"/>
      <c r="J596" s="56"/>
      <c r="K596" s="56"/>
      <c r="L596" s="56"/>
      <c r="M596" s="56"/>
    </row>
    <row r="597" ht="15.75" customHeight="1">
      <c r="A597" s="56"/>
      <c r="B597" s="56"/>
      <c r="C597" s="265"/>
      <c r="D597" s="56"/>
      <c r="E597" s="56"/>
      <c r="F597" s="56"/>
      <c r="G597" s="56"/>
      <c r="H597" s="56"/>
      <c r="I597" s="56"/>
      <c r="J597" s="56"/>
      <c r="K597" s="56"/>
      <c r="L597" s="56"/>
      <c r="M597" s="56"/>
    </row>
    <row r="598" ht="15.75" customHeight="1">
      <c r="A598" s="56"/>
      <c r="B598" s="56"/>
      <c r="C598" s="265"/>
      <c r="D598" s="56"/>
      <c r="E598" s="56"/>
      <c r="F598" s="56"/>
      <c r="G598" s="56"/>
      <c r="H598" s="56"/>
      <c r="I598" s="56"/>
      <c r="J598" s="56"/>
      <c r="K598" s="56"/>
      <c r="L598" s="56"/>
      <c r="M598" s="56"/>
    </row>
    <row r="599" ht="15.75" customHeight="1">
      <c r="A599" s="56"/>
      <c r="B599" s="56"/>
      <c r="C599" s="265"/>
      <c r="D599" s="56"/>
      <c r="E599" s="56"/>
      <c r="F599" s="56"/>
      <c r="G599" s="56"/>
      <c r="H599" s="56"/>
      <c r="I599" s="56"/>
      <c r="J599" s="56"/>
      <c r="K599" s="56"/>
      <c r="L599" s="56"/>
      <c r="M599" s="56"/>
    </row>
    <row r="600" ht="15.75" customHeight="1">
      <c r="A600" s="56"/>
      <c r="B600" s="56"/>
      <c r="C600" s="265"/>
      <c r="D600" s="56"/>
      <c r="E600" s="56"/>
      <c r="F600" s="56"/>
      <c r="G600" s="56"/>
      <c r="H600" s="56"/>
      <c r="I600" s="56"/>
      <c r="J600" s="56"/>
      <c r="K600" s="56"/>
      <c r="L600" s="56"/>
      <c r="M600" s="56"/>
    </row>
    <row r="601" ht="15.75" customHeight="1">
      <c r="A601" s="56"/>
      <c r="B601" s="56"/>
      <c r="C601" s="265"/>
      <c r="D601" s="56"/>
      <c r="E601" s="56"/>
      <c r="F601" s="56"/>
      <c r="G601" s="56"/>
      <c r="H601" s="56"/>
      <c r="I601" s="56"/>
      <c r="J601" s="56"/>
      <c r="K601" s="56"/>
      <c r="L601" s="56"/>
      <c r="M601" s="56"/>
    </row>
    <row r="602" ht="15.75" customHeight="1">
      <c r="A602" s="56"/>
      <c r="B602" s="56"/>
      <c r="C602" s="265"/>
      <c r="D602" s="56"/>
      <c r="E602" s="56"/>
      <c r="F602" s="56"/>
      <c r="G602" s="56"/>
      <c r="H602" s="56"/>
      <c r="I602" s="56"/>
      <c r="J602" s="56"/>
      <c r="K602" s="56"/>
      <c r="L602" s="56"/>
      <c r="M602" s="56"/>
    </row>
    <row r="603" ht="15.75" customHeight="1">
      <c r="A603" s="56"/>
      <c r="B603" s="56"/>
      <c r="C603" s="265"/>
      <c r="D603" s="56"/>
      <c r="E603" s="56"/>
      <c r="F603" s="56"/>
      <c r="G603" s="56"/>
      <c r="H603" s="56"/>
      <c r="I603" s="56"/>
      <c r="J603" s="56"/>
      <c r="K603" s="56"/>
      <c r="L603" s="56"/>
      <c r="M603" s="56"/>
    </row>
    <row r="604" ht="15.75" customHeight="1">
      <c r="A604" s="56"/>
      <c r="B604" s="56"/>
      <c r="C604" s="265"/>
      <c r="D604" s="56"/>
      <c r="E604" s="56"/>
      <c r="F604" s="56"/>
      <c r="G604" s="56"/>
      <c r="H604" s="56"/>
      <c r="I604" s="56"/>
      <c r="J604" s="56"/>
      <c r="K604" s="56"/>
      <c r="L604" s="56"/>
      <c r="M604" s="56"/>
    </row>
    <row r="605" ht="15.75" customHeight="1">
      <c r="A605" s="56"/>
      <c r="B605" s="56"/>
      <c r="C605" s="265"/>
      <c r="D605" s="56"/>
      <c r="E605" s="56"/>
      <c r="F605" s="56"/>
      <c r="G605" s="56"/>
      <c r="H605" s="56"/>
      <c r="I605" s="56"/>
      <c r="J605" s="56"/>
      <c r="K605" s="56"/>
      <c r="L605" s="56"/>
      <c r="M605" s="56"/>
    </row>
    <row r="606" ht="15.75" customHeight="1">
      <c r="A606" s="56"/>
      <c r="B606" s="56"/>
      <c r="C606" s="265"/>
      <c r="D606" s="56"/>
      <c r="E606" s="56"/>
      <c r="F606" s="56"/>
      <c r="G606" s="56"/>
      <c r="H606" s="56"/>
      <c r="I606" s="56"/>
      <c r="J606" s="56"/>
      <c r="K606" s="56"/>
      <c r="L606" s="56"/>
      <c r="M606" s="56"/>
    </row>
    <row r="607" ht="15.75" customHeight="1">
      <c r="A607" s="56"/>
      <c r="B607" s="56"/>
      <c r="C607" s="265"/>
      <c r="D607" s="56"/>
      <c r="E607" s="56"/>
      <c r="F607" s="56"/>
      <c r="G607" s="56"/>
      <c r="H607" s="56"/>
      <c r="I607" s="56"/>
      <c r="J607" s="56"/>
      <c r="K607" s="56"/>
      <c r="L607" s="56"/>
      <c r="M607" s="56"/>
    </row>
    <row r="608" ht="15.75" customHeight="1">
      <c r="A608" s="56"/>
      <c r="B608" s="56"/>
      <c r="C608" s="265"/>
      <c r="D608" s="56"/>
      <c r="E608" s="56"/>
      <c r="F608" s="56"/>
      <c r="G608" s="56"/>
      <c r="H608" s="56"/>
      <c r="I608" s="56"/>
      <c r="J608" s="56"/>
      <c r="K608" s="56"/>
      <c r="L608" s="56"/>
      <c r="M608" s="56"/>
    </row>
    <row r="609" ht="15.75" customHeight="1">
      <c r="A609" s="56"/>
      <c r="B609" s="56"/>
      <c r="C609" s="265"/>
      <c r="D609" s="56"/>
      <c r="E609" s="56"/>
      <c r="F609" s="56"/>
      <c r="G609" s="56"/>
      <c r="H609" s="56"/>
      <c r="I609" s="56"/>
      <c r="J609" s="56"/>
      <c r="K609" s="56"/>
      <c r="L609" s="56"/>
      <c r="M609" s="56"/>
    </row>
    <row r="610" ht="15.75" customHeight="1">
      <c r="A610" s="56"/>
      <c r="B610" s="56"/>
      <c r="C610" s="265"/>
      <c r="D610" s="56"/>
      <c r="E610" s="56"/>
      <c r="F610" s="56"/>
      <c r="G610" s="56"/>
      <c r="H610" s="56"/>
      <c r="I610" s="56"/>
      <c r="J610" s="56"/>
      <c r="K610" s="56"/>
      <c r="L610" s="56"/>
      <c r="M610" s="56"/>
    </row>
    <row r="611" ht="15.75" customHeight="1">
      <c r="A611" s="56"/>
      <c r="B611" s="56"/>
      <c r="C611" s="265"/>
      <c r="D611" s="56"/>
      <c r="E611" s="56"/>
      <c r="F611" s="56"/>
      <c r="G611" s="56"/>
      <c r="H611" s="56"/>
      <c r="I611" s="56"/>
      <c r="J611" s="56"/>
      <c r="K611" s="56"/>
      <c r="L611" s="56"/>
      <c r="M611" s="56"/>
    </row>
    <row r="612" ht="15.75" customHeight="1">
      <c r="A612" s="56"/>
      <c r="B612" s="56"/>
      <c r="C612" s="265"/>
      <c r="D612" s="56"/>
      <c r="E612" s="56"/>
      <c r="F612" s="56"/>
      <c r="G612" s="56"/>
      <c r="H612" s="56"/>
      <c r="I612" s="56"/>
      <c r="J612" s="56"/>
      <c r="K612" s="56"/>
      <c r="L612" s="56"/>
      <c r="M612" s="56"/>
    </row>
    <row r="613" ht="15.75" customHeight="1">
      <c r="A613" s="56"/>
      <c r="B613" s="56"/>
      <c r="C613" s="265"/>
      <c r="D613" s="56"/>
      <c r="E613" s="56"/>
      <c r="F613" s="56"/>
      <c r="G613" s="56"/>
      <c r="H613" s="56"/>
      <c r="I613" s="56"/>
      <c r="J613" s="56"/>
      <c r="K613" s="56"/>
      <c r="L613" s="56"/>
      <c r="M613" s="56"/>
    </row>
    <row r="614" ht="15.75" customHeight="1">
      <c r="A614" s="56"/>
      <c r="B614" s="56"/>
      <c r="C614" s="265"/>
      <c r="D614" s="56"/>
      <c r="E614" s="56"/>
      <c r="F614" s="56"/>
      <c r="G614" s="56"/>
      <c r="H614" s="56"/>
      <c r="I614" s="56"/>
      <c r="J614" s="56"/>
      <c r="K614" s="56"/>
      <c r="L614" s="56"/>
      <c r="M614" s="56"/>
    </row>
    <row r="615" ht="15.75" customHeight="1">
      <c r="A615" s="56"/>
      <c r="B615" s="56"/>
      <c r="C615" s="265"/>
      <c r="D615" s="56"/>
      <c r="E615" s="56"/>
      <c r="F615" s="56"/>
      <c r="G615" s="56"/>
      <c r="H615" s="56"/>
      <c r="I615" s="56"/>
      <c r="J615" s="56"/>
      <c r="K615" s="56"/>
      <c r="L615" s="56"/>
      <c r="M615" s="56"/>
    </row>
    <row r="616" ht="15.75" customHeight="1">
      <c r="A616" s="56"/>
      <c r="B616" s="56"/>
      <c r="C616" s="265"/>
      <c r="D616" s="56"/>
      <c r="E616" s="56"/>
      <c r="F616" s="56"/>
      <c r="G616" s="56"/>
      <c r="H616" s="56"/>
      <c r="I616" s="56"/>
      <c r="J616" s="56"/>
      <c r="K616" s="56"/>
      <c r="L616" s="56"/>
      <c r="M616" s="56"/>
    </row>
    <row r="617" ht="15.75" customHeight="1">
      <c r="A617" s="56"/>
      <c r="B617" s="56"/>
      <c r="C617" s="265"/>
      <c r="D617" s="56"/>
      <c r="E617" s="56"/>
      <c r="F617" s="56"/>
      <c r="G617" s="56"/>
      <c r="H617" s="56"/>
      <c r="I617" s="56"/>
      <c r="J617" s="56"/>
      <c r="K617" s="56"/>
      <c r="L617" s="56"/>
      <c r="M617" s="56"/>
    </row>
    <row r="618" ht="15.75" customHeight="1">
      <c r="A618" s="56"/>
      <c r="B618" s="56"/>
      <c r="C618" s="265"/>
      <c r="D618" s="56"/>
      <c r="E618" s="56"/>
      <c r="F618" s="56"/>
      <c r="G618" s="56"/>
      <c r="H618" s="56"/>
      <c r="I618" s="56"/>
      <c r="J618" s="56"/>
      <c r="K618" s="56"/>
      <c r="L618" s="56"/>
      <c r="M618" s="56"/>
    </row>
    <row r="619" ht="15.75" customHeight="1">
      <c r="A619" s="56"/>
      <c r="B619" s="56"/>
      <c r="C619" s="265"/>
      <c r="D619" s="56"/>
      <c r="E619" s="56"/>
      <c r="F619" s="56"/>
      <c r="G619" s="56"/>
      <c r="H619" s="56"/>
      <c r="I619" s="56"/>
      <c r="J619" s="56"/>
      <c r="K619" s="56"/>
      <c r="L619" s="56"/>
      <c r="M619" s="56"/>
    </row>
    <row r="620" ht="15.75" customHeight="1">
      <c r="A620" s="56"/>
      <c r="B620" s="56"/>
      <c r="C620" s="265"/>
      <c r="D620" s="56"/>
      <c r="E620" s="56"/>
      <c r="F620" s="56"/>
      <c r="G620" s="56"/>
      <c r="H620" s="56"/>
      <c r="I620" s="56"/>
      <c r="J620" s="56"/>
      <c r="K620" s="56"/>
      <c r="L620" s="56"/>
      <c r="M620" s="56"/>
    </row>
    <row r="621" ht="15.75" customHeight="1">
      <c r="A621" s="56"/>
      <c r="B621" s="56"/>
      <c r="C621" s="265"/>
      <c r="D621" s="56"/>
      <c r="E621" s="56"/>
      <c r="F621" s="56"/>
      <c r="G621" s="56"/>
      <c r="H621" s="56"/>
      <c r="I621" s="56"/>
      <c r="J621" s="56"/>
      <c r="K621" s="56"/>
      <c r="L621" s="56"/>
      <c r="M621" s="56"/>
    </row>
    <row r="622" ht="15.75" customHeight="1">
      <c r="A622" s="56"/>
      <c r="B622" s="56"/>
      <c r="C622" s="265"/>
      <c r="D622" s="56"/>
      <c r="E622" s="56"/>
      <c r="F622" s="56"/>
      <c r="G622" s="56"/>
      <c r="H622" s="56"/>
      <c r="I622" s="56"/>
      <c r="J622" s="56"/>
      <c r="K622" s="56"/>
      <c r="L622" s="56"/>
      <c r="M622" s="56"/>
    </row>
    <row r="623" ht="15.75" customHeight="1">
      <c r="A623" s="56"/>
      <c r="B623" s="56"/>
      <c r="C623" s="265"/>
      <c r="D623" s="56"/>
      <c r="E623" s="56"/>
      <c r="F623" s="56"/>
      <c r="G623" s="56"/>
      <c r="H623" s="56"/>
      <c r="I623" s="56"/>
      <c r="J623" s="56"/>
      <c r="K623" s="56"/>
      <c r="L623" s="56"/>
      <c r="M623" s="56"/>
    </row>
    <row r="624" ht="15.75" customHeight="1">
      <c r="A624" s="56"/>
      <c r="B624" s="56"/>
      <c r="C624" s="265"/>
      <c r="D624" s="56"/>
      <c r="E624" s="56"/>
      <c r="F624" s="56"/>
      <c r="G624" s="56"/>
      <c r="H624" s="56"/>
      <c r="I624" s="56"/>
      <c r="J624" s="56"/>
      <c r="K624" s="56"/>
      <c r="L624" s="56"/>
      <c r="M624" s="56"/>
    </row>
    <row r="625" ht="15.75" customHeight="1">
      <c r="A625" s="56"/>
      <c r="B625" s="56"/>
      <c r="C625" s="265"/>
      <c r="D625" s="56"/>
      <c r="E625" s="56"/>
      <c r="F625" s="56"/>
      <c r="G625" s="56"/>
      <c r="H625" s="56"/>
      <c r="I625" s="56"/>
      <c r="J625" s="56"/>
      <c r="K625" s="56"/>
      <c r="L625" s="56"/>
      <c r="M625" s="56"/>
    </row>
    <row r="626" ht="15.75" customHeight="1">
      <c r="A626" s="56"/>
      <c r="B626" s="56"/>
      <c r="C626" s="265"/>
      <c r="D626" s="56"/>
      <c r="E626" s="56"/>
      <c r="F626" s="56"/>
      <c r="G626" s="56"/>
      <c r="H626" s="56"/>
      <c r="I626" s="56"/>
      <c r="J626" s="56"/>
      <c r="K626" s="56"/>
      <c r="L626" s="56"/>
      <c r="M626" s="56"/>
    </row>
    <row r="627" ht="15.75" customHeight="1">
      <c r="A627" s="56"/>
      <c r="B627" s="56"/>
      <c r="C627" s="265"/>
      <c r="D627" s="56"/>
      <c r="E627" s="56"/>
      <c r="F627" s="56"/>
      <c r="G627" s="56"/>
      <c r="H627" s="56"/>
      <c r="I627" s="56"/>
      <c r="J627" s="56"/>
      <c r="K627" s="56"/>
      <c r="L627" s="56"/>
      <c r="M627" s="56"/>
    </row>
    <row r="628" ht="15.75" customHeight="1">
      <c r="A628" s="56"/>
      <c r="B628" s="56"/>
      <c r="C628" s="265"/>
      <c r="D628" s="56"/>
      <c r="E628" s="56"/>
      <c r="F628" s="56"/>
      <c r="G628" s="56"/>
      <c r="H628" s="56"/>
      <c r="I628" s="56"/>
      <c r="J628" s="56"/>
      <c r="K628" s="56"/>
      <c r="L628" s="56"/>
      <c r="M628" s="56"/>
    </row>
    <row r="629" ht="15.75" customHeight="1">
      <c r="A629" s="56"/>
      <c r="B629" s="56"/>
      <c r="C629" s="265"/>
      <c r="D629" s="56"/>
      <c r="E629" s="56"/>
      <c r="F629" s="56"/>
      <c r="G629" s="56"/>
      <c r="H629" s="56"/>
      <c r="I629" s="56"/>
      <c r="J629" s="56"/>
      <c r="K629" s="56"/>
      <c r="L629" s="56"/>
      <c r="M629" s="56"/>
    </row>
    <row r="630" ht="15.75" customHeight="1">
      <c r="A630" s="56"/>
      <c r="B630" s="56"/>
      <c r="C630" s="265"/>
      <c r="D630" s="56"/>
      <c r="E630" s="56"/>
      <c r="F630" s="56"/>
      <c r="G630" s="56"/>
      <c r="H630" s="56"/>
      <c r="I630" s="56"/>
      <c r="J630" s="56"/>
      <c r="K630" s="56"/>
      <c r="L630" s="56"/>
      <c r="M630" s="56"/>
    </row>
    <row r="631" ht="15.75" customHeight="1">
      <c r="A631" s="56"/>
      <c r="B631" s="56"/>
      <c r="C631" s="265"/>
      <c r="D631" s="56"/>
      <c r="E631" s="56"/>
      <c r="F631" s="56"/>
      <c r="G631" s="56"/>
      <c r="H631" s="56"/>
      <c r="I631" s="56"/>
      <c r="J631" s="56"/>
      <c r="K631" s="56"/>
      <c r="L631" s="56"/>
      <c r="M631" s="56"/>
    </row>
    <row r="632" ht="15.75" customHeight="1">
      <c r="A632" s="56"/>
      <c r="B632" s="56"/>
      <c r="C632" s="265"/>
      <c r="D632" s="56"/>
      <c r="E632" s="56"/>
      <c r="F632" s="56"/>
      <c r="G632" s="56"/>
      <c r="H632" s="56"/>
      <c r="I632" s="56"/>
      <c r="J632" s="56"/>
      <c r="K632" s="56"/>
      <c r="L632" s="56"/>
      <c r="M632" s="56"/>
    </row>
    <row r="633" ht="15.75" customHeight="1">
      <c r="A633" s="56"/>
      <c r="B633" s="56"/>
      <c r="C633" s="265"/>
      <c r="D633" s="56"/>
      <c r="E633" s="56"/>
      <c r="F633" s="56"/>
      <c r="G633" s="56"/>
      <c r="H633" s="56"/>
      <c r="I633" s="56"/>
      <c r="J633" s="56"/>
      <c r="K633" s="56"/>
      <c r="L633" s="56"/>
      <c r="M633" s="56"/>
    </row>
    <row r="634" ht="15.75" customHeight="1">
      <c r="A634" s="56"/>
      <c r="B634" s="56"/>
      <c r="C634" s="265"/>
      <c r="D634" s="56"/>
      <c r="E634" s="56"/>
      <c r="F634" s="56"/>
      <c r="G634" s="56"/>
      <c r="H634" s="56"/>
      <c r="I634" s="56"/>
      <c r="J634" s="56"/>
      <c r="K634" s="56"/>
      <c r="L634" s="56"/>
      <c r="M634" s="56"/>
    </row>
    <row r="635" ht="15.75" customHeight="1">
      <c r="A635" s="56"/>
      <c r="B635" s="56"/>
      <c r="C635" s="265"/>
      <c r="D635" s="56"/>
      <c r="E635" s="56"/>
      <c r="F635" s="56"/>
      <c r="G635" s="56"/>
      <c r="H635" s="56"/>
      <c r="I635" s="56"/>
      <c r="J635" s="56"/>
      <c r="K635" s="56"/>
      <c r="L635" s="56"/>
      <c r="M635" s="56"/>
    </row>
    <row r="636" ht="15.75" customHeight="1">
      <c r="A636" s="56"/>
      <c r="B636" s="56"/>
      <c r="C636" s="265"/>
      <c r="D636" s="56"/>
      <c r="E636" s="56"/>
      <c r="F636" s="56"/>
      <c r="G636" s="56"/>
      <c r="H636" s="56"/>
      <c r="I636" s="56"/>
      <c r="J636" s="56"/>
      <c r="K636" s="56"/>
      <c r="L636" s="56"/>
      <c r="M636" s="56"/>
    </row>
    <row r="637" ht="15.75" customHeight="1">
      <c r="A637" s="56"/>
      <c r="B637" s="56"/>
      <c r="C637" s="265"/>
      <c r="D637" s="56"/>
      <c r="E637" s="56"/>
      <c r="F637" s="56"/>
      <c r="G637" s="56"/>
      <c r="H637" s="56"/>
      <c r="I637" s="56"/>
      <c r="J637" s="56"/>
      <c r="K637" s="56"/>
      <c r="L637" s="56"/>
      <c r="M637" s="56"/>
    </row>
    <row r="638" ht="15.75" customHeight="1">
      <c r="A638" s="56"/>
      <c r="B638" s="56"/>
      <c r="C638" s="265"/>
      <c r="D638" s="56"/>
      <c r="E638" s="56"/>
      <c r="F638" s="56"/>
      <c r="G638" s="56"/>
      <c r="H638" s="56"/>
      <c r="I638" s="56"/>
      <c r="J638" s="56"/>
      <c r="K638" s="56"/>
      <c r="L638" s="56"/>
      <c r="M638" s="56"/>
    </row>
    <row r="639" ht="15.75" customHeight="1">
      <c r="A639" s="56"/>
      <c r="B639" s="56"/>
      <c r="C639" s="265"/>
      <c r="D639" s="56"/>
      <c r="E639" s="56"/>
      <c r="F639" s="56"/>
      <c r="G639" s="56"/>
      <c r="H639" s="56"/>
      <c r="I639" s="56"/>
      <c r="J639" s="56"/>
      <c r="K639" s="56"/>
      <c r="L639" s="56"/>
      <c r="M639" s="56"/>
    </row>
    <row r="640" ht="15.75" customHeight="1">
      <c r="A640" s="56"/>
      <c r="B640" s="56"/>
      <c r="C640" s="265"/>
      <c r="D640" s="56"/>
      <c r="E640" s="56"/>
      <c r="F640" s="56"/>
      <c r="G640" s="56"/>
      <c r="H640" s="56"/>
      <c r="I640" s="56"/>
      <c r="J640" s="56"/>
      <c r="K640" s="56"/>
      <c r="L640" s="56"/>
      <c r="M640" s="56"/>
    </row>
    <row r="641" ht="15.75" customHeight="1">
      <c r="A641" s="56"/>
      <c r="B641" s="56"/>
      <c r="C641" s="265"/>
      <c r="D641" s="56"/>
      <c r="E641" s="56"/>
      <c r="F641" s="56"/>
      <c r="G641" s="56"/>
      <c r="H641" s="56"/>
      <c r="I641" s="56"/>
      <c r="J641" s="56"/>
      <c r="K641" s="56"/>
      <c r="L641" s="56"/>
      <c r="M641" s="56"/>
    </row>
    <row r="642" ht="15.75" customHeight="1">
      <c r="A642" s="56"/>
      <c r="B642" s="56"/>
      <c r="C642" s="265"/>
      <c r="D642" s="56"/>
      <c r="E642" s="56"/>
      <c r="F642" s="56"/>
      <c r="G642" s="56"/>
      <c r="H642" s="56"/>
      <c r="I642" s="56"/>
      <c r="J642" s="56"/>
      <c r="K642" s="56"/>
      <c r="L642" s="56"/>
      <c r="M642" s="56"/>
    </row>
    <row r="643" ht="15.75" customHeight="1">
      <c r="A643" s="56"/>
      <c r="B643" s="56"/>
      <c r="C643" s="265"/>
      <c r="D643" s="56"/>
      <c r="E643" s="56"/>
      <c r="F643" s="56"/>
      <c r="G643" s="56"/>
      <c r="H643" s="56"/>
      <c r="I643" s="56"/>
      <c r="J643" s="56"/>
      <c r="K643" s="56"/>
      <c r="L643" s="56"/>
      <c r="M643" s="56"/>
    </row>
    <row r="644" ht="15.75" customHeight="1">
      <c r="A644" s="56"/>
      <c r="B644" s="56"/>
      <c r="C644" s="265"/>
      <c r="D644" s="56"/>
      <c r="E644" s="56"/>
      <c r="F644" s="56"/>
      <c r="G644" s="56"/>
      <c r="H644" s="56"/>
      <c r="I644" s="56"/>
      <c r="J644" s="56"/>
      <c r="K644" s="56"/>
      <c r="L644" s="56"/>
      <c r="M644" s="56"/>
    </row>
    <row r="645" ht="15.75" customHeight="1">
      <c r="A645" s="56"/>
      <c r="B645" s="56"/>
      <c r="C645" s="265"/>
      <c r="D645" s="56"/>
      <c r="E645" s="56"/>
      <c r="F645" s="56"/>
      <c r="G645" s="56"/>
      <c r="H645" s="56"/>
      <c r="I645" s="56"/>
      <c r="J645" s="56"/>
      <c r="K645" s="56"/>
      <c r="L645" s="56"/>
      <c r="M645" s="56"/>
    </row>
    <row r="646" ht="15.75" customHeight="1">
      <c r="A646" s="56"/>
      <c r="B646" s="56"/>
      <c r="C646" s="265"/>
      <c r="D646" s="56"/>
      <c r="E646" s="56"/>
      <c r="F646" s="56"/>
      <c r="G646" s="56"/>
      <c r="H646" s="56"/>
      <c r="I646" s="56"/>
      <c r="J646" s="56"/>
      <c r="K646" s="56"/>
      <c r="L646" s="56"/>
      <c r="M646" s="56"/>
    </row>
    <row r="647" ht="15.75" customHeight="1">
      <c r="A647" s="56"/>
      <c r="B647" s="56"/>
      <c r="C647" s="265"/>
      <c r="D647" s="56"/>
      <c r="E647" s="56"/>
      <c r="F647" s="56"/>
      <c r="G647" s="56"/>
      <c r="H647" s="56"/>
      <c r="I647" s="56"/>
      <c r="J647" s="56"/>
      <c r="K647" s="56"/>
      <c r="L647" s="56"/>
      <c r="M647" s="56"/>
    </row>
    <row r="648" ht="15.75" customHeight="1">
      <c r="A648" s="56"/>
      <c r="B648" s="56"/>
      <c r="C648" s="265"/>
      <c r="D648" s="56"/>
      <c r="E648" s="56"/>
      <c r="F648" s="56"/>
      <c r="G648" s="56"/>
      <c r="H648" s="56"/>
      <c r="I648" s="56"/>
      <c r="J648" s="56"/>
      <c r="K648" s="56"/>
      <c r="L648" s="56"/>
      <c r="M648" s="56"/>
    </row>
    <row r="649" ht="15.75" customHeight="1">
      <c r="A649" s="56"/>
      <c r="B649" s="56"/>
      <c r="C649" s="265"/>
      <c r="D649" s="56"/>
      <c r="E649" s="56"/>
      <c r="F649" s="56"/>
      <c r="G649" s="56"/>
      <c r="H649" s="56"/>
      <c r="I649" s="56"/>
      <c r="J649" s="56"/>
      <c r="K649" s="56"/>
      <c r="L649" s="56"/>
      <c r="M649" s="56"/>
    </row>
    <row r="650" ht="15.75" customHeight="1">
      <c r="A650" s="56"/>
      <c r="B650" s="56"/>
      <c r="C650" s="265"/>
      <c r="D650" s="56"/>
      <c r="E650" s="56"/>
      <c r="F650" s="56"/>
      <c r="G650" s="56"/>
      <c r="H650" s="56"/>
      <c r="I650" s="56"/>
      <c r="J650" s="56"/>
      <c r="K650" s="56"/>
      <c r="L650" s="56"/>
      <c r="M650" s="56"/>
    </row>
    <row r="651" ht="15.75" customHeight="1">
      <c r="A651" s="56"/>
      <c r="B651" s="56"/>
      <c r="C651" s="265"/>
      <c r="D651" s="56"/>
      <c r="E651" s="56"/>
      <c r="F651" s="56"/>
      <c r="G651" s="56"/>
      <c r="H651" s="56"/>
      <c r="I651" s="56"/>
      <c r="J651" s="56"/>
      <c r="K651" s="56"/>
      <c r="L651" s="56"/>
      <c r="M651" s="56"/>
    </row>
    <row r="652" ht="15.75" customHeight="1">
      <c r="A652" s="56"/>
      <c r="B652" s="56"/>
      <c r="C652" s="265"/>
      <c r="D652" s="56"/>
      <c r="E652" s="56"/>
      <c r="F652" s="56"/>
      <c r="G652" s="56"/>
      <c r="H652" s="56"/>
      <c r="I652" s="56"/>
      <c r="J652" s="56"/>
      <c r="K652" s="56"/>
      <c r="L652" s="56"/>
      <c r="M652" s="56"/>
    </row>
    <row r="653" ht="15.75" customHeight="1">
      <c r="A653" s="56"/>
      <c r="B653" s="56"/>
      <c r="C653" s="265"/>
      <c r="D653" s="56"/>
      <c r="E653" s="56"/>
      <c r="F653" s="56"/>
      <c r="G653" s="56"/>
      <c r="H653" s="56"/>
      <c r="I653" s="56"/>
      <c r="J653" s="56"/>
      <c r="K653" s="56"/>
      <c r="L653" s="56"/>
      <c r="M653" s="56"/>
    </row>
    <row r="654" ht="15.75" customHeight="1">
      <c r="A654" s="56"/>
      <c r="B654" s="56"/>
      <c r="C654" s="265"/>
      <c r="D654" s="56"/>
      <c r="E654" s="56"/>
      <c r="F654" s="56"/>
      <c r="G654" s="56"/>
      <c r="H654" s="56"/>
      <c r="I654" s="56"/>
      <c r="J654" s="56"/>
      <c r="K654" s="56"/>
      <c r="L654" s="56"/>
      <c r="M654" s="56"/>
    </row>
    <row r="655" ht="15.75" customHeight="1">
      <c r="A655" s="56"/>
      <c r="B655" s="56"/>
      <c r="C655" s="265"/>
      <c r="D655" s="56"/>
      <c r="E655" s="56"/>
      <c r="F655" s="56"/>
      <c r="G655" s="56"/>
      <c r="H655" s="56"/>
      <c r="I655" s="56"/>
      <c r="J655" s="56"/>
      <c r="K655" s="56"/>
      <c r="L655" s="56"/>
      <c r="M655" s="56"/>
    </row>
    <row r="656" ht="15.75" customHeight="1">
      <c r="A656" s="56"/>
      <c r="B656" s="56"/>
      <c r="C656" s="265"/>
      <c r="D656" s="56"/>
      <c r="E656" s="56"/>
      <c r="F656" s="56"/>
      <c r="G656" s="56"/>
      <c r="H656" s="56"/>
      <c r="I656" s="56"/>
      <c r="J656" s="56"/>
      <c r="K656" s="56"/>
      <c r="L656" s="56"/>
      <c r="M656" s="56"/>
    </row>
    <row r="657" ht="15.75" customHeight="1">
      <c r="A657" s="56"/>
      <c r="B657" s="56"/>
      <c r="C657" s="265"/>
      <c r="D657" s="56"/>
      <c r="E657" s="56"/>
      <c r="F657" s="56"/>
      <c r="G657" s="56"/>
      <c r="H657" s="56"/>
      <c r="I657" s="56"/>
      <c r="J657" s="56"/>
      <c r="K657" s="56"/>
      <c r="L657" s="56"/>
      <c r="M657" s="56"/>
    </row>
    <row r="658" ht="15.75" customHeight="1">
      <c r="A658" s="56"/>
      <c r="B658" s="56"/>
      <c r="C658" s="265"/>
      <c r="D658" s="56"/>
      <c r="E658" s="56"/>
      <c r="F658" s="56"/>
      <c r="G658" s="56"/>
      <c r="H658" s="56"/>
      <c r="I658" s="56"/>
      <c r="J658" s="56"/>
      <c r="K658" s="56"/>
      <c r="L658" s="56"/>
      <c r="M658" s="56"/>
    </row>
    <row r="659" ht="15.75" customHeight="1">
      <c r="A659" s="56"/>
      <c r="B659" s="56"/>
      <c r="C659" s="265"/>
      <c r="D659" s="56"/>
      <c r="E659" s="56"/>
      <c r="F659" s="56"/>
      <c r="G659" s="56"/>
      <c r="H659" s="56"/>
      <c r="I659" s="56"/>
      <c r="J659" s="56"/>
      <c r="K659" s="56"/>
      <c r="L659" s="56"/>
      <c r="M659" s="56"/>
    </row>
    <row r="660" ht="15.75" customHeight="1">
      <c r="A660" s="56"/>
      <c r="B660" s="56"/>
      <c r="C660" s="265"/>
      <c r="D660" s="56"/>
      <c r="E660" s="56"/>
      <c r="F660" s="56"/>
      <c r="G660" s="56"/>
      <c r="H660" s="56"/>
      <c r="I660" s="56"/>
      <c r="J660" s="56"/>
      <c r="K660" s="56"/>
      <c r="L660" s="56"/>
      <c r="M660" s="56"/>
    </row>
    <row r="661" ht="15.75" customHeight="1">
      <c r="A661" s="56"/>
      <c r="B661" s="56"/>
      <c r="C661" s="265"/>
      <c r="D661" s="56"/>
      <c r="E661" s="56"/>
      <c r="F661" s="56"/>
      <c r="G661" s="56"/>
      <c r="H661" s="56"/>
      <c r="I661" s="56"/>
      <c r="J661" s="56"/>
      <c r="K661" s="56"/>
      <c r="L661" s="56"/>
      <c r="M661" s="56"/>
    </row>
    <row r="662" ht="15.75" customHeight="1">
      <c r="A662" s="56"/>
      <c r="B662" s="56"/>
      <c r="C662" s="265"/>
      <c r="D662" s="56"/>
      <c r="E662" s="56"/>
      <c r="F662" s="56"/>
      <c r="G662" s="56"/>
      <c r="H662" s="56"/>
      <c r="I662" s="56"/>
      <c r="J662" s="56"/>
      <c r="K662" s="56"/>
      <c r="L662" s="56"/>
      <c r="M662" s="56"/>
    </row>
    <row r="663" ht="15.75" customHeight="1">
      <c r="A663" s="56"/>
      <c r="B663" s="56"/>
      <c r="C663" s="265"/>
      <c r="D663" s="56"/>
      <c r="E663" s="56"/>
      <c r="F663" s="56"/>
      <c r="G663" s="56"/>
      <c r="H663" s="56"/>
      <c r="I663" s="56"/>
      <c r="J663" s="56"/>
      <c r="K663" s="56"/>
      <c r="L663" s="56"/>
      <c r="M663" s="56"/>
    </row>
    <row r="664" ht="15.75" customHeight="1">
      <c r="A664" s="56"/>
      <c r="B664" s="56"/>
      <c r="C664" s="265"/>
      <c r="D664" s="56"/>
      <c r="E664" s="56"/>
      <c r="F664" s="56"/>
      <c r="G664" s="56"/>
      <c r="H664" s="56"/>
      <c r="I664" s="56"/>
      <c r="J664" s="56"/>
      <c r="K664" s="56"/>
      <c r="L664" s="56"/>
      <c r="M664" s="56"/>
    </row>
    <row r="665" ht="15.75" customHeight="1">
      <c r="A665" s="56"/>
      <c r="B665" s="56"/>
      <c r="C665" s="265"/>
      <c r="D665" s="56"/>
      <c r="E665" s="56"/>
      <c r="F665" s="56"/>
      <c r="G665" s="56"/>
      <c r="H665" s="56"/>
      <c r="I665" s="56"/>
      <c r="J665" s="56"/>
      <c r="K665" s="56"/>
      <c r="L665" s="56"/>
      <c r="M665" s="56"/>
    </row>
    <row r="666" ht="15.75" customHeight="1">
      <c r="A666" s="56"/>
      <c r="B666" s="56"/>
      <c r="C666" s="265"/>
      <c r="D666" s="56"/>
      <c r="E666" s="56"/>
      <c r="F666" s="56"/>
      <c r="G666" s="56"/>
      <c r="H666" s="56"/>
      <c r="I666" s="56"/>
      <c r="J666" s="56"/>
      <c r="K666" s="56"/>
      <c r="L666" s="56"/>
      <c r="M666" s="56"/>
    </row>
    <row r="667" ht="15.75" customHeight="1">
      <c r="A667" s="56"/>
      <c r="B667" s="56"/>
      <c r="C667" s="265"/>
      <c r="D667" s="56"/>
      <c r="E667" s="56"/>
      <c r="F667" s="56"/>
      <c r="G667" s="56"/>
      <c r="H667" s="56"/>
      <c r="I667" s="56"/>
      <c r="J667" s="56"/>
      <c r="K667" s="56"/>
      <c r="L667" s="56"/>
      <c r="M667" s="56"/>
    </row>
    <row r="668" ht="15.75" customHeight="1">
      <c r="A668" s="56"/>
      <c r="B668" s="56"/>
      <c r="C668" s="265"/>
      <c r="D668" s="56"/>
      <c r="E668" s="56"/>
      <c r="F668" s="56"/>
      <c r="G668" s="56"/>
      <c r="H668" s="56"/>
      <c r="I668" s="56"/>
      <c r="J668" s="56"/>
      <c r="K668" s="56"/>
      <c r="L668" s="56"/>
      <c r="M668" s="56"/>
    </row>
    <row r="669" ht="15.75" customHeight="1">
      <c r="A669" s="56"/>
      <c r="B669" s="56"/>
      <c r="C669" s="265"/>
      <c r="D669" s="56"/>
      <c r="E669" s="56"/>
      <c r="F669" s="56"/>
      <c r="G669" s="56"/>
      <c r="H669" s="56"/>
      <c r="I669" s="56"/>
      <c r="J669" s="56"/>
      <c r="K669" s="56"/>
      <c r="L669" s="56"/>
      <c r="M669" s="56"/>
    </row>
    <row r="670" ht="15.75" customHeight="1">
      <c r="A670" s="56"/>
      <c r="B670" s="56"/>
      <c r="C670" s="265"/>
      <c r="D670" s="56"/>
      <c r="E670" s="56"/>
      <c r="F670" s="56"/>
      <c r="G670" s="56"/>
      <c r="H670" s="56"/>
      <c r="I670" s="56"/>
      <c r="J670" s="56"/>
      <c r="K670" s="56"/>
      <c r="L670" s="56"/>
      <c r="M670" s="56"/>
    </row>
    <row r="671" ht="15.75" customHeight="1">
      <c r="A671" s="56"/>
      <c r="B671" s="56"/>
      <c r="C671" s="265"/>
      <c r="D671" s="56"/>
      <c r="E671" s="56"/>
      <c r="F671" s="56"/>
      <c r="G671" s="56"/>
      <c r="H671" s="56"/>
      <c r="I671" s="56"/>
      <c r="J671" s="56"/>
      <c r="K671" s="56"/>
      <c r="L671" s="56"/>
      <c r="M671" s="56"/>
    </row>
    <row r="672" ht="15.75" customHeight="1">
      <c r="A672" s="56"/>
      <c r="B672" s="56"/>
      <c r="C672" s="265"/>
      <c r="D672" s="56"/>
      <c r="E672" s="56"/>
      <c r="F672" s="56"/>
      <c r="G672" s="56"/>
      <c r="H672" s="56"/>
      <c r="I672" s="56"/>
      <c r="J672" s="56"/>
      <c r="K672" s="56"/>
      <c r="L672" s="56"/>
      <c r="M672" s="56"/>
    </row>
    <row r="673" ht="15.75" customHeight="1">
      <c r="A673" s="56"/>
      <c r="B673" s="56"/>
      <c r="C673" s="265"/>
      <c r="D673" s="56"/>
      <c r="E673" s="56"/>
      <c r="F673" s="56"/>
      <c r="G673" s="56"/>
      <c r="H673" s="56"/>
      <c r="I673" s="56"/>
      <c r="J673" s="56"/>
      <c r="K673" s="56"/>
      <c r="L673" s="56"/>
      <c r="M673" s="56"/>
    </row>
    <row r="674" ht="15.75" customHeight="1">
      <c r="A674" s="56"/>
      <c r="B674" s="56"/>
      <c r="C674" s="265"/>
      <c r="D674" s="56"/>
      <c r="E674" s="56"/>
      <c r="F674" s="56"/>
      <c r="G674" s="56"/>
      <c r="H674" s="56"/>
      <c r="I674" s="56"/>
      <c r="J674" s="56"/>
      <c r="K674" s="56"/>
      <c r="L674" s="56"/>
      <c r="M674" s="56"/>
    </row>
    <row r="675" ht="15.75" customHeight="1">
      <c r="A675" s="56"/>
      <c r="B675" s="56"/>
      <c r="C675" s="265"/>
      <c r="D675" s="56"/>
      <c r="E675" s="56"/>
      <c r="F675" s="56"/>
      <c r="G675" s="56"/>
      <c r="H675" s="56"/>
      <c r="I675" s="56"/>
      <c r="J675" s="56"/>
      <c r="K675" s="56"/>
      <c r="L675" s="56"/>
      <c r="M675" s="56"/>
    </row>
    <row r="676" ht="15.75" customHeight="1">
      <c r="A676" s="56"/>
      <c r="B676" s="56"/>
      <c r="C676" s="265"/>
      <c r="D676" s="56"/>
      <c r="E676" s="56"/>
      <c r="F676" s="56"/>
      <c r="G676" s="56"/>
      <c r="H676" s="56"/>
      <c r="I676" s="56"/>
      <c r="J676" s="56"/>
      <c r="K676" s="56"/>
      <c r="L676" s="56"/>
      <c r="M676" s="56"/>
    </row>
    <row r="677" ht="15.75" customHeight="1">
      <c r="A677" s="56"/>
      <c r="B677" s="56"/>
      <c r="C677" s="265"/>
      <c r="D677" s="56"/>
      <c r="E677" s="56"/>
      <c r="F677" s="56"/>
      <c r="G677" s="56"/>
      <c r="H677" s="56"/>
      <c r="I677" s="56"/>
      <c r="J677" s="56"/>
      <c r="K677" s="56"/>
      <c r="L677" s="56"/>
      <c r="M677" s="56"/>
    </row>
    <row r="678" ht="15.75" customHeight="1">
      <c r="A678" s="56"/>
      <c r="B678" s="56"/>
      <c r="C678" s="265"/>
      <c r="D678" s="56"/>
      <c r="E678" s="56"/>
      <c r="F678" s="56"/>
      <c r="G678" s="56"/>
      <c r="H678" s="56"/>
      <c r="I678" s="56"/>
      <c r="J678" s="56"/>
      <c r="K678" s="56"/>
      <c r="L678" s="56"/>
      <c r="M678" s="56"/>
    </row>
    <row r="679" ht="15.75" customHeight="1">
      <c r="A679" s="56"/>
      <c r="B679" s="56"/>
      <c r="C679" s="265"/>
      <c r="D679" s="56"/>
      <c r="E679" s="56"/>
      <c r="F679" s="56"/>
      <c r="G679" s="56"/>
      <c r="H679" s="56"/>
      <c r="I679" s="56"/>
      <c r="J679" s="56"/>
      <c r="K679" s="56"/>
      <c r="L679" s="56"/>
      <c r="M679" s="56"/>
    </row>
    <row r="680" ht="15.75" customHeight="1">
      <c r="A680" s="56"/>
      <c r="B680" s="56"/>
      <c r="C680" s="265"/>
      <c r="D680" s="56"/>
      <c r="E680" s="56"/>
      <c r="F680" s="56"/>
      <c r="G680" s="56"/>
      <c r="H680" s="56"/>
      <c r="I680" s="56"/>
      <c r="J680" s="56"/>
      <c r="K680" s="56"/>
      <c r="L680" s="56"/>
      <c r="M680" s="56"/>
    </row>
    <row r="681" ht="15.75" customHeight="1">
      <c r="A681" s="56"/>
      <c r="B681" s="56"/>
      <c r="C681" s="265"/>
      <c r="D681" s="56"/>
      <c r="E681" s="56"/>
      <c r="F681" s="56"/>
      <c r="G681" s="56"/>
      <c r="H681" s="56"/>
      <c r="I681" s="56"/>
      <c r="J681" s="56"/>
      <c r="K681" s="56"/>
      <c r="L681" s="56"/>
      <c r="M681" s="56"/>
    </row>
    <row r="682" ht="15.75" customHeight="1">
      <c r="A682" s="56"/>
      <c r="B682" s="56"/>
      <c r="C682" s="265"/>
      <c r="D682" s="56"/>
      <c r="E682" s="56"/>
      <c r="F682" s="56"/>
      <c r="G682" s="56"/>
      <c r="H682" s="56"/>
      <c r="I682" s="56"/>
      <c r="J682" s="56"/>
      <c r="K682" s="56"/>
      <c r="L682" s="56"/>
      <c r="M682" s="56"/>
    </row>
    <row r="683" ht="15.75" customHeight="1">
      <c r="A683" s="56"/>
      <c r="B683" s="56"/>
      <c r="C683" s="265"/>
      <c r="D683" s="56"/>
      <c r="E683" s="56"/>
      <c r="F683" s="56"/>
      <c r="G683" s="56"/>
      <c r="H683" s="56"/>
      <c r="I683" s="56"/>
      <c r="J683" s="56"/>
      <c r="K683" s="56"/>
      <c r="L683" s="56"/>
      <c r="M683" s="56"/>
    </row>
    <row r="684" ht="15.75" customHeight="1">
      <c r="A684" s="56"/>
      <c r="B684" s="56"/>
      <c r="C684" s="265"/>
      <c r="D684" s="56"/>
      <c r="E684" s="56"/>
      <c r="F684" s="56"/>
      <c r="G684" s="56"/>
      <c r="H684" s="56"/>
      <c r="I684" s="56"/>
      <c r="J684" s="56"/>
      <c r="K684" s="56"/>
      <c r="L684" s="56"/>
      <c r="M684" s="56"/>
    </row>
    <row r="685" ht="15.75" customHeight="1">
      <c r="A685" s="56"/>
      <c r="B685" s="56"/>
      <c r="C685" s="265"/>
      <c r="D685" s="56"/>
      <c r="E685" s="56"/>
      <c r="F685" s="56"/>
      <c r="G685" s="56"/>
      <c r="H685" s="56"/>
      <c r="I685" s="56"/>
      <c r="J685" s="56"/>
      <c r="K685" s="56"/>
      <c r="L685" s="56"/>
      <c r="M685" s="56"/>
    </row>
    <row r="686" ht="15.75" customHeight="1">
      <c r="A686" s="56"/>
      <c r="B686" s="56"/>
      <c r="C686" s="265"/>
      <c r="D686" s="56"/>
      <c r="E686" s="56"/>
      <c r="F686" s="56"/>
      <c r="G686" s="56"/>
      <c r="H686" s="56"/>
      <c r="I686" s="56"/>
      <c r="J686" s="56"/>
      <c r="K686" s="56"/>
      <c r="L686" s="56"/>
      <c r="M686" s="56"/>
    </row>
    <row r="687" ht="15.75" customHeight="1">
      <c r="A687" s="56"/>
      <c r="B687" s="56"/>
      <c r="C687" s="265"/>
      <c r="D687" s="56"/>
      <c r="E687" s="56"/>
      <c r="F687" s="56"/>
      <c r="G687" s="56"/>
      <c r="H687" s="56"/>
      <c r="I687" s="56"/>
      <c r="J687" s="56"/>
      <c r="K687" s="56"/>
      <c r="L687" s="56"/>
      <c r="M687" s="56"/>
    </row>
    <row r="688" ht="15.75" customHeight="1">
      <c r="A688" s="56"/>
      <c r="B688" s="56"/>
      <c r="C688" s="265"/>
      <c r="D688" s="56"/>
      <c r="E688" s="56"/>
      <c r="F688" s="56"/>
      <c r="G688" s="56"/>
      <c r="H688" s="56"/>
      <c r="I688" s="56"/>
      <c r="J688" s="56"/>
      <c r="K688" s="56"/>
      <c r="L688" s="56"/>
      <c r="M688" s="56"/>
    </row>
    <row r="689" ht="15.75" customHeight="1">
      <c r="A689" s="56"/>
      <c r="B689" s="56"/>
      <c r="C689" s="265"/>
      <c r="D689" s="56"/>
      <c r="E689" s="56"/>
      <c r="F689" s="56"/>
      <c r="G689" s="56"/>
      <c r="H689" s="56"/>
      <c r="I689" s="56"/>
      <c r="J689" s="56"/>
      <c r="K689" s="56"/>
      <c r="L689" s="56"/>
      <c r="M689" s="56"/>
    </row>
    <row r="690" ht="15.75" customHeight="1">
      <c r="A690" s="56"/>
      <c r="B690" s="56"/>
      <c r="C690" s="265"/>
      <c r="D690" s="56"/>
      <c r="E690" s="56"/>
      <c r="F690" s="56"/>
      <c r="G690" s="56"/>
      <c r="H690" s="56"/>
      <c r="I690" s="56"/>
      <c r="J690" s="56"/>
      <c r="K690" s="56"/>
      <c r="L690" s="56"/>
      <c r="M690" s="56"/>
    </row>
    <row r="691" ht="15.75" customHeight="1">
      <c r="A691" s="56"/>
      <c r="B691" s="56"/>
      <c r="C691" s="265"/>
      <c r="D691" s="56"/>
      <c r="E691" s="56"/>
      <c r="F691" s="56"/>
      <c r="G691" s="56"/>
      <c r="H691" s="56"/>
      <c r="I691" s="56"/>
      <c r="J691" s="56"/>
      <c r="K691" s="56"/>
      <c r="L691" s="56"/>
      <c r="M691" s="56"/>
    </row>
    <row r="692" ht="15.75" customHeight="1">
      <c r="A692" s="56"/>
      <c r="B692" s="56"/>
      <c r="C692" s="265"/>
      <c r="D692" s="56"/>
      <c r="E692" s="56"/>
      <c r="F692" s="56"/>
      <c r="G692" s="56"/>
      <c r="H692" s="56"/>
      <c r="I692" s="56"/>
      <c r="J692" s="56"/>
      <c r="K692" s="56"/>
      <c r="L692" s="56"/>
      <c r="M692" s="56"/>
    </row>
    <row r="693" ht="15.75" customHeight="1">
      <c r="A693" s="56"/>
      <c r="B693" s="56"/>
      <c r="C693" s="265"/>
      <c r="D693" s="56"/>
      <c r="E693" s="56"/>
      <c r="F693" s="56"/>
      <c r="G693" s="56"/>
      <c r="H693" s="56"/>
      <c r="I693" s="56"/>
      <c r="J693" s="56"/>
      <c r="K693" s="56"/>
      <c r="L693" s="56"/>
      <c r="M693" s="56"/>
    </row>
    <row r="694" ht="15.75" customHeight="1">
      <c r="A694" s="56"/>
      <c r="B694" s="56"/>
      <c r="C694" s="265"/>
      <c r="D694" s="56"/>
      <c r="E694" s="56"/>
      <c r="F694" s="56"/>
      <c r="G694" s="56"/>
      <c r="H694" s="56"/>
      <c r="I694" s="56"/>
      <c r="J694" s="56"/>
      <c r="K694" s="56"/>
      <c r="L694" s="56"/>
      <c r="M694" s="56"/>
    </row>
    <row r="695" ht="15.75" customHeight="1">
      <c r="A695" s="56"/>
      <c r="B695" s="56"/>
      <c r="C695" s="265"/>
      <c r="D695" s="56"/>
      <c r="E695" s="56"/>
      <c r="F695" s="56"/>
      <c r="G695" s="56"/>
      <c r="H695" s="56"/>
      <c r="I695" s="56"/>
      <c r="J695" s="56"/>
      <c r="K695" s="56"/>
      <c r="L695" s="56"/>
      <c r="M695" s="56"/>
    </row>
    <row r="696" ht="15.75" customHeight="1">
      <c r="A696" s="56"/>
      <c r="B696" s="56"/>
      <c r="C696" s="265"/>
      <c r="D696" s="56"/>
      <c r="E696" s="56"/>
      <c r="F696" s="56"/>
      <c r="G696" s="56"/>
      <c r="H696" s="56"/>
      <c r="I696" s="56"/>
      <c r="J696" s="56"/>
      <c r="K696" s="56"/>
      <c r="L696" s="56"/>
      <c r="M696" s="56"/>
    </row>
    <row r="697" ht="15.75" customHeight="1">
      <c r="A697" s="56"/>
      <c r="B697" s="56"/>
      <c r="C697" s="265"/>
      <c r="D697" s="56"/>
      <c r="E697" s="56"/>
      <c r="F697" s="56"/>
      <c r="G697" s="56"/>
      <c r="H697" s="56"/>
      <c r="I697" s="56"/>
      <c r="J697" s="56"/>
      <c r="K697" s="56"/>
      <c r="L697" s="56"/>
      <c r="M697" s="56"/>
    </row>
    <row r="698" ht="15.75" customHeight="1">
      <c r="A698" s="56"/>
      <c r="B698" s="56"/>
      <c r="C698" s="265"/>
      <c r="D698" s="56"/>
      <c r="E698" s="56"/>
      <c r="F698" s="56"/>
      <c r="G698" s="56"/>
      <c r="H698" s="56"/>
      <c r="I698" s="56"/>
      <c r="J698" s="56"/>
      <c r="K698" s="56"/>
      <c r="L698" s="56"/>
      <c r="M698" s="56"/>
    </row>
    <row r="699" ht="15.75" customHeight="1">
      <c r="A699" s="56"/>
      <c r="B699" s="56"/>
      <c r="C699" s="265"/>
      <c r="D699" s="56"/>
      <c r="E699" s="56"/>
      <c r="F699" s="56"/>
      <c r="G699" s="56"/>
      <c r="H699" s="56"/>
      <c r="I699" s="56"/>
      <c r="J699" s="56"/>
      <c r="K699" s="56"/>
      <c r="L699" s="56"/>
      <c r="M699" s="56"/>
    </row>
    <row r="700" ht="15.75" customHeight="1">
      <c r="A700" s="56"/>
      <c r="B700" s="56"/>
      <c r="C700" s="265"/>
      <c r="D700" s="56"/>
      <c r="E700" s="56"/>
      <c r="F700" s="56"/>
      <c r="G700" s="56"/>
      <c r="H700" s="56"/>
      <c r="I700" s="56"/>
      <c r="J700" s="56"/>
      <c r="K700" s="56"/>
      <c r="L700" s="56"/>
      <c r="M700" s="56"/>
    </row>
    <row r="701" ht="15.75" customHeight="1">
      <c r="A701" s="56"/>
      <c r="B701" s="56"/>
      <c r="C701" s="265"/>
      <c r="D701" s="56"/>
      <c r="E701" s="56"/>
      <c r="F701" s="56"/>
      <c r="G701" s="56"/>
      <c r="H701" s="56"/>
      <c r="I701" s="56"/>
      <c r="J701" s="56"/>
      <c r="K701" s="56"/>
      <c r="L701" s="56"/>
      <c r="M701" s="56"/>
    </row>
    <row r="702" ht="15.75" customHeight="1">
      <c r="A702" s="56"/>
      <c r="B702" s="56"/>
      <c r="C702" s="265"/>
      <c r="D702" s="56"/>
      <c r="E702" s="56"/>
      <c r="F702" s="56"/>
      <c r="G702" s="56"/>
      <c r="H702" s="56"/>
      <c r="I702" s="56"/>
      <c r="J702" s="56"/>
      <c r="K702" s="56"/>
      <c r="L702" s="56"/>
      <c r="M702" s="56"/>
    </row>
    <row r="703" ht="15.75" customHeight="1">
      <c r="A703" s="56"/>
      <c r="B703" s="56"/>
      <c r="C703" s="265"/>
      <c r="D703" s="56"/>
      <c r="E703" s="56"/>
      <c r="F703" s="56"/>
      <c r="G703" s="56"/>
      <c r="H703" s="56"/>
      <c r="I703" s="56"/>
      <c r="J703" s="56"/>
      <c r="K703" s="56"/>
      <c r="L703" s="56"/>
      <c r="M703" s="56"/>
    </row>
    <row r="704" ht="15.75" customHeight="1">
      <c r="A704" s="56"/>
      <c r="B704" s="56"/>
      <c r="C704" s="265"/>
      <c r="D704" s="56"/>
      <c r="E704" s="56"/>
      <c r="F704" s="56"/>
      <c r="G704" s="56"/>
      <c r="H704" s="56"/>
      <c r="I704" s="56"/>
      <c r="J704" s="56"/>
      <c r="K704" s="56"/>
      <c r="L704" s="56"/>
      <c r="M704" s="56"/>
    </row>
    <row r="705" ht="15.75" customHeight="1">
      <c r="A705" s="56"/>
      <c r="B705" s="56"/>
      <c r="C705" s="265"/>
      <c r="D705" s="56"/>
      <c r="E705" s="56"/>
      <c r="F705" s="56"/>
      <c r="G705" s="56"/>
      <c r="H705" s="56"/>
      <c r="I705" s="56"/>
      <c r="J705" s="56"/>
      <c r="K705" s="56"/>
      <c r="L705" s="56"/>
      <c r="M705" s="56"/>
    </row>
    <row r="706" ht="15.75" customHeight="1">
      <c r="A706" s="56"/>
      <c r="B706" s="56"/>
      <c r="C706" s="265"/>
      <c r="D706" s="56"/>
      <c r="E706" s="56"/>
      <c r="F706" s="56"/>
      <c r="G706" s="56"/>
      <c r="H706" s="56"/>
      <c r="I706" s="56"/>
      <c r="J706" s="56"/>
      <c r="K706" s="56"/>
      <c r="L706" s="56"/>
      <c r="M706" s="56"/>
    </row>
    <row r="707" ht="15.75" customHeight="1">
      <c r="A707" s="56"/>
      <c r="B707" s="56"/>
      <c r="C707" s="265"/>
      <c r="D707" s="56"/>
      <c r="E707" s="56"/>
      <c r="F707" s="56"/>
      <c r="G707" s="56"/>
      <c r="H707" s="56"/>
      <c r="I707" s="56"/>
      <c r="J707" s="56"/>
      <c r="K707" s="56"/>
      <c r="L707" s="56"/>
      <c r="M707" s="56"/>
    </row>
    <row r="708" ht="15.75" customHeight="1">
      <c r="A708" s="56"/>
      <c r="B708" s="56"/>
      <c r="C708" s="265"/>
      <c r="D708" s="56"/>
      <c r="E708" s="56"/>
      <c r="F708" s="56"/>
      <c r="G708" s="56"/>
      <c r="H708" s="56"/>
      <c r="I708" s="56"/>
      <c r="J708" s="56"/>
      <c r="K708" s="56"/>
      <c r="L708" s="56"/>
      <c r="M708" s="56"/>
    </row>
    <row r="709" ht="15.75" customHeight="1">
      <c r="A709" s="56"/>
      <c r="B709" s="56"/>
      <c r="C709" s="265"/>
      <c r="D709" s="56"/>
      <c r="E709" s="56"/>
      <c r="F709" s="56"/>
      <c r="G709" s="56"/>
      <c r="H709" s="56"/>
      <c r="I709" s="56"/>
      <c r="J709" s="56"/>
      <c r="K709" s="56"/>
      <c r="L709" s="56"/>
      <c r="M709" s="56"/>
    </row>
    <row r="710" ht="15.75" customHeight="1">
      <c r="A710" s="56"/>
      <c r="B710" s="56"/>
      <c r="C710" s="265"/>
      <c r="D710" s="56"/>
      <c r="E710" s="56"/>
      <c r="F710" s="56"/>
      <c r="G710" s="56"/>
      <c r="H710" s="56"/>
      <c r="I710" s="56"/>
      <c r="J710" s="56"/>
      <c r="K710" s="56"/>
      <c r="L710" s="56"/>
      <c r="M710" s="56"/>
    </row>
    <row r="711" ht="15.75" customHeight="1">
      <c r="A711" s="56"/>
      <c r="B711" s="56"/>
      <c r="C711" s="265"/>
      <c r="D711" s="56"/>
      <c r="E711" s="56"/>
      <c r="F711" s="56"/>
      <c r="G711" s="56"/>
      <c r="H711" s="56"/>
      <c r="I711" s="56"/>
      <c r="J711" s="56"/>
      <c r="K711" s="56"/>
      <c r="L711" s="56"/>
      <c r="M711" s="56"/>
    </row>
    <row r="712" ht="15.75" customHeight="1">
      <c r="A712" s="56"/>
      <c r="B712" s="56"/>
      <c r="C712" s="265"/>
      <c r="D712" s="56"/>
      <c r="E712" s="56"/>
      <c r="F712" s="56"/>
      <c r="G712" s="56"/>
      <c r="H712" s="56"/>
      <c r="I712" s="56"/>
      <c r="J712" s="56"/>
      <c r="K712" s="56"/>
      <c r="L712" s="56"/>
      <c r="M712" s="56"/>
    </row>
    <row r="713" ht="15.75" customHeight="1">
      <c r="A713" s="56"/>
      <c r="B713" s="56"/>
      <c r="C713" s="265"/>
      <c r="D713" s="56"/>
      <c r="E713" s="56"/>
      <c r="F713" s="56"/>
      <c r="G713" s="56"/>
      <c r="H713" s="56"/>
      <c r="I713" s="56"/>
      <c r="J713" s="56"/>
      <c r="K713" s="56"/>
      <c r="L713" s="56"/>
      <c r="M713" s="56"/>
    </row>
    <row r="714" ht="15.75" customHeight="1">
      <c r="A714" s="56"/>
      <c r="B714" s="56"/>
      <c r="C714" s="265"/>
      <c r="D714" s="56"/>
      <c r="E714" s="56"/>
      <c r="F714" s="56"/>
      <c r="G714" s="56"/>
      <c r="H714" s="56"/>
      <c r="I714" s="56"/>
      <c r="J714" s="56"/>
      <c r="K714" s="56"/>
      <c r="L714" s="56"/>
      <c r="M714" s="56"/>
    </row>
    <row r="715" ht="15.75" customHeight="1">
      <c r="A715" s="56"/>
      <c r="B715" s="56"/>
      <c r="C715" s="265"/>
      <c r="D715" s="56"/>
      <c r="E715" s="56"/>
      <c r="F715" s="56"/>
      <c r="G715" s="56"/>
      <c r="H715" s="56"/>
      <c r="I715" s="56"/>
      <c r="J715" s="56"/>
      <c r="K715" s="56"/>
      <c r="L715" s="56"/>
      <c r="M715" s="56"/>
    </row>
    <row r="716" ht="15.75" customHeight="1">
      <c r="A716" s="56"/>
      <c r="B716" s="56"/>
      <c r="C716" s="265"/>
      <c r="D716" s="56"/>
      <c r="E716" s="56"/>
      <c r="F716" s="56"/>
      <c r="G716" s="56"/>
      <c r="H716" s="56"/>
      <c r="I716" s="56"/>
      <c r="J716" s="56"/>
      <c r="K716" s="56"/>
      <c r="L716" s="56"/>
      <c r="M716" s="56"/>
    </row>
    <row r="717" ht="15.75" customHeight="1">
      <c r="A717" s="56"/>
      <c r="B717" s="56"/>
      <c r="C717" s="265"/>
      <c r="D717" s="56"/>
      <c r="E717" s="56"/>
      <c r="F717" s="56"/>
      <c r="G717" s="56"/>
      <c r="H717" s="56"/>
      <c r="I717" s="56"/>
      <c r="J717" s="56"/>
      <c r="K717" s="56"/>
      <c r="L717" s="56"/>
      <c r="M717" s="56"/>
    </row>
    <row r="718" ht="15.75" customHeight="1">
      <c r="A718" s="56"/>
      <c r="B718" s="56"/>
      <c r="C718" s="265"/>
      <c r="D718" s="56"/>
      <c r="E718" s="56"/>
      <c r="F718" s="56"/>
      <c r="G718" s="56"/>
      <c r="H718" s="56"/>
      <c r="I718" s="56"/>
      <c r="J718" s="56"/>
      <c r="K718" s="56"/>
      <c r="L718" s="56"/>
      <c r="M718" s="56"/>
    </row>
    <row r="719" ht="15.75" customHeight="1">
      <c r="A719" s="56"/>
      <c r="B719" s="56"/>
      <c r="C719" s="265"/>
      <c r="D719" s="56"/>
      <c r="E719" s="56"/>
      <c r="F719" s="56"/>
      <c r="G719" s="56"/>
      <c r="H719" s="56"/>
      <c r="I719" s="56"/>
      <c r="J719" s="56"/>
      <c r="K719" s="56"/>
      <c r="L719" s="56"/>
      <c r="M719" s="56"/>
    </row>
    <row r="720" ht="15.75" customHeight="1">
      <c r="A720" s="56"/>
      <c r="B720" s="56"/>
      <c r="C720" s="265"/>
      <c r="D720" s="56"/>
      <c r="E720" s="56"/>
      <c r="F720" s="56"/>
      <c r="G720" s="56"/>
      <c r="H720" s="56"/>
      <c r="I720" s="56"/>
      <c r="J720" s="56"/>
      <c r="K720" s="56"/>
      <c r="L720" s="56"/>
      <c r="M720" s="56"/>
    </row>
    <row r="721" ht="15.75" customHeight="1">
      <c r="A721" s="56"/>
      <c r="B721" s="56"/>
      <c r="C721" s="265"/>
      <c r="D721" s="56"/>
      <c r="E721" s="56"/>
      <c r="F721" s="56"/>
      <c r="G721" s="56"/>
      <c r="H721" s="56"/>
      <c r="I721" s="56"/>
      <c r="J721" s="56"/>
      <c r="K721" s="56"/>
      <c r="L721" s="56"/>
      <c r="M721" s="56"/>
    </row>
    <row r="722" ht="15.75" customHeight="1">
      <c r="A722" s="56"/>
      <c r="B722" s="56"/>
      <c r="C722" s="265"/>
      <c r="D722" s="56"/>
      <c r="E722" s="56"/>
      <c r="F722" s="56"/>
      <c r="G722" s="56"/>
      <c r="H722" s="56"/>
      <c r="I722" s="56"/>
      <c r="J722" s="56"/>
      <c r="K722" s="56"/>
      <c r="L722" s="56"/>
      <c r="M722" s="56"/>
    </row>
    <row r="723" ht="15.75" customHeight="1">
      <c r="A723" s="56"/>
      <c r="B723" s="56"/>
      <c r="C723" s="265"/>
      <c r="D723" s="56"/>
      <c r="E723" s="56"/>
      <c r="F723" s="56"/>
      <c r="G723" s="56"/>
      <c r="H723" s="56"/>
      <c r="I723" s="56"/>
      <c r="J723" s="56"/>
      <c r="K723" s="56"/>
      <c r="L723" s="56"/>
      <c r="M723" s="56"/>
    </row>
    <row r="724" ht="15.75" customHeight="1">
      <c r="A724" s="56"/>
      <c r="B724" s="56"/>
      <c r="C724" s="265"/>
      <c r="D724" s="56"/>
      <c r="E724" s="56"/>
      <c r="F724" s="56"/>
      <c r="G724" s="56"/>
      <c r="H724" s="56"/>
      <c r="I724" s="56"/>
      <c r="J724" s="56"/>
      <c r="K724" s="56"/>
      <c r="L724" s="56"/>
      <c r="M724" s="56"/>
    </row>
    <row r="725" ht="15.75" customHeight="1">
      <c r="A725" s="56"/>
      <c r="B725" s="56"/>
      <c r="C725" s="265"/>
      <c r="D725" s="56"/>
      <c r="E725" s="56"/>
      <c r="F725" s="56"/>
      <c r="G725" s="56"/>
      <c r="H725" s="56"/>
      <c r="I725" s="56"/>
      <c r="J725" s="56"/>
      <c r="K725" s="56"/>
      <c r="L725" s="56"/>
      <c r="M725" s="56"/>
    </row>
    <row r="726" ht="15.75" customHeight="1">
      <c r="A726" s="56"/>
      <c r="B726" s="56"/>
      <c r="C726" s="265"/>
      <c r="D726" s="56"/>
      <c r="E726" s="56"/>
      <c r="F726" s="56"/>
      <c r="G726" s="56"/>
      <c r="H726" s="56"/>
      <c r="I726" s="56"/>
      <c r="J726" s="56"/>
      <c r="K726" s="56"/>
      <c r="L726" s="56"/>
      <c r="M726" s="56"/>
    </row>
    <row r="727" ht="15.75" customHeight="1">
      <c r="A727" s="56"/>
      <c r="B727" s="56"/>
      <c r="C727" s="265"/>
      <c r="D727" s="56"/>
      <c r="E727" s="56"/>
      <c r="F727" s="56"/>
      <c r="G727" s="56"/>
      <c r="H727" s="56"/>
      <c r="I727" s="56"/>
      <c r="J727" s="56"/>
      <c r="K727" s="56"/>
      <c r="L727" s="56"/>
      <c r="M727" s="56"/>
    </row>
    <row r="728" ht="15.75" customHeight="1">
      <c r="A728" s="56"/>
      <c r="B728" s="56"/>
      <c r="C728" s="265"/>
      <c r="D728" s="56"/>
      <c r="E728" s="56"/>
      <c r="F728" s="56"/>
      <c r="G728" s="56"/>
      <c r="H728" s="56"/>
      <c r="I728" s="56"/>
      <c r="J728" s="56"/>
      <c r="K728" s="56"/>
      <c r="L728" s="56"/>
      <c r="M728" s="56"/>
    </row>
    <row r="729" ht="15.75" customHeight="1">
      <c r="A729" s="56"/>
      <c r="B729" s="56"/>
      <c r="C729" s="265"/>
      <c r="D729" s="56"/>
      <c r="E729" s="56"/>
      <c r="F729" s="56"/>
      <c r="G729" s="56"/>
      <c r="H729" s="56"/>
      <c r="I729" s="56"/>
      <c r="J729" s="56"/>
      <c r="K729" s="56"/>
      <c r="L729" s="56"/>
      <c r="M729" s="56"/>
    </row>
    <row r="730" ht="15.75" customHeight="1">
      <c r="A730" s="56"/>
      <c r="B730" s="56"/>
      <c r="C730" s="265"/>
      <c r="D730" s="56"/>
      <c r="E730" s="56"/>
      <c r="F730" s="56"/>
      <c r="G730" s="56"/>
      <c r="H730" s="56"/>
      <c r="I730" s="56"/>
      <c r="J730" s="56"/>
      <c r="K730" s="56"/>
      <c r="L730" s="56"/>
      <c r="M730" s="56"/>
    </row>
    <row r="731" ht="15.75" customHeight="1">
      <c r="A731" s="56"/>
      <c r="B731" s="56"/>
      <c r="C731" s="265"/>
      <c r="D731" s="56"/>
      <c r="E731" s="56"/>
      <c r="F731" s="56"/>
      <c r="G731" s="56"/>
      <c r="H731" s="56"/>
      <c r="I731" s="56"/>
      <c r="J731" s="56"/>
      <c r="K731" s="56"/>
      <c r="L731" s="56"/>
      <c r="M731" s="56"/>
    </row>
    <row r="732" ht="15.75" customHeight="1">
      <c r="A732" s="56"/>
      <c r="B732" s="56"/>
      <c r="C732" s="265"/>
      <c r="D732" s="56"/>
      <c r="E732" s="56"/>
      <c r="F732" s="56"/>
      <c r="G732" s="56"/>
      <c r="H732" s="56"/>
      <c r="I732" s="56"/>
      <c r="J732" s="56"/>
      <c r="K732" s="56"/>
      <c r="L732" s="56"/>
      <c r="M732" s="56"/>
    </row>
    <row r="733" ht="15.75" customHeight="1">
      <c r="A733" s="56"/>
      <c r="B733" s="56"/>
      <c r="C733" s="265"/>
      <c r="D733" s="56"/>
      <c r="E733" s="56"/>
      <c r="F733" s="56"/>
      <c r="G733" s="56"/>
      <c r="H733" s="56"/>
      <c r="I733" s="56"/>
      <c r="J733" s="56"/>
      <c r="K733" s="56"/>
      <c r="L733" s="56"/>
      <c r="M733" s="56"/>
    </row>
    <row r="734" ht="15.75" customHeight="1">
      <c r="A734" s="56"/>
      <c r="B734" s="56"/>
      <c r="C734" s="265"/>
      <c r="D734" s="56"/>
      <c r="E734" s="56"/>
      <c r="F734" s="56"/>
      <c r="G734" s="56"/>
      <c r="H734" s="56"/>
      <c r="I734" s="56"/>
      <c r="J734" s="56"/>
      <c r="K734" s="56"/>
      <c r="L734" s="56"/>
      <c r="M734" s="56"/>
    </row>
    <row r="735" ht="15.75" customHeight="1">
      <c r="A735" s="56"/>
      <c r="B735" s="56"/>
      <c r="C735" s="265"/>
      <c r="D735" s="56"/>
      <c r="E735" s="56"/>
      <c r="F735" s="56"/>
      <c r="G735" s="56"/>
      <c r="H735" s="56"/>
      <c r="I735" s="56"/>
      <c r="J735" s="56"/>
      <c r="K735" s="56"/>
      <c r="L735" s="56"/>
      <c r="M735" s="56"/>
    </row>
    <row r="736" ht="15.75" customHeight="1">
      <c r="A736" s="56"/>
      <c r="B736" s="56"/>
      <c r="C736" s="265"/>
      <c r="D736" s="56"/>
      <c r="E736" s="56"/>
      <c r="F736" s="56"/>
      <c r="G736" s="56"/>
      <c r="H736" s="56"/>
      <c r="I736" s="56"/>
      <c r="J736" s="56"/>
      <c r="K736" s="56"/>
      <c r="L736" s="56"/>
      <c r="M736" s="56"/>
    </row>
    <row r="737" ht="15.75" customHeight="1">
      <c r="A737" s="56"/>
      <c r="B737" s="56"/>
      <c r="C737" s="265"/>
      <c r="D737" s="56"/>
      <c r="E737" s="56"/>
      <c r="F737" s="56"/>
      <c r="G737" s="56"/>
      <c r="H737" s="56"/>
      <c r="I737" s="56"/>
      <c r="J737" s="56"/>
      <c r="K737" s="56"/>
      <c r="L737" s="56"/>
      <c r="M737" s="56"/>
    </row>
    <row r="738" ht="15.75" customHeight="1">
      <c r="A738" s="56"/>
      <c r="B738" s="56"/>
      <c r="C738" s="265"/>
      <c r="D738" s="56"/>
      <c r="E738" s="56"/>
      <c r="F738" s="56"/>
      <c r="G738" s="56"/>
      <c r="H738" s="56"/>
      <c r="I738" s="56"/>
      <c r="J738" s="56"/>
      <c r="K738" s="56"/>
      <c r="L738" s="56"/>
      <c r="M738" s="56"/>
    </row>
    <row r="739" ht="15.75" customHeight="1">
      <c r="A739" s="56"/>
      <c r="B739" s="56"/>
      <c r="C739" s="265"/>
      <c r="D739" s="56"/>
      <c r="E739" s="56"/>
      <c r="F739" s="56"/>
      <c r="G739" s="56"/>
      <c r="H739" s="56"/>
      <c r="I739" s="56"/>
      <c r="J739" s="56"/>
      <c r="K739" s="56"/>
      <c r="L739" s="56"/>
      <c r="M739" s="56"/>
    </row>
    <row r="740" ht="15.75" customHeight="1">
      <c r="A740" s="56"/>
      <c r="B740" s="56"/>
      <c r="C740" s="265"/>
      <c r="D740" s="56"/>
      <c r="E740" s="56"/>
      <c r="F740" s="56"/>
      <c r="G740" s="56"/>
      <c r="H740" s="56"/>
      <c r="I740" s="56"/>
      <c r="J740" s="56"/>
      <c r="K740" s="56"/>
      <c r="L740" s="56"/>
      <c r="M740" s="56"/>
    </row>
    <row r="741" ht="15.75" customHeight="1">
      <c r="A741" s="56"/>
      <c r="B741" s="56"/>
      <c r="C741" s="265"/>
      <c r="D741" s="56"/>
      <c r="E741" s="56"/>
      <c r="F741" s="56"/>
      <c r="G741" s="56"/>
      <c r="H741" s="56"/>
      <c r="I741" s="56"/>
      <c r="J741" s="56"/>
      <c r="K741" s="56"/>
      <c r="L741" s="56"/>
      <c r="M741" s="56"/>
    </row>
    <row r="742" ht="15.75" customHeight="1">
      <c r="A742" s="56"/>
      <c r="B742" s="56"/>
      <c r="C742" s="265"/>
      <c r="D742" s="56"/>
      <c r="E742" s="56"/>
      <c r="F742" s="56"/>
      <c r="G742" s="56"/>
      <c r="H742" s="56"/>
      <c r="I742" s="56"/>
      <c r="J742" s="56"/>
      <c r="K742" s="56"/>
      <c r="L742" s="56"/>
      <c r="M742" s="56"/>
    </row>
    <row r="743" ht="15.75" customHeight="1">
      <c r="A743" s="56"/>
      <c r="B743" s="56"/>
      <c r="C743" s="265"/>
      <c r="D743" s="56"/>
      <c r="E743" s="56"/>
      <c r="F743" s="56"/>
      <c r="G743" s="56"/>
      <c r="H743" s="56"/>
      <c r="I743" s="56"/>
      <c r="J743" s="56"/>
      <c r="K743" s="56"/>
      <c r="L743" s="56"/>
      <c r="M743" s="56"/>
    </row>
    <row r="744" ht="15.75" customHeight="1">
      <c r="A744" s="56"/>
      <c r="B744" s="56"/>
      <c r="C744" s="265"/>
      <c r="D744" s="56"/>
      <c r="E744" s="56"/>
      <c r="F744" s="56"/>
      <c r="G744" s="56"/>
      <c r="H744" s="56"/>
      <c r="I744" s="56"/>
      <c r="J744" s="56"/>
      <c r="K744" s="56"/>
      <c r="L744" s="56"/>
      <c r="M744" s="56"/>
    </row>
    <row r="745" ht="15.75" customHeight="1">
      <c r="A745" s="56"/>
      <c r="B745" s="56"/>
      <c r="C745" s="265"/>
      <c r="D745" s="56"/>
      <c r="E745" s="56"/>
      <c r="F745" s="56"/>
      <c r="G745" s="56"/>
      <c r="H745" s="56"/>
      <c r="I745" s="56"/>
      <c r="J745" s="56"/>
      <c r="K745" s="56"/>
      <c r="L745" s="56"/>
      <c r="M745" s="56"/>
    </row>
    <row r="746" ht="15.75" customHeight="1">
      <c r="A746" s="56"/>
      <c r="B746" s="56"/>
      <c r="C746" s="265"/>
      <c r="D746" s="56"/>
      <c r="E746" s="56"/>
      <c r="F746" s="56"/>
      <c r="G746" s="56"/>
      <c r="H746" s="56"/>
      <c r="I746" s="56"/>
      <c r="J746" s="56"/>
      <c r="K746" s="56"/>
      <c r="L746" s="56"/>
      <c r="M746" s="56"/>
    </row>
    <row r="747" ht="15.75" customHeight="1">
      <c r="A747" s="56"/>
      <c r="B747" s="56"/>
      <c r="C747" s="265"/>
      <c r="D747" s="56"/>
      <c r="E747" s="56"/>
      <c r="F747" s="56"/>
      <c r="G747" s="56"/>
      <c r="H747" s="56"/>
      <c r="I747" s="56"/>
      <c r="J747" s="56"/>
      <c r="K747" s="56"/>
      <c r="L747" s="56"/>
      <c r="M747" s="56"/>
    </row>
    <row r="748" ht="15.75" customHeight="1">
      <c r="A748" s="56"/>
      <c r="B748" s="56"/>
      <c r="C748" s="265"/>
      <c r="D748" s="56"/>
      <c r="E748" s="56"/>
      <c r="F748" s="56"/>
      <c r="G748" s="56"/>
      <c r="H748" s="56"/>
      <c r="I748" s="56"/>
      <c r="J748" s="56"/>
      <c r="K748" s="56"/>
      <c r="L748" s="56"/>
      <c r="M748" s="56"/>
    </row>
    <row r="749" ht="15.75" customHeight="1">
      <c r="A749" s="56"/>
      <c r="B749" s="56"/>
      <c r="C749" s="265"/>
      <c r="D749" s="56"/>
      <c r="E749" s="56"/>
      <c r="F749" s="56"/>
      <c r="G749" s="56"/>
      <c r="H749" s="56"/>
      <c r="I749" s="56"/>
      <c r="J749" s="56"/>
      <c r="K749" s="56"/>
      <c r="L749" s="56"/>
      <c r="M749" s="56"/>
    </row>
    <row r="750" ht="15.75" customHeight="1">
      <c r="A750" s="56"/>
      <c r="B750" s="56"/>
      <c r="C750" s="265"/>
      <c r="D750" s="56"/>
      <c r="E750" s="56"/>
      <c r="F750" s="56"/>
      <c r="G750" s="56"/>
      <c r="H750" s="56"/>
      <c r="I750" s="56"/>
      <c r="J750" s="56"/>
      <c r="K750" s="56"/>
      <c r="L750" s="56"/>
      <c r="M750" s="56"/>
    </row>
    <row r="751" ht="15.75" customHeight="1">
      <c r="A751" s="56"/>
      <c r="B751" s="56"/>
      <c r="C751" s="265"/>
      <c r="D751" s="56"/>
      <c r="E751" s="56"/>
      <c r="F751" s="56"/>
      <c r="G751" s="56"/>
      <c r="H751" s="56"/>
      <c r="I751" s="56"/>
      <c r="J751" s="56"/>
      <c r="K751" s="56"/>
      <c r="L751" s="56"/>
      <c r="M751" s="56"/>
    </row>
    <row r="752" ht="15.75" customHeight="1">
      <c r="A752" s="56"/>
      <c r="B752" s="56"/>
      <c r="C752" s="265"/>
      <c r="D752" s="56"/>
      <c r="E752" s="56"/>
      <c r="F752" s="56"/>
      <c r="G752" s="56"/>
      <c r="H752" s="56"/>
      <c r="I752" s="56"/>
      <c r="J752" s="56"/>
      <c r="K752" s="56"/>
      <c r="L752" s="56"/>
      <c r="M752" s="56"/>
    </row>
    <row r="753" ht="15.75" customHeight="1">
      <c r="A753" s="56"/>
      <c r="B753" s="56"/>
      <c r="C753" s="265"/>
      <c r="D753" s="56"/>
      <c r="E753" s="56"/>
      <c r="F753" s="56"/>
      <c r="G753" s="56"/>
      <c r="H753" s="56"/>
      <c r="I753" s="56"/>
      <c r="J753" s="56"/>
      <c r="K753" s="56"/>
      <c r="L753" s="56"/>
      <c r="M753" s="56"/>
    </row>
    <row r="754" ht="15.75" customHeight="1">
      <c r="A754" s="56"/>
      <c r="B754" s="56"/>
      <c r="C754" s="265"/>
      <c r="D754" s="56"/>
      <c r="E754" s="56"/>
      <c r="F754" s="56"/>
      <c r="G754" s="56"/>
      <c r="H754" s="56"/>
      <c r="I754" s="56"/>
      <c r="J754" s="56"/>
      <c r="K754" s="56"/>
      <c r="L754" s="56"/>
      <c r="M754" s="56"/>
    </row>
    <row r="755" ht="15.75" customHeight="1">
      <c r="A755" s="56"/>
      <c r="B755" s="56"/>
      <c r="C755" s="265"/>
      <c r="D755" s="56"/>
      <c r="E755" s="56"/>
      <c r="F755" s="56"/>
      <c r="G755" s="56"/>
      <c r="H755" s="56"/>
      <c r="I755" s="56"/>
      <c r="J755" s="56"/>
      <c r="K755" s="56"/>
      <c r="L755" s="56"/>
      <c r="M755" s="56"/>
    </row>
    <row r="756" ht="15.75" customHeight="1">
      <c r="A756" s="56"/>
      <c r="B756" s="56"/>
      <c r="C756" s="265"/>
      <c r="D756" s="56"/>
      <c r="E756" s="56"/>
      <c r="F756" s="56"/>
      <c r="G756" s="56"/>
      <c r="H756" s="56"/>
      <c r="I756" s="56"/>
      <c r="J756" s="56"/>
      <c r="K756" s="56"/>
      <c r="L756" s="56"/>
      <c r="M756" s="56"/>
    </row>
    <row r="757" ht="15.75" customHeight="1">
      <c r="A757" s="56"/>
      <c r="B757" s="56"/>
      <c r="C757" s="265"/>
      <c r="D757" s="56"/>
      <c r="E757" s="56"/>
      <c r="F757" s="56"/>
      <c r="G757" s="56"/>
      <c r="H757" s="56"/>
      <c r="I757" s="56"/>
      <c r="J757" s="56"/>
      <c r="K757" s="56"/>
      <c r="L757" s="56"/>
      <c r="M757" s="56"/>
    </row>
    <row r="758" ht="15.75" customHeight="1">
      <c r="A758" s="56"/>
      <c r="B758" s="56"/>
      <c r="C758" s="265"/>
      <c r="D758" s="56"/>
      <c r="E758" s="56"/>
      <c r="F758" s="56"/>
      <c r="G758" s="56"/>
      <c r="H758" s="56"/>
      <c r="I758" s="56"/>
      <c r="J758" s="56"/>
      <c r="K758" s="56"/>
      <c r="L758" s="56"/>
      <c r="M758" s="56"/>
    </row>
    <row r="759" ht="15.75" customHeight="1">
      <c r="A759" s="56"/>
      <c r="B759" s="56"/>
      <c r="C759" s="265"/>
      <c r="D759" s="56"/>
      <c r="E759" s="56"/>
      <c r="F759" s="56"/>
      <c r="G759" s="56"/>
      <c r="H759" s="56"/>
      <c r="I759" s="56"/>
      <c r="J759" s="56"/>
      <c r="K759" s="56"/>
      <c r="L759" s="56"/>
      <c r="M759" s="56"/>
    </row>
    <row r="760" ht="15.75" customHeight="1">
      <c r="A760" s="56"/>
      <c r="B760" s="56"/>
      <c r="C760" s="265"/>
      <c r="D760" s="56"/>
      <c r="E760" s="56"/>
      <c r="F760" s="56"/>
      <c r="G760" s="56"/>
      <c r="H760" s="56"/>
      <c r="I760" s="56"/>
      <c r="J760" s="56"/>
      <c r="K760" s="56"/>
      <c r="L760" s="56"/>
      <c r="M760" s="56"/>
    </row>
    <row r="761" ht="15.75" customHeight="1">
      <c r="A761" s="56"/>
      <c r="B761" s="56"/>
      <c r="C761" s="265"/>
      <c r="D761" s="56"/>
      <c r="E761" s="56"/>
      <c r="F761" s="56"/>
      <c r="G761" s="56"/>
      <c r="H761" s="56"/>
      <c r="I761" s="56"/>
      <c r="J761" s="56"/>
      <c r="K761" s="56"/>
      <c r="L761" s="56"/>
      <c r="M761" s="56"/>
    </row>
    <row r="762" ht="15.75" customHeight="1">
      <c r="A762" s="56"/>
      <c r="B762" s="56"/>
      <c r="C762" s="265"/>
      <c r="D762" s="56"/>
      <c r="E762" s="56"/>
      <c r="F762" s="56"/>
      <c r="G762" s="56"/>
      <c r="H762" s="56"/>
      <c r="I762" s="56"/>
      <c r="J762" s="56"/>
      <c r="K762" s="56"/>
      <c r="L762" s="56"/>
      <c r="M762" s="56"/>
    </row>
    <row r="763" ht="15.75" customHeight="1">
      <c r="A763" s="56"/>
      <c r="B763" s="56"/>
      <c r="C763" s="265"/>
      <c r="D763" s="56"/>
      <c r="E763" s="56"/>
      <c r="F763" s="56"/>
      <c r="G763" s="56"/>
      <c r="H763" s="56"/>
      <c r="I763" s="56"/>
      <c r="J763" s="56"/>
      <c r="K763" s="56"/>
      <c r="L763" s="56"/>
      <c r="M763" s="56"/>
    </row>
    <row r="764" ht="15.75" customHeight="1">
      <c r="A764" s="56"/>
      <c r="B764" s="56"/>
      <c r="C764" s="265"/>
      <c r="D764" s="56"/>
      <c r="E764" s="56"/>
      <c r="F764" s="56"/>
      <c r="G764" s="56"/>
      <c r="H764" s="56"/>
      <c r="I764" s="56"/>
      <c r="J764" s="56"/>
      <c r="K764" s="56"/>
      <c r="L764" s="56"/>
      <c r="M764" s="56"/>
    </row>
    <row r="765" ht="15.75" customHeight="1">
      <c r="A765" s="56"/>
      <c r="B765" s="56"/>
      <c r="C765" s="265"/>
      <c r="D765" s="56"/>
      <c r="E765" s="56"/>
      <c r="F765" s="56"/>
      <c r="G765" s="56"/>
      <c r="H765" s="56"/>
      <c r="I765" s="56"/>
      <c r="J765" s="56"/>
      <c r="K765" s="56"/>
      <c r="L765" s="56"/>
      <c r="M765" s="56"/>
    </row>
    <row r="766" ht="15.75" customHeight="1">
      <c r="A766" s="56"/>
      <c r="B766" s="56"/>
      <c r="C766" s="265"/>
      <c r="D766" s="56"/>
      <c r="E766" s="56"/>
      <c r="F766" s="56"/>
      <c r="G766" s="56"/>
      <c r="H766" s="56"/>
      <c r="I766" s="56"/>
      <c r="J766" s="56"/>
      <c r="K766" s="56"/>
      <c r="L766" s="56"/>
      <c r="M766" s="56"/>
    </row>
    <row r="767" ht="15.75" customHeight="1">
      <c r="A767" s="56"/>
      <c r="B767" s="56"/>
      <c r="C767" s="265"/>
      <c r="D767" s="56"/>
      <c r="E767" s="56"/>
      <c r="F767" s="56"/>
      <c r="G767" s="56"/>
      <c r="H767" s="56"/>
      <c r="I767" s="56"/>
      <c r="J767" s="56"/>
      <c r="K767" s="56"/>
      <c r="L767" s="56"/>
      <c r="M767" s="56"/>
    </row>
    <row r="768" ht="15.75" customHeight="1">
      <c r="A768" s="56"/>
      <c r="B768" s="56"/>
      <c r="C768" s="265"/>
      <c r="D768" s="56"/>
      <c r="E768" s="56"/>
      <c r="F768" s="56"/>
      <c r="G768" s="56"/>
      <c r="H768" s="56"/>
      <c r="I768" s="56"/>
      <c r="J768" s="56"/>
      <c r="K768" s="56"/>
      <c r="L768" s="56"/>
      <c r="M768" s="56"/>
    </row>
    <row r="769" ht="15.75" customHeight="1">
      <c r="A769" s="56"/>
      <c r="B769" s="56"/>
      <c r="C769" s="265"/>
      <c r="D769" s="56"/>
      <c r="E769" s="56"/>
      <c r="F769" s="56"/>
      <c r="G769" s="56"/>
      <c r="H769" s="56"/>
      <c r="I769" s="56"/>
      <c r="J769" s="56"/>
      <c r="K769" s="56"/>
      <c r="L769" s="56"/>
      <c r="M769" s="56"/>
    </row>
    <row r="770" ht="15.75" customHeight="1">
      <c r="A770" s="56"/>
      <c r="B770" s="56"/>
      <c r="C770" s="265"/>
      <c r="D770" s="56"/>
      <c r="E770" s="56"/>
      <c r="F770" s="56"/>
      <c r="G770" s="56"/>
      <c r="H770" s="56"/>
      <c r="I770" s="56"/>
      <c r="J770" s="56"/>
      <c r="K770" s="56"/>
      <c r="L770" s="56"/>
      <c r="M770" s="56"/>
    </row>
    <row r="771" ht="15.75" customHeight="1">
      <c r="A771" s="56"/>
      <c r="B771" s="56"/>
      <c r="C771" s="265"/>
      <c r="D771" s="56"/>
      <c r="E771" s="56"/>
      <c r="F771" s="56"/>
      <c r="G771" s="56"/>
      <c r="H771" s="56"/>
      <c r="I771" s="56"/>
      <c r="J771" s="56"/>
      <c r="K771" s="56"/>
      <c r="L771" s="56"/>
      <c r="M771" s="56"/>
    </row>
    <row r="772" ht="15.75" customHeight="1">
      <c r="A772" s="56"/>
      <c r="B772" s="56"/>
      <c r="C772" s="265"/>
      <c r="D772" s="56"/>
      <c r="E772" s="56"/>
      <c r="F772" s="56"/>
      <c r="G772" s="56"/>
      <c r="H772" s="56"/>
      <c r="I772" s="56"/>
      <c r="J772" s="56"/>
      <c r="K772" s="56"/>
      <c r="L772" s="56"/>
      <c r="M772" s="56"/>
    </row>
    <row r="773" ht="15.75" customHeight="1">
      <c r="A773" s="56"/>
      <c r="B773" s="56"/>
      <c r="C773" s="265"/>
      <c r="D773" s="56"/>
      <c r="E773" s="56"/>
      <c r="F773" s="56"/>
      <c r="G773" s="56"/>
      <c r="H773" s="56"/>
      <c r="I773" s="56"/>
      <c r="J773" s="56"/>
      <c r="K773" s="56"/>
      <c r="L773" s="56"/>
      <c r="M773" s="56"/>
    </row>
    <row r="774" ht="15.75" customHeight="1">
      <c r="A774" s="56"/>
      <c r="B774" s="56"/>
      <c r="C774" s="265"/>
      <c r="D774" s="56"/>
      <c r="E774" s="56"/>
      <c r="F774" s="56"/>
      <c r="G774" s="56"/>
      <c r="H774" s="56"/>
      <c r="I774" s="56"/>
      <c r="J774" s="56"/>
      <c r="K774" s="56"/>
      <c r="L774" s="56"/>
      <c r="M774" s="56"/>
    </row>
    <row r="775" ht="15.75" customHeight="1">
      <c r="A775" s="56"/>
      <c r="B775" s="56"/>
      <c r="C775" s="265"/>
      <c r="D775" s="56"/>
      <c r="E775" s="56"/>
      <c r="F775" s="56"/>
      <c r="G775" s="56"/>
      <c r="H775" s="56"/>
      <c r="I775" s="56"/>
      <c r="J775" s="56"/>
      <c r="K775" s="56"/>
      <c r="L775" s="56"/>
      <c r="M775" s="56"/>
    </row>
    <row r="776" ht="15.75" customHeight="1">
      <c r="A776" s="56"/>
      <c r="B776" s="56"/>
      <c r="C776" s="265"/>
      <c r="D776" s="56"/>
      <c r="E776" s="56"/>
      <c r="F776" s="56"/>
      <c r="G776" s="56"/>
      <c r="H776" s="56"/>
      <c r="I776" s="56"/>
      <c r="J776" s="56"/>
      <c r="K776" s="56"/>
      <c r="L776" s="56"/>
      <c r="M776" s="56"/>
    </row>
    <row r="777" ht="15.75" customHeight="1">
      <c r="A777" s="56"/>
      <c r="B777" s="56"/>
      <c r="C777" s="265"/>
      <c r="D777" s="56"/>
      <c r="E777" s="56"/>
      <c r="F777" s="56"/>
      <c r="G777" s="56"/>
      <c r="H777" s="56"/>
      <c r="I777" s="56"/>
      <c r="J777" s="56"/>
      <c r="K777" s="56"/>
      <c r="L777" s="56"/>
      <c r="M777" s="56"/>
    </row>
    <row r="778" ht="15.75" customHeight="1">
      <c r="A778" s="56"/>
      <c r="B778" s="56"/>
      <c r="C778" s="265"/>
      <c r="D778" s="56"/>
      <c r="E778" s="56"/>
      <c r="F778" s="56"/>
      <c r="G778" s="56"/>
      <c r="H778" s="56"/>
      <c r="I778" s="56"/>
      <c r="J778" s="56"/>
      <c r="K778" s="56"/>
      <c r="L778" s="56"/>
      <c r="M778" s="56"/>
    </row>
    <row r="779" ht="15.75" customHeight="1">
      <c r="A779" s="56"/>
      <c r="B779" s="56"/>
      <c r="C779" s="265"/>
      <c r="D779" s="56"/>
      <c r="E779" s="56"/>
      <c r="F779" s="56"/>
      <c r="G779" s="56"/>
      <c r="H779" s="56"/>
      <c r="I779" s="56"/>
      <c r="J779" s="56"/>
      <c r="K779" s="56"/>
      <c r="L779" s="56"/>
      <c r="M779" s="56"/>
    </row>
    <row r="780" ht="15.75" customHeight="1">
      <c r="A780" s="56"/>
      <c r="B780" s="56"/>
      <c r="C780" s="265"/>
      <c r="D780" s="56"/>
      <c r="E780" s="56"/>
      <c r="F780" s="56"/>
      <c r="G780" s="56"/>
      <c r="H780" s="56"/>
      <c r="I780" s="56"/>
      <c r="J780" s="56"/>
      <c r="K780" s="56"/>
      <c r="L780" s="56"/>
      <c r="M780" s="56"/>
    </row>
    <row r="781" ht="15.75" customHeight="1">
      <c r="A781" s="56"/>
      <c r="B781" s="56"/>
      <c r="C781" s="265"/>
      <c r="D781" s="56"/>
      <c r="E781" s="56"/>
      <c r="F781" s="56"/>
      <c r="G781" s="56"/>
      <c r="H781" s="56"/>
      <c r="I781" s="56"/>
      <c r="J781" s="56"/>
      <c r="K781" s="56"/>
      <c r="L781" s="56"/>
      <c r="M781" s="56"/>
    </row>
    <row r="782" ht="15.75" customHeight="1">
      <c r="A782" s="56"/>
      <c r="B782" s="56"/>
      <c r="C782" s="265"/>
      <c r="D782" s="56"/>
      <c r="E782" s="56"/>
      <c r="F782" s="56"/>
      <c r="G782" s="56"/>
      <c r="H782" s="56"/>
      <c r="I782" s="56"/>
      <c r="J782" s="56"/>
      <c r="K782" s="56"/>
      <c r="L782" s="56"/>
      <c r="M782" s="56"/>
    </row>
    <row r="783" ht="15.75" customHeight="1">
      <c r="A783" s="56"/>
      <c r="B783" s="56"/>
      <c r="C783" s="265"/>
      <c r="D783" s="56"/>
      <c r="E783" s="56"/>
      <c r="F783" s="56"/>
      <c r="G783" s="56"/>
      <c r="H783" s="56"/>
      <c r="I783" s="56"/>
      <c r="J783" s="56"/>
      <c r="K783" s="56"/>
      <c r="L783" s="56"/>
      <c r="M783" s="56"/>
    </row>
    <row r="784" ht="15.75" customHeight="1">
      <c r="A784" s="56"/>
      <c r="B784" s="56"/>
      <c r="C784" s="265"/>
      <c r="D784" s="56"/>
      <c r="E784" s="56"/>
      <c r="F784" s="56"/>
      <c r="G784" s="56"/>
      <c r="H784" s="56"/>
      <c r="I784" s="56"/>
      <c r="J784" s="56"/>
      <c r="K784" s="56"/>
      <c r="L784" s="56"/>
      <c r="M784" s="56"/>
    </row>
    <row r="785" ht="15.75" customHeight="1">
      <c r="A785" s="56"/>
      <c r="B785" s="56"/>
      <c r="C785" s="265"/>
      <c r="D785" s="56"/>
      <c r="E785" s="56"/>
      <c r="F785" s="56"/>
      <c r="G785" s="56"/>
      <c r="H785" s="56"/>
      <c r="I785" s="56"/>
      <c r="J785" s="56"/>
      <c r="K785" s="56"/>
      <c r="L785" s="56"/>
      <c r="M785" s="56"/>
    </row>
    <row r="786" ht="15.75" customHeight="1">
      <c r="A786" s="56"/>
      <c r="B786" s="56"/>
      <c r="C786" s="265"/>
      <c r="D786" s="56"/>
      <c r="E786" s="56"/>
      <c r="F786" s="56"/>
      <c r="G786" s="56"/>
      <c r="H786" s="56"/>
      <c r="I786" s="56"/>
      <c r="J786" s="56"/>
      <c r="K786" s="56"/>
      <c r="L786" s="56"/>
      <c r="M786" s="56"/>
    </row>
    <row r="787" ht="15.75" customHeight="1">
      <c r="A787" s="56"/>
      <c r="B787" s="56"/>
      <c r="C787" s="265"/>
      <c r="D787" s="56"/>
      <c r="E787" s="56"/>
      <c r="F787" s="56"/>
      <c r="G787" s="56"/>
      <c r="H787" s="56"/>
      <c r="I787" s="56"/>
      <c r="J787" s="56"/>
      <c r="K787" s="56"/>
      <c r="L787" s="56"/>
      <c r="M787" s="56"/>
    </row>
    <row r="788" ht="15.75" customHeight="1">
      <c r="A788" s="56"/>
      <c r="B788" s="56"/>
      <c r="C788" s="265"/>
      <c r="D788" s="56"/>
      <c r="E788" s="56"/>
      <c r="F788" s="56"/>
      <c r="G788" s="56"/>
      <c r="H788" s="56"/>
      <c r="I788" s="56"/>
      <c r="J788" s="56"/>
      <c r="K788" s="56"/>
      <c r="L788" s="56"/>
      <c r="M788" s="56"/>
    </row>
    <row r="789" ht="15.75" customHeight="1">
      <c r="A789" s="56"/>
      <c r="B789" s="56"/>
      <c r="C789" s="265"/>
      <c r="D789" s="56"/>
      <c r="E789" s="56"/>
      <c r="F789" s="56"/>
      <c r="G789" s="56"/>
      <c r="H789" s="56"/>
      <c r="I789" s="56"/>
      <c r="J789" s="56"/>
      <c r="K789" s="56"/>
      <c r="L789" s="56"/>
      <c r="M789" s="56"/>
    </row>
    <row r="790" ht="15.75" customHeight="1">
      <c r="A790" s="56"/>
      <c r="B790" s="56"/>
      <c r="C790" s="265"/>
      <c r="D790" s="56"/>
      <c r="E790" s="56"/>
      <c r="F790" s="56"/>
      <c r="G790" s="56"/>
      <c r="H790" s="56"/>
      <c r="I790" s="56"/>
      <c r="J790" s="56"/>
      <c r="K790" s="56"/>
      <c r="L790" s="56"/>
      <c r="M790" s="56"/>
    </row>
    <row r="791" ht="15.75" customHeight="1">
      <c r="A791" s="56"/>
      <c r="B791" s="56"/>
      <c r="C791" s="265"/>
      <c r="D791" s="56"/>
      <c r="E791" s="56"/>
      <c r="F791" s="56"/>
      <c r="G791" s="56"/>
      <c r="H791" s="56"/>
      <c r="I791" s="56"/>
      <c r="J791" s="56"/>
      <c r="K791" s="56"/>
      <c r="L791" s="56"/>
      <c r="M791" s="56"/>
    </row>
    <row r="792" ht="15.75" customHeight="1">
      <c r="A792" s="56"/>
      <c r="B792" s="56"/>
      <c r="C792" s="265"/>
      <c r="D792" s="56"/>
      <c r="E792" s="56"/>
      <c r="F792" s="56"/>
      <c r="G792" s="56"/>
      <c r="H792" s="56"/>
      <c r="I792" s="56"/>
      <c r="J792" s="56"/>
      <c r="K792" s="56"/>
      <c r="L792" s="56"/>
      <c r="M792" s="56"/>
    </row>
    <row r="793" ht="15.75" customHeight="1">
      <c r="A793" s="56"/>
      <c r="B793" s="56"/>
      <c r="C793" s="265"/>
      <c r="D793" s="56"/>
      <c r="E793" s="56"/>
      <c r="F793" s="56"/>
      <c r="G793" s="56"/>
      <c r="H793" s="56"/>
      <c r="I793" s="56"/>
      <c r="J793" s="56"/>
      <c r="K793" s="56"/>
      <c r="L793" s="56"/>
      <c r="M793" s="56"/>
    </row>
    <row r="794" ht="15.75" customHeight="1">
      <c r="A794" s="56"/>
      <c r="B794" s="56"/>
      <c r="C794" s="265"/>
      <c r="D794" s="56"/>
      <c r="E794" s="56"/>
      <c r="F794" s="56"/>
      <c r="G794" s="56"/>
      <c r="H794" s="56"/>
      <c r="I794" s="56"/>
      <c r="J794" s="56"/>
      <c r="K794" s="56"/>
      <c r="L794" s="56"/>
      <c r="M794" s="56"/>
    </row>
    <row r="795" ht="15.75" customHeight="1">
      <c r="A795" s="56"/>
      <c r="B795" s="56"/>
      <c r="C795" s="265"/>
      <c r="D795" s="56"/>
      <c r="E795" s="56"/>
      <c r="F795" s="56"/>
      <c r="G795" s="56"/>
      <c r="H795" s="56"/>
      <c r="I795" s="56"/>
      <c r="J795" s="56"/>
      <c r="K795" s="56"/>
      <c r="L795" s="56"/>
      <c r="M795" s="56"/>
    </row>
    <row r="796" ht="15.75" customHeight="1">
      <c r="A796" s="56"/>
      <c r="B796" s="56"/>
      <c r="C796" s="265"/>
      <c r="D796" s="56"/>
      <c r="E796" s="56"/>
      <c r="F796" s="56"/>
      <c r="G796" s="56"/>
      <c r="H796" s="56"/>
      <c r="I796" s="56"/>
      <c r="J796" s="56"/>
      <c r="K796" s="56"/>
      <c r="L796" s="56"/>
      <c r="M796" s="56"/>
    </row>
    <row r="797" ht="15.75" customHeight="1">
      <c r="A797" s="56"/>
      <c r="B797" s="56"/>
      <c r="C797" s="265"/>
      <c r="D797" s="56"/>
      <c r="E797" s="56"/>
      <c r="F797" s="56"/>
      <c r="G797" s="56"/>
      <c r="H797" s="56"/>
      <c r="I797" s="56"/>
      <c r="J797" s="56"/>
      <c r="K797" s="56"/>
      <c r="L797" s="56"/>
      <c r="M797" s="56"/>
    </row>
    <row r="798" ht="15.75" customHeight="1">
      <c r="A798" s="56"/>
      <c r="B798" s="56"/>
      <c r="C798" s="265"/>
      <c r="D798" s="56"/>
      <c r="E798" s="56"/>
      <c r="F798" s="56"/>
      <c r="G798" s="56"/>
      <c r="H798" s="56"/>
      <c r="I798" s="56"/>
      <c r="J798" s="56"/>
      <c r="K798" s="56"/>
      <c r="L798" s="56"/>
      <c r="M798" s="56"/>
    </row>
    <row r="799" ht="15.75" customHeight="1">
      <c r="A799" s="56"/>
      <c r="B799" s="56"/>
      <c r="C799" s="265"/>
      <c r="D799" s="56"/>
      <c r="E799" s="56"/>
      <c r="F799" s="56"/>
      <c r="G799" s="56"/>
      <c r="H799" s="56"/>
      <c r="I799" s="56"/>
      <c r="J799" s="56"/>
      <c r="K799" s="56"/>
      <c r="L799" s="56"/>
      <c r="M799" s="56"/>
    </row>
    <row r="800" ht="15.75" customHeight="1">
      <c r="A800" s="56"/>
      <c r="B800" s="56"/>
      <c r="C800" s="265"/>
      <c r="D800" s="56"/>
      <c r="E800" s="56"/>
      <c r="F800" s="56"/>
      <c r="G800" s="56"/>
      <c r="H800" s="56"/>
      <c r="I800" s="56"/>
      <c r="J800" s="56"/>
      <c r="K800" s="56"/>
      <c r="L800" s="56"/>
      <c r="M800" s="56"/>
    </row>
    <row r="801" ht="15.75" customHeight="1">
      <c r="A801" s="56"/>
      <c r="B801" s="56"/>
      <c r="C801" s="265"/>
      <c r="D801" s="56"/>
      <c r="E801" s="56"/>
      <c r="F801" s="56"/>
      <c r="G801" s="56"/>
      <c r="H801" s="56"/>
      <c r="I801" s="56"/>
      <c r="J801" s="56"/>
      <c r="K801" s="56"/>
      <c r="L801" s="56"/>
      <c r="M801" s="56"/>
    </row>
    <row r="802" ht="15.75" customHeight="1">
      <c r="A802" s="56"/>
      <c r="B802" s="56"/>
      <c r="C802" s="265"/>
      <c r="D802" s="56"/>
      <c r="E802" s="56"/>
      <c r="F802" s="56"/>
      <c r="G802" s="56"/>
      <c r="H802" s="56"/>
      <c r="I802" s="56"/>
      <c r="J802" s="56"/>
      <c r="K802" s="56"/>
      <c r="L802" s="56"/>
      <c r="M802" s="56"/>
    </row>
    <row r="803" ht="15.75" customHeight="1">
      <c r="A803" s="56"/>
      <c r="B803" s="56"/>
      <c r="C803" s="265"/>
      <c r="D803" s="56"/>
      <c r="E803" s="56"/>
      <c r="F803" s="56"/>
      <c r="G803" s="56"/>
      <c r="H803" s="56"/>
      <c r="I803" s="56"/>
      <c r="J803" s="56"/>
      <c r="K803" s="56"/>
      <c r="L803" s="56"/>
      <c r="M803" s="56"/>
    </row>
    <row r="804" ht="15.75" customHeight="1">
      <c r="A804" s="56"/>
      <c r="B804" s="56"/>
      <c r="C804" s="265"/>
      <c r="D804" s="56"/>
      <c r="E804" s="56"/>
      <c r="F804" s="56"/>
      <c r="G804" s="56"/>
      <c r="H804" s="56"/>
      <c r="I804" s="56"/>
      <c r="J804" s="56"/>
      <c r="K804" s="56"/>
      <c r="L804" s="56"/>
      <c r="M804" s="56"/>
    </row>
    <row r="805" ht="15.75" customHeight="1">
      <c r="A805" s="56"/>
      <c r="B805" s="56"/>
      <c r="C805" s="265"/>
      <c r="D805" s="56"/>
      <c r="E805" s="56"/>
      <c r="F805" s="56"/>
      <c r="G805" s="56"/>
      <c r="H805" s="56"/>
      <c r="I805" s="56"/>
      <c r="J805" s="56"/>
      <c r="K805" s="56"/>
      <c r="L805" s="56"/>
      <c r="M805" s="56"/>
    </row>
    <row r="806" ht="15.75" customHeight="1">
      <c r="A806" s="56"/>
      <c r="B806" s="56"/>
      <c r="C806" s="265"/>
      <c r="D806" s="56"/>
      <c r="E806" s="56"/>
      <c r="F806" s="56"/>
      <c r="G806" s="56"/>
      <c r="H806" s="56"/>
      <c r="I806" s="56"/>
      <c r="J806" s="56"/>
      <c r="K806" s="56"/>
      <c r="L806" s="56"/>
      <c r="M806" s="56"/>
    </row>
    <row r="807" ht="15.75" customHeight="1">
      <c r="A807" s="56"/>
      <c r="B807" s="56"/>
      <c r="C807" s="265"/>
      <c r="D807" s="56"/>
      <c r="E807" s="56"/>
      <c r="F807" s="56"/>
      <c r="G807" s="56"/>
      <c r="H807" s="56"/>
      <c r="I807" s="56"/>
      <c r="J807" s="56"/>
      <c r="K807" s="56"/>
      <c r="L807" s="56"/>
      <c r="M807" s="56"/>
    </row>
    <row r="808" ht="15.75" customHeight="1">
      <c r="A808" s="56"/>
      <c r="B808" s="56"/>
      <c r="C808" s="265"/>
      <c r="D808" s="56"/>
      <c r="E808" s="56"/>
      <c r="F808" s="56"/>
      <c r="G808" s="56"/>
      <c r="H808" s="56"/>
      <c r="I808" s="56"/>
      <c r="J808" s="56"/>
      <c r="K808" s="56"/>
      <c r="L808" s="56"/>
      <c r="M808" s="56"/>
    </row>
    <row r="809" ht="15.75" customHeight="1">
      <c r="A809" s="56"/>
      <c r="B809" s="56"/>
      <c r="C809" s="265"/>
      <c r="D809" s="56"/>
      <c r="E809" s="56"/>
      <c r="F809" s="56"/>
      <c r="G809" s="56"/>
      <c r="H809" s="56"/>
      <c r="I809" s="56"/>
      <c r="J809" s="56"/>
      <c r="K809" s="56"/>
      <c r="L809" s="56"/>
      <c r="M809" s="56"/>
    </row>
    <row r="810" ht="15.75" customHeight="1">
      <c r="A810" s="56"/>
      <c r="B810" s="56"/>
      <c r="C810" s="265"/>
      <c r="D810" s="56"/>
      <c r="E810" s="56"/>
      <c r="F810" s="56"/>
      <c r="G810" s="56"/>
      <c r="H810" s="56"/>
      <c r="I810" s="56"/>
      <c r="J810" s="56"/>
      <c r="K810" s="56"/>
      <c r="L810" s="56"/>
      <c r="M810" s="56"/>
    </row>
    <row r="811" ht="15.75" customHeight="1">
      <c r="A811" s="56"/>
      <c r="B811" s="56"/>
      <c r="C811" s="265"/>
      <c r="D811" s="56"/>
      <c r="E811" s="56"/>
      <c r="F811" s="56"/>
      <c r="G811" s="56"/>
      <c r="H811" s="56"/>
      <c r="I811" s="56"/>
      <c r="J811" s="56"/>
      <c r="K811" s="56"/>
      <c r="L811" s="56"/>
      <c r="M811" s="56"/>
    </row>
    <row r="812" ht="15.75" customHeight="1">
      <c r="A812" s="56"/>
      <c r="B812" s="56"/>
      <c r="C812" s="265"/>
      <c r="D812" s="56"/>
      <c r="E812" s="56"/>
      <c r="F812" s="56"/>
      <c r="G812" s="56"/>
      <c r="H812" s="56"/>
      <c r="I812" s="56"/>
      <c r="J812" s="56"/>
      <c r="K812" s="56"/>
      <c r="L812" s="56"/>
      <c r="M812" s="56"/>
    </row>
    <row r="813" ht="15.75" customHeight="1">
      <c r="A813" s="56"/>
      <c r="B813" s="56"/>
      <c r="C813" s="265"/>
      <c r="D813" s="56"/>
      <c r="E813" s="56"/>
      <c r="F813" s="56"/>
      <c r="G813" s="56"/>
      <c r="H813" s="56"/>
      <c r="I813" s="56"/>
      <c r="J813" s="56"/>
      <c r="K813" s="56"/>
      <c r="L813" s="56"/>
      <c r="M813" s="56"/>
    </row>
    <row r="814" ht="15.75" customHeight="1">
      <c r="A814" s="56"/>
      <c r="B814" s="56"/>
      <c r="C814" s="265"/>
      <c r="D814" s="56"/>
      <c r="E814" s="56"/>
      <c r="F814" s="56"/>
      <c r="G814" s="56"/>
      <c r="H814" s="56"/>
      <c r="I814" s="56"/>
      <c r="J814" s="56"/>
      <c r="K814" s="56"/>
      <c r="L814" s="56"/>
      <c r="M814" s="56"/>
    </row>
    <row r="815" ht="15.75" customHeight="1">
      <c r="A815" s="56"/>
      <c r="B815" s="56"/>
      <c r="C815" s="265"/>
      <c r="D815" s="56"/>
      <c r="E815" s="56"/>
      <c r="F815" s="56"/>
      <c r="G815" s="56"/>
      <c r="H815" s="56"/>
      <c r="I815" s="56"/>
      <c r="J815" s="56"/>
      <c r="K815" s="56"/>
      <c r="L815" s="56"/>
      <c r="M815" s="56"/>
    </row>
    <row r="816" ht="15.75" customHeight="1">
      <c r="A816" s="56"/>
      <c r="B816" s="56"/>
      <c r="C816" s="265"/>
      <c r="D816" s="56"/>
      <c r="E816" s="56"/>
      <c r="F816" s="56"/>
      <c r="G816" s="56"/>
      <c r="H816" s="56"/>
      <c r="I816" s="56"/>
      <c r="J816" s="56"/>
      <c r="K816" s="56"/>
      <c r="L816" s="56"/>
      <c r="M816" s="56"/>
    </row>
    <row r="817" ht="15.75" customHeight="1">
      <c r="A817" s="56"/>
      <c r="B817" s="56"/>
      <c r="C817" s="265"/>
      <c r="D817" s="56"/>
      <c r="E817" s="56"/>
      <c r="F817" s="56"/>
      <c r="G817" s="56"/>
      <c r="H817" s="56"/>
      <c r="I817" s="56"/>
      <c r="J817" s="56"/>
      <c r="K817" s="56"/>
      <c r="L817" s="56"/>
      <c r="M817" s="56"/>
    </row>
    <row r="818" ht="15.75" customHeight="1">
      <c r="A818" s="56"/>
      <c r="B818" s="56"/>
      <c r="C818" s="265"/>
      <c r="D818" s="56"/>
      <c r="E818" s="56"/>
      <c r="F818" s="56"/>
      <c r="G818" s="56"/>
      <c r="H818" s="56"/>
      <c r="I818" s="56"/>
      <c r="J818" s="56"/>
      <c r="K818" s="56"/>
      <c r="L818" s="56"/>
      <c r="M818" s="56"/>
    </row>
    <row r="819" ht="15.75" customHeight="1">
      <c r="A819" s="56"/>
      <c r="B819" s="56"/>
      <c r="C819" s="265"/>
      <c r="D819" s="56"/>
      <c r="E819" s="56"/>
      <c r="F819" s="56"/>
      <c r="G819" s="56"/>
      <c r="H819" s="56"/>
      <c r="I819" s="56"/>
      <c r="J819" s="56"/>
      <c r="K819" s="56"/>
      <c r="L819" s="56"/>
      <c r="M819" s="56"/>
    </row>
    <row r="820" ht="15.75" customHeight="1">
      <c r="A820" s="56"/>
      <c r="B820" s="56"/>
      <c r="C820" s="265"/>
      <c r="D820" s="56"/>
      <c r="E820" s="56"/>
      <c r="F820" s="56"/>
      <c r="G820" s="56"/>
      <c r="H820" s="56"/>
      <c r="I820" s="56"/>
      <c r="J820" s="56"/>
      <c r="K820" s="56"/>
      <c r="L820" s="56"/>
      <c r="M820" s="56"/>
    </row>
    <row r="821" ht="15.75" customHeight="1">
      <c r="A821" s="56"/>
      <c r="B821" s="56"/>
      <c r="C821" s="265"/>
      <c r="D821" s="56"/>
      <c r="E821" s="56"/>
      <c r="F821" s="56"/>
      <c r="G821" s="56"/>
      <c r="H821" s="56"/>
      <c r="I821" s="56"/>
      <c r="J821" s="56"/>
      <c r="K821" s="56"/>
      <c r="L821" s="56"/>
      <c r="M821" s="56"/>
    </row>
    <row r="822" ht="15.75" customHeight="1">
      <c r="A822" s="56"/>
      <c r="B822" s="56"/>
      <c r="C822" s="265"/>
      <c r="D822" s="56"/>
      <c r="E822" s="56"/>
      <c r="F822" s="56"/>
      <c r="G822" s="56"/>
      <c r="H822" s="56"/>
      <c r="I822" s="56"/>
      <c r="J822" s="56"/>
      <c r="K822" s="56"/>
      <c r="L822" s="56"/>
      <c r="M822" s="56"/>
    </row>
    <row r="823" ht="15.75" customHeight="1">
      <c r="A823" s="56"/>
      <c r="B823" s="56"/>
      <c r="C823" s="265"/>
      <c r="D823" s="56"/>
      <c r="E823" s="56"/>
      <c r="F823" s="56"/>
      <c r="G823" s="56"/>
      <c r="H823" s="56"/>
      <c r="I823" s="56"/>
      <c r="J823" s="56"/>
      <c r="K823" s="56"/>
      <c r="L823" s="56"/>
      <c r="M823" s="56"/>
    </row>
    <row r="824" ht="15.75" customHeight="1">
      <c r="A824" s="56"/>
      <c r="B824" s="56"/>
      <c r="C824" s="265"/>
      <c r="D824" s="56"/>
      <c r="E824" s="56"/>
      <c r="F824" s="56"/>
      <c r="G824" s="56"/>
      <c r="H824" s="56"/>
      <c r="I824" s="56"/>
      <c r="J824" s="56"/>
      <c r="K824" s="56"/>
      <c r="L824" s="56"/>
      <c r="M824" s="56"/>
    </row>
    <row r="825" ht="15.75" customHeight="1">
      <c r="A825" s="56"/>
      <c r="B825" s="56"/>
      <c r="C825" s="265"/>
      <c r="D825" s="56"/>
      <c r="E825" s="56"/>
      <c r="F825" s="56"/>
      <c r="G825" s="56"/>
      <c r="H825" s="56"/>
      <c r="I825" s="56"/>
      <c r="J825" s="56"/>
      <c r="K825" s="56"/>
      <c r="L825" s="56"/>
      <c r="M825" s="56"/>
    </row>
    <row r="826" ht="15.75" customHeight="1">
      <c r="A826" s="56"/>
      <c r="B826" s="56"/>
      <c r="C826" s="265"/>
      <c r="D826" s="56"/>
      <c r="E826" s="56"/>
      <c r="F826" s="56"/>
      <c r="G826" s="56"/>
      <c r="H826" s="56"/>
      <c r="I826" s="56"/>
      <c r="J826" s="56"/>
      <c r="K826" s="56"/>
      <c r="L826" s="56"/>
      <c r="M826" s="56"/>
    </row>
    <row r="827" ht="15.75" customHeight="1">
      <c r="A827" s="56"/>
      <c r="B827" s="56"/>
      <c r="C827" s="265"/>
      <c r="D827" s="56"/>
      <c r="E827" s="56"/>
      <c r="F827" s="56"/>
      <c r="G827" s="56"/>
      <c r="H827" s="56"/>
      <c r="I827" s="56"/>
      <c r="J827" s="56"/>
      <c r="K827" s="56"/>
      <c r="L827" s="56"/>
      <c r="M827" s="56"/>
    </row>
    <row r="828" ht="15.75" customHeight="1">
      <c r="A828" s="56"/>
      <c r="B828" s="56"/>
      <c r="C828" s="265"/>
      <c r="D828" s="56"/>
      <c r="E828" s="56"/>
      <c r="F828" s="56"/>
      <c r="G828" s="56"/>
      <c r="H828" s="56"/>
      <c r="I828" s="56"/>
      <c r="J828" s="56"/>
      <c r="K828" s="56"/>
      <c r="L828" s="56"/>
      <c r="M828" s="56"/>
    </row>
    <row r="829" ht="15.75" customHeight="1">
      <c r="A829" s="56"/>
      <c r="B829" s="56"/>
      <c r="C829" s="265"/>
      <c r="D829" s="56"/>
      <c r="E829" s="56"/>
      <c r="F829" s="56"/>
      <c r="G829" s="56"/>
      <c r="H829" s="56"/>
      <c r="I829" s="56"/>
      <c r="J829" s="56"/>
      <c r="K829" s="56"/>
      <c r="L829" s="56"/>
      <c r="M829" s="56"/>
    </row>
    <row r="830" ht="15.75" customHeight="1">
      <c r="A830" s="56"/>
      <c r="B830" s="56"/>
      <c r="C830" s="265"/>
      <c r="D830" s="56"/>
      <c r="E830" s="56"/>
      <c r="F830" s="56"/>
      <c r="G830" s="56"/>
      <c r="H830" s="56"/>
      <c r="I830" s="56"/>
      <c r="J830" s="56"/>
      <c r="K830" s="56"/>
      <c r="L830" s="56"/>
      <c r="M830" s="56"/>
    </row>
    <row r="831" ht="15.75" customHeight="1">
      <c r="A831" s="56"/>
      <c r="B831" s="56"/>
      <c r="C831" s="265"/>
      <c r="D831" s="56"/>
      <c r="E831" s="56"/>
      <c r="F831" s="56"/>
      <c r="G831" s="56"/>
      <c r="H831" s="56"/>
      <c r="I831" s="56"/>
      <c r="J831" s="56"/>
      <c r="K831" s="56"/>
      <c r="L831" s="56"/>
      <c r="M831" s="56"/>
    </row>
    <row r="832" ht="15.75" customHeight="1">
      <c r="A832" s="56"/>
      <c r="B832" s="56"/>
      <c r="C832" s="265"/>
      <c r="D832" s="56"/>
      <c r="E832" s="56"/>
      <c r="F832" s="56"/>
      <c r="G832" s="56"/>
      <c r="H832" s="56"/>
      <c r="I832" s="56"/>
      <c r="J832" s="56"/>
      <c r="K832" s="56"/>
      <c r="L832" s="56"/>
      <c r="M832" s="56"/>
    </row>
    <row r="833" ht="15.75" customHeight="1">
      <c r="A833" s="56"/>
      <c r="B833" s="56"/>
      <c r="C833" s="265"/>
      <c r="D833" s="56"/>
      <c r="E833" s="56"/>
      <c r="F833" s="56"/>
      <c r="G833" s="56"/>
      <c r="H833" s="56"/>
      <c r="I833" s="56"/>
      <c r="J833" s="56"/>
      <c r="K833" s="56"/>
      <c r="L833" s="56"/>
      <c r="M833" s="56"/>
    </row>
    <row r="834" ht="15.75" customHeight="1">
      <c r="A834" s="56"/>
      <c r="B834" s="56"/>
      <c r="C834" s="265"/>
      <c r="D834" s="56"/>
      <c r="E834" s="56"/>
      <c r="F834" s="56"/>
      <c r="G834" s="56"/>
      <c r="H834" s="56"/>
      <c r="I834" s="56"/>
      <c r="J834" s="56"/>
      <c r="K834" s="56"/>
      <c r="L834" s="56"/>
      <c r="M834" s="56"/>
    </row>
    <row r="835" ht="15.75" customHeight="1">
      <c r="A835" s="56"/>
      <c r="B835" s="56"/>
      <c r="C835" s="265"/>
      <c r="D835" s="56"/>
      <c r="E835" s="56"/>
      <c r="F835" s="56"/>
      <c r="G835" s="56"/>
      <c r="H835" s="56"/>
      <c r="I835" s="56"/>
      <c r="J835" s="56"/>
      <c r="K835" s="56"/>
      <c r="L835" s="56"/>
      <c r="M835" s="56"/>
    </row>
    <row r="836" ht="15.75" customHeight="1">
      <c r="A836" s="56"/>
      <c r="B836" s="56"/>
      <c r="C836" s="265"/>
      <c r="D836" s="56"/>
      <c r="E836" s="56"/>
      <c r="F836" s="56"/>
      <c r="G836" s="56"/>
      <c r="H836" s="56"/>
      <c r="I836" s="56"/>
      <c r="J836" s="56"/>
      <c r="K836" s="56"/>
      <c r="L836" s="56"/>
      <c r="M836" s="56"/>
    </row>
    <row r="837" ht="15.75" customHeight="1">
      <c r="A837" s="56"/>
      <c r="B837" s="56"/>
      <c r="C837" s="265"/>
      <c r="D837" s="56"/>
      <c r="E837" s="56"/>
      <c r="F837" s="56"/>
      <c r="G837" s="56"/>
      <c r="H837" s="56"/>
      <c r="I837" s="56"/>
      <c r="J837" s="56"/>
      <c r="K837" s="56"/>
      <c r="L837" s="56"/>
      <c r="M837" s="56"/>
    </row>
    <row r="838" ht="15.75" customHeight="1">
      <c r="A838" s="56"/>
      <c r="B838" s="56"/>
      <c r="C838" s="265"/>
      <c r="D838" s="56"/>
      <c r="E838" s="56"/>
      <c r="F838" s="56"/>
      <c r="G838" s="56"/>
      <c r="H838" s="56"/>
      <c r="I838" s="56"/>
      <c r="J838" s="56"/>
      <c r="K838" s="56"/>
      <c r="L838" s="56"/>
      <c r="M838" s="56"/>
    </row>
    <row r="839" ht="15.75" customHeight="1">
      <c r="A839" s="56"/>
      <c r="B839" s="56"/>
      <c r="C839" s="265"/>
      <c r="D839" s="56"/>
      <c r="E839" s="56"/>
      <c r="F839" s="56"/>
      <c r="G839" s="56"/>
      <c r="H839" s="56"/>
      <c r="I839" s="56"/>
      <c r="J839" s="56"/>
      <c r="K839" s="56"/>
      <c r="L839" s="56"/>
      <c r="M839" s="56"/>
    </row>
    <row r="840" ht="15.75" customHeight="1">
      <c r="A840" s="56"/>
      <c r="B840" s="56"/>
      <c r="C840" s="265"/>
      <c r="D840" s="56"/>
      <c r="E840" s="56"/>
      <c r="F840" s="56"/>
      <c r="G840" s="56"/>
      <c r="H840" s="56"/>
      <c r="I840" s="56"/>
      <c r="J840" s="56"/>
      <c r="K840" s="56"/>
      <c r="L840" s="56"/>
      <c r="M840" s="56"/>
    </row>
    <row r="841" ht="15.75" customHeight="1">
      <c r="A841" s="56"/>
      <c r="B841" s="56"/>
      <c r="C841" s="265"/>
      <c r="D841" s="56"/>
      <c r="E841" s="56"/>
      <c r="F841" s="56"/>
      <c r="G841" s="56"/>
      <c r="H841" s="56"/>
      <c r="I841" s="56"/>
      <c r="J841" s="56"/>
      <c r="K841" s="56"/>
      <c r="L841" s="56"/>
      <c r="M841" s="56"/>
    </row>
    <row r="842" ht="15.75" customHeight="1">
      <c r="A842" s="56"/>
      <c r="B842" s="56"/>
      <c r="C842" s="265"/>
      <c r="D842" s="56"/>
      <c r="E842" s="56"/>
      <c r="F842" s="56"/>
      <c r="G842" s="56"/>
      <c r="H842" s="56"/>
      <c r="I842" s="56"/>
      <c r="J842" s="56"/>
      <c r="K842" s="56"/>
      <c r="L842" s="56"/>
      <c r="M842" s="56"/>
    </row>
    <row r="843" ht="15.75" customHeight="1">
      <c r="A843" s="56"/>
      <c r="B843" s="56"/>
      <c r="C843" s="265"/>
      <c r="D843" s="56"/>
      <c r="E843" s="56"/>
      <c r="F843" s="56"/>
      <c r="G843" s="56"/>
      <c r="H843" s="56"/>
      <c r="I843" s="56"/>
      <c r="J843" s="56"/>
      <c r="K843" s="56"/>
      <c r="L843" s="56"/>
      <c r="M843" s="56"/>
    </row>
    <row r="844" ht="15.75" customHeight="1">
      <c r="A844" s="56"/>
      <c r="B844" s="56"/>
      <c r="C844" s="265"/>
      <c r="D844" s="56"/>
      <c r="E844" s="56"/>
      <c r="F844" s="56"/>
      <c r="G844" s="56"/>
      <c r="H844" s="56"/>
      <c r="I844" s="56"/>
      <c r="J844" s="56"/>
      <c r="K844" s="56"/>
      <c r="L844" s="56"/>
      <c r="M844" s="56"/>
    </row>
    <row r="845" ht="15.75" customHeight="1">
      <c r="A845" s="56"/>
      <c r="B845" s="56"/>
      <c r="C845" s="265"/>
      <c r="D845" s="56"/>
      <c r="E845" s="56"/>
      <c r="F845" s="56"/>
      <c r="G845" s="56"/>
      <c r="H845" s="56"/>
      <c r="I845" s="56"/>
      <c r="J845" s="56"/>
      <c r="K845" s="56"/>
      <c r="L845" s="56"/>
      <c r="M845" s="56"/>
    </row>
    <row r="846" ht="15.75" customHeight="1">
      <c r="A846" s="56"/>
      <c r="B846" s="56"/>
      <c r="C846" s="265"/>
      <c r="D846" s="56"/>
      <c r="E846" s="56"/>
      <c r="F846" s="56"/>
      <c r="G846" s="56"/>
      <c r="H846" s="56"/>
      <c r="I846" s="56"/>
      <c r="J846" s="56"/>
      <c r="K846" s="56"/>
      <c r="L846" s="56"/>
      <c r="M846" s="56"/>
    </row>
    <row r="847" ht="15.75" customHeight="1">
      <c r="A847" s="56"/>
      <c r="B847" s="56"/>
      <c r="C847" s="265"/>
      <c r="D847" s="56"/>
      <c r="E847" s="56"/>
      <c r="F847" s="56"/>
      <c r="G847" s="56"/>
      <c r="H847" s="56"/>
      <c r="I847" s="56"/>
      <c r="J847" s="56"/>
      <c r="K847" s="56"/>
      <c r="L847" s="56"/>
      <c r="M847" s="56"/>
    </row>
    <row r="848" ht="15.75" customHeight="1">
      <c r="A848" s="56"/>
      <c r="B848" s="56"/>
      <c r="C848" s="265"/>
      <c r="D848" s="56"/>
      <c r="E848" s="56"/>
      <c r="F848" s="56"/>
      <c r="G848" s="56"/>
      <c r="H848" s="56"/>
      <c r="I848" s="56"/>
      <c r="J848" s="56"/>
      <c r="K848" s="56"/>
      <c r="L848" s="56"/>
      <c r="M848" s="56"/>
    </row>
    <row r="849" ht="15.75" customHeight="1">
      <c r="A849" s="56"/>
      <c r="B849" s="56"/>
      <c r="C849" s="265"/>
      <c r="D849" s="56"/>
      <c r="E849" s="56"/>
      <c r="F849" s="56"/>
      <c r="G849" s="56"/>
      <c r="H849" s="56"/>
      <c r="I849" s="56"/>
      <c r="J849" s="56"/>
      <c r="K849" s="56"/>
      <c r="L849" s="56"/>
      <c r="M849" s="56"/>
    </row>
    <row r="850" ht="15.75" customHeight="1">
      <c r="A850" s="56"/>
      <c r="B850" s="56"/>
      <c r="C850" s="265"/>
      <c r="D850" s="56"/>
      <c r="E850" s="56"/>
      <c r="F850" s="56"/>
      <c r="G850" s="56"/>
      <c r="H850" s="56"/>
      <c r="I850" s="56"/>
      <c r="J850" s="56"/>
      <c r="K850" s="56"/>
      <c r="L850" s="56"/>
      <c r="M850" s="56"/>
    </row>
    <row r="851" ht="15.75" customHeight="1">
      <c r="A851" s="56"/>
      <c r="B851" s="56"/>
      <c r="C851" s="265"/>
      <c r="D851" s="56"/>
      <c r="E851" s="56"/>
      <c r="F851" s="56"/>
      <c r="G851" s="56"/>
      <c r="H851" s="56"/>
      <c r="I851" s="56"/>
      <c r="J851" s="56"/>
      <c r="K851" s="56"/>
      <c r="L851" s="56"/>
      <c r="M851" s="56"/>
    </row>
    <row r="852" ht="15.75" customHeight="1">
      <c r="A852" s="56"/>
      <c r="B852" s="56"/>
      <c r="C852" s="265"/>
      <c r="D852" s="56"/>
      <c r="E852" s="56"/>
      <c r="F852" s="56"/>
      <c r="G852" s="56"/>
      <c r="H852" s="56"/>
      <c r="I852" s="56"/>
      <c r="J852" s="56"/>
      <c r="K852" s="56"/>
      <c r="L852" s="56"/>
      <c r="M852" s="56"/>
    </row>
    <row r="853" ht="15.75" customHeight="1">
      <c r="A853" s="56"/>
      <c r="B853" s="56"/>
      <c r="C853" s="265"/>
      <c r="D853" s="56"/>
      <c r="E853" s="56"/>
      <c r="F853" s="56"/>
      <c r="G853" s="56"/>
      <c r="H853" s="56"/>
      <c r="I853" s="56"/>
      <c r="J853" s="56"/>
      <c r="K853" s="56"/>
      <c r="L853" s="56"/>
      <c r="M853" s="56"/>
    </row>
    <row r="854" ht="15.75" customHeight="1">
      <c r="A854" s="56"/>
      <c r="B854" s="56"/>
      <c r="C854" s="265"/>
      <c r="D854" s="56"/>
      <c r="E854" s="56"/>
      <c r="F854" s="56"/>
      <c r="G854" s="56"/>
      <c r="H854" s="56"/>
      <c r="I854" s="56"/>
      <c r="J854" s="56"/>
      <c r="K854" s="56"/>
      <c r="L854" s="56"/>
      <c r="M854" s="56"/>
    </row>
    <row r="855" ht="15.75" customHeight="1">
      <c r="A855" s="56"/>
      <c r="B855" s="56"/>
      <c r="C855" s="265"/>
      <c r="D855" s="56"/>
      <c r="E855" s="56"/>
      <c r="F855" s="56"/>
      <c r="G855" s="56"/>
      <c r="H855" s="56"/>
      <c r="I855" s="56"/>
      <c r="J855" s="56"/>
      <c r="K855" s="56"/>
      <c r="L855" s="56"/>
      <c r="M855" s="56"/>
    </row>
    <row r="856" ht="15.75" customHeight="1">
      <c r="A856" s="56"/>
      <c r="B856" s="56"/>
      <c r="C856" s="265"/>
      <c r="D856" s="56"/>
      <c r="E856" s="56"/>
      <c r="F856" s="56"/>
      <c r="G856" s="56"/>
      <c r="H856" s="56"/>
      <c r="I856" s="56"/>
      <c r="J856" s="56"/>
      <c r="K856" s="56"/>
      <c r="L856" s="56"/>
      <c r="M856" s="56"/>
    </row>
    <row r="857" ht="15.75" customHeight="1">
      <c r="A857" s="56"/>
      <c r="B857" s="56"/>
      <c r="C857" s="265"/>
      <c r="D857" s="56"/>
      <c r="E857" s="56"/>
      <c r="F857" s="56"/>
      <c r="G857" s="56"/>
      <c r="H857" s="56"/>
      <c r="I857" s="56"/>
      <c r="J857" s="56"/>
      <c r="K857" s="56"/>
      <c r="L857" s="56"/>
      <c r="M857" s="56"/>
    </row>
    <row r="858" ht="15.75" customHeight="1">
      <c r="A858" s="56"/>
      <c r="B858" s="56"/>
      <c r="C858" s="265"/>
      <c r="D858" s="56"/>
      <c r="E858" s="56"/>
      <c r="F858" s="56"/>
      <c r="G858" s="56"/>
      <c r="H858" s="56"/>
      <c r="I858" s="56"/>
      <c r="J858" s="56"/>
      <c r="K858" s="56"/>
      <c r="L858" s="56"/>
      <c r="M858" s="56"/>
    </row>
    <row r="859" ht="15.75" customHeight="1">
      <c r="A859" s="56"/>
      <c r="B859" s="56"/>
      <c r="C859" s="265"/>
      <c r="D859" s="56"/>
      <c r="E859" s="56"/>
      <c r="F859" s="56"/>
      <c r="G859" s="56"/>
      <c r="H859" s="56"/>
      <c r="I859" s="56"/>
      <c r="J859" s="56"/>
      <c r="K859" s="56"/>
      <c r="L859" s="56"/>
      <c r="M859" s="56"/>
    </row>
    <row r="860" ht="15.75" customHeight="1">
      <c r="A860" s="56"/>
      <c r="B860" s="56"/>
      <c r="C860" s="265"/>
      <c r="D860" s="56"/>
      <c r="E860" s="56"/>
      <c r="F860" s="56"/>
      <c r="G860" s="56"/>
      <c r="H860" s="56"/>
      <c r="I860" s="56"/>
      <c r="J860" s="56"/>
      <c r="K860" s="56"/>
      <c r="L860" s="56"/>
      <c r="M860" s="56"/>
    </row>
    <row r="861" ht="15.75" customHeight="1">
      <c r="A861" s="56"/>
      <c r="B861" s="56"/>
      <c r="C861" s="265"/>
      <c r="D861" s="56"/>
      <c r="E861" s="56"/>
      <c r="F861" s="56"/>
      <c r="G861" s="56"/>
      <c r="H861" s="56"/>
      <c r="I861" s="56"/>
      <c r="J861" s="56"/>
      <c r="K861" s="56"/>
      <c r="L861" s="56"/>
      <c r="M861" s="56"/>
    </row>
    <row r="862" ht="15.75" customHeight="1">
      <c r="A862" s="56"/>
      <c r="B862" s="56"/>
      <c r="C862" s="265"/>
      <c r="D862" s="56"/>
      <c r="E862" s="56"/>
      <c r="F862" s="56"/>
      <c r="G862" s="56"/>
      <c r="H862" s="56"/>
      <c r="I862" s="56"/>
      <c r="J862" s="56"/>
      <c r="K862" s="56"/>
      <c r="L862" s="56"/>
      <c r="M862" s="56"/>
    </row>
    <row r="863" ht="15.75" customHeight="1">
      <c r="A863" s="56"/>
      <c r="B863" s="56"/>
      <c r="C863" s="265"/>
      <c r="D863" s="56"/>
      <c r="E863" s="56"/>
      <c r="F863" s="56"/>
      <c r="G863" s="56"/>
      <c r="H863" s="56"/>
      <c r="I863" s="56"/>
      <c r="J863" s="56"/>
      <c r="K863" s="56"/>
      <c r="L863" s="56"/>
      <c r="M863" s="56"/>
    </row>
    <row r="864" ht="15.75" customHeight="1">
      <c r="A864" s="56"/>
      <c r="B864" s="56"/>
      <c r="C864" s="265"/>
      <c r="D864" s="56"/>
      <c r="E864" s="56"/>
      <c r="F864" s="56"/>
      <c r="G864" s="56"/>
      <c r="H864" s="56"/>
      <c r="I864" s="56"/>
      <c r="J864" s="56"/>
      <c r="K864" s="56"/>
      <c r="L864" s="56"/>
      <c r="M864" s="56"/>
    </row>
    <row r="865" ht="15.75" customHeight="1">
      <c r="A865" s="56"/>
      <c r="B865" s="56"/>
      <c r="C865" s="265"/>
      <c r="D865" s="56"/>
      <c r="E865" s="56"/>
      <c r="F865" s="56"/>
      <c r="G865" s="56"/>
      <c r="H865" s="56"/>
      <c r="I865" s="56"/>
      <c r="J865" s="56"/>
      <c r="K865" s="56"/>
      <c r="L865" s="56"/>
      <c r="M865" s="56"/>
    </row>
    <row r="866" ht="15.75" customHeight="1">
      <c r="A866" s="56"/>
      <c r="B866" s="56"/>
      <c r="C866" s="265"/>
      <c r="D866" s="56"/>
      <c r="E866" s="56"/>
      <c r="F866" s="56"/>
      <c r="G866" s="56"/>
      <c r="H866" s="56"/>
      <c r="I866" s="56"/>
      <c r="J866" s="56"/>
      <c r="K866" s="56"/>
      <c r="L866" s="56"/>
      <c r="M866" s="56"/>
    </row>
    <row r="867" ht="15.75" customHeight="1">
      <c r="A867" s="56"/>
      <c r="B867" s="56"/>
      <c r="C867" s="265"/>
      <c r="D867" s="56"/>
      <c r="E867" s="56"/>
      <c r="F867" s="56"/>
      <c r="G867" s="56"/>
      <c r="H867" s="56"/>
      <c r="I867" s="56"/>
      <c r="J867" s="56"/>
      <c r="K867" s="56"/>
      <c r="L867" s="56"/>
      <c r="M867" s="56"/>
    </row>
    <row r="868" ht="15.75" customHeight="1">
      <c r="A868" s="56"/>
      <c r="B868" s="56"/>
      <c r="C868" s="265"/>
      <c r="D868" s="56"/>
      <c r="E868" s="56"/>
      <c r="F868" s="56"/>
      <c r="G868" s="56"/>
      <c r="H868" s="56"/>
      <c r="I868" s="56"/>
      <c r="J868" s="56"/>
      <c r="K868" s="56"/>
      <c r="L868" s="56"/>
      <c r="M868" s="56"/>
    </row>
    <row r="869" ht="15.75" customHeight="1">
      <c r="A869" s="56"/>
      <c r="B869" s="56"/>
      <c r="C869" s="265"/>
      <c r="D869" s="56"/>
      <c r="E869" s="56"/>
      <c r="F869" s="56"/>
      <c r="G869" s="56"/>
      <c r="H869" s="56"/>
      <c r="I869" s="56"/>
      <c r="J869" s="56"/>
      <c r="K869" s="56"/>
      <c r="L869" s="56"/>
      <c r="M869" s="56"/>
    </row>
    <row r="870" ht="15.75" customHeight="1">
      <c r="A870" s="56"/>
      <c r="B870" s="56"/>
      <c r="C870" s="265"/>
      <c r="D870" s="56"/>
      <c r="E870" s="56"/>
      <c r="F870" s="56"/>
      <c r="G870" s="56"/>
      <c r="H870" s="56"/>
      <c r="I870" s="56"/>
      <c r="J870" s="56"/>
      <c r="K870" s="56"/>
      <c r="L870" s="56"/>
      <c r="M870" s="56"/>
    </row>
    <row r="871" ht="15.75" customHeight="1">
      <c r="A871" s="56"/>
      <c r="B871" s="56"/>
      <c r="C871" s="265"/>
      <c r="D871" s="56"/>
      <c r="E871" s="56"/>
      <c r="F871" s="56"/>
      <c r="G871" s="56"/>
      <c r="H871" s="56"/>
      <c r="I871" s="56"/>
      <c r="J871" s="56"/>
      <c r="K871" s="56"/>
      <c r="L871" s="56"/>
      <c r="M871" s="56"/>
    </row>
    <row r="872" ht="15.75" customHeight="1">
      <c r="A872" s="56"/>
      <c r="B872" s="56"/>
      <c r="C872" s="265"/>
      <c r="D872" s="56"/>
      <c r="E872" s="56"/>
      <c r="F872" s="56"/>
      <c r="G872" s="56"/>
      <c r="H872" s="56"/>
      <c r="I872" s="56"/>
      <c r="J872" s="56"/>
      <c r="K872" s="56"/>
      <c r="L872" s="56"/>
      <c r="M872" s="56"/>
    </row>
    <row r="873" ht="15.75" customHeight="1">
      <c r="A873" s="56"/>
      <c r="B873" s="56"/>
      <c r="C873" s="265"/>
      <c r="D873" s="56"/>
      <c r="E873" s="56"/>
      <c r="F873" s="56"/>
      <c r="G873" s="56"/>
      <c r="H873" s="56"/>
      <c r="I873" s="56"/>
      <c r="J873" s="56"/>
      <c r="K873" s="56"/>
      <c r="L873" s="56"/>
      <c r="M873" s="56"/>
    </row>
    <row r="874" ht="15.75" customHeight="1">
      <c r="A874" s="56"/>
      <c r="B874" s="56"/>
      <c r="C874" s="265"/>
      <c r="D874" s="56"/>
      <c r="E874" s="56"/>
      <c r="F874" s="56"/>
      <c r="G874" s="56"/>
      <c r="H874" s="56"/>
      <c r="I874" s="56"/>
      <c r="J874" s="56"/>
      <c r="K874" s="56"/>
      <c r="L874" s="56"/>
      <c r="M874" s="56"/>
    </row>
    <row r="875" ht="15.75" customHeight="1">
      <c r="A875" s="56"/>
      <c r="B875" s="56"/>
      <c r="C875" s="265"/>
      <c r="D875" s="56"/>
      <c r="E875" s="56"/>
      <c r="F875" s="56"/>
      <c r="G875" s="56"/>
      <c r="H875" s="56"/>
      <c r="I875" s="56"/>
      <c r="J875" s="56"/>
      <c r="K875" s="56"/>
      <c r="L875" s="56"/>
      <c r="M875" s="56"/>
    </row>
    <row r="876" ht="15.75" customHeight="1">
      <c r="A876" s="56"/>
      <c r="B876" s="56"/>
      <c r="C876" s="265"/>
      <c r="D876" s="56"/>
      <c r="E876" s="56"/>
      <c r="F876" s="56"/>
      <c r="G876" s="56"/>
      <c r="H876" s="56"/>
      <c r="I876" s="56"/>
      <c r="J876" s="56"/>
      <c r="K876" s="56"/>
      <c r="L876" s="56"/>
      <c r="M876" s="56"/>
    </row>
    <row r="877" ht="15.75" customHeight="1">
      <c r="A877" s="56"/>
      <c r="B877" s="56"/>
      <c r="C877" s="265"/>
      <c r="D877" s="56"/>
      <c r="E877" s="56"/>
      <c r="F877" s="56"/>
      <c r="G877" s="56"/>
      <c r="H877" s="56"/>
      <c r="I877" s="56"/>
      <c r="J877" s="56"/>
      <c r="K877" s="56"/>
      <c r="L877" s="56"/>
      <c r="M877" s="56"/>
    </row>
    <row r="878" ht="15.75" customHeight="1">
      <c r="A878" s="56"/>
      <c r="B878" s="56"/>
      <c r="C878" s="265"/>
      <c r="D878" s="56"/>
      <c r="E878" s="56"/>
      <c r="F878" s="56"/>
      <c r="G878" s="56"/>
      <c r="H878" s="56"/>
      <c r="I878" s="56"/>
      <c r="J878" s="56"/>
      <c r="K878" s="56"/>
      <c r="L878" s="56"/>
      <c r="M878" s="56"/>
    </row>
    <row r="879" ht="15.75" customHeight="1">
      <c r="A879" s="56"/>
      <c r="B879" s="56"/>
      <c r="C879" s="265"/>
      <c r="D879" s="56"/>
      <c r="E879" s="56"/>
      <c r="F879" s="56"/>
      <c r="G879" s="56"/>
      <c r="H879" s="56"/>
      <c r="I879" s="56"/>
      <c r="J879" s="56"/>
      <c r="K879" s="56"/>
      <c r="L879" s="56"/>
      <c r="M879" s="56"/>
    </row>
    <row r="880" ht="15.75" customHeight="1">
      <c r="A880" s="56"/>
      <c r="B880" s="56"/>
      <c r="C880" s="265"/>
      <c r="D880" s="56"/>
      <c r="E880" s="56"/>
      <c r="F880" s="56"/>
      <c r="G880" s="56"/>
      <c r="H880" s="56"/>
      <c r="I880" s="56"/>
      <c r="J880" s="56"/>
      <c r="K880" s="56"/>
      <c r="L880" s="56"/>
      <c r="M880" s="56"/>
    </row>
    <row r="881" ht="15.75" customHeight="1">
      <c r="A881" s="56"/>
      <c r="B881" s="56"/>
      <c r="C881" s="265"/>
      <c r="D881" s="56"/>
      <c r="E881" s="56"/>
      <c r="F881" s="56"/>
      <c r="G881" s="56"/>
      <c r="H881" s="56"/>
      <c r="I881" s="56"/>
      <c r="J881" s="56"/>
      <c r="K881" s="56"/>
      <c r="L881" s="56"/>
      <c r="M881" s="56"/>
    </row>
    <row r="882" ht="15.75" customHeight="1">
      <c r="A882" s="56"/>
      <c r="B882" s="56"/>
      <c r="C882" s="265"/>
      <c r="D882" s="56"/>
      <c r="E882" s="56"/>
      <c r="F882" s="56"/>
      <c r="G882" s="56"/>
      <c r="H882" s="56"/>
      <c r="I882" s="56"/>
      <c r="J882" s="56"/>
      <c r="K882" s="56"/>
      <c r="L882" s="56"/>
      <c r="M882" s="56"/>
    </row>
    <row r="883" ht="15.75" customHeight="1">
      <c r="A883" s="56"/>
      <c r="B883" s="56"/>
      <c r="C883" s="265"/>
      <c r="D883" s="56"/>
      <c r="E883" s="56"/>
      <c r="F883" s="56"/>
      <c r="G883" s="56"/>
      <c r="H883" s="56"/>
      <c r="I883" s="56"/>
      <c r="J883" s="56"/>
      <c r="K883" s="56"/>
      <c r="L883" s="56"/>
      <c r="M883" s="56"/>
    </row>
    <row r="884" ht="15.75" customHeight="1">
      <c r="A884" s="56"/>
      <c r="B884" s="56"/>
      <c r="C884" s="265"/>
      <c r="D884" s="56"/>
      <c r="E884" s="56"/>
      <c r="F884" s="56"/>
      <c r="G884" s="56"/>
      <c r="H884" s="56"/>
      <c r="I884" s="56"/>
      <c r="J884" s="56"/>
      <c r="K884" s="56"/>
      <c r="L884" s="56"/>
      <c r="M884" s="56"/>
    </row>
    <row r="885" ht="15.75" customHeight="1">
      <c r="A885" s="56"/>
      <c r="B885" s="56"/>
      <c r="C885" s="265"/>
      <c r="D885" s="56"/>
      <c r="E885" s="56"/>
      <c r="F885" s="56"/>
      <c r="G885" s="56"/>
      <c r="H885" s="56"/>
      <c r="I885" s="56"/>
      <c r="J885" s="56"/>
      <c r="K885" s="56"/>
      <c r="L885" s="56"/>
      <c r="M885" s="56"/>
    </row>
    <row r="886" ht="15.75" customHeight="1">
      <c r="A886" s="56"/>
      <c r="B886" s="56"/>
      <c r="C886" s="265"/>
      <c r="D886" s="56"/>
      <c r="E886" s="56"/>
      <c r="F886" s="56"/>
      <c r="G886" s="56"/>
      <c r="H886" s="56"/>
      <c r="I886" s="56"/>
      <c r="J886" s="56"/>
      <c r="K886" s="56"/>
      <c r="L886" s="56"/>
      <c r="M886" s="56"/>
    </row>
    <row r="887" ht="15.75" customHeight="1">
      <c r="A887" s="56"/>
      <c r="B887" s="56"/>
      <c r="C887" s="265"/>
      <c r="D887" s="56"/>
      <c r="E887" s="56"/>
      <c r="F887" s="56"/>
      <c r="G887" s="56"/>
      <c r="H887" s="56"/>
      <c r="I887" s="56"/>
      <c r="J887" s="56"/>
      <c r="K887" s="56"/>
      <c r="L887" s="56"/>
      <c r="M887" s="56"/>
    </row>
    <row r="888" ht="15.75" customHeight="1">
      <c r="A888" s="56"/>
      <c r="B888" s="56"/>
      <c r="C888" s="265"/>
      <c r="D888" s="56"/>
      <c r="E888" s="56"/>
      <c r="F888" s="56"/>
      <c r="G888" s="56"/>
      <c r="H888" s="56"/>
      <c r="I888" s="56"/>
      <c r="J888" s="56"/>
      <c r="K888" s="56"/>
      <c r="L888" s="56"/>
      <c r="M888" s="56"/>
    </row>
    <row r="889" ht="15.75" customHeight="1">
      <c r="A889" s="56"/>
      <c r="B889" s="56"/>
      <c r="C889" s="265"/>
      <c r="D889" s="56"/>
      <c r="E889" s="56"/>
      <c r="F889" s="56"/>
      <c r="G889" s="56"/>
      <c r="H889" s="56"/>
      <c r="I889" s="56"/>
      <c r="J889" s="56"/>
      <c r="K889" s="56"/>
      <c r="L889" s="56"/>
      <c r="M889" s="56"/>
    </row>
    <row r="890" ht="15.75" customHeight="1">
      <c r="A890" s="56"/>
      <c r="B890" s="56"/>
      <c r="C890" s="265"/>
      <c r="D890" s="56"/>
      <c r="E890" s="56"/>
      <c r="F890" s="56"/>
      <c r="G890" s="56"/>
      <c r="H890" s="56"/>
      <c r="I890" s="56"/>
      <c r="J890" s="56"/>
      <c r="K890" s="56"/>
      <c r="L890" s="56"/>
      <c r="M890" s="56"/>
    </row>
    <row r="891" ht="15.75" customHeight="1">
      <c r="A891" s="56"/>
      <c r="B891" s="56"/>
      <c r="C891" s="265"/>
      <c r="D891" s="56"/>
      <c r="E891" s="56"/>
      <c r="F891" s="56"/>
      <c r="G891" s="56"/>
      <c r="H891" s="56"/>
      <c r="I891" s="56"/>
      <c r="J891" s="56"/>
      <c r="K891" s="56"/>
      <c r="L891" s="56"/>
      <c r="M891" s="56"/>
    </row>
    <row r="892" ht="15.75" customHeight="1">
      <c r="A892" s="56"/>
      <c r="B892" s="56"/>
      <c r="C892" s="265"/>
      <c r="D892" s="56"/>
      <c r="E892" s="56"/>
      <c r="F892" s="56"/>
      <c r="G892" s="56"/>
      <c r="H892" s="56"/>
      <c r="I892" s="56"/>
      <c r="J892" s="56"/>
      <c r="K892" s="56"/>
      <c r="L892" s="56"/>
      <c r="M892" s="56"/>
    </row>
    <row r="893" ht="15.75" customHeight="1">
      <c r="A893" s="56"/>
      <c r="B893" s="56"/>
      <c r="C893" s="265"/>
      <c r="D893" s="56"/>
      <c r="E893" s="56"/>
      <c r="F893" s="56"/>
      <c r="G893" s="56"/>
      <c r="H893" s="56"/>
      <c r="I893" s="56"/>
      <c r="J893" s="56"/>
      <c r="K893" s="56"/>
      <c r="L893" s="56"/>
      <c r="M893" s="56"/>
    </row>
    <row r="894" ht="15.75" customHeight="1">
      <c r="A894" s="56"/>
      <c r="B894" s="56"/>
      <c r="C894" s="265"/>
      <c r="D894" s="56"/>
      <c r="E894" s="56"/>
      <c r="F894" s="56"/>
      <c r="G894" s="56"/>
      <c r="H894" s="56"/>
      <c r="I894" s="56"/>
      <c r="J894" s="56"/>
      <c r="K894" s="56"/>
      <c r="L894" s="56"/>
      <c r="M894" s="56"/>
    </row>
    <row r="895" ht="15.75" customHeight="1">
      <c r="A895" s="56"/>
      <c r="B895" s="56"/>
      <c r="C895" s="265"/>
      <c r="D895" s="56"/>
      <c r="E895" s="56"/>
      <c r="F895" s="56"/>
      <c r="G895" s="56"/>
      <c r="H895" s="56"/>
      <c r="I895" s="56"/>
      <c r="J895" s="56"/>
      <c r="K895" s="56"/>
      <c r="L895" s="56"/>
      <c r="M895" s="56"/>
    </row>
    <row r="896" ht="15.75" customHeight="1">
      <c r="A896" s="56"/>
      <c r="B896" s="56"/>
      <c r="C896" s="265"/>
      <c r="D896" s="56"/>
      <c r="E896" s="56"/>
      <c r="F896" s="56"/>
      <c r="G896" s="56"/>
      <c r="H896" s="56"/>
      <c r="I896" s="56"/>
      <c r="J896" s="56"/>
      <c r="K896" s="56"/>
      <c r="L896" s="56"/>
      <c r="M896" s="56"/>
    </row>
    <row r="897" ht="15.75" customHeight="1">
      <c r="A897" s="56"/>
      <c r="B897" s="56"/>
      <c r="C897" s="265"/>
      <c r="D897" s="56"/>
      <c r="E897" s="56"/>
      <c r="F897" s="56"/>
      <c r="G897" s="56"/>
      <c r="H897" s="56"/>
      <c r="I897" s="56"/>
      <c r="J897" s="56"/>
      <c r="K897" s="56"/>
      <c r="L897" s="56"/>
      <c r="M897" s="56"/>
    </row>
    <row r="898" ht="15.75" customHeight="1">
      <c r="A898" s="56"/>
      <c r="B898" s="56"/>
      <c r="C898" s="265"/>
      <c r="D898" s="56"/>
      <c r="E898" s="56"/>
      <c r="F898" s="56"/>
      <c r="G898" s="56"/>
      <c r="H898" s="56"/>
      <c r="I898" s="56"/>
      <c r="J898" s="56"/>
      <c r="K898" s="56"/>
      <c r="L898" s="56"/>
      <c r="M898" s="56"/>
    </row>
    <row r="899" ht="15.75" customHeight="1">
      <c r="A899" s="56"/>
      <c r="B899" s="56"/>
      <c r="C899" s="265"/>
      <c r="D899" s="56"/>
      <c r="E899" s="56"/>
      <c r="F899" s="56"/>
      <c r="G899" s="56"/>
      <c r="H899" s="56"/>
      <c r="I899" s="56"/>
      <c r="J899" s="56"/>
      <c r="K899" s="56"/>
      <c r="L899" s="56"/>
      <c r="M899" s="56"/>
    </row>
    <row r="900" ht="15.75" customHeight="1">
      <c r="A900" s="56"/>
      <c r="B900" s="56"/>
      <c r="C900" s="265"/>
      <c r="D900" s="56"/>
      <c r="E900" s="56"/>
      <c r="F900" s="56"/>
      <c r="G900" s="56"/>
      <c r="H900" s="56"/>
      <c r="I900" s="56"/>
      <c r="J900" s="56"/>
      <c r="K900" s="56"/>
      <c r="L900" s="56"/>
      <c r="M900" s="56"/>
    </row>
    <row r="901" ht="15.75" customHeight="1">
      <c r="A901" s="56"/>
      <c r="B901" s="56"/>
      <c r="C901" s="265"/>
      <c r="D901" s="56"/>
      <c r="E901" s="56"/>
      <c r="F901" s="56"/>
      <c r="G901" s="56"/>
      <c r="H901" s="56"/>
      <c r="I901" s="56"/>
      <c r="J901" s="56"/>
      <c r="K901" s="56"/>
      <c r="L901" s="56"/>
      <c r="M901" s="56"/>
    </row>
    <row r="902" ht="15.75" customHeight="1">
      <c r="A902" s="56"/>
      <c r="B902" s="56"/>
      <c r="C902" s="265"/>
      <c r="D902" s="56"/>
      <c r="E902" s="56"/>
      <c r="F902" s="56"/>
      <c r="G902" s="56"/>
      <c r="H902" s="56"/>
      <c r="I902" s="56"/>
      <c r="J902" s="56"/>
      <c r="K902" s="56"/>
      <c r="L902" s="56"/>
      <c r="M902" s="56"/>
    </row>
    <row r="903" ht="15.75" customHeight="1">
      <c r="A903" s="56"/>
      <c r="B903" s="56"/>
      <c r="C903" s="265"/>
      <c r="D903" s="56"/>
      <c r="E903" s="56"/>
      <c r="F903" s="56"/>
      <c r="G903" s="56"/>
      <c r="H903" s="56"/>
      <c r="I903" s="56"/>
      <c r="J903" s="56"/>
      <c r="K903" s="56"/>
      <c r="L903" s="56"/>
      <c r="M903" s="56"/>
    </row>
    <row r="904" ht="15.75" customHeight="1">
      <c r="A904" s="56"/>
      <c r="B904" s="56"/>
      <c r="C904" s="265"/>
      <c r="D904" s="56"/>
      <c r="E904" s="56"/>
      <c r="F904" s="56"/>
      <c r="G904" s="56"/>
      <c r="H904" s="56"/>
      <c r="I904" s="56"/>
      <c r="J904" s="56"/>
      <c r="K904" s="56"/>
      <c r="L904" s="56"/>
      <c r="M904" s="56"/>
    </row>
    <row r="905" ht="15.75" customHeight="1">
      <c r="A905" s="56"/>
      <c r="B905" s="56"/>
      <c r="C905" s="265"/>
      <c r="D905" s="56"/>
      <c r="E905" s="56"/>
      <c r="F905" s="56"/>
      <c r="G905" s="56"/>
      <c r="H905" s="56"/>
      <c r="I905" s="56"/>
      <c r="J905" s="56"/>
      <c r="K905" s="56"/>
      <c r="L905" s="56"/>
      <c r="M905" s="56"/>
    </row>
    <row r="906" ht="15.75" customHeight="1">
      <c r="A906" s="56"/>
      <c r="B906" s="56"/>
      <c r="C906" s="265"/>
      <c r="D906" s="56"/>
      <c r="E906" s="56"/>
      <c r="F906" s="56"/>
      <c r="G906" s="56"/>
      <c r="H906" s="56"/>
      <c r="I906" s="56"/>
      <c r="J906" s="56"/>
      <c r="K906" s="56"/>
      <c r="L906" s="56"/>
      <c r="M906" s="56"/>
    </row>
    <row r="907" ht="15.75" customHeight="1">
      <c r="A907" s="56"/>
      <c r="B907" s="56"/>
      <c r="C907" s="265"/>
      <c r="D907" s="56"/>
      <c r="E907" s="56"/>
      <c r="F907" s="56"/>
      <c r="G907" s="56"/>
      <c r="H907" s="56"/>
      <c r="I907" s="56"/>
      <c r="J907" s="56"/>
      <c r="K907" s="56"/>
      <c r="L907" s="56"/>
      <c r="M907" s="56"/>
    </row>
    <row r="908" ht="15.75" customHeight="1">
      <c r="A908" s="56"/>
      <c r="B908" s="56"/>
      <c r="C908" s="265"/>
      <c r="D908" s="56"/>
      <c r="E908" s="56"/>
      <c r="F908" s="56"/>
      <c r="G908" s="56"/>
      <c r="H908" s="56"/>
      <c r="I908" s="56"/>
      <c r="J908" s="56"/>
      <c r="K908" s="56"/>
      <c r="L908" s="56"/>
      <c r="M908" s="56"/>
    </row>
    <row r="909" ht="15.75" customHeight="1">
      <c r="A909" s="56"/>
      <c r="B909" s="56"/>
      <c r="C909" s="265"/>
      <c r="D909" s="56"/>
      <c r="E909" s="56"/>
      <c r="F909" s="56"/>
      <c r="G909" s="56"/>
      <c r="H909" s="56"/>
      <c r="I909" s="56"/>
      <c r="J909" s="56"/>
      <c r="K909" s="56"/>
      <c r="L909" s="56"/>
      <c r="M909" s="56"/>
    </row>
    <row r="910" ht="15.75" customHeight="1">
      <c r="A910" s="56"/>
      <c r="B910" s="56"/>
      <c r="C910" s="265"/>
      <c r="D910" s="56"/>
      <c r="E910" s="56"/>
      <c r="F910" s="56"/>
      <c r="G910" s="56"/>
      <c r="H910" s="56"/>
      <c r="I910" s="56"/>
      <c r="J910" s="56"/>
      <c r="K910" s="56"/>
      <c r="L910" s="56"/>
      <c r="M910" s="56"/>
    </row>
    <row r="911" ht="15.75" customHeight="1">
      <c r="A911" s="56"/>
      <c r="B911" s="56"/>
      <c r="C911" s="265"/>
      <c r="D911" s="56"/>
      <c r="E911" s="56"/>
      <c r="F911" s="56"/>
      <c r="G911" s="56"/>
      <c r="H911" s="56"/>
      <c r="I911" s="56"/>
      <c r="J911" s="56"/>
      <c r="K911" s="56"/>
      <c r="L911" s="56"/>
      <c r="M911" s="56"/>
    </row>
    <row r="912" ht="15.75" customHeight="1">
      <c r="A912" s="56"/>
      <c r="B912" s="56"/>
      <c r="C912" s="265"/>
      <c r="D912" s="56"/>
      <c r="E912" s="56"/>
      <c r="F912" s="56"/>
      <c r="G912" s="56"/>
      <c r="H912" s="56"/>
      <c r="I912" s="56"/>
      <c r="J912" s="56"/>
      <c r="K912" s="56"/>
      <c r="L912" s="56"/>
      <c r="M912" s="56"/>
    </row>
    <row r="913" ht="15.75" customHeight="1">
      <c r="A913" s="56"/>
      <c r="B913" s="56"/>
      <c r="C913" s="265"/>
      <c r="D913" s="56"/>
      <c r="E913" s="56"/>
      <c r="F913" s="56"/>
      <c r="G913" s="56"/>
      <c r="H913" s="56"/>
      <c r="I913" s="56"/>
      <c r="J913" s="56"/>
      <c r="K913" s="56"/>
      <c r="L913" s="56"/>
      <c r="M913" s="56"/>
    </row>
    <row r="914" ht="15.75" customHeight="1">
      <c r="A914" s="56"/>
      <c r="B914" s="56"/>
      <c r="C914" s="265"/>
      <c r="D914" s="56"/>
      <c r="E914" s="56"/>
      <c r="F914" s="56"/>
      <c r="G914" s="56"/>
      <c r="H914" s="56"/>
      <c r="I914" s="56"/>
      <c r="J914" s="56"/>
      <c r="K914" s="56"/>
      <c r="L914" s="56"/>
      <c r="M914" s="56"/>
    </row>
    <row r="915" ht="15.75" customHeight="1">
      <c r="A915" s="56"/>
      <c r="B915" s="56"/>
      <c r="C915" s="265"/>
      <c r="D915" s="56"/>
      <c r="E915" s="56"/>
      <c r="F915" s="56"/>
      <c r="G915" s="56"/>
      <c r="H915" s="56"/>
      <c r="I915" s="56"/>
      <c r="J915" s="56"/>
      <c r="K915" s="56"/>
      <c r="L915" s="56"/>
      <c r="M915" s="56"/>
    </row>
    <row r="916" ht="15.75" customHeight="1">
      <c r="A916" s="56"/>
      <c r="B916" s="56"/>
      <c r="C916" s="265"/>
      <c r="D916" s="56"/>
      <c r="E916" s="56"/>
      <c r="F916" s="56"/>
      <c r="G916" s="56"/>
      <c r="H916" s="56"/>
      <c r="I916" s="56"/>
      <c r="J916" s="56"/>
      <c r="K916" s="56"/>
      <c r="L916" s="56"/>
      <c r="M916" s="56"/>
    </row>
    <row r="917" ht="15.75" customHeight="1">
      <c r="A917" s="56"/>
      <c r="B917" s="56"/>
      <c r="C917" s="265"/>
      <c r="D917" s="56"/>
      <c r="E917" s="56"/>
      <c r="F917" s="56"/>
      <c r="G917" s="56"/>
      <c r="H917" s="56"/>
      <c r="I917" s="56"/>
      <c r="J917" s="56"/>
      <c r="K917" s="56"/>
      <c r="L917" s="56"/>
      <c r="M917" s="56"/>
    </row>
    <row r="918" ht="15.75" customHeight="1">
      <c r="A918" s="56"/>
      <c r="B918" s="56"/>
      <c r="C918" s="265"/>
      <c r="D918" s="56"/>
      <c r="E918" s="56"/>
      <c r="F918" s="56"/>
      <c r="G918" s="56"/>
      <c r="H918" s="56"/>
      <c r="I918" s="56"/>
      <c r="J918" s="56"/>
      <c r="K918" s="56"/>
      <c r="L918" s="56"/>
      <c r="M918" s="56"/>
    </row>
    <row r="919" ht="15.75" customHeight="1">
      <c r="A919" s="56"/>
      <c r="B919" s="56"/>
      <c r="C919" s="265"/>
      <c r="D919" s="56"/>
      <c r="E919" s="56"/>
      <c r="F919" s="56"/>
      <c r="G919" s="56"/>
      <c r="H919" s="56"/>
      <c r="I919" s="56"/>
      <c r="J919" s="56"/>
      <c r="K919" s="56"/>
      <c r="L919" s="56"/>
      <c r="M919" s="56"/>
    </row>
    <row r="920" ht="15.75" customHeight="1">
      <c r="A920" s="56"/>
      <c r="B920" s="56"/>
      <c r="C920" s="265"/>
      <c r="D920" s="56"/>
      <c r="E920" s="56"/>
      <c r="F920" s="56"/>
      <c r="G920" s="56"/>
      <c r="H920" s="56"/>
      <c r="I920" s="56"/>
      <c r="J920" s="56"/>
      <c r="K920" s="56"/>
      <c r="L920" s="56"/>
      <c r="M920" s="56"/>
    </row>
    <row r="921" ht="15.75" customHeight="1">
      <c r="A921" s="56"/>
      <c r="B921" s="56"/>
      <c r="C921" s="265"/>
      <c r="D921" s="56"/>
      <c r="E921" s="56"/>
      <c r="F921" s="56"/>
      <c r="G921" s="56"/>
      <c r="H921" s="56"/>
      <c r="I921" s="56"/>
      <c r="J921" s="56"/>
      <c r="K921" s="56"/>
      <c r="L921" s="56"/>
      <c r="M921" s="56"/>
    </row>
    <row r="922" ht="15.75" customHeight="1">
      <c r="A922" s="56"/>
      <c r="B922" s="56"/>
      <c r="C922" s="265"/>
      <c r="D922" s="56"/>
      <c r="E922" s="56"/>
      <c r="F922" s="56"/>
      <c r="G922" s="56"/>
      <c r="H922" s="56"/>
      <c r="I922" s="56"/>
      <c r="J922" s="56"/>
      <c r="K922" s="56"/>
      <c r="L922" s="56"/>
      <c r="M922" s="56"/>
    </row>
    <row r="923" ht="15.75" customHeight="1">
      <c r="A923" s="56"/>
      <c r="B923" s="56"/>
      <c r="C923" s="265"/>
      <c r="D923" s="56"/>
      <c r="E923" s="56"/>
      <c r="F923" s="56"/>
      <c r="G923" s="56"/>
      <c r="H923" s="56"/>
      <c r="I923" s="56"/>
      <c r="J923" s="56"/>
      <c r="K923" s="56"/>
      <c r="L923" s="56"/>
      <c r="M923" s="56"/>
    </row>
    <row r="924" ht="15.75" customHeight="1">
      <c r="A924" s="56"/>
      <c r="B924" s="56"/>
      <c r="C924" s="265"/>
      <c r="D924" s="56"/>
      <c r="E924" s="56"/>
      <c r="F924" s="56"/>
      <c r="G924" s="56"/>
      <c r="H924" s="56"/>
      <c r="I924" s="56"/>
      <c r="J924" s="56"/>
      <c r="K924" s="56"/>
      <c r="L924" s="56"/>
      <c r="M924" s="56"/>
    </row>
    <row r="925" ht="15.75" customHeight="1">
      <c r="A925" s="56"/>
      <c r="B925" s="56"/>
      <c r="C925" s="265"/>
      <c r="D925" s="56"/>
      <c r="E925" s="56"/>
      <c r="F925" s="56"/>
      <c r="G925" s="56"/>
      <c r="H925" s="56"/>
      <c r="I925" s="56"/>
      <c r="J925" s="56"/>
      <c r="K925" s="56"/>
      <c r="L925" s="56"/>
      <c r="M925" s="56"/>
    </row>
    <row r="926" ht="15.75" customHeight="1">
      <c r="A926" s="56"/>
      <c r="B926" s="56"/>
      <c r="C926" s="265"/>
      <c r="D926" s="56"/>
      <c r="E926" s="56"/>
      <c r="F926" s="56"/>
      <c r="G926" s="56"/>
      <c r="H926" s="56"/>
      <c r="I926" s="56"/>
      <c r="J926" s="56"/>
      <c r="K926" s="56"/>
      <c r="L926" s="56"/>
      <c r="M926" s="56"/>
    </row>
    <row r="927" ht="15.75" customHeight="1">
      <c r="A927" s="56"/>
      <c r="B927" s="56"/>
      <c r="C927" s="265"/>
      <c r="D927" s="56"/>
      <c r="E927" s="56"/>
      <c r="F927" s="56"/>
      <c r="G927" s="56"/>
      <c r="H927" s="56"/>
      <c r="I927" s="56"/>
      <c r="J927" s="56"/>
      <c r="K927" s="56"/>
      <c r="L927" s="56"/>
      <c r="M927" s="56"/>
    </row>
    <row r="928" ht="15.75" customHeight="1">
      <c r="A928" s="56"/>
      <c r="B928" s="56"/>
      <c r="C928" s="265"/>
      <c r="D928" s="56"/>
      <c r="E928" s="56"/>
      <c r="F928" s="56"/>
      <c r="G928" s="56"/>
      <c r="H928" s="56"/>
      <c r="I928" s="56"/>
      <c r="J928" s="56"/>
      <c r="K928" s="56"/>
      <c r="L928" s="56"/>
      <c r="M928" s="56"/>
    </row>
    <row r="929" ht="15.75" customHeight="1">
      <c r="A929" s="56"/>
      <c r="B929" s="56"/>
      <c r="C929" s="265"/>
      <c r="D929" s="56"/>
      <c r="E929" s="56"/>
      <c r="F929" s="56"/>
      <c r="G929" s="56"/>
      <c r="H929" s="56"/>
      <c r="I929" s="56"/>
      <c r="J929" s="56"/>
      <c r="K929" s="56"/>
      <c r="L929" s="56"/>
      <c r="M929" s="56"/>
    </row>
    <row r="930" ht="15.75" customHeight="1">
      <c r="A930" s="56"/>
      <c r="B930" s="56"/>
      <c r="C930" s="265"/>
      <c r="D930" s="56"/>
      <c r="E930" s="56"/>
      <c r="F930" s="56"/>
      <c r="G930" s="56"/>
      <c r="H930" s="56"/>
      <c r="I930" s="56"/>
      <c r="J930" s="56"/>
      <c r="K930" s="56"/>
      <c r="L930" s="56"/>
      <c r="M930" s="56"/>
    </row>
    <row r="931" ht="15.75" customHeight="1">
      <c r="A931" s="56"/>
      <c r="B931" s="56"/>
      <c r="C931" s="265"/>
      <c r="D931" s="56"/>
      <c r="E931" s="56"/>
      <c r="F931" s="56"/>
      <c r="G931" s="56"/>
      <c r="H931" s="56"/>
      <c r="I931" s="56"/>
      <c r="J931" s="56"/>
      <c r="K931" s="56"/>
      <c r="L931" s="56"/>
      <c r="M931" s="56"/>
    </row>
    <row r="932" ht="15.75" customHeight="1">
      <c r="A932" s="56"/>
      <c r="B932" s="56"/>
      <c r="C932" s="265"/>
      <c r="D932" s="56"/>
      <c r="E932" s="56"/>
      <c r="F932" s="56"/>
      <c r="G932" s="56"/>
      <c r="H932" s="56"/>
      <c r="I932" s="56"/>
      <c r="J932" s="56"/>
      <c r="K932" s="56"/>
      <c r="L932" s="56"/>
      <c r="M932" s="56"/>
    </row>
    <row r="933" ht="15.75" customHeight="1">
      <c r="A933" s="56"/>
      <c r="B933" s="56"/>
      <c r="C933" s="265"/>
      <c r="D933" s="56"/>
      <c r="E933" s="56"/>
      <c r="F933" s="56"/>
      <c r="G933" s="56"/>
      <c r="H933" s="56"/>
      <c r="I933" s="56"/>
      <c r="J933" s="56"/>
      <c r="K933" s="56"/>
      <c r="L933" s="56"/>
      <c r="M933" s="56"/>
    </row>
    <row r="934" ht="15.75" customHeight="1">
      <c r="A934" s="56"/>
      <c r="B934" s="56"/>
      <c r="C934" s="265"/>
      <c r="D934" s="56"/>
      <c r="E934" s="56"/>
      <c r="F934" s="56"/>
      <c r="G934" s="56"/>
      <c r="H934" s="56"/>
      <c r="I934" s="56"/>
      <c r="J934" s="56"/>
      <c r="K934" s="56"/>
      <c r="L934" s="56"/>
      <c r="M934" s="56"/>
    </row>
    <row r="935" ht="15.75" customHeight="1">
      <c r="A935" s="56"/>
      <c r="B935" s="56"/>
      <c r="C935" s="265"/>
      <c r="D935" s="56"/>
      <c r="E935" s="56"/>
      <c r="F935" s="56"/>
      <c r="G935" s="56"/>
      <c r="H935" s="56"/>
      <c r="I935" s="56"/>
      <c r="J935" s="56"/>
      <c r="K935" s="56"/>
      <c r="L935" s="56"/>
      <c r="M935" s="56"/>
    </row>
    <row r="936" ht="15.75" customHeight="1">
      <c r="A936" s="56"/>
      <c r="B936" s="56"/>
      <c r="C936" s="265"/>
      <c r="D936" s="56"/>
      <c r="E936" s="56"/>
      <c r="F936" s="56"/>
      <c r="G936" s="56"/>
      <c r="H936" s="56"/>
      <c r="I936" s="56"/>
      <c r="J936" s="56"/>
      <c r="K936" s="56"/>
      <c r="L936" s="56"/>
      <c r="M936" s="56"/>
    </row>
    <row r="937" ht="15.75" customHeight="1">
      <c r="A937" s="56"/>
      <c r="B937" s="56"/>
      <c r="C937" s="265"/>
      <c r="D937" s="56"/>
      <c r="E937" s="56"/>
      <c r="F937" s="56"/>
      <c r="G937" s="56"/>
      <c r="H937" s="56"/>
      <c r="I937" s="56"/>
      <c r="J937" s="56"/>
      <c r="K937" s="56"/>
      <c r="L937" s="56"/>
      <c r="M937" s="56"/>
    </row>
    <row r="938" ht="15.75" customHeight="1">
      <c r="A938" s="56"/>
      <c r="B938" s="56"/>
      <c r="C938" s="265"/>
      <c r="D938" s="56"/>
      <c r="E938" s="56"/>
      <c r="F938" s="56"/>
      <c r="G938" s="56"/>
      <c r="H938" s="56"/>
      <c r="I938" s="56"/>
      <c r="J938" s="56"/>
      <c r="K938" s="56"/>
      <c r="L938" s="56"/>
      <c r="M938" s="56"/>
    </row>
    <row r="939" ht="15.75" customHeight="1">
      <c r="A939" s="56"/>
      <c r="B939" s="56"/>
      <c r="C939" s="265"/>
      <c r="D939" s="56"/>
      <c r="E939" s="56"/>
      <c r="F939" s="56"/>
      <c r="G939" s="56"/>
      <c r="H939" s="56"/>
      <c r="I939" s="56"/>
      <c r="J939" s="56"/>
      <c r="K939" s="56"/>
      <c r="L939" s="56"/>
      <c r="M939" s="56"/>
    </row>
    <row r="940" ht="15.75" customHeight="1">
      <c r="A940" s="56"/>
      <c r="B940" s="56"/>
      <c r="C940" s="265"/>
      <c r="D940" s="56"/>
      <c r="E940" s="56"/>
      <c r="F940" s="56"/>
      <c r="G940" s="56"/>
      <c r="H940" s="56"/>
      <c r="I940" s="56"/>
      <c r="J940" s="56"/>
      <c r="K940" s="56"/>
      <c r="L940" s="56"/>
      <c r="M940" s="56"/>
    </row>
    <row r="941" ht="15.75" customHeight="1">
      <c r="A941" s="56"/>
      <c r="B941" s="56"/>
      <c r="C941" s="265"/>
      <c r="D941" s="56"/>
      <c r="E941" s="56"/>
      <c r="F941" s="56"/>
      <c r="G941" s="56"/>
      <c r="H941" s="56"/>
      <c r="I941" s="56"/>
      <c r="J941" s="56"/>
      <c r="K941" s="56"/>
      <c r="L941" s="56"/>
      <c r="M941" s="56"/>
    </row>
    <row r="942" ht="15.75" customHeight="1">
      <c r="A942" s="56"/>
      <c r="B942" s="56"/>
      <c r="C942" s="265"/>
      <c r="D942" s="56"/>
      <c r="E942" s="56"/>
      <c r="F942" s="56"/>
      <c r="G942" s="56"/>
      <c r="H942" s="56"/>
      <c r="I942" s="56"/>
      <c r="J942" s="56"/>
      <c r="K942" s="56"/>
      <c r="L942" s="56"/>
      <c r="M942" s="56"/>
    </row>
    <row r="943" ht="15.75" customHeight="1">
      <c r="A943" s="56"/>
      <c r="B943" s="56"/>
      <c r="C943" s="265"/>
      <c r="D943" s="56"/>
      <c r="E943" s="56"/>
      <c r="F943" s="56"/>
      <c r="G943" s="56"/>
      <c r="H943" s="56"/>
      <c r="I943" s="56"/>
      <c r="J943" s="56"/>
      <c r="K943" s="56"/>
      <c r="L943" s="56"/>
      <c r="M943" s="56"/>
    </row>
    <row r="944" ht="15.75" customHeight="1">
      <c r="A944" s="56"/>
      <c r="B944" s="56"/>
      <c r="C944" s="265"/>
      <c r="D944" s="56"/>
      <c r="E944" s="56"/>
      <c r="F944" s="56"/>
      <c r="G944" s="56"/>
      <c r="H944" s="56"/>
      <c r="I944" s="56"/>
      <c r="J944" s="56"/>
      <c r="K944" s="56"/>
      <c r="L944" s="56"/>
      <c r="M944" s="56"/>
    </row>
    <row r="945" ht="15.75" customHeight="1">
      <c r="A945" s="56"/>
      <c r="B945" s="56"/>
      <c r="C945" s="265"/>
      <c r="D945" s="56"/>
      <c r="E945" s="56"/>
      <c r="F945" s="56"/>
      <c r="G945" s="56"/>
      <c r="H945" s="56"/>
      <c r="I945" s="56"/>
      <c r="J945" s="56"/>
      <c r="K945" s="56"/>
      <c r="L945" s="56"/>
      <c r="M945" s="56"/>
    </row>
    <row r="946" ht="15.75" customHeight="1">
      <c r="A946" s="56"/>
      <c r="B946" s="56"/>
      <c r="C946" s="265"/>
      <c r="D946" s="56"/>
      <c r="E946" s="56"/>
      <c r="F946" s="56"/>
      <c r="G946" s="56"/>
      <c r="H946" s="56"/>
      <c r="I946" s="56"/>
      <c r="J946" s="56"/>
      <c r="K946" s="56"/>
      <c r="L946" s="56"/>
      <c r="M946" s="56"/>
    </row>
    <row r="947" ht="15.75" customHeight="1">
      <c r="A947" s="56"/>
      <c r="B947" s="56"/>
      <c r="C947" s="265"/>
      <c r="D947" s="56"/>
      <c r="E947" s="56"/>
      <c r="F947" s="56"/>
      <c r="G947" s="56"/>
      <c r="H947" s="56"/>
      <c r="I947" s="56"/>
      <c r="J947" s="56"/>
      <c r="K947" s="56"/>
      <c r="L947" s="56"/>
      <c r="M947" s="56"/>
    </row>
    <row r="948" ht="15.75" customHeight="1">
      <c r="A948" s="56"/>
      <c r="B948" s="56"/>
      <c r="C948" s="265"/>
      <c r="D948" s="56"/>
      <c r="E948" s="56"/>
      <c r="F948" s="56"/>
      <c r="G948" s="56"/>
      <c r="H948" s="56"/>
      <c r="I948" s="56"/>
      <c r="J948" s="56"/>
      <c r="K948" s="56"/>
      <c r="L948" s="56"/>
      <c r="M948" s="56"/>
    </row>
    <row r="949" ht="15.75" customHeight="1">
      <c r="A949" s="56"/>
      <c r="B949" s="56"/>
      <c r="C949" s="265"/>
      <c r="D949" s="56"/>
      <c r="E949" s="56"/>
      <c r="F949" s="56"/>
      <c r="G949" s="56"/>
      <c r="H949" s="56"/>
      <c r="I949" s="56"/>
      <c r="J949" s="56"/>
      <c r="K949" s="56"/>
      <c r="L949" s="56"/>
      <c r="M949" s="56"/>
    </row>
    <row r="950" ht="15.75" customHeight="1">
      <c r="A950" s="56"/>
      <c r="B950" s="56"/>
      <c r="C950" s="265"/>
      <c r="D950" s="56"/>
      <c r="E950" s="56"/>
      <c r="F950" s="56"/>
      <c r="G950" s="56"/>
      <c r="H950" s="56"/>
      <c r="I950" s="56"/>
      <c r="J950" s="56"/>
      <c r="K950" s="56"/>
      <c r="L950" s="56"/>
      <c r="M950" s="56"/>
    </row>
    <row r="951" ht="15.75" customHeight="1">
      <c r="A951" s="56"/>
      <c r="B951" s="56"/>
      <c r="C951" s="265"/>
      <c r="D951" s="56"/>
      <c r="E951" s="56"/>
      <c r="F951" s="56"/>
      <c r="G951" s="56"/>
      <c r="H951" s="56"/>
      <c r="I951" s="56"/>
      <c r="J951" s="56"/>
      <c r="K951" s="56"/>
      <c r="L951" s="56"/>
      <c r="M951" s="56"/>
    </row>
    <row r="952" ht="15.75" customHeight="1">
      <c r="A952" s="56"/>
      <c r="B952" s="56"/>
      <c r="C952" s="265"/>
      <c r="D952" s="56"/>
      <c r="E952" s="56"/>
      <c r="F952" s="56"/>
      <c r="G952" s="56"/>
      <c r="H952" s="56"/>
      <c r="I952" s="56"/>
      <c r="J952" s="56"/>
      <c r="K952" s="56"/>
      <c r="L952" s="56"/>
      <c r="M952" s="56"/>
    </row>
    <row r="953" ht="15.75" customHeight="1">
      <c r="A953" s="56"/>
      <c r="B953" s="56"/>
      <c r="C953" s="265"/>
      <c r="D953" s="56"/>
      <c r="E953" s="56"/>
      <c r="F953" s="56"/>
      <c r="G953" s="56"/>
      <c r="H953" s="56"/>
      <c r="I953" s="56"/>
      <c r="J953" s="56"/>
      <c r="K953" s="56"/>
      <c r="L953" s="56"/>
      <c r="M953" s="56"/>
    </row>
    <row r="954" ht="15.75" customHeight="1">
      <c r="A954" s="56"/>
      <c r="B954" s="56"/>
      <c r="C954" s="265"/>
      <c r="D954" s="56"/>
      <c r="E954" s="56"/>
      <c r="F954" s="56"/>
      <c r="G954" s="56"/>
      <c r="H954" s="56"/>
      <c r="I954" s="56"/>
      <c r="J954" s="56"/>
      <c r="K954" s="56"/>
      <c r="L954" s="56"/>
      <c r="M954" s="56"/>
    </row>
    <row r="955" ht="15.75" customHeight="1">
      <c r="A955" s="56"/>
      <c r="B955" s="56"/>
      <c r="C955" s="265"/>
      <c r="D955" s="56"/>
      <c r="E955" s="56"/>
      <c r="F955" s="56"/>
      <c r="G955" s="56"/>
      <c r="H955" s="56"/>
      <c r="I955" s="56"/>
      <c r="J955" s="56"/>
      <c r="K955" s="56"/>
      <c r="L955" s="56"/>
      <c r="M955" s="56"/>
    </row>
    <row r="956" ht="15.75" customHeight="1">
      <c r="A956" s="56"/>
      <c r="B956" s="56"/>
      <c r="C956" s="265"/>
      <c r="D956" s="56"/>
      <c r="E956" s="56"/>
      <c r="F956" s="56"/>
      <c r="G956" s="56"/>
      <c r="H956" s="56"/>
      <c r="I956" s="56"/>
      <c r="J956" s="56"/>
      <c r="K956" s="56"/>
      <c r="L956" s="56"/>
      <c r="M956" s="56"/>
    </row>
    <row r="957" ht="15.75" customHeight="1">
      <c r="A957" s="56"/>
      <c r="B957" s="56"/>
      <c r="C957" s="265"/>
      <c r="D957" s="56"/>
      <c r="E957" s="56"/>
      <c r="F957" s="56"/>
      <c r="G957" s="56"/>
      <c r="H957" s="56"/>
      <c r="I957" s="56"/>
      <c r="J957" s="56"/>
      <c r="K957" s="56"/>
      <c r="L957" s="56"/>
      <c r="M957" s="56"/>
    </row>
    <row r="958" ht="15.75" customHeight="1">
      <c r="A958" s="56"/>
      <c r="B958" s="56"/>
      <c r="C958" s="265"/>
      <c r="D958" s="56"/>
      <c r="E958" s="56"/>
      <c r="F958" s="56"/>
      <c r="G958" s="56"/>
      <c r="H958" s="56"/>
      <c r="I958" s="56"/>
      <c r="J958" s="56"/>
      <c r="K958" s="56"/>
      <c r="L958" s="56"/>
      <c r="M958" s="56"/>
    </row>
    <row r="959" ht="15.75" customHeight="1">
      <c r="A959" s="56"/>
      <c r="B959" s="56"/>
      <c r="C959" s="265"/>
      <c r="D959" s="56"/>
      <c r="E959" s="56"/>
      <c r="F959" s="56"/>
      <c r="G959" s="56"/>
      <c r="H959" s="56"/>
      <c r="I959" s="56"/>
      <c r="J959" s="56"/>
      <c r="K959" s="56"/>
      <c r="L959" s="56"/>
      <c r="M959" s="56"/>
    </row>
    <row r="960" ht="15.75" customHeight="1">
      <c r="A960" s="56"/>
      <c r="B960" s="56"/>
      <c r="C960" s="265"/>
      <c r="D960" s="56"/>
      <c r="E960" s="56"/>
      <c r="F960" s="56"/>
      <c r="G960" s="56"/>
      <c r="H960" s="56"/>
      <c r="I960" s="56"/>
      <c r="J960" s="56"/>
      <c r="K960" s="56"/>
      <c r="L960" s="56"/>
      <c r="M960" s="56"/>
    </row>
    <row r="961" ht="15.75" customHeight="1">
      <c r="A961" s="56"/>
      <c r="B961" s="56"/>
      <c r="C961" s="265"/>
      <c r="D961" s="56"/>
      <c r="E961" s="56"/>
      <c r="F961" s="56"/>
      <c r="G961" s="56"/>
      <c r="H961" s="56"/>
      <c r="I961" s="56"/>
      <c r="J961" s="56"/>
      <c r="K961" s="56"/>
      <c r="L961" s="56"/>
      <c r="M961" s="56"/>
    </row>
    <row r="962" ht="15.75" customHeight="1">
      <c r="A962" s="56"/>
      <c r="B962" s="56"/>
      <c r="C962" s="265"/>
      <c r="D962" s="56"/>
      <c r="E962" s="56"/>
      <c r="F962" s="56"/>
      <c r="G962" s="56"/>
      <c r="H962" s="56"/>
      <c r="I962" s="56"/>
      <c r="J962" s="56"/>
      <c r="K962" s="56"/>
      <c r="L962" s="56"/>
      <c r="M962" s="56"/>
    </row>
    <row r="963" ht="15.75" customHeight="1">
      <c r="A963" s="56"/>
      <c r="B963" s="56"/>
      <c r="C963" s="265"/>
      <c r="D963" s="56"/>
      <c r="E963" s="56"/>
      <c r="F963" s="56"/>
      <c r="G963" s="56"/>
      <c r="H963" s="56"/>
      <c r="I963" s="56"/>
      <c r="J963" s="56"/>
      <c r="K963" s="56"/>
      <c r="L963" s="56"/>
      <c r="M963" s="56"/>
    </row>
    <row r="964" ht="15.75" customHeight="1">
      <c r="A964" s="56"/>
      <c r="B964" s="56"/>
      <c r="C964" s="265"/>
      <c r="D964" s="56"/>
      <c r="E964" s="56"/>
      <c r="F964" s="56"/>
      <c r="G964" s="56"/>
      <c r="H964" s="56"/>
      <c r="I964" s="56"/>
      <c r="J964" s="56"/>
      <c r="K964" s="56"/>
      <c r="L964" s="56"/>
      <c r="M964" s="56"/>
    </row>
    <row r="965" ht="15.75" customHeight="1">
      <c r="A965" s="56"/>
      <c r="B965" s="56"/>
      <c r="C965" s="265"/>
      <c r="D965" s="56"/>
      <c r="E965" s="56"/>
      <c r="F965" s="56"/>
      <c r="G965" s="56"/>
      <c r="H965" s="56"/>
      <c r="I965" s="56"/>
      <c r="J965" s="56"/>
      <c r="K965" s="56"/>
      <c r="L965" s="56"/>
      <c r="M965" s="56"/>
    </row>
    <row r="966" ht="15.75" customHeight="1">
      <c r="A966" s="56"/>
      <c r="B966" s="56"/>
      <c r="C966" s="265"/>
      <c r="D966" s="56"/>
      <c r="E966" s="56"/>
      <c r="F966" s="56"/>
      <c r="G966" s="56"/>
      <c r="H966" s="56"/>
      <c r="I966" s="56"/>
      <c r="J966" s="56"/>
      <c r="K966" s="56"/>
      <c r="L966" s="56"/>
      <c r="M966" s="56"/>
    </row>
    <row r="967" ht="15.75" customHeight="1">
      <c r="A967" s="56"/>
      <c r="B967" s="56"/>
      <c r="C967" s="265"/>
      <c r="D967" s="56"/>
      <c r="E967" s="56"/>
      <c r="F967" s="56"/>
      <c r="G967" s="56"/>
      <c r="H967" s="56"/>
      <c r="I967" s="56"/>
      <c r="J967" s="56"/>
      <c r="K967" s="56"/>
      <c r="L967" s="56"/>
      <c r="M967" s="56"/>
    </row>
    <row r="968" ht="15.75" customHeight="1">
      <c r="A968" s="56"/>
      <c r="B968" s="56"/>
      <c r="C968" s="265"/>
      <c r="D968" s="56"/>
      <c r="E968" s="56"/>
      <c r="F968" s="56"/>
      <c r="G968" s="56"/>
      <c r="H968" s="56"/>
      <c r="I968" s="56"/>
      <c r="J968" s="56"/>
      <c r="K968" s="56"/>
      <c r="L968" s="56"/>
      <c r="M968" s="56"/>
    </row>
    <row r="969" ht="15.75" customHeight="1">
      <c r="A969" s="56"/>
      <c r="B969" s="56"/>
      <c r="C969" s="265"/>
      <c r="D969" s="56"/>
      <c r="E969" s="56"/>
      <c r="F969" s="56"/>
      <c r="G969" s="56"/>
      <c r="H969" s="56"/>
      <c r="I969" s="56"/>
      <c r="J969" s="56"/>
      <c r="K969" s="56"/>
      <c r="L969" s="56"/>
      <c r="M969" s="56"/>
    </row>
    <row r="970" ht="15.75" customHeight="1">
      <c r="A970" s="56"/>
      <c r="B970" s="56"/>
      <c r="C970" s="265"/>
      <c r="D970" s="56"/>
      <c r="E970" s="56"/>
      <c r="F970" s="56"/>
      <c r="G970" s="56"/>
      <c r="H970" s="56"/>
      <c r="I970" s="56"/>
      <c r="J970" s="56"/>
      <c r="K970" s="56"/>
      <c r="L970" s="56"/>
      <c r="M970" s="56"/>
    </row>
    <row r="971" ht="15.75" customHeight="1">
      <c r="A971" s="56"/>
      <c r="B971" s="56"/>
      <c r="C971" s="265"/>
      <c r="D971" s="56"/>
      <c r="E971" s="56"/>
      <c r="F971" s="56"/>
      <c r="G971" s="56"/>
      <c r="H971" s="56"/>
      <c r="I971" s="56"/>
      <c r="J971" s="56"/>
      <c r="K971" s="56"/>
      <c r="L971" s="56"/>
      <c r="M971" s="56"/>
    </row>
    <row r="972" ht="15.75" customHeight="1">
      <c r="A972" s="56"/>
      <c r="B972" s="56"/>
      <c r="C972" s="265"/>
      <c r="D972" s="56"/>
      <c r="E972" s="56"/>
      <c r="F972" s="56"/>
      <c r="G972" s="56"/>
      <c r="H972" s="56"/>
      <c r="I972" s="56"/>
      <c r="J972" s="56"/>
      <c r="K972" s="56"/>
      <c r="L972" s="56"/>
      <c r="M972" s="56"/>
    </row>
    <row r="973" ht="15.75" customHeight="1">
      <c r="A973" s="56"/>
      <c r="B973" s="56"/>
      <c r="C973" s="265"/>
      <c r="D973" s="56"/>
      <c r="E973" s="56"/>
      <c r="F973" s="56"/>
      <c r="G973" s="56"/>
      <c r="H973" s="56"/>
      <c r="I973" s="56"/>
      <c r="J973" s="56"/>
      <c r="K973" s="56"/>
      <c r="L973" s="56"/>
      <c r="M973" s="56"/>
    </row>
    <row r="974" ht="15.75" customHeight="1">
      <c r="A974" s="56"/>
      <c r="B974" s="56"/>
      <c r="C974" s="265"/>
      <c r="D974" s="56"/>
      <c r="E974" s="56"/>
      <c r="F974" s="56"/>
      <c r="G974" s="56"/>
      <c r="H974" s="56"/>
      <c r="I974" s="56"/>
      <c r="J974" s="56"/>
      <c r="K974" s="56"/>
      <c r="L974" s="56"/>
      <c r="M974" s="56"/>
    </row>
    <row r="975" ht="15.75" customHeight="1">
      <c r="A975" s="56"/>
      <c r="B975" s="56"/>
      <c r="C975" s="265"/>
      <c r="D975" s="56"/>
      <c r="E975" s="56"/>
      <c r="F975" s="56"/>
      <c r="G975" s="56"/>
      <c r="H975" s="56"/>
      <c r="I975" s="56"/>
      <c r="J975" s="56"/>
      <c r="K975" s="56"/>
      <c r="L975" s="56"/>
      <c r="M975" s="56"/>
    </row>
    <row r="976" ht="15.75" customHeight="1">
      <c r="A976" s="56"/>
      <c r="B976" s="56"/>
      <c r="C976" s="265"/>
      <c r="D976" s="56"/>
      <c r="E976" s="56"/>
      <c r="F976" s="56"/>
      <c r="G976" s="56"/>
      <c r="H976" s="56"/>
      <c r="I976" s="56"/>
      <c r="J976" s="56"/>
      <c r="K976" s="56"/>
      <c r="L976" s="56"/>
      <c r="M976" s="56"/>
    </row>
    <row r="977" ht="15.75" customHeight="1">
      <c r="A977" s="56"/>
      <c r="B977" s="56"/>
      <c r="C977" s="265"/>
      <c r="D977" s="56"/>
      <c r="E977" s="56"/>
      <c r="F977" s="56"/>
      <c r="G977" s="56"/>
      <c r="H977" s="56"/>
      <c r="I977" s="56"/>
      <c r="J977" s="56"/>
      <c r="K977" s="56"/>
      <c r="L977" s="56"/>
      <c r="M977" s="56"/>
    </row>
    <row r="978" ht="15.75" customHeight="1">
      <c r="A978" s="56"/>
      <c r="B978" s="56"/>
      <c r="C978" s="265"/>
      <c r="D978" s="56"/>
      <c r="E978" s="56"/>
      <c r="F978" s="56"/>
      <c r="G978" s="56"/>
      <c r="H978" s="56"/>
      <c r="I978" s="56"/>
      <c r="J978" s="56"/>
      <c r="K978" s="56"/>
      <c r="L978" s="56"/>
      <c r="M978" s="56"/>
    </row>
    <row r="979" ht="15.75" customHeight="1">
      <c r="A979" s="56"/>
      <c r="B979" s="56"/>
      <c r="C979" s="265"/>
      <c r="D979" s="56"/>
      <c r="E979" s="56"/>
      <c r="F979" s="56"/>
      <c r="G979" s="56"/>
      <c r="H979" s="56"/>
      <c r="I979" s="56"/>
      <c r="J979" s="56"/>
      <c r="K979" s="56"/>
      <c r="L979" s="56"/>
      <c r="M979" s="56"/>
    </row>
    <row r="980" ht="15.75" customHeight="1">
      <c r="A980" s="56"/>
      <c r="B980" s="56"/>
      <c r="C980" s="265"/>
      <c r="D980" s="56"/>
      <c r="E980" s="56"/>
      <c r="F980" s="56"/>
      <c r="G980" s="56"/>
      <c r="H980" s="56"/>
      <c r="I980" s="56"/>
      <c r="J980" s="56"/>
      <c r="K980" s="56"/>
      <c r="L980" s="56"/>
      <c r="M980" s="56"/>
    </row>
    <row r="981" ht="15.75" customHeight="1">
      <c r="A981" s="56"/>
      <c r="B981" s="56"/>
      <c r="C981" s="265"/>
      <c r="D981" s="56"/>
      <c r="E981" s="56"/>
      <c r="F981" s="56"/>
      <c r="G981" s="56"/>
      <c r="H981" s="56"/>
      <c r="I981" s="56"/>
      <c r="J981" s="56"/>
      <c r="K981" s="56"/>
      <c r="L981" s="56"/>
      <c r="M981" s="56"/>
    </row>
    <row r="982" ht="15.75" customHeight="1">
      <c r="A982" s="56"/>
      <c r="B982" s="56"/>
      <c r="C982" s="265"/>
      <c r="D982" s="56"/>
      <c r="E982" s="56"/>
      <c r="F982" s="56"/>
      <c r="G982" s="56"/>
      <c r="H982" s="56"/>
      <c r="I982" s="56"/>
      <c r="J982" s="56"/>
      <c r="K982" s="56"/>
      <c r="L982" s="56"/>
      <c r="M982" s="56"/>
    </row>
    <row r="983" ht="15.75" customHeight="1">
      <c r="A983" s="56"/>
      <c r="B983" s="56"/>
      <c r="C983" s="265"/>
      <c r="D983" s="56"/>
      <c r="E983" s="56"/>
      <c r="F983" s="56"/>
      <c r="G983" s="56"/>
      <c r="H983" s="56"/>
      <c r="I983" s="56"/>
      <c r="J983" s="56"/>
      <c r="K983" s="56"/>
      <c r="L983" s="56"/>
      <c r="M983" s="56"/>
    </row>
    <row r="984" ht="15.75" customHeight="1">
      <c r="A984" s="56"/>
      <c r="B984" s="56"/>
      <c r="C984" s="265"/>
      <c r="D984" s="56"/>
      <c r="E984" s="56"/>
      <c r="F984" s="56"/>
      <c r="G984" s="56"/>
      <c r="H984" s="56"/>
      <c r="I984" s="56"/>
      <c r="J984" s="56"/>
      <c r="K984" s="56"/>
      <c r="L984" s="56"/>
      <c r="M984" s="56"/>
    </row>
    <row r="985" ht="15.75" customHeight="1">
      <c r="A985" s="56"/>
      <c r="B985" s="56"/>
      <c r="C985" s="265"/>
      <c r="D985" s="56"/>
      <c r="E985" s="56"/>
      <c r="F985" s="56"/>
      <c r="G985" s="56"/>
      <c r="H985" s="56"/>
      <c r="I985" s="56"/>
      <c r="J985" s="56"/>
      <c r="K985" s="56"/>
      <c r="L985" s="56"/>
      <c r="M985" s="56"/>
    </row>
    <row r="986" ht="15.75" customHeight="1">
      <c r="A986" s="56"/>
      <c r="B986" s="56"/>
      <c r="C986" s="265"/>
      <c r="D986" s="56"/>
      <c r="E986" s="56"/>
      <c r="F986" s="56"/>
      <c r="G986" s="56"/>
      <c r="H986" s="56"/>
      <c r="I986" s="56"/>
      <c r="J986" s="56"/>
      <c r="K986" s="56"/>
      <c r="L986" s="56"/>
      <c r="M986" s="56"/>
    </row>
    <row r="987" ht="15.75" customHeight="1">
      <c r="A987" s="56"/>
      <c r="B987" s="56"/>
      <c r="C987" s="265"/>
      <c r="D987" s="56"/>
      <c r="E987" s="56"/>
      <c r="F987" s="56"/>
      <c r="G987" s="56"/>
      <c r="H987" s="56"/>
      <c r="I987" s="56"/>
      <c r="J987" s="56"/>
      <c r="K987" s="56"/>
      <c r="L987" s="56"/>
      <c r="M987" s="56"/>
    </row>
    <row r="988" ht="15.75" customHeight="1">
      <c r="A988" s="56"/>
      <c r="B988" s="56"/>
      <c r="C988" s="265"/>
      <c r="D988" s="56"/>
      <c r="E988" s="56"/>
      <c r="F988" s="56"/>
      <c r="G988" s="56"/>
      <c r="H988" s="56"/>
      <c r="I988" s="56"/>
      <c r="J988" s="56"/>
      <c r="K988" s="56"/>
      <c r="L988" s="56"/>
      <c r="M988" s="56"/>
    </row>
    <row r="989" ht="15.75" customHeight="1">
      <c r="A989" s="56"/>
      <c r="B989" s="56"/>
      <c r="C989" s="265"/>
      <c r="D989" s="56"/>
      <c r="E989" s="56"/>
      <c r="F989" s="56"/>
      <c r="G989" s="56"/>
      <c r="H989" s="56"/>
      <c r="I989" s="56"/>
      <c r="J989" s="56"/>
      <c r="K989" s="56"/>
      <c r="L989" s="56"/>
      <c r="M989" s="56"/>
    </row>
    <row r="990" ht="15.75" customHeight="1">
      <c r="A990" s="56"/>
      <c r="B990" s="56"/>
      <c r="C990" s="265"/>
      <c r="D990" s="56"/>
      <c r="E990" s="56"/>
      <c r="F990" s="56"/>
      <c r="G990" s="56"/>
      <c r="H990" s="56"/>
      <c r="I990" s="56"/>
      <c r="J990" s="56"/>
      <c r="K990" s="56"/>
      <c r="L990" s="56"/>
      <c r="M990" s="56"/>
    </row>
    <row r="991" ht="15.75" customHeight="1">
      <c r="A991" s="56"/>
      <c r="B991" s="56"/>
      <c r="C991" s="265"/>
      <c r="D991" s="56"/>
      <c r="E991" s="56"/>
      <c r="F991" s="56"/>
      <c r="G991" s="56"/>
      <c r="H991" s="56"/>
      <c r="I991" s="56"/>
      <c r="J991" s="56"/>
      <c r="K991" s="56"/>
      <c r="L991" s="56"/>
      <c r="M991" s="56"/>
    </row>
    <row r="992" ht="15.75" customHeight="1">
      <c r="A992" s="56"/>
      <c r="B992" s="56"/>
      <c r="C992" s="265"/>
      <c r="D992" s="56"/>
      <c r="E992" s="56"/>
      <c r="F992" s="56"/>
      <c r="G992" s="56"/>
      <c r="H992" s="56"/>
      <c r="I992" s="56"/>
      <c r="J992" s="56"/>
      <c r="K992" s="56"/>
      <c r="L992" s="56"/>
      <c r="M992" s="56"/>
    </row>
    <row r="993" ht="15.75" customHeight="1">
      <c r="A993" s="56"/>
      <c r="B993" s="56"/>
      <c r="C993" s="265"/>
      <c r="D993" s="56"/>
      <c r="E993" s="56"/>
      <c r="F993" s="56"/>
      <c r="G993" s="56"/>
      <c r="H993" s="56"/>
      <c r="I993" s="56"/>
      <c r="J993" s="56"/>
      <c r="K993" s="56"/>
      <c r="L993" s="56"/>
      <c r="M993" s="56"/>
    </row>
    <row r="994" ht="15.75" customHeight="1">
      <c r="A994" s="56"/>
      <c r="B994" s="56"/>
      <c r="C994" s="265"/>
      <c r="D994" s="56"/>
      <c r="E994" s="56"/>
      <c r="F994" s="56"/>
      <c r="G994" s="56"/>
      <c r="H994" s="56"/>
      <c r="I994" s="56"/>
      <c r="J994" s="56"/>
      <c r="K994" s="56"/>
      <c r="L994" s="56"/>
      <c r="M994" s="56"/>
    </row>
  </sheetData>
  <autoFilter ref="$A$1:$M$994">
    <sortState ref="A1:M994">
      <sortCondition descending="1" ref="C1:C994"/>
    </sortState>
  </autoFilter>
  <drawing r:id="rId1"/>
</worksheet>
</file>